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pivotTables/pivotTable1.xml" ContentType="application/vnd.openxmlformats-officedocument.spreadsheetml.pivotTable+xml"/>
  <Override PartName="/xl/tables/table33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3e078be0a61d2912/Desktop/"/>
    </mc:Choice>
  </mc:AlternateContent>
  <xr:revisionPtr revIDLastSave="3" documentId="8_{8051216C-BA4E-4402-B93D-76846034B8B0}" xr6:coauthVersionLast="47" xr6:coauthVersionMax="47" xr10:uidLastSave="{100BBC0E-8C5D-47FF-9BDB-859A90A35CA1}"/>
  <bookViews>
    <workbookView xWindow="-120" yWindow="-120" windowWidth="29040" windowHeight="15720" tabRatio="500" firstSheet="35" activeTab="35" xr2:uid="{00000000-000D-0000-FFFF-FFFF00000000}"/>
  </bookViews>
  <sheets>
    <sheet name="Detail2" sheetId="6" state="hidden" r:id="rId1"/>
    <sheet name="Detail3" sheetId="7" state="hidden" r:id="rId2"/>
    <sheet name="Detail4" sheetId="8" state="hidden" r:id="rId3"/>
    <sheet name="Detail5" sheetId="9" state="hidden" r:id="rId4"/>
    <sheet name="Detail6" sheetId="10" state="hidden" r:id="rId5"/>
    <sheet name="Detail7" sheetId="11" state="hidden" r:id="rId6"/>
    <sheet name="Detail8" sheetId="12" state="hidden" r:id="rId7"/>
    <sheet name="Detail9" sheetId="13" state="hidden" r:id="rId8"/>
    <sheet name="Detail10" sheetId="14" state="hidden" r:id="rId9"/>
    <sheet name="Detail11" sheetId="15" state="hidden" r:id="rId10"/>
    <sheet name="Detail12" sheetId="16" state="hidden" r:id="rId11"/>
    <sheet name="Detail13" sheetId="17" state="hidden" r:id="rId12"/>
    <sheet name="Detail14" sheetId="18" state="hidden" r:id="rId13"/>
    <sheet name="Detail15" sheetId="19" state="hidden" r:id="rId14"/>
    <sheet name="Detail16" sheetId="20" state="hidden" r:id="rId15"/>
    <sheet name="Detail17" sheetId="21" state="hidden" r:id="rId16"/>
    <sheet name="Detail18" sheetId="22" state="hidden" r:id="rId17"/>
    <sheet name="Detail19" sheetId="23" state="hidden" r:id="rId18"/>
    <sheet name="Detail20" sheetId="24" state="hidden" r:id="rId19"/>
    <sheet name="Detail21" sheetId="25" state="hidden" r:id="rId20"/>
    <sheet name="Detail22" sheetId="26" state="hidden" r:id="rId21"/>
    <sheet name="Detail23" sheetId="27" state="hidden" r:id="rId22"/>
    <sheet name="Detail24" sheetId="28" state="hidden" r:id="rId23"/>
    <sheet name="Detail25" sheetId="29" state="hidden" r:id="rId24"/>
    <sheet name="Detail26" sheetId="30" state="hidden" r:id="rId25"/>
    <sheet name="Detail27" sheetId="31" state="hidden" r:id="rId26"/>
    <sheet name="Detail28" sheetId="32" state="hidden" r:id="rId27"/>
    <sheet name="Detail29" sheetId="33" state="hidden" r:id="rId28"/>
    <sheet name="Detail30" sheetId="34" state="hidden" r:id="rId29"/>
    <sheet name="Detail31" sheetId="35" state="hidden" r:id="rId30"/>
    <sheet name="Detail32" sheetId="36" state="hidden" r:id="rId31"/>
    <sheet name="Detail33" sheetId="37" state="hidden" r:id="rId32"/>
    <sheet name="Sheet1" sheetId="38" state="hidden" r:id="rId33"/>
    <sheet name="Sheet2" sheetId="39" state="hidden" r:id="rId34"/>
    <sheet name="Sheet3" sheetId="40" state="hidden" r:id="rId35"/>
    <sheet name="Main data" sheetId="41" r:id="rId36"/>
    <sheet name="DPCache_Adviser list" sheetId="44" state="hidden" r:id="rId37"/>
  </sheets>
  <definedNames>
    <definedName name="_xlnm._FilterDatabase" localSheetId="34" hidden="1">Sheet3!$A$1:$K$3506</definedName>
  </definedNames>
  <calcPr calcId="191029"/>
  <pivotCaches>
    <pivotCache cacheId="7" r:id="rId3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R5109" i="41" l="1"/>
  <c r="R5081" i="41"/>
  <c r="R5080" i="41"/>
  <c r="S1688" i="41"/>
  <c r="G1496" i="41"/>
  <c r="G1444" i="41"/>
  <c r="G1434" i="41"/>
  <c r="G1416" i="41"/>
  <c r="T39" i="41"/>
  <c r="T5613" i="41"/>
  <c r="T5609" i="41"/>
  <c r="T5316" i="41"/>
  <c r="T5248" i="41"/>
  <c r="T5009" i="41"/>
  <c r="T5004" i="41"/>
  <c r="T4988" i="41"/>
  <c r="T4802" i="41"/>
  <c r="T4101" i="41"/>
  <c r="T3582" i="41"/>
  <c r="T3578" i="41"/>
  <c r="T3419" i="41"/>
  <c r="T3388" i="41"/>
  <c r="T3338" i="41"/>
  <c r="T3265" i="41"/>
  <c r="T3049" i="41"/>
  <c r="T2975" i="41"/>
  <c r="T2971" i="41"/>
  <c r="T2967" i="41"/>
  <c r="T2965" i="41"/>
  <c r="T2614" i="41"/>
  <c r="T2588" i="41"/>
  <c r="T2539" i="41"/>
  <c r="T2332" i="41"/>
  <c r="T1791" i="41"/>
  <c r="T1683" i="41"/>
  <c r="T1570" i="41"/>
  <c r="T1556" i="41"/>
  <c r="T1539" i="41"/>
  <c r="T1361" i="41"/>
  <c r="T1171" i="41"/>
  <c r="T1126" i="41"/>
  <c r="T1118" i="41"/>
  <c r="T1093" i="41"/>
  <c r="T1091" i="41"/>
  <c r="T1066" i="41"/>
  <c r="T943" i="41"/>
  <c r="T850" i="41"/>
  <c r="T785" i="41"/>
  <c r="T667" i="41"/>
  <c r="T635" i="41"/>
  <c r="T530" i="41"/>
  <c r="T492" i="41"/>
  <c r="T438" i="41"/>
  <c r="T429" i="41"/>
  <c r="T420" i="41"/>
  <c r="T413" i="41"/>
  <c r="T329" i="41"/>
  <c r="T317" i="41"/>
  <c r="T307" i="41"/>
  <c r="T297" i="41"/>
  <c r="T274" i="41"/>
  <c r="S1158" i="41"/>
  <c r="T3707" i="41"/>
  <c r="L3707" i="41"/>
  <c r="T1158" i="41"/>
  <c r="T351" i="41"/>
  <c r="T5651" i="41"/>
  <c r="T5643" i="41"/>
  <c r="T5632" i="41"/>
  <c r="T5631" i="41"/>
  <c r="T5612" i="41"/>
  <c r="T5314" i="41"/>
  <c r="T5313" i="41"/>
  <c r="T5308" i="41"/>
  <c r="T5280" i="41"/>
  <c r="T5264" i="41"/>
  <c r="T5259" i="41"/>
  <c r="T5243" i="41"/>
  <c r="T5224" i="41"/>
  <c r="T5212" i="41"/>
  <c r="T5205" i="41"/>
  <c r="T5173" i="41"/>
  <c r="T5146" i="41"/>
  <c r="T5138" i="41"/>
  <c r="T5137" i="41"/>
  <c r="T5127" i="41"/>
  <c r="T5028" i="41"/>
  <c r="T4793" i="41"/>
  <c r="T4782" i="41"/>
  <c r="T4772" i="41"/>
  <c r="T4764" i="41"/>
  <c r="T4753" i="41"/>
  <c r="T4704" i="41"/>
  <c r="T4687" i="41"/>
  <c r="T4607" i="41"/>
  <c r="T4594" i="41"/>
  <c r="T4578" i="41"/>
  <c r="T4577" i="41"/>
  <c r="T4574" i="41"/>
  <c r="T4563" i="41"/>
  <c r="T4543" i="41"/>
  <c r="T4533" i="41"/>
  <c r="T4485" i="41"/>
  <c r="T4476" i="41"/>
  <c r="T4447" i="41"/>
  <c r="T4379" i="41"/>
  <c r="T4370" i="41"/>
  <c r="T4363" i="41"/>
  <c r="T4356" i="41"/>
  <c r="T4340" i="41"/>
  <c r="T4227" i="41"/>
  <c r="T4212" i="41"/>
  <c r="T4206" i="41"/>
  <c r="T4204" i="41"/>
  <c r="T4075" i="41"/>
  <c r="T4040" i="41"/>
  <c r="T4021" i="41"/>
  <c r="T3982" i="41"/>
  <c r="T3950" i="41"/>
  <c r="T3944" i="41"/>
  <c r="T3911" i="41"/>
  <c r="T3822" i="41"/>
  <c r="T3776" i="41"/>
  <c r="T3749" i="41"/>
  <c r="T3745" i="41"/>
  <c r="T3691" i="41"/>
  <c r="T3631" i="41"/>
  <c r="T3587" i="41"/>
  <c r="T3520" i="41"/>
  <c r="T3436" i="41"/>
  <c r="T3371" i="41"/>
  <c r="T3365" i="41"/>
  <c r="T3314" i="41"/>
  <c r="T3249" i="41"/>
  <c r="T3071" i="41"/>
  <c r="T3057" i="41"/>
  <c r="T2998" i="41"/>
  <c r="T2985" i="41"/>
  <c r="T2923" i="41"/>
  <c r="T2816" i="41"/>
  <c r="T2641" i="41"/>
  <c r="T2625" i="41"/>
  <c r="T2601" i="41"/>
  <c r="T2586" i="41"/>
  <c r="T2549" i="41"/>
  <c r="T2528" i="41"/>
  <c r="T2500" i="41"/>
  <c r="T2475" i="41"/>
  <c r="T2474" i="41"/>
  <c r="T2451" i="41"/>
  <c r="T2423" i="41"/>
  <c r="T2421" i="41"/>
  <c r="T2413" i="41"/>
  <c r="T2321" i="41"/>
  <c r="T2271" i="41"/>
  <c r="T2233" i="41"/>
  <c r="T2231" i="41"/>
  <c r="T2210" i="41"/>
  <c r="T1891" i="41"/>
  <c r="T1852" i="41"/>
  <c r="T1851" i="41"/>
  <c r="T1828" i="41"/>
  <c r="T1826" i="41"/>
  <c r="T1821" i="41"/>
  <c r="T1804" i="41"/>
  <c r="T1770" i="41"/>
  <c r="T1760" i="41"/>
  <c r="T1759" i="41"/>
  <c r="T1757" i="41"/>
  <c r="T1633" i="41"/>
  <c r="T1562" i="41"/>
  <c r="T1558" i="41"/>
  <c r="T1414" i="41"/>
  <c r="T1345" i="41"/>
  <c r="T1326" i="41"/>
  <c r="T1176" i="41"/>
  <c r="T1165" i="41"/>
  <c r="T1150" i="41"/>
  <c r="T1130" i="41"/>
  <c r="T1096" i="41"/>
  <c r="T1054" i="41"/>
  <c r="T1030" i="41"/>
  <c r="T1005" i="41"/>
  <c r="T995" i="41"/>
  <c r="T994" i="41"/>
  <c r="T960" i="41"/>
  <c r="T949" i="41"/>
  <c r="T925" i="41"/>
  <c r="T913" i="41"/>
  <c r="T883" i="41"/>
  <c r="T880" i="41"/>
  <c r="T848" i="41"/>
  <c r="T840" i="41"/>
  <c r="T803" i="41"/>
  <c r="T755" i="41"/>
  <c r="T751" i="41"/>
  <c r="T740" i="41"/>
  <c r="T735" i="41"/>
  <c r="T729" i="41"/>
  <c r="T714" i="41"/>
  <c r="T711" i="41"/>
  <c r="T693" i="41"/>
  <c r="T691" i="41"/>
  <c r="T690" i="41"/>
  <c r="T687" i="41"/>
  <c r="T681" i="41"/>
  <c r="T672" i="41"/>
  <c r="T654" i="41"/>
  <c r="T624" i="41"/>
  <c r="T591" i="41"/>
  <c r="T576" i="41"/>
  <c r="T569" i="41"/>
  <c r="T551" i="41"/>
  <c r="T550" i="41"/>
  <c r="T542" i="41"/>
  <c r="T533" i="41"/>
  <c r="T525" i="41"/>
  <c r="T470" i="41"/>
  <c r="T423" i="41"/>
  <c r="T412" i="41"/>
  <c r="T407" i="41"/>
  <c r="T396" i="41"/>
  <c r="T381" i="41"/>
  <c r="T377" i="41"/>
  <c r="T376" i="41"/>
  <c r="T367" i="41"/>
  <c r="T352" i="41"/>
  <c r="T324" i="41"/>
  <c r="T319" i="41"/>
  <c r="T302" i="41"/>
  <c r="T294" i="41"/>
  <c r="T262" i="41"/>
  <c r="T261" i="41"/>
  <c r="T259" i="41"/>
  <c r="T251" i="41"/>
  <c r="T60" i="41"/>
  <c r="T55" i="41"/>
  <c r="T17" i="41"/>
  <c r="S5643" i="41"/>
  <c r="S5632" i="41"/>
  <c r="S5631" i="41"/>
  <c r="S5612" i="41"/>
  <c r="S5316" i="41"/>
  <c r="S5313" i="41"/>
  <c r="S5308" i="41"/>
  <c r="S5280" i="41"/>
  <c r="S5264" i="41"/>
  <c r="S5259" i="41"/>
  <c r="S5248" i="41"/>
  <c r="S5224" i="41"/>
  <c r="S5212" i="41"/>
  <c r="S5205" i="41"/>
  <c r="S5173" i="41"/>
  <c r="S5146" i="41"/>
  <c r="S5138" i="41"/>
  <c r="S5137" i="41"/>
  <c r="S5127" i="41"/>
  <c r="S5028" i="41"/>
  <c r="S5009" i="41"/>
  <c r="S4793" i="41"/>
  <c r="S4782" i="41"/>
  <c r="S4772" i="41"/>
  <c r="S4764" i="41"/>
  <c r="S4753" i="41"/>
  <c r="S4704" i="41"/>
  <c r="S4687" i="41"/>
  <c r="S4637" i="41"/>
  <c r="S4607" i="41"/>
  <c r="S4594" i="41"/>
  <c r="S4593" i="41"/>
  <c r="S4578" i="41"/>
  <c r="S4577" i="41"/>
  <c r="S4574" i="41"/>
  <c r="S4563" i="41"/>
  <c r="S4543" i="41"/>
  <c r="S4533" i="41"/>
  <c r="S4485" i="41"/>
  <c r="S4447" i="41"/>
  <c r="S4379" i="41"/>
  <c r="S4370" i="41"/>
  <c r="S4363" i="41"/>
  <c r="S4356" i="41"/>
  <c r="S4340" i="41"/>
  <c r="S4227" i="41"/>
  <c r="S4212" i="41"/>
  <c r="S4206" i="41"/>
  <c r="S4204" i="41"/>
  <c r="S4101" i="41"/>
  <c r="S4075" i="41"/>
  <c r="S4040" i="41"/>
  <c r="S4021" i="41"/>
  <c r="S3982" i="41"/>
  <c r="S3950" i="41"/>
  <c r="S3944" i="41"/>
  <c r="S3911" i="41"/>
  <c r="S3822" i="41"/>
  <c r="S3776" i="41"/>
  <c r="S3749" i="41"/>
  <c r="S3745" i="41"/>
  <c r="S3707" i="41"/>
  <c r="S3691" i="41"/>
  <c r="S3587" i="41"/>
  <c r="S3436" i="41"/>
  <c r="S3419" i="41"/>
  <c r="S3388" i="41"/>
  <c r="S3249" i="41"/>
  <c r="S3071" i="41"/>
  <c r="S3049" i="41"/>
  <c r="S2998" i="41"/>
  <c r="S2923" i="41"/>
  <c r="S2816" i="41"/>
  <c r="S2647" i="41"/>
  <c r="S2641" i="41"/>
  <c r="S2625" i="41"/>
  <c r="S2586" i="41"/>
  <c r="S2549" i="41"/>
  <c r="S2528" i="41"/>
  <c r="S2500" i="41"/>
  <c r="S2475" i="41"/>
  <c r="S2474" i="41"/>
  <c r="S2451" i="41"/>
  <c r="S2423" i="41"/>
  <c r="S2421" i="41"/>
  <c r="S2413" i="41"/>
  <c r="S2332" i="41"/>
  <c r="S2321" i="41"/>
  <c r="S2231" i="41"/>
  <c r="S2210" i="41"/>
  <c r="S1891" i="41"/>
  <c r="S1852" i="41"/>
  <c r="S1828" i="41"/>
  <c r="S1826" i="41"/>
  <c r="S1821" i="41"/>
  <c r="S1804" i="41"/>
  <c r="S1770" i="41"/>
  <c r="S1760" i="41"/>
  <c r="S1759" i="41"/>
  <c r="S1757" i="41"/>
  <c r="S1633" i="41"/>
  <c r="S1562" i="41"/>
  <c r="S1558" i="41"/>
  <c r="S1539" i="41"/>
  <c r="S1414" i="41"/>
  <c r="S1345" i="41"/>
  <c r="S1150" i="41"/>
  <c r="S1118" i="41"/>
  <c r="S1096" i="41"/>
  <c r="S1054" i="41"/>
  <c r="S1030" i="41"/>
  <c r="S1005" i="41"/>
  <c r="S995" i="41"/>
  <c r="S994" i="41"/>
  <c r="S960" i="41"/>
  <c r="S913" i="41"/>
  <c r="S883" i="41"/>
  <c r="S880" i="41"/>
  <c r="S848" i="41"/>
  <c r="S840" i="41"/>
  <c r="S787" i="41"/>
  <c r="S755" i="41"/>
  <c r="S751" i="41"/>
  <c r="S740" i="41"/>
  <c r="S735" i="41"/>
  <c r="S729" i="41"/>
  <c r="S714" i="41"/>
  <c r="S711" i="41"/>
  <c r="S693" i="41"/>
  <c r="S691" i="41"/>
  <c r="S690" i="41"/>
  <c r="S681" i="41"/>
  <c r="S672" i="41"/>
  <c r="S654" i="41"/>
  <c r="S635" i="41"/>
  <c r="S624" i="41"/>
  <c r="S591" i="41"/>
  <c r="S576" i="41"/>
  <c r="S542" i="41"/>
  <c r="S530" i="41"/>
  <c r="S525" i="41"/>
  <c r="S470" i="41"/>
  <c r="S438" i="41"/>
  <c r="S429" i="41"/>
  <c r="S420" i="41"/>
  <c r="S413" i="41"/>
  <c r="S412" i="41"/>
  <c r="S396" i="41"/>
  <c r="S377" i="41"/>
  <c r="S376" i="41"/>
  <c r="S367" i="41"/>
  <c r="S364" i="41"/>
  <c r="S359" i="41"/>
  <c r="S352" i="41"/>
  <c r="S351" i="41"/>
  <c r="S329" i="41"/>
  <c r="S319" i="41"/>
  <c r="S302" i="41"/>
  <c r="S294" i="41"/>
  <c r="S262" i="41"/>
  <c r="S261" i="41"/>
  <c r="S259" i="41"/>
  <c r="S251" i="41"/>
  <c r="S60" i="41"/>
  <c r="S55" i="41"/>
  <c r="S17" i="41"/>
  <c r="T10" i="41"/>
  <c r="T9" i="41"/>
  <c r="T5048" i="41"/>
  <c r="S5048" i="41"/>
  <c r="T934" i="41"/>
  <c r="S934" i="41"/>
  <c r="T907" i="41"/>
  <c r="T1609" i="41"/>
  <c r="T1639" i="41"/>
  <c r="T1637" i="41"/>
  <c r="S1639" i="41"/>
  <c r="S1637" i="41"/>
  <c r="T2675" i="41"/>
  <c r="T2656" i="41"/>
  <c r="S2675" i="41"/>
  <c r="S2656" i="41"/>
  <c r="T3583" i="41"/>
  <c r="T3296" i="41"/>
  <c r="T3287" i="41"/>
  <c r="T4719" i="41"/>
  <c r="S4719" i="41"/>
  <c r="T4788" i="41"/>
  <c r="S4788" i="41"/>
  <c r="T2871" i="41"/>
  <c r="T641" i="41"/>
  <c r="S641" i="41"/>
  <c r="S2871" i="41"/>
  <c r="T621" i="41"/>
  <c r="S621" i="41"/>
  <c r="T620" i="41"/>
  <c r="T4950" i="41"/>
  <c r="T4913" i="41"/>
  <c r="R4950" i="41"/>
  <c r="R4913" i="41"/>
  <c r="T3091" i="41"/>
  <c r="T2990" i="41"/>
  <c r="T2913" i="41"/>
  <c r="T2909" i="41"/>
  <c r="T2906" i="41"/>
  <c r="S3583" i="41"/>
  <c r="S3296" i="41"/>
  <c r="S3287" i="41"/>
  <c r="S3172" i="41"/>
  <c r="S3099" i="41"/>
  <c r="S3091" i="41"/>
  <c r="S3089" i="41"/>
  <c r="S2990" i="41"/>
  <c r="S2963" i="41"/>
  <c r="S2960" i="41"/>
  <c r="S2945" i="41"/>
  <c r="S2935" i="41"/>
  <c r="S2933" i="41"/>
  <c r="S2913" i="41"/>
  <c r="S2909" i="41"/>
  <c r="S2906" i="41"/>
  <c r="T3172" i="41"/>
  <c r="T3099" i="41"/>
  <c r="T3089" i="41"/>
  <c r="T1444" i="41"/>
  <c r="T601" i="41"/>
  <c r="S601" i="41"/>
  <c r="T4908" i="41"/>
  <c r="T4900" i="41"/>
  <c r="T4893" i="41"/>
  <c r="S4908" i="41"/>
  <c r="S4900" i="41"/>
  <c r="S4893" i="41"/>
  <c r="T2537" i="41"/>
  <c r="S2537" i="41"/>
  <c r="T2181" i="41"/>
  <c r="T2175" i="41"/>
  <c r="R2181" i="41"/>
  <c r="R2175" i="41"/>
  <c r="S2175" i="41"/>
  <c r="T337" i="41"/>
  <c r="S337" i="41"/>
  <c r="T5109" i="41"/>
  <c r="T5081" i="41"/>
  <c r="T5080" i="41"/>
  <c r="T5065" i="41"/>
  <c r="S5109" i="41"/>
  <c r="S5081" i="41"/>
  <c r="S5080" i="41"/>
  <c r="S5065" i="41"/>
  <c r="T5673" i="41"/>
  <c r="S5673" i="41"/>
  <c r="T4587" i="41"/>
  <c r="S4587" i="41"/>
  <c r="T3975" i="41"/>
  <c r="S3975" i="41"/>
  <c r="T2174" i="41"/>
  <c r="T2138" i="41"/>
  <c r="T2135" i="41"/>
  <c r="T2058" i="41"/>
  <c r="T2099" i="41"/>
  <c r="T2048" i="41"/>
  <c r="T2013" i="41"/>
  <c r="T1976" i="41"/>
  <c r="T1957" i="41"/>
  <c r="T1935" i="41"/>
  <c r="T1917" i="41"/>
  <c r="R2174" i="41"/>
  <c r="R2138" i="41"/>
  <c r="R2135" i="41"/>
  <c r="R2099" i="41"/>
  <c r="R2058" i="41"/>
  <c r="R2048" i="41"/>
  <c r="R2013" i="41"/>
  <c r="R1976" i="41"/>
  <c r="R1957" i="41"/>
  <c r="R1935" i="41"/>
  <c r="R1917" i="41"/>
  <c r="S2174" i="41"/>
  <c r="S2138" i="41"/>
  <c r="S2135" i="41"/>
  <c r="S2099" i="41"/>
  <c r="S2058" i="41"/>
  <c r="S2048" i="41"/>
  <c r="S2013" i="41"/>
  <c r="S1976" i="41"/>
  <c r="S1957" i="41"/>
  <c r="S1935" i="41"/>
  <c r="S1917" i="41"/>
  <c r="T1496" i="41"/>
  <c r="T1434" i="41"/>
  <c r="T1416" i="41"/>
  <c r="T2803" i="41"/>
  <c r="T2783" i="41"/>
  <c r="S2803" i="41"/>
  <c r="S2783" i="41"/>
  <c r="S2763" i="41"/>
  <c r="T5646" i="41"/>
  <c r="S5646" i="41"/>
  <c r="T1315" i="41"/>
  <c r="T1306" i="41"/>
  <c r="T1303" i="41"/>
  <c r="T1263" i="41"/>
  <c r="T1206" i="41"/>
  <c r="T1189" i="41"/>
  <c r="S1315" i="41"/>
  <c r="S1306" i="41"/>
  <c r="S1303" i="41"/>
  <c r="S1263" i="41"/>
  <c r="S1206" i="41"/>
  <c r="S1189" i="41"/>
  <c r="S5624" i="41"/>
  <c r="S4315" i="41"/>
  <c r="S4302" i="41"/>
  <c r="S4288" i="41"/>
  <c r="S4285" i="41"/>
  <c r="S4279" i="41"/>
  <c r="S4274" i="41"/>
  <c r="S4260" i="41"/>
  <c r="S4242" i="41"/>
  <c r="S4239" i="41"/>
  <c r="T5624" i="41"/>
  <c r="T4315" i="41"/>
  <c r="T4302" i="41"/>
  <c r="T4288" i="41"/>
  <c r="T4285" i="41"/>
  <c r="T4279" i="41"/>
  <c r="T4274" i="41"/>
  <c r="T4260" i="41"/>
  <c r="T4242" i="41"/>
  <c r="T4239" i="41"/>
  <c r="S39" i="41"/>
  <c r="T192" i="41"/>
  <c r="T178" i="41"/>
  <c r="T176" i="41"/>
  <c r="T175" i="41"/>
  <c r="T170" i="41"/>
  <c r="T167" i="41"/>
  <c r="T156" i="41"/>
  <c r="T153" i="41"/>
  <c r="T148" i="41"/>
  <c r="T142" i="41"/>
  <c r="T133" i="41"/>
  <c r="T124" i="41"/>
  <c r="T122" i="41"/>
  <c r="T117" i="41"/>
  <c r="T99" i="41"/>
  <c r="T95" i="41"/>
  <c r="T91" i="41"/>
  <c r="T87" i="41"/>
  <c r="T85" i="41"/>
  <c r="T77" i="41"/>
  <c r="T76" i="41"/>
  <c r="S2" i="41"/>
  <c r="S3" i="41"/>
  <c r="S4" i="41"/>
  <c r="S5" i="41"/>
  <c r="S6" i="41"/>
  <c r="S7" i="41"/>
  <c r="S8" i="41"/>
  <c r="S9" i="41"/>
  <c r="S10" i="41"/>
  <c r="S11" i="41"/>
  <c r="S12" i="41"/>
  <c r="S13" i="41"/>
  <c r="S14" i="41"/>
  <c r="S15" i="41"/>
  <c r="S16" i="41"/>
  <c r="S19" i="41"/>
  <c r="S20" i="41"/>
  <c r="S21" i="41"/>
  <c r="S22" i="41"/>
  <c r="S23" i="41"/>
  <c r="S24" i="41"/>
  <c r="S25" i="41"/>
  <c r="S26" i="41"/>
  <c r="S27" i="41"/>
  <c r="S28" i="41"/>
  <c r="S29" i="41"/>
  <c r="S30" i="41"/>
  <c r="S31" i="41"/>
  <c r="S32" i="41"/>
  <c r="S33" i="41"/>
  <c r="S34" i="41"/>
  <c r="S35" i="41"/>
  <c r="S36" i="41"/>
  <c r="S37" i="41"/>
  <c r="S38" i="41"/>
  <c r="S40" i="41"/>
  <c r="S41" i="41"/>
  <c r="S42" i="41"/>
  <c r="S43" i="41"/>
  <c r="S44" i="41"/>
  <c r="S45" i="41"/>
  <c r="S46" i="41"/>
  <c r="S47" i="41"/>
  <c r="S48" i="41"/>
  <c r="S49" i="41"/>
  <c r="S50" i="41"/>
  <c r="S51" i="41"/>
  <c r="S52" i="41"/>
  <c r="S53" i="41"/>
  <c r="S54" i="41"/>
  <c r="S56" i="41"/>
  <c r="S57" i="41"/>
  <c r="S58" i="41"/>
  <c r="S59" i="41"/>
  <c r="S61" i="41"/>
  <c r="S62" i="41"/>
  <c r="S63" i="41"/>
  <c r="S64" i="41"/>
  <c r="S65" i="41"/>
  <c r="S66" i="41"/>
  <c r="S67" i="41"/>
  <c r="S68" i="41"/>
  <c r="S69" i="41"/>
  <c r="S70" i="41"/>
  <c r="S71" i="41"/>
  <c r="S72" i="41"/>
  <c r="S73" i="41"/>
  <c r="S74" i="41"/>
  <c r="S75" i="41"/>
  <c r="S76" i="41"/>
  <c r="S77" i="41"/>
  <c r="S78" i="41"/>
  <c r="S79" i="41"/>
  <c r="S80" i="41"/>
  <c r="S81" i="41"/>
  <c r="S82" i="41"/>
  <c r="S83" i="41"/>
  <c r="S84" i="41"/>
  <c r="S85" i="41"/>
  <c r="S86" i="41"/>
  <c r="S87" i="41"/>
  <c r="S88" i="41"/>
  <c r="S89" i="41"/>
  <c r="S90" i="41"/>
  <c r="S91" i="41"/>
  <c r="S92" i="41"/>
  <c r="S93" i="41"/>
  <c r="S94" i="41"/>
  <c r="S95" i="41"/>
  <c r="S96" i="41"/>
  <c r="S97" i="41"/>
  <c r="S98" i="41"/>
  <c r="S99" i="41"/>
  <c r="S100" i="41"/>
  <c r="S101" i="41"/>
  <c r="S102" i="41"/>
  <c r="S103" i="41"/>
  <c r="S104" i="41"/>
  <c r="S105" i="41"/>
  <c r="S106" i="41"/>
  <c r="S107" i="41"/>
  <c r="S108" i="41"/>
  <c r="S109" i="41"/>
  <c r="S110" i="41"/>
  <c r="S111" i="41"/>
  <c r="S112" i="41"/>
  <c r="S113" i="41"/>
  <c r="S114" i="41"/>
  <c r="S115" i="41"/>
  <c r="S116" i="41"/>
  <c r="S117" i="41"/>
  <c r="S118" i="41"/>
  <c r="S119" i="41"/>
  <c r="S120" i="41"/>
  <c r="S121" i="41"/>
  <c r="S122" i="41"/>
  <c r="S123" i="41"/>
  <c r="S124" i="41"/>
  <c r="S125" i="41"/>
  <c r="S126" i="41"/>
  <c r="S127" i="41"/>
  <c r="S128" i="41"/>
  <c r="S129" i="41"/>
  <c r="S130" i="41"/>
  <c r="S131" i="41"/>
  <c r="S132" i="41"/>
  <c r="S133" i="41"/>
  <c r="S134" i="41"/>
  <c r="S135" i="41"/>
  <c r="S136" i="41"/>
  <c r="S137" i="41"/>
  <c r="S138" i="41"/>
  <c r="S139" i="41"/>
  <c r="S140" i="41"/>
  <c r="S141" i="41"/>
  <c r="S142" i="41"/>
  <c r="S143" i="41"/>
  <c r="S144" i="41"/>
  <c r="S145" i="41"/>
  <c r="S146" i="41"/>
  <c r="S147" i="41"/>
  <c r="S148" i="41"/>
  <c r="S149" i="41"/>
  <c r="S150" i="41"/>
  <c r="S151" i="41"/>
  <c r="S152" i="41"/>
  <c r="S153" i="41"/>
  <c r="S154" i="41"/>
  <c r="S155" i="41"/>
  <c r="S156" i="41"/>
  <c r="S157" i="41"/>
  <c r="S158" i="41"/>
  <c r="S159" i="41"/>
  <c r="S160" i="41"/>
  <c r="S161" i="41"/>
  <c r="S162" i="41"/>
  <c r="S163" i="41"/>
  <c r="S164" i="41"/>
  <c r="S165" i="41"/>
  <c r="S166" i="41"/>
  <c r="S167" i="41"/>
  <c r="S168" i="41"/>
  <c r="S169" i="41"/>
  <c r="S170" i="41"/>
  <c r="S171" i="41"/>
  <c r="S172" i="41"/>
  <c r="S173" i="41"/>
  <c r="S174" i="41"/>
  <c r="S175" i="41"/>
  <c r="S176" i="41"/>
  <c r="S177" i="41"/>
  <c r="S178" i="41"/>
  <c r="S179" i="41"/>
  <c r="S180" i="41"/>
  <c r="S181" i="41"/>
  <c r="S183" i="41"/>
  <c r="S184" i="41"/>
  <c r="S185" i="41"/>
  <c r="S186" i="41"/>
  <c r="S187" i="41"/>
  <c r="S188" i="41"/>
  <c r="S189" i="41"/>
  <c r="S190" i="41"/>
  <c r="S191" i="41"/>
  <c r="S192" i="41"/>
  <c r="S193" i="41"/>
  <c r="S194" i="41"/>
  <c r="S195" i="41"/>
  <c r="S196" i="41"/>
  <c r="S197" i="41"/>
  <c r="S198" i="41"/>
  <c r="S199" i="41"/>
  <c r="S200" i="41"/>
  <c r="S201" i="41"/>
  <c r="S202" i="41"/>
  <c r="S203" i="41"/>
  <c r="S204" i="41"/>
  <c r="S205" i="41"/>
  <c r="S206" i="41"/>
  <c r="S207" i="41"/>
  <c r="S208" i="41"/>
  <c r="S209" i="41"/>
  <c r="S210" i="41"/>
  <c r="S212" i="41"/>
  <c r="S213" i="41"/>
  <c r="S214" i="41"/>
  <c r="S215" i="41"/>
  <c r="S216" i="41"/>
  <c r="S217" i="41"/>
  <c r="S218" i="41"/>
  <c r="S220" i="41"/>
  <c r="S221" i="41"/>
  <c r="S222" i="41"/>
  <c r="S223" i="41"/>
  <c r="S224" i="41"/>
  <c r="S225" i="41"/>
  <c r="S226" i="41"/>
  <c r="S227" i="41"/>
  <c r="S229" i="41"/>
  <c r="S230" i="41"/>
  <c r="S231" i="41"/>
  <c r="S232" i="41"/>
  <c r="S234" i="41"/>
  <c r="S235" i="41"/>
  <c r="S236" i="41"/>
  <c r="S237" i="41"/>
  <c r="S238" i="41"/>
  <c r="S239" i="41"/>
  <c r="S240" i="41"/>
  <c r="S241" i="41"/>
  <c r="S243" i="41"/>
  <c r="S245" i="41"/>
  <c r="S246" i="41"/>
  <c r="S247" i="41"/>
  <c r="S248" i="41"/>
  <c r="S249" i="41"/>
  <c r="S250" i="41"/>
  <c r="S252" i="41"/>
  <c r="S253" i="41"/>
  <c r="S254" i="41"/>
  <c r="S255" i="41"/>
  <c r="S256" i="41"/>
  <c r="S257" i="41"/>
  <c r="S258" i="41"/>
  <c r="S260" i="41"/>
  <c r="S263" i="41"/>
  <c r="S264" i="41"/>
  <c r="S265" i="41"/>
  <c r="S266" i="41"/>
  <c r="S267" i="41"/>
  <c r="S268" i="41"/>
  <c r="S269" i="41"/>
  <c r="S270" i="41"/>
  <c r="S271" i="41"/>
  <c r="S272" i="41"/>
  <c r="S273" i="41"/>
  <c r="S274" i="41"/>
  <c r="S275" i="41"/>
  <c r="S276" i="41"/>
  <c r="S277" i="41"/>
  <c r="S278" i="41"/>
  <c r="S279" i="41"/>
  <c r="S280" i="41"/>
  <c r="S281" i="41"/>
  <c r="S282" i="41"/>
  <c r="S283" i="41"/>
  <c r="S284" i="41"/>
  <c r="S285" i="41"/>
  <c r="S286" i="41"/>
  <c r="S287" i="41"/>
  <c r="S288" i="41"/>
  <c r="S289" i="41"/>
  <c r="S290" i="41"/>
  <c r="S291" i="41"/>
  <c r="S292" i="41"/>
  <c r="S293" i="41"/>
  <c r="S295" i="41"/>
  <c r="S296" i="41"/>
  <c r="S297" i="41"/>
  <c r="S298" i="41"/>
  <c r="S299" i="41"/>
  <c r="S300" i="41"/>
  <c r="S301" i="41"/>
  <c r="S303" i="41"/>
  <c r="S304" i="41"/>
  <c r="S305" i="41"/>
  <c r="S306" i="41"/>
  <c r="S307" i="41"/>
  <c r="S308" i="41"/>
  <c r="S309" i="41"/>
  <c r="S310" i="41"/>
  <c r="S311" i="41"/>
  <c r="S312" i="41"/>
  <c r="S313" i="41"/>
  <c r="S314" i="41"/>
  <c r="S315" i="41"/>
  <c r="S316" i="41"/>
  <c r="S317" i="41"/>
  <c r="S318" i="41"/>
  <c r="S320" i="41"/>
  <c r="S321" i="41"/>
  <c r="S322" i="41"/>
  <c r="S323" i="41"/>
  <c r="S325" i="41"/>
  <c r="S326" i="41"/>
  <c r="S327" i="41"/>
  <c r="S328" i="41"/>
  <c r="S330" i="41"/>
  <c r="S331" i="41"/>
  <c r="S332" i="41"/>
  <c r="S333" i="41"/>
  <c r="S334" i="41"/>
  <c r="S335" i="41"/>
  <c r="S336" i="41"/>
  <c r="S338" i="41"/>
  <c r="S339" i="41"/>
  <c r="S340" i="41"/>
  <c r="S341" i="41"/>
  <c r="S342" i="41"/>
  <c r="S343" i="41"/>
  <c r="S344" i="41"/>
  <c r="S345" i="41"/>
  <c r="S346" i="41"/>
  <c r="S347" i="41"/>
  <c r="S348" i="41"/>
  <c r="S349" i="41"/>
  <c r="S350" i="41"/>
  <c r="S353" i="41"/>
  <c r="S354" i="41"/>
  <c r="S355" i="41"/>
  <c r="S356" i="41"/>
  <c r="S357" i="41"/>
  <c r="S358" i="41"/>
  <c r="S360" i="41"/>
  <c r="S361" i="41"/>
  <c r="S362" i="41"/>
  <c r="S363" i="41"/>
  <c r="S365" i="41"/>
  <c r="S366" i="41"/>
  <c r="S368" i="41"/>
  <c r="S369" i="41"/>
  <c r="S370" i="41"/>
  <c r="S371" i="41"/>
  <c r="S372" i="41"/>
  <c r="S373" i="41"/>
  <c r="S374" i="41"/>
  <c r="S375" i="41"/>
  <c r="S378" i="41"/>
  <c r="S379" i="41"/>
  <c r="S380" i="41"/>
  <c r="S382" i="41"/>
  <c r="S383" i="41"/>
  <c r="S384" i="41"/>
  <c r="S385" i="41"/>
  <c r="S386" i="41"/>
  <c r="S387" i="41"/>
  <c r="S388" i="41"/>
  <c r="S389" i="41"/>
  <c r="S390" i="41"/>
  <c r="S391" i="41"/>
  <c r="S392" i="41"/>
  <c r="S393" i="41"/>
  <c r="S394" i="41"/>
  <c r="S395" i="41"/>
  <c r="S397" i="41"/>
  <c r="S398" i="41"/>
  <c r="S399" i="41"/>
  <c r="S400" i="41"/>
  <c r="S401" i="41"/>
  <c r="S402" i="41"/>
  <c r="S403" i="41"/>
  <c r="S404" i="41"/>
  <c r="S405" i="41"/>
  <c r="S406" i="41"/>
  <c r="S408" i="41"/>
  <c r="S409" i="41"/>
  <c r="S410" i="41"/>
  <c r="S411" i="41"/>
  <c r="S414" i="41"/>
  <c r="S415" i="41"/>
  <c r="S416" i="41"/>
  <c r="S417" i="41"/>
  <c r="S418" i="41"/>
  <c r="S419" i="41"/>
  <c r="S421" i="41"/>
  <c r="S422" i="41"/>
  <c r="S424" i="41"/>
  <c r="S425" i="41"/>
  <c r="S426" i="41"/>
  <c r="S428" i="41"/>
  <c r="S430" i="41"/>
  <c r="S431" i="41"/>
  <c r="S432" i="41"/>
  <c r="S433" i="41"/>
  <c r="S434" i="41"/>
  <c r="S435" i="41"/>
  <c r="S436" i="41"/>
  <c r="S437" i="41"/>
  <c r="S439" i="41"/>
  <c r="S440" i="41"/>
  <c r="S441" i="41"/>
  <c r="S442" i="41"/>
  <c r="S443" i="41"/>
  <c r="S444" i="41"/>
  <c r="S445" i="41"/>
  <c r="S446" i="41"/>
  <c r="S447" i="41"/>
  <c r="S448" i="41"/>
  <c r="S449" i="41"/>
  <c r="S450" i="41"/>
  <c r="S451" i="41"/>
  <c r="S452" i="41"/>
  <c r="S453" i="41"/>
  <c r="S454" i="41"/>
  <c r="S455" i="41"/>
  <c r="S456" i="41"/>
  <c r="S457" i="41"/>
  <c r="S458" i="41"/>
  <c r="S459" i="41"/>
  <c r="S460" i="41"/>
  <c r="S461" i="41"/>
  <c r="S462" i="41"/>
  <c r="S463" i="41"/>
  <c r="S464" i="41"/>
  <c r="S465" i="41"/>
  <c r="S466" i="41"/>
  <c r="S467" i="41"/>
  <c r="S468" i="41"/>
  <c r="S469" i="41"/>
  <c r="S471" i="41"/>
  <c r="S472" i="41"/>
  <c r="S473" i="41"/>
  <c r="S474" i="41"/>
  <c r="S475" i="41"/>
  <c r="S476" i="41"/>
  <c r="S477" i="41"/>
  <c r="S478" i="41"/>
  <c r="S479" i="41"/>
  <c r="S480" i="41"/>
  <c r="S481" i="41"/>
  <c r="S482" i="41"/>
  <c r="S483" i="41"/>
  <c r="S484" i="41"/>
  <c r="S485" i="41"/>
  <c r="S486" i="41"/>
  <c r="S487" i="41"/>
  <c r="S488" i="41"/>
  <c r="S489" i="41"/>
  <c r="S490" i="41"/>
  <c r="S491" i="41"/>
  <c r="S493" i="41"/>
  <c r="S494" i="41"/>
  <c r="S495" i="41"/>
  <c r="S496" i="41"/>
  <c r="S497" i="41"/>
  <c r="S498" i="41"/>
  <c r="S499" i="41"/>
  <c r="S500" i="41"/>
  <c r="S501" i="41"/>
  <c r="S502" i="41"/>
  <c r="S503" i="41"/>
  <c r="S504" i="41"/>
  <c r="S505" i="41"/>
  <c r="S506" i="41"/>
  <c r="S507" i="41"/>
  <c r="S508" i="41"/>
  <c r="S509" i="41"/>
  <c r="S510" i="41"/>
  <c r="S511" i="41"/>
  <c r="S512" i="41"/>
  <c r="S513" i="41"/>
  <c r="S514" i="41"/>
  <c r="S515" i="41"/>
  <c r="S516" i="41"/>
  <c r="S517" i="41"/>
  <c r="S518" i="41"/>
  <c r="S519" i="41"/>
  <c r="S520" i="41"/>
  <c r="S521" i="41"/>
  <c r="S522" i="41"/>
  <c r="S523" i="41"/>
  <c r="S524" i="41"/>
  <c r="S526" i="41"/>
  <c r="S527" i="41"/>
  <c r="S528" i="41"/>
  <c r="S529" i="41"/>
  <c r="S531" i="41"/>
  <c r="S532" i="41"/>
  <c r="S534" i="41"/>
  <c r="S535" i="41"/>
  <c r="S536" i="41"/>
  <c r="S537" i="41"/>
  <c r="S538" i="41"/>
  <c r="S539" i="41"/>
  <c r="S540" i="41"/>
  <c r="S541" i="41"/>
  <c r="S543" i="41"/>
  <c r="S544" i="41"/>
  <c r="S545" i="41"/>
  <c r="S546" i="41"/>
  <c r="S547" i="41"/>
  <c r="S548" i="41"/>
  <c r="S549" i="41"/>
  <c r="S552" i="41"/>
  <c r="S553" i="41"/>
  <c r="S554" i="41"/>
  <c r="S555" i="41"/>
  <c r="S556" i="41"/>
  <c r="S557" i="41"/>
  <c r="S558" i="41"/>
  <c r="S559" i="41"/>
  <c r="S560" i="41"/>
  <c r="S561" i="41"/>
  <c r="S562" i="41"/>
  <c r="S563" i="41"/>
  <c r="S564" i="41"/>
  <c r="S565" i="41"/>
  <c r="S566" i="41"/>
  <c r="S567" i="41"/>
  <c r="S568" i="41"/>
  <c r="S570" i="41"/>
  <c r="S571" i="41"/>
  <c r="S572" i="41"/>
  <c r="S573" i="41"/>
  <c r="S574" i="41"/>
  <c r="S575" i="41"/>
  <c r="S577" i="41"/>
  <c r="S578" i="41"/>
  <c r="S579" i="41"/>
  <c r="S580" i="41"/>
  <c r="S581" i="41"/>
  <c r="S582" i="41"/>
  <c r="S583" i="41"/>
  <c r="S584" i="41"/>
  <c r="S585" i="41"/>
  <c r="S586" i="41"/>
  <c r="S587" i="41"/>
  <c r="S588" i="41"/>
  <c r="S589" i="41"/>
  <c r="S590" i="41"/>
  <c r="S592" i="41"/>
  <c r="S593" i="41"/>
  <c r="S594" i="41"/>
  <c r="S595" i="41"/>
  <c r="S596" i="41"/>
  <c r="S597" i="41"/>
  <c r="S598" i="41"/>
  <c r="S599" i="41"/>
  <c r="S600" i="41"/>
  <c r="S602" i="41"/>
  <c r="S603" i="41"/>
  <c r="S604" i="41"/>
  <c r="S605" i="41"/>
  <c r="S606" i="41"/>
  <c r="S607" i="41"/>
  <c r="S608" i="41"/>
  <c r="S609" i="41"/>
  <c r="S610" i="41"/>
  <c r="S611" i="41"/>
  <c r="S612" i="41"/>
  <c r="S613" i="41"/>
  <c r="S614" i="41"/>
  <c r="S615" i="41"/>
  <c r="S616" i="41"/>
  <c r="S617" i="41"/>
  <c r="S618" i="41"/>
  <c r="S619" i="41"/>
  <c r="S622" i="41"/>
  <c r="S623" i="41"/>
  <c r="S625" i="41"/>
  <c r="S626" i="41"/>
  <c r="S627" i="41"/>
  <c r="S628" i="41"/>
  <c r="S629" i="41"/>
  <c r="S630" i="41"/>
  <c r="S631" i="41"/>
  <c r="S632" i="41"/>
  <c r="S633" i="41"/>
  <c r="S634" i="41"/>
  <c r="S636" i="41"/>
  <c r="S637" i="41"/>
  <c r="S638" i="41"/>
  <c r="S639" i="41"/>
  <c r="S640" i="41"/>
  <c r="S642" i="41"/>
  <c r="S643" i="41"/>
  <c r="S644" i="41"/>
  <c r="S645" i="41"/>
  <c r="S646" i="41"/>
  <c r="S647" i="41"/>
  <c r="S648" i="41"/>
  <c r="S649" i="41"/>
  <c r="S650" i="41"/>
  <c r="S651" i="41"/>
  <c r="S652" i="41"/>
  <c r="S653" i="41"/>
  <c r="S655" i="41"/>
  <c r="S656" i="41"/>
  <c r="S657" i="41"/>
  <c r="S658" i="41"/>
  <c r="S659" i="41"/>
  <c r="S660" i="41"/>
  <c r="S661" i="41"/>
  <c r="S662" i="41"/>
  <c r="S663" i="41"/>
  <c r="S664" i="41"/>
  <c r="S665" i="41"/>
  <c r="S666" i="41"/>
  <c r="S667" i="41"/>
  <c r="S668" i="41"/>
  <c r="S669" i="41"/>
  <c r="S670" i="41"/>
  <c r="S671" i="41"/>
  <c r="S673" i="41"/>
  <c r="S674" i="41"/>
  <c r="S675" i="41"/>
  <c r="S676" i="41"/>
  <c r="S677" i="41"/>
  <c r="S678" i="41"/>
  <c r="S679" i="41"/>
  <c r="S680" i="41"/>
  <c r="S682" i="41"/>
  <c r="S683" i="41"/>
  <c r="S684" i="41"/>
  <c r="S685" i="41"/>
  <c r="S686" i="41"/>
  <c r="S688" i="41"/>
  <c r="S689" i="41"/>
  <c r="S692" i="41"/>
  <c r="S694" i="41"/>
  <c r="S695" i="41"/>
  <c r="S696" i="41"/>
  <c r="S697" i="41"/>
  <c r="S698" i="41"/>
  <c r="S699" i="41"/>
  <c r="S700" i="41"/>
  <c r="S701" i="41"/>
  <c r="S702" i="41"/>
  <c r="S703" i="41"/>
  <c r="S704" i="41"/>
  <c r="S705" i="41"/>
  <c r="S706" i="41"/>
  <c r="S707" i="41"/>
  <c r="S708" i="41"/>
  <c r="S709" i="41"/>
  <c r="S710" i="41"/>
  <c r="S712" i="41"/>
  <c r="S713" i="41"/>
  <c r="S715" i="41"/>
  <c r="S716" i="41"/>
  <c r="S717" i="41"/>
  <c r="S718" i="41"/>
  <c r="S719" i="41"/>
  <c r="S720" i="41"/>
  <c r="S721" i="41"/>
  <c r="S722" i="41"/>
  <c r="S723" i="41"/>
  <c r="S724" i="41"/>
  <c r="S725" i="41"/>
  <c r="S726" i="41"/>
  <c r="S727" i="41"/>
  <c r="S728" i="41"/>
  <c r="S730" i="41"/>
  <c r="S731" i="41"/>
  <c r="S732" i="41"/>
  <c r="S733" i="41"/>
  <c r="S734" i="41"/>
  <c r="S736" i="41"/>
  <c r="S737" i="41"/>
  <c r="S738" i="41"/>
  <c r="S739" i="41"/>
  <c r="S741" i="41"/>
  <c r="S742" i="41"/>
  <c r="S743" i="41"/>
  <c r="S744" i="41"/>
  <c r="S745" i="41"/>
  <c r="S746" i="41"/>
  <c r="S747" i="41"/>
  <c r="S748" i="41"/>
  <c r="S749" i="41"/>
  <c r="S750" i="41"/>
  <c r="S752" i="41"/>
  <c r="S753" i="41"/>
  <c r="S754" i="41"/>
  <c r="S756" i="41"/>
  <c r="S757" i="41"/>
  <c r="S758" i="41"/>
  <c r="S759" i="41"/>
  <c r="S760" i="41"/>
  <c r="S761" i="41"/>
  <c r="S762" i="41"/>
  <c r="S763" i="41"/>
  <c r="S764" i="41"/>
  <c r="S765" i="41"/>
  <c r="S766" i="41"/>
  <c r="S767" i="41"/>
  <c r="S768" i="41"/>
  <c r="S769" i="41"/>
  <c r="S770" i="41"/>
  <c r="S771" i="41"/>
  <c r="S772" i="41"/>
  <c r="S773" i="41"/>
  <c r="S774" i="41"/>
  <c r="S775" i="41"/>
  <c r="S776" i="41"/>
  <c r="S777" i="41"/>
  <c r="S778" i="41"/>
  <c r="S779" i="41"/>
  <c r="S780" i="41"/>
  <c r="S781" i="41"/>
  <c r="S782" i="41"/>
  <c r="S783" i="41"/>
  <c r="S784" i="41"/>
  <c r="S785" i="41"/>
  <c r="S786" i="41"/>
  <c r="S788" i="41"/>
  <c r="S789" i="41"/>
  <c r="S790" i="41"/>
  <c r="S791" i="41"/>
  <c r="S792" i="41"/>
  <c r="S793" i="41"/>
  <c r="S794" i="41"/>
  <c r="S795" i="41"/>
  <c r="S796" i="41"/>
  <c r="S797" i="41"/>
  <c r="S798" i="41"/>
  <c r="S799" i="41"/>
  <c r="S800" i="41"/>
  <c r="S801" i="41"/>
  <c r="S802" i="41"/>
  <c r="S804" i="41"/>
  <c r="S805" i="41"/>
  <c r="S806" i="41"/>
  <c r="S807" i="41"/>
  <c r="S808" i="41"/>
  <c r="S809" i="41"/>
  <c r="S810" i="41"/>
  <c r="S811" i="41"/>
  <c r="S812" i="41"/>
  <c r="S813" i="41"/>
  <c r="S814" i="41"/>
  <c r="S815" i="41"/>
  <c r="S816" i="41"/>
  <c r="S817" i="41"/>
  <c r="S818" i="41"/>
  <c r="S819" i="41"/>
  <c r="S820" i="41"/>
  <c r="S821" i="41"/>
  <c r="S822" i="41"/>
  <c r="S823" i="41"/>
  <c r="S824" i="41"/>
  <c r="S825" i="41"/>
  <c r="S826" i="41"/>
  <c r="S827" i="41"/>
  <c r="S828" i="41"/>
  <c r="S829" i="41"/>
  <c r="S830" i="41"/>
  <c r="S831" i="41"/>
  <c r="S832" i="41"/>
  <c r="S833" i="41"/>
  <c r="S834" i="41"/>
  <c r="S835" i="41"/>
  <c r="S836" i="41"/>
  <c r="S837" i="41"/>
  <c r="S838" i="41"/>
  <c r="S839" i="41"/>
  <c r="S841" i="41"/>
  <c r="S842" i="41"/>
  <c r="S843" i="41"/>
  <c r="S844" i="41"/>
  <c r="S845" i="41"/>
  <c r="S846" i="41"/>
  <c r="S847" i="41"/>
  <c r="S849" i="41"/>
  <c r="S850" i="41"/>
  <c r="S851" i="41"/>
  <c r="S852" i="41"/>
  <c r="S853" i="41"/>
  <c r="S854" i="41"/>
  <c r="S855" i="41"/>
  <c r="S856" i="41"/>
  <c r="S857" i="41"/>
  <c r="S858" i="41"/>
  <c r="S859" i="41"/>
  <c r="S860" i="41"/>
  <c r="S861" i="41"/>
  <c r="S862" i="41"/>
  <c r="S863" i="41"/>
  <c r="S864" i="41"/>
  <c r="S865" i="41"/>
  <c r="S866" i="41"/>
  <c r="S867" i="41"/>
  <c r="S868" i="41"/>
  <c r="S869" i="41"/>
  <c r="S870" i="41"/>
  <c r="S871" i="41"/>
  <c r="S872" i="41"/>
  <c r="S873" i="41"/>
  <c r="S874" i="41"/>
  <c r="S875" i="41"/>
  <c r="S876" i="41"/>
  <c r="S877" i="41"/>
  <c r="S878" i="41"/>
  <c r="S879" i="41"/>
  <c r="S881" i="41"/>
  <c r="S882" i="41"/>
  <c r="S884" i="41"/>
  <c r="S885" i="41"/>
  <c r="S886" i="41"/>
  <c r="S887" i="41"/>
  <c r="S888" i="41"/>
  <c r="S889" i="41"/>
  <c r="S890" i="41"/>
  <c r="S891" i="41"/>
  <c r="S892" i="41"/>
  <c r="S893" i="41"/>
  <c r="S894" i="41"/>
  <c r="S895" i="41"/>
  <c r="S896" i="41"/>
  <c r="S897" i="41"/>
  <c r="S898" i="41"/>
  <c r="S899" i="41"/>
  <c r="S900" i="41"/>
  <c r="S901" i="41"/>
  <c r="S902" i="41"/>
  <c r="S903" i="41"/>
  <c r="S904" i="41"/>
  <c r="S905" i="41"/>
  <c r="S906" i="41"/>
  <c r="S908" i="41"/>
  <c r="S909" i="41"/>
  <c r="S910" i="41"/>
  <c r="S911" i="41"/>
  <c r="S912" i="41"/>
  <c r="S914" i="41"/>
  <c r="S915" i="41"/>
  <c r="S916" i="41"/>
  <c r="S917" i="41"/>
  <c r="S918" i="41"/>
  <c r="S919" i="41"/>
  <c r="S920" i="41"/>
  <c r="S921" i="41"/>
  <c r="S922" i="41"/>
  <c r="S923" i="41"/>
  <c r="S924" i="41"/>
  <c r="S926" i="41"/>
  <c r="S927" i="41"/>
  <c r="S928" i="41"/>
  <c r="S929" i="41"/>
  <c r="S930" i="41"/>
  <c r="S931" i="41"/>
  <c r="S932" i="41"/>
  <c r="S933" i="41"/>
  <c r="S935" i="41"/>
  <c r="S936" i="41"/>
  <c r="S937" i="41"/>
  <c r="S938" i="41"/>
  <c r="S939" i="41"/>
  <c r="S940" i="41"/>
  <c r="S941" i="41"/>
  <c r="S942" i="41"/>
  <c r="S944" i="41"/>
  <c r="S945" i="41"/>
  <c r="S946" i="41"/>
  <c r="S947" i="41"/>
  <c r="S948" i="41"/>
  <c r="S950" i="41"/>
  <c r="S951" i="41"/>
  <c r="S952" i="41"/>
  <c r="S953" i="41"/>
  <c r="S954" i="41"/>
  <c r="S955" i="41"/>
  <c r="S956" i="41"/>
  <c r="S957" i="41"/>
  <c r="S958" i="41"/>
  <c r="S959" i="41"/>
  <c r="S961" i="41"/>
  <c r="S962" i="41"/>
  <c r="S963" i="41"/>
  <c r="S964" i="41"/>
  <c r="S965" i="41"/>
  <c r="S966" i="41"/>
  <c r="S967" i="41"/>
  <c r="S968" i="41"/>
  <c r="S969" i="41"/>
  <c r="S970" i="41"/>
  <c r="S971" i="41"/>
  <c r="S972" i="41"/>
  <c r="S973" i="41"/>
  <c r="S974" i="41"/>
  <c r="S975" i="41"/>
  <c r="S976" i="41"/>
  <c r="S977" i="41"/>
  <c r="S978" i="41"/>
  <c r="S979" i="41"/>
  <c r="S980" i="41"/>
  <c r="S981" i="41"/>
  <c r="S982" i="41"/>
  <c r="S983" i="41"/>
  <c r="S984" i="41"/>
  <c r="S985" i="41"/>
  <c r="S986" i="41"/>
  <c r="S987" i="41"/>
  <c r="S988" i="41"/>
  <c r="S989" i="41"/>
  <c r="S990" i="41"/>
  <c r="S991" i="41"/>
  <c r="S992" i="41"/>
  <c r="S993" i="41"/>
  <c r="S996" i="41"/>
  <c r="S997" i="41"/>
  <c r="S998" i="41"/>
  <c r="S999" i="41"/>
  <c r="S1000" i="41"/>
  <c r="S1001" i="41"/>
  <c r="S1002" i="41"/>
  <c r="S1003" i="41"/>
  <c r="S1004" i="41"/>
  <c r="S1006" i="41"/>
  <c r="S1007" i="41"/>
  <c r="S1008" i="41"/>
  <c r="S1009" i="41"/>
  <c r="S1010" i="41"/>
  <c r="S1011" i="41"/>
  <c r="S1012" i="41"/>
  <c r="S1013" i="41"/>
  <c r="S1014" i="41"/>
  <c r="S1015" i="41"/>
  <c r="S1016" i="41"/>
  <c r="S1017" i="41"/>
  <c r="S1018" i="41"/>
  <c r="S1019" i="41"/>
  <c r="S1020" i="41"/>
  <c r="S1021" i="41"/>
  <c r="S1022" i="41"/>
  <c r="S1023" i="41"/>
  <c r="S1024" i="41"/>
  <c r="S1025" i="41"/>
  <c r="S1026" i="41"/>
  <c r="S1027" i="41"/>
  <c r="S1028" i="41"/>
  <c r="S1029" i="41"/>
  <c r="S1031" i="41"/>
  <c r="S1032" i="41"/>
  <c r="S1033" i="41"/>
  <c r="S1034" i="41"/>
  <c r="S1035" i="41"/>
  <c r="S1036" i="41"/>
  <c r="S1037" i="41"/>
  <c r="S1038" i="41"/>
  <c r="S1039" i="41"/>
  <c r="S1040" i="41"/>
  <c r="S1041" i="41"/>
  <c r="S1042" i="41"/>
  <c r="S1043" i="41"/>
  <c r="S1044" i="41"/>
  <c r="S1045" i="41"/>
  <c r="S1046" i="41"/>
  <c r="S1047" i="41"/>
  <c r="S1048" i="41"/>
  <c r="S1049" i="41"/>
  <c r="S1050" i="41"/>
  <c r="S1051" i="41"/>
  <c r="S1052" i="41"/>
  <c r="S1053" i="41"/>
  <c r="S1055" i="41"/>
  <c r="S1056" i="41"/>
  <c r="S1057" i="41"/>
  <c r="S1058" i="41"/>
  <c r="S1059" i="41"/>
  <c r="S1060" i="41"/>
  <c r="S1061" i="41"/>
  <c r="S1062" i="41"/>
  <c r="S1063" i="41"/>
  <c r="S1064" i="41"/>
  <c r="S1065" i="41"/>
  <c r="S1066" i="41"/>
  <c r="S1067" i="41"/>
  <c r="S1068" i="41"/>
  <c r="S1069" i="41"/>
  <c r="S1070" i="41"/>
  <c r="S1071" i="41"/>
  <c r="S1072" i="41"/>
  <c r="S1073" i="41"/>
  <c r="S1074" i="41"/>
  <c r="S1075" i="41"/>
  <c r="S1076" i="41"/>
  <c r="S1077" i="41"/>
  <c r="S1078" i="41"/>
  <c r="S1079" i="41"/>
  <c r="S1080" i="41"/>
  <c r="S1081" i="41"/>
  <c r="S1082" i="41"/>
  <c r="S1083" i="41"/>
  <c r="S1084" i="41"/>
  <c r="S1085" i="41"/>
  <c r="S1086" i="41"/>
  <c r="S1087" i="41"/>
  <c r="S1088" i="41"/>
  <c r="S1089" i="41"/>
  <c r="S1090" i="41"/>
  <c r="S1092" i="41"/>
  <c r="S1093" i="41"/>
  <c r="S1094" i="41"/>
  <c r="S1095" i="41"/>
  <c r="S1097" i="41"/>
  <c r="S1098" i="41"/>
  <c r="S1099" i="41"/>
  <c r="S1100" i="41"/>
  <c r="S1101" i="41"/>
  <c r="S1102" i="41"/>
  <c r="S1103" i="41"/>
  <c r="S1104" i="41"/>
  <c r="S1105" i="41"/>
  <c r="S1106" i="41"/>
  <c r="S1107" i="41"/>
  <c r="S1108" i="41"/>
  <c r="S1109" i="41"/>
  <c r="S1110" i="41"/>
  <c r="S1111" i="41"/>
  <c r="S1112" i="41"/>
  <c r="S1113" i="41"/>
  <c r="S1114" i="41"/>
  <c r="S1115" i="41"/>
  <c r="S1116" i="41"/>
  <c r="S1117" i="41"/>
  <c r="S1119" i="41"/>
  <c r="S1120" i="41"/>
  <c r="S1121" i="41"/>
  <c r="S1122" i="41"/>
  <c r="S1123" i="41"/>
  <c r="S1124" i="41"/>
  <c r="S1125" i="41"/>
  <c r="S1126" i="41"/>
  <c r="S1127" i="41"/>
  <c r="S1128" i="41"/>
  <c r="S1129" i="41"/>
  <c r="S1131" i="41"/>
  <c r="S1132" i="41"/>
  <c r="S1133" i="41"/>
  <c r="S1134" i="41"/>
  <c r="S1135" i="41"/>
  <c r="S1136" i="41"/>
  <c r="S1137" i="41"/>
  <c r="S1138" i="41"/>
  <c r="S1139" i="41"/>
  <c r="S1140" i="41"/>
  <c r="S1141" i="41"/>
  <c r="S1142" i="41"/>
  <c r="S1143" i="41"/>
  <c r="S1144" i="41"/>
  <c r="S1145" i="41"/>
  <c r="S1146" i="41"/>
  <c r="S1147" i="41"/>
  <c r="S1148" i="41"/>
  <c r="S1149" i="41"/>
  <c r="S1151" i="41"/>
  <c r="S1152" i="41"/>
  <c r="S1153" i="41"/>
  <c r="S1154" i="41"/>
  <c r="S1155" i="41"/>
  <c r="S1156" i="41"/>
  <c r="S1157" i="41"/>
  <c r="S1159" i="41"/>
  <c r="S1160" i="41"/>
  <c r="S1161" i="41"/>
  <c r="S1162" i="41"/>
  <c r="S1163" i="41"/>
  <c r="S1164" i="41"/>
  <c r="S1166" i="41"/>
  <c r="S1167" i="41"/>
  <c r="S1168" i="41"/>
  <c r="S1169" i="41"/>
  <c r="S1170" i="41"/>
  <c r="S1171" i="41"/>
  <c r="S1172" i="41"/>
  <c r="S1173" i="41"/>
  <c r="S1174" i="41"/>
  <c r="S1175" i="41"/>
  <c r="S1177" i="41"/>
  <c r="S1178" i="41"/>
  <c r="S1179" i="41"/>
  <c r="S1180" i="41"/>
  <c r="S1181" i="41"/>
  <c r="S1182" i="41"/>
  <c r="S1183" i="41"/>
  <c r="S1184" i="41"/>
  <c r="S1185" i="41"/>
  <c r="S1186" i="41"/>
  <c r="S1187" i="41"/>
  <c r="S1188" i="41"/>
  <c r="S1190" i="41"/>
  <c r="S1191" i="41"/>
  <c r="S1192" i="41"/>
  <c r="S1193" i="41"/>
  <c r="S1194" i="41"/>
  <c r="S1195" i="41"/>
  <c r="S1196" i="41"/>
  <c r="S1197" i="41"/>
  <c r="S1198" i="41"/>
  <c r="S1199" i="41"/>
  <c r="S1200" i="41"/>
  <c r="S1201" i="41"/>
  <c r="S1202" i="41"/>
  <c r="S1203" i="41"/>
  <c r="S1204" i="41"/>
  <c r="S1205" i="41"/>
  <c r="S1207" i="41"/>
  <c r="S1208" i="41"/>
  <c r="S1209" i="41"/>
  <c r="S1210" i="41"/>
  <c r="S1211" i="41"/>
  <c r="S1212" i="41"/>
  <c r="S1213" i="41"/>
  <c r="S1214" i="41"/>
  <c r="S1215" i="41"/>
  <c r="S1216" i="41"/>
  <c r="S1217" i="41"/>
  <c r="S1218" i="41"/>
  <c r="S1219" i="41"/>
  <c r="S1220" i="41"/>
  <c r="S1221" i="41"/>
  <c r="S1222" i="41"/>
  <c r="S1223" i="41"/>
  <c r="S1224" i="41"/>
  <c r="S1225" i="41"/>
  <c r="S1226" i="41"/>
  <c r="S1227" i="41"/>
  <c r="S1228" i="41"/>
  <c r="S1229" i="41"/>
  <c r="S1230" i="41"/>
  <c r="S1231" i="41"/>
  <c r="S1232" i="41"/>
  <c r="S1233" i="41"/>
  <c r="S1234" i="41"/>
  <c r="S1235" i="41"/>
  <c r="S1236" i="41"/>
  <c r="S1237" i="41"/>
  <c r="S1238" i="41"/>
  <c r="S1239" i="41"/>
  <c r="S1240" i="41"/>
  <c r="S1241" i="41"/>
  <c r="S1242" i="41"/>
  <c r="S1243" i="41"/>
  <c r="S1244" i="41"/>
  <c r="S1245" i="41"/>
  <c r="S1246" i="41"/>
  <c r="S1247" i="41"/>
  <c r="S1248" i="41"/>
  <c r="S1249" i="41"/>
  <c r="S1250" i="41"/>
  <c r="S1251" i="41"/>
  <c r="S1252" i="41"/>
  <c r="S1253" i="41"/>
  <c r="S1254" i="41"/>
  <c r="S1255" i="41"/>
  <c r="S1256" i="41"/>
  <c r="S1257" i="41"/>
  <c r="S1258" i="41"/>
  <c r="S1259" i="41"/>
  <c r="S1260" i="41"/>
  <c r="S1261" i="41"/>
  <c r="S1262" i="41"/>
  <c r="S1264" i="41"/>
  <c r="S1265" i="41"/>
  <c r="S1266" i="41"/>
  <c r="S1267" i="41"/>
  <c r="S1268" i="41"/>
  <c r="S1269" i="41"/>
  <c r="S1270" i="41"/>
  <c r="S1271" i="41"/>
  <c r="S1272" i="41"/>
  <c r="S1273" i="41"/>
  <c r="S1274" i="41"/>
  <c r="S1275" i="41"/>
  <c r="S1276" i="41"/>
  <c r="S1277" i="41"/>
  <c r="S1278" i="41"/>
  <c r="S1279" i="41"/>
  <c r="S1280" i="41"/>
  <c r="S1281" i="41"/>
  <c r="S1282" i="41"/>
  <c r="S1283" i="41"/>
  <c r="S1284" i="41"/>
  <c r="S1285" i="41"/>
  <c r="S1286" i="41"/>
  <c r="S1287" i="41"/>
  <c r="S1288" i="41"/>
  <c r="S1289" i="41"/>
  <c r="S1290" i="41"/>
  <c r="S1291" i="41"/>
  <c r="S1292" i="41"/>
  <c r="S1293" i="41"/>
  <c r="S1294" i="41"/>
  <c r="S1295" i="41"/>
  <c r="S1296" i="41"/>
  <c r="S1297" i="41"/>
  <c r="S1298" i="41"/>
  <c r="S1299" i="41"/>
  <c r="S1300" i="41"/>
  <c r="S1301" i="41"/>
  <c r="S1302" i="41"/>
  <c r="S1304" i="41"/>
  <c r="S1305" i="41"/>
  <c r="S1307" i="41"/>
  <c r="S1308" i="41"/>
  <c r="S1309" i="41"/>
  <c r="S1310" i="41"/>
  <c r="S1311" i="41"/>
  <c r="S1312" i="41"/>
  <c r="S1313" i="41"/>
  <c r="S1314" i="41"/>
  <c r="S1316" i="41"/>
  <c r="S1317" i="41"/>
  <c r="S1318" i="41"/>
  <c r="S1319" i="41"/>
  <c r="S1320" i="41"/>
  <c r="S1321" i="41"/>
  <c r="S1322" i="41"/>
  <c r="S1323" i="41"/>
  <c r="S1324" i="41"/>
  <c r="S1325" i="41"/>
  <c r="S1327" i="41"/>
  <c r="S1328" i="41"/>
  <c r="S1329" i="41"/>
  <c r="S1330" i="41"/>
  <c r="S1331" i="41"/>
  <c r="S1332" i="41"/>
  <c r="S1333" i="41"/>
  <c r="S1334" i="41"/>
  <c r="S1335" i="41"/>
  <c r="S1336" i="41"/>
  <c r="S1337" i="41"/>
  <c r="S1338" i="41"/>
  <c r="S1339" i="41"/>
  <c r="S1340" i="41"/>
  <c r="S1341" i="41"/>
  <c r="S1342" i="41"/>
  <c r="S1343" i="41"/>
  <c r="S1344" i="41"/>
  <c r="S1346" i="41"/>
  <c r="S1347" i="41"/>
  <c r="S1348" i="41"/>
  <c r="S1349" i="41"/>
  <c r="S1350" i="41"/>
  <c r="S1351" i="41"/>
  <c r="S1352" i="41"/>
  <c r="S1353" i="41"/>
  <c r="S1354" i="41"/>
  <c r="S1355" i="41"/>
  <c r="S1356" i="41"/>
  <c r="S1357" i="41"/>
  <c r="S1358" i="41"/>
  <c r="S1359" i="41"/>
  <c r="S1360" i="41"/>
  <c r="S1361" i="41"/>
  <c r="S1362" i="41"/>
  <c r="S1363" i="41"/>
  <c r="S1364" i="41"/>
  <c r="S1365" i="41"/>
  <c r="S1366" i="41"/>
  <c r="S1367" i="41"/>
  <c r="S1368" i="41"/>
  <c r="S1369" i="41"/>
  <c r="S1370" i="41"/>
  <c r="S1371" i="41"/>
  <c r="S1372" i="41"/>
  <c r="S1373" i="41"/>
  <c r="S1374" i="41"/>
  <c r="S1375" i="41"/>
  <c r="S1376" i="41"/>
  <c r="S1377" i="41"/>
  <c r="S1378" i="41"/>
  <c r="S1379" i="41"/>
  <c r="S1380" i="41"/>
  <c r="S1381" i="41"/>
  <c r="S1382" i="41"/>
  <c r="S1383" i="41"/>
  <c r="S1384" i="41"/>
  <c r="S1385" i="41"/>
  <c r="S1386" i="41"/>
  <c r="S1387" i="41"/>
  <c r="S1388" i="41"/>
  <c r="S1389" i="41"/>
  <c r="S1390" i="41"/>
  <c r="S1391" i="41"/>
  <c r="S1392" i="41"/>
  <c r="S1393" i="41"/>
  <c r="S1394" i="41"/>
  <c r="S1395" i="41"/>
  <c r="S1396" i="41"/>
  <c r="S1397" i="41"/>
  <c r="S1398" i="41"/>
  <c r="S1399" i="41"/>
  <c r="S1400" i="41"/>
  <c r="S1401" i="41"/>
  <c r="S1402" i="41"/>
  <c r="S1403" i="41"/>
  <c r="S1404" i="41"/>
  <c r="S1405" i="41"/>
  <c r="S1406" i="41"/>
  <c r="S1407" i="41"/>
  <c r="S1408" i="41"/>
  <c r="S1409" i="41"/>
  <c r="S1410" i="41"/>
  <c r="S1411" i="41"/>
  <c r="S1412" i="41"/>
  <c r="S1413" i="41"/>
  <c r="S1415" i="41"/>
  <c r="S1417" i="41"/>
  <c r="S1418" i="41"/>
  <c r="S1419" i="41"/>
  <c r="S1420" i="41"/>
  <c r="S1421" i="41"/>
  <c r="S1422" i="41"/>
  <c r="S1423" i="41"/>
  <c r="S1424" i="41"/>
  <c r="S1425" i="41"/>
  <c r="S1426" i="41"/>
  <c r="S1427" i="41"/>
  <c r="S1428" i="41"/>
  <c r="S1429" i="41"/>
  <c r="S1430" i="41"/>
  <c r="S1431" i="41"/>
  <c r="S1432" i="41"/>
  <c r="S1433" i="41"/>
  <c r="S1435" i="41"/>
  <c r="S1436" i="41"/>
  <c r="S1437" i="41"/>
  <c r="S1438" i="41"/>
  <c r="S1439" i="41"/>
  <c r="S1440" i="41"/>
  <c r="S1441" i="41"/>
  <c r="S1442" i="41"/>
  <c r="S1443" i="41"/>
  <c r="S1445" i="41"/>
  <c r="S1446" i="41"/>
  <c r="S1447" i="41"/>
  <c r="S1448" i="41"/>
  <c r="S1449" i="41"/>
  <c r="S1450" i="41"/>
  <c r="S1451" i="41"/>
  <c r="S1452" i="41"/>
  <c r="S1453" i="41"/>
  <c r="S1454" i="41"/>
  <c r="S1455" i="41"/>
  <c r="S1456" i="41"/>
  <c r="S1457" i="41"/>
  <c r="S1458" i="41"/>
  <c r="S1459" i="41"/>
  <c r="S1460" i="41"/>
  <c r="S1461" i="41"/>
  <c r="S1462" i="41"/>
  <c r="S1463" i="41"/>
  <c r="S1464" i="41"/>
  <c r="S1465" i="41"/>
  <c r="S1466" i="41"/>
  <c r="S1467" i="41"/>
  <c r="S1468" i="41"/>
  <c r="S1469" i="41"/>
  <c r="S1470" i="41"/>
  <c r="S1471" i="41"/>
  <c r="S1472" i="41"/>
  <c r="S1473" i="41"/>
  <c r="S1474" i="41"/>
  <c r="S1475" i="41"/>
  <c r="S1476" i="41"/>
  <c r="S1477" i="41"/>
  <c r="S1478" i="41"/>
  <c r="S1479" i="41"/>
  <c r="S1480" i="41"/>
  <c r="S1481" i="41"/>
  <c r="S1482" i="41"/>
  <c r="S1483" i="41"/>
  <c r="S1484" i="41"/>
  <c r="S1485" i="41"/>
  <c r="S1486" i="41"/>
  <c r="S1487" i="41"/>
  <c r="S1488" i="41"/>
  <c r="S1489" i="41"/>
  <c r="S1490" i="41"/>
  <c r="S1491" i="41"/>
  <c r="S1492" i="41"/>
  <c r="S1493" i="41"/>
  <c r="S1494" i="41"/>
  <c r="S1495" i="41"/>
  <c r="S1497" i="41"/>
  <c r="S1498" i="41"/>
  <c r="S1499" i="41"/>
  <c r="S1500" i="41"/>
  <c r="S1501" i="41"/>
  <c r="S1502" i="41"/>
  <c r="S1503" i="41"/>
  <c r="S1504" i="41"/>
  <c r="S1505" i="41"/>
  <c r="S1506" i="41"/>
  <c r="S1507" i="41"/>
  <c r="S1508" i="41"/>
  <c r="S1509" i="41"/>
  <c r="S1510" i="41"/>
  <c r="S1511" i="41"/>
  <c r="S1512" i="41"/>
  <c r="S1513" i="41"/>
  <c r="S1514" i="41"/>
  <c r="S1515" i="41"/>
  <c r="S1516" i="41"/>
  <c r="S1517" i="41"/>
  <c r="S1518" i="41"/>
  <c r="S1519" i="41"/>
  <c r="S1520" i="41"/>
  <c r="S1521" i="41"/>
  <c r="S1522" i="41"/>
  <c r="S1523" i="41"/>
  <c r="S1524" i="41"/>
  <c r="S1525" i="41"/>
  <c r="S1526" i="41"/>
  <c r="S1527" i="41"/>
  <c r="S1528" i="41"/>
  <c r="S1529" i="41"/>
  <c r="S1530" i="41"/>
  <c r="S1531" i="41"/>
  <c r="S1532" i="41"/>
  <c r="S1533" i="41"/>
  <c r="S1534" i="41"/>
  <c r="S1535" i="41"/>
  <c r="S1536" i="41"/>
  <c r="S1537" i="41"/>
  <c r="S1538" i="41"/>
  <c r="S1540" i="41"/>
  <c r="S1541" i="41"/>
  <c r="S1542" i="41"/>
  <c r="S1543" i="41"/>
  <c r="S1544" i="41"/>
  <c r="S1545" i="41"/>
  <c r="S1546" i="41"/>
  <c r="S1547" i="41"/>
  <c r="S1548" i="41"/>
  <c r="S1549" i="41"/>
  <c r="S1550" i="41"/>
  <c r="S1551" i="41"/>
  <c r="S1552" i="41"/>
  <c r="S1553" i="41"/>
  <c r="S1554" i="41"/>
  <c r="S1555" i="41"/>
  <c r="S1556" i="41"/>
  <c r="S1557" i="41"/>
  <c r="S1559" i="41"/>
  <c r="S1560" i="41"/>
  <c r="S1561" i="41"/>
  <c r="S1563" i="41"/>
  <c r="S1564" i="41"/>
  <c r="S1565" i="41"/>
  <c r="S1566" i="41"/>
  <c r="S1567" i="41"/>
  <c r="S1568" i="41"/>
  <c r="S1569" i="41"/>
  <c r="S1570" i="41"/>
  <c r="S1571" i="41"/>
  <c r="S1572" i="41"/>
  <c r="S1573" i="41"/>
  <c r="S1574" i="41"/>
  <c r="S1575" i="41"/>
  <c r="S1576" i="41"/>
  <c r="S1577" i="41"/>
  <c r="S1578" i="41"/>
  <c r="S1579" i="41"/>
  <c r="S1580" i="41"/>
  <c r="S1581" i="41"/>
  <c r="S1582" i="41"/>
  <c r="S1583" i="41"/>
  <c r="S1584" i="41"/>
  <c r="S1585" i="41"/>
  <c r="S1586" i="41"/>
  <c r="S1587" i="41"/>
  <c r="S1588" i="41"/>
  <c r="S1589" i="41"/>
  <c r="S1590" i="41"/>
  <c r="S1591" i="41"/>
  <c r="S1592" i="41"/>
  <c r="S1593" i="41"/>
  <c r="S1594" i="41"/>
  <c r="S1595" i="41"/>
  <c r="S1596" i="41"/>
  <c r="S1597" i="41"/>
  <c r="S1598" i="41"/>
  <c r="S1599" i="41"/>
  <c r="S1600" i="41"/>
  <c r="S1601" i="41"/>
  <c r="S1602" i="41"/>
  <c r="S1603" i="41"/>
  <c r="S1604" i="41"/>
  <c r="S1605" i="41"/>
  <c r="S1606" i="41"/>
  <c r="S1607" i="41"/>
  <c r="S1608" i="41"/>
  <c r="S1610" i="41"/>
  <c r="S1611" i="41"/>
  <c r="S1612" i="41"/>
  <c r="S1613" i="41"/>
  <c r="S1614" i="41"/>
  <c r="S1615" i="41"/>
  <c r="S1616" i="41"/>
  <c r="S1617" i="41"/>
  <c r="S1618" i="41"/>
  <c r="S1619" i="41"/>
  <c r="S1620" i="41"/>
  <c r="S1621" i="41"/>
  <c r="S1622" i="41"/>
  <c r="S1623" i="41"/>
  <c r="S1624" i="41"/>
  <c r="S1625" i="41"/>
  <c r="S1626" i="41"/>
  <c r="S1627" i="41"/>
  <c r="S1628" i="41"/>
  <c r="S1629" i="41"/>
  <c r="S1630" i="41"/>
  <c r="S1631" i="41"/>
  <c r="S1632" i="41"/>
  <c r="S1634" i="41"/>
  <c r="S1635" i="41"/>
  <c r="S1636" i="41"/>
  <c r="S1638" i="41"/>
  <c r="S1640" i="41"/>
  <c r="S1641" i="41"/>
  <c r="S1642" i="41"/>
  <c r="S1643" i="41"/>
  <c r="S1644" i="41"/>
  <c r="S1645" i="41"/>
  <c r="S1646" i="41"/>
  <c r="S1647" i="41"/>
  <c r="S1648" i="41"/>
  <c r="S1649" i="41"/>
  <c r="S1650" i="41"/>
  <c r="S1651" i="41"/>
  <c r="S1652" i="41"/>
  <c r="S1653" i="41"/>
  <c r="S1654" i="41"/>
  <c r="S1655" i="41"/>
  <c r="S1656" i="41"/>
  <c r="S1657" i="41"/>
  <c r="S1658" i="41"/>
  <c r="S1659" i="41"/>
  <c r="S1660" i="41"/>
  <c r="S1661" i="41"/>
  <c r="S1662" i="41"/>
  <c r="S1663" i="41"/>
  <c r="S1664" i="41"/>
  <c r="S1665" i="41"/>
  <c r="S1666" i="41"/>
  <c r="S1667" i="41"/>
  <c r="S1668" i="41"/>
  <c r="S1669" i="41"/>
  <c r="S1670" i="41"/>
  <c r="S1671" i="41"/>
  <c r="S1672" i="41"/>
  <c r="S1673" i="41"/>
  <c r="S1674" i="41"/>
  <c r="S1675" i="41"/>
  <c r="S1676" i="41"/>
  <c r="S1677" i="41"/>
  <c r="S1678" i="41"/>
  <c r="S1679" i="41"/>
  <c r="S1680" i="41"/>
  <c r="S1681" i="41"/>
  <c r="S1682" i="41"/>
  <c r="S1684" i="41"/>
  <c r="S1685" i="41"/>
  <c r="S1686" i="41"/>
  <c r="S1687" i="41"/>
  <c r="S1689" i="41"/>
  <c r="S1690" i="41"/>
  <c r="S1691" i="41"/>
  <c r="S1692" i="41"/>
  <c r="S1693" i="41"/>
  <c r="S1694" i="41"/>
  <c r="S1695" i="41"/>
  <c r="S1696" i="41"/>
  <c r="S1697" i="41"/>
  <c r="S1698" i="41"/>
  <c r="S1699" i="41"/>
  <c r="S1700" i="41"/>
  <c r="S1701" i="41"/>
  <c r="S1702" i="41"/>
  <c r="S1703" i="41"/>
  <c r="S1704" i="41"/>
  <c r="S1705" i="41"/>
  <c r="S1706" i="41"/>
  <c r="S1707" i="41"/>
  <c r="S1708" i="41"/>
  <c r="S1709" i="41"/>
  <c r="S1710" i="41"/>
  <c r="S1711" i="41"/>
  <c r="S1712" i="41"/>
  <c r="S1713" i="41"/>
  <c r="S1714" i="41"/>
  <c r="S1715" i="41"/>
  <c r="S1716" i="41"/>
  <c r="S1717" i="41"/>
  <c r="S1718" i="41"/>
  <c r="S1719" i="41"/>
  <c r="S1720" i="41"/>
  <c r="S1721" i="41"/>
  <c r="S1722" i="41"/>
  <c r="S1723" i="41"/>
  <c r="S1724" i="41"/>
  <c r="S1725" i="41"/>
  <c r="S1726" i="41"/>
  <c r="S1727" i="41"/>
  <c r="S1728" i="41"/>
  <c r="S1729" i="41"/>
  <c r="S1730" i="41"/>
  <c r="S1731" i="41"/>
  <c r="S1732" i="41"/>
  <c r="S1733" i="41"/>
  <c r="S1734" i="41"/>
  <c r="S1735" i="41"/>
  <c r="S1736" i="41"/>
  <c r="S1737" i="41"/>
  <c r="S1738" i="41"/>
  <c r="S1739" i="41"/>
  <c r="S1740" i="41"/>
  <c r="S1741" i="41"/>
  <c r="S1742" i="41"/>
  <c r="S1743" i="41"/>
  <c r="S1744" i="41"/>
  <c r="S1745" i="41"/>
  <c r="S1746" i="41"/>
  <c r="S1747" i="41"/>
  <c r="S1748" i="41"/>
  <c r="S1749" i="41"/>
  <c r="S1750" i="41"/>
  <c r="S1751" i="41"/>
  <c r="S1752" i="41"/>
  <c r="S1753" i="41"/>
  <c r="S1754" i="41"/>
  <c r="S1755" i="41"/>
  <c r="S1756" i="41"/>
  <c r="S1758" i="41"/>
  <c r="S1761" i="41"/>
  <c r="S1762" i="41"/>
  <c r="S1763" i="41"/>
  <c r="S1764" i="41"/>
  <c r="S1765" i="41"/>
  <c r="S1766" i="41"/>
  <c r="S1767" i="41"/>
  <c r="S1768" i="41"/>
  <c r="S1769" i="41"/>
  <c r="S1771" i="41"/>
  <c r="S1772" i="41"/>
  <c r="S1773" i="41"/>
  <c r="S1774" i="41"/>
  <c r="S1775" i="41"/>
  <c r="S1776" i="41"/>
  <c r="S1777" i="41"/>
  <c r="S1778" i="41"/>
  <c r="S1779" i="41"/>
  <c r="S1780" i="41"/>
  <c r="S1781" i="41"/>
  <c r="S1782" i="41"/>
  <c r="S1783" i="41"/>
  <c r="S1784" i="41"/>
  <c r="S1785" i="41"/>
  <c r="S1786" i="41"/>
  <c r="S1787" i="41"/>
  <c r="S1788" i="41"/>
  <c r="S1789" i="41"/>
  <c r="S1790" i="41"/>
  <c r="S1791" i="41"/>
  <c r="S1792" i="41"/>
  <c r="S1793" i="41"/>
  <c r="S1794" i="41"/>
  <c r="S1795" i="41"/>
  <c r="S1796" i="41"/>
  <c r="S1797" i="41"/>
  <c r="S1798" i="41"/>
  <c r="S1799" i="41"/>
  <c r="S1800" i="41"/>
  <c r="S1801" i="41"/>
  <c r="S1802" i="41"/>
  <c r="S1803" i="41"/>
  <c r="S1805" i="41"/>
  <c r="S1806" i="41"/>
  <c r="S1807" i="41"/>
  <c r="S1808" i="41"/>
  <c r="S1809" i="41"/>
  <c r="S1810" i="41"/>
  <c r="S1811" i="41"/>
  <c r="S1812" i="41"/>
  <c r="S1813" i="41"/>
  <c r="S1814" i="41"/>
  <c r="S1815" i="41"/>
  <c r="S1816" i="41"/>
  <c r="S1817" i="41"/>
  <c r="S1818" i="41"/>
  <c r="S1819" i="41"/>
  <c r="S1820" i="41"/>
  <c r="S1822" i="41"/>
  <c r="S1823" i="41"/>
  <c r="S1824" i="41"/>
  <c r="S1825" i="41"/>
  <c r="S1827" i="41"/>
  <c r="S1829" i="41"/>
  <c r="S1830" i="41"/>
  <c r="S1831" i="41"/>
  <c r="S1832" i="41"/>
  <c r="S1833" i="41"/>
  <c r="S1834" i="41"/>
  <c r="S1835" i="41"/>
  <c r="S1836" i="41"/>
  <c r="S1837" i="41"/>
  <c r="S1838" i="41"/>
  <c r="S1839" i="41"/>
  <c r="S1840" i="41"/>
  <c r="S1841" i="41"/>
  <c r="S1842" i="41"/>
  <c r="S1843" i="41"/>
  <c r="S1844" i="41"/>
  <c r="S1845" i="41"/>
  <c r="S1846" i="41"/>
  <c r="S1847" i="41"/>
  <c r="S1848" i="41"/>
  <c r="S1849" i="41"/>
  <c r="S1850" i="41"/>
  <c r="S1853" i="41"/>
  <c r="S1854" i="41"/>
  <c r="S1855" i="41"/>
  <c r="S1856" i="41"/>
  <c r="S1857" i="41"/>
  <c r="S1858" i="41"/>
  <c r="S1859" i="41"/>
  <c r="S1860" i="41"/>
  <c r="S1861" i="41"/>
  <c r="S1862" i="41"/>
  <c r="S1863" i="41"/>
  <c r="S1864" i="41"/>
  <c r="S1865" i="41"/>
  <c r="S1866" i="41"/>
  <c r="S1867" i="41"/>
  <c r="S1868" i="41"/>
  <c r="S1869" i="41"/>
  <c r="S1870" i="41"/>
  <c r="S1871" i="41"/>
  <c r="S1872" i="41"/>
  <c r="S1873" i="41"/>
  <c r="S1874" i="41"/>
  <c r="S1875" i="41"/>
  <c r="S1876" i="41"/>
  <c r="S1877" i="41"/>
  <c r="S1878" i="41"/>
  <c r="S1879" i="41"/>
  <c r="S1880" i="41"/>
  <c r="S1881" i="41"/>
  <c r="S1882" i="41"/>
  <c r="S1883" i="41"/>
  <c r="S1884" i="41"/>
  <c r="S1885" i="41"/>
  <c r="S1886" i="41"/>
  <c r="S1887" i="41"/>
  <c r="S1888" i="41"/>
  <c r="S1889" i="41"/>
  <c r="S1890" i="41"/>
  <c r="S1892" i="41"/>
  <c r="S1893" i="41"/>
  <c r="S1894" i="41"/>
  <c r="S1895" i="41"/>
  <c r="S1896" i="41"/>
  <c r="S1897" i="41"/>
  <c r="S1898" i="41"/>
  <c r="S1899" i="41"/>
  <c r="S1900" i="41"/>
  <c r="S1901" i="41"/>
  <c r="S1902" i="41"/>
  <c r="S1903" i="41"/>
  <c r="S1904" i="41"/>
  <c r="S1905" i="41"/>
  <c r="S1906" i="41"/>
  <c r="S1907" i="41"/>
  <c r="S1908" i="41"/>
  <c r="S1909" i="41"/>
  <c r="S1910" i="41"/>
  <c r="S1911" i="41"/>
  <c r="S1912" i="41"/>
  <c r="S1913" i="41"/>
  <c r="S1914" i="41"/>
  <c r="S1915" i="41"/>
  <c r="S1916" i="41"/>
  <c r="S1918" i="41"/>
  <c r="S1919" i="41"/>
  <c r="S1920" i="41"/>
  <c r="S1921" i="41"/>
  <c r="S1922" i="41"/>
  <c r="S1923" i="41"/>
  <c r="S1924" i="41"/>
  <c r="S1925" i="41"/>
  <c r="S1926" i="41"/>
  <c r="S1927" i="41"/>
  <c r="S1928" i="41"/>
  <c r="S1929" i="41"/>
  <c r="S1930" i="41"/>
  <c r="S1931" i="41"/>
  <c r="S1932" i="41"/>
  <c r="S1933" i="41"/>
  <c r="S1934" i="41"/>
  <c r="S1936" i="41"/>
  <c r="S1937" i="41"/>
  <c r="S1938" i="41"/>
  <c r="S1939" i="41"/>
  <c r="S1940" i="41"/>
  <c r="S1941" i="41"/>
  <c r="S1942" i="41"/>
  <c r="S1943" i="41"/>
  <c r="S1944" i="41"/>
  <c r="S1945" i="41"/>
  <c r="S1946" i="41"/>
  <c r="S1947" i="41"/>
  <c r="S1948" i="41"/>
  <c r="S1949" i="41"/>
  <c r="S1950" i="41"/>
  <c r="S1951" i="41"/>
  <c r="S1952" i="41"/>
  <c r="S1953" i="41"/>
  <c r="S1954" i="41"/>
  <c r="S1955" i="41"/>
  <c r="S1956" i="41"/>
  <c r="S1958" i="41"/>
  <c r="S1959" i="41"/>
  <c r="S1960" i="41"/>
  <c r="S1961" i="41"/>
  <c r="S1962" i="41"/>
  <c r="S1963" i="41"/>
  <c r="S1964" i="41"/>
  <c r="S1965" i="41"/>
  <c r="S1966" i="41"/>
  <c r="S1967" i="41"/>
  <c r="S1968" i="41"/>
  <c r="S1969" i="41"/>
  <c r="S1970" i="41"/>
  <c r="S1971" i="41"/>
  <c r="S1972" i="41"/>
  <c r="S1973" i="41"/>
  <c r="S1974" i="41"/>
  <c r="S1975" i="41"/>
  <c r="S1977" i="41"/>
  <c r="S1978" i="41"/>
  <c r="S1979" i="41"/>
  <c r="S1980" i="41"/>
  <c r="S1981" i="41"/>
  <c r="S1982" i="41"/>
  <c r="S1983" i="41"/>
  <c r="S1984" i="41"/>
  <c r="S1985" i="41"/>
  <c r="S1986" i="41"/>
  <c r="S1987" i="41"/>
  <c r="S1988" i="41"/>
  <c r="S1989" i="41"/>
  <c r="S1990" i="41"/>
  <c r="S1991" i="41"/>
  <c r="S1992" i="41"/>
  <c r="S1993" i="41"/>
  <c r="S1994" i="41"/>
  <c r="S1995" i="41"/>
  <c r="S1996" i="41"/>
  <c r="S1997" i="41"/>
  <c r="S1998" i="41"/>
  <c r="S1999" i="41"/>
  <c r="S2000" i="41"/>
  <c r="S2001" i="41"/>
  <c r="S2002" i="41"/>
  <c r="S2003" i="41"/>
  <c r="S2004" i="41"/>
  <c r="S2005" i="41"/>
  <c r="S2006" i="41"/>
  <c r="S2007" i="41"/>
  <c r="S2008" i="41"/>
  <c r="S2009" i="41"/>
  <c r="S2010" i="41"/>
  <c r="S2011" i="41"/>
  <c r="S2012" i="41"/>
  <c r="S2014" i="41"/>
  <c r="S2015" i="41"/>
  <c r="S2016" i="41"/>
  <c r="S2017" i="41"/>
  <c r="S2018" i="41"/>
  <c r="S2019" i="41"/>
  <c r="S2020" i="41"/>
  <c r="S2021" i="41"/>
  <c r="S2022" i="41"/>
  <c r="S2023" i="41"/>
  <c r="S2024" i="41"/>
  <c r="S2025" i="41"/>
  <c r="S2026" i="41"/>
  <c r="S2027" i="41"/>
  <c r="S2028" i="41"/>
  <c r="S2029" i="41"/>
  <c r="S2030" i="41"/>
  <c r="S2031" i="41"/>
  <c r="S2032" i="41"/>
  <c r="S2033" i="41"/>
  <c r="S2034" i="41"/>
  <c r="S2035" i="41"/>
  <c r="S2036" i="41"/>
  <c r="S2037" i="41"/>
  <c r="S2038" i="41"/>
  <c r="S2039" i="41"/>
  <c r="S2040" i="41"/>
  <c r="S2041" i="41"/>
  <c r="S2042" i="41"/>
  <c r="S2043" i="41"/>
  <c r="S2044" i="41"/>
  <c r="S2045" i="41"/>
  <c r="S2046" i="41"/>
  <c r="S2047" i="41"/>
  <c r="S2049" i="41"/>
  <c r="S2050" i="41"/>
  <c r="S2051" i="41"/>
  <c r="S2052" i="41"/>
  <c r="S2053" i="41"/>
  <c r="S2054" i="41"/>
  <c r="S2055" i="41"/>
  <c r="S2056" i="41"/>
  <c r="S2057" i="41"/>
  <c r="S2059" i="41"/>
  <c r="S2060" i="41"/>
  <c r="S2061" i="41"/>
  <c r="S2062" i="41"/>
  <c r="S2063" i="41"/>
  <c r="S2064" i="41"/>
  <c r="S2065" i="41"/>
  <c r="S2066" i="41"/>
  <c r="S2067" i="41"/>
  <c r="S2068" i="41"/>
  <c r="S2069" i="41"/>
  <c r="S2070" i="41"/>
  <c r="S2071" i="41"/>
  <c r="S2072" i="41"/>
  <c r="S2073" i="41"/>
  <c r="S2074" i="41"/>
  <c r="S2075" i="41"/>
  <c r="S2076" i="41"/>
  <c r="S2077" i="41"/>
  <c r="S2078" i="41"/>
  <c r="S2079" i="41"/>
  <c r="S2080" i="41"/>
  <c r="S2081" i="41"/>
  <c r="S2082" i="41"/>
  <c r="S2083" i="41"/>
  <c r="S2084" i="41"/>
  <c r="S2085" i="41"/>
  <c r="S2086" i="41"/>
  <c r="S2087" i="41"/>
  <c r="S2088" i="41"/>
  <c r="S2089" i="41"/>
  <c r="S2090" i="41"/>
  <c r="S2091" i="41"/>
  <c r="S2092" i="41"/>
  <c r="S2093" i="41"/>
  <c r="S2094" i="41"/>
  <c r="S2095" i="41"/>
  <c r="S2096" i="41"/>
  <c r="S2097" i="41"/>
  <c r="S2098" i="41"/>
  <c r="S2100" i="41"/>
  <c r="S2101" i="41"/>
  <c r="S2102" i="41"/>
  <c r="S2103" i="41"/>
  <c r="S2104" i="41"/>
  <c r="S2105" i="41"/>
  <c r="S2106" i="41"/>
  <c r="S2107" i="41"/>
  <c r="S2108" i="41"/>
  <c r="S2109" i="41"/>
  <c r="S2110" i="41"/>
  <c r="S2111" i="41"/>
  <c r="S2112" i="41"/>
  <c r="S2113" i="41"/>
  <c r="S2114" i="41"/>
  <c r="S2115" i="41"/>
  <c r="S2116" i="41"/>
  <c r="S2117" i="41"/>
  <c r="S2118" i="41"/>
  <c r="S2119" i="41"/>
  <c r="S2120" i="41"/>
  <c r="S2121" i="41"/>
  <c r="S2122" i="41"/>
  <c r="S2123" i="41"/>
  <c r="S2124" i="41"/>
  <c r="S2125" i="41"/>
  <c r="S2126" i="41"/>
  <c r="S2127" i="41"/>
  <c r="S2128" i="41"/>
  <c r="S2129" i="41"/>
  <c r="S2130" i="41"/>
  <c r="S2131" i="41"/>
  <c r="S2132" i="41"/>
  <c r="S2133" i="41"/>
  <c r="S2134" i="41"/>
  <c r="S2136" i="41"/>
  <c r="S2137" i="41"/>
  <c r="S2139" i="41"/>
  <c r="S2140" i="41"/>
  <c r="S2141" i="41"/>
  <c r="S2142" i="41"/>
  <c r="S2143" i="41"/>
  <c r="S2144" i="41"/>
  <c r="S2145" i="41"/>
  <c r="S2146" i="41"/>
  <c r="S2147" i="41"/>
  <c r="S2148" i="41"/>
  <c r="S2149" i="41"/>
  <c r="S2150" i="41"/>
  <c r="S2151" i="41"/>
  <c r="S2152" i="41"/>
  <c r="S2153" i="41"/>
  <c r="S2154" i="41"/>
  <c r="S2155" i="41"/>
  <c r="S2156" i="41"/>
  <c r="S2157" i="41"/>
  <c r="S2158" i="41"/>
  <c r="S2159" i="41"/>
  <c r="S2160" i="41"/>
  <c r="S2161" i="41"/>
  <c r="S2162" i="41"/>
  <c r="S2163" i="41"/>
  <c r="S2164" i="41"/>
  <c r="S2165" i="41"/>
  <c r="S2166" i="41"/>
  <c r="S2167" i="41"/>
  <c r="S2168" i="41"/>
  <c r="S2169" i="41"/>
  <c r="S2170" i="41"/>
  <c r="S2171" i="41"/>
  <c r="S2172" i="41"/>
  <c r="S2173" i="41"/>
  <c r="S2176" i="41"/>
  <c r="S2177" i="41"/>
  <c r="S2178" i="41"/>
  <c r="S2179" i="41"/>
  <c r="S2180" i="41"/>
  <c r="S2181" i="41"/>
  <c r="S2182" i="41"/>
  <c r="S2183" i="41"/>
  <c r="S2184" i="41"/>
  <c r="S2185" i="41"/>
  <c r="S2186" i="41"/>
  <c r="S2187" i="41"/>
  <c r="S2188" i="41"/>
  <c r="S2189" i="41"/>
  <c r="S2190" i="41"/>
  <c r="S2191" i="41"/>
  <c r="S2192" i="41"/>
  <c r="S2193" i="41"/>
  <c r="S2194" i="41"/>
  <c r="S2195" i="41"/>
  <c r="S2196" i="41"/>
  <c r="S2197" i="41"/>
  <c r="S2198" i="41"/>
  <c r="S2199" i="41"/>
  <c r="S2200" i="41"/>
  <c r="S2201" i="41"/>
  <c r="S2202" i="41"/>
  <c r="S2203" i="41"/>
  <c r="S2204" i="41"/>
  <c r="S2205" i="41"/>
  <c r="S2206" i="41"/>
  <c r="S2207" i="41"/>
  <c r="S2208" i="41"/>
  <c r="S2209" i="41"/>
  <c r="S2211" i="41"/>
  <c r="S2212" i="41"/>
  <c r="S2213" i="41"/>
  <c r="S2214" i="41"/>
  <c r="S2215" i="41"/>
  <c r="S2216" i="41"/>
  <c r="S2217" i="41"/>
  <c r="S2218" i="41"/>
  <c r="S2219" i="41"/>
  <c r="S2220" i="41"/>
  <c r="S2221" i="41"/>
  <c r="S2222" i="41"/>
  <c r="S2223" i="41"/>
  <c r="S2224" i="41"/>
  <c r="S2225" i="41"/>
  <c r="S2226" i="41"/>
  <c r="S2227" i="41"/>
  <c r="S2228" i="41"/>
  <c r="S2229" i="41"/>
  <c r="S2230" i="41"/>
  <c r="S2232" i="41"/>
  <c r="S2234" i="41"/>
  <c r="S2235" i="41"/>
  <c r="S2236" i="41"/>
  <c r="S2237" i="41"/>
  <c r="S2238" i="41"/>
  <c r="S2239" i="41"/>
  <c r="S2240" i="41"/>
  <c r="S2241" i="41"/>
  <c r="S2242" i="41"/>
  <c r="S2243" i="41"/>
  <c r="S2244" i="41"/>
  <c r="S2245" i="41"/>
  <c r="S2246" i="41"/>
  <c r="S2247" i="41"/>
  <c r="S2248" i="41"/>
  <c r="S2249" i="41"/>
  <c r="S2250" i="41"/>
  <c r="S2251" i="41"/>
  <c r="S2252" i="41"/>
  <c r="S2253" i="41"/>
  <c r="S2254" i="41"/>
  <c r="S2255" i="41"/>
  <c r="S2256" i="41"/>
  <c r="S2257" i="41"/>
  <c r="S2258" i="41"/>
  <c r="S2259" i="41"/>
  <c r="S2260" i="41"/>
  <c r="S2261" i="41"/>
  <c r="S2262" i="41"/>
  <c r="S2263" i="41"/>
  <c r="S2264" i="41"/>
  <c r="S2265" i="41"/>
  <c r="S2266" i="41"/>
  <c r="S2267" i="41"/>
  <c r="S2268" i="41"/>
  <c r="S2269" i="41"/>
  <c r="S2270" i="41"/>
  <c r="S2272" i="41"/>
  <c r="S2273" i="41"/>
  <c r="S2274" i="41"/>
  <c r="S2275" i="41"/>
  <c r="S2276" i="41"/>
  <c r="S2277" i="41"/>
  <c r="S2278" i="41"/>
  <c r="S2279" i="41"/>
  <c r="S2280" i="41"/>
  <c r="S2281" i="41"/>
  <c r="S2282" i="41"/>
  <c r="S2283" i="41"/>
  <c r="S2284" i="41"/>
  <c r="S2285" i="41"/>
  <c r="S2286" i="41"/>
  <c r="S2287" i="41"/>
  <c r="S2288" i="41"/>
  <c r="S2289" i="41"/>
  <c r="S2290" i="41"/>
  <c r="S2291" i="41"/>
  <c r="S2292" i="41"/>
  <c r="S2293" i="41"/>
  <c r="S2294" i="41"/>
  <c r="S2295" i="41"/>
  <c r="S2296" i="41"/>
  <c r="S2297" i="41"/>
  <c r="S2298" i="41"/>
  <c r="S2299" i="41"/>
  <c r="S2300" i="41"/>
  <c r="S2301" i="41"/>
  <c r="S2302" i="41"/>
  <c r="S2303" i="41"/>
  <c r="S2304" i="41"/>
  <c r="S2305" i="41"/>
  <c r="S2306" i="41"/>
  <c r="S2307" i="41"/>
  <c r="S2308" i="41"/>
  <c r="S2309" i="41"/>
  <c r="S2310" i="41"/>
  <c r="S2311" i="41"/>
  <c r="S2312" i="41"/>
  <c r="S2313" i="41"/>
  <c r="S2314" i="41"/>
  <c r="S2315" i="41"/>
  <c r="S2316" i="41"/>
  <c r="S2317" i="41"/>
  <c r="S2318" i="41"/>
  <c r="S2319" i="41"/>
  <c r="S2320" i="41"/>
  <c r="S2322" i="41"/>
  <c r="S2323" i="41"/>
  <c r="S2324" i="41"/>
  <c r="S2325" i="41"/>
  <c r="S2326" i="41"/>
  <c r="S2327" i="41"/>
  <c r="S2328" i="41"/>
  <c r="S2329" i="41"/>
  <c r="S2330" i="41"/>
  <c r="S2331" i="41"/>
  <c r="S2333" i="41"/>
  <c r="S2334" i="41"/>
  <c r="S2335" i="41"/>
  <c r="S2336" i="41"/>
  <c r="S2337" i="41"/>
  <c r="S2338" i="41"/>
  <c r="S2339" i="41"/>
  <c r="S2340" i="41"/>
  <c r="S2341" i="41"/>
  <c r="S2342" i="41"/>
  <c r="S2343" i="41"/>
  <c r="S2344" i="41"/>
  <c r="S2345" i="41"/>
  <c r="S2346" i="41"/>
  <c r="S2347" i="41"/>
  <c r="S2348" i="41"/>
  <c r="S2349" i="41"/>
  <c r="S2350" i="41"/>
  <c r="S2351" i="41"/>
  <c r="S2352" i="41"/>
  <c r="S2353" i="41"/>
  <c r="S2354" i="41"/>
  <c r="S2355" i="41"/>
  <c r="S2356" i="41"/>
  <c r="S2357" i="41"/>
  <c r="S2358" i="41"/>
  <c r="S2359" i="41"/>
  <c r="S2360" i="41"/>
  <c r="S2361" i="41"/>
  <c r="S2362" i="41"/>
  <c r="S2363" i="41"/>
  <c r="S2364" i="41"/>
  <c r="S2365" i="41"/>
  <c r="S2366" i="41"/>
  <c r="S2367" i="41"/>
  <c r="S2368" i="41"/>
  <c r="S2369" i="41"/>
  <c r="S2370" i="41"/>
  <c r="S2371" i="41"/>
  <c r="S2372" i="41"/>
  <c r="S2373" i="41"/>
  <c r="S2374" i="41"/>
  <c r="S2375" i="41"/>
  <c r="S2376" i="41"/>
  <c r="S2377" i="41"/>
  <c r="S2378" i="41"/>
  <c r="S2379" i="41"/>
  <c r="S2380" i="41"/>
  <c r="S2381" i="41"/>
  <c r="S2382" i="41"/>
  <c r="S2383" i="41"/>
  <c r="S2384" i="41"/>
  <c r="S2385" i="41"/>
  <c r="S2386" i="41"/>
  <c r="S2387" i="41"/>
  <c r="S2388" i="41"/>
  <c r="S2389" i="41"/>
  <c r="S2390" i="41"/>
  <c r="S2391" i="41"/>
  <c r="S2392" i="41"/>
  <c r="S2393" i="41"/>
  <c r="S2394" i="41"/>
  <c r="S2395" i="41"/>
  <c r="S2396" i="41"/>
  <c r="S2397" i="41"/>
  <c r="S2398" i="41"/>
  <c r="S2399" i="41"/>
  <c r="S2400" i="41"/>
  <c r="S2401" i="41"/>
  <c r="S2402" i="41"/>
  <c r="S2403" i="41"/>
  <c r="S2404" i="41"/>
  <c r="S2405" i="41"/>
  <c r="S2406" i="41"/>
  <c r="S2407" i="41"/>
  <c r="S2408" i="41"/>
  <c r="S2409" i="41"/>
  <c r="S2410" i="41"/>
  <c r="S2411" i="41"/>
  <c r="S2412" i="41"/>
  <c r="S2414" i="41"/>
  <c r="S2415" i="41"/>
  <c r="S2416" i="41"/>
  <c r="S2417" i="41"/>
  <c r="S2418" i="41"/>
  <c r="S2419" i="41"/>
  <c r="S2420" i="41"/>
  <c r="S2422" i="41"/>
  <c r="S2424" i="41"/>
  <c r="S2425" i="41"/>
  <c r="S2426" i="41"/>
  <c r="S2427" i="41"/>
  <c r="S2428" i="41"/>
  <c r="S2429" i="41"/>
  <c r="S2430" i="41"/>
  <c r="S2431" i="41"/>
  <c r="S2432" i="41"/>
  <c r="S2433" i="41"/>
  <c r="S2434" i="41"/>
  <c r="S2435" i="41"/>
  <c r="S2436" i="41"/>
  <c r="S2437" i="41"/>
  <c r="S2438" i="41"/>
  <c r="S2439" i="41"/>
  <c r="S2440" i="41"/>
  <c r="S2441" i="41"/>
  <c r="S2442" i="41"/>
  <c r="S2443" i="41"/>
  <c r="S2444" i="41"/>
  <c r="S2445" i="41"/>
  <c r="S2446" i="41"/>
  <c r="S2447" i="41"/>
  <c r="S2448" i="41"/>
  <c r="S2449" i="41"/>
  <c r="S2450" i="41"/>
  <c r="S2452" i="41"/>
  <c r="S2453" i="41"/>
  <c r="S2454" i="41"/>
  <c r="S2455" i="41"/>
  <c r="S2456" i="41"/>
  <c r="S2457" i="41"/>
  <c r="S2458" i="41"/>
  <c r="S2459" i="41"/>
  <c r="S2460" i="41"/>
  <c r="S2461" i="41"/>
  <c r="S2462" i="41"/>
  <c r="S2463" i="41"/>
  <c r="S2464" i="41"/>
  <c r="S2465" i="41"/>
  <c r="S2466" i="41"/>
  <c r="S2467" i="41"/>
  <c r="S2468" i="41"/>
  <c r="S2469" i="41"/>
  <c r="S2470" i="41"/>
  <c r="S2471" i="41"/>
  <c r="S2472" i="41"/>
  <c r="S2473" i="41"/>
  <c r="S2476" i="41"/>
  <c r="S2477" i="41"/>
  <c r="S2478" i="41"/>
  <c r="S2479" i="41"/>
  <c r="S2480" i="41"/>
  <c r="S2481" i="41"/>
  <c r="S2482" i="41"/>
  <c r="S2483" i="41"/>
  <c r="S2484" i="41"/>
  <c r="S2485" i="41"/>
  <c r="S2486" i="41"/>
  <c r="S2487" i="41"/>
  <c r="S2488" i="41"/>
  <c r="S2489" i="41"/>
  <c r="S2490" i="41"/>
  <c r="S2491" i="41"/>
  <c r="S2492" i="41"/>
  <c r="S2493" i="41"/>
  <c r="S2494" i="41"/>
  <c r="S2495" i="41"/>
  <c r="S2496" i="41"/>
  <c r="S2497" i="41"/>
  <c r="S2498" i="41"/>
  <c r="S2499" i="41"/>
  <c r="S2501" i="41"/>
  <c r="S2502" i="41"/>
  <c r="S2503" i="41"/>
  <c r="S2504" i="41"/>
  <c r="S2505" i="41"/>
  <c r="S2506" i="41"/>
  <c r="S2507" i="41"/>
  <c r="S2508" i="41"/>
  <c r="S2509" i="41"/>
  <c r="S2510" i="41"/>
  <c r="S2511" i="41"/>
  <c r="S2512" i="41"/>
  <c r="S2513" i="41"/>
  <c r="S2514" i="41"/>
  <c r="S2515" i="41"/>
  <c r="S2516" i="41"/>
  <c r="S2517" i="41"/>
  <c r="S2518" i="41"/>
  <c r="S2519" i="41"/>
  <c r="S2520" i="41"/>
  <c r="S2521" i="41"/>
  <c r="S2522" i="41"/>
  <c r="S2523" i="41"/>
  <c r="S2524" i="41"/>
  <c r="S2525" i="41"/>
  <c r="S2526" i="41"/>
  <c r="S2527" i="41"/>
  <c r="S2529" i="41"/>
  <c r="S2530" i="41"/>
  <c r="S2531" i="41"/>
  <c r="S2532" i="41"/>
  <c r="S2533" i="41"/>
  <c r="S2534" i="41"/>
  <c r="S2535" i="41"/>
  <c r="S2536" i="41"/>
  <c r="S2538" i="41"/>
  <c r="S2540" i="41"/>
  <c r="S2541" i="41"/>
  <c r="S2542" i="41"/>
  <c r="S2543" i="41"/>
  <c r="S2544" i="41"/>
  <c r="S2545" i="41"/>
  <c r="S2546" i="41"/>
  <c r="S2547" i="41"/>
  <c r="S2548" i="41"/>
  <c r="S2550" i="41"/>
  <c r="S2551" i="41"/>
  <c r="S2552" i="41"/>
  <c r="S2553" i="41"/>
  <c r="S2554" i="41"/>
  <c r="S2555" i="41"/>
  <c r="S2556" i="41"/>
  <c r="S2557" i="41"/>
  <c r="S2558" i="41"/>
  <c r="S2559" i="41"/>
  <c r="S2560" i="41"/>
  <c r="S2561" i="41"/>
  <c r="S2562" i="41"/>
  <c r="S2563" i="41"/>
  <c r="S2564" i="41"/>
  <c r="S2565" i="41"/>
  <c r="S2566" i="41"/>
  <c r="S2567" i="41"/>
  <c r="S2568" i="41"/>
  <c r="S2569" i="41"/>
  <c r="S2570" i="41"/>
  <c r="S2571" i="41"/>
  <c r="S2572" i="41"/>
  <c r="S2573" i="41"/>
  <c r="S2574" i="41"/>
  <c r="S2575" i="41"/>
  <c r="S2576" i="41"/>
  <c r="S2577" i="41"/>
  <c r="S2578" i="41"/>
  <c r="S2579" i="41"/>
  <c r="S2580" i="41"/>
  <c r="S2581" i="41"/>
  <c r="S2582" i="41"/>
  <c r="S2583" i="41"/>
  <c r="S2584" i="41"/>
  <c r="S2585" i="41"/>
  <c r="S2587" i="41"/>
  <c r="S2588" i="41"/>
  <c r="S2589" i="41"/>
  <c r="S2590" i="41"/>
  <c r="S2591" i="41"/>
  <c r="S2592" i="41"/>
  <c r="S2593" i="41"/>
  <c r="S2594" i="41"/>
  <c r="S2595" i="41"/>
  <c r="S2596" i="41"/>
  <c r="S2597" i="41"/>
  <c r="S2598" i="41"/>
  <c r="S2599" i="41"/>
  <c r="S2600" i="41"/>
  <c r="S2602" i="41"/>
  <c r="S2603" i="41"/>
  <c r="S2604" i="41"/>
  <c r="S2605" i="41"/>
  <c r="S2606" i="41"/>
  <c r="S2607" i="41"/>
  <c r="S2608" i="41"/>
  <c r="S2609" i="41"/>
  <c r="S2610" i="41"/>
  <c r="S2611" i="41"/>
  <c r="S2612" i="41"/>
  <c r="S2613" i="41"/>
  <c r="S2614" i="41"/>
  <c r="S2615" i="41"/>
  <c r="S2616" i="41"/>
  <c r="S2617" i="41"/>
  <c r="S2618" i="41"/>
  <c r="S2619" i="41"/>
  <c r="S2620" i="41"/>
  <c r="S2621" i="41"/>
  <c r="S2622" i="41"/>
  <c r="S2623" i="41"/>
  <c r="S2624" i="41"/>
  <c r="S2626" i="41"/>
  <c r="S2627" i="41"/>
  <c r="S2628" i="41"/>
  <c r="S2629" i="41"/>
  <c r="S2630" i="41"/>
  <c r="S2631" i="41"/>
  <c r="S2632" i="41"/>
  <c r="S2633" i="41"/>
  <c r="S2634" i="41"/>
  <c r="S2635" i="41"/>
  <c r="S2636" i="41"/>
  <c r="S2637" i="41"/>
  <c r="S2638" i="41"/>
  <c r="S2639" i="41"/>
  <c r="S2640" i="41"/>
  <c r="S2642" i="41"/>
  <c r="S2643" i="41"/>
  <c r="S2644" i="41"/>
  <c r="S2645" i="41"/>
  <c r="S2646" i="41"/>
  <c r="S2648" i="41"/>
  <c r="S2649" i="41"/>
  <c r="S2650" i="41"/>
  <c r="S2651" i="41"/>
  <c r="S2652" i="41"/>
  <c r="S2653" i="41"/>
  <c r="S2654" i="41"/>
  <c r="S2655" i="41"/>
  <c r="S2657" i="41"/>
  <c r="S2658" i="41"/>
  <c r="S2659" i="41"/>
  <c r="S2660" i="41"/>
  <c r="S2661" i="41"/>
  <c r="S2662" i="41"/>
  <c r="S2663" i="41"/>
  <c r="S2664" i="41"/>
  <c r="S2665" i="41"/>
  <c r="S2666" i="41"/>
  <c r="S2667" i="41"/>
  <c r="S2668" i="41"/>
  <c r="S2669" i="41"/>
  <c r="S2670" i="41"/>
  <c r="S2671" i="41"/>
  <c r="S2672" i="41"/>
  <c r="S2673" i="41"/>
  <c r="S2674" i="41"/>
  <c r="S2676" i="41"/>
  <c r="S2677" i="41"/>
  <c r="S2678" i="41"/>
  <c r="S2679" i="41"/>
  <c r="S2680" i="41"/>
  <c r="S2681" i="41"/>
  <c r="S2682" i="41"/>
  <c r="S2683" i="41"/>
  <c r="S2684" i="41"/>
  <c r="S2685" i="41"/>
  <c r="S2686" i="41"/>
  <c r="S2687" i="41"/>
  <c r="S2688" i="41"/>
  <c r="S2689" i="41"/>
  <c r="S2690" i="41"/>
  <c r="S2691" i="41"/>
  <c r="S2692" i="41"/>
  <c r="S2693" i="41"/>
  <c r="S2694" i="41"/>
  <c r="S2695" i="41"/>
  <c r="S2696" i="41"/>
  <c r="S2697" i="41"/>
  <c r="S2698" i="41"/>
  <c r="S2699" i="41"/>
  <c r="S2700" i="41"/>
  <c r="S2701" i="41"/>
  <c r="S2702" i="41"/>
  <c r="S2703" i="41"/>
  <c r="S2704" i="41"/>
  <c r="S2705" i="41"/>
  <c r="S2706" i="41"/>
  <c r="S2707" i="41"/>
  <c r="S2708" i="41"/>
  <c r="S2709" i="41"/>
  <c r="S2710" i="41"/>
  <c r="S2711" i="41"/>
  <c r="S2712" i="41"/>
  <c r="S2713" i="41"/>
  <c r="S2714" i="41"/>
  <c r="S2715" i="41"/>
  <c r="S2716" i="41"/>
  <c r="S2717" i="41"/>
  <c r="S2718" i="41"/>
  <c r="S2719" i="41"/>
  <c r="S2720" i="41"/>
  <c r="S2721" i="41"/>
  <c r="S2722" i="41"/>
  <c r="S2723" i="41"/>
  <c r="S2724" i="41"/>
  <c r="S2725" i="41"/>
  <c r="S2726" i="41"/>
  <c r="S2727" i="41"/>
  <c r="S2728" i="41"/>
  <c r="S2729" i="41"/>
  <c r="S2730" i="41"/>
  <c r="S2731" i="41"/>
  <c r="S2732" i="41"/>
  <c r="S2733" i="41"/>
  <c r="S2734" i="41"/>
  <c r="S2735" i="41"/>
  <c r="S2736" i="41"/>
  <c r="S2737" i="41"/>
  <c r="S2738" i="41"/>
  <c r="S2739" i="41"/>
  <c r="S2740" i="41"/>
  <c r="S2741" i="41"/>
  <c r="S2742" i="41"/>
  <c r="S2743" i="41"/>
  <c r="S2744" i="41"/>
  <c r="S2745" i="41"/>
  <c r="S2746" i="41"/>
  <c r="S2747" i="41"/>
  <c r="S2748" i="41"/>
  <c r="S2749" i="41"/>
  <c r="S2750" i="41"/>
  <c r="S2751" i="41"/>
  <c r="S2752" i="41"/>
  <c r="S2753" i="41"/>
  <c r="S2754" i="41"/>
  <c r="S2755" i="41"/>
  <c r="S2756" i="41"/>
  <c r="S2757" i="41"/>
  <c r="S2758" i="41"/>
  <c r="S2759" i="41"/>
  <c r="S2760" i="41"/>
  <c r="S2761" i="41"/>
  <c r="S2762" i="41"/>
  <c r="S2764" i="41"/>
  <c r="S2765" i="41"/>
  <c r="S2766" i="41"/>
  <c r="S2767" i="41"/>
  <c r="S2768" i="41"/>
  <c r="S2769" i="41"/>
  <c r="S2770" i="41"/>
  <c r="S2771" i="41"/>
  <c r="S2772" i="41"/>
  <c r="S2773" i="41"/>
  <c r="S2774" i="41"/>
  <c r="S2775" i="41"/>
  <c r="S2776" i="41"/>
  <c r="S2777" i="41"/>
  <c r="S2778" i="41"/>
  <c r="S2779" i="41"/>
  <c r="S2780" i="41"/>
  <c r="S2781" i="41"/>
  <c r="S2782" i="41"/>
  <c r="S2784" i="41"/>
  <c r="S2785" i="41"/>
  <c r="S2786" i="41"/>
  <c r="S2787" i="41"/>
  <c r="S2788" i="41"/>
  <c r="S2789" i="41"/>
  <c r="S2790" i="41"/>
  <c r="S2791" i="41"/>
  <c r="S2792" i="41"/>
  <c r="S2793" i="41"/>
  <c r="S2794" i="41"/>
  <c r="S2795" i="41"/>
  <c r="S2796" i="41"/>
  <c r="S2797" i="41"/>
  <c r="S2798" i="41"/>
  <c r="S2799" i="41"/>
  <c r="S2800" i="41"/>
  <c r="S2801" i="41"/>
  <c r="S2802" i="41"/>
  <c r="S2804" i="41"/>
  <c r="S2805" i="41"/>
  <c r="S2806" i="41"/>
  <c r="S2807" i="41"/>
  <c r="S2808" i="41"/>
  <c r="S2809" i="41"/>
  <c r="S2810" i="41"/>
  <c r="S2811" i="41"/>
  <c r="S2812" i="41"/>
  <c r="S2813" i="41"/>
  <c r="S2814" i="41"/>
  <c r="S2815" i="41"/>
  <c r="S2817" i="41"/>
  <c r="S2818" i="41"/>
  <c r="S2819" i="41"/>
  <c r="S2820" i="41"/>
  <c r="S2821" i="41"/>
  <c r="S2822" i="41"/>
  <c r="S2823" i="41"/>
  <c r="S2824" i="41"/>
  <c r="S2825" i="41"/>
  <c r="S2826" i="41"/>
  <c r="S2827" i="41"/>
  <c r="S2828" i="41"/>
  <c r="S2829" i="41"/>
  <c r="S2830" i="41"/>
  <c r="S2831" i="41"/>
  <c r="S2832" i="41"/>
  <c r="S2833" i="41"/>
  <c r="S2834" i="41"/>
  <c r="S2835" i="41"/>
  <c r="S2836" i="41"/>
  <c r="S2837" i="41"/>
  <c r="S2838" i="41"/>
  <c r="S2839" i="41"/>
  <c r="S2840" i="41"/>
  <c r="S2841" i="41"/>
  <c r="S2842" i="41"/>
  <c r="S2843" i="41"/>
  <c r="S2844" i="41"/>
  <c r="S2845" i="41"/>
  <c r="S2846" i="41"/>
  <c r="S2847" i="41"/>
  <c r="S2848" i="41"/>
  <c r="S2849" i="41"/>
  <c r="S2850" i="41"/>
  <c r="S2851" i="41"/>
  <c r="S2852" i="41"/>
  <c r="S2853" i="41"/>
  <c r="S2854" i="41"/>
  <c r="S2855" i="41"/>
  <c r="S2856" i="41"/>
  <c r="S2857" i="41"/>
  <c r="S2858" i="41"/>
  <c r="S2859" i="41"/>
  <c r="S2860" i="41"/>
  <c r="S2861" i="41"/>
  <c r="S2862" i="41"/>
  <c r="S2863" i="41"/>
  <c r="S2864" i="41"/>
  <c r="S2865" i="41"/>
  <c r="S2866" i="41"/>
  <c r="S2867" i="41"/>
  <c r="S2868" i="41"/>
  <c r="S2869" i="41"/>
  <c r="S2870" i="41"/>
  <c r="S2872" i="41"/>
  <c r="S2873" i="41"/>
  <c r="S2874" i="41"/>
  <c r="S2875" i="41"/>
  <c r="S2876" i="41"/>
  <c r="S2877" i="41"/>
  <c r="S2878" i="41"/>
  <c r="S2879" i="41"/>
  <c r="S2880" i="41"/>
  <c r="S2881" i="41"/>
  <c r="S2882" i="41"/>
  <c r="S2883" i="41"/>
  <c r="S2884" i="41"/>
  <c r="S2885" i="41"/>
  <c r="S2886" i="41"/>
  <c r="S2887" i="41"/>
  <c r="S2888" i="41"/>
  <c r="S2889" i="41"/>
  <c r="S2890" i="41"/>
  <c r="S2891" i="41"/>
  <c r="S2892" i="41"/>
  <c r="S2893" i="41"/>
  <c r="S2894" i="41"/>
  <c r="S2895" i="41"/>
  <c r="S2896" i="41"/>
  <c r="S2897" i="41"/>
  <c r="S2898" i="41"/>
  <c r="S2899" i="41"/>
  <c r="S2900" i="41"/>
  <c r="S2901" i="41"/>
  <c r="S2902" i="41"/>
  <c r="S2903" i="41"/>
  <c r="S2904" i="41"/>
  <c r="S2905" i="41"/>
  <c r="S2907" i="41"/>
  <c r="S2908" i="41"/>
  <c r="S2910" i="41"/>
  <c r="S2911" i="41"/>
  <c r="S2912" i="41"/>
  <c r="S2914" i="41"/>
  <c r="S2915" i="41"/>
  <c r="S2916" i="41"/>
  <c r="S2917" i="41"/>
  <c r="S2918" i="41"/>
  <c r="S2919" i="41"/>
  <c r="S2920" i="41"/>
  <c r="S2921" i="41"/>
  <c r="S2922" i="41"/>
  <c r="S2924" i="41"/>
  <c r="S2925" i="41"/>
  <c r="S2926" i="41"/>
  <c r="S2927" i="41"/>
  <c r="S2928" i="41"/>
  <c r="S2929" i="41"/>
  <c r="S2930" i="41"/>
  <c r="S2931" i="41"/>
  <c r="S2932" i="41"/>
  <c r="S2934" i="41"/>
  <c r="S2936" i="41"/>
  <c r="S2937" i="41"/>
  <c r="S2938" i="41"/>
  <c r="S2939" i="41"/>
  <c r="S2940" i="41"/>
  <c r="S2941" i="41"/>
  <c r="S2942" i="41"/>
  <c r="S2943" i="41"/>
  <c r="S2944" i="41"/>
  <c r="S2946" i="41"/>
  <c r="S2947" i="41"/>
  <c r="S2948" i="41"/>
  <c r="S2949" i="41"/>
  <c r="S2950" i="41"/>
  <c r="S2951" i="41"/>
  <c r="S2952" i="41"/>
  <c r="S2953" i="41"/>
  <c r="S2954" i="41"/>
  <c r="S2955" i="41"/>
  <c r="S2956" i="41"/>
  <c r="S2957" i="41"/>
  <c r="S2958" i="41"/>
  <c r="S2959" i="41"/>
  <c r="S2961" i="41"/>
  <c r="S2962" i="41"/>
  <c r="S2964" i="41"/>
  <c r="S2965" i="41"/>
  <c r="S2966" i="41"/>
  <c r="S2967" i="41"/>
  <c r="S2968" i="41"/>
  <c r="S2969" i="41"/>
  <c r="S2970" i="41"/>
  <c r="S2971" i="41"/>
  <c r="S2972" i="41"/>
  <c r="S2973" i="41"/>
  <c r="S2974" i="41"/>
  <c r="S2975" i="41"/>
  <c r="S2976" i="41"/>
  <c r="S2977" i="41"/>
  <c r="S2978" i="41"/>
  <c r="S2979" i="41"/>
  <c r="S2980" i="41"/>
  <c r="S2981" i="41"/>
  <c r="S2982" i="41"/>
  <c r="S2983" i="41"/>
  <c r="S2984" i="41"/>
  <c r="S2986" i="41"/>
  <c r="S2987" i="41"/>
  <c r="S2988" i="41"/>
  <c r="S2989" i="41"/>
  <c r="S2991" i="41"/>
  <c r="S2992" i="41"/>
  <c r="S2993" i="41"/>
  <c r="S2994" i="41"/>
  <c r="S2995" i="41"/>
  <c r="S2996" i="41"/>
  <c r="S2997" i="41"/>
  <c r="S2999" i="41"/>
  <c r="S3000" i="41"/>
  <c r="S3001" i="41"/>
  <c r="S3002" i="41"/>
  <c r="S3003" i="41"/>
  <c r="S3004" i="41"/>
  <c r="S3005" i="41"/>
  <c r="S3006" i="41"/>
  <c r="S3007" i="41"/>
  <c r="S3008" i="41"/>
  <c r="S3009" i="41"/>
  <c r="S3010" i="41"/>
  <c r="S3011" i="41"/>
  <c r="S3012" i="41"/>
  <c r="S3013" i="41"/>
  <c r="S3014" i="41"/>
  <c r="S3015" i="41"/>
  <c r="S3016" i="41"/>
  <c r="S3017" i="41"/>
  <c r="S3018" i="41"/>
  <c r="S3019" i="41"/>
  <c r="S3020" i="41"/>
  <c r="S3021" i="41"/>
  <c r="S3022" i="41"/>
  <c r="S3023" i="41"/>
  <c r="S3024" i="41"/>
  <c r="S3025" i="41"/>
  <c r="S3026" i="41"/>
  <c r="S3027" i="41"/>
  <c r="S3028" i="41"/>
  <c r="S3029" i="41"/>
  <c r="S3030" i="41"/>
  <c r="S3031" i="41"/>
  <c r="S3032" i="41"/>
  <c r="S3033" i="41"/>
  <c r="S3034" i="41"/>
  <c r="S3035" i="41"/>
  <c r="S3036" i="41"/>
  <c r="S3037" i="41"/>
  <c r="S3038" i="41"/>
  <c r="S3039" i="41"/>
  <c r="S3040" i="41"/>
  <c r="S3041" i="41"/>
  <c r="S3042" i="41"/>
  <c r="S3043" i="41"/>
  <c r="S3044" i="41"/>
  <c r="S3045" i="41"/>
  <c r="S3046" i="41"/>
  <c r="S3047" i="41"/>
  <c r="S3048" i="41"/>
  <c r="S3050" i="41"/>
  <c r="S3051" i="41"/>
  <c r="S3052" i="41"/>
  <c r="S3053" i="41"/>
  <c r="S3054" i="41"/>
  <c r="S3055" i="41"/>
  <c r="S3056" i="41"/>
  <c r="S3058" i="41"/>
  <c r="S3059" i="41"/>
  <c r="S3060" i="41"/>
  <c r="S3061" i="41"/>
  <c r="S3062" i="41"/>
  <c r="S3063" i="41"/>
  <c r="S3064" i="41"/>
  <c r="S3065" i="41"/>
  <c r="S3066" i="41"/>
  <c r="S3067" i="41"/>
  <c r="S3068" i="41"/>
  <c r="S3069" i="41"/>
  <c r="S3070" i="41"/>
  <c r="S3072" i="41"/>
  <c r="S3073" i="41"/>
  <c r="S3074" i="41"/>
  <c r="S3075" i="41"/>
  <c r="S3076" i="41"/>
  <c r="S3077" i="41"/>
  <c r="S3078" i="41"/>
  <c r="S3079" i="41"/>
  <c r="S3080" i="41"/>
  <c r="S3081" i="41"/>
  <c r="S3082" i="41"/>
  <c r="S3083" i="41"/>
  <c r="S3084" i="41"/>
  <c r="S3085" i="41"/>
  <c r="S3086" i="41"/>
  <c r="S3087" i="41"/>
  <c r="S3088" i="41"/>
  <c r="S3090" i="41"/>
  <c r="S3092" i="41"/>
  <c r="S3093" i="41"/>
  <c r="S3094" i="41"/>
  <c r="S3095" i="41"/>
  <c r="S3096" i="41"/>
  <c r="S3097" i="41"/>
  <c r="S3098" i="41"/>
  <c r="S3100" i="41"/>
  <c r="S3101" i="41"/>
  <c r="S3102" i="41"/>
  <c r="S3103" i="41"/>
  <c r="S3104" i="41"/>
  <c r="S3105" i="41"/>
  <c r="S3106" i="41"/>
  <c r="S3107" i="41"/>
  <c r="S3108" i="41"/>
  <c r="S3109" i="41"/>
  <c r="S3110" i="41"/>
  <c r="S3111" i="41"/>
  <c r="S3112" i="41"/>
  <c r="S3113" i="41"/>
  <c r="S3114" i="41"/>
  <c r="S3115" i="41"/>
  <c r="S3116" i="41"/>
  <c r="S3117" i="41"/>
  <c r="S3118" i="41"/>
  <c r="S3119" i="41"/>
  <c r="S3120" i="41"/>
  <c r="S3121" i="41"/>
  <c r="S3122" i="41"/>
  <c r="S3123" i="41"/>
  <c r="S3124" i="41"/>
  <c r="S3125" i="41"/>
  <c r="S3126" i="41"/>
  <c r="S3127" i="41"/>
  <c r="S3128" i="41"/>
  <c r="S3129" i="41"/>
  <c r="S3130" i="41"/>
  <c r="S3131" i="41"/>
  <c r="S3132" i="41"/>
  <c r="S3133" i="41"/>
  <c r="S3134" i="41"/>
  <c r="S3135" i="41"/>
  <c r="S3136" i="41"/>
  <c r="S3137" i="41"/>
  <c r="S3138" i="41"/>
  <c r="S3139" i="41"/>
  <c r="S3140" i="41"/>
  <c r="S3141" i="41"/>
  <c r="S3142" i="41"/>
  <c r="S3143" i="41"/>
  <c r="S3144" i="41"/>
  <c r="S3145" i="41"/>
  <c r="S3146" i="41"/>
  <c r="S3147" i="41"/>
  <c r="S3148" i="41"/>
  <c r="S3149" i="41"/>
  <c r="S3150" i="41"/>
  <c r="S3151" i="41"/>
  <c r="S3152" i="41"/>
  <c r="S3153" i="41"/>
  <c r="S3154" i="41"/>
  <c r="S3155" i="41"/>
  <c r="S3156" i="41"/>
  <c r="S3157" i="41"/>
  <c r="S3158" i="41"/>
  <c r="S3159" i="41"/>
  <c r="S3160" i="41"/>
  <c r="S3161" i="41"/>
  <c r="S3162" i="41"/>
  <c r="S3163" i="41"/>
  <c r="S3164" i="41"/>
  <c r="S3165" i="41"/>
  <c r="S3166" i="41"/>
  <c r="S3167" i="41"/>
  <c r="S3168" i="41"/>
  <c r="S3169" i="41"/>
  <c r="S3170" i="41"/>
  <c r="S3171" i="41"/>
  <c r="S3173" i="41"/>
  <c r="S3174" i="41"/>
  <c r="S3175" i="41"/>
  <c r="S3176" i="41"/>
  <c r="S3177" i="41"/>
  <c r="S3178" i="41"/>
  <c r="S3179" i="41"/>
  <c r="S3180" i="41"/>
  <c r="S3181" i="41"/>
  <c r="S3182" i="41"/>
  <c r="S3183" i="41"/>
  <c r="S3184" i="41"/>
  <c r="S3185" i="41"/>
  <c r="S3186" i="41"/>
  <c r="S3187" i="41"/>
  <c r="S3188" i="41"/>
  <c r="S3189" i="41"/>
  <c r="S3190" i="41"/>
  <c r="S3191" i="41"/>
  <c r="S3192" i="41"/>
  <c r="S3193" i="41"/>
  <c r="S3194" i="41"/>
  <c r="S3195" i="41"/>
  <c r="S3196" i="41"/>
  <c r="S3197" i="41"/>
  <c r="S3198" i="41"/>
  <c r="S3199" i="41"/>
  <c r="S3200" i="41"/>
  <c r="S3201" i="41"/>
  <c r="S3202" i="41"/>
  <c r="S3203" i="41"/>
  <c r="S3204" i="41"/>
  <c r="S3205" i="41"/>
  <c r="S3206" i="41"/>
  <c r="S3207" i="41"/>
  <c r="S3208" i="41"/>
  <c r="S3209" i="41"/>
  <c r="S3210" i="41"/>
  <c r="S3211" i="41"/>
  <c r="S3212" i="41"/>
  <c r="S3213" i="41"/>
  <c r="S3214" i="41"/>
  <c r="S3215" i="41"/>
  <c r="S3216" i="41"/>
  <c r="S3217" i="41"/>
  <c r="S3218" i="41"/>
  <c r="S3219" i="41"/>
  <c r="S3220" i="41"/>
  <c r="S3221" i="41"/>
  <c r="S3222" i="41"/>
  <c r="S3223" i="41"/>
  <c r="S3224" i="41"/>
  <c r="S3225" i="41"/>
  <c r="S3226" i="41"/>
  <c r="S3227" i="41"/>
  <c r="S3228" i="41"/>
  <c r="S3229" i="41"/>
  <c r="S3230" i="41"/>
  <c r="S3231" i="41"/>
  <c r="S3232" i="41"/>
  <c r="S3233" i="41"/>
  <c r="S3234" i="41"/>
  <c r="S3235" i="41"/>
  <c r="S3236" i="41"/>
  <c r="S3237" i="41"/>
  <c r="S3238" i="41"/>
  <c r="S3239" i="41"/>
  <c r="S3240" i="41"/>
  <c r="S3241" i="41"/>
  <c r="S3242" i="41"/>
  <c r="S3243" i="41"/>
  <c r="S3244" i="41"/>
  <c r="S3245" i="41"/>
  <c r="S3246" i="41"/>
  <c r="S3247" i="41"/>
  <c r="S3248" i="41"/>
  <c r="S3250" i="41"/>
  <c r="S3251" i="41"/>
  <c r="S3252" i="41"/>
  <c r="S3253" i="41"/>
  <c r="S3254" i="41"/>
  <c r="S3255" i="41"/>
  <c r="S3256" i="41"/>
  <c r="S3257" i="41"/>
  <c r="S3258" i="41"/>
  <c r="S3259" i="41"/>
  <c r="S3260" i="41"/>
  <c r="S3261" i="41"/>
  <c r="S3262" i="41"/>
  <c r="S3263" i="41"/>
  <c r="S3264" i="41"/>
  <c r="S3266" i="41"/>
  <c r="S3267" i="41"/>
  <c r="S3268" i="41"/>
  <c r="S3269" i="41"/>
  <c r="S3270" i="41"/>
  <c r="S3271" i="41"/>
  <c r="S3272" i="41"/>
  <c r="S3273" i="41"/>
  <c r="S3274" i="41"/>
  <c r="S3275" i="41"/>
  <c r="S3276" i="41"/>
  <c r="S3277" i="41"/>
  <c r="S3278" i="41"/>
  <c r="S3279" i="41"/>
  <c r="S3280" i="41"/>
  <c r="S3281" i="41"/>
  <c r="S3282" i="41"/>
  <c r="S3283" i="41"/>
  <c r="S3284" i="41"/>
  <c r="S3285" i="41"/>
  <c r="S3286" i="41"/>
  <c r="S3288" i="41"/>
  <c r="S3289" i="41"/>
  <c r="S3290" i="41"/>
  <c r="S3291" i="41"/>
  <c r="S3292" i="41"/>
  <c r="S3293" i="41"/>
  <c r="S3294" i="41"/>
  <c r="S3295" i="41"/>
  <c r="S3297" i="41"/>
  <c r="S3298" i="41"/>
  <c r="S3299" i="41"/>
  <c r="S3300" i="41"/>
  <c r="S3301" i="41"/>
  <c r="S3302" i="41"/>
  <c r="S3303" i="41"/>
  <c r="S3304" i="41"/>
  <c r="S3305" i="41"/>
  <c r="S3306" i="41"/>
  <c r="S3307" i="41"/>
  <c r="S3308" i="41"/>
  <c r="S3309" i="41"/>
  <c r="S3310" i="41"/>
  <c r="S3311" i="41"/>
  <c r="S3312" i="41"/>
  <c r="S3313" i="41"/>
  <c r="S3315" i="41"/>
  <c r="S3316" i="41"/>
  <c r="S3317" i="41"/>
  <c r="S3318" i="41"/>
  <c r="S3319" i="41"/>
  <c r="S3320" i="41"/>
  <c r="S3321" i="41"/>
  <c r="S3322" i="41"/>
  <c r="S3323" i="41"/>
  <c r="S3324" i="41"/>
  <c r="S3325" i="41"/>
  <c r="S3326" i="41"/>
  <c r="S3327" i="41"/>
  <c r="S3328" i="41"/>
  <c r="S3329" i="41"/>
  <c r="S3330" i="41"/>
  <c r="S3331" i="41"/>
  <c r="S3332" i="41"/>
  <c r="S3333" i="41"/>
  <c r="S3334" i="41"/>
  <c r="S3335" i="41"/>
  <c r="S3336" i="41"/>
  <c r="S3337" i="41"/>
  <c r="S3338" i="41"/>
  <c r="S3339" i="41"/>
  <c r="S3340" i="41"/>
  <c r="S3341" i="41"/>
  <c r="S3342" i="41"/>
  <c r="S3343" i="41"/>
  <c r="S3344" i="41"/>
  <c r="S3345" i="41"/>
  <c r="S3346" i="41"/>
  <c r="S3347" i="41"/>
  <c r="S3348" i="41"/>
  <c r="S3349" i="41"/>
  <c r="S3350" i="41"/>
  <c r="S3351" i="41"/>
  <c r="S3352" i="41"/>
  <c r="S3353" i="41"/>
  <c r="S3354" i="41"/>
  <c r="S3355" i="41"/>
  <c r="S3356" i="41"/>
  <c r="S3357" i="41"/>
  <c r="S3358" i="41"/>
  <c r="S3359" i="41"/>
  <c r="S3360" i="41"/>
  <c r="S3361" i="41"/>
  <c r="S3362" i="41"/>
  <c r="S3363" i="41"/>
  <c r="S3364" i="41"/>
  <c r="S3366" i="41"/>
  <c r="S3367" i="41"/>
  <c r="S3368" i="41"/>
  <c r="S3369" i="41"/>
  <c r="S3370" i="41"/>
  <c r="S3372" i="41"/>
  <c r="S3373" i="41"/>
  <c r="S3374" i="41"/>
  <c r="S3375" i="41"/>
  <c r="S3376" i="41"/>
  <c r="S3377" i="41"/>
  <c r="S3378" i="41"/>
  <c r="S3379" i="41"/>
  <c r="S3380" i="41"/>
  <c r="S3381" i="41"/>
  <c r="S3382" i="41"/>
  <c r="S3383" i="41"/>
  <c r="S3384" i="41"/>
  <c r="S3385" i="41"/>
  <c r="S3386" i="41"/>
  <c r="S3387" i="41"/>
  <c r="S3389" i="41"/>
  <c r="S3390" i="41"/>
  <c r="S3391" i="41"/>
  <c r="S3392" i="41"/>
  <c r="S3393" i="41"/>
  <c r="S3394" i="41"/>
  <c r="S3395" i="41"/>
  <c r="S3396" i="41"/>
  <c r="S3397" i="41"/>
  <c r="S3398" i="41"/>
  <c r="S3399" i="41"/>
  <c r="S3400" i="41"/>
  <c r="S3401" i="41"/>
  <c r="S3402" i="41"/>
  <c r="S3403" i="41"/>
  <c r="S3404" i="41"/>
  <c r="S3405" i="41"/>
  <c r="S3406" i="41"/>
  <c r="S3407" i="41"/>
  <c r="S3408" i="41"/>
  <c r="S3409" i="41"/>
  <c r="S3410" i="41"/>
  <c r="S3411" i="41"/>
  <c r="S3412" i="41"/>
  <c r="S3413" i="41"/>
  <c r="S3414" i="41"/>
  <c r="S3415" i="41"/>
  <c r="S3416" i="41"/>
  <c r="S3417" i="41"/>
  <c r="S3418" i="41"/>
  <c r="S3420" i="41"/>
  <c r="S3421" i="41"/>
  <c r="S3422" i="41"/>
  <c r="S3423" i="41"/>
  <c r="S3424" i="41"/>
  <c r="S3425" i="41"/>
  <c r="S3426" i="41"/>
  <c r="S3427" i="41"/>
  <c r="S3428" i="41"/>
  <c r="S3429" i="41"/>
  <c r="S3430" i="41"/>
  <c r="S3431" i="41"/>
  <c r="S3432" i="41"/>
  <c r="S3433" i="41"/>
  <c r="S3434" i="41"/>
  <c r="S3435" i="41"/>
  <c r="S3437" i="41"/>
  <c r="S3438" i="41"/>
  <c r="S3439" i="41"/>
  <c r="S3440" i="41"/>
  <c r="S3441" i="41"/>
  <c r="S3442" i="41"/>
  <c r="S3443" i="41"/>
  <c r="S3444" i="41"/>
  <c r="S3445" i="41"/>
  <c r="S3446" i="41"/>
  <c r="S3447" i="41"/>
  <c r="S3448" i="41"/>
  <c r="S3449" i="41"/>
  <c r="S3450" i="41"/>
  <c r="S3451" i="41"/>
  <c r="S3452" i="41"/>
  <c r="S3453" i="41"/>
  <c r="S3454" i="41"/>
  <c r="S3455" i="41"/>
  <c r="S3456" i="41"/>
  <c r="S3457" i="41"/>
  <c r="S3458" i="41"/>
  <c r="S3459" i="41"/>
  <c r="S3460" i="41"/>
  <c r="S3461" i="41"/>
  <c r="S3462" i="41"/>
  <c r="S3463" i="41"/>
  <c r="S3464" i="41"/>
  <c r="S3465" i="41"/>
  <c r="S3466" i="41"/>
  <c r="S3467" i="41"/>
  <c r="S3468" i="41"/>
  <c r="S3469" i="41"/>
  <c r="S3470" i="41"/>
  <c r="S3471" i="41"/>
  <c r="S3472" i="41"/>
  <c r="S3473" i="41"/>
  <c r="S3474" i="41"/>
  <c r="S3475" i="41"/>
  <c r="S3476" i="41"/>
  <c r="S3477" i="41"/>
  <c r="S3478" i="41"/>
  <c r="S3479" i="41"/>
  <c r="S3480" i="41"/>
  <c r="S3481" i="41"/>
  <c r="S3482" i="41"/>
  <c r="S3483" i="41"/>
  <c r="S3484" i="41"/>
  <c r="S3485" i="41"/>
  <c r="S3486" i="41"/>
  <c r="S3487" i="41"/>
  <c r="S3488" i="41"/>
  <c r="S3489" i="41"/>
  <c r="S3490" i="41"/>
  <c r="S3491" i="41"/>
  <c r="S3492" i="41"/>
  <c r="S3493" i="41"/>
  <c r="S3494" i="41"/>
  <c r="S3495" i="41"/>
  <c r="S3496" i="41"/>
  <c r="S3497" i="41"/>
  <c r="S3498" i="41"/>
  <c r="S3499" i="41"/>
  <c r="S3500" i="41"/>
  <c r="S3501" i="41"/>
  <c r="S3502" i="41"/>
  <c r="S3503" i="41"/>
  <c r="S3504" i="41"/>
  <c r="S3505" i="41"/>
  <c r="S3506" i="41"/>
  <c r="S3507" i="41"/>
  <c r="S3508" i="41"/>
  <c r="S3509" i="41"/>
  <c r="S3510" i="41"/>
  <c r="S3511" i="41"/>
  <c r="S3512" i="41"/>
  <c r="S3513" i="41"/>
  <c r="S3514" i="41"/>
  <c r="S3515" i="41"/>
  <c r="S3516" i="41"/>
  <c r="S3517" i="41"/>
  <c r="S3518" i="41"/>
  <c r="S3519" i="41"/>
  <c r="S3521" i="41"/>
  <c r="S3522" i="41"/>
  <c r="S3523" i="41"/>
  <c r="S3524" i="41"/>
  <c r="S3525" i="41"/>
  <c r="S3526" i="41"/>
  <c r="S3527" i="41"/>
  <c r="S3528" i="41"/>
  <c r="S3529" i="41"/>
  <c r="S3530" i="41"/>
  <c r="S3531" i="41"/>
  <c r="S3532" i="41"/>
  <c r="S3533" i="41"/>
  <c r="S3534" i="41"/>
  <c r="S3535" i="41"/>
  <c r="S3536" i="41"/>
  <c r="S3537" i="41"/>
  <c r="S3538" i="41"/>
  <c r="S3539" i="41"/>
  <c r="S3540" i="41"/>
  <c r="S3541" i="41"/>
  <c r="S3542" i="41"/>
  <c r="S3543" i="41"/>
  <c r="S3544" i="41"/>
  <c r="S3545" i="41"/>
  <c r="S3546" i="41"/>
  <c r="S3547" i="41"/>
  <c r="S3548" i="41"/>
  <c r="S3549" i="41"/>
  <c r="S3550" i="41"/>
  <c r="S3551" i="41"/>
  <c r="S3552" i="41"/>
  <c r="S3553" i="41"/>
  <c r="S3554" i="41"/>
  <c r="S3555" i="41"/>
  <c r="S3556" i="41"/>
  <c r="S3557" i="41"/>
  <c r="S3558" i="41"/>
  <c r="S3559" i="41"/>
  <c r="S3560" i="41"/>
  <c r="S3561" i="41"/>
  <c r="S3562" i="41"/>
  <c r="S3563" i="41"/>
  <c r="S3564" i="41"/>
  <c r="S3565" i="41"/>
  <c r="S3566" i="41"/>
  <c r="S3567" i="41"/>
  <c r="S3568" i="41"/>
  <c r="S3569" i="41"/>
  <c r="S3570" i="41"/>
  <c r="S3571" i="41"/>
  <c r="S3572" i="41"/>
  <c r="S3573" i="41"/>
  <c r="S3574" i="41"/>
  <c r="S3575" i="41"/>
  <c r="S3576" i="41"/>
  <c r="S3577" i="41"/>
  <c r="S3579" i="41"/>
  <c r="S3580" i="41"/>
  <c r="S3581" i="41"/>
  <c r="S3582" i="41"/>
  <c r="S3584" i="41"/>
  <c r="S3585" i="41"/>
  <c r="S3586" i="41"/>
  <c r="S3588" i="41"/>
  <c r="S3589" i="41"/>
  <c r="S3590" i="41"/>
  <c r="S3591" i="41"/>
  <c r="S3592" i="41"/>
  <c r="S3593" i="41"/>
  <c r="S3594" i="41"/>
  <c r="S3595" i="41"/>
  <c r="S3596" i="41"/>
  <c r="S3597" i="41"/>
  <c r="S3598" i="41"/>
  <c r="S3599" i="41"/>
  <c r="S3600" i="41"/>
  <c r="S3601" i="41"/>
  <c r="S3602" i="41"/>
  <c r="S3603" i="41"/>
  <c r="S3604" i="41"/>
  <c r="S3605" i="41"/>
  <c r="S3606" i="41"/>
  <c r="S3607" i="41"/>
  <c r="S3608" i="41"/>
  <c r="S3609" i="41"/>
  <c r="S3610" i="41"/>
  <c r="S3611" i="41"/>
  <c r="S3612" i="41"/>
  <c r="S3613" i="41"/>
  <c r="S3614" i="41"/>
  <c r="S3615" i="41"/>
  <c r="S3616" i="41"/>
  <c r="S3617" i="41"/>
  <c r="S3618" i="41"/>
  <c r="S3619" i="41"/>
  <c r="S3620" i="41"/>
  <c r="S3621" i="41"/>
  <c r="S3622" i="41"/>
  <c r="S3623" i="41"/>
  <c r="S3624" i="41"/>
  <c r="S3625" i="41"/>
  <c r="S3626" i="41"/>
  <c r="S3627" i="41"/>
  <c r="S3628" i="41"/>
  <c r="S3629" i="41"/>
  <c r="S3630" i="41"/>
  <c r="S3632" i="41"/>
  <c r="S3633" i="41"/>
  <c r="S3634" i="41"/>
  <c r="S3635" i="41"/>
  <c r="S3636" i="41"/>
  <c r="S3637" i="41"/>
  <c r="S3638" i="41"/>
  <c r="S3639" i="41"/>
  <c r="S3640" i="41"/>
  <c r="S3641" i="41"/>
  <c r="S3642" i="41"/>
  <c r="S3643" i="41"/>
  <c r="S3644" i="41"/>
  <c r="S3645" i="41"/>
  <c r="S3646" i="41"/>
  <c r="S3647" i="41"/>
  <c r="S3648" i="41"/>
  <c r="S3649" i="41"/>
  <c r="S3650" i="41"/>
  <c r="S3651" i="41"/>
  <c r="S3652" i="41"/>
  <c r="S3653" i="41"/>
  <c r="S3654" i="41"/>
  <c r="S3655" i="41"/>
  <c r="S3656" i="41"/>
  <c r="S3657" i="41"/>
  <c r="S3658" i="41"/>
  <c r="S3659" i="41"/>
  <c r="S3660" i="41"/>
  <c r="S3661" i="41"/>
  <c r="S3662" i="41"/>
  <c r="S3663" i="41"/>
  <c r="S3664" i="41"/>
  <c r="S3665" i="41"/>
  <c r="S3666" i="41"/>
  <c r="S3667" i="41"/>
  <c r="S3668" i="41"/>
  <c r="S3669" i="41"/>
  <c r="S3670" i="41"/>
  <c r="S3671" i="41"/>
  <c r="S3672" i="41"/>
  <c r="S3673" i="41"/>
  <c r="S3674" i="41"/>
  <c r="S3675" i="41"/>
  <c r="S3676" i="41"/>
  <c r="S3677" i="41"/>
  <c r="S3678" i="41"/>
  <c r="S3679" i="41"/>
  <c r="S3680" i="41"/>
  <c r="S3681" i="41"/>
  <c r="S3682" i="41"/>
  <c r="S3683" i="41"/>
  <c r="S3684" i="41"/>
  <c r="S3685" i="41"/>
  <c r="S3686" i="41"/>
  <c r="S3687" i="41"/>
  <c r="S3688" i="41"/>
  <c r="S3689" i="41"/>
  <c r="S3690" i="41"/>
  <c r="S3692" i="41"/>
  <c r="S3693" i="41"/>
  <c r="S3694" i="41"/>
  <c r="S3695" i="41"/>
  <c r="S3696" i="41"/>
  <c r="S3697" i="41"/>
  <c r="S3698" i="41"/>
  <c r="S3699" i="41"/>
  <c r="S3700" i="41"/>
  <c r="S3701" i="41"/>
  <c r="S3702" i="41"/>
  <c r="S3703" i="41"/>
  <c r="S3704" i="41"/>
  <c r="S3705" i="41"/>
  <c r="S3706" i="41"/>
  <c r="S3708" i="41"/>
  <c r="S3709" i="41"/>
  <c r="S3710" i="41"/>
  <c r="S3711" i="41"/>
  <c r="S3712" i="41"/>
  <c r="S3713" i="41"/>
  <c r="S3714" i="41"/>
  <c r="S3715" i="41"/>
  <c r="S3716" i="41"/>
  <c r="S3717" i="41"/>
  <c r="S3718" i="41"/>
  <c r="S3719" i="41"/>
  <c r="S3720" i="41"/>
  <c r="S3721" i="41"/>
  <c r="S3722" i="41"/>
  <c r="S3723" i="41"/>
  <c r="S3724" i="41"/>
  <c r="S3725" i="41"/>
  <c r="S3726" i="41"/>
  <c r="S3727" i="41"/>
  <c r="S3728" i="41"/>
  <c r="S3729" i="41"/>
  <c r="S3730" i="41"/>
  <c r="S3731" i="41"/>
  <c r="S3732" i="41"/>
  <c r="S3733" i="41"/>
  <c r="S3734" i="41"/>
  <c r="S3735" i="41"/>
  <c r="S3736" i="41"/>
  <c r="S3737" i="41"/>
  <c r="S3738" i="41"/>
  <c r="S3739" i="41"/>
  <c r="S3740" i="41"/>
  <c r="S3741" i="41"/>
  <c r="S3742" i="41"/>
  <c r="S3743" i="41"/>
  <c r="S3744" i="41"/>
  <c r="S3746" i="41"/>
  <c r="S3747" i="41"/>
  <c r="S3748" i="41"/>
  <c r="S3750" i="41"/>
  <c r="S3751" i="41"/>
  <c r="S3752" i="41"/>
  <c r="S3753" i="41"/>
  <c r="S3754" i="41"/>
  <c r="S3755" i="41"/>
  <c r="S3756" i="41"/>
  <c r="S3757" i="41"/>
  <c r="S3758" i="41"/>
  <c r="S3759" i="41"/>
  <c r="S3760" i="41"/>
  <c r="S3761" i="41"/>
  <c r="S3762" i="41"/>
  <c r="S3763" i="41"/>
  <c r="S3764" i="41"/>
  <c r="S3765" i="41"/>
  <c r="S3766" i="41"/>
  <c r="S3767" i="41"/>
  <c r="S3768" i="41"/>
  <c r="S3769" i="41"/>
  <c r="S3770" i="41"/>
  <c r="S3771" i="41"/>
  <c r="S3772" i="41"/>
  <c r="S3773" i="41"/>
  <c r="S3774" i="41"/>
  <c r="S3775" i="41"/>
  <c r="S3777" i="41"/>
  <c r="S3778" i="41"/>
  <c r="S3779" i="41"/>
  <c r="S3780" i="41"/>
  <c r="S3781" i="41"/>
  <c r="S3782" i="41"/>
  <c r="S3783" i="41"/>
  <c r="S3784" i="41"/>
  <c r="S3785" i="41"/>
  <c r="S3786" i="41"/>
  <c r="S3787" i="41"/>
  <c r="S3788" i="41"/>
  <c r="S3789" i="41"/>
  <c r="S3790" i="41"/>
  <c r="S3791" i="41"/>
  <c r="S3792" i="41"/>
  <c r="S3793" i="41"/>
  <c r="S3794" i="41"/>
  <c r="S3795" i="41"/>
  <c r="S3796" i="41"/>
  <c r="S3797" i="41"/>
  <c r="S3798" i="41"/>
  <c r="S3799" i="41"/>
  <c r="S3800" i="41"/>
  <c r="S3801" i="41"/>
  <c r="S3802" i="41"/>
  <c r="S3803" i="41"/>
  <c r="S3804" i="41"/>
  <c r="S3805" i="41"/>
  <c r="S3806" i="41"/>
  <c r="S3807" i="41"/>
  <c r="S3808" i="41"/>
  <c r="S3809" i="41"/>
  <c r="S3810" i="41"/>
  <c r="S3811" i="41"/>
  <c r="S3812" i="41"/>
  <c r="S3813" i="41"/>
  <c r="S3814" i="41"/>
  <c r="S3815" i="41"/>
  <c r="S3816" i="41"/>
  <c r="S3817" i="41"/>
  <c r="S3818" i="41"/>
  <c r="S3819" i="41"/>
  <c r="S3820" i="41"/>
  <c r="S3821" i="41"/>
  <c r="S3823" i="41"/>
  <c r="S3824" i="41"/>
  <c r="S3825" i="41"/>
  <c r="S3826" i="41"/>
  <c r="S3827" i="41"/>
  <c r="S3828" i="41"/>
  <c r="S3829" i="41"/>
  <c r="S3830" i="41"/>
  <c r="S3831" i="41"/>
  <c r="S3832" i="41"/>
  <c r="S3833" i="41"/>
  <c r="S3834" i="41"/>
  <c r="S3835" i="41"/>
  <c r="S3836" i="41"/>
  <c r="S3837" i="41"/>
  <c r="S3839" i="41"/>
  <c r="S3840" i="41"/>
  <c r="S3841" i="41"/>
  <c r="S3842" i="41"/>
  <c r="S3843" i="41"/>
  <c r="S3844" i="41"/>
  <c r="S3845" i="41"/>
  <c r="S3846" i="41"/>
  <c r="S3847" i="41"/>
  <c r="S3848" i="41"/>
  <c r="S3849" i="41"/>
  <c r="S3850" i="41"/>
  <c r="S3851" i="41"/>
  <c r="S3852" i="41"/>
  <c r="S3853" i="41"/>
  <c r="S3854" i="41"/>
  <c r="S3855" i="41"/>
  <c r="S3856" i="41"/>
  <c r="S3857" i="41"/>
  <c r="S3858" i="41"/>
  <c r="S3859" i="41"/>
  <c r="S3860" i="41"/>
  <c r="S3861" i="41"/>
  <c r="S3862" i="41"/>
  <c r="S3863" i="41"/>
  <c r="S3864" i="41"/>
  <c r="S3865" i="41"/>
  <c r="S3866" i="41"/>
  <c r="S3867" i="41"/>
  <c r="S3868" i="41"/>
  <c r="S3869" i="41"/>
  <c r="S3870" i="41"/>
  <c r="S3871" i="41"/>
  <c r="S3872" i="41"/>
  <c r="S3873" i="41"/>
  <c r="S3874" i="41"/>
  <c r="S3875" i="41"/>
  <c r="S3876" i="41"/>
  <c r="S3877" i="41"/>
  <c r="S3878" i="41"/>
  <c r="S3879" i="41"/>
  <c r="S3880" i="41"/>
  <c r="S3881" i="41"/>
  <c r="S3883" i="41"/>
  <c r="S3884" i="41"/>
  <c r="S3885" i="41"/>
  <c r="S3886" i="41"/>
  <c r="S3887" i="41"/>
  <c r="S3888" i="41"/>
  <c r="S3889" i="41"/>
  <c r="S3890" i="41"/>
  <c r="S3891" i="41"/>
  <c r="S3892" i="41"/>
  <c r="S3893" i="41"/>
  <c r="S3894" i="41"/>
  <c r="S3895" i="41"/>
  <c r="S3896" i="41"/>
  <c r="S3897" i="41"/>
  <c r="S3898" i="41"/>
  <c r="S3899" i="41"/>
  <c r="S3900" i="41"/>
  <c r="S3901" i="41"/>
  <c r="S3902" i="41"/>
  <c r="S3903" i="41"/>
  <c r="S3904" i="41"/>
  <c r="S3905" i="41"/>
  <c r="S3906" i="41"/>
  <c r="S3907" i="41"/>
  <c r="S3908" i="41"/>
  <c r="S3909" i="41"/>
  <c r="S3910" i="41"/>
  <c r="S3912" i="41"/>
  <c r="S3913" i="41"/>
  <c r="S3914" i="41"/>
  <c r="S3915" i="41"/>
  <c r="S3916" i="41"/>
  <c r="S3917" i="41"/>
  <c r="S3918" i="41"/>
  <c r="S3919" i="41"/>
  <c r="S3920" i="41"/>
  <c r="S3921" i="41"/>
  <c r="S3922" i="41"/>
  <c r="S3923" i="41"/>
  <c r="S3924" i="41"/>
  <c r="S3925" i="41"/>
  <c r="S3926" i="41"/>
  <c r="S3927" i="41"/>
  <c r="S3928" i="41"/>
  <c r="S3929" i="41"/>
  <c r="S3930" i="41"/>
  <c r="S3931" i="41"/>
  <c r="S3932" i="41"/>
  <c r="S3933" i="41"/>
  <c r="S3934" i="41"/>
  <c r="S3935" i="41"/>
  <c r="S3936" i="41"/>
  <c r="S3937" i="41"/>
  <c r="S3938" i="41"/>
  <c r="S3939" i="41"/>
  <c r="S3940" i="41"/>
  <c r="S3941" i="41"/>
  <c r="S3942" i="41"/>
  <c r="S3943" i="41"/>
  <c r="S3945" i="41"/>
  <c r="S3946" i="41"/>
  <c r="S3947" i="41"/>
  <c r="S3948" i="41"/>
  <c r="S3949" i="41"/>
  <c r="S3951" i="41"/>
  <c r="S3952" i="41"/>
  <c r="S3953" i="41"/>
  <c r="S3954" i="41"/>
  <c r="S3955" i="41"/>
  <c r="S3956" i="41"/>
  <c r="S3957" i="41"/>
  <c r="S3958" i="41"/>
  <c r="S3959" i="41"/>
  <c r="S3960" i="41"/>
  <c r="S3961" i="41"/>
  <c r="S3962" i="41"/>
  <c r="S3963" i="41"/>
  <c r="S3964" i="41"/>
  <c r="S3965" i="41"/>
  <c r="S3966" i="41"/>
  <c r="S3967" i="41"/>
  <c r="S3968" i="41"/>
  <c r="S3969" i="41"/>
  <c r="S3970" i="41"/>
  <c r="S3971" i="41"/>
  <c r="S3972" i="41"/>
  <c r="S3973" i="41"/>
  <c r="S3974" i="41"/>
  <c r="S3976" i="41"/>
  <c r="S3977" i="41"/>
  <c r="S3978" i="41"/>
  <c r="S3979" i="41"/>
  <c r="S3980" i="41"/>
  <c r="S3981" i="41"/>
  <c r="S3983" i="41"/>
  <c r="S3984" i="41"/>
  <c r="S3985" i="41"/>
  <c r="S3986" i="41"/>
  <c r="S3987" i="41"/>
  <c r="S3988" i="41"/>
  <c r="S3989" i="41"/>
  <c r="S3990" i="41"/>
  <c r="S3991" i="41"/>
  <c r="S3992" i="41"/>
  <c r="S3993" i="41"/>
  <c r="S3994" i="41"/>
  <c r="S3995" i="41"/>
  <c r="S3996" i="41"/>
  <c r="S3997" i="41"/>
  <c r="S3998" i="41"/>
  <c r="S3999" i="41"/>
  <c r="S4000" i="41"/>
  <c r="S4001" i="41"/>
  <c r="S4002" i="41"/>
  <c r="S4003" i="41"/>
  <c r="S4004" i="41"/>
  <c r="S4005" i="41"/>
  <c r="S4006" i="41"/>
  <c r="S4007" i="41"/>
  <c r="S4008" i="41"/>
  <c r="S4009" i="41"/>
  <c r="S4010" i="41"/>
  <c r="S4011" i="41"/>
  <c r="S4012" i="41"/>
  <c r="S4013" i="41"/>
  <c r="S4014" i="41"/>
  <c r="S4015" i="41"/>
  <c r="S4016" i="41"/>
  <c r="S4017" i="41"/>
  <c r="S4018" i="41"/>
  <c r="S4019" i="41"/>
  <c r="S4020" i="41"/>
  <c r="S4022" i="41"/>
  <c r="S4023" i="41"/>
  <c r="S4024" i="41"/>
  <c r="S4025" i="41"/>
  <c r="S4026" i="41"/>
  <c r="S4027" i="41"/>
  <c r="S4028" i="41"/>
  <c r="S4029" i="41"/>
  <c r="S4030" i="41"/>
  <c r="S4031" i="41"/>
  <c r="S4032" i="41"/>
  <c r="S4033" i="41"/>
  <c r="S4034" i="41"/>
  <c r="S4035" i="41"/>
  <c r="S4036" i="41"/>
  <c r="S4037" i="41"/>
  <c r="S4038" i="41"/>
  <c r="S4039" i="41"/>
  <c r="S4041" i="41"/>
  <c r="S4042" i="41"/>
  <c r="S4043" i="41"/>
  <c r="S4044" i="41"/>
  <c r="S4045" i="41"/>
  <c r="S4046" i="41"/>
  <c r="S4047" i="41"/>
  <c r="S4048" i="41"/>
  <c r="S4049" i="41"/>
  <c r="S4050" i="41"/>
  <c r="S4051" i="41"/>
  <c r="S4052" i="41"/>
  <c r="S4053" i="41"/>
  <c r="S4054" i="41"/>
  <c r="S4055" i="41"/>
  <c r="S4056" i="41"/>
  <c r="S4057" i="41"/>
  <c r="S4058" i="41"/>
  <c r="S4059" i="41"/>
  <c r="S4060" i="41"/>
  <c r="S4061" i="41"/>
  <c r="S4062" i="41"/>
  <c r="S4063" i="41"/>
  <c r="S4064" i="41"/>
  <c r="S4065" i="41"/>
  <c r="S4066" i="41"/>
  <c r="S4067" i="41"/>
  <c r="S4068" i="41"/>
  <c r="S4069" i="41"/>
  <c r="S4070" i="41"/>
  <c r="S4071" i="41"/>
  <c r="S4072" i="41"/>
  <c r="S4073" i="41"/>
  <c r="S4074" i="41"/>
  <c r="S4076" i="41"/>
  <c r="S4077" i="41"/>
  <c r="S4078" i="41"/>
  <c r="S4079" i="41"/>
  <c r="S4080" i="41"/>
  <c r="S4081" i="41"/>
  <c r="S4082" i="41"/>
  <c r="S4083" i="41"/>
  <c r="S4084" i="41"/>
  <c r="S4085" i="41"/>
  <c r="S4086" i="41"/>
  <c r="S4087" i="41"/>
  <c r="S4088" i="41"/>
  <c r="S4089" i="41"/>
  <c r="S4090" i="41"/>
  <c r="S4091" i="41"/>
  <c r="S4092" i="41"/>
  <c r="S4093" i="41"/>
  <c r="S4094" i="41"/>
  <c r="S4095" i="41"/>
  <c r="S4096" i="41"/>
  <c r="S4097" i="41"/>
  <c r="S4098" i="41"/>
  <c r="S4099" i="41"/>
  <c r="S4100" i="41"/>
  <c r="S4102" i="41"/>
  <c r="S4103" i="41"/>
  <c r="S4104" i="41"/>
  <c r="S4105" i="41"/>
  <c r="S4106" i="41"/>
  <c r="S4107" i="41"/>
  <c r="S4108" i="41"/>
  <c r="S4109" i="41"/>
  <c r="S4110" i="41"/>
  <c r="S4111" i="41"/>
  <c r="S4112" i="41"/>
  <c r="S4113" i="41"/>
  <c r="S4114" i="41"/>
  <c r="S4115" i="41"/>
  <c r="S4116" i="41"/>
  <c r="S4117" i="41"/>
  <c r="S4118" i="41"/>
  <c r="S4119" i="41"/>
  <c r="S4120" i="41"/>
  <c r="S4121" i="41"/>
  <c r="S4122" i="41"/>
  <c r="S4123" i="41"/>
  <c r="S4124" i="41"/>
  <c r="S4125" i="41"/>
  <c r="S4126" i="41"/>
  <c r="S4127" i="41"/>
  <c r="S4128" i="41"/>
  <c r="S4129" i="41"/>
  <c r="S4130" i="41"/>
  <c r="S4131" i="41"/>
  <c r="S4132" i="41"/>
  <c r="S4133" i="41"/>
  <c r="S4134" i="41"/>
  <c r="S4135" i="41"/>
  <c r="S4136" i="41"/>
  <c r="S4137" i="41"/>
  <c r="S4138" i="41"/>
  <c r="S4139" i="41"/>
  <c r="S4140" i="41"/>
  <c r="S4141" i="41"/>
  <c r="S4142" i="41"/>
  <c r="S4143" i="41"/>
  <c r="S4144" i="41"/>
  <c r="S4145" i="41"/>
  <c r="S4146" i="41"/>
  <c r="S4147" i="41"/>
  <c r="S4148" i="41"/>
  <c r="S4149" i="41"/>
  <c r="S4150" i="41"/>
  <c r="S4151" i="41"/>
  <c r="S4152" i="41"/>
  <c r="S4153" i="41"/>
  <c r="S4154" i="41"/>
  <c r="S4155" i="41"/>
  <c r="S4156" i="41"/>
  <c r="S4157" i="41"/>
  <c r="S4158" i="41"/>
  <c r="S4159" i="41"/>
  <c r="S4160" i="41"/>
  <c r="S4161" i="41"/>
  <c r="S4162" i="41"/>
  <c r="S4163" i="41"/>
  <c r="S4164" i="41"/>
  <c r="S4165" i="41"/>
  <c r="S4166" i="41"/>
  <c r="S4167" i="41"/>
  <c r="S4168" i="41"/>
  <c r="S4169" i="41"/>
  <c r="S4170" i="41"/>
  <c r="S4171" i="41"/>
  <c r="S4172" i="41"/>
  <c r="S4173" i="41"/>
  <c r="S4174" i="41"/>
  <c r="S4175" i="41"/>
  <c r="S4176" i="41"/>
  <c r="S4177" i="41"/>
  <c r="S4178" i="41"/>
  <c r="S4179" i="41"/>
  <c r="S4180" i="41"/>
  <c r="S4181" i="41"/>
  <c r="S4182" i="41"/>
  <c r="S4183" i="41"/>
  <c r="S4184" i="41"/>
  <c r="S4185" i="41"/>
  <c r="S4186" i="41"/>
  <c r="S4187" i="41"/>
  <c r="S4188" i="41"/>
  <c r="S4189" i="41"/>
  <c r="S4190" i="41"/>
  <c r="S4191" i="41"/>
  <c r="S4192" i="41"/>
  <c r="S4193" i="41"/>
  <c r="S4194" i="41"/>
  <c r="S4195" i="41"/>
  <c r="S4196" i="41"/>
  <c r="S4197" i="41"/>
  <c r="S4198" i="41"/>
  <c r="S4199" i="41"/>
  <c r="S4200" i="41"/>
  <c r="S4201" i="41"/>
  <c r="S4202" i="41"/>
  <c r="S4203" i="41"/>
  <c r="S4205" i="41"/>
  <c r="S4207" i="41"/>
  <c r="S4208" i="41"/>
  <c r="S4209" i="41"/>
  <c r="S4210" i="41"/>
  <c r="S4211" i="41"/>
  <c r="S4213" i="41"/>
  <c r="S4214" i="41"/>
  <c r="S4215" i="41"/>
  <c r="S4216" i="41"/>
  <c r="S4217" i="41"/>
  <c r="S4218" i="41"/>
  <c r="S4219" i="41"/>
  <c r="S4220" i="41"/>
  <c r="S4221" i="41"/>
  <c r="S4222" i="41"/>
  <c r="S4223" i="41"/>
  <c r="S4224" i="41"/>
  <c r="S4225" i="41"/>
  <c r="S4226" i="41"/>
  <c r="S4228" i="41"/>
  <c r="S4229" i="41"/>
  <c r="S4230" i="41"/>
  <c r="S4231" i="41"/>
  <c r="S4232" i="41"/>
  <c r="S4233" i="41"/>
  <c r="S4234" i="41"/>
  <c r="S4235" i="41"/>
  <c r="S4236" i="41"/>
  <c r="S4237" i="41"/>
  <c r="S4238" i="41"/>
  <c r="S4240" i="41"/>
  <c r="S4241" i="41"/>
  <c r="S4243" i="41"/>
  <c r="S4244" i="41"/>
  <c r="S4245" i="41"/>
  <c r="S4246" i="41"/>
  <c r="S4247" i="41"/>
  <c r="S4248" i="41"/>
  <c r="S4249" i="41"/>
  <c r="S4250" i="41"/>
  <c r="S4251" i="41"/>
  <c r="S4252" i="41"/>
  <c r="S4253" i="41"/>
  <c r="S4254" i="41"/>
  <c r="S4255" i="41"/>
  <c r="S4256" i="41"/>
  <c r="S4257" i="41"/>
  <c r="S4258" i="41"/>
  <c r="S4259" i="41"/>
  <c r="S4261" i="41"/>
  <c r="S4262" i="41"/>
  <c r="S4263" i="41"/>
  <c r="S4264" i="41"/>
  <c r="S4265" i="41"/>
  <c r="S4266" i="41"/>
  <c r="S4267" i="41"/>
  <c r="S4268" i="41"/>
  <c r="S4269" i="41"/>
  <c r="S4270" i="41"/>
  <c r="S4271" i="41"/>
  <c r="S4272" i="41"/>
  <c r="S4273" i="41"/>
  <c r="S4275" i="41"/>
  <c r="S4276" i="41"/>
  <c r="S4277" i="41"/>
  <c r="S4278" i="41"/>
  <c r="S4280" i="41"/>
  <c r="S4281" i="41"/>
  <c r="S4282" i="41"/>
  <c r="S4283" i="41"/>
  <c r="S4284" i="41"/>
  <c r="S4286" i="41"/>
  <c r="S4287" i="41"/>
  <c r="S4289" i="41"/>
  <c r="S4290" i="41"/>
  <c r="S4291" i="41"/>
  <c r="S4292" i="41"/>
  <c r="S4293" i="41"/>
  <c r="S4294" i="41"/>
  <c r="S4295" i="41"/>
  <c r="S4296" i="41"/>
  <c r="S4297" i="41"/>
  <c r="S4298" i="41"/>
  <c r="S4299" i="41"/>
  <c r="S4300" i="41"/>
  <c r="S4301" i="41"/>
  <c r="S4303" i="41"/>
  <c r="S4304" i="41"/>
  <c r="S4305" i="41"/>
  <c r="S4306" i="41"/>
  <c r="S4307" i="41"/>
  <c r="S4308" i="41"/>
  <c r="S4309" i="41"/>
  <c r="S4310" i="41"/>
  <c r="S4311" i="41"/>
  <c r="S4312" i="41"/>
  <c r="S4313" i="41"/>
  <c r="S4314" i="41"/>
  <c r="S4316" i="41"/>
  <c r="S4317" i="41"/>
  <c r="S4318" i="41"/>
  <c r="S4319" i="41"/>
  <c r="S4320" i="41"/>
  <c r="S4321" i="41"/>
  <c r="S4322" i="41"/>
  <c r="S4323" i="41"/>
  <c r="S4324" i="41"/>
  <c r="S4325" i="41"/>
  <c r="S4326" i="41"/>
  <c r="S4327" i="41"/>
  <c r="S4328" i="41"/>
  <c r="S4329" i="41"/>
  <c r="S4330" i="41"/>
  <c r="S4331" i="41"/>
  <c r="S4332" i="41"/>
  <c r="S4333" i="41"/>
  <c r="S4334" i="41"/>
  <c r="S4335" i="41"/>
  <c r="S4336" i="41"/>
  <c r="S4337" i="41"/>
  <c r="S4338" i="41"/>
  <c r="S4339" i="41"/>
  <c r="S4341" i="41"/>
  <c r="S4342" i="41"/>
  <c r="S4343" i="41"/>
  <c r="S4344" i="41"/>
  <c r="S4345" i="41"/>
  <c r="S4346" i="41"/>
  <c r="S4347" i="41"/>
  <c r="S4348" i="41"/>
  <c r="S4349" i="41"/>
  <c r="S4350" i="41"/>
  <c r="S4351" i="41"/>
  <c r="S4352" i="41"/>
  <c r="S4353" i="41"/>
  <c r="S4354" i="41"/>
  <c r="S4355" i="41"/>
  <c r="S4357" i="41"/>
  <c r="S4358" i="41"/>
  <c r="S4359" i="41"/>
  <c r="S4360" i="41"/>
  <c r="S4361" i="41"/>
  <c r="S4362" i="41"/>
  <c r="S4364" i="41"/>
  <c r="S4365" i="41"/>
  <c r="S4366" i="41"/>
  <c r="S4367" i="41"/>
  <c r="S4368" i="41"/>
  <c r="S4369" i="41"/>
  <c r="S4371" i="41"/>
  <c r="S4372" i="41"/>
  <c r="S4373" i="41"/>
  <c r="S4374" i="41"/>
  <c r="S4375" i="41"/>
  <c r="S4376" i="41"/>
  <c r="S4377" i="41"/>
  <c r="S4378" i="41"/>
  <c r="S4380" i="41"/>
  <c r="S4381" i="41"/>
  <c r="S4382" i="41"/>
  <c r="S4383" i="41"/>
  <c r="S4384" i="41"/>
  <c r="S4385" i="41"/>
  <c r="S4386" i="41"/>
  <c r="S4387" i="41"/>
  <c r="S4388" i="41"/>
  <c r="S4389" i="41"/>
  <c r="S4390" i="41"/>
  <c r="S4391" i="41"/>
  <c r="S4392" i="41"/>
  <c r="S4393" i="41"/>
  <c r="S4394" i="41"/>
  <c r="S4395" i="41"/>
  <c r="S4396" i="41"/>
  <c r="S4397" i="41"/>
  <c r="S4398" i="41"/>
  <c r="S4399" i="41"/>
  <c r="S4400" i="41"/>
  <c r="S4401" i="41"/>
  <c r="S4402" i="41"/>
  <c r="S4403" i="41"/>
  <c r="S4404" i="41"/>
  <c r="S4405" i="41"/>
  <c r="S4406" i="41"/>
  <c r="S4407" i="41"/>
  <c r="S4408" i="41"/>
  <c r="S4409" i="41"/>
  <c r="S4410" i="41"/>
  <c r="S4411" i="41"/>
  <c r="S4412" i="41"/>
  <c r="S4413" i="41"/>
  <c r="S4414" i="41"/>
  <c r="S4415" i="41"/>
  <c r="S4416" i="41"/>
  <c r="S4417" i="41"/>
  <c r="S4418" i="41"/>
  <c r="S4419" i="41"/>
  <c r="S4420" i="41"/>
  <c r="S4421" i="41"/>
  <c r="S4422" i="41"/>
  <c r="S4423" i="41"/>
  <c r="S4424" i="41"/>
  <c r="S4425" i="41"/>
  <c r="S4426" i="41"/>
  <c r="S4427" i="41"/>
  <c r="S4428" i="41"/>
  <c r="S4429" i="41"/>
  <c r="S4430" i="41"/>
  <c r="S4431" i="41"/>
  <c r="S4432" i="41"/>
  <c r="S4433" i="41"/>
  <c r="S4434" i="41"/>
  <c r="S4435" i="41"/>
  <c r="S4436" i="41"/>
  <c r="S4437" i="41"/>
  <c r="S4438" i="41"/>
  <c r="S4439" i="41"/>
  <c r="S4440" i="41"/>
  <c r="S4441" i="41"/>
  <c r="S4442" i="41"/>
  <c r="S4443" i="41"/>
  <c r="S4444" i="41"/>
  <c r="S4445" i="41"/>
  <c r="S4446" i="41"/>
  <c r="S4448" i="41"/>
  <c r="S4449" i="41"/>
  <c r="S4450" i="41"/>
  <c r="S4451" i="41"/>
  <c r="S4452" i="41"/>
  <c r="S4453" i="41"/>
  <c r="S4454" i="41"/>
  <c r="S4455" i="41"/>
  <c r="S4456" i="41"/>
  <c r="S4457" i="41"/>
  <c r="S4458" i="41"/>
  <c r="S4459" i="41"/>
  <c r="S4460" i="41"/>
  <c r="S4461" i="41"/>
  <c r="S4462" i="41"/>
  <c r="S4463" i="41"/>
  <c r="S4464" i="41"/>
  <c r="S4465" i="41"/>
  <c r="S4466" i="41"/>
  <c r="S4467" i="41"/>
  <c r="S4468" i="41"/>
  <c r="S4469" i="41"/>
  <c r="S4470" i="41"/>
  <c r="S4471" i="41"/>
  <c r="S4472" i="41"/>
  <c r="S4473" i="41"/>
  <c r="S4474" i="41"/>
  <c r="S4475" i="41"/>
  <c r="S4477" i="41"/>
  <c r="S4479" i="41"/>
  <c r="S4480" i="41"/>
  <c r="S4481" i="41"/>
  <c r="S4482" i="41"/>
  <c r="S4483" i="41"/>
  <c r="S4484" i="41"/>
  <c r="S4486" i="41"/>
  <c r="S4487" i="41"/>
  <c r="S4488" i="41"/>
  <c r="S4489" i="41"/>
  <c r="S4490" i="41"/>
  <c r="S4491" i="41"/>
  <c r="S4492" i="41"/>
  <c r="S4493" i="41"/>
  <c r="S4494" i="41"/>
  <c r="S4495" i="41"/>
  <c r="S4496" i="41"/>
  <c r="S4497" i="41"/>
  <c r="S4498" i="41"/>
  <c r="S4499" i="41"/>
  <c r="S4500" i="41"/>
  <c r="S4501" i="41"/>
  <c r="S4502" i="41"/>
  <c r="S4503" i="41"/>
  <c r="S4504" i="41"/>
  <c r="S4505" i="41"/>
  <c r="S4506" i="41"/>
  <c r="S4507" i="41"/>
  <c r="S4508" i="41"/>
  <c r="S4509" i="41"/>
  <c r="S4510" i="41"/>
  <c r="S4511" i="41"/>
  <c r="S4512" i="41"/>
  <c r="S4513" i="41"/>
  <c r="S4514" i="41"/>
  <c r="S4515" i="41"/>
  <c r="S4516" i="41"/>
  <c r="S4517" i="41"/>
  <c r="S4518" i="41"/>
  <c r="S4519" i="41"/>
  <c r="S4520" i="41"/>
  <c r="S4521" i="41"/>
  <c r="S4522" i="41"/>
  <c r="S4523" i="41"/>
  <c r="S4524" i="41"/>
  <c r="S4525" i="41"/>
  <c r="S4526" i="41"/>
  <c r="S4527" i="41"/>
  <c r="S4528" i="41"/>
  <c r="S4529" i="41"/>
  <c r="S4530" i="41"/>
  <c r="S4531" i="41"/>
  <c r="S4532" i="41"/>
  <c r="S4534" i="41"/>
  <c r="S4535" i="41"/>
  <c r="S4536" i="41"/>
  <c r="S4537" i="41"/>
  <c r="S4538" i="41"/>
  <c r="S4539" i="41"/>
  <c r="S4540" i="41"/>
  <c r="S4541" i="41"/>
  <c r="S4542" i="41"/>
  <c r="S4544" i="41"/>
  <c r="S4545" i="41"/>
  <c r="S4546" i="41"/>
  <c r="S4547" i="41"/>
  <c r="S4548" i="41"/>
  <c r="S4549" i="41"/>
  <c r="S4550" i="41"/>
  <c r="S4551" i="41"/>
  <c r="S4552" i="41"/>
  <c r="S4553" i="41"/>
  <c r="S4554" i="41"/>
  <c r="S4555" i="41"/>
  <c r="S4556" i="41"/>
  <c r="S4557" i="41"/>
  <c r="S4558" i="41"/>
  <c r="S4559" i="41"/>
  <c r="S4560" i="41"/>
  <c r="S4561" i="41"/>
  <c r="S4562" i="41"/>
  <c r="S4564" i="41"/>
  <c r="S4565" i="41"/>
  <c r="S4566" i="41"/>
  <c r="S4567" i="41"/>
  <c r="S4568" i="41"/>
  <c r="S4569" i="41"/>
  <c r="S4570" i="41"/>
  <c r="S4571" i="41"/>
  <c r="S4572" i="41"/>
  <c r="S4573" i="41"/>
  <c r="S4575" i="41"/>
  <c r="S4576" i="41"/>
  <c r="S4579" i="41"/>
  <c r="S4580" i="41"/>
  <c r="S4581" i="41"/>
  <c r="S4582" i="41"/>
  <c r="S4583" i="41"/>
  <c r="S4584" i="41"/>
  <c r="S4585" i="41"/>
  <c r="S4586" i="41"/>
  <c r="S4588" i="41"/>
  <c r="S4589" i="41"/>
  <c r="S4590" i="41"/>
  <c r="S4591" i="41"/>
  <c r="S4592" i="41"/>
  <c r="S4595" i="41"/>
  <c r="S4596" i="41"/>
  <c r="S4597" i="41"/>
  <c r="S4598" i="41"/>
  <c r="S4599" i="41"/>
  <c r="S4600" i="41"/>
  <c r="S4601" i="41"/>
  <c r="S4602" i="41"/>
  <c r="S4603" i="41"/>
  <c r="S4604" i="41"/>
  <c r="S4605" i="41"/>
  <c r="S4606" i="41"/>
  <c r="S4608" i="41"/>
  <c r="S4609" i="41"/>
  <c r="S4610" i="41"/>
  <c r="S4611" i="41"/>
  <c r="S4612" i="41"/>
  <c r="S4613" i="41"/>
  <c r="S4614" i="41"/>
  <c r="S4615" i="41"/>
  <c r="S4616" i="41"/>
  <c r="S4617" i="41"/>
  <c r="S4618" i="41"/>
  <c r="S4619" i="41"/>
  <c r="S4620" i="41"/>
  <c r="S4621" i="41"/>
  <c r="S4622" i="41"/>
  <c r="S4623" i="41"/>
  <c r="S4624" i="41"/>
  <c r="S4625" i="41"/>
  <c r="S4626" i="41"/>
  <c r="S4627" i="41"/>
  <c r="S4628" i="41"/>
  <c r="S4629" i="41"/>
  <c r="S4630" i="41"/>
  <c r="S4631" i="41"/>
  <c r="S4632" i="41"/>
  <c r="S4633" i="41"/>
  <c r="S4634" i="41"/>
  <c r="S4635" i="41"/>
  <c r="S4636" i="41"/>
  <c r="S4638" i="41"/>
  <c r="S4639" i="41"/>
  <c r="S4640" i="41"/>
  <c r="S4641" i="41"/>
  <c r="S4642" i="41"/>
  <c r="S4643" i="41"/>
  <c r="S4644" i="41"/>
  <c r="S4645" i="41"/>
  <c r="S4646" i="41"/>
  <c r="S4647" i="41"/>
  <c r="S4648" i="41"/>
  <c r="S4649" i="41"/>
  <c r="S4650" i="41"/>
  <c r="S4651" i="41"/>
  <c r="S4652" i="41"/>
  <c r="S4653" i="41"/>
  <c r="S4654" i="41"/>
  <c r="S4655" i="41"/>
  <c r="S4656" i="41"/>
  <c r="S4657" i="41"/>
  <c r="S4658" i="41"/>
  <c r="S4659" i="41"/>
  <c r="S4660" i="41"/>
  <c r="S4661" i="41"/>
  <c r="S4662" i="41"/>
  <c r="S4663" i="41"/>
  <c r="S4664" i="41"/>
  <c r="S4665" i="41"/>
  <c r="S4666" i="41"/>
  <c r="S4667" i="41"/>
  <c r="S4668" i="41"/>
  <c r="S4669" i="41"/>
  <c r="S4670" i="41"/>
  <c r="S4671" i="41"/>
  <c r="S4672" i="41"/>
  <c r="S4673" i="41"/>
  <c r="S4674" i="41"/>
  <c r="S4675" i="41"/>
  <c r="S4676" i="41"/>
  <c r="S4677" i="41"/>
  <c r="S4678" i="41"/>
  <c r="S4679" i="41"/>
  <c r="S4680" i="41"/>
  <c r="S4681" i="41"/>
  <c r="S4682" i="41"/>
  <c r="S4683" i="41"/>
  <c r="S4684" i="41"/>
  <c r="S4685" i="41"/>
  <c r="S4686" i="41"/>
  <c r="S4688" i="41"/>
  <c r="S4689" i="41"/>
  <c r="S4690" i="41"/>
  <c r="S4691" i="41"/>
  <c r="S4692" i="41"/>
  <c r="S4693" i="41"/>
  <c r="S4694" i="41"/>
  <c r="S4695" i="41"/>
  <c r="S4696" i="41"/>
  <c r="S4697" i="41"/>
  <c r="S4698" i="41"/>
  <c r="S4699" i="41"/>
  <c r="S4700" i="41"/>
  <c r="S4701" i="41"/>
  <c r="S4702" i="41"/>
  <c r="S4703" i="41"/>
  <c r="S4705" i="41"/>
  <c r="S4706" i="41"/>
  <c r="S4707" i="41"/>
  <c r="S4708" i="41"/>
  <c r="S4709" i="41"/>
  <c r="S4710" i="41"/>
  <c r="S4711" i="41"/>
  <c r="S4712" i="41"/>
  <c r="S4713" i="41"/>
  <c r="S4714" i="41"/>
  <c r="S4715" i="41"/>
  <c r="S4716" i="41"/>
  <c r="S4717" i="41"/>
  <c r="S4718" i="41"/>
  <c r="S4720" i="41"/>
  <c r="S4721" i="41"/>
  <c r="S4722" i="41"/>
  <c r="S4723" i="41"/>
  <c r="S4724" i="41"/>
  <c r="S4725" i="41"/>
  <c r="S4726" i="41"/>
  <c r="S4727" i="41"/>
  <c r="S4728" i="41"/>
  <c r="S4729" i="41"/>
  <c r="S4730" i="41"/>
  <c r="S4731" i="41"/>
  <c r="S4732" i="41"/>
  <c r="S4733" i="41"/>
  <c r="S4734" i="41"/>
  <c r="S4735" i="41"/>
  <c r="S4736" i="41"/>
  <c r="S4737" i="41"/>
  <c r="S4738" i="41"/>
  <c r="S4739" i="41"/>
  <c r="S4740" i="41"/>
  <c r="S4741" i="41"/>
  <c r="S4742" i="41"/>
  <c r="S4743" i="41"/>
  <c r="S4744" i="41"/>
  <c r="S4745" i="41"/>
  <c r="S4746" i="41"/>
  <c r="S4747" i="41"/>
  <c r="S4748" i="41"/>
  <c r="S4749" i="41"/>
  <c r="S4750" i="41"/>
  <c r="S4751" i="41"/>
  <c r="S4752" i="41"/>
  <c r="S4754" i="41"/>
  <c r="S4755" i="41"/>
  <c r="S4756" i="41"/>
  <c r="S4757" i="41"/>
  <c r="S4758" i="41"/>
  <c r="S4759" i="41"/>
  <c r="S4760" i="41"/>
  <c r="S4761" i="41"/>
  <c r="S4762" i="41"/>
  <c r="S4763" i="41"/>
  <c r="S4765" i="41"/>
  <c r="S4766" i="41"/>
  <c r="S4767" i="41"/>
  <c r="S4768" i="41"/>
  <c r="S4769" i="41"/>
  <c r="S4770" i="41"/>
  <c r="S4771" i="41"/>
  <c r="S4773" i="41"/>
  <c r="S4774" i="41"/>
  <c r="S4775" i="41"/>
  <c r="S4776" i="41"/>
  <c r="S4777" i="41"/>
  <c r="S4778" i="41"/>
  <c r="S4779" i="41"/>
  <c r="S4780" i="41"/>
  <c r="S4781" i="41"/>
  <c r="S4783" i="41"/>
  <c r="S4784" i="41"/>
  <c r="S4785" i="41"/>
  <c r="S4786" i="41"/>
  <c r="S4787" i="41"/>
  <c r="S4789" i="41"/>
  <c r="S4790" i="41"/>
  <c r="S4791" i="41"/>
  <c r="S4792" i="41"/>
  <c r="S4794" i="41"/>
  <c r="S4795" i="41"/>
  <c r="S4796" i="41"/>
  <c r="S4797" i="41"/>
  <c r="S4798" i="41"/>
  <c r="S4799" i="41"/>
  <c r="S4800" i="41"/>
  <c r="S4801" i="41"/>
  <c r="S4803" i="41"/>
  <c r="S4804" i="41"/>
  <c r="S4805" i="41"/>
  <c r="S4806" i="41"/>
  <c r="S4807" i="41"/>
  <c r="S4808" i="41"/>
  <c r="S4809" i="41"/>
  <c r="S4810" i="41"/>
  <c r="S4811" i="41"/>
  <c r="S4812" i="41"/>
  <c r="S4813" i="41"/>
  <c r="S4814" i="41"/>
  <c r="S4815" i="41"/>
  <c r="S4816" i="41"/>
  <c r="S4817" i="41"/>
  <c r="S4818" i="41"/>
  <c r="S4819" i="41"/>
  <c r="S4820" i="41"/>
  <c r="S4821" i="41"/>
  <c r="S4822" i="41"/>
  <c r="S4823" i="41"/>
  <c r="S4824" i="41"/>
  <c r="S4825" i="41"/>
  <c r="S4826" i="41"/>
  <c r="S4827" i="41"/>
  <c r="S4828" i="41"/>
  <c r="S4829" i="41"/>
  <c r="S4830" i="41"/>
  <c r="S4831" i="41"/>
  <c r="S4832" i="41"/>
  <c r="S4833" i="41"/>
  <c r="S4834" i="41"/>
  <c r="S4835" i="41"/>
  <c r="S4836" i="41"/>
  <c r="S4837" i="41"/>
  <c r="S4838" i="41"/>
  <c r="S4839" i="41"/>
  <c r="S4840" i="41"/>
  <c r="S4841" i="41"/>
  <c r="S4842" i="41"/>
  <c r="S4843" i="41"/>
  <c r="S4844" i="41"/>
  <c r="S4845" i="41"/>
  <c r="S4846" i="41"/>
  <c r="S4847" i="41"/>
  <c r="S4848" i="41"/>
  <c r="S4849" i="41"/>
  <c r="S4850" i="41"/>
  <c r="S4851" i="41"/>
  <c r="S4852" i="41"/>
  <c r="S4853" i="41"/>
  <c r="S4854" i="41"/>
  <c r="S4855" i="41"/>
  <c r="S4856" i="41"/>
  <c r="S4857" i="41"/>
  <c r="S4858" i="41"/>
  <c r="S4859" i="41"/>
  <c r="S4860" i="41"/>
  <c r="S4861" i="41"/>
  <c r="S4862" i="41"/>
  <c r="S4863" i="41"/>
  <c r="S4864" i="41"/>
  <c r="S4865" i="41"/>
  <c r="S4866" i="41"/>
  <c r="S4867" i="41"/>
  <c r="S4868" i="41"/>
  <c r="S4869" i="41"/>
  <c r="S4870" i="41"/>
  <c r="S4871" i="41"/>
  <c r="S4872" i="41"/>
  <c r="S4873" i="41"/>
  <c r="S4874" i="41"/>
  <c r="S4875" i="41"/>
  <c r="S4876" i="41"/>
  <c r="S4877" i="41"/>
  <c r="S4878" i="41"/>
  <c r="S4879" i="41"/>
  <c r="S4880" i="41"/>
  <c r="S4881" i="41"/>
  <c r="S4882" i="41"/>
  <c r="S4883" i="41"/>
  <c r="S4884" i="41"/>
  <c r="S4885" i="41"/>
  <c r="S4886" i="41"/>
  <c r="S4887" i="41"/>
  <c r="S4888" i="41"/>
  <c r="S4889" i="41"/>
  <c r="S4890" i="41"/>
  <c r="S4891" i="41"/>
  <c r="S4892" i="41"/>
  <c r="S4894" i="41"/>
  <c r="S4895" i="41"/>
  <c r="S4896" i="41"/>
  <c r="S4897" i="41"/>
  <c r="S4898" i="41"/>
  <c r="S4899" i="41"/>
  <c r="S4901" i="41"/>
  <c r="S4902" i="41"/>
  <c r="S4903" i="41"/>
  <c r="S4904" i="41"/>
  <c r="S4905" i="41"/>
  <c r="S4906" i="41"/>
  <c r="S4907" i="41"/>
  <c r="S4909" i="41"/>
  <c r="S4910" i="41"/>
  <c r="S4911" i="41"/>
  <c r="S4912" i="41"/>
  <c r="S4913" i="41"/>
  <c r="S4914" i="41"/>
  <c r="S4915" i="41"/>
  <c r="S4916" i="41"/>
  <c r="S4917" i="41"/>
  <c r="S4918" i="41"/>
  <c r="S4919" i="41"/>
  <c r="S4920" i="41"/>
  <c r="S4921" i="41"/>
  <c r="S4922" i="41"/>
  <c r="S4923" i="41"/>
  <c r="S4924" i="41"/>
  <c r="S4925" i="41"/>
  <c r="S4926" i="41"/>
  <c r="S4927" i="41"/>
  <c r="S4928" i="41"/>
  <c r="S4929" i="41"/>
  <c r="S4930" i="41"/>
  <c r="S4931" i="41"/>
  <c r="S4932" i="41"/>
  <c r="S4933" i="41"/>
  <c r="S4934" i="41"/>
  <c r="S4935" i="41"/>
  <c r="S4936" i="41"/>
  <c r="S4937" i="41"/>
  <c r="S4938" i="41"/>
  <c r="S4939" i="41"/>
  <c r="S4940" i="41"/>
  <c r="S4941" i="41"/>
  <c r="S4942" i="41"/>
  <c r="S4943" i="41"/>
  <c r="S4944" i="41"/>
  <c r="S4945" i="41"/>
  <c r="S4946" i="41"/>
  <c r="S4947" i="41"/>
  <c r="S4948" i="41"/>
  <c r="S4949" i="41"/>
  <c r="S4950" i="41"/>
  <c r="S4951" i="41"/>
  <c r="S4952" i="41"/>
  <c r="S4953" i="41"/>
  <c r="S4954" i="41"/>
  <c r="S4955" i="41"/>
  <c r="S4956" i="41"/>
  <c r="S4957" i="41"/>
  <c r="S4959" i="41"/>
  <c r="S4960" i="41"/>
  <c r="S4961" i="41"/>
  <c r="S4962" i="41"/>
  <c r="S4963" i="41"/>
  <c r="S4964" i="41"/>
  <c r="S4965" i="41"/>
  <c r="S4966" i="41"/>
  <c r="S4967" i="41"/>
  <c r="S4968" i="41"/>
  <c r="S4969" i="41"/>
  <c r="S4970" i="41"/>
  <c r="S4971" i="41"/>
  <c r="S4972" i="41"/>
  <c r="S4973" i="41"/>
  <c r="S4974" i="41"/>
  <c r="S4975" i="41"/>
  <c r="S4976" i="41"/>
  <c r="S4977" i="41"/>
  <c r="S4978" i="41"/>
  <c r="S4979" i="41"/>
  <c r="S4980" i="41"/>
  <c r="S4981" i="41"/>
  <c r="S4982" i="41"/>
  <c r="S4983" i="41"/>
  <c r="S4984" i="41"/>
  <c r="S4985" i="41"/>
  <c r="S4986" i="41"/>
  <c r="S4987" i="41"/>
  <c r="S4988" i="41"/>
  <c r="S4989" i="41"/>
  <c r="S4990" i="41"/>
  <c r="S4991" i="41"/>
  <c r="S4992" i="41"/>
  <c r="S4993" i="41"/>
  <c r="S4994" i="41"/>
  <c r="S4995" i="41"/>
  <c r="S4996" i="41"/>
  <c r="S4997" i="41"/>
  <c r="S4998" i="41"/>
  <c r="S4999" i="41"/>
  <c r="S5000" i="41"/>
  <c r="S5001" i="41"/>
  <c r="S5002" i="41"/>
  <c r="S5003" i="41"/>
  <c r="S5004" i="41"/>
  <c r="S5005" i="41"/>
  <c r="S5006" i="41"/>
  <c r="S5007" i="41"/>
  <c r="S5008" i="41"/>
  <c r="S5010" i="41"/>
  <c r="S5011" i="41"/>
  <c r="S5012" i="41"/>
  <c r="S5013" i="41"/>
  <c r="S5014" i="41"/>
  <c r="S5015" i="41"/>
  <c r="S5016" i="41"/>
  <c r="S5017" i="41"/>
  <c r="S5018" i="41"/>
  <c r="S5019" i="41"/>
  <c r="S5020" i="41"/>
  <c r="S5021" i="41"/>
  <c r="S5022" i="41"/>
  <c r="S5023" i="41"/>
  <c r="S5024" i="41"/>
  <c r="S5025" i="41"/>
  <c r="S5026" i="41"/>
  <c r="S5027" i="41"/>
  <c r="S5029" i="41"/>
  <c r="S5030" i="41"/>
  <c r="S5031" i="41"/>
  <c r="S5032" i="41"/>
  <c r="S5033" i="41"/>
  <c r="S5034" i="41"/>
  <c r="S5035" i="41"/>
  <c r="S5036" i="41"/>
  <c r="S5037" i="41"/>
  <c r="S5038" i="41"/>
  <c r="S5039" i="41"/>
  <c r="S5040" i="41"/>
  <c r="S5041" i="41"/>
  <c r="S5042" i="41"/>
  <c r="S5043" i="41"/>
  <c r="S5044" i="41"/>
  <c r="S5045" i="41"/>
  <c r="S5046" i="41"/>
  <c r="S5047" i="41"/>
  <c r="S5049" i="41"/>
  <c r="S5050" i="41"/>
  <c r="S5051" i="41"/>
  <c r="S5052" i="41"/>
  <c r="S5053" i="41"/>
  <c r="S5054" i="41"/>
  <c r="S5055" i="41"/>
  <c r="S5056" i="41"/>
  <c r="S5057" i="41"/>
  <c r="S5058" i="41"/>
  <c r="S5059" i="41"/>
  <c r="S5060" i="41"/>
  <c r="S5061" i="41"/>
  <c r="S5062" i="41"/>
  <c r="S5063" i="41"/>
  <c r="S5064" i="41"/>
  <c r="S5066" i="41"/>
  <c r="S5067" i="41"/>
  <c r="S5068" i="41"/>
  <c r="S5069" i="41"/>
  <c r="S5070" i="41"/>
  <c r="S5071" i="41"/>
  <c r="S5072" i="41"/>
  <c r="S5073" i="41"/>
  <c r="S5074" i="41"/>
  <c r="S5075" i="41"/>
  <c r="S5076" i="41"/>
  <c r="S5077" i="41"/>
  <c r="S5078" i="41"/>
  <c r="S5079" i="41"/>
  <c r="S5082" i="41"/>
  <c r="S5083" i="41"/>
  <c r="S5084" i="41"/>
  <c r="S5085" i="41"/>
  <c r="S5086" i="41"/>
  <c r="S5087" i="41"/>
  <c r="S5088" i="41"/>
  <c r="S5089" i="41"/>
  <c r="S5090" i="41"/>
  <c r="S5091" i="41"/>
  <c r="S5092" i="41"/>
  <c r="S5093" i="41"/>
  <c r="S5094" i="41"/>
  <c r="S5095" i="41"/>
  <c r="S5096" i="41"/>
  <c r="S5097" i="41"/>
  <c r="S5098" i="41"/>
  <c r="S5099" i="41"/>
  <c r="S5100" i="41"/>
  <c r="S5101" i="41"/>
  <c r="S5102" i="41"/>
  <c r="S5103" i="41"/>
  <c r="S5104" i="41"/>
  <c r="S5105" i="41"/>
  <c r="S5106" i="41"/>
  <c r="S5107" i="41"/>
  <c r="S5108" i="41"/>
  <c r="S5110" i="41"/>
  <c r="S5111" i="41"/>
  <c r="S5112" i="41"/>
  <c r="S5113" i="41"/>
  <c r="S5114" i="41"/>
  <c r="S5115" i="41"/>
  <c r="S5116" i="41"/>
  <c r="S5117" i="41"/>
  <c r="S5118" i="41"/>
  <c r="S5119" i="41"/>
  <c r="S5120" i="41"/>
  <c r="S5121" i="41"/>
  <c r="S5122" i="41"/>
  <c r="S5123" i="41"/>
  <c r="S5124" i="41"/>
  <c r="S5125" i="41"/>
  <c r="S5126" i="41"/>
  <c r="S5128" i="41"/>
  <c r="S5129" i="41"/>
  <c r="S5130" i="41"/>
  <c r="S5131" i="41"/>
  <c r="S5132" i="41"/>
  <c r="S5133" i="41"/>
  <c r="S5134" i="41"/>
  <c r="S5135" i="41"/>
  <c r="S5136" i="41"/>
  <c r="S5139" i="41"/>
  <c r="S5140" i="41"/>
  <c r="S5141" i="41"/>
  <c r="S5142" i="41"/>
  <c r="S5143" i="41"/>
  <c r="S5144" i="41"/>
  <c r="S5145" i="41"/>
  <c r="S5147" i="41"/>
  <c r="S5148" i="41"/>
  <c r="S5149" i="41"/>
  <c r="S5150" i="41"/>
  <c r="S5151" i="41"/>
  <c r="S5152" i="41"/>
  <c r="S5153" i="41"/>
  <c r="S5154" i="41"/>
  <c r="S5155" i="41"/>
  <c r="S5156" i="41"/>
  <c r="S5157" i="41"/>
  <c r="S5158" i="41"/>
  <c r="S5159" i="41"/>
  <c r="S5160" i="41"/>
  <c r="S5161" i="41"/>
  <c r="S5162" i="41"/>
  <c r="S5163" i="41"/>
  <c r="S5164" i="41"/>
  <c r="S5165" i="41"/>
  <c r="S5166" i="41"/>
  <c r="S5167" i="41"/>
  <c r="S5168" i="41"/>
  <c r="S5169" i="41"/>
  <c r="S5170" i="41"/>
  <c r="S5171" i="41"/>
  <c r="S5172" i="41"/>
  <c r="S5174" i="41"/>
  <c r="S5175" i="41"/>
  <c r="S5176" i="41"/>
  <c r="S5177" i="41"/>
  <c r="S5178" i="41"/>
  <c r="S5179" i="41"/>
  <c r="S5180" i="41"/>
  <c r="S5181" i="41"/>
  <c r="S5182" i="41"/>
  <c r="S5183" i="41"/>
  <c r="S5184" i="41"/>
  <c r="S5185" i="41"/>
  <c r="S5186" i="41"/>
  <c r="S5187" i="41"/>
  <c r="S5188" i="41"/>
  <c r="S5189" i="41"/>
  <c r="S5190" i="41"/>
  <c r="S5191" i="41"/>
  <c r="S5192" i="41"/>
  <c r="S5193" i="41"/>
  <c r="S5194" i="41"/>
  <c r="S5195" i="41"/>
  <c r="S5196" i="41"/>
  <c r="S5197" i="41"/>
  <c r="S5198" i="41"/>
  <c r="S5199" i="41"/>
  <c r="S5200" i="41"/>
  <c r="S5201" i="41"/>
  <c r="S5202" i="41"/>
  <c r="S5203" i="41"/>
  <c r="S5204" i="41"/>
  <c r="S5206" i="41"/>
  <c r="S5207" i="41"/>
  <c r="S5208" i="41"/>
  <c r="S5209" i="41"/>
  <c r="S5210" i="41"/>
  <c r="S5211" i="41"/>
  <c r="S5213" i="41"/>
  <c r="S5214" i="41"/>
  <c r="S5215" i="41"/>
  <c r="S5216" i="41"/>
  <c r="S5217" i="41"/>
  <c r="S5218" i="41"/>
  <c r="S5219" i="41"/>
  <c r="S5220" i="41"/>
  <c r="S5221" i="41"/>
  <c r="S5222" i="41"/>
  <c r="S5223" i="41"/>
  <c r="S5225" i="41"/>
  <c r="S5226" i="41"/>
  <c r="S5227" i="41"/>
  <c r="S5228" i="41"/>
  <c r="S5229" i="41"/>
  <c r="S5230" i="41"/>
  <c r="S5231" i="41"/>
  <c r="S5232" i="41"/>
  <c r="S5233" i="41"/>
  <c r="S5234" i="41"/>
  <c r="S5235" i="41"/>
  <c r="S5236" i="41"/>
  <c r="S5237" i="41"/>
  <c r="S5238" i="41"/>
  <c r="S5239" i="41"/>
  <c r="S5240" i="41"/>
  <c r="S5241" i="41"/>
  <c r="S5242" i="41"/>
  <c r="S5244" i="41"/>
  <c r="S5245" i="41"/>
  <c r="S5246" i="41"/>
  <c r="S5247" i="41"/>
  <c r="S5249" i="41"/>
  <c r="S5250" i="41"/>
  <c r="S5251" i="41"/>
  <c r="S5252" i="41"/>
  <c r="S5253" i="41"/>
  <c r="S5254" i="41"/>
  <c r="S5255" i="41"/>
  <c r="S5256" i="41"/>
  <c r="S5257" i="41"/>
  <c r="S5258" i="41"/>
  <c r="S5260" i="41"/>
  <c r="S5261" i="41"/>
  <c r="S5262" i="41"/>
  <c r="S5263" i="41"/>
  <c r="S5265" i="41"/>
  <c r="S5266" i="41"/>
  <c r="S5267" i="41"/>
  <c r="S5268" i="41"/>
  <c r="S5269" i="41"/>
  <c r="S5270" i="41"/>
  <c r="S5271" i="41"/>
  <c r="S5272" i="41"/>
  <c r="S5273" i="41"/>
  <c r="S5274" i="41"/>
  <c r="S5275" i="41"/>
  <c r="S5276" i="41"/>
  <c r="S5277" i="41"/>
  <c r="S5278" i="41"/>
  <c r="S5279" i="41"/>
  <c r="S5281" i="41"/>
  <c r="S5282" i="41"/>
  <c r="S5283" i="41"/>
  <c r="S5284" i="41"/>
  <c r="S5285" i="41"/>
  <c r="S5286" i="41"/>
  <c r="S5287" i="41"/>
  <c r="S5288" i="41"/>
  <c r="S5289" i="41"/>
  <c r="S5290" i="41"/>
  <c r="S5291" i="41"/>
  <c r="S5292" i="41"/>
  <c r="S5293" i="41"/>
  <c r="S5294" i="41"/>
  <c r="S5295" i="41"/>
  <c r="S5296" i="41"/>
  <c r="S5297" i="41"/>
  <c r="S5298" i="41"/>
  <c r="S5299" i="41"/>
  <c r="S5300" i="41"/>
  <c r="S5301" i="41"/>
  <c r="S5302" i="41"/>
  <c r="S5303" i="41"/>
  <c r="S5304" i="41"/>
  <c r="S5305" i="41"/>
  <c r="S5306" i="41"/>
  <c r="S5307" i="41"/>
  <c r="S5309" i="41"/>
  <c r="S5310" i="41"/>
  <c r="S5311" i="41"/>
  <c r="S5312" i="41"/>
  <c r="S5315" i="41"/>
  <c r="S5317" i="41"/>
  <c r="S5318" i="41"/>
  <c r="S5319" i="41"/>
  <c r="S5320" i="41"/>
  <c r="S5321" i="41"/>
  <c r="S5322" i="41"/>
  <c r="S5323" i="41"/>
  <c r="S5324" i="41"/>
  <c r="S5325" i="41"/>
  <c r="S5326" i="41"/>
  <c r="S5327" i="41"/>
  <c r="S5328" i="41"/>
  <c r="S5329" i="41"/>
  <c r="S5330" i="41"/>
  <c r="S5331" i="41"/>
  <c r="S5332" i="41"/>
  <c r="S5333" i="41"/>
  <c r="S5334" i="41"/>
  <c r="S5335" i="41"/>
  <c r="S5336" i="41"/>
  <c r="S5337" i="41"/>
  <c r="S5338" i="41"/>
  <c r="S5339" i="41"/>
  <c r="S5340" i="41"/>
  <c r="S5341" i="41"/>
  <c r="S5342" i="41"/>
  <c r="S5343" i="41"/>
  <c r="S5344" i="41"/>
  <c r="S5345" i="41"/>
  <c r="S5346" i="41"/>
  <c r="S5347" i="41"/>
  <c r="S5348" i="41"/>
  <c r="S5349" i="41"/>
  <c r="S5350" i="41"/>
  <c r="S5351" i="41"/>
  <c r="S5352" i="41"/>
  <c r="S5353" i="41"/>
  <c r="S5354" i="41"/>
  <c r="S5355" i="41"/>
  <c r="S5356" i="41"/>
  <c r="S5357" i="41"/>
  <c r="S5358" i="41"/>
  <c r="S5359" i="41"/>
  <c r="S5360" i="41"/>
  <c r="S5361" i="41"/>
  <c r="S5362" i="41"/>
  <c r="S5363" i="41"/>
  <c r="S5364" i="41"/>
  <c r="S5365" i="41"/>
  <c r="S5366" i="41"/>
  <c r="S5367" i="41"/>
  <c r="S5368" i="41"/>
  <c r="S5369" i="41"/>
  <c r="S5370" i="41"/>
  <c r="S5371" i="41"/>
  <c r="S5372" i="41"/>
  <c r="S5373" i="41"/>
  <c r="S5374" i="41"/>
  <c r="S5375" i="41"/>
  <c r="S5376" i="41"/>
  <c r="S5377" i="41"/>
  <c r="S5378" i="41"/>
  <c r="S5379" i="41"/>
  <c r="S5380" i="41"/>
  <c r="S5381" i="41"/>
  <c r="S5382" i="41"/>
  <c r="S5383" i="41"/>
  <c r="S5384" i="41"/>
  <c r="S5385" i="41"/>
  <c r="S5386" i="41"/>
  <c r="S5387" i="41"/>
  <c r="S5388" i="41"/>
  <c r="S5389" i="41"/>
  <c r="S5390" i="41"/>
  <c r="S5391" i="41"/>
  <c r="S5392" i="41"/>
  <c r="S5393" i="41"/>
  <c r="S5394" i="41"/>
  <c r="S5395" i="41"/>
  <c r="S5396" i="41"/>
  <c r="S5397" i="41"/>
  <c r="S5398" i="41"/>
  <c r="S5399" i="41"/>
  <c r="S5400" i="41"/>
  <c r="S5401" i="41"/>
  <c r="S5402" i="41"/>
  <c r="S5403" i="41"/>
  <c r="S5404" i="41"/>
  <c r="S5405" i="41"/>
  <c r="S5406" i="41"/>
  <c r="S5407" i="41"/>
  <c r="S5408" i="41"/>
  <c r="S5409" i="41"/>
  <c r="S5410" i="41"/>
  <c r="S5411" i="41"/>
  <c r="S5412" i="41"/>
  <c r="S5413" i="41"/>
  <c r="S5414" i="41"/>
  <c r="S5415" i="41"/>
  <c r="S5416" i="41"/>
  <c r="S5417" i="41"/>
  <c r="S5418" i="41"/>
  <c r="S5419" i="41"/>
  <c r="S5420" i="41"/>
  <c r="S5421" i="41"/>
  <c r="S5422" i="41"/>
  <c r="S5423" i="41"/>
  <c r="S5424" i="41"/>
  <c r="S5425" i="41"/>
  <c r="S5426" i="41"/>
  <c r="S5427" i="41"/>
  <c r="S5428" i="41"/>
  <c r="S5429" i="41"/>
  <c r="S5430" i="41"/>
  <c r="S5431" i="41"/>
  <c r="S5432" i="41"/>
  <c r="S5433" i="41"/>
  <c r="S5434" i="41"/>
  <c r="S5435" i="41"/>
  <c r="S5436" i="41"/>
  <c r="S5437" i="41"/>
  <c r="S5438" i="41"/>
  <c r="S5439" i="41"/>
  <c r="S5440" i="41"/>
  <c r="S5441" i="41"/>
  <c r="S5442" i="41"/>
  <c r="S5443" i="41"/>
  <c r="S5444" i="41"/>
  <c r="S5445" i="41"/>
  <c r="S5446" i="41"/>
  <c r="S5447" i="41"/>
  <c r="S5448" i="41"/>
  <c r="S5449" i="41"/>
  <c r="S5450" i="41"/>
  <c r="S5451" i="41"/>
  <c r="S5452" i="41"/>
  <c r="S5453" i="41"/>
  <c r="S5454" i="41"/>
  <c r="S5455" i="41"/>
  <c r="S5456" i="41"/>
  <c r="S5457" i="41"/>
  <c r="S5458" i="41"/>
  <c r="S5459" i="41"/>
  <c r="S5460" i="41"/>
  <c r="S5461" i="41"/>
  <c r="S5462" i="41"/>
  <c r="S5463" i="41"/>
  <c r="S5464" i="41"/>
  <c r="S5465" i="41"/>
  <c r="S5466" i="41"/>
  <c r="S5467" i="41"/>
  <c r="S5468" i="41"/>
  <c r="S5469" i="41"/>
  <c r="S5470" i="41"/>
  <c r="S5471" i="41"/>
  <c r="S5472" i="41"/>
  <c r="S5473" i="41"/>
  <c r="S5474" i="41"/>
  <c r="S5475" i="41"/>
  <c r="S5476" i="41"/>
  <c r="S5477" i="41"/>
  <c r="S5478" i="41"/>
  <c r="S5479" i="41"/>
  <c r="S5481" i="41"/>
  <c r="S5482" i="41"/>
  <c r="S5483" i="41"/>
  <c r="S5484" i="41"/>
  <c r="S5485" i="41"/>
  <c r="S5486" i="41"/>
  <c r="S5487" i="41"/>
  <c r="S5488" i="41"/>
  <c r="S5489" i="41"/>
  <c r="S5490" i="41"/>
  <c r="S5491" i="41"/>
  <c r="S5492" i="41"/>
  <c r="S5493" i="41"/>
  <c r="S5494" i="41"/>
  <c r="S5495" i="41"/>
  <c r="S5496" i="41"/>
  <c r="S5497" i="41"/>
  <c r="S5498" i="41"/>
  <c r="S5499" i="41"/>
  <c r="S5500" i="41"/>
  <c r="S5501" i="41"/>
  <c r="S5502" i="41"/>
  <c r="S5503" i="41"/>
  <c r="S5504" i="41"/>
  <c r="S5505" i="41"/>
  <c r="S5506" i="41"/>
  <c r="S5507" i="41"/>
  <c r="S5508" i="41"/>
  <c r="S5509" i="41"/>
  <c r="S5510" i="41"/>
  <c r="S5511" i="41"/>
  <c r="S5512" i="41"/>
  <c r="S5513" i="41"/>
  <c r="S5514" i="41"/>
  <c r="S5515" i="41"/>
  <c r="S5516" i="41"/>
  <c r="S5517" i="41"/>
  <c r="S5518" i="41"/>
  <c r="S5519" i="41"/>
  <c r="S5520" i="41"/>
  <c r="S5521" i="41"/>
  <c r="S5522" i="41"/>
  <c r="S5523" i="41"/>
  <c r="S5524" i="41"/>
  <c r="S5525" i="41"/>
  <c r="S5526" i="41"/>
  <c r="S5527" i="41"/>
  <c r="S5528" i="41"/>
  <c r="S5529" i="41"/>
  <c r="S5530" i="41"/>
  <c r="S5531" i="41"/>
  <c r="S5532" i="41"/>
  <c r="S5533" i="41"/>
  <c r="S5534" i="41"/>
  <c r="S5535" i="41"/>
  <c r="S5536" i="41"/>
  <c r="S5537" i="41"/>
  <c r="S5538" i="41"/>
  <c r="S5539" i="41"/>
  <c r="S5540" i="41"/>
  <c r="S5541" i="41"/>
  <c r="S5542" i="41"/>
  <c r="S5543" i="41"/>
  <c r="S5544" i="41"/>
  <c r="S5545" i="41"/>
  <c r="S5546" i="41"/>
  <c r="S5547" i="41"/>
  <c r="S5548" i="41"/>
  <c r="S5549" i="41"/>
  <c r="S5550" i="41"/>
  <c r="S5551" i="41"/>
  <c r="S5552" i="41"/>
  <c r="S5553" i="41"/>
  <c r="S5554" i="41"/>
  <c r="S5555" i="41"/>
  <c r="S5556" i="41"/>
  <c r="S5557" i="41"/>
  <c r="S5558" i="41"/>
  <c r="S5559" i="41"/>
  <c r="S5560" i="41"/>
  <c r="S5561" i="41"/>
  <c r="S5562" i="41"/>
  <c r="S5563" i="41"/>
  <c r="S5564" i="41"/>
  <c r="S5565" i="41"/>
  <c r="S5566" i="41"/>
  <c r="S5567" i="41"/>
  <c r="S5568" i="41"/>
  <c r="S5569" i="41"/>
  <c r="S5570" i="41"/>
  <c r="S5571" i="41"/>
  <c r="S5572" i="41"/>
  <c r="S5573" i="41"/>
  <c r="S5574" i="41"/>
  <c r="S5575" i="41"/>
  <c r="S5576" i="41"/>
  <c r="S5577" i="41"/>
  <c r="S5578" i="41"/>
  <c r="S5579" i="41"/>
  <c r="S5580" i="41"/>
  <c r="S5581" i="41"/>
  <c r="S5582" i="41"/>
  <c r="S5583" i="41"/>
  <c r="S5584" i="41"/>
  <c r="S5585" i="41"/>
  <c r="S5586" i="41"/>
  <c r="S5587" i="41"/>
  <c r="S5588" i="41"/>
  <c r="S5589" i="41"/>
  <c r="S5590" i="41"/>
  <c r="S5591" i="41"/>
  <c r="S5592" i="41"/>
  <c r="S5593" i="41"/>
  <c r="S5594" i="41"/>
  <c r="S5595" i="41"/>
  <c r="S5596" i="41"/>
  <c r="S5597" i="41"/>
  <c r="S5598" i="41"/>
  <c r="S5599" i="41"/>
  <c r="S5600" i="41"/>
  <c r="S5601" i="41"/>
  <c r="S5602" i="41"/>
  <c r="S5603" i="41"/>
  <c r="S5604" i="41"/>
  <c r="S5605" i="41"/>
  <c r="S5606" i="41"/>
  <c r="S5607" i="41"/>
  <c r="S5608" i="41"/>
  <c r="S5610" i="41"/>
  <c r="S5611" i="41"/>
  <c r="S5613" i="41"/>
  <c r="S5614" i="41"/>
  <c r="S5615" i="41"/>
  <c r="S5616" i="41"/>
  <c r="S5617" i="41"/>
  <c r="S5618" i="41"/>
  <c r="S5619" i="41"/>
  <c r="S5620" i="41"/>
  <c r="S5621" i="41"/>
  <c r="S5622" i="41"/>
  <c r="S5623" i="41"/>
  <c r="S5625" i="41"/>
  <c r="S5626" i="41"/>
  <c r="S5627" i="41"/>
  <c r="S5628" i="41"/>
  <c r="S5629" i="41"/>
  <c r="S5630" i="41"/>
  <c r="S5633" i="41"/>
  <c r="S5634" i="41"/>
  <c r="S5635" i="41"/>
  <c r="S5636" i="41"/>
  <c r="S5637" i="41"/>
  <c r="S5638" i="41"/>
  <c r="S5639" i="41"/>
  <c r="S5640" i="41"/>
  <c r="S5641" i="41"/>
  <c r="S5642" i="41"/>
  <c r="S5644" i="41"/>
  <c r="S5645" i="41"/>
  <c r="S5647" i="41"/>
  <c r="S5648" i="41"/>
  <c r="S5649" i="41"/>
  <c r="S5650" i="41"/>
  <c r="S5652" i="41"/>
  <c r="S5653" i="41"/>
  <c r="S5654" i="41"/>
  <c r="S5655" i="41"/>
  <c r="S5656" i="41"/>
  <c r="S5657" i="41"/>
  <c r="S5658" i="41"/>
  <c r="S5659" i="41"/>
  <c r="S5660" i="41"/>
  <c r="S5661" i="41"/>
  <c r="S5662" i="41"/>
  <c r="S5663" i="41"/>
  <c r="S5664" i="41"/>
  <c r="S5665" i="41"/>
  <c r="S5666" i="41"/>
  <c r="S5667" i="41"/>
  <c r="S5668" i="41"/>
  <c r="S5669" i="41"/>
  <c r="S5670" i="41"/>
  <c r="S5671" i="41"/>
  <c r="S5672" i="41"/>
  <c r="S5674" i="41"/>
  <c r="S5675" i="41"/>
  <c r="S5676" i="41"/>
  <c r="S5677" i="41"/>
  <c r="S5678" i="41"/>
  <c r="S5680" i="41"/>
  <c r="S5681" i="41"/>
  <c r="S5682" i="41"/>
  <c r="S5683" i="41"/>
  <c r="S5684" i="41"/>
  <c r="S5685" i="41"/>
  <c r="G2653" i="41"/>
  <c r="U438" i="41" l="1"/>
  <c r="U5631" i="41"/>
  <c r="U4340" i="41"/>
  <c r="U4764" i="41"/>
  <c r="U302" i="41"/>
  <c r="U1539" i="41"/>
  <c r="U5613" i="41"/>
  <c r="U2614" i="41"/>
  <c r="U5313" i="41"/>
  <c r="U377" i="41"/>
  <c r="U1570" i="41"/>
  <c r="U412" i="41"/>
  <c r="U5308" i="41"/>
  <c r="U5009" i="41"/>
  <c r="U530" i="41"/>
  <c r="U1556" i="41"/>
  <c r="U4356" i="41"/>
  <c r="U1126" i="41"/>
  <c r="U4988" i="41"/>
  <c r="U2586" i="41"/>
  <c r="U4447" i="41"/>
  <c r="U5028" i="41"/>
  <c r="U5127" i="41"/>
  <c r="U317" i="41"/>
  <c r="U367" i="41"/>
  <c r="U5248" i="41"/>
  <c r="U3822" i="41"/>
  <c r="U5146" i="41"/>
  <c r="U3911" i="41"/>
  <c r="U1791" i="41"/>
  <c r="U5205" i="41"/>
  <c r="U5280" i="41"/>
  <c r="U2998" i="41"/>
  <c r="U2332" i="41"/>
  <c r="U4485" i="41"/>
  <c r="U5137" i="41"/>
  <c r="U2588" i="41"/>
  <c r="U4543" i="41"/>
  <c r="U3950" i="41"/>
  <c r="U4574" i="41"/>
  <c r="U5632" i="41"/>
  <c r="U3982" i="41"/>
  <c r="U5173" i="41"/>
  <c r="U4577" i="41"/>
  <c r="U5212" i="41"/>
  <c r="U1414" i="41"/>
  <c r="U883" i="41"/>
  <c r="U1558" i="41"/>
  <c r="U2413" i="41"/>
  <c r="U3071" i="41"/>
  <c r="U4021" i="41"/>
  <c r="U5612" i="41"/>
  <c r="U591" i="41"/>
  <c r="U4370" i="41"/>
  <c r="U4040" i="41"/>
  <c r="U4578" i="41"/>
  <c r="U1345" i="41"/>
  <c r="U2321" i="41"/>
  <c r="U880" i="41"/>
  <c r="U1633" i="41"/>
  <c r="U3249" i="41"/>
  <c r="U3338" i="41"/>
  <c r="U4075" i="41"/>
  <c r="U5224" i="41"/>
  <c r="U848" i="41"/>
  <c r="U1562" i="41"/>
  <c r="U307" i="41"/>
  <c r="U2423" i="41"/>
  <c r="U294" i="41"/>
  <c r="U3419" i="41"/>
  <c r="U4101" i="41"/>
  <c r="U4594" i="41"/>
  <c r="U1158" i="41"/>
  <c r="U2965" i="41"/>
  <c r="U3049" i="41"/>
  <c r="U319" i="41"/>
  <c r="U1054" i="41"/>
  <c r="U4204" i="41"/>
  <c r="U4607" i="41"/>
  <c r="U4206" i="41"/>
  <c r="U5259" i="41"/>
  <c r="U667" i="41"/>
  <c r="U1093" i="41"/>
  <c r="U1005" i="41"/>
  <c r="U470" i="41"/>
  <c r="U5004" i="41"/>
  <c r="U735" i="41"/>
  <c r="U5264" i="41"/>
  <c r="U2210" i="41"/>
  <c r="U3745" i="41"/>
  <c r="U4363" i="41"/>
  <c r="U4772" i="41"/>
  <c r="U5643" i="41"/>
  <c r="U711" i="41"/>
  <c r="U755" i="41"/>
  <c r="U1891" i="41"/>
  <c r="U3707" i="41"/>
  <c r="U3436" i="41"/>
  <c r="U1171" i="41"/>
  <c r="U785" i="41"/>
  <c r="U2231" i="41"/>
  <c r="U2816" i="41"/>
  <c r="U3749" i="41"/>
  <c r="U4782" i="41"/>
  <c r="U5316" i="41"/>
  <c r="U4753" i="41"/>
  <c r="U297" i="41"/>
  <c r="U1118" i="41"/>
  <c r="U1066" i="41"/>
  <c r="U274" i="41"/>
  <c r="U1852" i="41"/>
  <c r="U3691" i="41"/>
  <c r="U1361" i="41"/>
  <c r="U2641" i="41"/>
  <c r="U850" i="41"/>
  <c r="U376" i="41"/>
  <c r="U576" i="41"/>
  <c r="U840" i="41"/>
  <c r="U2923" i="41"/>
  <c r="U3776" i="41"/>
  <c r="U4379" i="41"/>
  <c r="U4793" i="41"/>
  <c r="U624" i="41"/>
  <c r="U4533" i="41"/>
  <c r="U2967" i="41"/>
  <c r="U672" i="41"/>
  <c r="U3944" i="41"/>
  <c r="U5138" i="41"/>
  <c r="U2975" i="41"/>
  <c r="U4563" i="41"/>
  <c r="U2474" i="41"/>
  <c r="U1760" i="41"/>
  <c r="U693" i="41"/>
  <c r="U2500" i="41"/>
  <c r="U3388" i="41"/>
  <c r="U1030" i="41"/>
  <c r="U1804" i="41"/>
  <c r="U1821" i="41"/>
  <c r="U3582" i="41"/>
  <c r="U1826" i="41"/>
  <c r="U2549" i="41"/>
  <c r="U1828" i="41"/>
  <c r="U3587" i="41"/>
  <c r="U4212" i="41"/>
  <c r="U4687" i="41"/>
  <c r="U2971" i="41"/>
  <c r="U4227" i="41"/>
  <c r="U4704" i="41"/>
  <c r="U2625" i="41"/>
  <c r="U262" i="41"/>
  <c r="U429" i="41"/>
  <c r="U691" i="41"/>
  <c r="U995" i="41"/>
  <c r="U714" i="41"/>
  <c r="U525" i="41"/>
  <c r="U729" i="41"/>
  <c r="U1096" i="41"/>
  <c r="U351" i="41"/>
  <c r="U740" i="41"/>
  <c r="U329" i="41"/>
  <c r="U352" i="41"/>
  <c r="U542" i="41"/>
  <c r="U751" i="41"/>
  <c r="U1150" i="41"/>
  <c r="U413" i="41"/>
  <c r="U960" i="41"/>
  <c r="U2475" i="41"/>
  <c r="U251" i="41"/>
  <c r="U2528" i="41"/>
  <c r="U2421" i="41"/>
  <c r="U9" i="41"/>
  <c r="U1757" i="41"/>
  <c r="U681" i="41"/>
  <c r="U1759" i="41"/>
  <c r="U994" i="41"/>
  <c r="U1770" i="41"/>
  <c r="U261" i="41"/>
  <c r="U10" i="41"/>
  <c r="U259" i="41"/>
  <c r="U396" i="41"/>
  <c r="U635" i="41"/>
  <c r="U2451" i="41"/>
  <c r="U420" i="41"/>
  <c r="U690" i="41"/>
  <c r="U654" i="41"/>
  <c r="U913" i="41"/>
  <c r="U17" i="41"/>
  <c r="U2675" i="41"/>
  <c r="U55" i="41"/>
  <c r="U2656" i="41"/>
  <c r="U60" i="41"/>
  <c r="U2537" i="41"/>
  <c r="U2783" i="41"/>
  <c r="U1639" i="41"/>
  <c r="U1637" i="41"/>
  <c r="U5048" i="41"/>
  <c r="U4587" i="41"/>
  <c r="U3287" i="41"/>
  <c r="U3296" i="41"/>
  <c r="U4719" i="41"/>
  <c r="U3583" i="41"/>
  <c r="U621" i="41"/>
  <c r="U934" i="41"/>
  <c r="U641" i="41"/>
  <c r="U4788" i="41"/>
  <c r="U2906" i="41"/>
  <c r="U2909" i="41"/>
  <c r="U3172" i="41"/>
  <c r="U4950" i="41"/>
  <c r="U2871" i="41"/>
  <c r="U2913" i="41"/>
  <c r="U3089" i="41"/>
  <c r="U4913" i="41"/>
  <c r="U3099" i="41"/>
  <c r="U2990" i="41"/>
  <c r="U3091" i="41"/>
  <c r="U601" i="41"/>
  <c r="U4893" i="41"/>
  <c r="U4900" i="41"/>
  <c r="U2174" i="41"/>
  <c r="U337" i="41"/>
  <c r="U2175" i="41"/>
  <c r="U5673" i="41"/>
  <c r="U4908" i="41"/>
  <c r="U5065" i="41"/>
  <c r="U5080" i="41"/>
  <c r="U5081" i="41"/>
  <c r="U5109" i="41"/>
  <c r="U2181" i="41"/>
  <c r="U1917" i="41"/>
  <c r="U1957" i="41"/>
  <c r="U3975" i="41"/>
  <c r="U1976" i="41"/>
  <c r="U1935" i="41"/>
  <c r="U2138" i="41"/>
  <c r="U2099" i="41"/>
  <c r="U2135" i="41"/>
  <c r="U2048" i="41"/>
  <c r="U2013" i="41"/>
  <c r="U2058" i="41"/>
  <c r="U2803" i="41"/>
  <c r="U167" i="41"/>
  <c r="U1206" i="41"/>
  <c r="U91" i="41"/>
  <c r="U1263" i="41"/>
  <c r="U1303" i="41"/>
  <c r="U1306" i="41"/>
  <c r="U1315" i="41"/>
  <c r="U1189" i="41"/>
  <c r="U4242" i="41"/>
  <c r="U4260" i="41"/>
  <c r="U4274" i="41"/>
  <c r="U4288" i="41"/>
  <c r="U117" i="41"/>
  <c r="U4239" i="41"/>
  <c r="U4285" i="41"/>
  <c r="U4302" i="41"/>
  <c r="U4279" i="41"/>
  <c r="U4315" i="41"/>
  <c r="U5624" i="41"/>
  <c r="U5646" i="41"/>
  <c r="U95" i="41"/>
  <c r="U77" i="41"/>
  <c r="U99" i="41"/>
  <c r="U124" i="41"/>
  <c r="U76" i="41"/>
  <c r="U122" i="41"/>
  <c r="U39" i="41"/>
  <c r="U85" i="41"/>
  <c r="U87" i="41"/>
  <c r="U133" i="41"/>
  <c r="U142" i="41"/>
  <c r="U148" i="41"/>
  <c r="U153" i="41"/>
  <c r="U156" i="41"/>
  <c r="U170" i="41"/>
  <c r="U175" i="41"/>
  <c r="U176" i="41"/>
  <c r="U178" i="41"/>
  <c r="U192" i="41"/>
  <c r="I3517" i="40"/>
  <c r="I3516" i="40"/>
  <c r="K87" i="40"/>
  <c r="B38" i="15"/>
  <c r="B37" i="15"/>
  <c r="B36" i="15"/>
  <c r="B35" i="15"/>
  <c r="B34" i="15"/>
  <c r="B33" i="15"/>
  <c r="B32" i="15"/>
  <c r="B31" i="15"/>
  <c r="B30" i="15"/>
  <c r="B29" i="15"/>
  <c r="B28" i="15"/>
  <c r="B27" i="15"/>
  <c r="B26" i="15"/>
  <c r="B25" i="15"/>
  <c r="B24" i="15"/>
  <c r="B23" i="15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B5" i="15"/>
  <c r="B4" i="15"/>
  <c r="G5685" i="41"/>
  <c r="Y5679" i="41"/>
  <c r="I5679" i="41"/>
  <c r="T5679" i="41" s="1"/>
  <c r="H5679" i="41"/>
  <c r="Y5673" i="41"/>
  <c r="N5673" i="41"/>
  <c r="V5651" i="41"/>
  <c r="Y5651" i="41" s="1"/>
  <c r="H5651" i="41"/>
  <c r="V5646" i="41"/>
  <c r="Y5646" i="41" s="1"/>
  <c r="N5646" i="41"/>
  <c r="V5643" i="41"/>
  <c r="Y5643" i="41" s="1"/>
  <c r="L5643" i="41"/>
  <c r="N5643" i="41" s="1"/>
  <c r="Y5632" i="41"/>
  <c r="L5632" i="41"/>
  <c r="N5632" i="41" s="1"/>
  <c r="V5631" i="41"/>
  <c r="Y5631" i="41" s="1"/>
  <c r="L5631" i="41"/>
  <c r="N5631" i="41" s="1"/>
  <c r="Y5624" i="41"/>
  <c r="N5624" i="41"/>
  <c r="V5613" i="41"/>
  <c r="Y5613" i="41" s="1"/>
  <c r="L5613" i="41"/>
  <c r="N5613" i="41" s="1"/>
  <c r="V5612" i="41"/>
  <c r="Y5612" i="41" s="1"/>
  <c r="L5612" i="41"/>
  <c r="N5612" i="41" s="1"/>
  <c r="V5609" i="41"/>
  <c r="Y5609" i="41" s="1"/>
  <c r="J5609" i="41"/>
  <c r="V5480" i="41"/>
  <c r="I5480" i="41"/>
  <c r="T5480" i="41" s="1"/>
  <c r="H5480" i="41"/>
  <c r="S5480" i="41" s="1"/>
  <c r="L5479" i="41"/>
  <c r="N5479" i="41" s="1"/>
  <c r="L5478" i="41"/>
  <c r="N5478" i="41" s="1"/>
  <c r="L5477" i="41"/>
  <c r="N5477" i="41" s="1"/>
  <c r="L5476" i="41"/>
  <c r="N5476" i="41" s="1"/>
  <c r="L5475" i="41"/>
  <c r="N5475" i="41" s="1"/>
  <c r="L5474" i="41"/>
  <c r="N5474" i="41" s="1"/>
  <c r="L5473" i="41"/>
  <c r="N5473" i="41" s="1"/>
  <c r="L5472" i="41"/>
  <c r="N5472" i="41" s="1"/>
  <c r="L5471" i="41"/>
  <c r="N5471" i="41" s="1"/>
  <c r="L5470" i="41"/>
  <c r="N5470" i="41" s="1"/>
  <c r="L5469" i="41"/>
  <c r="N5469" i="41" s="1"/>
  <c r="L5468" i="41"/>
  <c r="N5468" i="41" s="1"/>
  <c r="L5466" i="41"/>
  <c r="N5466" i="41" s="1"/>
  <c r="L5465" i="41"/>
  <c r="N5465" i="41" s="1"/>
  <c r="L5464" i="41"/>
  <c r="N5464" i="41" s="1"/>
  <c r="L5463" i="41"/>
  <c r="N5463" i="41" s="1"/>
  <c r="L5462" i="41"/>
  <c r="N5462" i="41" s="1"/>
  <c r="L5461" i="41"/>
  <c r="N5461" i="41" s="1"/>
  <c r="L5460" i="41"/>
  <c r="N5460" i="41" s="1"/>
  <c r="L5459" i="41"/>
  <c r="N5459" i="41" s="1"/>
  <c r="L5458" i="41"/>
  <c r="N5458" i="41" s="1"/>
  <c r="L5457" i="41"/>
  <c r="N5457" i="41" s="1"/>
  <c r="L5456" i="41"/>
  <c r="N5456" i="41" s="1"/>
  <c r="L5455" i="41"/>
  <c r="N5455" i="41" s="1"/>
  <c r="L5454" i="41"/>
  <c r="N5454" i="41" s="1"/>
  <c r="L5453" i="41"/>
  <c r="N5453" i="41" s="1"/>
  <c r="L5452" i="41"/>
  <c r="N5452" i="41" s="1"/>
  <c r="L5451" i="41"/>
  <c r="N5451" i="41" s="1"/>
  <c r="L5450" i="41"/>
  <c r="N5450" i="41" s="1"/>
  <c r="L5449" i="41"/>
  <c r="N5449" i="41" s="1"/>
  <c r="L5448" i="41"/>
  <c r="N5448" i="41" s="1"/>
  <c r="L5447" i="41"/>
  <c r="N5447" i="41" s="1"/>
  <c r="L5446" i="41"/>
  <c r="N5446" i="41" s="1"/>
  <c r="L5444" i="41"/>
  <c r="N5444" i="41" s="1"/>
  <c r="L5443" i="41"/>
  <c r="N5443" i="41" s="1"/>
  <c r="L5442" i="41"/>
  <c r="N5442" i="41" s="1"/>
  <c r="L5441" i="41"/>
  <c r="N5441" i="41" s="1"/>
  <c r="L5440" i="41"/>
  <c r="N5440" i="41" s="1"/>
  <c r="L5439" i="41"/>
  <c r="N5439" i="41" s="1"/>
  <c r="L5438" i="41"/>
  <c r="N5438" i="41" s="1"/>
  <c r="L5437" i="41"/>
  <c r="N5437" i="41" s="1"/>
  <c r="L5436" i="41"/>
  <c r="N5436" i="41" s="1"/>
  <c r="L5435" i="41"/>
  <c r="N5435" i="41" s="1"/>
  <c r="L5434" i="41"/>
  <c r="N5434" i="41" s="1"/>
  <c r="L5433" i="41"/>
  <c r="N5433" i="41" s="1"/>
  <c r="L5432" i="41"/>
  <c r="N5432" i="41" s="1"/>
  <c r="L5431" i="41"/>
  <c r="N5431" i="41" s="1"/>
  <c r="L5430" i="41"/>
  <c r="N5430" i="41" s="1"/>
  <c r="L5429" i="41"/>
  <c r="N5429" i="41" s="1"/>
  <c r="L5428" i="41"/>
  <c r="N5428" i="41" s="1"/>
  <c r="L5426" i="41"/>
  <c r="N5426" i="41" s="1"/>
  <c r="L5425" i="41"/>
  <c r="N5425" i="41" s="1"/>
  <c r="L5424" i="41"/>
  <c r="N5424" i="41" s="1"/>
  <c r="L5423" i="41"/>
  <c r="N5423" i="41" s="1"/>
  <c r="L5422" i="41"/>
  <c r="N5422" i="41" s="1"/>
  <c r="L5421" i="41"/>
  <c r="N5421" i="41" s="1"/>
  <c r="L5419" i="41"/>
  <c r="N5419" i="41" s="1"/>
  <c r="L5418" i="41"/>
  <c r="N5418" i="41" s="1"/>
  <c r="L5417" i="41"/>
  <c r="N5417" i="41" s="1"/>
  <c r="L5416" i="41"/>
  <c r="N5416" i="41" s="1"/>
  <c r="L5415" i="41"/>
  <c r="N5415" i="41" s="1"/>
  <c r="L5414" i="41"/>
  <c r="N5414" i="41" s="1"/>
  <c r="L5413" i="41"/>
  <c r="N5413" i="41" s="1"/>
  <c r="L5412" i="41"/>
  <c r="N5412" i="41" s="1"/>
  <c r="L5411" i="41"/>
  <c r="N5411" i="41" s="1"/>
  <c r="L5410" i="41"/>
  <c r="N5410" i="41" s="1"/>
  <c r="L5409" i="41"/>
  <c r="N5409" i="41" s="1"/>
  <c r="L5408" i="41"/>
  <c r="N5408" i="41" s="1"/>
  <c r="L5407" i="41"/>
  <c r="N5407" i="41" s="1"/>
  <c r="L5406" i="41"/>
  <c r="N5406" i="41" s="1"/>
  <c r="L5405" i="41"/>
  <c r="N5405" i="41" s="1"/>
  <c r="L5404" i="41"/>
  <c r="N5404" i="41" s="1"/>
  <c r="L5403" i="41"/>
  <c r="N5403" i="41" s="1"/>
  <c r="L5402" i="41"/>
  <c r="N5402" i="41" s="1"/>
  <c r="L5401" i="41"/>
  <c r="N5401" i="41" s="1"/>
  <c r="L5400" i="41"/>
  <c r="N5400" i="41" s="1"/>
  <c r="Y5399" i="41"/>
  <c r="L5398" i="41"/>
  <c r="N5398" i="41" s="1"/>
  <c r="L5397" i="41"/>
  <c r="N5397" i="41" s="1"/>
  <c r="L5396" i="41"/>
  <c r="N5396" i="41" s="1"/>
  <c r="L5395" i="41"/>
  <c r="N5395" i="41" s="1"/>
  <c r="L5394" i="41"/>
  <c r="N5394" i="41" s="1"/>
  <c r="L5393" i="41"/>
  <c r="N5393" i="41" s="1"/>
  <c r="L5392" i="41"/>
  <c r="N5392" i="41" s="1"/>
  <c r="L5391" i="41"/>
  <c r="N5391" i="41" s="1"/>
  <c r="L5390" i="41"/>
  <c r="N5390" i="41" s="1"/>
  <c r="L5389" i="41"/>
  <c r="N5389" i="41" s="1"/>
  <c r="L5388" i="41"/>
  <c r="N5388" i="41" s="1"/>
  <c r="L5387" i="41"/>
  <c r="N5387" i="41" s="1"/>
  <c r="L5386" i="41"/>
  <c r="N5386" i="41" s="1"/>
  <c r="L5385" i="41"/>
  <c r="N5385" i="41" s="1"/>
  <c r="L5384" i="41"/>
  <c r="N5384" i="41" s="1"/>
  <c r="L5383" i="41"/>
  <c r="N5383" i="41" s="1"/>
  <c r="L5382" i="41"/>
  <c r="N5382" i="41" s="1"/>
  <c r="L5381" i="41"/>
  <c r="N5381" i="41" s="1"/>
  <c r="L5380" i="41"/>
  <c r="N5380" i="41" s="1"/>
  <c r="L5379" i="41"/>
  <c r="N5379" i="41" s="1"/>
  <c r="L5378" i="41"/>
  <c r="N5378" i="41" s="1"/>
  <c r="L5377" i="41"/>
  <c r="N5377" i="41" s="1"/>
  <c r="L5376" i="41"/>
  <c r="N5376" i="41" s="1"/>
  <c r="L5375" i="41"/>
  <c r="N5375" i="41" s="1"/>
  <c r="L5374" i="41"/>
  <c r="N5374" i="41" s="1"/>
  <c r="L5373" i="41"/>
  <c r="N5373" i="41" s="1"/>
  <c r="L5372" i="41"/>
  <c r="N5372" i="41" s="1"/>
  <c r="L5371" i="41"/>
  <c r="N5371" i="41" s="1"/>
  <c r="L5370" i="41"/>
  <c r="N5370" i="41" s="1"/>
  <c r="L5369" i="41"/>
  <c r="N5369" i="41" s="1"/>
  <c r="L5368" i="41"/>
  <c r="N5368" i="41" s="1"/>
  <c r="L5367" i="41"/>
  <c r="N5367" i="41" s="1"/>
  <c r="L5366" i="41"/>
  <c r="N5366" i="41" s="1"/>
  <c r="L5365" i="41"/>
  <c r="N5365" i="41" s="1"/>
  <c r="L5364" i="41"/>
  <c r="N5364" i="41" s="1"/>
  <c r="L5363" i="41"/>
  <c r="N5363" i="41" s="1"/>
  <c r="L5362" i="41"/>
  <c r="N5362" i="41" s="1"/>
  <c r="L5361" i="41"/>
  <c r="N5361" i="41" s="1"/>
  <c r="L5360" i="41"/>
  <c r="N5360" i="41" s="1"/>
  <c r="L5359" i="41"/>
  <c r="N5359" i="41" s="1"/>
  <c r="L5358" i="41"/>
  <c r="N5358" i="41" s="1"/>
  <c r="L5357" i="41"/>
  <c r="N5357" i="41" s="1"/>
  <c r="L5356" i="41"/>
  <c r="N5356" i="41" s="1"/>
  <c r="Y5355" i="41"/>
  <c r="H5355" i="41"/>
  <c r="G5355" i="41"/>
  <c r="L5354" i="41"/>
  <c r="N5354" i="41" s="1"/>
  <c r="L5353" i="41"/>
  <c r="N5353" i="41" s="1"/>
  <c r="L5352" i="41"/>
  <c r="N5352" i="41" s="1"/>
  <c r="L5351" i="41"/>
  <c r="N5351" i="41" s="1"/>
  <c r="L5350" i="41"/>
  <c r="N5350" i="41" s="1"/>
  <c r="L5349" i="41"/>
  <c r="N5349" i="41" s="1"/>
  <c r="L5348" i="41"/>
  <c r="N5348" i="41" s="1"/>
  <c r="L5347" i="41"/>
  <c r="N5347" i="41" s="1"/>
  <c r="L5346" i="41"/>
  <c r="N5346" i="41" s="1"/>
  <c r="L5345" i="41"/>
  <c r="N5345" i="41" s="1"/>
  <c r="L5344" i="41"/>
  <c r="N5344" i="41" s="1"/>
  <c r="L5343" i="41"/>
  <c r="N5343" i="41" s="1"/>
  <c r="L5342" i="41"/>
  <c r="N5342" i="41" s="1"/>
  <c r="L5341" i="41"/>
  <c r="N5341" i="41" s="1"/>
  <c r="L5340" i="41"/>
  <c r="N5340" i="41" s="1"/>
  <c r="L5339" i="41"/>
  <c r="N5339" i="41" s="1"/>
  <c r="L5338" i="41"/>
  <c r="N5338" i="41" s="1"/>
  <c r="L5337" i="41"/>
  <c r="N5337" i="41" s="1"/>
  <c r="L5336" i="41"/>
  <c r="N5336" i="41" s="1"/>
  <c r="L5335" i="41"/>
  <c r="N5335" i="41" s="1"/>
  <c r="L5334" i="41"/>
  <c r="N5334" i="41" s="1"/>
  <c r="L5333" i="41"/>
  <c r="N5333" i="41" s="1"/>
  <c r="L5332" i="41"/>
  <c r="N5332" i="41" s="1"/>
  <c r="L5331" i="41"/>
  <c r="N5331" i="41" s="1"/>
  <c r="L5330" i="41"/>
  <c r="N5330" i="41" s="1"/>
  <c r="L5329" i="41"/>
  <c r="N5329" i="41" s="1"/>
  <c r="L5328" i="41"/>
  <c r="N5328" i="41" s="1"/>
  <c r="L5327" i="41"/>
  <c r="N5327" i="41" s="1"/>
  <c r="L5326" i="41"/>
  <c r="N5326" i="41" s="1"/>
  <c r="L5325" i="41"/>
  <c r="N5325" i="41" s="1"/>
  <c r="L5324" i="41"/>
  <c r="N5324" i="41" s="1"/>
  <c r="L5323" i="41"/>
  <c r="N5323" i="41" s="1"/>
  <c r="L5322" i="41"/>
  <c r="N5322" i="41" s="1"/>
  <c r="L5321" i="41"/>
  <c r="N5321" i="41" s="1"/>
  <c r="L5320" i="41"/>
  <c r="N5320" i="41" s="1"/>
  <c r="L5319" i="41"/>
  <c r="N5319" i="41" s="1"/>
  <c r="L5318" i="41"/>
  <c r="N5318" i="41" s="1"/>
  <c r="L5317" i="41"/>
  <c r="N5317" i="41" s="1"/>
  <c r="V5316" i="41"/>
  <c r="Y5316" i="41" s="1"/>
  <c r="L5316" i="41"/>
  <c r="N5316" i="41" s="1"/>
  <c r="L5315" i="41"/>
  <c r="N5315" i="41" s="1"/>
  <c r="Y5314" i="41"/>
  <c r="H5314" i="41"/>
  <c r="Y5313" i="41"/>
  <c r="L5313" i="41"/>
  <c r="N5313" i="41" s="1"/>
  <c r="L5312" i="41"/>
  <c r="N5312" i="41" s="1"/>
  <c r="L5311" i="41"/>
  <c r="N5311" i="41" s="1"/>
  <c r="L5310" i="41"/>
  <c r="N5310" i="41" s="1"/>
  <c r="L5309" i="41"/>
  <c r="N5309" i="41" s="1"/>
  <c r="V5308" i="41"/>
  <c r="Y5308" i="41" s="1"/>
  <c r="L5308" i="41"/>
  <c r="N5308" i="41" s="1"/>
  <c r="L5307" i="41"/>
  <c r="N5307" i="41" s="1"/>
  <c r="L5306" i="41"/>
  <c r="N5306" i="41" s="1"/>
  <c r="L5305" i="41"/>
  <c r="N5305" i="41" s="1"/>
  <c r="L5304" i="41"/>
  <c r="N5304" i="41" s="1"/>
  <c r="L5303" i="41"/>
  <c r="N5303" i="41" s="1"/>
  <c r="L5302" i="41"/>
  <c r="N5302" i="41" s="1"/>
  <c r="L5301" i="41"/>
  <c r="N5301" i="41" s="1"/>
  <c r="L5300" i="41"/>
  <c r="N5300" i="41" s="1"/>
  <c r="L5299" i="41"/>
  <c r="N5299" i="41" s="1"/>
  <c r="Y5298" i="41"/>
  <c r="L5298" i="41"/>
  <c r="N5298" i="41" s="1"/>
  <c r="L5297" i="41"/>
  <c r="N5297" i="41" s="1"/>
  <c r="L5296" i="41"/>
  <c r="N5296" i="41" s="1"/>
  <c r="L5295" i="41"/>
  <c r="N5295" i="41" s="1"/>
  <c r="L5294" i="41"/>
  <c r="N5294" i="41" s="1"/>
  <c r="L5293" i="41"/>
  <c r="N5293" i="41" s="1"/>
  <c r="L5292" i="41"/>
  <c r="N5292" i="41" s="1"/>
  <c r="L5291" i="41"/>
  <c r="N5291" i="41" s="1"/>
  <c r="L5290" i="41"/>
  <c r="N5290" i="41" s="1"/>
  <c r="L5289" i="41"/>
  <c r="N5289" i="41" s="1"/>
  <c r="L5288" i="41"/>
  <c r="N5288" i="41" s="1"/>
  <c r="L5287" i="41"/>
  <c r="N5287" i="41" s="1"/>
  <c r="L5286" i="41"/>
  <c r="N5286" i="41" s="1"/>
  <c r="L5285" i="41"/>
  <c r="N5285" i="41" s="1"/>
  <c r="L5284" i="41"/>
  <c r="N5284" i="41" s="1"/>
  <c r="L5283" i="41"/>
  <c r="N5283" i="41" s="1"/>
  <c r="L5282" i="41"/>
  <c r="N5282" i="41" s="1"/>
  <c r="L5281" i="41"/>
  <c r="N5281" i="41" s="1"/>
  <c r="V5280" i="41"/>
  <c r="Y5280" i="41" s="1"/>
  <c r="L5280" i="41"/>
  <c r="N5280" i="41" s="1"/>
  <c r="L5279" i="41"/>
  <c r="N5279" i="41" s="1"/>
  <c r="L5278" i="41"/>
  <c r="N5278" i="41" s="1"/>
  <c r="L5277" i="41"/>
  <c r="N5277" i="41" s="1"/>
  <c r="L5276" i="41"/>
  <c r="N5276" i="41" s="1"/>
  <c r="L5275" i="41"/>
  <c r="N5275" i="41" s="1"/>
  <c r="L5274" i="41"/>
  <c r="N5274" i="41" s="1"/>
  <c r="L5273" i="41"/>
  <c r="N5273" i="41" s="1"/>
  <c r="L5272" i="41"/>
  <c r="N5272" i="41" s="1"/>
  <c r="L5271" i="41"/>
  <c r="N5271" i="41" s="1"/>
  <c r="L5270" i="41"/>
  <c r="N5270" i="41" s="1"/>
  <c r="L5269" i="41"/>
  <c r="N5269" i="41" s="1"/>
  <c r="L5268" i="41"/>
  <c r="N5268" i="41" s="1"/>
  <c r="L5267" i="41"/>
  <c r="N5267" i="41" s="1"/>
  <c r="L5266" i="41"/>
  <c r="N5266" i="41" s="1"/>
  <c r="L5265" i="41"/>
  <c r="N5265" i="41" s="1"/>
  <c r="V5264" i="41"/>
  <c r="Y5264" i="41" s="1"/>
  <c r="L5264" i="41"/>
  <c r="N5264" i="41" s="1"/>
  <c r="L5263" i="41"/>
  <c r="N5263" i="41" s="1"/>
  <c r="L5262" i="41"/>
  <c r="N5262" i="41" s="1"/>
  <c r="L5261" i="41"/>
  <c r="N5261" i="41" s="1"/>
  <c r="L5260" i="41"/>
  <c r="N5260" i="41" s="1"/>
  <c r="Y5259" i="41"/>
  <c r="L5259" i="41"/>
  <c r="N5259" i="41" s="1"/>
  <c r="L5258" i="41"/>
  <c r="N5258" i="41" s="1"/>
  <c r="L5257" i="41"/>
  <c r="N5257" i="41" s="1"/>
  <c r="L5256" i="41"/>
  <c r="N5256" i="41" s="1"/>
  <c r="L5255" i="41"/>
  <c r="N5255" i="41" s="1"/>
  <c r="L5254" i="41"/>
  <c r="N5254" i="41" s="1"/>
  <c r="L5253" i="41"/>
  <c r="N5253" i="41" s="1"/>
  <c r="L5252" i="41"/>
  <c r="N5252" i="41" s="1"/>
  <c r="L5251" i="41"/>
  <c r="N5251" i="41" s="1"/>
  <c r="L5250" i="41"/>
  <c r="N5250" i="41" s="1"/>
  <c r="L5249" i="41"/>
  <c r="N5249" i="41" s="1"/>
  <c r="V5248" i="41"/>
  <c r="Y5248" i="41" s="1"/>
  <c r="L5248" i="41"/>
  <c r="N5248" i="41" s="1"/>
  <c r="L5247" i="41"/>
  <c r="N5247" i="41" s="1"/>
  <c r="L5246" i="41"/>
  <c r="N5246" i="41" s="1"/>
  <c r="L5245" i="41"/>
  <c r="N5245" i="41" s="1"/>
  <c r="L5244" i="41"/>
  <c r="N5244" i="41" s="1"/>
  <c r="V5243" i="41"/>
  <c r="Y5243" i="41" s="1"/>
  <c r="H5243" i="41"/>
  <c r="L5242" i="41"/>
  <c r="N5242" i="41" s="1"/>
  <c r="L5241" i="41"/>
  <c r="N5241" i="41" s="1"/>
  <c r="L5240" i="41"/>
  <c r="N5240" i="41" s="1"/>
  <c r="L5239" i="41"/>
  <c r="N5239" i="41" s="1"/>
  <c r="L5238" i="41"/>
  <c r="N5238" i="41" s="1"/>
  <c r="L5237" i="41"/>
  <c r="N5237" i="41" s="1"/>
  <c r="L5236" i="41"/>
  <c r="N5236" i="41" s="1"/>
  <c r="L5235" i="41"/>
  <c r="N5235" i="41" s="1"/>
  <c r="L5234" i="41"/>
  <c r="N5234" i="41" s="1"/>
  <c r="L5233" i="41"/>
  <c r="N5233" i="41" s="1"/>
  <c r="L5232" i="41"/>
  <c r="N5232" i="41" s="1"/>
  <c r="L5231" i="41"/>
  <c r="N5231" i="41" s="1"/>
  <c r="L5230" i="41"/>
  <c r="N5230" i="41" s="1"/>
  <c r="L5229" i="41"/>
  <c r="N5229" i="41" s="1"/>
  <c r="L5228" i="41"/>
  <c r="N5228" i="41" s="1"/>
  <c r="L5227" i="41"/>
  <c r="N5227" i="41" s="1"/>
  <c r="L5226" i="41"/>
  <c r="N5226" i="41" s="1"/>
  <c r="L5225" i="41"/>
  <c r="N5225" i="41" s="1"/>
  <c r="V5224" i="41"/>
  <c r="Y5224" i="41" s="1"/>
  <c r="L5224" i="41"/>
  <c r="N5224" i="41" s="1"/>
  <c r="L5223" i="41"/>
  <c r="N5223" i="41" s="1"/>
  <c r="Y5222" i="41"/>
  <c r="L5221" i="41"/>
  <c r="N5221" i="41" s="1"/>
  <c r="L5220" i="41"/>
  <c r="N5220" i="41" s="1"/>
  <c r="L5219" i="41"/>
  <c r="N5219" i="41" s="1"/>
  <c r="L5218" i="41"/>
  <c r="N5218" i="41" s="1"/>
  <c r="L5217" i="41"/>
  <c r="N5217" i="41" s="1"/>
  <c r="L5216" i="41"/>
  <c r="N5216" i="41" s="1"/>
  <c r="L5215" i="41"/>
  <c r="N5215" i="41" s="1"/>
  <c r="L5214" i="41"/>
  <c r="N5214" i="41" s="1"/>
  <c r="L5213" i="41"/>
  <c r="N5213" i="41" s="1"/>
  <c r="V5212" i="41"/>
  <c r="Y5212" i="41" s="1"/>
  <c r="L5212" i="41"/>
  <c r="N5212" i="41" s="1"/>
  <c r="L5211" i="41"/>
  <c r="N5211" i="41" s="1"/>
  <c r="L5210" i="41"/>
  <c r="N5210" i="41" s="1"/>
  <c r="L5209" i="41"/>
  <c r="N5209" i="41" s="1"/>
  <c r="L5208" i="41"/>
  <c r="N5208" i="41" s="1"/>
  <c r="L5207" i="41"/>
  <c r="N5207" i="41" s="1"/>
  <c r="L5206" i="41"/>
  <c r="N5206" i="41" s="1"/>
  <c r="V5205" i="41"/>
  <c r="Y5205" i="41" s="1"/>
  <c r="L5205" i="41"/>
  <c r="N5205" i="41" s="1"/>
  <c r="L5204" i="41"/>
  <c r="N5204" i="41" s="1"/>
  <c r="L5203" i="41"/>
  <c r="N5203" i="41" s="1"/>
  <c r="L5202" i="41"/>
  <c r="N5202" i="41" s="1"/>
  <c r="L5201" i="41"/>
  <c r="N5201" i="41" s="1"/>
  <c r="L5200" i="41"/>
  <c r="N5200" i="41" s="1"/>
  <c r="L5198" i="41"/>
  <c r="N5198" i="41" s="1"/>
  <c r="L5197" i="41"/>
  <c r="N5197" i="41" s="1"/>
  <c r="L5196" i="41"/>
  <c r="N5196" i="41" s="1"/>
  <c r="L5195" i="41"/>
  <c r="N5195" i="41" s="1"/>
  <c r="L5194" i="41"/>
  <c r="N5194" i="41" s="1"/>
  <c r="L5193" i="41"/>
  <c r="N5193" i="41" s="1"/>
  <c r="L5192" i="41"/>
  <c r="N5192" i="41" s="1"/>
  <c r="L5191" i="41"/>
  <c r="N5191" i="41" s="1"/>
  <c r="L5190" i="41"/>
  <c r="N5190" i="41" s="1"/>
  <c r="L5189" i="41"/>
  <c r="N5189" i="41" s="1"/>
  <c r="L5188" i="41"/>
  <c r="N5188" i="41" s="1"/>
  <c r="L5187" i="41"/>
  <c r="N5187" i="41" s="1"/>
  <c r="L5186" i="41"/>
  <c r="N5186" i="41" s="1"/>
  <c r="L5185" i="41"/>
  <c r="N5185" i="41" s="1"/>
  <c r="L5184" i="41"/>
  <c r="N5184" i="41" s="1"/>
  <c r="L5183" i="41"/>
  <c r="N5183" i="41" s="1"/>
  <c r="L5182" i="41"/>
  <c r="N5182" i="41" s="1"/>
  <c r="L5181" i="41"/>
  <c r="N5181" i="41" s="1"/>
  <c r="L5180" i="41"/>
  <c r="N5180" i="41" s="1"/>
  <c r="L5179" i="41"/>
  <c r="N5179" i="41" s="1"/>
  <c r="L5178" i="41"/>
  <c r="N5178" i="41" s="1"/>
  <c r="L5177" i="41"/>
  <c r="N5177" i="41" s="1"/>
  <c r="L5176" i="41"/>
  <c r="N5176" i="41" s="1"/>
  <c r="L5175" i="41"/>
  <c r="N5175" i="41" s="1"/>
  <c r="L5174" i="41"/>
  <c r="N5174" i="41" s="1"/>
  <c r="V5173" i="41"/>
  <c r="Y5173" i="41" s="1"/>
  <c r="L5173" i="41"/>
  <c r="N5173" i="41" s="1"/>
  <c r="L5172" i="41"/>
  <c r="N5172" i="41" s="1"/>
  <c r="L5171" i="41"/>
  <c r="N5171" i="41" s="1"/>
  <c r="L5170" i="41"/>
  <c r="N5170" i="41" s="1"/>
  <c r="L5169" i="41"/>
  <c r="N5169" i="41" s="1"/>
  <c r="L5168" i="41"/>
  <c r="N5168" i="41" s="1"/>
  <c r="L5167" i="41"/>
  <c r="N5167" i="41" s="1"/>
  <c r="L5166" i="41"/>
  <c r="N5166" i="41" s="1"/>
  <c r="L5165" i="41"/>
  <c r="N5165" i="41" s="1"/>
  <c r="L5164" i="41"/>
  <c r="N5164" i="41" s="1"/>
  <c r="L5163" i="41"/>
  <c r="N5163" i="41" s="1"/>
  <c r="L5162" i="41"/>
  <c r="N5162" i="41" s="1"/>
  <c r="L5161" i="41"/>
  <c r="N5161" i="41" s="1"/>
  <c r="L5160" i="41"/>
  <c r="N5160" i="41" s="1"/>
  <c r="L5159" i="41"/>
  <c r="N5159" i="41" s="1"/>
  <c r="L5158" i="41"/>
  <c r="N5158" i="41" s="1"/>
  <c r="L5157" i="41"/>
  <c r="N5157" i="41" s="1"/>
  <c r="L5156" i="41"/>
  <c r="N5156" i="41" s="1"/>
  <c r="L5155" i="41"/>
  <c r="N5155" i="41" s="1"/>
  <c r="L5154" i="41"/>
  <c r="N5154" i="41" s="1"/>
  <c r="L5153" i="41"/>
  <c r="N5153" i="41" s="1"/>
  <c r="L5152" i="41"/>
  <c r="N5152" i="41" s="1"/>
  <c r="L5151" i="41"/>
  <c r="N5151" i="41" s="1"/>
  <c r="L5150" i="41"/>
  <c r="N5150" i="41" s="1"/>
  <c r="L5149" i="41"/>
  <c r="N5149" i="41" s="1"/>
  <c r="L5148" i="41"/>
  <c r="N5148" i="41" s="1"/>
  <c r="L5147" i="41"/>
  <c r="N5147" i="41" s="1"/>
  <c r="Y5146" i="41"/>
  <c r="L5146" i="41"/>
  <c r="N5146" i="41" s="1"/>
  <c r="L5145" i="41"/>
  <c r="N5145" i="41" s="1"/>
  <c r="L5144" i="41"/>
  <c r="N5144" i="41" s="1"/>
  <c r="L5143" i="41"/>
  <c r="N5143" i="41" s="1"/>
  <c r="L5142" i="41"/>
  <c r="N5142" i="41" s="1"/>
  <c r="L5141" i="41"/>
  <c r="N5141" i="41" s="1"/>
  <c r="L5140" i="41"/>
  <c r="N5140" i="41" s="1"/>
  <c r="L5139" i="41"/>
  <c r="N5139" i="41" s="1"/>
  <c r="V5138" i="41"/>
  <c r="Y5138" i="41" s="1"/>
  <c r="L5138" i="41"/>
  <c r="N5138" i="41" s="1"/>
  <c r="V5137" i="41"/>
  <c r="Y5137" i="41" s="1"/>
  <c r="L5137" i="41"/>
  <c r="N5137" i="41" s="1"/>
  <c r="L5136" i="41"/>
  <c r="N5136" i="41" s="1"/>
  <c r="L5135" i="41"/>
  <c r="N5135" i="41" s="1"/>
  <c r="L5134" i="41"/>
  <c r="N5134" i="41" s="1"/>
  <c r="L5133" i="41"/>
  <c r="N5133" i="41" s="1"/>
  <c r="L5132" i="41"/>
  <c r="N5132" i="41" s="1"/>
  <c r="L5131" i="41"/>
  <c r="N5131" i="41" s="1"/>
  <c r="L5130" i="41"/>
  <c r="N5130" i="41" s="1"/>
  <c r="L5129" i="41"/>
  <c r="N5129" i="41" s="1"/>
  <c r="L5128" i="41"/>
  <c r="N5128" i="41" s="1"/>
  <c r="V5127" i="41"/>
  <c r="Y5127" i="41" s="1"/>
  <c r="L5127" i="41"/>
  <c r="N5127" i="41" s="1"/>
  <c r="L5126" i="41"/>
  <c r="N5126" i="41" s="1"/>
  <c r="L5125" i="41"/>
  <c r="N5125" i="41" s="1"/>
  <c r="L5124" i="41"/>
  <c r="N5124" i="41" s="1"/>
  <c r="L5123" i="41"/>
  <c r="N5123" i="41" s="1"/>
  <c r="L5122" i="41"/>
  <c r="N5122" i="41" s="1"/>
  <c r="L5121" i="41"/>
  <c r="N5121" i="41" s="1"/>
  <c r="L5120" i="41"/>
  <c r="N5120" i="41" s="1"/>
  <c r="L5119" i="41"/>
  <c r="N5119" i="41" s="1"/>
  <c r="L5118" i="41"/>
  <c r="N5118" i="41" s="1"/>
  <c r="L5117" i="41"/>
  <c r="N5117" i="41" s="1"/>
  <c r="L5116" i="41"/>
  <c r="N5116" i="41" s="1"/>
  <c r="L5115" i="41"/>
  <c r="N5115" i="41" s="1"/>
  <c r="L5114" i="41"/>
  <c r="N5114" i="41" s="1"/>
  <c r="L5113" i="41"/>
  <c r="N5113" i="41" s="1"/>
  <c r="L5112" i="41"/>
  <c r="N5112" i="41" s="1"/>
  <c r="L5111" i="41"/>
  <c r="N5111" i="41" s="1"/>
  <c r="L5110" i="41"/>
  <c r="N5110" i="41" s="1"/>
  <c r="Y5109" i="41"/>
  <c r="L5109" i="41"/>
  <c r="N5109" i="41" s="1"/>
  <c r="L5108" i="41"/>
  <c r="N5108" i="41" s="1"/>
  <c r="L5107" i="41"/>
  <c r="N5107" i="41" s="1"/>
  <c r="L5106" i="41"/>
  <c r="N5106" i="41" s="1"/>
  <c r="L5105" i="41"/>
  <c r="N5105" i="41" s="1"/>
  <c r="L5104" i="41"/>
  <c r="N5104" i="41" s="1"/>
  <c r="L5103" i="41"/>
  <c r="N5103" i="41" s="1"/>
  <c r="L5102" i="41"/>
  <c r="N5102" i="41" s="1"/>
  <c r="L5101" i="41"/>
  <c r="N5101" i="41" s="1"/>
  <c r="L5100" i="41"/>
  <c r="N5100" i="41" s="1"/>
  <c r="L5099" i="41"/>
  <c r="N5099" i="41" s="1"/>
  <c r="N5098" i="41"/>
  <c r="L5097" i="41"/>
  <c r="N5097" i="41" s="1"/>
  <c r="L5096" i="41"/>
  <c r="N5096" i="41" s="1"/>
  <c r="L5095" i="41"/>
  <c r="N5095" i="41" s="1"/>
  <c r="L5094" i="41"/>
  <c r="N5094" i="41" s="1"/>
  <c r="L5093" i="41"/>
  <c r="N5093" i="41" s="1"/>
  <c r="L5092" i="41"/>
  <c r="N5092" i="41" s="1"/>
  <c r="L5091" i="41"/>
  <c r="N5091" i="41" s="1"/>
  <c r="L5090" i="41"/>
  <c r="N5090" i="41" s="1"/>
  <c r="L5089" i="41"/>
  <c r="N5089" i="41" s="1"/>
  <c r="L5088" i="41"/>
  <c r="N5088" i="41" s="1"/>
  <c r="L5087" i="41"/>
  <c r="N5087" i="41" s="1"/>
  <c r="L5086" i="41"/>
  <c r="N5086" i="41" s="1"/>
  <c r="L5085" i="41"/>
  <c r="N5085" i="41" s="1"/>
  <c r="L5084" i="41"/>
  <c r="N5084" i="41" s="1"/>
  <c r="L5083" i="41"/>
  <c r="N5083" i="41" s="1"/>
  <c r="L5082" i="41"/>
  <c r="N5082" i="41" s="1"/>
  <c r="Y5081" i="41"/>
  <c r="L5081" i="41"/>
  <c r="N5081" i="41" s="1"/>
  <c r="Y5080" i="41"/>
  <c r="L5080" i="41"/>
  <c r="N5080" i="41" s="1"/>
  <c r="L5079" i="41"/>
  <c r="N5079" i="41" s="1"/>
  <c r="L5077" i="41"/>
  <c r="N5077" i="41" s="1"/>
  <c r="L5076" i="41"/>
  <c r="N5076" i="41" s="1"/>
  <c r="L5075" i="41"/>
  <c r="N5075" i="41" s="1"/>
  <c r="L5074" i="41"/>
  <c r="N5074" i="41" s="1"/>
  <c r="L5073" i="41"/>
  <c r="N5073" i="41" s="1"/>
  <c r="L5072" i="41"/>
  <c r="N5072" i="41" s="1"/>
  <c r="L5071" i="41"/>
  <c r="N5071" i="41" s="1"/>
  <c r="L5070" i="41"/>
  <c r="N5070" i="41" s="1"/>
  <c r="L5069" i="41"/>
  <c r="N5069" i="41" s="1"/>
  <c r="L5068" i="41"/>
  <c r="N5068" i="41" s="1"/>
  <c r="L5067" i="41"/>
  <c r="N5067" i="41" s="1"/>
  <c r="L5066" i="41"/>
  <c r="N5066" i="41" s="1"/>
  <c r="Y5065" i="41"/>
  <c r="L5065" i="41"/>
  <c r="N5065" i="41" s="1"/>
  <c r="L5064" i="41"/>
  <c r="N5064" i="41" s="1"/>
  <c r="L5063" i="41"/>
  <c r="N5063" i="41" s="1"/>
  <c r="L5062" i="41"/>
  <c r="N5062" i="41" s="1"/>
  <c r="L5061" i="41"/>
  <c r="N5061" i="41" s="1"/>
  <c r="L5060" i="41"/>
  <c r="N5060" i="41" s="1"/>
  <c r="L5059" i="41"/>
  <c r="N5059" i="41" s="1"/>
  <c r="L5058" i="41"/>
  <c r="N5058" i="41" s="1"/>
  <c r="L5057" i="41"/>
  <c r="N5057" i="41" s="1"/>
  <c r="L5056" i="41"/>
  <c r="N5056" i="41" s="1"/>
  <c r="L5055" i="41"/>
  <c r="N5055" i="41" s="1"/>
  <c r="L5054" i="41"/>
  <c r="N5054" i="41" s="1"/>
  <c r="L5053" i="41"/>
  <c r="N5053" i="41" s="1"/>
  <c r="L5052" i="41"/>
  <c r="N5052" i="41" s="1"/>
  <c r="L5051" i="41"/>
  <c r="N5051" i="41" s="1"/>
  <c r="L5050" i="41"/>
  <c r="N5050" i="41" s="1"/>
  <c r="L5049" i="41"/>
  <c r="N5049" i="41" s="1"/>
  <c r="V5048" i="41"/>
  <c r="Y5048" i="41" s="1"/>
  <c r="L5048" i="41"/>
  <c r="G5048" i="41"/>
  <c r="L5047" i="41"/>
  <c r="N5047" i="41" s="1"/>
  <c r="L5046" i="41"/>
  <c r="N5046" i="41" s="1"/>
  <c r="L5045" i="41"/>
  <c r="N5045" i="41" s="1"/>
  <c r="L5044" i="41"/>
  <c r="N5044" i="41" s="1"/>
  <c r="L5043" i="41"/>
  <c r="N5043" i="41" s="1"/>
  <c r="L5042" i="41"/>
  <c r="N5042" i="41" s="1"/>
  <c r="L5041" i="41"/>
  <c r="N5041" i="41" s="1"/>
  <c r="L5040" i="41"/>
  <c r="N5040" i="41" s="1"/>
  <c r="L5039" i="41"/>
  <c r="N5039" i="41" s="1"/>
  <c r="L5038" i="41"/>
  <c r="N5038" i="41" s="1"/>
  <c r="L5037" i="41"/>
  <c r="N5037" i="41" s="1"/>
  <c r="L5036" i="41"/>
  <c r="N5036" i="41" s="1"/>
  <c r="L5035" i="41"/>
  <c r="N5035" i="41" s="1"/>
  <c r="L5034" i="41"/>
  <c r="N5034" i="41" s="1"/>
  <c r="L5033" i="41"/>
  <c r="N5033" i="41" s="1"/>
  <c r="L5032" i="41"/>
  <c r="N5032" i="41" s="1"/>
  <c r="L5031" i="41"/>
  <c r="N5031" i="41" s="1"/>
  <c r="L5030" i="41"/>
  <c r="N5030" i="41" s="1"/>
  <c r="L5029" i="41"/>
  <c r="N5029" i="41" s="1"/>
  <c r="V5028" i="41"/>
  <c r="Y5028" i="41" s="1"/>
  <c r="L5028" i="41"/>
  <c r="N5028" i="41" s="1"/>
  <c r="L5027" i="41"/>
  <c r="N5027" i="41" s="1"/>
  <c r="L5026" i="41"/>
  <c r="N5026" i="41" s="1"/>
  <c r="L5025" i="41"/>
  <c r="N5025" i="41" s="1"/>
  <c r="L5024" i="41"/>
  <c r="N5024" i="41" s="1"/>
  <c r="L5023" i="41"/>
  <c r="N5023" i="41" s="1"/>
  <c r="L5022" i="41"/>
  <c r="N5022" i="41" s="1"/>
  <c r="L5021" i="41"/>
  <c r="N5021" i="41" s="1"/>
  <c r="L5020" i="41"/>
  <c r="N5020" i="41" s="1"/>
  <c r="L5019" i="41"/>
  <c r="N5019" i="41" s="1"/>
  <c r="L5018" i="41"/>
  <c r="N5018" i="41" s="1"/>
  <c r="L5017" i="41"/>
  <c r="N5017" i="41" s="1"/>
  <c r="L5016" i="41"/>
  <c r="N5016" i="41" s="1"/>
  <c r="L5015" i="41"/>
  <c r="N5015" i="41" s="1"/>
  <c r="L5014" i="41"/>
  <c r="N5014" i="41" s="1"/>
  <c r="L5013" i="41"/>
  <c r="N5013" i="41" s="1"/>
  <c r="L5012" i="41"/>
  <c r="N5012" i="41" s="1"/>
  <c r="L5011" i="41"/>
  <c r="N5011" i="41" s="1"/>
  <c r="L5010" i="41"/>
  <c r="N5010" i="41" s="1"/>
  <c r="Y5009" i="41"/>
  <c r="L5009" i="41"/>
  <c r="N5009" i="41" s="1"/>
  <c r="L5008" i="41"/>
  <c r="N5008" i="41" s="1"/>
  <c r="L5007" i="41"/>
  <c r="N5007" i="41" s="1"/>
  <c r="L5006" i="41"/>
  <c r="N5006" i="41" s="1"/>
  <c r="L5005" i="41"/>
  <c r="N5005" i="41" s="1"/>
  <c r="V5004" i="41"/>
  <c r="Y5004" i="41" s="1"/>
  <c r="L5004" i="41"/>
  <c r="N5004" i="41" s="1"/>
  <c r="L5003" i="41"/>
  <c r="N5003" i="41" s="1"/>
  <c r="L5002" i="41"/>
  <c r="N5002" i="41" s="1"/>
  <c r="L5001" i="41"/>
  <c r="N5001" i="41" s="1"/>
  <c r="L5000" i="41"/>
  <c r="N5000" i="41" s="1"/>
  <c r="L4999" i="41"/>
  <c r="N4999" i="41" s="1"/>
  <c r="L4998" i="41"/>
  <c r="N4998" i="41" s="1"/>
  <c r="L4997" i="41"/>
  <c r="N4997" i="41" s="1"/>
  <c r="L4996" i="41"/>
  <c r="N4996" i="41" s="1"/>
  <c r="L4995" i="41"/>
  <c r="N4995" i="41" s="1"/>
  <c r="L4994" i="41"/>
  <c r="N4994" i="41" s="1"/>
  <c r="L4993" i="41"/>
  <c r="N4993" i="41" s="1"/>
  <c r="L4992" i="41"/>
  <c r="N4992" i="41" s="1"/>
  <c r="L4991" i="41"/>
  <c r="N4991" i="41" s="1"/>
  <c r="L4990" i="41"/>
  <c r="N4990" i="41" s="1"/>
  <c r="L4989" i="41"/>
  <c r="N4989" i="41" s="1"/>
  <c r="Y4988" i="41"/>
  <c r="L4988" i="41"/>
  <c r="N4988" i="41" s="1"/>
  <c r="L4987" i="41"/>
  <c r="N4987" i="41" s="1"/>
  <c r="L4986" i="41"/>
  <c r="N4986" i="41" s="1"/>
  <c r="L4985" i="41"/>
  <c r="N4985" i="41" s="1"/>
  <c r="L4984" i="41"/>
  <c r="N4984" i="41" s="1"/>
  <c r="L4983" i="41"/>
  <c r="N4983" i="41" s="1"/>
  <c r="L4982" i="41"/>
  <c r="N4982" i="41" s="1"/>
  <c r="L4981" i="41"/>
  <c r="N4981" i="41" s="1"/>
  <c r="L4980" i="41"/>
  <c r="N4980" i="41" s="1"/>
  <c r="L4979" i="41"/>
  <c r="N4979" i="41" s="1"/>
  <c r="L4978" i="41"/>
  <c r="N4978" i="41" s="1"/>
  <c r="L4977" i="41"/>
  <c r="N4977" i="41" s="1"/>
  <c r="L4976" i="41"/>
  <c r="N4976" i="41" s="1"/>
  <c r="L4975" i="41"/>
  <c r="N4975" i="41" s="1"/>
  <c r="L4974" i="41"/>
  <c r="N4974" i="41" s="1"/>
  <c r="L4973" i="41"/>
  <c r="N4973" i="41" s="1"/>
  <c r="L4972" i="41"/>
  <c r="N4972" i="41" s="1"/>
  <c r="L4971" i="41"/>
  <c r="N4971" i="41" s="1"/>
  <c r="L4970" i="41"/>
  <c r="N4970" i="41" s="1"/>
  <c r="L4969" i="41"/>
  <c r="N4969" i="41" s="1"/>
  <c r="L4968" i="41"/>
  <c r="N4968" i="41" s="1"/>
  <c r="L4967" i="41"/>
  <c r="N4967" i="41" s="1"/>
  <c r="L4966" i="41"/>
  <c r="N4966" i="41" s="1"/>
  <c r="L4965" i="41"/>
  <c r="N4965" i="41" s="1"/>
  <c r="L4964" i="41"/>
  <c r="N4964" i="41" s="1"/>
  <c r="L4963" i="41"/>
  <c r="N4963" i="41" s="1"/>
  <c r="L4962" i="41"/>
  <c r="N4962" i="41" s="1"/>
  <c r="L4961" i="41"/>
  <c r="N4961" i="41" s="1"/>
  <c r="L4960" i="41"/>
  <c r="N4960" i="41" s="1"/>
  <c r="L4959" i="41"/>
  <c r="N4959" i="41" s="1"/>
  <c r="V4958" i="41"/>
  <c r="Y4958" i="41" s="1"/>
  <c r="L4957" i="41"/>
  <c r="N4957" i="41" s="1"/>
  <c r="L4956" i="41"/>
  <c r="N4956" i="41" s="1"/>
  <c r="L4955" i="41"/>
  <c r="N4955" i="41" s="1"/>
  <c r="L4954" i="41"/>
  <c r="N4954" i="41" s="1"/>
  <c r="L4953" i="41"/>
  <c r="N4953" i="41" s="1"/>
  <c r="L4952" i="41"/>
  <c r="N4952" i="41" s="1"/>
  <c r="L4951" i="41"/>
  <c r="N4951" i="41" s="1"/>
  <c r="Y4950" i="41"/>
  <c r="L4950" i="41"/>
  <c r="N4950" i="41" s="1"/>
  <c r="L4949" i="41"/>
  <c r="N4949" i="41" s="1"/>
  <c r="L4948" i="41"/>
  <c r="N4948" i="41" s="1"/>
  <c r="L4947" i="41"/>
  <c r="N4947" i="41" s="1"/>
  <c r="L4946" i="41"/>
  <c r="N4946" i="41" s="1"/>
  <c r="L4945" i="41"/>
  <c r="N4945" i="41" s="1"/>
  <c r="L4944" i="41"/>
  <c r="N4944" i="41" s="1"/>
  <c r="L4943" i="41"/>
  <c r="N4943" i="41" s="1"/>
  <c r="L4942" i="41"/>
  <c r="N4942" i="41" s="1"/>
  <c r="L4941" i="41"/>
  <c r="N4941" i="41" s="1"/>
  <c r="L4940" i="41"/>
  <c r="N4940" i="41" s="1"/>
  <c r="L4939" i="41"/>
  <c r="N4939" i="41" s="1"/>
  <c r="L4938" i="41"/>
  <c r="N4938" i="41" s="1"/>
  <c r="L4937" i="41"/>
  <c r="N4937" i="41" s="1"/>
  <c r="L4936" i="41"/>
  <c r="N4936" i="41" s="1"/>
  <c r="L4935" i="41"/>
  <c r="N4935" i="41" s="1"/>
  <c r="L4934" i="41"/>
  <c r="N4934" i="41" s="1"/>
  <c r="L4933" i="41"/>
  <c r="N4933" i="41" s="1"/>
  <c r="L4932" i="41"/>
  <c r="N4932" i="41" s="1"/>
  <c r="L4931" i="41"/>
  <c r="N4931" i="41" s="1"/>
  <c r="L4930" i="41"/>
  <c r="N4930" i="41" s="1"/>
  <c r="L4929" i="41"/>
  <c r="N4929" i="41" s="1"/>
  <c r="L4928" i="41"/>
  <c r="N4928" i="41" s="1"/>
  <c r="L4927" i="41"/>
  <c r="N4927" i="41" s="1"/>
  <c r="L4926" i="41"/>
  <c r="N4926" i="41" s="1"/>
  <c r="L4925" i="41"/>
  <c r="N4925" i="41" s="1"/>
  <c r="L4924" i="41"/>
  <c r="N4924" i="41" s="1"/>
  <c r="L4923" i="41"/>
  <c r="N4923" i="41" s="1"/>
  <c r="L4922" i="41"/>
  <c r="N4922" i="41" s="1"/>
  <c r="L4921" i="41"/>
  <c r="N4921" i="41" s="1"/>
  <c r="L4920" i="41"/>
  <c r="N4920" i="41" s="1"/>
  <c r="L4919" i="41"/>
  <c r="N4919" i="41" s="1"/>
  <c r="L4918" i="41"/>
  <c r="N4918" i="41" s="1"/>
  <c r="L4917" i="41"/>
  <c r="N4917" i="41" s="1"/>
  <c r="L4916" i="41"/>
  <c r="N4916" i="41" s="1"/>
  <c r="L4915" i="41"/>
  <c r="N4915" i="41" s="1"/>
  <c r="L4914" i="41"/>
  <c r="N4914" i="41" s="1"/>
  <c r="V4913" i="41"/>
  <c r="Y4913" i="41" s="1"/>
  <c r="L4913" i="41"/>
  <c r="N4913" i="41" s="1"/>
  <c r="L4912" i="41"/>
  <c r="N4912" i="41" s="1"/>
  <c r="L4911" i="41"/>
  <c r="N4911" i="41" s="1"/>
  <c r="L4910" i="41"/>
  <c r="N4910" i="41" s="1"/>
  <c r="L4909" i="41"/>
  <c r="N4909" i="41" s="1"/>
  <c r="Y4908" i="41"/>
  <c r="L4908" i="41"/>
  <c r="N4908" i="41" s="1"/>
  <c r="L4907" i="41"/>
  <c r="N4907" i="41" s="1"/>
  <c r="L4906" i="41"/>
  <c r="N4906" i="41" s="1"/>
  <c r="L4905" i="41"/>
  <c r="N4905" i="41" s="1"/>
  <c r="L4904" i="41"/>
  <c r="N4904" i="41" s="1"/>
  <c r="L4903" i="41"/>
  <c r="N4903" i="41" s="1"/>
  <c r="L4902" i="41"/>
  <c r="N4902" i="41" s="1"/>
  <c r="L4901" i="41"/>
  <c r="N4901" i="41" s="1"/>
  <c r="Y4900" i="41"/>
  <c r="L4900" i="41"/>
  <c r="N4900" i="41" s="1"/>
  <c r="L4899" i="41"/>
  <c r="N4899" i="41" s="1"/>
  <c r="L4898" i="41"/>
  <c r="N4898" i="41" s="1"/>
  <c r="L4897" i="41"/>
  <c r="N4897" i="41" s="1"/>
  <c r="L4896" i="41"/>
  <c r="N4896" i="41" s="1"/>
  <c r="L4895" i="41"/>
  <c r="N4895" i="41" s="1"/>
  <c r="L4894" i="41"/>
  <c r="N4894" i="41" s="1"/>
  <c r="Y4893" i="41"/>
  <c r="L4893" i="41"/>
  <c r="N4893" i="41" s="1"/>
  <c r="L4892" i="41"/>
  <c r="N4892" i="41" s="1"/>
  <c r="L4891" i="41"/>
  <c r="N4891" i="41" s="1"/>
  <c r="L4890" i="41"/>
  <c r="N4890" i="41" s="1"/>
  <c r="L4889" i="41"/>
  <c r="N4889" i="41" s="1"/>
  <c r="L4888" i="41"/>
  <c r="N4888" i="41" s="1"/>
  <c r="L4887" i="41"/>
  <c r="N4887" i="41" s="1"/>
  <c r="L4886" i="41"/>
  <c r="N4886" i="41" s="1"/>
  <c r="L4885" i="41"/>
  <c r="N4885" i="41" s="1"/>
  <c r="L4884" i="41"/>
  <c r="N4884" i="41" s="1"/>
  <c r="L4883" i="41"/>
  <c r="N4883" i="41" s="1"/>
  <c r="L4882" i="41"/>
  <c r="N4882" i="41" s="1"/>
  <c r="L4881" i="41"/>
  <c r="N4881" i="41" s="1"/>
  <c r="L4880" i="41"/>
  <c r="N4880" i="41" s="1"/>
  <c r="L4879" i="41"/>
  <c r="N4879" i="41" s="1"/>
  <c r="L4878" i="41"/>
  <c r="N4878" i="41" s="1"/>
  <c r="L4877" i="41"/>
  <c r="N4877" i="41" s="1"/>
  <c r="L4876" i="41"/>
  <c r="N4876" i="41" s="1"/>
  <c r="L4875" i="41"/>
  <c r="N4875" i="41" s="1"/>
  <c r="L4874" i="41"/>
  <c r="N4874" i="41" s="1"/>
  <c r="L4873" i="41"/>
  <c r="N4873" i="41" s="1"/>
  <c r="L4872" i="41"/>
  <c r="N4872" i="41" s="1"/>
  <c r="L4871" i="41"/>
  <c r="N4871" i="41" s="1"/>
  <c r="L4870" i="41"/>
  <c r="N4870" i="41" s="1"/>
  <c r="L4869" i="41"/>
  <c r="N4869" i="41" s="1"/>
  <c r="L4868" i="41"/>
  <c r="N4868" i="41" s="1"/>
  <c r="L4867" i="41"/>
  <c r="N4867" i="41" s="1"/>
  <c r="L4866" i="41"/>
  <c r="N4866" i="41" s="1"/>
  <c r="L4865" i="41"/>
  <c r="N4865" i="41" s="1"/>
  <c r="L4864" i="41"/>
  <c r="N4864" i="41" s="1"/>
  <c r="L4863" i="41"/>
  <c r="N4863" i="41" s="1"/>
  <c r="L4862" i="41"/>
  <c r="N4862" i="41" s="1"/>
  <c r="L4861" i="41"/>
  <c r="N4861" i="41" s="1"/>
  <c r="L4860" i="41"/>
  <c r="N4860" i="41" s="1"/>
  <c r="L4859" i="41"/>
  <c r="N4859" i="41" s="1"/>
  <c r="L4858" i="41"/>
  <c r="N4858" i="41" s="1"/>
  <c r="L4857" i="41"/>
  <c r="N4857" i="41" s="1"/>
  <c r="L4856" i="41"/>
  <c r="N4856" i="41" s="1"/>
  <c r="L4855" i="41"/>
  <c r="N4855" i="41" s="1"/>
  <c r="L4854" i="41"/>
  <c r="N4854" i="41" s="1"/>
  <c r="L4853" i="41"/>
  <c r="N4853" i="41" s="1"/>
  <c r="L4852" i="41"/>
  <c r="N4852" i="41" s="1"/>
  <c r="L4851" i="41"/>
  <c r="N4851" i="41" s="1"/>
  <c r="L4850" i="41"/>
  <c r="N4850" i="41" s="1"/>
  <c r="L4849" i="41"/>
  <c r="N4849" i="41" s="1"/>
  <c r="L4848" i="41"/>
  <c r="N4848" i="41" s="1"/>
  <c r="L4847" i="41"/>
  <c r="N4847" i="41" s="1"/>
  <c r="L4846" i="41"/>
  <c r="N4846" i="41" s="1"/>
  <c r="L4845" i="41"/>
  <c r="N4845" i="41" s="1"/>
  <c r="Y4844" i="41"/>
  <c r="L4844" i="41"/>
  <c r="N4844" i="41" s="1"/>
  <c r="L4843" i="41"/>
  <c r="N4843" i="41" s="1"/>
  <c r="L4842" i="41"/>
  <c r="N4842" i="41" s="1"/>
  <c r="L4841" i="41"/>
  <c r="N4841" i="41" s="1"/>
  <c r="L4840" i="41"/>
  <c r="N4840" i="41" s="1"/>
  <c r="L4839" i="41"/>
  <c r="N4839" i="41" s="1"/>
  <c r="Y4838" i="41"/>
  <c r="L4838" i="41"/>
  <c r="N4838" i="41" s="1"/>
  <c r="L4837" i="41"/>
  <c r="N4837" i="41" s="1"/>
  <c r="L4836" i="41"/>
  <c r="N4836" i="41" s="1"/>
  <c r="L4835" i="41"/>
  <c r="N4835" i="41" s="1"/>
  <c r="L4834" i="41"/>
  <c r="N4834" i="41" s="1"/>
  <c r="L4833" i="41"/>
  <c r="N4833" i="41" s="1"/>
  <c r="L4832" i="41"/>
  <c r="N4832" i="41" s="1"/>
  <c r="L4831" i="41"/>
  <c r="N4831" i="41" s="1"/>
  <c r="L4830" i="41"/>
  <c r="N4830" i="41" s="1"/>
  <c r="L4829" i="41"/>
  <c r="N4829" i="41" s="1"/>
  <c r="L4828" i="41"/>
  <c r="N4828" i="41" s="1"/>
  <c r="L4827" i="41"/>
  <c r="N4827" i="41" s="1"/>
  <c r="L4826" i="41"/>
  <c r="N4826" i="41" s="1"/>
  <c r="L4825" i="41"/>
  <c r="N4825" i="41" s="1"/>
  <c r="L4824" i="41"/>
  <c r="N4824" i="41" s="1"/>
  <c r="L4823" i="41"/>
  <c r="N4823" i="41" s="1"/>
  <c r="L4822" i="41"/>
  <c r="N4822" i="41" s="1"/>
  <c r="L4821" i="41"/>
  <c r="N4821" i="41" s="1"/>
  <c r="L4820" i="41"/>
  <c r="N4820" i="41" s="1"/>
  <c r="L4819" i="41"/>
  <c r="N4819" i="41" s="1"/>
  <c r="L4818" i="41"/>
  <c r="N4818" i="41" s="1"/>
  <c r="L4817" i="41"/>
  <c r="N4817" i="41" s="1"/>
  <c r="L4816" i="41"/>
  <c r="N4816" i="41" s="1"/>
  <c r="L4815" i="41"/>
  <c r="N4815" i="41" s="1"/>
  <c r="L4814" i="41"/>
  <c r="N4814" i="41" s="1"/>
  <c r="L4813" i="41"/>
  <c r="N4813" i="41" s="1"/>
  <c r="L4812" i="41"/>
  <c r="N4812" i="41" s="1"/>
  <c r="L4811" i="41"/>
  <c r="N4811" i="41" s="1"/>
  <c r="L4810" i="41"/>
  <c r="N4810" i="41" s="1"/>
  <c r="L4809" i="41"/>
  <c r="N4809" i="41" s="1"/>
  <c r="L4808" i="41"/>
  <c r="N4808" i="41" s="1"/>
  <c r="L4807" i="41"/>
  <c r="N4807" i="41" s="1"/>
  <c r="L4806" i="41"/>
  <c r="N4806" i="41" s="1"/>
  <c r="L4805" i="41"/>
  <c r="N4805" i="41" s="1"/>
  <c r="L4804" i="41"/>
  <c r="N4804" i="41" s="1"/>
  <c r="L4803" i="41"/>
  <c r="N4803" i="41" s="1"/>
  <c r="V4802" i="41"/>
  <c r="Y4802" i="41" s="1"/>
  <c r="J4802" i="41"/>
  <c r="L4801" i="41"/>
  <c r="N4801" i="41" s="1"/>
  <c r="L4800" i="41"/>
  <c r="N4800" i="41" s="1"/>
  <c r="L4799" i="41"/>
  <c r="N4799" i="41" s="1"/>
  <c r="L4798" i="41"/>
  <c r="N4798" i="41" s="1"/>
  <c r="L4797" i="41"/>
  <c r="N4797" i="41" s="1"/>
  <c r="L4796" i="41"/>
  <c r="N4796" i="41" s="1"/>
  <c r="L4795" i="41"/>
  <c r="N4795" i="41" s="1"/>
  <c r="L4794" i="41"/>
  <c r="N4794" i="41" s="1"/>
  <c r="V4793" i="41"/>
  <c r="Y4793" i="41" s="1"/>
  <c r="L4793" i="41"/>
  <c r="N4793" i="41" s="1"/>
  <c r="L4792" i="41"/>
  <c r="N4792" i="41" s="1"/>
  <c r="L4791" i="41"/>
  <c r="N4791" i="41" s="1"/>
  <c r="L4790" i="41"/>
  <c r="N4790" i="41" s="1"/>
  <c r="L4789" i="41"/>
  <c r="N4789" i="41" s="1"/>
  <c r="Y4788" i="41"/>
  <c r="L4788" i="41"/>
  <c r="N4788" i="41" s="1"/>
  <c r="L4787" i="41"/>
  <c r="N4787" i="41" s="1"/>
  <c r="L4786" i="41"/>
  <c r="N4786" i="41" s="1"/>
  <c r="L4785" i="41"/>
  <c r="N4785" i="41" s="1"/>
  <c r="L4784" i="41"/>
  <c r="N4784" i="41" s="1"/>
  <c r="L4783" i="41"/>
  <c r="N4783" i="41" s="1"/>
  <c r="V4782" i="41"/>
  <c r="Y4782" i="41" s="1"/>
  <c r="L4782" i="41"/>
  <c r="N4782" i="41" s="1"/>
  <c r="L4781" i="41"/>
  <c r="N4781" i="41" s="1"/>
  <c r="L4780" i="41"/>
  <c r="N4780" i="41" s="1"/>
  <c r="L4779" i="41"/>
  <c r="N4779" i="41" s="1"/>
  <c r="L4778" i="41"/>
  <c r="N4778" i="41" s="1"/>
  <c r="L4777" i="41"/>
  <c r="N4777" i="41" s="1"/>
  <c r="L4776" i="41"/>
  <c r="N4776" i="41" s="1"/>
  <c r="L4775" i="41"/>
  <c r="N4775" i="41" s="1"/>
  <c r="L4774" i="41"/>
  <c r="N4774" i="41" s="1"/>
  <c r="L4773" i="41"/>
  <c r="N4773" i="41" s="1"/>
  <c r="V4772" i="41"/>
  <c r="Y4772" i="41" s="1"/>
  <c r="L4772" i="41"/>
  <c r="N4772" i="41" s="1"/>
  <c r="L4771" i="41"/>
  <c r="N4771" i="41" s="1"/>
  <c r="L4770" i="41"/>
  <c r="N4770" i="41" s="1"/>
  <c r="L4769" i="41"/>
  <c r="N4769" i="41" s="1"/>
  <c r="L4768" i="41"/>
  <c r="N4768" i="41" s="1"/>
  <c r="L4767" i="41"/>
  <c r="N4767" i="41" s="1"/>
  <c r="L4766" i="41"/>
  <c r="N4766" i="41" s="1"/>
  <c r="L4765" i="41"/>
  <c r="N4765" i="41" s="1"/>
  <c r="V4764" i="41"/>
  <c r="Y4764" i="41" s="1"/>
  <c r="L4764" i="41"/>
  <c r="N4764" i="41" s="1"/>
  <c r="L4763" i="41"/>
  <c r="N4763" i="41" s="1"/>
  <c r="L4762" i="41"/>
  <c r="N4762" i="41" s="1"/>
  <c r="L4761" i="41"/>
  <c r="N4761" i="41" s="1"/>
  <c r="L4760" i="41"/>
  <c r="N4760" i="41" s="1"/>
  <c r="L4759" i="41"/>
  <c r="N4759" i="41" s="1"/>
  <c r="L4758" i="41"/>
  <c r="N4758" i="41" s="1"/>
  <c r="L4757" i="41"/>
  <c r="N4757" i="41" s="1"/>
  <c r="L4756" i="41"/>
  <c r="N4756" i="41" s="1"/>
  <c r="L4755" i="41"/>
  <c r="N4755" i="41" s="1"/>
  <c r="L4754" i="41"/>
  <c r="N4754" i="41" s="1"/>
  <c r="V4753" i="41"/>
  <c r="Y4753" i="41" s="1"/>
  <c r="L4753" i="41"/>
  <c r="N4753" i="41" s="1"/>
  <c r="L4752" i="41"/>
  <c r="N4752" i="41" s="1"/>
  <c r="L4751" i="41"/>
  <c r="N4751" i="41" s="1"/>
  <c r="L4750" i="41"/>
  <c r="N4750" i="41" s="1"/>
  <c r="L4749" i="41"/>
  <c r="N4749" i="41" s="1"/>
  <c r="L4748" i="41"/>
  <c r="N4748" i="41" s="1"/>
  <c r="L4747" i="41"/>
  <c r="N4747" i="41" s="1"/>
  <c r="L4746" i="41"/>
  <c r="N4746" i="41" s="1"/>
  <c r="L4745" i="41"/>
  <c r="N4745" i="41" s="1"/>
  <c r="L4744" i="41"/>
  <c r="N4744" i="41" s="1"/>
  <c r="L4743" i="41"/>
  <c r="N4743" i="41" s="1"/>
  <c r="L4742" i="41"/>
  <c r="N4742" i="41" s="1"/>
  <c r="L4741" i="41"/>
  <c r="N4741" i="41" s="1"/>
  <c r="L4740" i="41"/>
  <c r="N4740" i="41" s="1"/>
  <c r="L4739" i="41"/>
  <c r="N4739" i="41" s="1"/>
  <c r="L4738" i="41"/>
  <c r="N4738" i="41" s="1"/>
  <c r="L4737" i="41"/>
  <c r="N4737" i="41" s="1"/>
  <c r="L4736" i="41"/>
  <c r="N4736" i="41" s="1"/>
  <c r="L4735" i="41"/>
  <c r="N4735" i="41" s="1"/>
  <c r="L4734" i="41"/>
  <c r="N4734" i="41" s="1"/>
  <c r="L4733" i="41"/>
  <c r="N4733" i="41" s="1"/>
  <c r="L4732" i="41"/>
  <c r="N4732" i="41" s="1"/>
  <c r="L4731" i="41"/>
  <c r="N4731" i="41" s="1"/>
  <c r="L4730" i="41"/>
  <c r="N4730" i="41" s="1"/>
  <c r="L4729" i="41"/>
  <c r="N4729" i="41" s="1"/>
  <c r="L4728" i="41"/>
  <c r="N4728" i="41" s="1"/>
  <c r="L4727" i="41"/>
  <c r="N4727" i="41" s="1"/>
  <c r="L4726" i="41"/>
  <c r="N4726" i="41" s="1"/>
  <c r="L4725" i="41"/>
  <c r="N4725" i="41" s="1"/>
  <c r="L4724" i="41"/>
  <c r="N4724" i="41" s="1"/>
  <c r="L4723" i="41"/>
  <c r="N4723" i="41" s="1"/>
  <c r="L4722" i="41"/>
  <c r="N4722" i="41" s="1"/>
  <c r="L4721" i="41"/>
  <c r="N4721" i="41" s="1"/>
  <c r="L4720" i="41"/>
  <c r="N4720" i="41" s="1"/>
  <c r="Y4719" i="41"/>
  <c r="L4719" i="41"/>
  <c r="N4719" i="41" s="1"/>
  <c r="L4718" i="41"/>
  <c r="N4718" i="41" s="1"/>
  <c r="L4717" i="41"/>
  <c r="N4717" i="41" s="1"/>
  <c r="L4716" i="41"/>
  <c r="N4716" i="41" s="1"/>
  <c r="L4715" i="41"/>
  <c r="N4715" i="41" s="1"/>
  <c r="L4714" i="41"/>
  <c r="N4714" i="41" s="1"/>
  <c r="L4713" i="41"/>
  <c r="N4713" i="41" s="1"/>
  <c r="L4712" i="41"/>
  <c r="N4712" i="41" s="1"/>
  <c r="L4711" i="41"/>
  <c r="N4711" i="41" s="1"/>
  <c r="L4710" i="41"/>
  <c r="N4710" i="41" s="1"/>
  <c r="L4709" i="41"/>
  <c r="N4709" i="41" s="1"/>
  <c r="L4708" i="41"/>
  <c r="N4708" i="41" s="1"/>
  <c r="L4707" i="41"/>
  <c r="N4707" i="41" s="1"/>
  <c r="L4706" i="41"/>
  <c r="N4706" i="41" s="1"/>
  <c r="L4705" i="41"/>
  <c r="N4705" i="41" s="1"/>
  <c r="V4704" i="41"/>
  <c r="Y4704" i="41" s="1"/>
  <c r="L4704" i="41"/>
  <c r="N4704" i="41" s="1"/>
  <c r="L4703" i="41"/>
  <c r="N4703" i="41" s="1"/>
  <c r="L4702" i="41"/>
  <c r="N4702" i="41" s="1"/>
  <c r="L4701" i="41"/>
  <c r="N4701" i="41" s="1"/>
  <c r="L4700" i="41"/>
  <c r="N4700" i="41" s="1"/>
  <c r="L4699" i="41"/>
  <c r="N4699" i="41" s="1"/>
  <c r="L4698" i="41"/>
  <c r="N4698" i="41" s="1"/>
  <c r="L4697" i="41"/>
  <c r="N4697" i="41" s="1"/>
  <c r="L4696" i="41"/>
  <c r="N4696" i="41" s="1"/>
  <c r="L4695" i="41"/>
  <c r="N4695" i="41" s="1"/>
  <c r="L4694" i="41"/>
  <c r="N4694" i="41" s="1"/>
  <c r="L4693" i="41"/>
  <c r="N4693" i="41" s="1"/>
  <c r="L4692" i="41"/>
  <c r="N4692" i="41" s="1"/>
  <c r="L4691" i="41"/>
  <c r="N4691" i="41" s="1"/>
  <c r="L4690" i="41"/>
  <c r="N4690" i="41" s="1"/>
  <c r="L4689" i="41"/>
  <c r="N4689" i="41" s="1"/>
  <c r="L4688" i="41"/>
  <c r="N4688" i="41" s="1"/>
  <c r="V4687" i="41"/>
  <c r="Y4687" i="41" s="1"/>
  <c r="L4687" i="41"/>
  <c r="N4687" i="41" s="1"/>
  <c r="L4686" i="41"/>
  <c r="N4686" i="41" s="1"/>
  <c r="L4685" i="41"/>
  <c r="N4685" i="41" s="1"/>
  <c r="L4684" i="41"/>
  <c r="N4684" i="41" s="1"/>
  <c r="L4683" i="41"/>
  <c r="N4683" i="41" s="1"/>
  <c r="L4682" i="41"/>
  <c r="N4682" i="41" s="1"/>
  <c r="L4681" i="41"/>
  <c r="N4681" i="41" s="1"/>
  <c r="L4680" i="41"/>
  <c r="N4680" i="41" s="1"/>
  <c r="L4679" i="41"/>
  <c r="N4679" i="41" s="1"/>
  <c r="L4678" i="41"/>
  <c r="N4678" i="41" s="1"/>
  <c r="L4677" i="41"/>
  <c r="N4677" i="41" s="1"/>
  <c r="L4676" i="41"/>
  <c r="N4676" i="41" s="1"/>
  <c r="L4675" i="41"/>
  <c r="N4675" i="41" s="1"/>
  <c r="L4674" i="41"/>
  <c r="N4674" i="41" s="1"/>
  <c r="L4673" i="41"/>
  <c r="N4673" i="41" s="1"/>
  <c r="L4672" i="41"/>
  <c r="N4672" i="41" s="1"/>
  <c r="L4671" i="41"/>
  <c r="N4671" i="41" s="1"/>
  <c r="L4670" i="41"/>
  <c r="N4670" i="41" s="1"/>
  <c r="L4669" i="41"/>
  <c r="N4669" i="41" s="1"/>
  <c r="L4668" i="41"/>
  <c r="N4668" i="41" s="1"/>
  <c r="L4667" i="41"/>
  <c r="N4667" i="41" s="1"/>
  <c r="L4666" i="41"/>
  <c r="N4666" i="41" s="1"/>
  <c r="L4665" i="41"/>
  <c r="N4665" i="41" s="1"/>
  <c r="L4664" i="41"/>
  <c r="N4664" i="41" s="1"/>
  <c r="L4663" i="41"/>
  <c r="N4663" i="41" s="1"/>
  <c r="L4662" i="41"/>
  <c r="N4662" i="41" s="1"/>
  <c r="L4661" i="41"/>
  <c r="N4661" i="41" s="1"/>
  <c r="L4660" i="41"/>
  <c r="N4660" i="41" s="1"/>
  <c r="L4659" i="41"/>
  <c r="N4659" i="41" s="1"/>
  <c r="L4658" i="41"/>
  <c r="N4658" i="41" s="1"/>
  <c r="L4657" i="41"/>
  <c r="N4657" i="41" s="1"/>
  <c r="L4656" i="41"/>
  <c r="N4656" i="41" s="1"/>
  <c r="L4655" i="41"/>
  <c r="N4655" i="41" s="1"/>
  <c r="L4654" i="41"/>
  <c r="N4654" i="41" s="1"/>
  <c r="L4653" i="41"/>
  <c r="N4653" i="41" s="1"/>
  <c r="L4652" i="41"/>
  <c r="N4652" i="41" s="1"/>
  <c r="L4651" i="41"/>
  <c r="N4651" i="41" s="1"/>
  <c r="L4650" i="41"/>
  <c r="N4650" i="41" s="1"/>
  <c r="L4649" i="41"/>
  <c r="N4649" i="41" s="1"/>
  <c r="L4648" i="41"/>
  <c r="N4648" i="41" s="1"/>
  <c r="L4647" i="41"/>
  <c r="N4647" i="41" s="1"/>
  <c r="L4646" i="41"/>
  <c r="N4646" i="41" s="1"/>
  <c r="L4645" i="41"/>
  <c r="N4645" i="41" s="1"/>
  <c r="L4644" i="41"/>
  <c r="N4644" i="41" s="1"/>
  <c r="L4643" i="41"/>
  <c r="N4643" i="41" s="1"/>
  <c r="L4642" i="41"/>
  <c r="N4642" i="41" s="1"/>
  <c r="L4641" i="41"/>
  <c r="N4641" i="41" s="1"/>
  <c r="L4640" i="41"/>
  <c r="N4640" i="41" s="1"/>
  <c r="L4639" i="41"/>
  <c r="N4639" i="41" s="1"/>
  <c r="L4638" i="41"/>
  <c r="N4638" i="41" s="1"/>
  <c r="V4637" i="41"/>
  <c r="Y4637" i="41" s="1"/>
  <c r="I4637" i="41"/>
  <c r="L4636" i="41"/>
  <c r="N4636" i="41" s="1"/>
  <c r="L4635" i="41"/>
  <c r="N4635" i="41" s="1"/>
  <c r="L4634" i="41"/>
  <c r="N4634" i="41" s="1"/>
  <c r="L4633" i="41"/>
  <c r="N4633" i="41" s="1"/>
  <c r="L4632" i="41"/>
  <c r="N4632" i="41" s="1"/>
  <c r="L4631" i="41"/>
  <c r="N4631" i="41" s="1"/>
  <c r="L4630" i="41"/>
  <c r="N4630" i="41" s="1"/>
  <c r="L4629" i="41"/>
  <c r="N4629" i="41" s="1"/>
  <c r="L4628" i="41"/>
  <c r="N4628" i="41" s="1"/>
  <c r="L4627" i="41"/>
  <c r="N4627" i="41" s="1"/>
  <c r="L4626" i="41"/>
  <c r="N4626" i="41" s="1"/>
  <c r="L4625" i="41"/>
  <c r="N4625" i="41" s="1"/>
  <c r="L4624" i="41"/>
  <c r="N4624" i="41" s="1"/>
  <c r="L4623" i="41"/>
  <c r="N4623" i="41" s="1"/>
  <c r="L4622" i="41"/>
  <c r="N4622" i="41" s="1"/>
  <c r="L4621" i="41"/>
  <c r="N4621" i="41" s="1"/>
  <c r="L4620" i="41"/>
  <c r="N4620" i="41" s="1"/>
  <c r="L4619" i="41"/>
  <c r="N4619" i="41" s="1"/>
  <c r="L4618" i="41"/>
  <c r="N4618" i="41" s="1"/>
  <c r="Y4617" i="41"/>
  <c r="L4617" i="41"/>
  <c r="N4617" i="41" s="1"/>
  <c r="L4616" i="41"/>
  <c r="N4616" i="41" s="1"/>
  <c r="L4615" i="41"/>
  <c r="N4615" i="41" s="1"/>
  <c r="L4614" i="41"/>
  <c r="N4614" i="41" s="1"/>
  <c r="L4613" i="41"/>
  <c r="N4613" i="41" s="1"/>
  <c r="L4612" i="41"/>
  <c r="N4612" i="41" s="1"/>
  <c r="L4611" i="41"/>
  <c r="N4611" i="41" s="1"/>
  <c r="L4610" i="41"/>
  <c r="N4610" i="41" s="1"/>
  <c r="L4609" i="41"/>
  <c r="N4609" i="41" s="1"/>
  <c r="L4608" i="41"/>
  <c r="N4608" i="41" s="1"/>
  <c r="V4607" i="41"/>
  <c r="Y4607" i="41" s="1"/>
  <c r="L4607" i="41"/>
  <c r="N4607" i="41" s="1"/>
  <c r="L4606" i="41"/>
  <c r="N4606" i="41" s="1"/>
  <c r="L4605" i="41"/>
  <c r="N4605" i="41" s="1"/>
  <c r="L4604" i="41"/>
  <c r="N4604" i="41" s="1"/>
  <c r="L4603" i="41"/>
  <c r="N4603" i="41" s="1"/>
  <c r="L4602" i="41"/>
  <c r="N4602" i="41" s="1"/>
  <c r="L4601" i="41"/>
  <c r="N4601" i="41" s="1"/>
  <c r="L4600" i="41"/>
  <c r="N4600" i="41" s="1"/>
  <c r="L4599" i="41"/>
  <c r="N4599" i="41" s="1"/>
  <c r="L4598" i="41"/>
  <c r="N4598" i="41" s="1"/>
  <c r="L4597" i="41"/>
  <c r="N4597" i="41" s="1"/>
  <c r="L4596" i="41"/>
  <c r="N4596" i="41" s="1"/>
  <c r="L4595" i="41"/>
  <c r="N4595" i="41" s="1"/>
  <c r="V4594" i="41"/>
  <c r="Y4594" i="41" s="1"/>
  <c r="L4594" i="41"/>
  <c r="N4594" i="41" s="1"/>
  <c r="Y4593" i="41"/>
  <c r="I4593" i="41"/>
  <c r="L4592" i="41"/>
  <c r="N4592" i="41" s="1"/>
  <c r="L4591" i="41"/>
  <c r="N4591" i="41" s="1"/>
  <c r="L4590" i="41"/>
  <c r="N4590" i="41" s="1"/>
  <c r="L4589" i="41"/>
  <c r="N4589" i="41" s="1"/>
  <c r="L4588" i="41"/>
  <c r="N4588" i="41" s="1"/>
  <c r="V4587" i="41"/>
  <c r="Y4587" i="41" s="1"/>
  <c r="L4587" i="41"/>
  <c r="L4586" i="41"/>
  <c r="N4586" i="41" s="1"/>
  <c r="L4585" i="41"/>
  <c r="N4585" i="41" s="1"/>
  <c r="L4584" i="41"/>
  <c r="N4584" i="41" s="1"/>
  <c r="L4583" i="41"/>
  <c r="N4583" i="41" s="1"/>
  <c r="L4582" i="41"/>
  <c r="N4582" i="41" s="1"/>
  <c r="L4581" i="41"/>
  <c r="N4581" i="41" s="1"/>
  <c r="L4580" i="41"/>
  <c r="N4580" i="41" s="1"/>
  <c r="L4579" i="41"/>
  <c r="N4579" i="41" s="1"/>
  <c r="V4578" i="41"/>
  <c r="Y4578" i="41" s="1"/>
  <c r="L4578" i="41"/>
  <c r="N4578" i="41" s="1"/>
  <c r="V4577" i="41"/>
  <c r="Y4577" i="41" s="1"/>
  <c r="L4577" i="41"/>
  <c r="N4577" i="41" s="1"/>
  <c r="L4576" i="41"/>
  <c r="N4576" i="41" s="1"/>
  <c r="L4575" i="41"/>
  <c r="N4575" i="41" s="1"/>
  <c r="V4574" i="41"/>
  <c r="Y4574" i="41" s="1"/>
  <c r="L4574" i="41"/>
  <c r="N4574" i="41" s="1"/>
  <c r="L4573" i="41"/>
  <c r="N4573" i="41" s="1"/>
  <c r="L4572" i="41"/>
  <c r="N4572" i="41" s="1"/>
  <c r="L4571" i="41"/>
  <c r="N4571" i="41" s="1"/>
  <c r="L4570" i="41"/>
  <c r="N4570" i="41" s="1"/>
  <c r="L4569" i="41"/>
  <c r="N4569" i="41" s="1"/>
  <c r="L4568" i="41"/>
  <c r="N4568" i="41" s="1"/>
  <c r="L4567" i="41"/>
  <c r="N4567" i="41" s="1"/>
  <c r="L4566" i="41"/>
  <c r="N4566" i="41" s="1"/>
  <c r="L4565" i="41"/>
  <c r="N4565" i="41" s="1"/>
  <c r="L4564" i="41"/>
  <c r="N4564" i="41" s="1"/>
  <c r="V4563" i="41"/>
  <c r="Y4563" i="41" s="1"/>
  <c r="L4563" i="41"/>
  <c r="N4563" i="41" s="1"/>
  <c r="L4562" i="41"/>
  <c r="N4562" i="41" s="1"/>
  <c r="L4561" i="41"/>
  <c r="N4561" i="41" s="1"/>
  <c r="L4560" i="41"/>
  <c r="N4560" i="41" s="1"/>
  <c r="L4559" i="41"/>
  <c r="N4559" i="41" s="1"/>
  <c r="L4558" i="41"/>
  <c r="N4558" i="41" s="1"/>
  <c r="L4557" i="41"/>
  <c r="N4557" i="41" s="1"/>
  <c r="L4556" i="41"/>
  <c r="N4556" i="41" s="1"/>
  <c r="L4555" i="41"/>
  <c r="N4555" i="41" s="1"/>
  <c r="L4554" i="41"/>
  <c r="N4554" i="41" s="1"/>
  <c r="L4553" i="41"/>
  <c r="N4553" i="41" s="1"/>
  <c r="L4552" i="41"/>
  <c r="N4552" i="41" s="1"/>
  <c r="L4551" i="41"/>
  <c r="N4551" i="41" s="1"/>
  <c r="L4550" i="41"/>
  <c r="N4550" i="41" s="1"/>
  <c r="L4549" i="41"/>
  <c r="N4549" i="41" s="1"/>
  <c r="L4548" i="41"/>
  <c r="N4548" i="41" s="1"/>
  <c r="L4547" i="41"/>
  <c r="N4547" i="41" s="1"/>
  <c r="L4546" i="41"/>
  <c r="N4546" i="41" s="1"/>
  <c r="L4545" i="41"/>
  <c r="N4545" i="41" s="1"/>
  <c r="L4544" i="41"/>
  <c r="N4544" i="41" s="1"/>
  <c r="V4543" i="41"/>
  <c r="Y4543" i="41" s="1"/>
  <c r="L4543" i="41"/>
  <c r="N4543" i="41" s="1"/>
  <c r="L4542" i="41"/>
  <c r="N4542" i="41" s="1"/>
  <c r="L4541" i="41"/>
  <c r="N4541" i="41" s="1"/>
  <c r="L4540" i="41"/>
  <c r="N4540" i="41" s="1"/>
  <c r="L4539" i="41"/>
  <c r="N4539" i="41" s="1"/>
  <c r="L4538" i="41"/>
  <c r="N4538" i="41" s="1"/>
  <c r="L4537" i="41"/>
  <c r="N4537" i="41" s="1"/>
  <c r="L4536" i="41"/>
  <c r="N4536" i="41" s="1"/>
  <c r="L4535" i="41"/>
  <c r="N4535" i="41" s="1"/>
  <c r="L4534" i="41"/>
  <c r="N4534" i="41" s="1"/>
  <c r="Y4533" i="41"/>
  <c r="L4533" i="41"/>
  <c r="N4533" i="41" s="1"/>
  <c r="L4532" i="41"/>
  <c r="N4532" i="41" s="1"/>
  <c r="L4531" i="41"/>
  <c r="N4531" i="41" s="1"/>
  <c r="L4530" i="41"/>
  <c r="N4530" i="41" s="1"/>
  <c r="L4529" i="41"/>
  <c r="N4529" i="41" s="1"/>
  <c r="L4528" i="41"/>
  <c r="N4528" i="41" s="1"/>
  <c r="L4527" i="41"/>
  <c r="N4527" i="41" s="1"/>
  <c r="L4526" i="41"/>
  <c r="N4526" i="41" s="1"/>
  <c r="L4525" i="41"/>
  <c r="N4525" i="41" s="1"/>
  <c r="L4524" i="41"/>
  <c r="N4524" i="41" s="1"/>
  <c r="L4523" i="41"/>
  <c r="N4523" i="41" s="1"/>
  <c r="L4522" i="41"/>
  <c r="N4522" i="41" s="1"/>
  <c r="L4521" i="41"/>
  <c r="N4521" i="41" s="1"/>
  <c r="L4520" i="41"/>
  <c r="N4520" i="41" s="1"/>
  <c r="L4519" i="41"/>
  <c r="N4519" i="41" s="1"/>
  <c r="L4518" i="41"/>
  <c r="N4518" i="41" s="1"/>
  <c r="L4517" i="41"/>
  <c r="N4517" i="41" s="1"/>
  <c r="L4516" i="41"/>
  <c r="N4516" i="41" s="1"/>
  <c r="L4515" i="41"/>
  <c r="N4515" i="41" s="1"/>
  <c r="L4514" i="41"/>
  <c r="N4514" i="41" s="1"/>
  <c r="L4513" i="41"/>
  <c r="N4513" i="41" s="1"/>
  <c r="L4512" i="41"/>
  <c r="N4512" i="41" s="1"/>
  <c r="L4511" i="41"/>
  <c r="N4511" i="41" s="1"/>
  <c r="L4510" i="41"/>
  <c r="N4510" i="41" s="1"/>
  <c r="L4509" i="41"/>
  <c r="N4509" i="41" s="1"/>
  <c r="L4508" i="41"/>
  <c r="N4508" i="41" s="1"/>
  <c r="L4507" i="41"/>
  <c r="N4507" i="41" s="1"/>
  <c r="L4506" i="41"/>
  <c r="N4506" i="41" s="1"/>
  <c r="L4505" i="41"/>
  <c r="N4505" i="41" s="1"/>
  <c r="L4504" i="41"/>
  <c r="N4504" i="41" s="1"/>
  <c r="L4503" i="41"/>
  <c r="N4503" i="41" s="1"/>
  <c r="L4502" i="41"/>
  <c r="N4502" i="41" s="1"/>
  <c r="L4501" i="41"/>
  <c r="N4501" i="41" s="1"/>
  <c r="L4500" i="41"/>
  <c r="N4500" i="41" s="1"/>
  <c r="L4499" i="41"/>
  <c r="N4499" i="41" s="1"/>
  <c r="L4498" i="41"/>
  <c r="N4498" i="41" s="1"/>
  <c r="L4497" i="41"/>
  <c r="N4497" i="41" s="1"/>
  <c r="L4496" i="41"/>
  <c r="N4496" i="41" s="1"/>
  <c r="L4495" i="41"/>
  <c r="N4495" i="41" s="1"/>
  <c r="L4494" i="41"/>
  <c r="N4494" i="41" s="1"/>
  <c r="L4493" i="41"/>
  <c r="N4493" i="41" s="1"/>
  <c r="L4492" i="41"/>
  <c r="N4492" i="41" s="1"/>
  <c r="L4491" i="41"/>
  <c r="N4491" i="41" s="1"/>
  <c r="L4490" i="41"/>
  <c r="N4490" i="41" s="1"/>
  <c r="L4489" i="41"/>
  <c r="N4489" i="41" s="1"/>
  <c r="L4488" i="41"/>
  <c r="N4488" i="41" s="1"/>
  <c r="L4487" i="41"/>
  <c r="N4487" i="41" s="1"/>
  <c r="L4486" i="41"/>
  <c r="N4486" i="41" s="1"/>
  <c r="V4485" i="41"/>
  <c r="Y4485" i="41" s="1"/>
  <c r="L4485" i="41"/>
  <c r="N4485" i="41" s="1"/>
  <c r="L4484" i="41"/>
  <c r="N4484" i="41" s="1"/>
  <c r="L4483" i="41"/>
  <c r="N4483" i="41" s="1"/>
  <c r="L4482" i="41"/>
  <c r="N4482" i="41" s="1"/>
  <c r="L4481" i="41"/>
  <c r="N4481" i="41" s="1"/>
  <c r="L4480" i="41"/>
  <c r="N4480" i="41" s="1"/>
  <c r="L4479" i="41"/>
  <c r="N4479" i="41" s="1"/>
  <c r="Y4478" i="41"/>
  <c r="J4478" i="41"/>
  <c r="L4477" i="41"/>
  <c r="N4477" i="41" s="1"/>
  <c r="Y4476" i="41"/>
  <c r="H4476" i="41"/>
  <c r="L4475" i="41"/>
  <c r="N4475" i="41" s="1"/>
  <c r="L4474" i="41"/>
  <c r="N4474" i="41" s="1"/>
  <c r="L4473" i="41"/>
  <c r="N4473" i="41" s="1"/>
  <c r="L4472" i="41"/>
  <c r="N4472" i="41" s="1"/>
  <c r="L4471" i="41"/>
  <c r="N4471" i="41" s="1"/>
  <c r="L4470" i="41"/>
  <c r="N4470" i="41" s="1"/>
  <c r="L4469" i="41"/>
  <c r="N4469" i="41" s="1"/>
  <c r="L4468" i="41"/>
  <c r="N4468" i="41" s="1"/>
  <c r="L4467" i="41"/>
  <c r="N4467" i="41" s="1"/>
  <c r="L4466" i="41"/>
  <c r="N4466" i="41" s="1"/>
  <c r="L4465" i="41"/>
  <c r="N4465" i="41" s="1"/>
  <c r="L4464" i="41"/>
  <c r="N4464" i="41" s="1"/>
  <c r="L4463" i="41"/>
  <c r="N4463" i="41" s="1"/>
  <c r="L4462" i="41"/>
  <c r="N4462" i="41" s="1"/>
  <c r="L4461" i="41"/>
  <c r="N4461" i="41" s="1"/>
  <c r="L4460" i="41"/>
  <c r="N4460" i="41" s="1"/>
  <c r="L4459" i="41"/>
  <c r="N4459" i="41" s="1"/>
  <c r="L4458" i="41"/>
  <c r="N4458" i="41" s="1"/>
  <c r="L4457" i="41"/>
  <c r="N4457" i="41" s="1"/>
  <c r="L4456" i="41"/>
  <c r="N4456" i="41" s="1"/>
  <c r="L4455" i="41"/>
  <c r="N4455" i="41" s="1"/>
  <c r="L4454" i="41"/>
  <c r="N4454" i="41" s="1"/>
  <c r="L4453" i="41"/>
  <c r="N4453" i="41" s="1"/>
  <c r="L4452" i="41"/>
  <c r="N4452" i="41" s="1"/>
  <c r="L4451" i="41"/>
  <c r="N4451" i="41" s="1"/>
  <c r="L4450" i="41"/>
  <c r="N4450" i="41" s="1"/>
  <c r="L4449" i="41"/>
  <c r="N4449" i="41" s="1"/>
  <c r="L4448" i="41"/>
  <c r="N4448" i="41" s="1"/>
  <c r="V4447" i="41"/>
  <c r="Y4447" i="41" s="1"/>
  <c r="L4447" i="41"/>
  <c r="N4447" i="41" s="1"/>
  <c r="L4446" i="41"/>
  <c r="N4446" i="41" s="1"/>
  <c r="L4445" i="41"/>
  <c r="N4445" i="41" s="1"/>
  <c r="L4444" i="41"/>
  <c r="N4444" i="41" s="1"/>
  <c r="L4443" i="41"/>
  <c r="N4443" i="41" s="1"/>
  <c r="L4442" i="41"/>
  <c r="N4442" i="41" s="1"/>
  <c r="L4441" i="41"/>
  <c r="N4441" i="41" s="1"/>
  <c r="L4440" i="41"/>
  <c r="N4440" i="41" s="1"/>
  <c r="L4439" i="41"/>
  <c r="N4439" i="41" s="1"/>
  <c r="L4438" i="41"/>
  <c r="N4438" i="41" s="1"/>
  <c r="L4437" i="41"/>
  <c r="N4437" i="41" s="1"/>
  <c r="L4436" i="41"/>
  <c r="N4436" i="41" s="1"/>
  <c r="L4435" i="41"/>
  <c r="N4435" i="41" s="1"/>
  <c r="L4434" i="41"/>
  <c r="N4434" i="41" s="1"/>
  <c r="L4433" i="41"/>
  <c r="N4433" i="41" s="1"/>
  <c r="L4432" i="41"/>
  <c r="N4432" i="41" s="1"/>
  <c r="L4431" i="41"/>
  <c r="N4431" i="41" s="1"/>
  <c r="L4430" i="41"/>
  <c r="N4430" i="41" s="1"/>
  <c r="L4429" i="41"/>
  <c r="N4429" i="41" s="1"/>
  <c r="L4428" i="41"/>
  <c r="N4428" i="41" s="1"/>
  <c r="L4427" i="41"/>
  <c r="N4427" i="41" s="1"/>
  <c r="L4426" i="41"/>
  <c r="N4426" i="41" s="1"/>
  <c r="L4425" i="41"/>
  <c r="N4425" i="41" s="1"/>
  <c r="L4424" i="41"/>
  <c r="N4424" i="41" s="1"/>
  <c r="L4423" i="41"/>
  <c r="N4423" i="41" s="1"/>
  <c r="L4422" i="41"/>
  <c r="N4422" i="41" s="1"/>
  <c r="L4421" i="41"/>
  <c r="N4421" i="41" s="1"/>
  <c r="L4420" i="41"/>
  <c r="N4420" i="41" s="1"/>
  <c r="L4419" i="41"/>
  <c r="N4419" i="41" s="1"/>
  <c r="L4418" i="41"/>
  <c r="N4418" i="41" s="1"/>
  <c r="L4417" i="41"/>
  <c r="N4417" i="41" s="1"/>
  <c r="L4416" i="41"/>
  <c r="N4416" i="41" s="1"/>
  <c r="L4415" i="41"/>
  <c r="N4415" i="41" s="1"/>
  <c r="L4414" i="41"/>
  <c r="N4414" i="41" s="1"/>
  <c r="L4413" i="41"/>
  <c r="N4413" i="41" s="1"/>
  <c r="L4412" i="41"/>
  <c r="N4412" i="41" s="1"/>
  <c r="L4411" i="41"/>
  <c r="N4411" i="41" s="1"/>
  <c r="L4410" i="41"/>
  <c r="N4410" i="41" s="1"/>
  <c r="L4409" i="41"/>
  <c r="N4409" i="41" s="1"/>
  <c r="L4408" i="41"/>
  <c r="N4408" i="41" s="1"/>
  <c r="L4407" i="41"/>
  <c r="N4407" i="41" s="1"/>
  <c r="L4406" i="41"/>
  <c r="N4406" i="41" s="1"/>
  <c r="L4405" i="41"/>
  <c r="N4405" i="41" s="1"/>
  <c r="L4404" i="41"/>
  <c r="N4404" i="41" s="1"/>
  <c r="L4403" i="41"/>
  <c r="N4403" i="41" s="1"/>
  <c r="L4402" i="41"/>
  <c r="N4402" i="41" s="1"/>
  <c r="L4401" i="41"/>
  <c r="N4401" i="41" s="1"/>
  <c r="L4400" i="41"/>
  <c r="N4400" i="41" s="1"/>
  <c r="L4399" i="41"/>
  <c r="N4399" i="41" s="1"/>
  <c r="L4398" i="41"/>
  <c r="N4398" i="41" s="1"/>
  <c r="L4397" i="41"/>
  <c r="N4397" i="41" s="1"/>
  <c r="L4396" i="41"/>
  <c r="N4396" i="41" s="1"/>
  <c r="L4395" i="41"/>
  <c r="N4395" i="41" s="1"/>
  <c r="L4394" i="41"/>
  <c r="N4394" i="41" s="1"/>
  <c r="L4393" i="41"/>
  <c r="N4393" i="41" s="1"/>
  <c r="L4392" i="41"/>
  <c r="N4392" i="41" s="1"/>
  <c r="L4391" i="41"/>
  <c r="N4391" i="41" s="1"/>
  <c r="L4390" i="41"/>
  <c r="N4390" i="41" s="1"/>
  <c r="L4389" i="41"/>
  <c r="N4389" i="41" s="1"/>
  <c r="L4388" i="41"/>
  <c r="N4388" i="41" s="1"/>
  <c r="L4387" i="41"/>
  <c r="N4387" i="41" s="1"/>
  <c r="L4386" i="41"/>
  <c r="N4386" i="41" s="1"/>
  <c r="L4385" i="41"/>
  <c r="N4385" i="41" s="1"/>
  <c r="L4384" i="41"/>
  <c r="N4384" i="41" s="1"/>
  <c r="L4383" i="41"/>
  <c r="N4383" i="41" s="1"/>
  <c r="L4382" i="41"/>
  <c r="N4382" i="41" s="1"/>
  <c r="L4381" i="41"/>
  <c r="N4381" i="41" s="1"/>
  <c r="L4380" i="41"/>
  <c r="N4380" i="41" s="1"/>
  <c r="V4379" i="41"/>
  <c r="Y4379" i="41" s="1"/>
  <c r="L4379" i="41"/>
  <c r="N4379" i="41" s="1"/>
  <c r="L4378" i="41"/>
  <c r="N4378" i="41" s="1"/>
  <c r="L4377" i="41"/>
  <c r="N4377" i="41" s="1"/>
  <c r="L4376" i="41"/>
  <c r="N4376" i="41" s="1"/>
  <c r="L4375" i="41"/>
  <c r="N4375" i="41" s="1"/>
  <c r="L4374" i="41"/>
  <c r="N4374" i="41" s="1"/>
  <c r="L4373" i="41"/>
  <c r="N4373" i="41" s="1"/>
  <c r="L4372" i="41"/>
  <c r="N4372" i="41" s="1"/>
  <c r="L4371" i="41"/>
  <c r="N4371" i="41" s="1"/>
  <c r="V4370" i="41"/>
  <c r="Y4370" i="41" s="1"/>
  <c r="L4370" i="41"/>
  <c r="N4370" i="41" s="1"/>
  <c r="L4369" i="41"/>
  <c r="N4369" i="41" s="1"/>
  <c r="L4368" i="41"/>
  <c r="N4368" i="41" s="1"/>
  <c r="L4367" i="41"/>
  <c r="N4367" i="41" s="1"/>
  <c r="L4366" i="41"/>
  <c r="N4366" i="41" s="1"/>
  <c r="L4365" i="41"/>
  <c r="N4365" i="41" s="1"/>
  <c r="L4364" i="41"/>
  <c r="N4364" i="41" s="1"/>
  <c r="V4363" i="41"/>
  <c r="Y4363" i="41" s="1"/>
  <c r="L4363" i="41"/>
  <c r="N4363" i="41" s="1"/>
  <c r="L4362" i="41"/>
  <c r="N4362" i="41" s="1"/>
  <c r="L4361" i="41"/>
  <c r="N4361" i="41" s="1"/>
  <c r="L4360" i="41"/>
  <c r="N4360" i="41" s="1"/>
  <c r="L4359" i="41"/>
  <c r="N4359" i="41" s="1"/>
  <c r="L4358" i="41"/>
  <c r="N4358" i="41" s="1"/>
  <c r="L4357" i="41"/>
  <c r="N4357" i="41" s="1"/>
  <c r="V4356" i="41"/>
  <c r="Y4356" i="41" s="1"/>
  <c r="L4356" i="41"/>
  <c r="N4356" i="41" s="1"/>
  <c r="L4355" i="41"/>
  <c r="N4355" i="41" s="1"/>
  <c r="L4354" i="41"/>
  <c r="N4354" i="41" s="1"/>
  <c r="L4353" i="41"/>
  <c r="N4353" i="41" s="1"/>
  <c r="L4352" i="41"/>
  <c r="N4352" i="41" s="1"/>
  <c r="L4351" i="41"/>
  <c r="N4351" i="41" s="1"/>
  <c r="L4350" i="41"/>
  <c r="N4350" i="41" s="1"/>
  <c r="L4349" i="41"/>
  <c r="N4349" i="41" s="1"/>
  <c r="L4348" i="41"/>
  <c r="N4348" i="41" s="1"/>
  <c r="L4347" i="41"/>
  <c r="N4347" i="41" s="1"/>
  <c r="L4346" i="41"/>
  <c r="N4346" i="41" s="1"/>
  <c r="L4345" i="41"/>
  <c r="N4345" i="41" s="1"/>
  <c r="L4344" i="41"/>
  <c r="N4344" i="41" s="1"/>
  <c r="L4343" i="41"/>
  <c r="N4343" i="41" s="1"/>
  <c r="L4342" i="41"/>
  <c r="N4342" i="41" s="1"/>
  <c r="L4341" i="41"/>
  <c r="N4341" i="41" s="1"/>
  <c r="Y4340" i="41"/>
  <c r="L4340" i="41"/>
  <c r="N4340" i="41" s="1"/>
  <c r="L4339" i="41"/>
  <c r="N4339" i="41" s="1"/>
  <c r="L4338" i="41"/>
  <c r="N4338" i="41" s="1"/>
  <c r="L4337" i="41"/>
  <c r="N4337" i="41" s="1"/>
  <c r="L4336" i="41"/>
  <c r="N4336" i="41" s="1"/>
  <c r="L4335" i="41"/>
  <c r="N4335" i="41" s="1"/>
  <c r="L4334" i="41"/>
  <c r="N4334" i="41" s="1"/>
  <c r="L4333" i="41"/>
  <c r="N4333" i="41" s="1"/>
  <c r="L4332" i="41"/>
  <c r="N4332" i="41" s="1"/>
  <c r="L4331" i="41"/>
  <c r="N4331" i="41" s="1"/>
  <c r="L4330" i="41"/>
  <c r="N4330" i="41" s="1"/>
  <c r="L4329" i="41"/>
  <c r="N4329" i="41" s="1"/>
  <c r="L4328" i="41"/>
  <c r="N4328" i="41" s="1"/>
  <c r="L4327" i="41"/>
  <c r="N4327" i="41" s="1"/>
  <c r="L4326" i="41"/>
  <c r="N4326" i="41" s="1"/>
  <c r="L4325" i="41"/>
  <c r="N4325" i="41" s="1"/>
  <c r="L4324" i="41"/>
  <c r="N4324" i="41" s="1"/>
  <c r="L4323" i="41"/>
  <c r="N4323" i="41" s="1"/>
  <c r="L4322" i="41"/>
  <c r="N4322" i="41" s="1"/>
  <c r="L4321" i="41"/>
  <c r="N4321" i="41" s="1"/>
  <c r="L4320" i="41"/>
  <c r="N4320" i="41" s="1"/>
  <c r="L4319" i="41"/>
  <c r="N4319" i="41" s="1"/>
  <c r="L4318" i="41"/>
  <c r="N4318" i="41" s="1"/>
  <c r="L4317" i="41"/>
  <c r="N4317" i="41" s="1"/>
  <c r="L4316" i="41"/>
  <c r="N4316" i="41" s="1"/>
  <c r="Y4315" i="41"/>
  <c r="L4315" i="41"/>
  <c r="N4315" i="41" s="1"/>
  <c r="L4314" i="41"/>
  <c r="N4314" i="41" s="1"/>
  <c r="L4313" i="41"/>
  <c r="N4313" i="41" s="1"/>
  <c r="L4312" i="41"/>
  <c r="N4312" i="41" s="1"/>
  <c r="L4311" i="41"/>
  <c r="N4311" i="41" s="1"/>
  <c r="L4310" i="41"/>
  <c r="N4310" i="41" s="1"/>
  <c r="L4309" i="41"/>
  <c r="N4309" i="41" s="1"/>
  <c r="L4308" i="41"/>
  <c r="N4308" i="41" s="1"/>
  <c r="L4307" i="41"/>
  <c r="N4307" i="41" s="1"/>
  <c r="L4306" i="41"/>
  <c r="N4306" i="41" s="1"/>
  <c r="L4305" i="41"/>
  <c r="N4305" i="41" s="1"/>
  <c r="L4304" i="41"/>
  <c r="N4304" i="41" s="1"/>
  <c r="L4303" i="41"/>
  <c r="N4303" i="41" s="1"/>
  <c r="Y4302" i="41"/>
  <c r="L4302" i="41"/>
  <c r="N4302" i="41" s="1"/>
  <c r="L4301" i="41"/>
  <c r="N4301" i="41" s="1"/>
  <c r="L4300" i="41"/>
  <c r="N4300" i="41" s="1"/>
  <c r="L4299" i="41"/>
  <c r="N4299" i="41" s="1"/>
  <c r="L4298" i="41"/>
  <c r="N4298" i="41" s="1"/>
  <c r="L4297" i="41"/>
  <c r="N4297" i="41" s="1"/>
  <c r="L4296" i="41"/>
  <c r="N4296" i="41" s="1"/>
  <c r="L4295" i="41"/>
  <c r="N4295" i="41" s="1"/>
  <c r="L4294" i="41"/>
  <c r="N4294" i="41" s="1"/>
  <c r="L4293" i="41"/>
  <c r="N4293" i="41" s="1"/>
  <c r="L4292" i="41"/>
  <c r="N4292" i="41" s="1"/>
  <c r="L4291" i="41"/>
  <c r="N4291" i="41" s="1"/>
  <c r="L4290" i="41"/>
  <c r="N4290" i="41" s="1"/>
  <c r="L4289" i="41"/>
  <c r="N4289" i="41" s="1"/>
  <c r="Y4288" i="41"/>
  <c r="L4288" i="41"/>
  <c r="N4288" i="41" s="1"/>
  <c r="L4287" i="41"/>
  <c r="N4287" i="41" s="1"/>
  <c r="L4286" i="41"/>
  <c r="N4286" i="41" s="1"/>
  <c r="Y4285" i="41"/>
  <c r="L4285" i="41"/>
  <c r="N4285" i="41" s="1"/>
  <c r="L4284" i="41"/>
  <c r="N4284" i="41" s="1"/>
  <c r="L4283" i="41"/>
  <c r="N4283" i="41" s="1"/>
  <c r="L4282" i="41"/>
  <c r="N4282" i="41" s="1"/>
  <c r="L4281" i="41"/>
  <c r="N4281" i="41" s="1"/>
  <c r="L4280" i="41"/>
  <c r="N4280" i="41" s="1"/>
  <c r="Y4279" i="41"/>
  <c r="L4279" i="41"/>
  <c r="N4279" i="41" s="1"/>
  <c r="L4278" i="41"/>
  <c r="N4278" i="41" s="1"/>
  <c r="L4277" i="41"/>
  <c r="N4277" i="41" s="1"/>
  <c r="L4276" i="41"/>
  <c r="N4276" i="41" s="1"/>
  <c r="L4275" i="41"/>
  <c r="N4275" i="41" s="1"/>
  <c r="Y4274" i="41"/>
  <c r="L4274" i="41"/>
  <c r="N4274" i="41" s="1"/>
  <c r="L4273" i="41"/>
  <c r="N4273" i="41" s="1"/>
  <c r="L4272" i="41"/>
  <c r="N4272" i="41" s="1"/>
  <c r="L4271" i="41"/>
  <c r="N4271" i="41" s="1"/>
  <c r="L4270" i="41"/>
  <c r="N4270" i="41" s="1"/>
  <c r="L4269" i="41"/>
  <c r="N4269" i="41" s="1"/>
  <c r="L4268" i="41"/>
  <c r="N4268" i="41" s="1"/>
  <c r="L4267" i="41"/>
  <c r="N4267" i="41" s="1"/>
  <c r="L4266" i="41"/>
  <c r="N4266" i="41" s="1"/>
  <c r="L4265" i="41"/>
  <c r="N4265" i="41" s="1"/>
  <c r="L4264" i="41"/>
  <c r="N4264" i="41" s="1"/>
  <c r="L4263" i="41"/>
  <c r="N4263" i="41" s="1"/>
  <c r="L4262" i="41"/>
  <c r="N4262" i="41" s="1"/>
  <c r="L4261" i="41"/>
  <c r="N4261" i="41" s="1"/>
  <c r="Y4260" i="41"/>
  <c r="L4260" i="41"/>
  <c r="N4260" i="41" s="1"/>
  <c r="L4259" i="41"/>
  <c r="N4259" i="41" s="1"/>
  <c r="L4258" i="41"/>
  <c r="N4258" i="41" s="1"/>
  <c r="L4257" i="41"/>
  <c r="N4257" i="41" s="1"/>
  <c r="L4256" i="41"/>
  <c r="N4256" i="41" s="1"/>
  <c r="L4255" i="41"/>
  <c r="N4255" i="41" s="1"/>
  <c r="L4254" i="41"/>
  <c r="N4254" i="41" s="1"/>
  <c r="L4253" i="41"/>
  <c r="N4253" i="41" s="1"/>
  <c r="L4252" i="41"/>
  <c r="N4252" i="41" s="1"/>
  <c r="L4251" i="41"/>
  <c r="N4251" i="41" s="1"/>
  <c r="L4250" i="41"/>
  <c r="N4250" i="41" s="1"/>
  <c r="L4249" i="41"/>
  <c r="N4249" i="41" s="1"/>
  <c r="L4248" i="41"/>
  <c r="N4248" i="41" s="1"/>
  <c r="L4247" i="41"/>
  <c r="N4247" i="41" s="1"/>
  <c r="L4246" i="41"/>
  <c r="N4246" i="41" s="1"/>
  <c r="L4245" i="41"/>
  <c r="N4245" i="41" s="1"/>
  <c r="L4244" i="41"/>
  <c r="N4244" i="41" s="1"/>
  <c r="L4243" i="41"/>
  <c r="N4243" i="41" s="1"/>
  <c r="Y4242" i="41"/>
  <c r="L4242" i="41"/>
  <c r="N4242" i="41" s="1"/>
  <c r="L4241" i="41"/>
  <c r="N4241" i="41" s="1"/>
  <c r="L4240" i="41"/>
  <c r="N4240" i="41" s="1"/>
  <c r="Y4239" i="41"/>
  <c r="L4239" i="41"/>
  <c r="N4239" i="41" s="1"/>
  <c r="L4238" i="41"/>
  <c r="N4238" i="41" s="1"/>
  <c r="L4237" i="41"/>
  <c r="N4237" i="41" s="1"/>
  <c r="L4236" i="41"/>
  <c r="N4236" i="41" s="1"/>
  <c r="L4235" i="41"/>
  <c r="N4235" i="41" s="1"/>
  <c r="L4234" i="41"/>
  <c r="N4234" i="41" s="1"/>
  <c r="L4233" i="41"/>
  <c r="N4233" i="41" s="1"/>
  <c r="L4232" i="41"/>
  <c r="N4232" i="41" s="1"/>
  <c r="L4231" i="41"/>
  <c r="N4231" i="41" s="1"/>
  <c r="Y4230" i="41"/>
  <c r="L4229" i="41"/>
  <c r="N4229" i="41" s="1"/>
  <c r="L4228" i="41"/>
  <c r="N4228" i="41" s="1"/>
  <c r="V4227" i="41"/>
  <c r="Y4227" i="41" s="1"/>
  <c r="L4227" i="41"/>
  <c r="N4227" i="41" s="1"/>
  <c r="L4226" i="41"/>
  <c r="N4226" i="41" s="1"/>
  <c r="L4225" i="41"/>
  <c r="N4225" i="41" s="1"/>
  <c r="L4224" i="41"/>
  <c r="N4224" i="41" s="1"/>
  <c r="L4223" i="41"/>
  <c r="N4223" i="41" s="1"/>
  <c r="L4222" i="41"/>
  <c r="N4222" i="41" s="1"/>
  <c r="L4221" i="41"/>
  <c r="N4221" i="41" s="1"/>
  <c r="L4220" i="41"/>
  <c r="N4220" i="41" s="1"/>
  <c r="L4219" i="41"/>
  <c r="N4219" i="41" s="1"/>
  <c r="L4218" i="41"/>
  <c r="N4218" i="41" s="1"/>
  <c r="L4217" i="41"/>
  <c r="N4217" i="41" s="1"/>
  <c r="N4216" i="41"/>
  <c r="L4215" i="41"/>
  <c r="N4215" i="41" s="1"/>
  <c r="L4214" i="41"/>
  <c r="N4214" i="41" s="1"/>
  <c r="L4213" i="41"/>
  <c r="N4213" i="41" s="1"/>
  <c r="V4212" i="41"/>
  <c r="Y4212" i="41" s="1"/>
  <c r="L4212" i="41"/>
  <c r="N4212" i="41" s="1"/>
  <c r="L4211" i="41"/>
  <c r="N4211" i="41" s="1"/>
  <c r="L4210" i="41"/>
  <c r="N4210" i="41" s="1"/>
  <c r="L4209" i="41"/>
  <c r="N4209" i="41" s="1"/>
  <c r="L4208" i="41"/>
  <c r="N4208" i="41" s="1"/>
  <c r="L4207" i="41"/>
  <c r="N4207" i="41" s="1"/>
  <c r="V4206" i="41"/>
  <c r="Y4206" i="41" s="1"/>
  <c r="L4206" i="41"/>
  <c r="N4206" i="41" s="1"/>
  <c r="L4205" i="41"/>
  <c r="N4205" i="41" s="1"/>
  <c r="V4204" i="41"/>
  <c r="Y4204" i="41" s="1"/>
  <c r="L4204" i="41"/>
  <c r="N4204" i="41" s="1"/>
  <c r="L4203" i="41"/>
  <c r="N4203" i="41" s="1"/>
  <c r="L4202" i="41"/>
  <c r="N4202" i="41" s="1"/>
  <c r="L4201" i="41"/>
  <c r="N4201" i="41" s="1"/>
  <c r="Y4200" i="41"/>
  <c r="L4199" i="41"/>
  <c r="N4199" i="41" s="1"/>
  <c r="L4198" i="41"/>
  <c r="N4198" i="41" s="1"/>
  <c r="L4197" i="41"/>
  <c r="N4197" i="41" s="1"/>
  <c r="L4196" i="41"/>
  <c r="N4196" i="41" s="1"/>
  <c r="L4195" i="41"/>
  <c r="N4195" i="41" s="1"/>
  <c r="L4194" i="41"/>
  <c r="N4194" i="41" s="1"/>
  <c r="L4193" i="41"/>
  <c r="N4193" i="41" s="1"/>
  <c r="L4192" i="41"/>
  <c r="N4192" i="41" s="1"/>
  <c r="L4191" i="41"/>
  <c r="N4191" i="41" s="1"/>
  <c r="L4190" i="41"/>
  <c r="N4190" i="41" s="1"/>
  <c r="L4189" i="41"/>
  <c r="N4189" i="41" s="1"/>
  <c r="L4188" i="41"/>
  <c r="N4188" i="41" s="1"/>
  <c r="L4187" i="41"/>
  <c r="N4187" i="41" s="1"/>
  <c r="L4186" i="41"/>
  <c r="N4186" i="41" s="1"/>
  <c r="L4185" i="41"/>
  <c r="N4185" i="41" s="1"/>
  <c r="L4184" i="41"/>
  <c r="N4184" i="41" s="1"/>
  <c r="L4183" i="41"/>
  <c r="N4183" i="41" s="1"/>
  <c r="L4182" i="41"/>
  <c r="N4182" i="41" s="1"/>
  <c r="L4181" i="41"/>
  <c r="N4181" i="41" s="1"/>
  <c r="L4180" i="41"/>
  <c r="N4180" i="41" s="1"/>
  <c r="L4179" i="41"/>
  <c r="N4179" i="41" s="1"/>
  <c r="L4178" i="41"/>
  <c r="N4178" i="41" s="1"/>
  <c r="L4177" i="41"/>
  <c r="N4177" i="41" s="1"/>
  <c r="L4176" i="41"/>
  <c r="N4176" i="41" s="1"/>
  <c r="L4175" i="41"/>
  <c r="N4175" i="41" s="1"/>
  <c r="L4174" i="41"/>
  <c r="N4174" i="41" s="1"/>
  <c r="L4173" i="41"/>
  <c r="N4173" i="41" s="1"/>
  <c r="L4172" i="41"/>
  <c r="N4172" i="41" s="1"/>
  <c r="L4171" i="41"/>
  <c r="N4171" i="41" s="1"/>
  <c r="L4170" i="41"/>
  <c r="N4170" i="41" s="1"/>
  <c r="L4169" i="41"/>
  <c r="N4169" i="41" s="1"/>
  <c r="L4168" i="41"/>
  <c r="N4168" i="41" s="1"/>
  <c r="L4167" i="41"/>
  <c r="N4167" i="41" s="1"/>
  <c r="L4166" i="41"/>
  <c r="N4166" i="41" s="1"/>
  <c r="L4165" i="41"/>
  <c r="N4165" i="41" s="1"/>
  <c r="L4164" i="41"/>
  <c r="N4164" i="41" s="1"/>
  <c r="L4163" i="41"/>
  <c r="N4163" i="41" s="1"/>
  <c r="L4162" i="41"/>
  <c r="N4162" i="41" s="1"/>
  <c r="L4161" i="41"/>
  <c r="N4161" i="41" s="1"/>
  <c r="L4160" i="41"/>
  <c r="N4160" i="41" s="1"/>
  <c r="L4159" i="41"/>
  <c r="N4159" i="41" s="1"/>
  <c r="L4158" i="41"/>
  <c r="N4158" i="41" s="1"/>
  <c r="L4157" i="41"/>
  <c r="N4157" i="41" s="1"/>
  <c r="L4156" i="41"/>
  <c r="N4156" i="41" s="1"/>
  <c r="L4155" i="41"/>
  <c r="N4155" i="41" s="1"/>
  <c r="L4154" i="41"/>
  <c r="N4154" i="41" s="1"/>
  <c r="L4153" i="41"/>
  <c r="N4153" i="41" s="1"/>
  <c r="L4152" i="41"/>
  <c r="N4152" i="41" s="1"/>
  <c r="V4151" i="41"/>
  <c r="Y4151" i="41" s="1"/>
  <c r="L4150" i="41"/>
  <c r="N4150" i="41" s="1"/>
  <c r="L4149" i="41"/>
  <c r="N4149" i="41" s="1"/>
  <c r="L4148" i="41"/>
  <c r="N4148" i="41" s="1"/>
  <c r="L4147" i="41"/>
  <c r="N4147" i="41" s="1"/>
  <c r="L4146" i="41"/>
  <c r="N4146" i="41" s="1"/>
  <c r="L4145" i="41"/>
  <c r="N4145" i="41" s="1"/>
  <c r="L4144" i="41"/>
  <c r="N4144" i="41" s="1"/>
  <c r="L4143" i="41"/>
  <c r="N4143" i="41" s="1"/>
  <c r="L4142" i="41"/>
  <c r="N4142" i="41" s="1"/>
  <c r="L4141" i="41"/>
  <c r="N4141" i="41" s="1"/>
  <c r="L4140" i="41"/>
  <c r="N4140" i="41" s="1"/>
  <c r="L4139" i="41"/>
  <c r="N4139" i="41" s="1"/>
  <c r="L4138" i="41"/>
  <c r="N4138" i="41" s="1"/>
  <c r="L4137" i="41"/>
  <c r="N4137" i="41" s="1"/>
  <c r="L4136" i="41"/>
  <c r="N4136" i="41" s="1"/>
  <c r="L4135" i="41"/>
  <c r="N4135" i="41" s="1"/>
  <c r="L4134" i="41"/>
  <c r="N4134" i="41" s="1"/>
  <c r="L4133" i="41"/>
  <c r="N4133" i="41" s="1"/>
  <c r="L4132" i="41"/>
  <c r="N4132" i="41" s="1"/>
  <c r="L4131" i="41"/>
  <c r="N4131" i="41" s="1"/>
  <c r="L4130" i="41"/>
  <c r="N4130" i="41" s="1"/>
  <c r="L4129" i="41"/>
  <c r="N4129" i="41" s="1"/>
  <c r="L4128" i="41"/>
  <c r="N4128" i="41" s="1"/>
  <c r="L4127" i="41"/>
  <c r="N4127" i="41" s="1"/>
  <c r="L4126" i="41"/>
  <c r="N4126" i="41" s="1"/>
  <c r="L4125" i="41"/>
  <c r="N4125" i="41" s="1"/>
  <c r="L4124" i="41"/>
  <c r="N4124" i="41" s="1"/>
  <c r="L4123" i="41"/>
  <c r="N4123" i="41" s="1"/>
  <c r="L4122" i="41"/>
  <c r="N4122" i="41" s="1"/>
  <c r="L4121" i="41"/>
  <c r="N4121" i="41" s="1"/>
  <c r="L4120" i="41"/>
  <c r="N4120" i="41" s="1"/>
  <c r="L4119" i="41"/>
  <c r="N4119" i="41" s="1"/>
  <c r="V4118" i="41"/>
  <c r="Y4118" i="41" s="1"/>
  <c r="L4118" i="41"/>
  <c r="N4118" i="41" s="1"/>
  <c r="L4117" i="41"/>
  <c r="N4117" i="41" s="1"/>
  <c r="L4116" i="41"/>
  <c r="N4116" i="41" s="1"/>
  <c r="L4115" i="41"/>
  <c r="N4115" i="41" s="1"/>
  <c r="L4114" i="41"/>
  <c r="N4114" i="41" s="1"/>
  <c r="L4113" i="41"/>
  <c r="N4113" i="41" s="1"/>
  <c r="L4112" i="41"/>
  <c r="N4112" i="41" s="1"/>
  <c r="L4111" i="41"/>
  <c r="N4111" i="41" s="1"/>
  <c r="L4110" i="41"/>
  <c r="N4110" i="41" s="1"/>
  <c r="L4109" i="41"/>
  <c r="N4109" i="41" s="1"/>
  <c r="L4108" i="41"/>
  <c r="N4108" i="41" s="1"/>
  <c r="L4107" i="41"/>
  <c r="N4107" i="41" s="1"/>
  <c r="L4106" i="41"/>
  <c r="N4106" i="41" s="1"/>
  <c r="L4105" i="41"/>
  <c r="N4105" i="41" s="1"/>
  <c r="L4104" i="41"/>
  <c r="N4104" i="41" s="1"/>
  <c r="L4103" i="41"/>
  <c r="N4103" i="41" s="1"/>
  <c r="L4102" i="41"/>
  <c r="N4102" i="41" s="1"/>
  <c r="V4101" i="41"/>
  <c r="Y4101" i="41" s="1"/>
  <c r="L4101" i="41"/>
  <c r="N4101" i="41" s="1"/>
  <c r="L4100" i="41"/>
  <c r="N4100" i="41" s="1"/>
  <c r="L4099" i="41"/>
  <c r="N4099" i="41" s="1"/>
  <c r="L4098" i="41"/>
  <c r="N4098" i="41" s="1"/>
  <c r="L4097" i="41"/>
  <c r="N4097" i="41" s="1"/>
  <c r="L4096" i="41"/>
  <c r="N4096" i="41" s="1"/>
  <c r="L4095" i="41"/>
  <c r="N4095" i="41" s="1"/>
  <c r="L4094" i="41"/>
  <c r="N4094" i="41" s="1"/>
  <c r="L4093" i="41"/>
  <c r="N4093" i="41" s="1"/>
  <c r="L4092" i="41"/>
  <c r="N4092" i="41" s="1"/>
  <c r="L4091" i="41"/>
  <c r="N4091" i="41" s="1"/>
  <c r="L4090" i="41"/>
  <c r="N4090" i="41" s="1"/>
  <c r="L4089" i="41"/>
  <c r="N4089" i="41" s="1"/>
  <c r="L4088" i="41"/>
  <c r="N4088" i="41" s="1"/>
  <c r="L4087" i="41"/>
  <c r="N4087" i="41" s="1"/>
  <c r="L4086" i="41"/>
  <c r="N4086" i="41" s="1"/>
  <c r="L4085" i="41"/>
  <c r="N4085" i="41" s="1"/>
  <c r="L4084" i="41"/>
  <c r="N4084" i="41" s="1"/>
  <c r="L4083" i="41"/>
  <c r="N4083" i="41" s="1"/>
  <c r="L4082" i="41"/>
  <c r="N4082" i="41" s="1"/>
  <c r="L4081" i="41"/>
  <c r="N4081" i="41" s="1"/>
  <c r="L4080" i="41"/>
  <c r="N4080" i="41" s="1"/>
  <c r="L4079" i="41"/>
  <c r="N4079" i="41" s="1"/>
  <c r="L4078" i="41"/>
  <c r="N4078" i="41" s="1"/>
  <c r="L4077" i="41"/>
  <c r="N4077" i="41" s="1"/>
  <c r="L4076" i="41"/>
  <c r="N4076" i="41" s="1"/>
  <c r="Y4075" i="41"/>
  <c r="L4075" i="41"/>
  <c r="N4075" i="41" s="1"/>
  <c r="L4074" i="41"/>
  <c r="N4074" i="41" s="1"/>
  <c r="L4073" i="41"/>
  <c r="N4073" i="41" s="1"/>
  <c r="L4072" i="41"/>
  <c r="N4072" i="41" s="1"/>
  <c r="L4071" i="41"/>
  <c r="N4071" i="41" s="1"/>
  <c r="L4070" i="41"/>
  <c r="N4070" i="41" s="1"/>
  <c r="L4069" i="41"/>
  <c r="N4069" i="41" s="1"/>
  <c r="L4068" i="41"/>
  <c r="N4068" i="41" s="1"/>
  <c r="L4067" i="41"/>
  <c r="N4067" i="41" s="1"/>
  <c r="L4066" i="41"/>
  <c r="N4066" i="41" s="1"/>
  <c r="L4065" i="41"/>
  <c r="N4065" i="41" s="1"/>
  <c r="L4064" i="41"/>
  <c r="N4064" i="41" s="1"/>
  <c r="L4063" i="41"/>
  <c r="N4063" i="41" s="1"/>
  <c r="L4062" i="41"/>
  <c r="N4062" i="41" s="1"/>
  <c r="L4061" i="41"/>
  <c r="N4061" i="41" s="1"/>
  <c r="L4060" i="41"/>
  <c r="N4060" i="41" s="1"/>
  <c r="L4059" i="41"/>
  <c r="N4059" i="41" s="1"/>
  <c r="L4058" i="41"/>
  <c r="N4058" i="41" s="1"/>
  <c r="L4057" i="41"/>
  <c r="N4057" i="41" s="1"/>
  <c r="L4056" i="41"/>
  <c r="N4056" i="41" s="1"/>
  <c r="L4055" i="41"/>
  <c r="N4055" i="41" s="1"/>
  <c r="L4054" i="41"/>
  <c r="N4054" i="41" s="1"/>
  <c r="L4053" i="41"/>
  <c r="N4053" i="41" s="1"/>
  <c r="L4052" i="41"/>
  <c r="N4052" i="41" s="1"/>
  <c r="L4051" i="41"/>
  <c r="N4051" i="41" s="1"/>
  <c r="L4050" i="41"/>
  <c r="N4050" i="41" s="1"/>
  <c r="L4049" i="41"/>
  <c r="N4049" i="41" s="1"/>
  <c r="L4048" i="41"/>
  <c r="N4048" i="41" s="1"/>
  <c r="L4047" i="41"/>
  <c r="N4047" i="41" s="1"/>
  <c r="L4046" i="41"/>
  <c r="N4046" i="41" s="1"/>
  <c r="L4045" i="41"/>
  <c r="N4045" i="41" s="1"/>
  <c r="L4044" i="41"/>
  <c r="N4044" i="41" s="1"/>
  <c r="L4043" i="41"/>
  <c r="N4043" i="41" s="1"/>
  <c r="L4042" i="41"/>
  <c r="N4042" i="41" s="1"/>
  <c r="L4041" i="41"/>
  <c r="N4041" i="41" s="1"/>
  <c r="V4040" i="41"/>
  <c r="Y4040" i="41" s="1"/>
  <c r="L4040" i="41"/>
  <c r="N4040" i="41" s="1"/>
  <c r="L4039" i="41"/>
  <c r="N4039" i="41" s="1"/>
  <c r="L4038" i="41"/>
  <c r="N4038" i="41" s="1"/>
  <c r="L4037" i="41"/>
  <c r="N4037" i="41" s="1"/>
  <c r="L4036" i="41"/>
  <c r="N4036" i="41" s="1"/>
  <c r="L4035" i="41"/>
  <c r="N4035" i="41" s="1"/>
  <c r="L4034" i="41"/>
  <c r="N4034" i="41" s="1"/>
  <c r="L4033" i="41"/>
  <c r="N4033" i="41" s="1"/>
  <c r="L4032" i="41"/>
  <c r="N4032" i="41" s="1"/>
  <c r="L4031" i="41"/>
  <c r="N4031" i="41" s="1"/>
  <c r="L4030" i="41"/>
  <c r="N4030" i="41" s="1"/>
  <c r="L4029" i="41"/>
  <c r="N4029" i="41" s="1"/>
  <c r="L4028" i="41"/>
  <c r="N4028" i="41" s="1"/>
  <c r="L4027" i="41"/>
  <c r="N4027" i="41" s="1"/>
  <c r="L4026" i="41"/>
  <c r="N4026" i="41" s="1"/>
  <c r="L4025" i="41"/>
  <c r="N4025" i="41" s="1"/>
  <c r="L4024" i="41"/>
  <c r="N4024" i="41" s="1"/>
  <c r="L4023" i="41"/>
  <c r="N4023" i="41" s="1"/>
  <c r="L4022" i="41"/>
  <c r="N4022" i="41" s="1"/>
  <c r="V4021" i="41"/>
  <c r="Y4021" i="41" s="1"/>
  <c r="L4021" i="41"/>
  <c r="N4021" i="41" s="1"/>
  <c r="L4020" i="41"/>
  <c r="N4020" i="41" s="1"/>
  <c r="L4019" i="41"/>
  <c r="N4019" i="41" s="1"/>
  <c r="L4018" i="41"/>
  <c r="N4018" i="41" s="1"/>
  <c r="L4017" i="41"/>
  <c r="N4017" i="41" s="1"/>
  <c r="L4015" i="41"/>
  <c r="N4015" i="41" s="1"/>
  <c r="L4014" i="41"/>
  <c r="N4014" i="41" s="1"/>
  <c r="L4013" i="41"/>
  <c r="N4013" i="41" s="1"/>
  <c r="L4012" i="41"/>
  <c r="N4012" i="41" s="1"/>
  <c r="L4011" i="41"/>
  <c r="N4011" i="41" s="1"/>
  <c r="L4010" i="41"/>
  <c r="N4010" i="41" s="1"/>
  <c r="L4009" i="41"/>
  <c r="N4009" i="41" s="1"/>
  <c r="L4008" i="41"/>
  <c r="N4008" i="41" s="1"/>
  <c r="L4007" i="41"/>
  <c r="N4007" i="41" s="1"/>
  <c r="L4006" i="41"/>
  <c r="N4006" i="41" s="1"/>
  <c r="L4005" i="41"/>
  <c r="N4005" i="41" s="1"/>
  <c r="L4004" i="41"/>
  <c r="N4004" i="41" s="1"/>
  <c r="L4003" i="41"/>
  <c r="N4003" i="41" s="1"/>
  <c r="L4002" i="41"/>
  <c r="N4002" i="41" s="1"/>
  <c r="L4001" i="41"/>
  <c r="N4001" i="41" s="1"/>
  <c r="L4000" i="41"/>
  <c r="N4000" i="41" s="1"/>
  <c r="L3999" i="41"/>
  <c r="N3999" i="41" s="1"/>
  <c r="L3998" i="41"/>
  <c r="N3998" i="41" s="1"/>
  <c r="L3997" i="41"/>
  <c r="N3997" i="41" s="1"/>
  <c r="L3996" i="41"/>
  <c r="N3996" i="41" s="1"/>
  <c r="L3995" i="41"/>
  <c r="N3995" i="41" s="1"/>
  <c r="L3994" i="41"/>
  <c r="N3994" i="41" s="1"/>
  <c r="L3993" i="41"/>
  <c r="N3993" i="41" s="1"/>
  <c r="L3992" i="41"/>
  <c r="N3992" i="41" s="1"/>
  <c r="L3991" i="41"/>
  <c r="N3991" i="41" s="1"/>
  <c r="L3990" i="41"/>
  <c r="N3990" i="41" s="1"/>
  <c r="L3989" i="41"/>
  <c r="N3989" i="41" s="1"/>
  <c r="L3988" i="41"/>
  <c r="N3988" i="41" s="1"/>
  <c r="L3987" i="41"/>
  <c r="N3987" i="41" s="1"/>
  <c r="L3986" i="41"/>
  <c r="N3986" i="41" s="1"/>
  <c r="L3985" i="41"/>
  <c r="N3985" i="41" s="1"/>
  <c r="L3984" i="41"/>
  <c r="N3984" i="41" s="1"/>
  <c r="L3983" i="41"/>
  <c r="N3983" i="41" s="1"/>
  <c r="V3982" i="41"/>
  <c r="Y3982" i="41" s="1"/>
  <c r="L3982" i="41"/>
  <c r="N3982" i="41" s="1"/>
  <c r="L3981" i="41"/>
  <c r="N3981" i="41" s="1"/>
  <c r="L3980" i="41"/>
  <c r="N3980" i="41" s="1"/>
  <c r="L3979" i="41"/>
  <c r="N3979" i="41" s="1"/>
  <c r="L3978" i="41"/>
  <c r="N3978" i="41" s="1"/>
  <c r="L3977" i="41"/>
  <c r="N3977" i="41" s="1"/>
  <c r="L3976" i="41"/>
  <c r="N3976" i="41" s="1"/>
  <c r="V3975" i="41"/>
  <c r="Y3975" i="41" s="1"/>
  <c r="L3975" i="41"/>
  <c r="N3975" i="41" s="1"/>
  <c r="L3974" i="41"/>
  <c r="N3974" i="41" s="1"/>
  <c r="L3973" i="41"/>
  <c r="N3973" i="41" s="1"/>
  <c r="L3972" i="41"/>
  <c r="N3972" i="41" s="1"/>
  <c r="L3971" i="41"/>
  <c r="N3971" i="41" s="1"/>
  <c r="L3970" i="41"/>
  <c r="N3970" i="41" s="1"/>
  <c r="L3969" i="41"/>
  <c r="N3969" i="41" s="1"/>
  <c r="L3968" i="41"/>
  <c r="N3968" i="41" s="1"/>
  <c r="L3967" i="41"/>
  <c r="N3967" i="41" s="1"/>
  <c r="L3966" i="41"/>
  <c r="N3966" i="41" s="1"/>
  <c r="L3965" i="41"/>
  <c r="N3965" i="41" s="1"/>
  <c r="L3964" i="41"/>
  <c r="N3964" i="41" s="1"/>
  <c r="L3963" i="41"/>
  <c r="N3963" i="41" s="1"/>
  <c r="L3962" i="41"/>
  <c r="N3962" i="41" s="1"/>
  <c r="L3961" i="41"/>
  <c r="N3961" i="41" s="1"/>
  <c r="L3960" i="41"/>
  <c r="N3960" i="41" s="1"/>
  <c r="L3959" i="41"/>
  <c r="N3959" i="41" s="1"/>
  <c r="L3958" i="41"/>
  <c r="N3958" i="41" s="1"/>
  <c r="L3957" i="41"/>
  <c r="N3957" i="41" s="1"/>
  <c r="L3956" i="41"/>
  <c r="N3956" i="41" s="1"/>
  <c r="L3955" i="41"/>
  <c r="N3955" i="41" s="1"/>
  <c r="L3954" i="41"/>
  <c r="N3954" i="41" s="1"/>
  <c r="L3953" i="41"/>
  <c r="N3953" i="41" s="1"/>
  <c r="L3952" i="41"/>
  <c r="N3952" i="41" s="1"/>
  <c r="L3951" i="41"/>
  <c r="N3951" i="41" s="1"/>
  <c r="V3950" i="41"/>
  <c r="Y3950" i="41" s="1"/>
  <c r="L3950" i="41"/>
  <c r="N3950" i="41" s="1"/>
  <c r="L3949" i="41"/>
  <c r="N3949" i="41" s="1"/>
  <c r="L3948" i="41"/>
  <c r="N3948" i="41" s="1"/>
  <c r="L3947" i="41"/>
  <c r="N3947" i="41" s="1"/>
  <c r="L3946" i="41"/>
  <c r="N3946" i="41" s="1"/>
  <c r="L3945" i="41"/>
  <c r="N3945" i="41" s="1"/>
  <c r="V3944" i="41"/>
  <c r="Y3944" i="41" s="1"/>
  <c r="L3944" i="41"/>
  <c r="N3944" i="41" s="1"/>
  <c r="L3943" i="41"/>
  <c r="N3943" i="41" s="1"/>
  <c r="L3942" i="41"/>
  <c r="N3942" i="41" s="1"/>
  <c r="L3941" i="41"/>
  <c r="N3941" i="41" s="1"/>
  <c r="L3940" i="41"/>
  <c r="N3940" i="41" s="1"/>
  <c r="L3939" i="41"/>
  <c r="N3939" i="41" s="1"/>
  <c r="L3938" i="41"/>
  <c r="N3938" i="41" s="1"/>
  <c r="L3937" i="41"/>
  <c r="N3937" i="41" s="1"/>
  <c r="L3936" i="41"/>
  <c r="N3936" i="41" s="1"/>
  <c r="L3935" i="41"/>
  <c r="N3935" i="41" s="1"/>
  <c r="L3934" i="41"/>
  <c r="N3934" i="41" s="1"/>
  <c r="L3933" i="41"/>
  <c r="N3933" i="41" s="1"/>
  <c r="L3932" i="41"/>
  <c r="N3932" i="41" s="1"/>
  <c r="L3931" i="41"/>
  <c r="N3931" i="41" s="1"/>
  <c r="L3930" i="41"/>
  <c r="N3930" i="41" s="1"/>
  <c r="L3929" i="41"/>
  <c r="N3929" i="41" s="1"/>
  <c r="L3928" i="41"/>
  <c r="N3928" i="41" s="1"/>
  <c r="L3927" i="41"/>
  <c r="N3927" i="41" s="1"/>
  <c r="L3926" i="41"/>
  <c r="N3926" i="41" s="1"/>
  <c r="L3925" i="41"/>
  <c r="N3925" i="41" s="1"/>
  <c r="L3924" i="41"/>
  <c r="N3924" i="41" s="1"/>
  <c r="L3923" i="41"/>
  <c r="N3923" i="41" s="1"/>
  <c r="L3922" i="41"/>
  <c r="N3922" i="41" s="1"/>
  <c r="L3921" i="41"/>
  <c r="N3921" i="41" s="1"/>
  <c r="L3920" i="41"/>
  <c r="N3920" i="41" s="1"/>
  <c r="L3919" i="41"/>
  <c r="N3919" i="41" s="1"/>
  <c r="L3918" i="41"/>
  <c r="N3918" i="41" s="1"/>
  <c r="L3917" i="41"/>
  <c r="N3917" i="41" s="1"/>
  <c r="L3916" i="41"/>
  <c r="N3916" i="41" s="1"/>
  <c r="L3915" i="41"/>
  <c r="N3915" i="41" s="1"/>
  <c r="L3914" i="41"/>
  <c r="N3914" i="41" s="1"/>
  <c r="L3913" i="41"/>
  <c r="N3913" i="41" s="1"/>
  <c r="L3912" i="41"/>
  <c r="N3912" i="41" s="1"/>
  <c r="V3911" i="41"/>
  <c r="Y3911" i="41" s="1"/>
  <c r="L3911" i="41"/>
  <c r="N3911" i="41" s="1"/>
  <c r="L3910" i="41"/>
  <c r="N3910" i="41" s="1"/>
  <c r="L3909" i="41"/>
  <c r="N3909" i="41" s="1"/>
  <c r="L3908" i="41"/>
  <c r="N3908" i="41" s="1"/>
  <c r="L3907" i="41"/>
  <c r="N3907" i="41" s="1"/>
  <c r="L3906" i="41"/>
  <c r="N3906" i="41" s="1"/>
  <c r="L3905" i="41"/>
  <c r="N3905" i="41" s="1"/>
  <c r="L3904" i="41"/>
  <c r="N3904" i="41" s="1"/>
  <c r="L3903" i="41"/>
  <c r="N3903" i="41" s="1"/>
  <c r="L3902" i="41"/>
  <c r="N3902" i="41" s="1"/>
  <c r="L3901" i="41"/>
  <c r="N3901" i="41" s="1"/>
  <c r="L3900" i="41"/>
  <c r="N3900" i="41" s="1"/>
  <c r="L3899" i="41"/>
  <c r="N3899" i="41" s="1"/>
  <c r="L3898" i="41"/>
  <c r="N3898" i="41" s="1"/>
  <c r="L3897" i="41"/>
  <c r="N3897" i="41" s="1"/>
  <c r="L3896" i="41"/>
  <c r="N3896" i="41" s="1"/>
  <c r="L3895" i="41"/>
  <c r="N3895" i="41" s="1"/>
  <c r="L3894" i="41"/>
  <c r="N3894" i="41" s="1"/>
  <c r="L3893" i="41"/>
  <c r="N3893" i="41" s="1"/>
  <c r="L3892" i="41"/>
  <c r="N3892" i="41" s="1"/>
  <c r="L3891" i="41"/>
  <c r="N3891" i="41" s="1"/>
  <c r="L3890" i="41"/>
  <c r="N3890" i="41" s="1"/>
  <c r="L3889" i="41"/>
  <c r="N3889" i="41" s="1"/>
  <c r="L3888" i="41"/>
  <c r="N3888" i="41" s="1"/>
  <c r="L3887" i="41"/>
  <c r="N3887" i="41" s="1"/>
  <c r="L3886" i="41"/>
  <c r="N3886" i="41" s="1"/>
  <c r="L3885" i="41"/>
  <c r="N3885" i="41" s="1"/>
  <c r="L3884" i="41"/>
  <c r="N3884" i="41" s="1"/>
  <c r="L3883" i="41"/>
  <c r="N3883" i="41" s="1"/>
  <c r="Y3882" i="41"/>
  <c r="I3882" i="41"/>
  <c r="T3882" i="41" s="1"/>
  <c r="H3882" i="41"/>
  <c r="S3882" i="41" s="1"/>
  <c r="L3881" i="41"/>
  <c r="N3881" i="41" s="1"/>
  <c r="L3880" i="41"/>
  <c r="N3880" i="41" s="1"/>
  <c r="L3879" i="41"/>
  <c r="N3879" i="41" s="1"/>
  <c r="L3878" i="41"/>
  <c r="N3878" i="41" s="1"/>
  <c r="L3877" i="41"/>
  <c r="N3877" i="41" s="1"/>
  <c r="L3876" i="41"/>
  <c r="N3876" i="41" s="1"/>
  <c r="L3875" i="41"/>
  <c r="N3875" i="41" s="1"/>
  <c r="L3874" i="41"/>
  <c r="N3874" i="41" s="1"/>
  <c r="L3873" i="41"/>
  <c r="N3873" i="41" s="1"/>
  <c r="L3872" i="41"/>
  <c r="N3872" i="41" s="1"/>
  <c r="L3871" i="41"/>
  <c r="N3871" i="41" s="1"/>
  <c r="L3870" i="41"/>
  <c r="N3870" i="41" s="1"/>
  <c r="L3869" i="41"/>
  <c r="N3869" i="41" s="1"/>
  <c r="L3868" i="41"/>
  <c r="N3868" i="41" s="1"/>
  <c r="L3867" i="41"/>
  <c r="N3867" i="41" s="1"/>
  <c r="L3866" i="41"/>
  <c r="N3866" i="41" s="1"/>
  <c r="L3865" i="41"/>
  <c r="N3865" i="41" s="1"/>
  <c r="L3864" i="41"/>
  <c r="N3864" i="41" s="1"/>
  <c r="L3863" i="41"/>
  <c r="N3863" i="41" s="1"/>
  <c r="L3862" i="41"/>
  <c r="N3862" i="41" s="1"/>
  <c r="L3861" i="41"/>
  <c r="N3861" i="41" s="1"/>
  <c r="L3860" i="41"/>
  <c r="N3860" i="41" s="1"/>
  <c r="L3859" i="41"/>
  <c r="N3859" i="41" s="1"/>
  <c r="L3858" i="41"/>
  <c r="N3858" i="41" s="1"/>
  <c r="L3857" i="41"/>
  <c r="N3857" i="41" s="1"/>
  <c r="L3856" i="41"/>
  <c r="N3856" i="41" s="1"/>
  <c r="L3855" i="41"/>
  <c r="N3855" i="41" s="1"/>
  <c r="L3854" i="41"/>
  <c r="N3854" i="41" s="1"/>
  <c r="L3853" i="41"/>
  <c r="N3853" i="41" s="1"/>
  <c r="L3852" i="41"/>
  <c r="N3852" i="41" s="1"/>
  <c r="L3851" i="41"/>
  <c r="N3851" i="41" s="1"/>
  <c r="L3850" i="41"/>
  <c r="N3850" i="41" s="1"/>
  <c r="L3849" i="41"/>
  <c r="N3849" i="41" s="1"/>
  <c r="L3848" i="41"/>
  <c r="N3848" i="41" s="1"/>
  <c r="L3847" i="41"/>
  <c r="N3847" i="41" s="1"/>
  <c r="L3846" i="41"/>
  <c r="N3846" i="41" s="1"/>
  <c r="L3845" i="41"/>
  <c r="N3845" i="41" s="1"/>
  <c r="L3844" i="41"/>
  <c r="N3844" i="41" s="1"/>
  <c r="L3843" i="41"/>
  <c r="N3843" i="41" s="1"/>
  <c r="L3842" i="41"/>
  <c r="N3842" i="41" s="1"/>
  <c r="L3841" i="41"/>
  <c r="N3841" i="41" s="1"/>
  <c r="L3840" i="41"/>
  <c r="N3840" i="41" s="1"/>
  <c r="L3839" i="41"/>
  <c r="N3839" i="41" s="1"/>
  <c r="V3838" i="41"/>
  <c r="Y3838" i="41" s="1"/>
  <c r="I3838" i="41"/>
  <c r="T3838" i="41" s="1"/>
  <c r="H3838" i="41"/>
  <c r="S3838" i="41" s="1"/>
  <c r="L3837" i="41"/>
  <c r="N3837" i="41" s="1"/>
  <c r="L3836" i="41"/>
  <c r="N3836" i="41" s="1"/>
  <c r="L3835" i="41"/>
  <c r="N3835" i="41" s="1"/>
  <c r="L3834" i="41"/>
  <c r="N3834" i="41" s="1"/>
  <c r="L3833" i="41"/>
  <c r="N3833" i="41" s="1"/>
  <c r="L3832" i="41"/>
  <c r="N3832" i="41" s="1"/>
  <c r="L3831" i="41"/>
  <c r="N3831" i="41" s="1"/>
  <c r="L3830" i="41"/>
  <c r="N3830" i="41" s="1"/>
  <c r="L3829" i="41"/>
  <c r="N3829" i="41" s="1"/>
  <c r="L3828" i="41"/>
  <c r="N3828" i="41" s="1"/>
  <c r="L3827" i="41"/>
  <c r="N3827" i="41" s="1"/>
  <c r="L3826" i="41"/>
  <c r="N3826" i="41" s="1"/>
  <c r="L3825" i="41"/>
  <c r="N3825" i="41" s="1"/>
  <c r="L3824" i="41"/>
  <c r="N3824" i="41" s="1"/>
  <c r="L3823" i="41"/>
  <c r="N3823" i="41" s="1"/>
  <c r="V3822" i="41"/>
  <c r="Y3822" i="41" s="1"/>
  <c r="L3822" i="41"/>
  <c r="N3822" i="41" s="1"/>
  <c r="L3821" i="41"/>
  <c r="N3821" i="41" s="1"/>
  <c r="L3820" i="41"/>
  <c r="N3820" i="41" s="1"/>
  <c r="L3819" i="41"/>
  <c r="N3819" i="41" s="1"/>
  <c r="L3818" i="41"/>
  <c r="N3818" i="41" s="1"/>
  <c r="L3817" i="41"/>
  <c r="N3817" i="41" s="1"/>
  <c r="L3816" i="41"/>
  <c r="N3816" i="41" s="1"/>
  <c r="L3815" i="41"/>
  <c r="N3815" i="41" s="1"/>
  <c r="L3814" i="41"/>
  <c r="N3814" i="41" s="1"/>
  <c r="L3813" i="41"/>
  <c r="N3813" i="41" s="1"/>
  <c r="L3812" i="41"/>
  <c r="N3812" i="41" s="1"/>
  <c r="L3811" i="41"/>
  <c r="N3811" i="41" s="1"/>
  <c r="L3810" i="41"/>
  <c r="N3810" i="41" s="1"/>
  <c r="L3809" i="41"/>
  <c r="N3809" i="41" s="1"/>
  <c r="L3808" i="41"/>
  <c r="N3808" i="41" s="1"/>
  <c r="L3807" i="41"/>
  <c r="N3807" i="41" s="1"/>
  <c r="L3806" i="41"/>
  <c r="N3806" i="41" s="1"/>
  <c r="L3805" i="41"/>
  <c r="N3805" i="41" s="1"/>
  <c r="L3804" i="41"/>
  <c r="N3804" i="41" s="1"/>
  <c r="L3803" i="41"/>
  <c r="N3803" i="41" s="1"/>
  <c r="L3802" i="41"/>
  <c r="N3802" i="41" s="1"/>
  <c r="L3801" i="41"/>
  <c r="N3801" i="41" s="1"/>
  <c r="L3800" i="41"/>
  <c r="N3800" i="41" s="1"/>
  <c r="L3799" i="41"/>
  <c r="N3799" i="41" s="1"/>
  <c r="L3798" i="41"/>
  <c r="N3798" i="41" s="1"/>
  <c r="L3797" i="41"/>
  <c r="N3797" i="41" s="1"/>
  <c r="L3796" i="41"/>
  <c r="N3796" i="41" s="1"/>
  <c r="L3795" i="41"/>
  <c r="N3795" i="41" s="1"/>
  <c r="L3794" i="41"/>
  <c r="N3794" i="41" s="1"/>
  <c r="L3793" i="41"/>
  <c r="N3793" i="41" s="1"/>
  <c r="L3792" i="41"/>
  <c r="N3792" i="41" s="1"/>
  <c r="L3791" i="41"/>
  <c r="N3791" i="41" s="1"/>
  <c r="L3790" i="41"/>
  <c r="N3790" i="41" s="1"/>
  <c r="L3789" i="41"/>
  <c r="N3789" i="41" s="1"/>
  <c r="L3788" i="41"/>
  <c r="N3788" i="41" s="1"/>
  <c r="L3787" i="41"/>
  <c r="N3787" i="41" s="1"/>
  <c r="L3786" i="41"/>
  <c r="N3786" i="41" s="1"/>
  <c r="L3785" i="41"/>
  <c r="N3785" i="41" s="1"/>
  <c r="L3784" i="41"/>
  <c r="N3784" i="41" s="1"/>
  <c r="L3783" i="41"/>
  <c r="N3783" i="41" s="1"/>
  <c r="L3782" i="41"/>
  <c r="N3782" i="41" s="1"/>
  <c r="L3781" i="41"/>
  <c r="N3781" i="41" s="1"/>
  <c r="L3780" i="41"/>
  <c r="N3780" i="41" s="1"/>
  <c r="L3779" i="41"/>
  <c r="N3779" i="41" s="1"/>
  <c r="L3778" i="41"/>
  <c r="N3778" i="41" s="1"/>
  <c r="L3777" i="41"/>
  <c r="N3777" i="41" s="1"/>
  <c r="V3776" i="41"/>
  <c r="Y3776" i="41" s="1"/>
  <c r="L3776" i="41"/>
  <c r="N3776" i="41" s="1"/>
  <c r="L3775" i="41"/>
  <c r="N3775" i="41" s="1"/>
  <c r="L3774" i="41"/>
  <c r="N3774" i="41" s="1"/>
  <c r="L3773" i="41"/>
  <c r="N3773" i="41" s="1"/>
  <c r="L3772" i="41"/>
  <c r="N3772" i="41" s="1"/>
  <c r="L3771" i="41"/>
  <c r="N3771" i="41" s="1"/>
  <c r="L3770" i="41"/>
  <c r="N3770" i="41" s="1"/>
  <c r="L3769" i="41"/>
  <c r="N3769" i="41" s="1"/>
  <c r="L3768" i="41"/>
  <c r="N3768" i="41" s="1"/>
  <c r="L3767" i="41"/>
  <c r="N3767" i="41" s="1"/>
  <c r="L3766" i="41"/>
  <c r="N3766" i="41" s="1"/>
  <c r="L3765" i="41"/>
  <c r="N3765" i="41" s="1"/>
  <c r="L3764" i="41"/>
  <c r="N3764" i="41" s="1"/>
  <c r="L3763" i="41"/>
  <c r="N3763" i="41" s="1"/>
  <c r="L3762" i="41"/>
  <c r="N3762" i="41" s="1"/>
  <c r="L3761" i="41"/>
  <c r="N3761" i="41" s="1"/>
  <c r="L3760" i="41"/>
  <c r="N3760" i="41" s="1"/>
  <c r="L3759" i="41"/>
  <c r="N3759" i="41" s="1"/>
  <c r="L3758" i="41"/>
  <c r="N3758" i="41" s="1"/>
  <c r="L3757" i="41"/>
  <c r="N3757" i="41" s="1"/>
  <c r="L3756" i="41"/>
  <c r="N3756" i="41" s="1"/>
  <c r="L3755" i="41"/>
  <c r="N3755" i="41" s="1"/>
  <c r="L3754" i="41"/>
  <c r="N3754" i="41" s="1"/>
  <c r="L3753" i="41"/>
  <c r="N3753" i="41" s="1"/>
  <c r="L3752" i="41"/>
  <c r="N3752" i="41" s="1"/>
  <c r="L3751" i="41"/>
  <c r="N3751" i="41" s="1"/>
  <c r="L3750" i="41"/>
  <c r="N3750" i="41" s="1"/>
  <c r="V3749" i="41"/>
  <c r="Y3749" i="41" s="1"/>
  <c r="L3749" i="41"/>
  <c r="N3749" i="41" s="1"/>
  <c r="L3748" i="41"/>
  <c r="N3748" i="41" s="1"/>
  <c r="L3747" i="41"/>
  <c r="N3747" i="41" s="1"/>
  <c r="L3746" i="41"/>
  <c r="N3746" i="41" s="1"/>
  <c r="V3745" i="41"/>
  <c r="Y3745" i="41" s="1"/>
  <c r="L3745" i="41"/>
  <c r="N3745" i="41" s="1"/>
  <c r="L3744" i="41"/>
  <c r="N3744" i="41" s="1"/>
  <c r="L3743" i="41"/>
  <c r="N3743" i="41" s="1"/>
  <c r="L3742" i="41"/>
  <c r="N3742" i="41" s="1"/>
  <c r="L3741" i="41"/>
  <c r="N3741" i="41" s="1"/>
  <c r="L3740" i="41"/>
  <c r="N3740" i="41" s="1"/>
  <c r="L3739" i="41"/>
  <c r="N3739" i="41" s="1"/>
  <c r="L3738" i="41"/>
  <c r="N3738" i="41" s="1"/>
  <c r="L3737" i="41"/>
  <c r="N3737" i="41" s="1"/>
  <c r="L3736" i="41"/>
  <c r="N3736" i="41" s="1"/>
  <c r="L3735" i="41"/>
  <c r="N3735" i="41" s="1"/>
  <c r="L3734" i="41"/>
  <c r="N3734" i="41" s="1"/>
  <c r="L3733" i="41"/>
  <c r="N3733" i="41" s="1"/>
  <c r="L3732" i="41"/>
  <c r="N3732" i="41" s="1"/>
  <c r="L3731" i="41"/>
  <c r="N3731" i="41" s="1"/>
  <c r="L3730" i="41"/>
  <c r="N3730" i="41" s="1"/>
  <c r="L3729" i="41"/>
  <c r="N3729" i="41" s="1"/>
  <c r="L3728" i="41"/>
  <c r="N3728" i="41" s="1"/>
  <c r="L3727" i="41"/>
  <c r="N3727" i="41" s="1"/>
  <c r="L3726" i="41"/>
  <c r="N3726" i="41" s="1"/>
  <c r="L3725" i="41"/>
  <c r="N3725" i="41" s="1"/>
  <c r="L3724" i="41"/>
  <c r="N3724" i="41" s="1"/>
  <c r="L3723" i="41"/>
  <c r="N3723" i="41" s="1"/>
  <c r="L3722" i="41"/>
  <c r="N3722" i="41" s="1"/>
  <c r="L3721" i="41"/>
  <c r="N3721" i="41" s="1"/>
  <c r="L3720" i="41"/>
  <c r="N3720" i="41" s="1"/>
  <c r="L3719" i="41"/>
  <c r="N3719" i="41" s="1"/>
  <c r="L3718" i="41"/>
  <c r="N3718" i="41" s="1"/>
  <c r="L3717" i="41"/>
  <c r="N3717" i="41" s="1"/>
  <c r="L3716" i="41"/>
  <c r="N3716" i="41" s="1"/>
  <c r="L3715" i="41"/>
  <c r="N3715" i="41" s="1"/>
  <c r="L3714" i="41"/>
  <c r="N3714" i="41" s="1"/>
  <c r="L3713" i="41"/>
  <c r="N3713" i="41" s="1"/>
  <c r="L3712" i="41"/>
  <c r="N3712" i="41" s="1"/>
  <c r="L3711" i="41"/>
  <c r="N3711" i="41" s="1"/>
  <c r="L3710" i="41"/>
  <c r="N3710" i="41" s="1"/>
  <c r="L3709" i="41"/>
  <c r="N3709" i="41" s="1"/>
  <c r="L3708" i="41"/>
  <c r="N3708" i="41" s="1"/>
  <c r="Y3707" i="41"/>
  <c r="N3707" i="41"/>
  <c r="L3706" i="41"/>
  <c r="N3706" i="41" s="1"/>
  <c r="L3705" i="41"/>
  <c r="N3705" i="41" s="1"/>
  <c r="L3704" i="41"/>
  <c r="N3704" i="41" s="1"/>
  <c r="L3703" i="41"/>
  <c r="N3703" i="41" s="1"/>
  <c r="L3702" i="41"/>
  <c r="N3702" i="41" s="1"/>
  <c r="L3701" i="41"/>
  <c r="N3701" i="41" s="1"/>
  <c r="L3700" i="41"/>
  <c r="N3700" i="41" s="1"/>
  <c r="L3699" i="41"/>
  <c r="N3699" i="41" s="1"/>
  <c r="L3698" i="41"/>
  <c r="N3698" i="41" s="1"/>
  <c r="L3697" i="41"/>
  <c r="N3697" i="41" s="1"/>
  <c r="L3696" i="41"/>
  <c r="N3696" i="41" s="1"/>
  <c r="L3695" i="41"/>
  <c r="N3695" i="41" s="1"/>
  <c r="L3693" i="41"/>
  <c r="N3693" i="41" s="1"/>
  <c r="L3692" i="41"/>
  <c r="N3692" i="41" s="1"/>
  <c r="V3691" i="41"/>
  <c r="Y3691" i="41" s="1"/>
  <c r="L3691" i="41"/>
  <c r="N3691" i="41" s="1"/>
  <c r="L3690" i="41"/>
  <c r="N3690" i="41" s="1"/>
  <c r="L3689" i="41"/>
  <c r="N3689" i="41" s="1"/>
  <c r="L3688" i="41"/>
  <c r="N3688" i="41" s="1"/>
  <c r="L3687" i="41"/>
  <c r="N3687" i="41" s="1"/>
  <c r="L3686" i="41"/>
  <c r="N3686" i="41" s="1"/>
  <c r="L3685" i="41"/>
  <c r="N3685" i="41" s="1"/>
  <c r="L3684" i="41"/>
  <c r="N3684" i="41" s="1"/>
  <c r="L3683" i="41"/>
  <c r="N3683" i="41" s="1"/>
  <c r="L3682" i="41"/>
  <c r="N3682" i="41" s="1"/>
  <c r="L3681" i="41"/>
  <c r="N3681" i="41" s="1"/>
  <c r="L3680" i="41"/>
  <c r="N3680" i="41" s="1"/>
  <c r="L3679" i="41"/>
  <c r="N3679" i="41" s="1"/>
  <c r="L3678" i="41"/>
  <c r="N3678" i="41" s="1"/>
  <c r="L3677" i="41"/>
  <c r="N3677" i="41" s="1"/>
  <c r="L3676" i="41"/>
  <c r="N3676" i="41" s="1"/>
  <c r="L3675" i="41"/>
  <c r="N3675" i="41" s="1"/>
  <c r="L3674" i="41"/>
  <c r="N3674" i="41" s="1"/>
  <c r="L3673" i="41"/>
  <c r="N3673" i="41" s="1"/>
  <c r="L3672" i="41"/>
  <c r="N3672" i="41" s="1"/>
  <c r="L3671" i="41"/>
  <c r="N3671" i="41" s="1"/>
  <c r="L3670" i="41"/>
  <c r="N3670" i="41" s="1"/>
  <c r="L3669" i="41"/>
  <c r="N3669" i="41" s="1"/>
  <c r="L3668" i="41"/>
  <c r="N3668" i="41" s="1"/>
  <c r="L3667" i="41"/>
  <c r="N3667" i="41" s="1"/>
  <c r="L3666" i="41"/>
  <c r="N3666" i="41" s="1"/>
  <c r="L3665" i="41"/>
  <c r="N3665" i="41" s="1"/>
  <c r="L3664" i="41"/>
  <c r="N3664" i="41" s="1"/>
  <c r="L3663" i="41"/>
  <c r="N3663" i="41" s="1"/>
  <c r="L3662" i="41"/>
  <c r="N3662" i="41" s="1"/>
  <c r="L3661" i="41"/>
  <c r="N3661" i="41" s="1"/>
  <c r="L3660" i="41"/>
  <c r="N3660" i="41" s="1"/>
  <c r="L3659" i="41"/>
  <c r="N3659" i="41" s="1"/>
  <c r="L3658" i="41"/>
  <c r="N3658" i="41" s="1"/>
  <c r="L3657" i="41"/>
  <c r="N3657" i="41" s="1"/>
  <c r="L3656" i="41"/>
  <c r="N3656" i="41" s="1"/>
  <c r="L3655" i="41"/>
  <c r="N3655" i="41" s="1"/>
  <c r="L3654" i="41"/>
  <c r="N3654" i="41" s="1"/>
  <c r="L3653" i="41"/>
  <c r="N3653" i="41" s="1"/>
  <c r="L3652" i="41"/>
  <c r="N3652" i="41" s="1"/>
  <c r="L3651" i="41"/>
  <c r="N3651" i="41" s="1"/>
  <c r="L3650" i="41"/>
  <c r="N3650" i="41" s="1"/>
  <c r="L3649" i="41"/>
  <c r="N3649" i="41" s="1"/>
  <c r="L3648" i="41"/>
  <c r="N3648" i="41" s="1"/>
  <c r="L3647" i="41"/>
  <c r="N3647" i="41" s="1"/>
  <c r="L3646" i="41"/>
  <c r="N3646" i="41" s="1"/>
  <c r="L3645" i="41"/>
  <c r="N3645" i="41" s="1"/>
  <c r="L3644" i="41"/>
  <c r="N3644" i="41" s="1"/>
  <c r="L3643" i="41"/>
  <c r="N3643" i="41" s="1"/>
  <c r="L3642" i="41"/>
  <c r="N3642" i="41" s="1"/>
  <c r="L3641" i="41"/>
  <c r="N3641" i="41" s="1"/>
  <c r="L3640" i="41"/>
  <c r="N3640" i="41" s="1"/>
  <c r="L3639" i="41"/>
  <c r="N3639" i="41" s="1"/>
  <c r="L3638" i="41"/>
  <c r="N3638" i="41" s="1"/>
  <c r="L3637" i="41"/>
  <c r="N3637" i="41" s="1"/>
  <c r="L3636" i="41"/>
  <c r="N3636" i="41" s="1"/>
  <c r="L3635" i="41"/>
  <c r="N3635" i="41" s="1"/>
  <c r="L3634" i="41"/>
  <c r="N3634" i="41" s="1"/>
  <c r="L3633" i="41"/>
  <c r="N3633" i="41" s="1"/>
  <c r="L3632" i="41"/>
  <c r="N3632" i="41" s="1"/>
  <c r="V3631" i="41"/>
  <c r="Y3631" i="41" s="1"/>
  <c r="H3631" i="41"/>
  <c r="L3630" i="41"/>
  <c r="N3630" i="41" s="1"/>
  <c r="L3629" i="41"/>
  <c r="N3629" i="41" s="1"/>
  <c r="L3628" i="41"/>
  <c r="N3628" i="41" s="1"/>
  <c r="L3627" i="41"/>
  <c r="N3627" i="41" s="1"/>
  <c r="L3626" i="41"/>
  <c r="N3626" i="41" s="1"/>
  <c r="L3625" i="41"/>
  <c r="N3625" i="41" s="1"/>
  <c r="L3624" i="41"/>
  <c r="N3624" i="41" s="1"/>
  <c r="L3623" i="41"/>
  <c r="N3623" i="41" s="1"/>
  <c r="L3622" i="41"/>
  <c r="N3622" i="41" s="1"/>
  <c r="L3621" i="41"/>
  <c r="N3621" i="41" s="1"/>
  <c r="L3620" i="41"/>
  <c r="N3620" i="41" s="1"/>
  <c r="L3619" i="41"/>
  <c r="N3619" i="41" s="1"/>
  <c r="L3618" i="41"/>
  <c r="N3618" i="41" s="1"/>
  <c r="L3617" i="41"/>
  <c r="N3617" i="41" s="1"/>
  <c r="L3616" i="41"/>
  <c r="N3616" i="41" s="1"/>
  <c r="L3615" i="41"/>
  <c r="N3615" i="41" s="1"/>
  <c r="L3614" i="41"/>
  <c r="N3614" i="41" s="1"/>
  <c r="L3613" i="41"/>
  <c r="N3613" i="41" s="1"/>
  <c r="L3612" i="41"/>
  <c r="N3612" i="41" s="1"/>
  <c r="L3611" i="41"/>
  <c r="N3611" i="41" s="1"/>
  <c r="L3610" i="41"/>
  <c r="N3610" i="41" s="1"/>
  <c r="L3609" i="41"/>
  <c r="N3609" i="41" s="1"/>
  <c r="L3608" i="41"/>
  <c r="N3608" i="41" s="1"/>
  <c r="L3607" i="41"/>
  <c r="N3607" i="41" s="1"/>
  <c r="L3606" i="41"/>
  <c r="N3606" i="41" s="1"/>
  <c r="L3605" i="41"/>
  <c r="N3605" i="41" s="1"/>
  <c r="L3604" i="41"/>
  <c r="N3604" i="41" s="1"/>
  <c r="L3603" i="41"/>
  <c r="N3603" i="41" s="1"/>
  <c r="L3602" i="41"/>
  <c r="N3602" i="41" s="1"/>
  <c r="L3601" i="41"/>
  <c r="N3601" i="41" s="1"/>
  <c r="L3600" i="41"/>
  <c r="N3600" i="41" s="1"/>
  <c r="L3599" i="41"/>
  <c r="N3599" i="41" s="1"/>
  <c r="L3598" i="41"/>
  <c r="N3598" i="41" s="1"/>
  <c r="L3597" i="41"/>
  <c r="N3597" i="41" s="1"/>
  <c r="L3596" i="41"/>
  <c r="N3596" i="41" s="1"/>
  <c r="L3595" i="41"/>
  <c r="N3595" i="41" s="1"/>
  <c r="L3594" i="41"/>
  <c r="N3594" i="41" s="1"/>
  <c r="L3593" i="41"/>
  <c r="N3593" i="41" s="1"/>
  <c r="L3592" i="41"/>
  <c r="N3592" i="41" s="1"/>
  <c r="L3591" i="41"/>
  <c r="N3591" i="41" s="1"/>
  <c r="L3590" i="41"/>
  <c r="N3590" i="41" s="1"/>
  <c r="L3589" i="41"/>
  <c r="N3589" i="41" s="1"/>
  <c r="L3588" i="41"/>
  <c r="N3588" i="41" s="1"/>
  <c r="V3587" i="41"/>
  <c r="Y3587" i="41" s="1"/>
  <c r="L3587" i="41"/>
  <c r="N3587" i="41" s="1"/>
  <c r="L3586" i="41"/>
  <c r="N3586" i="41" s="1"/>
  <c r="L3585" i="41"/>
  <c r="N3585" i="41" s="1"/>
  <c r="L3584" i="41"/>
  <c r="N3584" i="41" s="1"/>
  <c r="V3583" i="41"/>
  <c r="Y3583" i="41" s="1"/>
  <c r="L3583" i="41"/>
  <c r="V3582" i="41"/>
  <c r="Y3582" i="41" s="1"/>
  <c r="L3582" i="41"/>
  <c r="N3582" i="41" s="1"/>
  <c r="L3581" i="41"/>
  <c r="N3581" i="41" s="1"/>
  <c r="L3580" i="41"/>
  <c r="N3580" i="41" s="1"/>
  <c r="L3579" i="41"/>
  <c r="N3579" i="41" s="1"/>
  <c r="V3578" i="41"/>
  <c r="Y3578" i="41" s="1"/>
  <c r="J3578" i="41"/>
  <c r="L3577" i="41"/>
  <c r="N3577" i="41" s="1"/>
  <c r="L3576" i="41"/>
  <c r="N3576" i="41" s="1"/>
  <c r="L3575" i="41"/>
  <c r="N3575" i="41" s="1"/>
  <c r="L3574" i="41"/>
  <c r="N3574" i="41" s="1"/>
  <c r="L3573" i="41"/>
  <c r="N3573" i="41" s="1"/>
  <c r="L3572" i="41"/>
  <c r="N3572" i="41" s="1"/>
  <c r="L3571" i="41"/>
  <c r="N3571" i="41" s="1"/>
  <c r="L3570" i="41"/>
  <c r="N3570" i="41" s="1"/>
  <c r="L3569" i="41"/>
  <c r="N3569" i="41" s="1"/>
  <c r="L3568" i="41"/>
  <c r="N3568" i="41" s="1"/>
  <c r="L3567" i="41"/>
  <c r="N3567" i="41" s="1"/>
  <c r="L3566" i="41"/>
  <c r="N3566" i="41" s="1"/>
  <c r="L3565" i="41"/>
  <c r="N3565" i="41" s="1"/>
  <c r="L3564" i="41"/>
  <c r="N3564" i="41" s="1"/>
  <c r="L3563" i="41"/>
  <c r="N3563" i="41" s="1"/>
  <c r="L3562" i="41"/>
  <c r="N3562" i="41" s="1"/>
  <c r="L3561" i="41"/>
  <c r="N3561" i="41" s="1"/>
  <c r="L3560" i="41"/>
  <c r="N3560" i="41" s="1"/>
  <c r="L3559" i="41"/>
  <c r="N3559" i="41" s="1"/>
  <c r="L3558" i="41"/>
  <c r="N3558" i="41" s="1"/>
  <c r="L3557" i="41"/>
  <c r="N3557" i="41" s="1"/>
  <c r="L3556" i="41"/>
  <c r="N3556" i="41" s="1"/>
  <c r="L3555" i="41"/>
  <c r="N3555" i="41" s="1"/>
  <c r="L3554" i="41"/>
  <c r="N3554" i="41" s="1"/>
  <c r="L3553" i="41"/>
  <c r="N3553" i="41" s="1"/>
  <c r="L3552" i="41"/>
  <c r="N3552" i="41" s="1"/>
  <c r="L3551" i="41"/>
  <c r="N3551" i="41" s="1"/>
  <c r="L3550" i="41"/>
  <c r="N3550" i="41" s="1"/>
  <c r="L3549" i="41"/>
  <c r="N3549" i="41" s="1"/>
  <c r="L3548" i="41"/>
  <c r="N3548" i="41" s="1"/>
  <c r="L3547" i="41"/>
  <c r="N3547" i="41" s="1"/>
  <c r="L3546" i="41"/>
  <c r="N3546" i="41" s="1"/>
  <c r="L3545" i="41"/>
  <c r="N3545" i="41" s="1"/>
  <c r="L3544" i="41"/>
  <c r="N3544" i="41" s="1"/>
  <c r="L3543" i="41"/>
  <c r="N3543" i="41" s="1"/>
  <c r="L3542" i="41"/>
  <c r="N3542" i="41" s="1"/>
  <c r="L3541" i="41"/>
  <c r="N3541" i="41" s="1"/>
  <c r="L3540" i="41"/>
  <c r="N3540" i="41" s="1"/>
  <c r="L3539" i="41"/>
  <c r="N3539" i="41" s="1"/>
  <c r="L3538" i="41"/>
  <c r="N3538" i="41" s="1"/>
  <c r="L3537" i="41"/>
  <c r="N3537" i="41" s="1"/>
  <c r="L3536" i="41"/>
  <c r="N3536" i="41" s="1"/>
  <c r="L3535" i="41"/>
  <c r="N3535" i="41" s="1"/>
  <c r="L3534" i="41"/>
  <c r="N3534" i="41" s="1"/>
  <c r="L3533" i="41"/>
  <c r="N3533" i="41" s="1"/>
  <c r="L3532" i="41"/>
  <c r="N3532" i="41" s="1"/>
  <c r="L3531" i="41"/>
  <c r="N3531" i="41" s="1"/>
  <c r="L3530" i="41"/>
  <c r="N3530" i="41" s="1"/>
  <c r="L3529" i="41"/>
  <c r="N3529" i="41" s="1"/>
  <c r="L3528" i="41"/>
  <c r="N3528" i="41" s="1"/>
  <c r="L3527" i="41"/>
  <c r="N3527" i="41" s="1"/>
  <c r="L3526" i="41"/>
  <c r="N3526" i="41" s="1"/>
  <c r="L3525" i="41"/>
  <c r="N3525" i="41" s="1"/>
  <c r="L3524" i="41"/>
  <c r="N3524" i="41" s="1"/>
  <c r="L3523" i="41"/>
  <c r="N3523" i="41" s="1"/>
  <c r="L3522" i="41"/>
  <c r="N3522" i="41" s="1"/>
  <c r="L3521" i="41"/>
  <c r="N3521" i="41" s="1"/>
  <c r="V3520" i="41"/>
  <c r="Y3520" i="41" s="1"/>
  <c r="H3520" i="41"/>
  <c r="L3519" i="41"/>
  <c r="N3519" i="41" s="1"/>
  <c r="L3518" i="41"/>
  <c r="N3518" i="41" s="1"/>
  <c r="L3517" i="41"/>
  <c r="N3517" i="41" s="1"/>
  <c r="L3516" i="41"/>
  <c r="N3516" i="41" s="1"/>
  <c r="L3515" i="41"/>
  <c r="N3515" i="41" s="1"/>
  <c r="L3514" i="41"/>
  <c r="N3514" i="41" s="1"/>
  <c r="L3513" i="41"/>
  <c r="N3513" i="41" s="1"/>
  <c r="L3512" i="41"/>
  <c r="N3512" i="41" s="1"/>
  <c r="L3511" i="41"/>
  <c r="N3511" i="41" s="1"/>
  <c r="L3510" i="41"/>
  <c r="N3510" i="41" s="1"/>
  <c r="L3509" i="41"/>
  <c r="N3509" i="41" s="1"/>
  <c r="L3508" i="41"/>
  <c r="N3508" i="41" s="1"/>
  <c r="V3507" i="41"/>
  <c r="Y3507" i="41" s="1"/>
  <c r="L3506" i="41"/>
  <c r="N3506" i="41" s="1"/>
  <c r="L3505" i="41"/>
  <c r="N3505" i="41" s="1"/>
  <c r="L3504" i="41"/>
  <c r="N3504" i="41" s="1"/>
  <c r="L3503" i="41"/>
  <c r="N3503" i="41" s="1"/>
  <c r="L3502" i="41"/>
  <c r="N3502" i="41" s="1"/>
  <c r="L3501" i="41"/>
  <c r="N3501" i="41" s="1"/>
  <c r="L3500" i="41"/>
  <c r="N3500" i="41" s="1"/>
  <c r="L3499" i="41"/>
  <c r="N3499" i="41" s="1"/>
  <c r="L3498" i="41"/>
  <c r="N3498" i="41" s="1"/>
  <c r="L3497" i="41"/>
  <c r="N3497" i="41" s="1"/>
  <c r="L3496" i="41"/>
  <c r="N3496" i="41" s="1"/>
  <c r="L3495" i="41"/>
  <c r="N3495" i="41" s="1"/>
  <c r="L3494" i="41"/>
  <c r="N3494" i="41" s="1"/>
  <c r="L3493" i="41"/>
  <c r="N3493" i="41" s="1"/>
  <c r="L3492" i="41"/>
  <c r="N3492" i="41" s="1"/>
  <c r="L3491" i="41"/>
  <c r="N3491" i="41" s="1"/>
  <c r="L3490" i="41"/>
  <c r="N3490" i="41" s="1"/>
  <c r="L3489" i="41"/>
  <c r="N3489" i="41" s="1"/>
  <c r="L3488" i="41"/>
  <c r="N3488" i="41" s="1"/>
  <c r="L3487" i="41"/>
  <c r="N3487" i="41" s="1"/>
  <c r="L3486" i="41"/>
  <c r="N3486" i="41" s="1"/>
  <c r="L3485" i="41"/>
  <c r="N3485" i="41" s="1"/>
  <c r="L3484" i="41"/>
  <c r="N3484" i="41" s="1"/>
  <c r="L3483" i="41"/>
  <c r="N3483" i="41" s="1"/>
  <c r="L3482" i="41"/>
  <c r="N3482" i="41" s="1"/>
  <c r="L3481" i="41"/>
  <c r="N3481" i="41" s="1"/>
  <c r="L3480" i="41"/>
  <c r="N3480" i="41" s="1"/>
  <c r="L3479" i="41"/>
  <c r="N3479" i="41" s="1"/>
  <c r="L3478" i="41"/>
  <c r="N3478" i="41" s="1"/>
  <c r="L3477" i="41"/>
  <c r="N3477" i="41" s="1"/>
  <c r="L3476" i="41"/>
  <c r="N3476" i="41" s="1"/>
  <c r="L3475" i="41"/>
  <c r="N3475" i="41" s="1"/>
  <c r="L3474" i="41"/>
  <c r="N3474" i="41" s="1"/>
  <c r="L3473" i="41"/>
  <c r="N3473" i="41" s="1"/>
  <c r="L3472" i="41"/>
  <c r="N3472" i="41" s="1"/>
  <c r="L3471" i="41"/>
  <c r="N3471" i="41" s="1"/>
  <c r="L3470" i="41"/>
  <c r="N3470" i="41" s="1"/>
  <c r="L3469" i="41"/>
  <c r="N3469" i="41" s="1"/>
  <c r="L3468" i="41"/>
  <c r="N3468" i="41" s="1"/>
  <c r="L3467" i="41"/>
  <c r="N3467" i="41" s="1"/>
  <c r="L3466" i="41"/>
  <c r="N3466" i="41" s="1"/>
  <c r="L3465" i="41"/>
  <c r="N3465" i="41" s="1"/>
  <c r="L3464" i="41"/>
  <c r="N3464" i="41" s="1"/>
  <c r="L3463" i="41"/>
  <c r="N3463" i="41" s="1"/>
  <c r="L3462" i="41"/>
  <c r="N3462" i="41" s="1"/>
  <c r="L3461" i="41"/>
  <c r="N3461" i="41" s="1"/>
  <c r="L3460" i="41"/>
  <c r="N3460" i="41" s="1"/>
  <c r="L3459" i="41"/>
  <c r="N3459" i="41" s="1"/>
  <c r="L3458" i="41"/>
  <c r="N3458" i="41" s="1"/>
  <c r="L3457" i="41"/>
  <c r="N3457" i="41" s="1"/>
  <c r="L3456" i="41"/>
  <c r="N3456" i="41" s="1"/>
  <c r="L3455" i="41"/>
  <c r="N3455" i="41" s="1"/>
  <c r="L3454" i="41"/>
  <c r="N3454" i="41" s="1"/>
  <c r="L3453" i="41"/>
  <c r="N3453" i="41" s="1"/>
  <c r="L3452" i="41"/>
  <c r="N3452" i="41" s="1"/>
  <c r="L3451" i="41"/>
  <c r="N3451" i="41" s="1"/>
  <c r="L3450" i="41"/>
  <c r="N3450" i="41" s="1"/>
  <c r="L3449" i="41"/>
  <c r="N3449" i="41" s="1"/>
  <c r="L3448" i="41"/>
  <c r="N3448" i="41" s="1"/>
  <c r="L3447" i="41"/>
  <c r="N3447" i="41" s="1"/>
  <c r="L3446" i="41"/>
  <c r="N3446" i="41" s="1"/>
  <c r="L3445" i="41"/>
  <c r="N3445" i="41" s="1"/>
  <c r="L3444" i="41"/>
  <c r="N3444" i="41" s="1"/>
  <c r="L3443" i="41"/>
  <c r="N3443" i="41" s="1"/>
  <c r="L3442" i="41"/>
  <c r="N3442" i="41" s="1"/>
  <c r="L3441" i="41"/>
  <c r="N3441" i="41" s="1"/>
  <c r="L3440" i="41"/>
  <c r="N3440" i="41" s="1"/>
  <c r="L3439" i="41"/>
  <c r="N3439" i="41" s="1"/>
  <c r="L3438" i="41"/>
  <c r="N3438" i="41" s="1"/>
  <c r="L3437" i="41"/>
  <c r="N3437" i="41" s="1"/>
  <c r="V3436" i="41"/>
  <c r="Y3436" i="41" s="1"/>
  <c r="L3436" i="41"/>
  <c r="N3436" i="41" s="1"/>
  <c r="L3435" i="41"/>
  <c r="N3435" i="41" s="1"/>
  <c r="L3434" i="41"/>
  <c r="N3434" i="41" s="1"/>
  <c r="L3433" i="41"/>
  <c r="N3433" i="41" s="1"/>
  <c r="L3432" i="41"/>
  <c r="N3432" i="41" s="1"/>
  <c r="L3431" i="41"/>
  <c r="N3431" i="41" s="1"/>
  <c r="L3430" i="41"/>
  <c r="N3430" i="41" s="1"/>
  <c r="L3429" i="41"/>
  <c r="N3429" i="41" s="1"/>
  <c r="L3428" i="41"/>
  <c r="N3428" i="41" s="1"/>
  <c r="L3427" i="41"/>
  <c r="N3427" i="41" s="1"/>
  <c r="L3426" i="41"/>
  <c r="N3426" i="41" s="1"/>
  <c r="L3425" i="41"/>
  <c r="N3425" i="41" s="1"/>
  <c r="L3424" i="41"/>
  <c r="N3424" i="41" s="1"/>
  <c r="L3423" i="41"/>
  <c r="N3423" i="41" s="1"/>
  <c r="L3422" i="41"/>
  <c r="N3422" i="41" s="1"/>
  <c r="L3421" i="41"/>
  <c r="N3421" i="41" s="1"/>
  <c r="L3420" i="41"/>
  <c r="N3420" i="41" s="1"/>
  <c r="V3419" i="41"/>
  <c r="Y3419" i="41" s="1"/>
  <c r="L3419" i="41"/>
  <c r="N3419" i="41" s="1"/>
  <c r="L3418" i="41"/>
  <c r="N3418" i="41" s="1"/>
  <c r="L3417" i="41"/>
  <c r="N3417" i="41" s="1"/>
  <c r="L3416" i="41"/>
  <c r="N3416" i="41" s="1"/>
  <c r="L3415" i="41"/>
  <c r="N3415" i="41" s="1"/>
  <c r="L3414" i="41"/>
  <c r="N3414" i="41" s="1"/>
  <c r="L3413" i="41"/>
  <c r="N3413" i="41" s="1"/>
  <c r="L3412" i="41"/>
  <c r="N3412" i="41" s="1"/>
  <c r="L3411" i="41"/>
  <c r="N3411" i="41" s="1"/>
  <c r="L3410" i="41"/>
  <c r="N3410" i="41" s="1"/>
  <c r="L3409" i="41"/>
  <c r="N3409" i="41" s="1"/>
  <c r="L3408" i="41"/>
  <c r="N3408" i="41" s="1"/>
  <c r="L3407" i="41"/>
  <c r="N3407" i="41" s="1"/>
  <c r="L3406" i="41"/>
  <c r="N3406" i="41" s="1"/>
  <c r="L3405" i="41"/>
  <c r="N3405" i="41" s="1"/>
  <c r="L3404" i="41"/>
  <c r="N3404" i="41" s="1"/>
  <c r="L3403" i="41"/>
  <c r="N3403" i="41" s="1"/>
  <c r="L3402" i="41"/>
  <c r="N3402" i="41" s="1"/>
  <c r="L3401" i="41"/>
  <c r="N3401" i="41" s="1"/>
  <c r="L3400" i="41"/>
  <c r="N3400" i="41" s="1"/>
  <c r="L3399" i="41"/>
  <c r="N3399" i="41" s="1"/>
  <c r="L3398" i="41"/>
  <c r="N3398" i="41" s="1"/>
  <c r="L3397" i="41"/>
  <c r="N3397" i="41" s="1"/>
  <c r="L3396" i="41"/>
  <c r="N3396" i="41" s="1"/>
  <c r="L3395" i="41"/>
  <c r="N3395" i="41" s="1"/>
  <c r="L3394" i="41"/>
  <c r="N3394" i="41" s="1"/>
  <c r="L3393" i="41"/>
  <c r="N3393" i="41" s="1"/>
  <c r="L3392" i="41"/>
  <c r="N3392" i="41" s="1"/>
  <c r="L3391" i="41"/>
  <c r="N3391" i="41" s="1"/>
  <c r="L3390" i="41"/>
  <c r="N3390" i="41" s="1"/>
  <c r="L3389" i="41"/>
  <c r="N3389" i="41" s="1"/>
  <c r="V3388" i="41"/>
  <c r="Y3388" i="41" s="1"/>
  <c r="L3388" i="41"/>
  <c r="N3388" i="41" s="1"/>
  <c r="L3387" i="41"/>
  <c r="N3387" i="41" s="1"/>
  <c r="L3386" i="41"/>
  <c r="N3386" i="41" s="1"/>
  <c r="L3385" i="41"/>
  <c r="N3385" i="41" s="1"/>
  <c r="L3384" i="41"/>
  <c r="N3384" i="41" s="1"/>
  <c r="L3383" i="41"/>
  <c r="N3383" i="41" s="1"/>
  <c r="L3382" i="41"/>
  <c r="N3382" i="41" s="1"/>
  <c r="L3381" i="41"/>
  <c r="N3381" i="41" s="1"/>
  <c r="L3380" i="41"/>
  <c r="N3380" i="41" s="1"/>
  <c r="L3379" i="41"/>
  <c r="N3379" i="41" s="1"/>
  <c r="L3378" i="41"/>
  <c r="N3378" i="41" s="1"/>
  <c r="L3377" i="41"/>
  <c r="N3377" i="41" s="1"/>
  <c r="L3376" i="41"/>
  <c r="N3376" i="41" s="1"/>
  <c r="L3375" i="41"/>
  <c r="N3375" i="41" s="1"/>
  <c r="L3374" i="41"/>
  <c r="N3374" i="41" s="1"/>
  <c r="L3373" i="41"/>
  <c r="N3373" i="41" s="1"/>
  <c r="L3372" i="41"/>
  <c r="N3372" i="41" s="1"/>
  <c r="V3371" i="41"/>
  <c r="Y3371" i="41" s="1"/>
  <c r="H3371" i="41"/>
  <c r="L3370" i="41"/>
  <c r="N3370" i="41" s="1"/>
  <c r="L3369" i="41"/>
  <c r="N3369" i="41" s="1"/>
  <c r="L3368" i="41"/>
  <c r="N3368" i="41" s="1"/>
  <c r="L3367" i="41"/>
  <c r="N3367" i="41" s="1"/>
  <c r="L3366" i="41"/>
  <c r="N3366" i="41" s="1"/>
  <c r="V3365" i="41"/>
  <c r="Y3365" i="41" s="1"/>
  <c r="H3365" i="41"/>
  <c r="L3364" i="41"/>
  <c r="N3364" i="41" s="1"/>
  <c r="L3363" i="41"/>
  <c r="N3363" i="41" s="1"/>
  <c r="L3362" i="41"/>
  <c r="N3362" i="41" s="1"/>
  <c r="L3361" i="41"/>
  <c r="N3361" i="41" s="1"/>
  <c r="L3360" i="41"/>
  <c r="N3360" i="41" s="1"/>
  <c r="L3359" i="41"/>
  <c r="N3359" i="41" s="1"/>
  <c r="L3358" i="41"/>
  <c r="N3358" i="41" s="1"/>
  <c r="L3357" i="41"/>
  <c r="N3357" i="41" s="1"/>
  <c r="L3356" i="41"/>
  <c r="N3356" i="41" s="1"/>
  <c r="L3355" i="41"/>
  <c r="N3355" i="41" s="1"/>
  <c r="L3354" i="41"/>
  <c r="N3354" i="41" s="1"/>
  <c r="L3353" i="41"/>
  <c r="N3353" i="41" s="1"/>
  <c r="L3352" i="41"/>
  <c r="N3352" i="41" s="1"/>
  <c r="L3351" i="41"/>
  <c r="N3351" i="41" s="1"/>
  <c r="L3350" i="41"/>
  <c r="N3350" i="41" s="1"/>
  <c r="L3349" i="41"/>
  <c r="N3349" i="41" s="1"/>
  <c r="L3348" i="41"/>
  <c r="N3348" i="41" s="1"/>
  <c r="L3347" i="41"/>
  <c r="N3347" i="41" s="1"/>
  <c r="L3346" i="41"/>
  <c r="N3346" i="41" s="1"/>
  <c r="L3345" i="41"/>
  <c r="N3345" i="41" s="1"/>
  <c r="L3344" i="41"/>
  <c r="N3344" i="41" s="1"/>
  <c r="L3343" i="41"/>
  <c r="N3343" i="41" s="1"/>
  <c r="L3342" i="41"/>
  <c r="N3342" i="41" s="1"/>
  <c r="L3341" i="41"/>
  <c r="N3341" i="41" s="1"/>
  <c r="L3340" i="41"/>
  <c r="N3340" i="41" s="1"/>
  <c r="L3339" i="41"/>
  <c r="N3339" i="41" s="1"/>
  <c r="V3338" i="41"/>
  <c r="Y3338" i="41" s="1"/>
  <c r="L3338" i="41"/>
  <c r="N3338" i="41" s="1"/>
  <c r="L3337" i="41"/>
  <c r="N3337" i="41" s="1"/>
  <c r="L3336" i="41"/>
  <c r="N3336" i="41" s="1"/>
  <c r="L3335" i="41"/>
  <c r="N3335" i="41" s="1"/>
  <c r="L3334" i="41"/>
  <c r="N3334" i="41" s="1"/>
  <c r="L3333" i="41"/>
  <c r="N3333" i="41" s="1"/>
  <c r="L3332" i="41"/>
  <c r="N3332" i="41" s="1"/>
  <c r="L3331" i="41"/>
  <c r="N3331" i="41" s="1"/>
  <c r="L3330" i="41"/>
  <c r="N3330" i="41" s="1"/>
  <c r="L3329" i="41"/>
  <c r="N3329" i="41" s="1"/>
  <c r="L3328" i="41"/>
  <c r="N3328" i="41" s="1"/>
  <c r="L3327" i="41"/>
  <c r="N3327" i="41" s="1"/>
  <c r="L3326" i="41"/>
  <c r="N3326" i="41" s="1"/>
  <c r="L3325" i="41"/>
  <c r="N3325" i="41" s="1"/>
  <c r="L3324" i="41"/>
  <c r="N3324" i="41" s="1"/>
  <c r="L3323" i="41"/>
  <c r="N3323" i="41" s="1"/>
  <c r="L3322" i="41"/>
  <c r="N3322" i="41" s="1"/>
  <c r="L3321" i="41"/>
  <c r="N3321" i="41" s="1"/>
  <c r="L3320" i="41"/>
  <c r="N3320" i="41" s="1"/>
  <c r="L3319" i="41"/>
  <c r="N3319" i="41" s="1"/>
  <c r="L3318" i="41"/>
  <c r="N3318" i="41" s="1"/>
  <c r="L3317" i="41"/>
  <c r="N3317" i="41" s="1"/>
  <c r="L3316" i="41"/>
  <c r="N3316" i="41" s="1"/>
  <c r="L3315" i="41"/>
  <c r="N3315" i="41" s="1"/>
  <c r="V3314" i="41"/>
  <c r="Y3314" i="41" s="1"/>
  <c r="H3314" i="41"/>
  <c r="L3313" i="41"/>
  <c r="N3313" i="41" s="1"/>
  <c r="L3312" i="41"/>
  <c r="N3312" i="41" s="1"/>
  <c r="L3311" i="41"/>
  <c r="N3311" i="41" s="1"/>
  <c r="L3310" i="41"/>
  <c r="N3310" i="41" s="1"/>
  <c r="L3309" i="41"/>
  <c r="N3309" i="41" s="1"/>
  <c r="L3308" i="41"/>
  <c r="N3308" i="41" s="1"/>
  <c r="L3307" i="41"/>
  <c r="N3307" i="41" s="1"/>
  <c r="L3306" i="41"/>
  <c r="N3306" i="41" s="1"/>
  <c r="L3305" i="41"/>
  <c r="N3305" i="41" s="1"/>
  <c r="L3304" i="41"/>
  <c r="N3304" i="41" s="1"/>
  <c r="L3303" i="41"/>
  <c r="N3303" i="41" s="1"/>
  <c r="L3302" i="41"/>
  <c r="N3302" i="41" s="1"/>
  <c r="L3301" i="41"/>
  <c r="N3301" i="41" s="1"/>
  <c r="L3300" i="41"/>
  <c r="N3300" i="41" s="1"/>
  <c r="L3299" i="41"/>
  <c r="N3299" i="41" s="1"/>
  <c r="L3298" i="41"/>
  <c r="N3298" i="41" s="1"/>
  <c r="L3297" i="41"/>
  <c r="N3297" i="41" s="1"/>
  <c r="V3296" i="41"/>
  <c r="Y3296" i="41" s="1"/>
  <c r="L3296" i="41"/>
  <c r="N3296" i="41" s="1"/>
  <c r="L3295" i="41"/>
  <c r="N3295" i="41" s="1"/>
  <c r="L3294" i="41"/>
  <c r="N3294" i="41" s="1"/>
  <c r="L3293" i="41"/>
  <c r="N3293" i="41" s="1"/>
  <c r="L3292" i="41"/>
  <c r="N3292" i="41" s="1"/>
  <c r="L3291" i="41"/>
  <c r="N3291" i="41" s="1"/>
  <c r="L3290" i="41"/>
  <c r="N3290" i="41" s="1"/>
  <c r="L3289" i="41"/>
  <c r="N3289" i="41" s="1"/>
  <c r="L3288" i="41"/>
  <c r="N3288" i="41" s="1"/>
  <c r="Y3287" i="41"/>
  <c r="L3287" i="41"/>
  <c r="N3287" i="41" s="1"/>
  <c r="L3286" i="41"/>
  <c r="N3286" i="41" s="1"/>
  <c r="L3285" i="41"/>
  <c r="N3285" i="41" s="1"/>
  <c r="L3284" i="41"/>
  <c r="N3284" i="41" s="1"/>
  <c r="L3283" i="41"/>
  <c r="N3283" i="41" s="1"/>
  <c r="L3282" i="41"/>
  <c r="N3282" i="41" s="1"/>
  <c r="L3281" i="41"/>
  <c r="N3281" i="41" s="1"/>
  <c r="L3280" i="41"/>
  <c r="N3280" i="41" s="1"/>
  <c r="L3279" i="41"/>
  <c r="N3279" i="41" s="1"/>
  <c r="L3278" i="41"/>
  <c r="N3278" i="41" s="1"/>
  <c r="L3277" i="41"/>
  <c r="N3277" i="41" s="1"/>
  <c r="L3276" i="41"/>
  <c r="N3276" i="41" s="1"/>
  <c r="L3275" i="41"/>
  <c r="N3275" i="41" s="1"/>
  <c r="L3274" i="41"/>
  <c r="N3274" i="41" s="1"/>
  <c r="L3273" i="41"/>
  <c r="N3273" i="41" s="1"/>
  <c r="L3272" i="41"/>
  <c r="N3272" i="41" s="1"/>
  <c r="L3271" i="41"/>
  <c r="N3271" i="41" s="1"/>
  <c r="L3270" i="41"/>
  <c r="N3270" i="41" s="1"/>
  <c r="L3269" i="41"/>
  <c r="N3269" i="41" s="1"/>
  <c r="L3268" i="41"/>
  <c r="N3268" i="41" s="1"/>
  <c r="L3267" i="41"/>
  <c r="N3267" i="41" s="1"/>
  <c r="L3266" i="41"/>
  <c r="N3266" i="41" s="1"/>
  <c r="V3265" i="41"/>
  <c r="Y3265" i="41" s="1"/>
  <c r="J3265" i="41"/>
  <c r="L3264" i="41"/>
  <c r="N3264" i="41" s="1"/>
  <c r="L3263" i="41"/>
  <c r="N3263" i="41" s="1"/>
  <c r="L3262" i="41"/>
  <c r="N3262" i="41" s="1"/>
  <c r="L3261" i="41"/>
  <c r="N3261" i="41" s="1"/>
  <c r="L3260" i="41"/>
  <c r="N3260" i="41" s="1"/>
  <c r="L3259" i="41"/>
  <c r="N3259" i="41" s="1"/>
  <c r="L3258" i="41"/>
  <c r="N3258" i="41" s="1"/>
  <c r="L3257" i="41"/>
  <c r="N3257" i="41" s="1"/>
  <c r="L3256" i="41"/>
  <c r="N3256" i="41" s="1"/>
  <c r="L3255" i="41"/>
  <c r="N3255" i="41" s="1"/>
  <c r="L3254" i="41"/>
  <c r="N3254" i="41" s="1"/>
  <c r="L3253" i="41"/>
  <c r="N3253" i="41" s="1"/>
  <c r="L3252" i="41"/>
  <c r="N3252" i="41" s="1"/>
  <c r="L3251" i="41"/>
  <c r="N3251" i="41" s="1"/>
  <c r="L3250" i="41"/>
  <c r="N3250" i="41" s="1"/>
  <c r="V3249" i="41"/>
  <c r="Y3249" i="41" s="1"/>
  <c r="L3249" i="41"/>
  <c r="N3249" i="41" s="1"/>
  <c r="L3248" i="41"/>
  <c r="N3248" i="41" s="1"/>
  <c r="L3247" i="41"/>
  <c r="N3247" i="41" s="1"/>
  <c r="L3246" i="41"/>
  <c r="N3246" i="41" s="1"/>
  <c r="L3245" i="41"/>
  <c r="N3245" i="41" s="1"/>
  <c r="L3244" i="41"/>
  <c r="N3244" i="41" s="1"/>
  <c r="L3243" i="41"/>
  <c r="N3243" i="41" s="1"/>
  <c r="L3242" i="41"/>
  <c r="N3242" i="41" s="1"/>
  <c r="L3241" i="41"/>
  <c r="N3241" i="41" s="1"/>
  <c r="L3240" i="41"/>
  <c r="N3240" i="41" s="1"/>
  <c r="L3239" i="41"/>
  <c r="N3239" i="41" s="1"/>
  <c r="L3238" i="41"/>
  <c r="N3238" i="41" s="1"/>
  <c r="L3237" i="41"/>
  <c r="N3237" i="41" s="1"/>
  <c r="L3236" i="41"/>
  <c r="N3236" i="41" s="1"/>
  <c r="L3235" i="41"/>
  <c r="N3235" i="41" s="1"/>
  <c r="L3234" i="41"/>
  <c r="N3234" i="41" s="1"/>
  <c r="L3233" i="41"/>
  <c r="N3233" i="41" s="1"/>
  <c r="L3232" i="41"/>
  <c r="N3232" i="41" s="1"/>
  <c r="L3231" i="41"/>
  <c r="N3231" i="41" s="1"/>
  <c r="L3230" i="41"/>
  <c r="N3230" i="41" s="1"/>
  <c r="L3229" i="41"/>
  <c r="N3229" i="41" s="1"/>
  <c r="L3228" i="41"/>
  <c r="N3228" i="41" s="1"/>
  <c r="L3227" i="41"/>
  <c r="N3227" i="41" s="1"/>
  <c r="L3226" i="41"/>
  <c r="N3226" i="41" s="1"/>
  <c r="L3225" i="41"/>
  <c r="N3225" i="41" s="1"/>
  <c r="L3224" i="41"/>
  <c r="N3224" i="41" s="1"/>
  <c r="L3223" i="41"/>
  <c r="N3223" i="41" s="1"/>
  <c r="L3222" i="41"/>
  <c r="N3222" i="41" s="1"/>
  <c r="L3221" i="41"/>
  <c r="N3221" i="41" s="1"/>
  <c r="L3220" i="41"/>
  <c r="N3220" i="41" s="1"/>
  <c r="L3219" i="41"/>
  <c r="N3219" i="41" s="1"/>
  <c r="L3218" i="41"/>
  <c r="N3218" i="41" s="1"/>
  <c r="L3217" i="41"/>
  <c r="N3217" i="41" s="1"/>
  <c r="L3216" i="41"/>
  <c r="N3216" i="41" s="1"/>
  <c r="L3215" i="41"/>
  <c r="N3215" i="41" s="1"/>
  <c r="L3214" i="41"/>
  <c r="N3214" i="41" s="1"/>
  <c r="L3213" i="41"/>
  <c r="N3213" i="41" s="1"/>
  <c r="L3212" i="41"/>
  <c r="N3212" i="41" s="1"/>
  <c r="L3211" i="41"/>
  <c r="N3211" i="41" s="1"/>
  <c r="L3210" i="41"/>
  <c r="N3210" i="41" s="1"/>
  <c r="L3209" i="41"/>
  <c r="N3209" i="41" s="1"/>
  <c r="L3208" i="41"/>
  <c r="N3208" i="41" s="1"/>
  <c r="L3207" i="41"/>
  <c r="N3207" i="41" s="1"/>
  <c r="L3206" i="41"/>
  <c r="N3206" i="41" s="1"/>
  <c r="L3205" i="41"/>
  <c r="N3205" i="41" s="1"/>
  <c r="L3204" i="41"/>
  <c r="N3204" i="41" s="1"/>
  <c r="L3203" i="41"/>
  <c r="N3203" i="41" s="1"/>
  <c r="L3202" i="41"/>
  <c r="N3202" i="41" s="1"/>
  <c r="L3201" i="41"/>
  <c r="N3201" i="41" s="1"/>
  <c r="L3200" i="41"/>
  <c r="N3200" i="41" s="1"/>
  <c r="L3199" i="41"/>
  <c r="N3199" i="41" s="1"/>
  <c r="L3198" i="41"/>
  <c r="N3198" i="41" s="1"/>
  <c r="L3197" i="41"/>
  <c r="N3197" i="41" s="1"/>
  <c r="L3196" i="41"/>
  <c r="N3196" i="41" s="1"/>
  <c r="L3195" i="41"/>
  <c r="N3195" i="41" s="1"/>
  <c r="L3194" i="41"/>
  <c r="N3194" i="41" s="1"/>
  <c r="L3193" i="41"/>
  <c r="N3193" i="41" s="1"/>
  <c r="L3192" i="41"/>
  <c r="N3192" i="41" s="1"/>
  <c r="L3191" i="41"/>
  <c r="N3191" i="41" s="1"/>
  <c r="L3190" i="41"/>
  <c r="N3190" i="41" s="1"/>
  <c r="P3189" i="41"/>
  <c r="L3189" i="41"/>
  <c r="N3189" i="41" s="1"/>
  <c r="L3188" i="41"/>
  <c r="N3188" i="41" s="1"/>
  <c r="L3187" i="41"/>
  <c r="N3187" i="41" s="1"/>
  <c r="L3186" i="41"/>
  <c r="N3186" i="41" s="1"/>
  <c r="L3185" i="41"/>
  <c r="N3185" i="41" s="1"/>
  <c r="L3184" i="41"/>
  <c r="N3184" i="41" s="1"/>
  <c r="L3183" i="41"/>
  <c r="N3183" i="41" s="1"/>
  <c r="L3182" i="41"/>
  <c r="N3182" i="41" s="1"/>
  <c r="L3181" i="41"/>
  <c r="N3181" i="41" s="1"/>
  <c r="L3180" i="41"/>
  <c r="N3180" i="41" s="1"/>
  <c r="L3179" i="41"/>
  <c r="N3179" i="41" s="1"/>
  <c r="L3178" i="41"/>
  <c r="N3178" i="41" s="1"/>
  <c r="L3177" i="41"/>
  <c r="N3177" i="41" s="1"/>
  <c r="L3176" i="41"/>
  <c r="N3176" i="41" s="1"/>
  <c r="L3175" i="41"/>
  <c r="N3175" i="41" s="1"/>
  <c r="L3174" i="41"/>
  <c r="N3174" i="41" s="1"/>
  <c r="L3173" i="41"/>
  <c r="N3173" i="41" s="1"/>
  <c r="Y3172" i="41"/>
  <c r="L3172" i="41"/>
  <c r="N3172" i="41" s="1"/>
  <c r="L3171" i="41"/>
  <c r="N3171" i="41" s="1"/>
  <c r="L3170" i="41"/>
  <c r="N3170" i="41" s="1"/>
  <c r="L3169" i="41"/>
  <c r="N3169" i="41" s="1"/>
  <c r="L3168" i="41"/>
  <c r="N3168" i="41" s="1"/>
  <c r="L3167" i="41"/>
  <c r="N3167" i="41" s="1"/>
  <c r="L3166" i="41"/>
  <c r="N3166" i="41" s="1"/>
  <c r="L3165" i="41"/>
  <c r="N3165" i="41" s="1"/>
  <c r="L3164" i="41"/>
  <c r="N3164" i="41" s="1"/>
  <c r="L3163" i="41"/>
  <c r="N3163" i="41" s="1"/>
  <c r="L3162" i="41"/>
  <c r="N3162" i="41" s="1"/>
  <c r="L3161" i="41"/>
  <c r="N3161" i="41" s="1"/>
  <c r="L3160" i="41"/>
  <c r="N3160" i="41" s="1"/>
  <c r="L3159" i="41"/>
  <c r="N3159" i="41" s="1"/>
  <c r="L3158" i="41"/>
  <c r="N3158" i="41" s="1"/>
  <c r="L3157" i="41"/>
  <c r="N3157" i="41" s="1"/>
  <c r="L3156" i="41"/>
  <c r="N3156" i="41" s="1"/>
  <c r="L3155" i="41"/>
  <c r="N3155" i="41" s="1"/>
  <c r="L3154" i="41"/>
  <c r="N3154" i="41" s="1"/>
  <c r="L3153" i="41"/>
  <c r="N3153" i="41" s="1"/>
  <c r="L3152" i="41"/>
  <c r="N3152" i="41" s="1"/>
  <c r="L3151" i="41"/>
  <c r="N3151" i="41" s="1"/>
  <c r="L3150" i="41"/>
  <c r="N3150" i="41" s="1"/>
  <c r="L3149" i="41"/>
  <c r="N3149" i="41" s="1"/>
  <c r="L3148" i="41"/>
  <c r="N3148" i="41" s="1"/>
  <c r="L3147" i="41"/>
  <c r="N3147" i="41" s="1"/>
  <c r="L3146" i="41"/>
  <c r="N3146" i="41" s="1"/>
  <c r="L3145" i="41"/>
  <c r="N3145" i="41" s="1"/>
  <c r="L3144" i="41"/>
  <c r="N3144" i="41" s="1"/>
  <c r="L3143" i="41"/>
  <c r="N3143" i="41" s="1"/>
  <c r="L3142" i="41"/>
  <c r="N3142" i="41" s="1"/>
  <c r="L3141" i="41"/>
  <c r="N3141" i="41" s="1"/>
  <c r="L3140" i="41"/>
  <c r="N3140" i="41" s="1"/>
  <c r="L3139" i="41"/>
  <c r="N3139" i="41" s="1"/>
  <c r="L3138" i="41"/>
  <c r="N3138" i="41" s="1"/>
  <c r="L3137" i="41"/>
  <c r="N3137" i="41" s="1"/>
  <c r="L3136" i="41"/>
  <c r="N3136" i="41" s="1"/>
  <c r="L3135" i="41"/>
  <c r="N3135" i="41" s="1"/>
  <c r="L3134" i="41"/>
  <c r="N3134" i="41" s="1"/>
  <c r="L3133" i="41"/>
  <c r="N3133" i="41" s="1"/>
  <c r="L3132" i="41"/>
  <c r="N3132" i="41" s="1"/>
  <c r="L3131" i="41"/>
  <c r="N3131" i="41" s="1"/>
  <c r="L3130" i="41"/>
  <c r="N3130" i="41" s="1"/>
  <c r="L3129" i="41"/>
  <c r="N3129" i="41" s="1"/>
  <c r="L3128" i="41"/>
  <c r="N3128" i="41" s="1"/>
  <c r="L3127" i="41"/>
  <c r="N3127" i="41" s="1"/>
  <c r="L3126" i="41"/>
  <c r="N3126" i="41" s="1"/>
  <c r="L3125" i="41"/>
  <c r="N3125" i="41" s="1"/>
  <c r="L3124" i="41"/>
  <c r="N3124" i="41" s="1"/>
  <c r="L3123" i="41"/>
  <c r="N3123" i="41" s="1"/>
  <c r="L3122" i="41"/>
  <c r="N3122" i="41" s="1"/>
  <c r="L3121" i="41"/>
  <c r="N3121" i="41" s="1"/>
  <c r="L3120" i="41"/>
  <c r="N3120" i="41" s="1"/>
  <c r="L3119" i="41"/>
  <c r="N3119" i="41" s="1"/>
  <c r="L3118" i="41"/>
  <c r="N3118" i="41" s="1"/>
  <c r="L3117" i="41"/>
  <c r="N3117" i="41" s="1"/>
  <c r="L3116" i="41"/>
  <c r="N3116" i="41" s="1"/>
  <c r="L3115" i="41"/>
  <c r="N3115" i="41" s="1"/>
  <c r="L3114" i="41"/>
  <c r="N3114" i="41" s="1"/>
  <c r="L3113" i="41"/>
  <c r="N3113" i="41" s="1"/>
  <c r="L3112" i="41"/>
  <c r="N3112" i="41" s="1"/>
  <c r="L3111" i="41"/>
  <c r="N3111" i="41" s="1"/>
  <c r="L3110" i="41"/>
  <c r="N3110" i="41" s="1"/>
  <c r="L3109" i="41"/>
  <c r="N3109" i="41" s="1"/>
  <c r="L3108" i="41"/>
  <c r="N3108" i="41" s="1"/>
  <c r="L3107" i="41"/>
  <c r="N3107" i="41" s="1"/>
  <c r="L3106" i="41"/>
  <c r="N3106" i="41" s="1"/>
  <c r="L3105" i="41"/>
  <c r="N3105" i="41" s="1"/>
  <c r="L3104" i="41"/>
  <c r="N3104" i="41" s="1"/>
  <c r="L3103" i="41"/>
  <c r="N3103" i="41" s="1"/>
  <c r="L3102" i="41"/>
  <c r="N3102" i="41" s="1"/>
  <c r="L3101" i="41"/>
  <c r="N3101" i="41" s="1"/>
  <c r="L3100" i="41"/>
  <c r="N3100" i="41" s="1"/>
  <c r="Y3099" i="41"/>
  <c r="L3099" i="41"/>
  <c r="N3099" i="41" s="1"/>
  <c r="L3098" i="41"/>
  <c r="N3098" i="41" s="1"/>
  <c r="L3097" i="41"/>
  <c r="N3097" i="41" s="1"/>
  <c r="L3096" i="41"/>
  <c r="N3096" i="41" s="1"/>
  <c r="L3095" i="41"/>
  <c r="N3095" i="41" s="1"/>
  <c r="L3094" i="41"/>
  <c r="N3094" i="41" s="1"/>
  <c r="L3093" i="41"/>
  <c r="N3093" i="41" s="1"/>
  <c r="L3092" i="41"/>
  <c r="N3092" i="41" s="1"/>
  <c r="Y3091" i="41"/>
  <c r="L3091" i="41"/>
  <c r="N3091" i="41" s="1"/>
  <c r="L3090" i="41"/>
  <c r="N3090" i="41" s="1"/>
  <c r="Y3089" i="41"/>
  <c r="L3089" i="41"/>
  <c r="N3089" i="41" s="1"/>
  <c r="L3088" i="41"/>
  <c r="N3088" i="41" s="1"/>
  <c r="L3087" i="41"/>
  <c r="N3087" i="41" s="1"/>
  <c r="L3086" i="41"/>
  <c r="N3086" i="41" s="1"/>
  <c r="L3085" i="41"/>
  <c r="N3085" i="41" s="1"/>
  <c r="L3084" i="41"/>
  <c r="N3084" i="41" s="1"/>
  <c r="L3083" i="41"/>
  <c r="N3083" i="41" s="1"/>
  <c r="L3082" i="41"/>
  <c r="N3082" i="41" s="1"/>
  <c r="L3081" i="41"/>
  <c r="N3081" i="41" s="1"/>
  <c r="L3080" i="41"/>
  <c r="N3080" i="41" s="1"/>
  <c r="L3079" i="41"/>
  <c r="N3079" i="41" s="1"/>
  <c r="L3078" i="41"/>
  <c r="N3078" i="41" s="1"/>
  <c r="L3077" i="41"/>
  <c r="N3077" i="41" s="1"/>
  <c r="L3076" i="41"/>
  <c r="N3076" i="41" s="1"/>
  <c r="L3075" i="41"/>
  <c r="N3075" i="41" s="1"/>
  <c r="L3074" i="41"/>
  <c r="N3074" i="41" s="1"/>
  <c r="L3073" i="41"/>
  <c r="N3073" i="41" s="1"/>
  <c r="L3072" i="41"/>
  <c r="N3072" i="41" s="1"/>
  <c r="V3071" i="41"/>
  <c r="Y3071" i="41" s="1"/>
  <c r="L3071" i="41"/>
  <c r="N3071" i="41" s="1"/>
  <c r="L3070" i="41"/>
  <c r="N3070" i="41" s="1"/>
  <c r="L3069" i="41"/>
  <c r="N3069" i="41" s="1"/>
  <c r="L3068" i="41"/>
  <c r="N3068" i="41" s="1"/>
  <c r="L3067" i="41"/>
  <c r="N3067" i="41" s="1"/>
  <c r="L3066" i="41"/>
  <c r="N3066" i="41" s="1"/>
  <c r="L3065" i="41"/>
  <c r="N3065" i="41" s="1"/>
  <c r="L3064" i="41"/>
  <c r="N3064" i="41" s="1"/>
  <c r="L3063" i="41"/>
  <c r="N3063" i="41" s="1"/>
  <c r="L3062" i="41"/>
  <c r="N3062" i="41" s="1"/>
  <c r="L3061" i="41"/>
  <c r="N3061" i="41" s="1"/>
  <c r="L3060" i="41"/>
  <c r="N3060" i="41" s="1"/>
  <c r="L3059" i="41"/>
  <c r="N3059" i="41" s="1"/>
  <c r="L3058" i="41"/>
  <c r="N3058" i="41" s="1"/>
  <c r="V3057" i="41"/>
  <c r="Y3057" i="41" s="1"/>
  <c r="H3057" i="41"/>
  <c r="L3056" i="41"/>
  <c r="N3056" i="41" s="1"/>
  <c r="L3055" i="41"/>
  <c r="N3055" i="41" s="1"/>
  <c r="L3054" i="41"/>
  <c r="N3054" i="41" s="1"/>
  <c r="L3053" i="41"/>
  <c r="N3053" i="41" s="1"/>
  <c r="L3052" i="41"/>
  <c r="N3052" i="41" s="1"/>
  <c r="L3051" i="41"/>
  <c r="N3051" i="41" s="1"/>
  <c r="L3050" i="41"/>
  <c r="N3050" i="41" s="1"/>
  <c r="Y3049" i="41"/>
  <c r="L3049" i="41"/>
  <c r="N3049" i="41" s="1"/>
  <c r="L3048" i="41"/>
  <c r="N3048" i="41" s="1"/>
  <c r="L3047" i="41"/>
  <c r="N3047" i="41" s="1"/>
  <c r="L3046" i="41"/>
  <c r="N3046" i="41" s="1"/>
  <c r="L3045" i="41"/>
  <c r="N3045" i="41" s="1"/>
  <c r="L3044" i="41"/>
  <c r="N3044" i="41" s="1"/>
  <c r="L3043" i="41"/>
  <c r="N3043" i="41" s="1"/>
  <c r="L3042" i="41"/>
  <c r="N3042" i="41" s="1"/>
  <c r="L3041" i="41"/>
  <c r="N3041" i="41" s="1"/>
  <c r="L3040" i="41"/>
  <c r="N3040" i="41" s="1"/>
  <c r="L3039" i="41"/>
  <c r="N3039" i="41" s="1"/>
  <c r="L3038" i="41"/>
  <c r="N3038" i="41" s="1"/>
  <c r="L3037" i="41"/>
  <c r="N3037" i="41" s="1"/>
  <c r="L3036" i="41"/>
  <c r="N3036" i="41" s="1"/>
  <c r="L3035" i="41"/>
  <c r="N3035" i="41" s="1"/>
  <c r="L3034" i="41"/>
  <c r="N3034" i="41" s="1"/>
  <c r="L3033" i="41"/>
  <c r="N3033" i="41" s="1"/>
  <c r="L3032" i="41"/>
  <c r="N3032" i="41" s="1"/>
  <c r="L3031" i="41"/>
  <c r="N3031" i="41" s="1"/>
  <c r="L3030" i="41"/>
  <c r="N3030" i="41" s="1"/>
  <c r="L3029" i="41"/>
  <c r="N3029" i="41" s="1"/>
  <c r="L3028" i="41"/>
  <c r="N3028" i="41" s="1"/>
  <c r="L3027" i="41"/>
  <c r="N3027" i="41" s="1"/>
  <c r="L3026" i="41"/>
  <c r="N3026" i="41" s="1"/>
  <c r="L3025" i="41"/>
  <c r="N3025" i="41" s="1"/>
  <c r="L3024" i="41"/>
  <c r="N3024" i="41" s="1"/>
  <c r="L3023" i="41"/>
  <c r="N3023" i="41" s="1"/>
  <c r="L3022" i="41"/>
  <c r="N3022" i="41" s="1"/>
  <c r="L3021" i="41"/>
  <c r="N3021" i="41" s="1"/>
  <c r="L3020" i="41"/>
  <c r="N3020" i="41" s="1"/>
  <c r="L3019" i="41"/>
  <c r="N3019" i="41" s="1"/>
  <c r="L3018" i="41"/>
  <c r="N3018" i="41" s="1"/>
  <c r="L3017" i="41"/>
  <c r="N3017" i="41" s="1"/>
  <c r="L3016" i="41"/>
  <c r="N3016" i="41" s="1"/>
  <c r="L3015" i="41"/>
  <c r="N3015" i="41" s="1"/>
  <c r="L3014" i="41"/>
  <c r="N3014" i="41" s="1"/>
  <c r="L3013" i="41"/>
  <c r="N3013" i="41" s="1"/>
  <c r="L3012" i="41"/>
  <c r="N3012" i="41" s="1"/>
  <c r="L3011" i="41"/>
  <c r="N3011" i="41" s="1"/>
  <c r="L3010" i="41"/>
  <c r="N3010" i="41" s="1"/>
  <c r="L3009" i="41"/>
  <c r="N3009" i="41" s="1"/>
  <c r="L3008" i="41"/>
  <c r="N3008" i="41" s="1"/>
  <c r="L3007" i="41"/>
  <c r="N3007" i="41" s="1"/>
  <c r="L3006" i="41"/>
  <c r="N3006" i="41" s="1"/>
  <c r="L3005" i="41"/>
  <c r="N3005" i="41" s="1"/>
  <c r="L3004" i="41"/>
  <c r="N3004" i="41" s="1"/>
  <c r="L3003" i="41"/>
  <c r="N3003" i="41" s="1"/>
  <c r="L3002" i="41"/>
  <c r="N3002" i="41" s="1"/>
  <c r="L3001" i="41"/>
  <c r="N3001" i="41" s="1"/>
  <c r="L3000" i="41"/>
  <c r="N3000" i="41" s="1"/>
  <c r="L2999" i="41"/>
  <c r="N2999" i="41" s="1"/>
  <c r="V2998" i="41"/>
  <c r="Y2998" i="41" s="1"/>
  <c r="L2998" i="41"/>
  <c r="N2998" i="41" s="1"/>
  <c r="L2997" i="41"/>
  <c r="N2997" i="41" s="1"/>
  <c r="L2996" i="41"/>
  <c r="N2996" i="41" s="1"/>
  <c r="L2995" i="41"/>
  <c r="N2995" i="41" s="1"/>
  <c r="L2994" i="41"/>
  <c r="N2994" i="41" s="1"/>
  <c r="L2993" i="41"/>
  <c r="N2993" i="41" s="1"/>
  <c r="L2992" i="41"/>
  <c r="N2992" i="41" s="1"/>
  <c r="L2991" i="41"/>
  <c r="N2991" i="41" s="1"/>
  <c r="Y2990" i="41"/>
  <c r="L2990" i="41"/>
  <c r="N2990" i="41" s="1"/>
  <c r="L2989" i="41"/>
  <c r="N2989" i="41" s="1"/>
  <c r="L2988" i="41"/>
  <c r="N2988" i="41" s="1"/>
  <c r="L2987" i="41"/>
  <c r="N2987" i="41" s="1"/>
  <c r="L2986" i="41"/>
  <c r="N2986" i="41" s="1"/>
  <c r="Y2985" i="41"/>
  <c r="H2985" i="41"/>
  <c r="L2984" i="41"/>
  <c r="N2984" i="41" s="1"/>
  <c r="L2983" i="41"/>
  <c r="N2983" i="41" s="1"/>
  <c r="L2982" i="41"/>
  <c r="N2982" i="41" s="1"/>
  <c r="L2981" i="41"/>
  <c r="N2981" i="41" s="1"/>
  <c r="L2980" i="41"/>
  <c r="N2980" i="41" s="1"/>
  <c r="L2979" i="41"/>
  <c r="N2979" i="41" s="1"/>
  <c r="L2978" i="41"/>
  <c r="N2978" i="41" s="1"/>
  <c r="L2977" i="41"/>
  <c r="N2977" i="41" s="1"/>
  <c r="L2976" i="41"/>
  <c r="N2976" i="41" s="1"/>
  <c r="V2975" i="41"/>
  <c r="Y2975" i="41" s="1"/>
  <c r="L2975" i="41"/>
  <c r="N2975" i="41" s="1"/>
  <c r="L2974" i="41"/>
  <c r="N2974" i="41" s="1"/>
  <c r="L2973" i="41"/>
  <c r="N2973" i="41" s="1"/>
  <c r="L2972" i="41"/>
  <c r="N2972" i="41" s="1"/>
  <c r="Y2971" i="41"/>
  <c r="L2971" i="41"/>
  <c r="N2971" i="41" s="1"/>
  <c r="L2970" i="41"/>
  <c r="N2970" i="41" s="1"/>
  <c r="L2969" i="41"/>
  <c r="N2969" i="41" s="1"/>
  <c r="L2968" i="41"/>
  <c r="N2968" i="41" s="1"/>
  <c r="V2967" i="41"/>
  <c r="Y2967" i="41" s="1"/>
  <c r="L2967" i="41"/>
  <c r="N2967" i="41" s="1"/>
  <c r="L2966" i="41"/>
  <c r="N2966" i="41" s="1"/>
  <c r="V2965" i="41"/>
  <c r="Y2965" i="41" s="1"/>
  <c r="L2965" i="41"/>
  <c r="N2965" i="41" s="1"/>
  <c r="L2964" i="41"/>
  <c r="N2964" i="41" s="1"/>
  <c r="V2963" i="41"/>
  <c r="Y2963" i="41" s="1"/>
  <c r="I2963" i="41"/>
  <c r="L2962" i="41"/>
  <c r="N2962" i="41" s="1"/>
  <c r="L2961" i="41"/>
  <c r="N2961" i="41" s="1"/>
  <c r="V2960" i="41"/>
  <c r="Y2960" i="41" s="1"/>
  <c r="I2960" i="41"/>
  <c r="L2959" i="41"/>
  <c r="N2959" i="41" s="1"/>
  <c r="L2958" i="41"/>
  <c r="N2958" i="41" s="1"/>
  <c r="L2957" i="41"/>
  <c r="N2957" i="41" s="1"/>
  <c r="L2956" i="41"/>
  <c r="N2956" i="41" s="1"/>
  <c r="L2955" i="41"/>
  <c r="N2955" i="41" s="1"/>
  <c r="L2954" i="41"/>
  <c r="N2954" i="41" s="1"/>
  <c r="L2953" i="41"/>
  <c r="N2953" i="41" s="1"/>
  <c r="L2952" i="41"/>
  <c r="N2952" i="41" s="1"/>
  <c r="L2951" i="41"/>
  <c r="N2951" i="41" s="1"/>
  <c r="L2950" i="41"/>
  <c r="N2950" i="41" s="1"/>
  <c r="L2949" i="41"/>
  <c r="N2949" i="41" s="1"/>
  <c r="L2948" i="41"/>
  <c r="N2948" i="41" s="1"/>
  <c r="L2947" i="41"/>
  <c r="N2947" i="41" s="1"/>
  <c r="L2946" i="41"/>
  <c r="N2946" i="41" s="1"/>
  <c r="V2945" i="41"/>
  <c r="Y2945" i="41" s="1"/>
  <c r="I2945" i="41"/>
  <c r="L2944" i="41"/>
  <c r="N2944" i="41" s="1"/>
  <c r="L2943" i="41"/>
  <c r="N2943" i="41" s="1"/>
  <c r="L2942" i="41"/>
  <c r="N2942" i="41" s="1"/>
  <c r="L2941" i="41"/>
  <c r="N2941" i="41" s="1"/>
  <c r="L2940" i="41"/>
  <c r="N2940" i="41" s="1"/>
  <c r="L2939" i="41"/>
  <c r="N2939" i="41" s="1"/>
  <c r="L2938" i="41"/>
  <c r="N2938" i="41" s="1"/>
  <c r="L2937" i="41"/>
  <c r="N2937" i="41" s="1"/>
  <c r="L2936" i="41"/>
  <c r="N2936" i="41" s="1"/>
  <c r="Y2935" i="41"/>
  <c r="I2935" i="41"/>
  <c r="G2935" i="41"/>
  <c r="L2934" i="41"/>
  <c r="N2934" i="41" s="1"/>
  <c r="Y2933" i="41"/>
  <c r="I2933" i="41"/>
  <c r="L2932" i="41"/>
  <c r="N2932" i="41" s="1"/>
  <c r="L2931" i="41"/>
  <c r="N2931" i="41" s="1"/>
  <c r="L2930" i="41"/>
  <c r="N2930" i="41" s="1"/>
  <c r="L2929" i="41"/>
  <c r="N2929" i="41" s="1"/>
  <c r="L2928" i="41"/>
  <c r="N2928" i="41" s="1"/>
  <c r="L2927" i="41"/>
  <c r="N2927" i="41" s="1"/>
  <c r="L2926" i="41"/>
  <c r="N2926" i="41" s="1"/>
  <c r="L2925" i="41"/>
  <c r="N2925" i="41" s="1"/>
  <c r="L2924" i="41"/>
  <c r="N2924" i="41" s="1"/>
  <c r="V2923" i="41"/>
  <c r="Y2923" i="41" s="1"/>
  <c r="O2923" i="41"/>
  <c r="L2923" i="41"/>
  <c r="N2923" i="41" s="1"/>
  <c r="L2922" i="41"/>
  <c r="N2922" i="41" s="1"/>
  <c r="L2921" i="41"/>
  <c r="N2921" i="41" s="1"/>
  <c r="L2920" i="41"/>
  <c r="N2920" i="41" s="1"/>
  <c r="L2919" i="41"/>
  <c r="N2919" i="41" s="1"/>
  <c r="L2918" i="41"/>
  <c r="N2918" i="41" s="1"/>
  <c r="L2917" i="41"/>
  <c r="N2917" i="41" s="1"/>
  <c r="L2916" i="41"/>
  <c r="N2916" i="41" s="1"/>
  <c r="L2915" i="41"/>
  <c r="N2915" i="41" s="1"/>
  <c r="L2914" i="41"/>
  <c r="N2914" i="41" s="1"/>
  <c r="Y2913" i="41"/>
  <c r="L2913" i="41"/>
  <c r="N2913" i="41" s="1"/>
  <c r="L2912" i="41"/>
  <c r="N2912" i="41" s="1"/>
  <c r="L2911" i="41"/>
  <c r="N2911" i="41" s="1"/>
  <c r="L2910" i="41"/>
  <c r="N2910" i="41" s="1"/>
  <c r="Y2909" i="41"/>
  <c r="L2909" i="41"/>
  <c r="N2909" i="41" s="1"/>
  <c r="L2908" i="41"/>
  <c r="N2908" i="41" s="1"/>
  <c r="L2907" i="41"/>
  <c r="N2907" i="41" s="1"/>
  <c r="Y2906" i="41"/>
  <c r="L2906" i="41"/>
  <c r="N2906" i="41" s="1"/>
  <c r="L2905" i="41"/>
  <c r="N2905" i="41" s="1"/>
  <c r="L2904" i="41"/>
  <c r="N2904" i="41" s="1"/>
  <c r="L2903" i="41"/>
  <c r="N2903" i="41" s="1"/>
  <c r="L2902" i="41"/>
  <c r="N2902" i="41" s="1"/>
  <c r="L2901" i="41"/>
  <c r="N2901" i="41" s="1"/>
  <c r="L2900" i="41"/>
  <c r="N2900" i="41" s="1"/>
  <c r="L2899" i="41"/>
  <c r="N2899" i="41" s="1"/>
  <c r="L2898" i="41"/>
  <c r="N2898" i="41" s="1"/>
  <c r="L2897" i="41"/>
  <c r="N2897" i="41" s="1"/>
  <c r="L2896" i="41"/>
  <c r="N2896" i="41" s="1"/>
  <c r="L2895" i="41"/>
  <c r="N2895" i="41" s="1"/>
  <c r="L2894" i="41"/>
  <c r="N2894" i="41" s="1"/>
  <c r="L2893" i="41"/>
  <c r="N2893" i="41" s="1"/>
  <c r="L2892" i="41"/>
  <c r="N2892" i="41" s="1"/>
  <c r="L2891" i="41"/>
  <c r="N2891" i="41" s="1"/>
  <c r="L2890" i="41"/>
  <c r="N2890" i="41" s="1"/>
  <c r="L2889" i="41"/>
  <c r="N2889" i="41" s="1"/>
  <c r="L2888" i="41"/>
  <c r="N2888" i="41" s="1"/>
  <c r="L2887" i="41"/>
  <c r="N2887" i="41" s="1"/>
  <c r="L2886" i="41"/>
  <c r="N2886" i="41" s="1"/>
  <c r="L2885" i="41"/>
  <c r="N2885" i="41" s="1"/>
  <c r="L2884" i="41"/>
  <c r="N2884" i="41" s="1"/>
  <c r="L2883" i="41"/>
  <c r="N2883" i="41" s="1"/>
  <c r="L2882" i="41"/>
  <c r="N2882" i="41" s="1"/>
  <c r="L2881" i="41"/>
  <c r="N2881" i="41" s="1"/>
  <c r="L2880" i="41"/>
  <c r="N2880" i="41" s="1"/>
  <c r="L2879" i="41"/>
  <c r="N2879" i="41" s="1"/>
  <c r="L2878" i="41"/>
  <c r="N2878" i="41" s="1"/>
  <c r="L2877" i="41"/>
  <c r="N2877" i="41" s="1"/>
  <c r="L2876" i="41"/>
  <c r="N2876" i="41" s="1"/>
  <c r="L2875" i="41"/>
  <c r="N2875" i="41" s="1"/>
  <c r="L2874" i="41"/>
  <c r="N2874" i="41" s="1"/>
  <c r="L2873" i="41"/>
  <c r="N2873" i="41" s="1"/>
  <c r="L2872" i="41"/>
  <c r="N2872" i="41" s="1"/>
  <c r="Y2871" i="41"/>
  <c r="L2871" i="41"/>
  <c r="N2871" i="41" s="1"/>
  <c r="L2870" i="41"/>
  <c r="N2870" i="41" s="1"/>
  <c r="L2869" i="41"/>
  <c r="N2869" i="41" s="1"/>
  <c r="L2868" i="41"/>
  <c r="N2868" i="41" s="1"/>
  <c r="L2867" i="41"/>
  <c r="N2867" i="41" s="1"/>
  <c r="L2866" i="41"/>
  <c r="N2866" i="41" s="1"/>
  <c r="L2865" i="41"/>
  <c r="N2865" i="41" s="1"/>
  <c r="L2864" i="41"/>
  <c r="N2864" i="41" s="1"/>
  <c r="L2863" i="41"/>
  <c r="N2863" i="41" s="1"/>
  <c r="L2862" i="41"/>
  <c r="N2862" i="41" s="1"/>
  <c r="L2861" i="41"/>
  <c r="N2861" i="41" s="1"/>
  <c r="L2860" i="41"/>
  <c r="N2860" i="41" s="1"/>
  <c r="L2859" i="41"/>
  <c r="N2859" i="41" s="1"/>
  <c r="L2858" i="41"/>
  <c r="N2858" i="41" s="1"/>
  <c r="L2857" i="41"/>
  <c r="N2857" i="41" s="1"/>
  <c r="L2856" i="41"/>
  <c r="N2856" i="41" s="1"/>
  <c r="L2855" i="41"/>
  <c r="N2855" i="41" s="1"/>
  <c r="L2854" i="41"/>
  <c r="N2854" i="41" s="1"/>
  <c r="L2853" i="41"/>
  <c r="N2853" i="41" s="1"/>
  <c r="L2852" i="41"/>
  <c r="N2852" i="41" s="1"/>
  <c r="L2851" i="41"/>
  <c r="N2851" i="41" s="1"/>
  <c r="L2850" i="41"/>
  <c r="N2850" i="41" s="1"/>
  <c r="L2849" i="41"/>
  <c r="N2849" i="41" s="1"/>
  <c r="L2848" i="41"/>
  <c r="N2848" i="41" s="1"/>
  <c r="L2847" i="41"/>
  <c r="N2847" i="41" s="1"/>
  <c r="L2846" i="41"/>
  <c r="N2846" i="41" s="1"/>
  <c r="L2845" i="41"/>
  <c r="N2845" i="41" s="1"/>
  <c r="L2844" i="41"/>
  <c r="N2844" i="41" s="1"/>
  <c r="L2843" i="41"/>
  <c r="N2843" i="41" s="1"/>
  <c r="L2842" i="41"/>
  <c r="N2842" i="41" s="1"/>
  <c r="L2841" i="41"/>
  <c r="N2841" i="41" s="1"/>
  <c r="L2840" i="41"/>
  <c r="N2840" i="41" s="1"/>
  <c r="L2839" i="41"/>
  <c r="N2839" i="41" s="1"/>
  <c r="L2838" i="41"/>
  <c r="N2838" i="41" s="1"/>
  <c r="L2837" i="41"/>
  <c r="N2837" i="41" s="1"/>
  <c r="L2836" i="41"/>
  <c r="N2836" i="41" s="1"/>
  <c r="L2835" i="41"/>
  <c r="N2835" i="41" s="1"/>
  <c r="L2834" i="41"/>
  <c r="N2834" i="41" s="1"/>
  <c r="L2833" i="41"/>
  <c r="N2833" i="41" s="1"/>
  <c r="L2832" i="41"/>
  <c r="N2832" i="41" s="1"/>
  <c r="L2831" i="41"/>
  <c r="N2831" i="41" s="1"/>
  <c r="L2830" i="41"/>
  <c r="N2830" i="41" s="1"/>
  <c r="L2829" i="41"/>
  <c r="N2829" i="41" s="1"/>
  <c r="L2828" i="41"/>
  <c r="N2828" i="41" s="1"/>
  <c r="L2827" i="41"/>
  <c r="N2827" i="41" s="1"/>
  <c r="L2826" i="41"/>
  <c r="N2826" i="41" s="1"/>
  <c r="L2825" i="41"/>
  <c r="N2825" i="41" s="1"/>
  <c r="L2824" i="41"/>
  <c r="N2824" i="41" s="1"/>
  <c r="L2823" i="41"/>
  <c r="N2823" i="41" s="1"/>
  <c r="L2822" i="41"/>
  <c r="N2822" i="41" s="1"/>
  <c r="L2821" i="41"/>
  <c r="N2821" i="41" s="1"/>
  <c r="L2820" i="41"/>
  <c r="N2820" i="41" s="1"/>
  <c r="L2819" i="41"/>
  <c r="N2819" i="41" s="1"/>
  <c r="L2818" i="41"/>
  <c r="N2818" i="41" s="1"/>
  <c r="L2817" i="41"/>
  <c r="N2817" i="41" s="1"/>
  <c r="V2816" i="41"/>
  <c r="Y2816" i="41" s="1"/>
  <c r="L2816" i="41"/>
  <c r="N2816" i="41" s="1"/>
  <c r="L2815" i="41"/>
  <c r="N2815" i="41" s="1"/>
  <c r="L2814" i="41"/>
  <c r="N2814" i="41" s="1"/>
  <c r="L2813" i="41"/>
  <c r="N2813" i="41" s="1"/>
  <c r="L2812" i="41"/>
  <c r="N2812" i="41" s="1"/>
  <c r="L2811" i="41"/>
  <c r="N2811" i="41" s="1"/>
  <c r="L2810" i="41"/>
  <c r="N2810" i="41" s="1"/>
  <c r="L2809" i="41"/>
  <c r="N2809" i="41" s="1"/>
  <c r="L2808" i="41"/>
  <c r="N2808" i="41" s="1"/>
  <c r="L2807" i="41"/>
  <c r="N2807" i="41" s="1"/>
  <c r="L2806" i="41"/>
  <c r="N2806" i="41" s="1"/>
  <c r="L2805" i="41"/>
  <c r="N2805" i="41" s="1"/>
  <c r="L2804" i="41"/>
  <c r="N2804" i="41" s="1"/>
  <c r="Y2803" i="41"/>
  <c r="L2803" i="41"/>
  <c r="G2803" i="41"/>
  <c r="L2802" i="41"/>
  <c r="N2802" i="41" s="1"/>
  <c r="L2801" i="41"/>
  <c r="N2801" i="41" s="1"/>
  <c r="L2800" i="41"/>
  <c r="N2800" i="41" s="1"/>
  <c r="L2799" i="41"/>
  <c r="N2799" i="41" s="1"/>
  <c r="L2798" i="41"/>
  <c r="N2798" i="41" s="1"/>
  <c r="L2797" i="41"/>
  <c r="N2797" i="41" s="1"/>
  <c r="L2796" i="41"/>
  <c r="N2796" i="41" s="1"/>
  <c r="L2795" i="41"/>
  <c r="N2795" i="41" s="1"/>
  <c r="L2794" i="41"/>
  <c r="N2794" i="41" s="1"/>
  <c r="L2793" i="41"/>
  <c r="N2793" i="41" s="1"/>
  <c r="L2792" i="41"/>
  <c r="N2792" i="41" s="1"/>
  <c r="L2791" i="41"/>
  <c r="N2791" i="41" s="1"/>
  <c r="L2790" i="41"/>
  <c r="N2790" i="41" s="1"/>
  <c r="L2789" i="41"/>
  <c r="N2789" i="41" s="1"/>
  <c r="L2788" i="41"/>
  <c r="N2788" i="41" s="1"/>
  <c r="L2787" i="41"/>
  <c r="N2787" i="41" s="1"/>
  <c r="L2786" i="41"/>
  <c r="N2786" i="41" s="1"/>
  <c r="L2784" i="41"/>
  <c r="N2784" i="41" s="1"/>
  <c r="Y2783" i="41"/>
  <c r="L2783" i="41"/>
  <c r="N2783" i="41" s="1"/>
  <c r="L2782" i="41"/>
  <c r="N2782" i="41" s="1"/>
  <c r="L2781" i="41"/>
  <c r="N2781" i="41" s="1"/>
  <c r="L2780" i="41"/>
  <c r="N2780" i="41" s="1"/>
  <c r="L2779" i="41"/>
  <c r="N2779" i="41" s="1"/>
  <c r="L2778" i="41"/>
  <c r="N2778" i="41" s="1"/>
  <c r="L2777" i="41"/>
  <c r="N2777" i="41" s="1"/>
  <c r="L2776" i="41"/>
  <c r="N2776" i="41" s="1"/>
  <c r="L2775" i="41"/>
  <c r="N2775" i="41" s="1"/>
  <c r="L2774" i="41"/>
  <c r="N2774" i="41" s="1"/>
  <c r="L2773" i="41"/>
  <c r="N2773" i="41" s="1"/>
  <c r="L2772" i="41"/>
  <c r="N2772" i="41" s="1"/>
  <c r="L2771" i="41"/>
  <c r="N2771" i="41" s="1"/>
  <c r="L2770" i="41"/>
  <c r="N2770" i="41" s="1"/>
  <c r="L2769" i="41"/>
  <c r="N2769" i="41" s="1"/>
  <c r="L2768" i="41"/>
  <c r="N2768" i="41" s="1"/>
  <c r="L2767" i="41"/>
  <c r="N2767" i="41" s="1"/>
  <c r="L2766" i="41"/>
  <c r="N2766" i="41" s="1"/>
  <c r="L2765" i="41"/>
  <c r="N2765" i="41" s="1"/>
  <c r="L2764" i="41"/>
  <c r="N2764" i="41" s="1"/>
  <c r="Y2763" i="41"/>
  <c r="L2763" i="41"/>
  <c r="N2763" i="41" s="1"/>
  <c r="L2762" i="41"/>
  <c r="N2762" i="41" s="1"/>
  <c r="L2761" i="41"/>
  <c r="N2761" i="41" s="1"/>
  <c r="L2760" i="41"/>
  <c r="N2760" i="41" s="1"/>
  <c r="L2759" i="41"/>
  <c r="N2759" i="41" s="1"/>
  <c r="L2758" i="41"/>
  <c r="N2758" i="41" s="1"/>
  <c r="L2757" i="41"/>
  <c r="N2757" i="41" s="1"/>
  <c r="L2756" i="41"/>
  <c r="N2756" i="41" s="1"/>
  <c r="L2755" i="41"/>
  <c r="N2755" i="41" s="1"/>
  <c r="L2754" i="41"/>
  <c r="N2754" i="41" s="1"/>
  <c r="L2753" i="41"/>
  <c r="N2753" i="41" s="1"/>
  <c r="L2752" i="41"/>
  <c r="N2752" i="41" s="1"/>
  <c r="L2751" i="41"/>
  <c r="N2751" i="41" s="1"/>
  <c r="L2750" i="41"/>
  <c r="N2750" i="41" s="1"/>
  <c r="L2749" i="41"/>
  <c r="N2749" i="41" s="1"/>
  <c r="L2748" i="41"/>
  <c r="N2748" i="41" s="1"/>
  <c r="L2747" i="41"/>
  <c r="N2747" i="41" s="1"/>
  <c r="L2746" i="41"/>
  <c r="N2746" i="41" s="1"/>
  <c r="L2745" i="41"/>
  <c r="N2745" i="41" s="1"/>
  <c r="L2744" i="41"/>
  <c r="N2744" i="41" s="1"/>
  <c r="L2743" i="41"/>
  <c r="N2743" i="41" s="1"/>
  <c r="L2742" i="41"/>
  <c r="N2742" i="41" s="1"/>
  <c r="L2741" i="41"/>
  <c r="N2741" i="41" s="1"/>
  <c r="L2740" i="41"/>
  <c r="N2740" i="41" s="1"/>
  <c r="L2739" i="41"/>
  <c r="N2739" i="41" s="1"/>
  <c r="L2738" i="41"/>
  <c r="N2738" i="41" s="1"/>
  <c r="L2737" i="41"/>
  <c r="N2737" i="41" s="1"/>
  <c r="L2736" i="41"/>
  <c r="N2736" i="41" s="1"/>
  <c r="L2735" i="41"/>
  <c r="N2735" i="41" s="1"/>
  <c r="L2734" i="41"/>
  <c r="N2734" i="41" s="1"/>
  <c r="L2733" i="41"/>
  <c r="N2733" i="41" s="1"/>
  <c r="L2732" i="41"/>
  <c r="N2732" i="41" s="1"/>
  <c r="L2731" i="41"/>
  <c r="N2731" i="41" s="1"/>
  <c r="L2730" i="41"/>
  <c r="N2730" i="41" s="1"/>
  <c r="L2729" i="41"/>
  <c r="N2729" i="41" s="1"/>
  <c r="L2728" i="41"/>
  <c r="N2728" i="41" s="1"/>
  <c r="L2727" i="41"/>
  <c r="N2727" i="41" s="1"/>
  <c r="L2726" i="41"/>
  <c r="N2726" i="41" s="1"/>
  <c r="L2725" i="41"/>
  <c r="N2725" i="41" s="1"/>
  <c r="L2724" i="41"/>
  <c r="N2724" i="41" s="1"/>
  <c r="L2723" i="41"/>
  <c r="N2723" i="41" s="1"/>
  <c r="L2722" i="41"/>
  <c r="N2722" i="41" s="1"/>
  <c r="L2721" i="41"/>
  <c r="N2721" i="41" s="1"/>
  <c r="L2720" i="41"/>
  <c r="N2720" i="41" s="1"/>
  <c r="L2719" i="41"/>
  <c r="N2719" i="41" s="1"/>
  <c r="L2718" i="41"/>
  <c r="N2718" i="41" s="1"/>
  <c r="L2717" i="41"/>
  <c r="N2717" i="41" s="1"/>
  <c r="L2716" i="41"/>
  <c r="N2716" i="41" s="1"/>
  <c r="L2715" i="41"/>
  <c r="N2715" i="41" s="1"/>
  <c r="L2714" i="41"/>
  <c r="N2714" i="41" s="1"/>
  <c r="L2713" i="41"/>
  <c r="N2713" i="41" s="1"/>
  <c r="L2712" i="41"/>
  <c r="N2712" i="41" s="1"/>
  <c r="L2711" i="41"/>
  <c r="N2711" i="41" s="1"/>
  <c r="L2710" i="41"/>
  <c r="N2710" i="41" s="1"/>
  <c r="L2709" i="41"/>
  <c r="N2709" i="41" s="1"/>
  <c r="L2708" i="41"/>
  <c r="N2708" i="41" s="1"/>
  <c r="L2707" i="41"/>
  <c r="N2707" i="41" s="1"/>
  <c r="L2706" i="41"/>
  <c r="N2706" i="41" s="1"/>
  <c r="L2705" i="41"/>
  <c r="N2705" i="41" s="1"/>
  <c r="L2704" i="41"/>
  <c r="N2704" i="41" s="1"/>
  <c r="L2703" i="41"/>
  <c r="N2703" i="41" s="1"/>
  <c r="L2702" i="41"/>
  <c r="N2702" i="41" s="1"/>
  <c r="L2701" i="41"/>
  <c r="N2701" i="41" s="1"/>
  <c r="L2700" i="41"/>
  <c r="N2700" i="41" s="1"/>
  <c r="L2699" i="41"/>
  <c r="N2699" i="41" s="1"/>
  <c r="L2698" i="41"/>
  <c r="N2698" i="41" s="1"/>
  <c r="L2697" i="41"/>
  <c r="N2697" i="41" s="1"/>
  <c r="L2696" i="41"/>
  <c r="N2696" i="41" s="1"/>
  <c r="L2695" i="41"/>
  <c r="N2695" i="41" s="1"/>
  <c r="L2694" i="41"/>
  <c r="N2694" i="41" s="1"/>
  <c r="L2693" i="41"/>
  <c r="N2693" i="41" s="1"/>
  <c r="L2692" i="41"/>
  <c r="N2692" i="41" s="1"/>
  <c r="L2691" i="41"/>
  <c r="N2691" i="41" s="1"/>
  <c r="L2690" i="41"/>
  <c r="N2690" i="41" s="1"/>
  <c r="L2689" i="41"/>
  <c r="N2689" i="41" s="1"/>
  <c r="L2688" i="41"/>
  <c r="N2688" i="41" s="1"/>
  <c r="V2687" i="41"/>
  <c r="Y2687" i="41" s="1"/>
  <c r="L2687" i="41"/>
  <c r="G2687" i="41"/>
  <c r="L2686" i="41"/>
  <c r="N2686" i="41" s="1"/>
  <c r="L2685" i="41"/>
  <c r="N2685" i="41" s="1"/>
  <c r="L2684" i="41"/>
  <c r="N2684" i="41" s="1"/>
  <c r="L2683" i="41"/>
  <c r="N2683" i="41" s="1"/>
  <c r="L2682" i="41"/>
  <c r="N2682" i="41" s="1"/>
  <c r="L2681" i="41"/>
  <c r="N2681" i="41" s="1"/>
  <c r="L2680" i="41"/>
  <c r="N2680" i="41" s="1"/>
  <c r="L2679" i="41"/>
  <c r="N2679" i="41" s="1"/>
  <c r="L2678" i="41"/>
  <c r="N2678" i="41" s="1"/>
  <c r="L2677" i="41"/>
  <c r="N2677" i="41" s="1"/>
  <c r="L2676" i="41"/>
  <c r="N2676" i="41" s="1"/>
  <c r="Y2675" i="41"/>
  <c r="L2675" i="41"/>
  <c r="N2675" i="41" s="1"/>
  <c r="L2674" i="41"/>
  <c r="N2674" i="41" s="1"/>
  <c r="L2673" i="41"/>
  <c r="N2673" i="41" s="1"/>
  <c r="L2672" i="41"/>
  <c r="N2672" i="41" s="1"/>
  <c r="L2671" i="41"/>
  <c r="N2671" i="41" s="1"/>
  <c r="L2670" i="41"/>
  <c r="N2670" i="41" s="1"/>
  <c r="L2669" i="41"/>
  <c r="N2669" i="41" s="1"/>
  <c r="L2668" i="41"/>
  <c r="N2668" i="41" s="1"/>
  <c r="L2667" i="41"/>
  <c r="N2667" i="41" s="1"/>
  <c r="L2666" i="41"/>
  <c r="N2666" i="41" s="1"/>
  <c r="L2665" i="41"/>
  <c r="N2665" i="41" s="1"/>
  <c r="L2664" i="41"/>
  <c r="N2664" i="41" s="1"/>
  <c r="L2663" i="41"/>
  <c r="N2663" i="41" s="1"/>
  <c r="L2662" i="41"/>
  <c r="N2662" i="41" s="1"/>
  <c r="L2661" i="41"/>
  <c r="N2661" i="41" s="1"/>
  <c r="L2660" i="41"/>
  <c r="N2660" i="41" s="1"/>
  <c r="L2659" i="41"/>
  <c r="N2659" i="41" s="1"/>
  <c r="L2658" i="41"/>
  <c r="N2658" i="41" s="1"/>
  <c r="L2657" i="41"/>
  <c r="N2657" i="41" s="1"/>
  <c r="Y2656" i="41"/>
  <c r="L2656" i="41"/>
  <c r="N2656" i="41" s="1"/>
  <c r="L2655" i="41"/>
  <c r="N2655" i="41" s="1"/>
  <c r="L2654" i="41"/>
  <c r="N2654" i="41" s="1"/>
  <c r="V2653" i="41"/>
  <c r="Y2653" i="41" s="1"/>
  <c r="K2653" i="41"/>
  <c r="L2653" i="41" s="1"/>
  <c r="N2653" i="41" s="1"/>
  <c r="L2652" i="41"/>
  <c r="N2652" i="41" s="1"/>
  <c r="L2651" i="41"/>
  <c r="N2651" i="41" s="1"/>
  <c r="L2650" i="41"/>
  <c r="N2650" i="41" s="1"/>
  <c r="L2648" i="41"/>
  <c r="N2648" i="41" s="1"/>
  <c r="V2647" i="41"/>
  <c r="Y2647" i="41" s="1"/>
  <c r="I2647" i="41"/>
  <c r="L2646" i="41"/>
  <c r="N2646" i="41" s="1"/>
  <c r="L2645" i="41"/>
  <c r="N2645" i="41" s="1"/>
  <c r="L2644" i="41"/>
  <c r="N2644" i="41" s="1"/>
  <c r="L2643" i="41"/>
  <c r="N2643" i="41" s="1"/>
  <c r="L2642" i="41"/>
  <c r="N2642" i="41" s="1"/>
  <c r="Y2641" i="41"/>
  <c r="L2641" i="41"/>
  <c r="N2641" i="41" s="1"/>
  <c r="L2640" i="41"/>
  <c r="N2640" i="41" s="1"/>
  <c r="L2639" i="41"/>
  <c r="N2639" i="41" s="1"/>
  <c r="L2638" i="41"/>
  <c r="N2638" i="41" s="1"/>
  <c r="L2637" i="41"/>
  <c r="N2637" i="41" s="1"/>
  <c r="L2636" i="41"/>
  <c r="N2636" i="41" s="1"/>
  <c r="L2635" i="41"/>
  <c r="N2635" i="41" s="1"/>
  <c r="L2634" i="41"/>
  <c r="N2634" i="41" s="1"/>
  <c r="L2633" i="41"/>
  <c r="N2633" i="41" s="1"/>
  <c r="L2632" i="41"/>
  <c r="N2632" i="41" s="1"/>
  <c r="L2631" i="41"/>
  <c r="N2631" i="41" s="1"/>
  <c r="L2630" i="41"/>
  <c r="N2630" i="41" s="1"/>
  <c r="L2629" i="41"/>
  <c r="N2629" i="41" s="1"/>
  <c r="L2628" i="41"/>
  <c r="N2628" i="41" s="1"/>
  <c r="L2627" i="41"/>
  <c r="N2627" i="41" s="1"/>
  <c r="L2626" i="41"/>
  <c r="N2626" i="41" s="1"/>
  <c r="Y2625" i="41"/>
  <c r="L2625" i="41"/>
  <c r="N2625" i="41" s="1"/>
  <c r="L2624" i="41"/>
  <c r="N2624" i="41" s="1"/>
  <c r="L2623" i="41"/>
  <c r="N2623" i="41" s="1"/>
  <c r="L2622" i="41"/>
  <c r="N2622" i="41" s="1"/>
  <c r="L2621" i="41"/>
  <c r="N2621" i="41" s="1"/>
  <c r="L2620" i="41"/>
  <c r="N2620" i="41" s="1"/>
  <c r="L2619" i="41"/>
  <c r="N2619" i="41" s="1"/>
  <c r="L2618" i="41"/>
  <c r="N2618" i="41" s="1"/>
  <c r="L2617" i="41"/>
  <c r="N2617" i="41" s="1"/>
  <c r="L2616" i="41"/>
  <c r="N2616" i="41" s="1"/>
  <c r="L2615" i="41"/>
  <c r="N2615" i="41" s="1"/>
  <c r="V2614" i="41"/>
  <c r="Y2614" i="41" s="1"/>
  <c r="L2614" i="41"/>
  <c r="N2614" i="41" s="1"/>
  <c r="L2613" i="41"/>
  <c r="N2613" i="41" s="1"/>
  <c r="L2612" i="41"/>
  <c r="N2612" i="41" s="1"/>
  <c r="L2611" i="41"/>
  <c r="N2611" i="41" s="1"/>
  <c r="L2610" i="41"/>
  <c r="N2610" i="41" s="1"/>
  <c r="L2609" i="41"/>
  <c r="N2609" i="41" s="1"/>
  <c r="L2608" i="41"/>
  <c r="N2608" i="41" s="1"/>
  <c r="L2607" i="41"/>
  <c r="N2607" i="41" s="1"/>
  <c r="L2606" i="41"/>
  <c r="N2606" i="41" s="1"/>
  <c r="L2605" i="41"/>
  <c r="N2605" i="41" s="1"/>
  <c r="L2604" i="41"/>
  <c r="N2604" i="41" s="1"/>
  <c r="L2603" i="41"/>
  <c r="N2603" i="41" s="1"/>
  <c r="L2602" i="41"/>
  <c r="N2602" i="41" s="1"/>
  <c r="V2601" i="41"/>
  <c r="Y2601" i="41" s="1"/>
  <c r="H2601" i="41"/>
  <c r="L2600" i="41"/>
  <c r="N2600" i="41" s="1"/>
  <c r="L2599" i="41"/>
  <c r="N2599" i="41" s="1"/>
  <c r="L2598" i="41"/>
  <c r="N2598" i="41" s="1"/>
  <c r="L2597" i="41"/>
  <c r="N2597" i="41" s="1"/>
  <c r="L2596" i="41"/>
  <c r="N2596" i="41" s="1"/>
  <c r="L2595" i="41"/>
  <c r="N2595" i="41" s="1"/>
  <c r="L2594" i="41"/>
  <c r="N2594" i="41" s="1"/>
  <c r="L2593" i="41"/>
  <c r="N2593" i="41" s="1"/>
  <c r="L2592" i="41"/>
  <c r="N2592" i="41" s="1"/>
  <c r="L2591" i="41"/>
  <c r="N2591" i="41" s="1"/>
  <c r="L2590" i="41"/>
  <c r="N2590" i="41" s="1"/>
  <c r="L2589" i="41"/>
  <c r="N2589" i="41" s="1"/>
  <c r="V2588" i="41"/>
  <c r="Y2588" i="41" s="1"/>
  <c r="L2588" i="41"/>
  <c r="N2588" i="41" s="1"/>
  <c r="L2587" i="41"/>
  <c r="N2587" i="41" s="1"/>
  <c r="Y2586" i="41"/>
  <c r="L2586" i="41"/>
  <c r="N2586" i="41" s="1"/>
  <c r="L2585" i="41"/>
  <c r="N2585" i="41" s="1"/>
  <c r="L2584" i="41"/>
  <c r="N2584" i="41" s="1"/>
  <c r="L2583" i="41"/>
  <c r="N2583" i="41" s="1"/>
  <c r="L2582" i="41"/>
  <c r="N2582" i="41" s="1"/>
  <c r="L2581" i="41"/>
  <c r="N2581" i="41" s="1"/>
  <c r="L2580" i="41"/>
  <c r="N2580" i="41" s="1"/>
  <c r="L2579" i="41"/>
  <c r="N2579" i="41" s="1"/>
  <c r="L2578" i="41"/>
  <c r="N2578" i="41" s="1"/>
  <c r="L2577" i="41"/>
  <c r="N2577" i="41" s="1"/>
  <c r="L2576" i="41"/>
  <c r="N2576" i="41" s="1"/>
  <c r="L2575" i="41"/>
  <c r="N2575" i="41" s="1"/>
  <c r="L2574" i="41"/>
  <c r="N2574" i="41" s="1"/>
  <c r="L2573" i="41"/>
  <c r="N2573" i="41" s="1"/>
  <c r="L2572" i="41"/>
  <c r="N2572" i="41" s="1"/>
  <c r="L2571" i="41"/>
  <c r="N2571" i="41" s="1"/>
  <c r="L2570" i="41"/>
  <c r="N2570" i="41" s="1"/>
  <c r="L2569" i="41"/>
  <c r="N2569" i="41" s="1"/>
  <c r="L2568" i="41"/>
  <c r="N2568" i="41" s="1"/>
  <c r="L2567" i="41"/>
  <c r="N2567" i="41" s="1"/>
  <c r="L2566" i="41"/>
  <c r="N2566" i="41" s="1"/>
  <c r="L2565" i="41"/>
  <c r="N2565" i="41" s="1"/>
  <c r="L2564" i="41"/>
  <c r="N2564" i="41" s="1"/>
  <c r="L2563" i="41"/>
  <c r="N2563" i="41" s="1"/>
  <c r="L2562" i="41"/>
  <c r="N2562" i="41" s="1"/>
  <c r="L2561" i="41"/>
  <c r="N2561" i="41" s="1"/>
  <c r="L2560" i="41"/>
  <c r="N2560" i="41" s="1"/>
  <c r="L2559" i="41"/>
  <c r="N2559" i="41" s="1"/>
  <c r="L2558" i="41"/>
  <c r="N2558" i="41" s="1"/>
  <c r="L2557" i="41"/>
  <c r="N2557" i="41" s="1"/>
  <c r="L2556" i="41"/>
  <c r="N2556" i="41" s="1"/>
  <c r="L2555" i="41"/>
  <c r="N2555" i="41" s="1"/>
  <c r="L2554" i="41"/>
  <c r="N2554" i="41" s="1"/>
  <c r="L2553" i="41"/>
  <c r="N2553" i="41" s="1"/>
  <c r="L2552" i="41"/>
  <c r="N2552" i="41" s="1"/>
  <c r="L2551" i="41"/>
  <c r="N2551" i="41" s="1"/>
  <c r="L2550" i="41"/>
  <c r="N2550" i="41" s="1"/>
  <c r="V2549" i="41"/>
  <c r="Y2549" i="41" s="1"/>
  <c r="L2549" i="41"/>
  <c r="N2549" i="41" s="1"/>
  <c r="L2548" i="41"/>
  <c r="N2548" i="41" s="1"/>
  <c r="L2547" i="41"/>
  <c r="N2547" i="41" s="1"/>
  <c r="L2546" i="41"/>
  <c r="N2546" i="41" s="1"/>
  <c r="L2545" i="41"/>
  <c r="N2545" i="41" s="1"/>
  <c r="L2544" i="41"/>
  <c r="N2544" i="41" s="1"/>
  <c r="L2543" i="41"/>
  <c r="N2543" i="41" s="1"/>
  <c r="L2542" i="41"/>
  <c r="N2542" i="41" s="1"/>
  <c r="L2541" i="41"/>
  <c r="N2541" i="41" s="1"/>
  <c r="L2540" i="41"/>
  <c r="N2540" i="41" s="1"/>
  <c r="Y2539" i="41"/>
  <c r="H2539" i="41"/>
  <c r="L2538" i="41"/>
  <c r="N2538" i="41" s="1"/>
  <c r="Y2537" i="41"/>
  <c r="L2537" i="41"/>
  <c r="N2537" i="41" s="1"/>
  <c r="L2536" i="41"/>
  <c r="N2536" i="41" s="1"/>
  <c r="L2535" i="41"/>
  <c r="N2535" i="41" s="1"/>
  <c r="L2534" i="41"/>
  <c r="N2534" i="41" s="1"/>
  <c r="L2533" i="41"/>
  <c r="N2533" i="41" s="1"/>
  <c r="L2532" i="41"/>
  <c r="N2532" i="41" s="1"/>
  <c r="L2531" i="41"/>
  <c r="N2531" i="41" s="1"/>
  <c r="L2530" i="41"/>
  <c r="N2530" i="41" s="1"/>
  <c r="L2529" i="41"/>
  <c r="N2529" i="41" s="1"/>
  <c r="Y2528" i="41"/>
  <c r="L2528" i="41"/>
  <c r="N2528" i="41" s="1"/>
  <c r="L2527" i="41"/>
  <c r="N2527" i="41" s="1"/>
  <c r="L2526" i="41"/>
  <c r="N2526" i="41" s="1"/>
  <c r="L2525" i="41"/>
  <c r="N2525" i="41" s="1"/>
  <c r="L2524" i="41"/>
  <c r="N2524" i="41" s="1"/>
  <c r="L2523" i="41"/>
  <c r="N2523" i="41" s="1"/>
  <c r="L2522" i="41"/>
  <c r="N2522" i="41" s="1"/>
  <c r="L2521" i="41"/>
  <c r="N2521" i="41" s="1"/>
  <c r="L2520" i="41"/>
  <c r="N2520" i="41" s="1"/>
  <c r="L2519" i="41"/>
  <c r="N2519" i="41" s="1"/>
  <c r="L2518" i="41"/>
  <c r="N2518" i="41" s="1"/>
  <c r="L2517" i="41"/>
  <c r="N2517" i="41" s="1"/>
  <c r="L2516" i="41"/>
  <c r="N2516" i="41" s="1"/>
  <c r="L2515" i="41"/>
  <c r="N2515" i="41" s="1"/>
  <c r="L2514" i="41"/>
  <c r="N2514" i="41" s="1"/>
  <c r="L2513" i="41"/>
  <c r="N2513" i="41" s="1"/>
  <c r="L2512" i="41"/>
  <c r="N2512" i="41" s="1"/>
  <c r="L2511" i="41"/>
  <c r="N2511" i="41" s="1"/>
  <c r="L2510" i="41"/>
  <c r="N2510" i="41" s="1"/>
  <c r="L2509" i="41"/>
  <c r="N2509" i="41" s="1"/>
  <c r="L2508" i="41"/>
  <c r="N2508" i="41" s="1"/>
  <c r="L2507" i="41"/>
  <c r="N2507" i="41" s="1"/>
  <c r="L2506" i="41"/>
  <c r="N2506" i="41" s="1"/>
  <c r="L2505" i="41"/>
  <c r="N2505" i="41" s="1"/>
  <c r="L2504" i="41"/>
  <c r="N2504" i="41" s="1"/>
  <c r="L2503" i="41"/>
  <c r="N2503" i="41" s="1"/>
  <c r="L2502" i="41"/>
  <c r="N2502" i="41" s="1"/>
  <c r="L2501" i="41"/>
  <c r="N2501" i="41" s="1"/>
  <c r="Y2500" i="41"/>
  <c r="L2500" i="41"/>
  <c r="N2500" i="41" s="1"/>
  <c r="L2499" i="41"/>
  <c r="N2499" i="41" s="1"/>
  <c r="L2498" i="41"/>
  <c r="N2498" i="41" s="1"/>
  <c r="L2497" i="41"/>
  <c r="N2497" i="41" s="1"/>
  <c r="L2496" i="41"/>
  <c r="N2496" i="41" s="1"/>
  <c r="L2495" i="41"/>
  <c r="N2495" i="41" s="1"/>
  <c r="L2494" i="41"/>
  <c r="N2494" i="41" s="1"/>
  <c r="L2493" i="41"/>
  <c r="N2493" i="41" s="1"/>
  <c r="L2492" i="41"/>
  <c r="N2492" i="41" s="1"/>
  <c r="L2491" i="41"/>
  <c r="N2491" i="41" s="1"/>
  <c r="L2490" i="41"/>
  <c r="N2490" i="41" s="1"/>
  <c r="L2489" i="41"/>
  <c r="N2489" i="41" s="1"/>
  <c r="L2488" i="41"/>
  <c r="N2488" i="41" s="1"/>
  <c r="L2487" i="41"/>
  <c r="N2487" i="41" s="1"/>
  <c r="L2486" i="41"/>
  <c r="N2486" i="41" s="1"/>
  <c r="L2485" i="41"/>
  <c r="N2485" i="41" s="1"/>
  <c r="L2484" i="41"/>
  <c r="N2484" i="41" s="1"/>
  <c r="L2483" i="41"/>
  <c r="N2483" i="41" s="1"/>
  <c r="L2482" i="41"/>
  <c r="N2482" i="41" s="1"/>
  <c r="L2481" i="41"/>
  <c r="N2481" i="41" s="1"/>
  <c r="L2480" i="41"/>
  <c r="N2480" i="41" s="1"/>
  <c r="L2479" i="41"/>
  <c r="N2479" i="41" s="1"/>
  <c r="L2478" i="41"/>
  <c r="N2478" i="41" s="1"/>
  <c r="L2477" i="41"/>
  <c r="N2477" i="41" s="1"/>
  <c r="L2476" i="41"/>
  <c r="N2476" i="41" s="1"/>
  <c r="Y2475" i="41"/>
  <c r="L2475" i="41"/>
  <c r="N2475" i="41" s="1"/>
  <c r="Y2474" i="41"/>
  <c r="L2474" i="41"/>
  <c r="N2474" i="41" s="1"/>
  <c r="L2473" i="41"/>
  <c r="N2473" i="41" s="1"/>
  <c r="L2472" i="41"/>
  <c r="N2472" i="41" s="1"/>
  <c r="L2471" i="41"/>
  <c r="N2471" i="41" s="1"/>
  <c r="L2470" i="41"/>
  <c r="N2470" i="41" s="1"/>
  <c r="L2469" i="41"/>
  <c r="N2469" i="41" s="1"/>
  <c r="L2468" i="41"/>
  <c r="N2468" i="41" s="1"/>
  <c r="L2467" i="41"/>
  <c r="N2467" i="41" s="1"/>
  <c r="L2466" i="41"/>
  <c r="N2466" i="41" s="1"/>
  <c r="L2465" i="41"/>
  <c r="N2465" i="41" s="1"/>
  <c r="L2464" i="41"/>
  <c r="N2464" i="41" s="1"/>
  <c r="L2463" i="41"/>
  <c r="N2463" i="41" s="1"/>
  <c r="L2462" i="41"/>
  <c r="N2462" i="41" s="1"/>
  <c r="L2461" i="41"/>
  <c r="N2461" i="41" s="1"/>
  <c r="L2460" i="41"/>
  <c r="N2460" i="41" s="1"/>
  <c r="L2459" i="41"/>
  <c r="N2459" i="41" s="1"/>
  <c r="L2458" i="41"/>
  <c r="N2458" i="41" s="1"/>
  <c r="L2457" i="41"/>
  <c r="N2457" i="41" s="1"/>
  <c r="L2456" i="41"/>
  <c r="N2456" i="41" s="1"/>
  <c r="L2455" i="41"/>
  <c r="N2455" i="41" s="1"/>
  <c r="L2454" i="41"/>
  <c r="N2454" i="41" s="1"/>
  <c r="L2453" i="41"/>
  <c r="N2453" i="41" s="1"/>
  <c r="L2452" i="41"/>
  <c r="N2452" i="41" s="1"/>
  <c r="Y2451" i="41"/>
  <c r="L2451" i="41"/>
  <c r="N2451" i="41" s="1"/>
  <c r="L2450" i="41"/>
  <c r="N2450" i="41" s="1"/>
  <c r="L2449" i="41"/>
  <c r="N2449" i="41" s="1"/>
  <c r="L2448" i="41"/>
  <c r="N2448" i="41" s="1"/>
  <c r="L2447" i="41"/>
  <c r="N2447" i="41" s="1"/>
  <c r="L2446" i="41"/>
  <c r="N2446" i="41" s="1"/>
  <c r="L2445" i="41"/>
  <c r="N2445" i="41" s="1"/>
  <c r="L2444" i="41"/>
  <c r="N2444" i="41" s="1"/>
  <c r="L2443" i="41"/>
  <c r="N2443" i="41" s="1"/>
  <c r="L2442" i="41"/>
  <c r="N2442" i="41" s="1"/>
  <c r="L2441" i="41"/>
  <c r="N2441" i="41" s="1"/>
  <c r="L2440" i="41"/>
  <c r="N2440" i="41" s="1"/>
  <c r="L2439" i="41"/>
  <c r="N2439" i="41" s="1"/>
  <c r="L2438" i="41"/>
  <c r="N2438" i="41" s="1"/>
  <c r="L2437" i="41"/>
  <c r="N2437" i="41" s="1"/>
  <c r="L2436" i="41"/>
  <c r="N2436" i="41" s="1"/>
  <c r="L2435" i="41"/>
  <c r="N2435" i="41" s="1"/>
  <c r="L2434" i="41"/>
  <c r="N2434" i="41" s="1"/>
  <c r="L2433" i="41"/>
  <c r="N2433" i="41" s="1"/>
  <c r="L2432" i="41"/>
  <c r="N2432" i="41" s="1"/>
  <c r="L2431" i="41"/>
  <c r="N2431" i="41" s="1"/>
  <c r="L2430" i="41"/>
  <c r="N2430" i="41" s="1"/>
  <c r="L2429" i="41"/>
  <c r="N2429" i="41" s="1"/>
  <c r="L2428" i="41"/>
  <c r="N2428" i="41" s="1"/>
  <c r="L2427" i="41"/>
  <c r="N2427" i="41" s="1"/>
  <c r="L2426" i="41"/>
  <c r="N2426" i="41" s="1"/>
  <c r="L2425" i="41"/>
  <c r="N2425" i="41" s="1"/>
  <c r="L2424" i="41"/>
  <c r="N2424" i="41" s="1"/>
  <c r="Y2423" i="41"/>
  <c r="L2423" i="41"/>
  <c r="N2423" i="41" s="1"/>
  <c r="L2422" i="41"/>
  <c r="N2422" i="41" s="1"/>
  <c r="Y2421" i="41"/>
  <c r="L2421" i="41"/>
  <c r="N2421" i="41" s="1"/>
  <c r="L2420" i="41"/>
  <c r="N2420" i="41" s="1"/>
  <c r="L2419" i="41"/>
  <c r="N2419" i="41" s="1"/>
  <c r="L2418" i="41"/>
  <c r="N2418" i="41" s="1"/>
  <c r="L2417" i="41"/>
  <c r="N2417" i="41" s="1"/>
  <c r="L2416" i="41"/>
  <c r="N2416" i="41" s="1"/>
  <c r="L2415" i="41"/>
  <c r="N2415" i="41" s="1"/>
  <c r="L2414" i="41"/>
  <c r="N2414" i="41" s="1"/>
  <c r="V2413" i="41"/>
  <c r="Y2413" i="41" s="1"/>
  <c r="L2413" i="41"/>
  <c r="N2413" i="41" s="1"/>
  <c r="L2412" i="41"/>
  <c r="N2412" i="41" s="1"/>
  <c r="L2411" i="41"/>
  <c r="N2411" i="41" s="1"/>
  <c r="L2410" i="41"/>
  <c r="N2410" i="41" s="1"/>
  <c r="L2409" i="41"/>
  <c r="N2409" i="41" s="1"/>
  <c r="L2408" i="41"/>
  <c r="N2408" i="41" s="1"/>
  <c r="L2407" i="41"/>
  <c r="N2407" i="41" s="1"/>
  <c r="L2406" i="41"/>
  <c r="N2406" i="41" s="1"/>
  <c r="L2405" i="41"/>
  <c r="N2405" i="41" s="1"/>
  <c r="L2404" i="41"/>
  <c r="N2404" i="41" s="1"/>
  <c r="L2403" i="41"/>
  <c r="N2403" i="41" s="1"/>
  <c r="L2402" i="41"/>
  <c r="N2402" i="41" s="1"/>
  <c r="L2401" i="41"/>
  <c r="N2401" i="41" s="1"/>
  <c r="L2400" i="41"/>
  <c r="N2400" i="41" s="1"/>
  <c r="L2399" i="41"/>
  <c r="N2399" i="41" s="1"/>
  <c r="L2398" i="41"/>
  <c r="N2398" i="41" s="1"/>
  <c r="L2397" i="41"/>
  <c r="N2397" i="41" s="1"/>
  <c r="L2396" i="41"/>
  <c r="N2396" i="41" s="1"/>
  <c r="L2395" i="41"/>
  <c r="N2395" i="41" s="1"/>
  <c r="L2394" i="41"/>
  <c r="N2394" i="41" s="1"/>
  <c r="L2393" i="41"/>
  <c r="N2393" i="41" s="1"/>
  <c r="L2392" i="41"/>
  <c r="N2392" i="41" s="1"/>
  <c r="L2391" i="41"/>
  <c r="N2391" i="41" s="1"/>
  <c r="L2390" i="41"/>
  <c r="N2390" i="41" s="1"/>
  <c r="L2389" i="41"/>
  <c r="N2389" i="41" s="1"/>
  <c r="L2388" i="41"/>
  <c r="N2388" i="41" s="1"/>
  <c r="L2387" i="41"/>
  <c r="N2387" i="41" s="1"/>
  <c r="L2386" i="41"/>
  <c r="N2386" i="41" s="1"/>
  <c r="L2385" i="41"/>
  <c r="N2385" i="41" s="1"/>
  <c r="L2384" i="41"/>
  <c r="N2384" i="41" s="1"/>
  <c r="L2383" i="41"/>
  <c r="N2383" i="41" s="1"/>
  <c r="L2382" i="41"/>
  <c r="N2382" i="41" s="1"/>
  <c r="L2381" i="41"/>
  <c r="N2381" i="41" s="1"/>
  <c r="L2380" i="41"/>
  <c r="N2380" i="41" s="1"/>
  <c r="L2379" i="41"/>
  <c r="N2379" i="41" s="1"/>
  <c r="L2378" i="41"/>
  <c r="N2378" i="41" s="1"/>
  <c r="L2377" i="41"/>
  <c r="N2377" i="41" s="1"/>
  <c r="L2376" i="41"/>
  <c r="N2376" i="41" s="1"/>
  <c r="L2375" i="41"/>
  <c r="N2375" i="41" s="1"/>
  <c r="L2374" i="41"/>
  <c r="N2374" i="41" s="1"/>
  <c r="L2373" i="41"/>
  <c r="N2373" i="41" s="1"/>
  <c r="L2372" i="41"/>
  <c r="N2372" i="41" s="1"/>
  <c r="L2371" i="41"/>
  <c r="N2371" i="41" s="1"/>
  <c r="L2370" i="41"/>
  <c r="N2370" i="41" s="1"/>
  <c r="L2369" i="41"/>
  <c r="N2369" i="41" s="1"/>
  <c r="L2368" i="41"/>
  <c r="N2368" i="41" s="1"/>
  <c r="L2367" i="41"/>
  <c r="N2367" i="41" s="1"/>
  <c r="L2366" i="41"/>
  <c r="N2366" i="41" s="1"/>
  <c r="L2365" i="41"/>
  <c r="N2365" i="41" s="1"/>
  <c r="L2364" i="41"/>
  <c r="N2364" i="41" s="1"/>
  <c r="L2363" i="41"/>
  <c r="N2363" i="41" s="1"/>
  <c r="L2362" i="41"/>
  <c r="N2362" i="41" s="1"/>
  <c r="L2361" i="41"/>
  <c r="N2361" i="41" s="1"/>
  <c r="L2360" i="41"/>
  <c r="N2360" i="41" s="1"/>
  <c r="L2359" i="41"/>
  <c r="N2359" i="41" s="1"/>
  <c r="L2358" i="41"/>
  <c r="N2358" i="41" s="1"/>
  <c r="L2357" i="41"/>
  <c r="N2357" i="41" s="1"/>
  <c r="L2356" i="41"/>
  <c r="N2356" i="41" s="1"/>
  <c r="L2355" i="41"/>
  <c r="N2355" i="41" s="1"/>
  <c r="L2354" i="41"/>
  <c r="N2354" i="41" s="1"/>
  <c r="L2353" i="41"/>
  <c r="N2353" i="41" s="1"/>
  <c r="L2352" i="41"/>
  <c r="N2352" i="41" s="1"/>
  <c r="L2351" i="41"/>
  <c r="N2351" i="41" s="1"/>
  <c r="L2350" i="41"/>
  <c r="N2350" i="41" s="1"/>
  <c r="L2349" i="41"/>
  <c r="N2349" i="41" s="1"/>
  <c r="L2348" i="41"/>
  <c r="N2348" i="41" s="1"/>
  <c r="L2347" i="41"/>
  <c r="N2347" i="41" s="1"/>
  <c r="L2346" i="41"/>
  <c r="N2346" i="41" s="1"/>
  <c r="L2345" i="41"/>
  <c r="N2345" i="41" s="1"/>
  <c r="L2344" i="41"/>
  <c r="N2344" i="41" s="1"/>
  <c r="L2343" i="41"/>
  <c r="N2343" i="41" s="1"/>
  <c r="L2342" i="41"/>
  <c r="N2342" i="41" s="1"/>
  <c r="L2341" i="41"/>
  <c r="N2341" i="41" s="1"/>
  <c r="L2340" i="41"/>
  <c r="N2340" i="41" s="1"/>
  <c r="L2339" i="41"/>
  <c r="N2339" i="41" s="1"/>
  <c r="L2338" i="41"/>
  <c r="N2338" i="41" s="1"/>
  <c r="L2337" i="41"/>
  <c r="N2337" i="41" s="1"/>
  <c r="L2336" i="41"/>
  <c r="N2336" i="41" s="1"/>
  <c r="L2335" i="41"/>
  <c r="N2335" i="41" s="1"/>
  <c r="L2334" i="41"/>
  <c r="N2334" i="41" s="1"/>
  <c r="L2333" i="41"/>
  <c r="N2333" i="41" s="1"/>
  <c r="Y2332" i="41"/>
  <c r="L2332" i="41"/>
  <c r="N2332" i="41" s="1"/>
  <c r="L2331" i="41"/>
  <c r="N2331" i="41" s="1"/>
  <c r="L2330" i="41"/>
  <c r="N2330" i="41" s="1"/>
  <c r="L2329" i="41"/>
  <c r="N2329" i="41" s="1"/>
  <c r="L2328" i="41"/>
  <c r="N2328" i="41" s="1"/>
  <c r="L2327" i="41"/>
  <c r="N2327" i="41" s="1"/>
  <c r="L2326" i="41"/>
  <c r="N2326" i="41" s="1"/>
  <c r="L2325" i="41"/>
  <c r="N2325" i="41" s="1"/>
  <c r="L2324" i="41"/>
  <c r="N2324" i="41" s="1"/>
  <c r="L2323" i="41"/>
  <c r="N2323" i="41" s="1"/>
  <c r="L2322" i="41"/>
  <c r="N2322" i="41" s="1"/>
  <c r="Y2321" i="41"/>
  <c r="L2321" i="41"/>
  <c r="N2321" i="41" s="1"/>
  <c r="L2320" i="41"/>
  <c r="N2320" i="41" s="1"/>
  <c r="L2319" i="41"/>
  <c r="N2319" i="41" s="1"/>
  <c r="L2318" i="41"/>
  <c r="N2318" i="41" s="1"/>
  <c r="L2317" i="41"/>
  <c r="N2317" i="41" s="1"/>
  <c r="L2316" i="41"/>
  <c r="N2316" i="41" s="1"/>
  <c r="L2315" i="41"/>
  <c r="N2315" i="41" s="1"/>
  <c r="L2314" i="41"/>
  <c r="N2314" i="41" s="1"/>
  <c r="L2313" i="41"/>
  <c r="N2313" i="41" s="1"/>
  <c r="L2312" i="41"/>
  <c r="N2312" i="41" s="1"/>
  <c r="L2311" i="41"/>
  <c r="N2311" i="41" s="1"/>
  <c r="L2310" i="41"/>
  <c r="N2310" i="41" s="1"/>
  <c r="L2309" i="41"/>
  <c r="N2309" i="41" s="1"/>
  <c r="L2308" i="41"/>
  <c r="N2308" i="41" s="1"/>
  <c r="L2307" i="41"/>
  <c r="N2307" i="41" s="1"/>
  <c r="L2306" i="41"/>
  <c r="N2306" i="41" s="1"/>
  <c r="L2305" i="41"/>
  <c r="N2305" i="41" s="1"/>
  <c r="L2304" i="41"/>
  <c r="N2304" i="41" s="1"/>
  <c r="L2303" i="41"/>
  <c r="N2303" i="41" s="1"/>
  <c r="L2302" i="41"/>
  <c r="N2302" i="41" s="1"/>
  <c r="L2301" i="41"/>
  <c r="N2301" i="41" s="1"/>
  <c r="L2300" i="41"/>
  <c r="N2300" i="41" s="1"/>
  <c r="L2299" i="41"/>
  <c r="N2299" i="41" s="1"/>
  <c r="L2298" i="41"/>
  <c r="N2298" i="41" s="1"/>
  <c r="L2297" i="41"/>
  <c r="N2297" i="41" s="1"/>
  <c r="L2296" i="41"/>
  <c r="N2296" i="41" s="1"/>
  <c r="L2295" i="41"/>
  <c r="N2295" i="41" s="1"/>
  <c r="L2294" i="41"/>
  <c r="N2294" i="41" s="1"/>
  <c r="L2293" i="41"/>
  <c r="N2293" i="41" s="1"/>
  <c r="L2292" i="41"/>
  <c r="N2292" i="41" s="1"/>
  <c r="L2291" i="41"/>
  <c r="N2291" i="41" s="1"/>
  <c r="L2290" i="41"/>
  <c r="N2290" i="41" s="1"/>
  <c r="L2289" i="41"/>
  <c r="N2289" i="41" s="1"/>
  <c r="L2288" i="41"/>
  <c r="N2288" i="41" s="1"/>
  <c r="L2287" i="41"/>
  <c r="N2287" i="41" s="1"/>
  <c r="L2286" i="41"/>
  <c r="N2286" i="41" s="1"/>
  <c r="L2285" i="41"/>
  <c r="N2285" i="41" s="1"/>
  <c r="L2284" i="41"/>
  <c r="N2284" i="41" s="1"/>
  <c r="L2283" i="41"/>
  <c r="N2283" i="41" s="1"/>
  <c r="L2282" i="41"/>
  <c r="N2282" i="41" s="1"/>
  <c r="L2281" i="41"/>
  <c r="N2281" i="41" s="1"/>
  <c r="L2280" i="41"/>
  <c r="N2280" i="41" s="1"/>
  <c r="L2279" i="41"/>
  <c r="N2279" i="41" s="1"/>
  <c r="L2278" i="41"/>
  <c r="N2278" i="41" s="1"/>
  <c r="L2277" i="41"/>
  <c r="N2277" i="41" s="1"/>
  <c r="L2276" i="41"/>
  <c r="N2276" i="41" s="1"/>
  <c r="L2275" i="41"/>
  <c r="N2275" i="41" s="1"/>
  <c r="L2274" i="41"/>
  <c r="N2274" i="41" s="1"/>
  <c r="L2273" i="41"/>
  <c r="N2273" i="41" s="1"/>
  <c r="L2272" i="41"/>
  <c r="N2272" i="41" s="1"/>
  <c r="Y2271" i="41"/>
  <c r="H2271" i="41"/>
  <c r="L2270" i="41"/>
  <c r="N2270" i="41" s="1"/>
  <c r="L2269" i="41"/>
  <c r="N2269" i="41" s="1"/>
  <c r="L2268" i="41"/>
  <c r="N2268" i="41" s="1"/>
  <c r="L2267" i="41"/>
  <c r="N2267" i="41" s="1"/>
  <c r="L2266" i="41"/>
  <c r="N2266" i="41" s="1"/>
  <c r="L2265" i="41"/>
  <c r="N2265" i="41" s="1"/>
  <c r="L2264" i="41"/>
  <c r="N2264" i="41" s="1"/>
  <c r="L2263" i="41"/>
  <c r="N2263" i="41" s="1"/>
  <c r="L2262" i="41"/>
  <c r="N2262" i="41" s="1"/>
  <c r="L2261" i="41"/>
  <c r="N2261" i="41" s="1"/>
  <c r="L2260" i="41"/>
  <c r="N2260" i="41" s="1"/>
  <c r="L2259" i="41"/>
  <c r="N2259" i="41" s="1"/>
  <c r="L2258" i="41"/>
  <c r="N2258" i="41" s="1"/>
  <c r="L2257" i="41"/>
  <c r="N2257" i="41" s="1"/>
  <c r="L2256" i="41"/>
  <c r="N2256" i="41" s="1"/>
  <c r="L2255" i="41"/>
  <c r="N2255" i="41" s="1"/>
  <c r="L2254" i="41"/>
  <c r="N2254" i="41" s="1"/>
  <c r="L2253" i="41"/>
  <c r="N2253" i="41" s="1"/>
  <c r="L2252" i="41"/>
  <c r="N2252" i="41" s="1"/>
  <c r="L2251" i="41"/>
  <c r="N2251" i="41" s="1"/>
  <c r="L2250" i="41"/>
  <c r="N2250" i="41" s="1"/>
  <c r="L2249" i="41"/>
  <c r="N2249" i="41" s="1"/>
  <c r="L2248" i="41"/>
  <c r="N2248" i="41" s="1"/>
  <c r="L2247" i="41"/>
  <c r="N2247" i="41" s="1"/>
  <c r="L2246" i="41"/>
  <c r="N2246" i="41" s="1"/>
  <c r="L2245" i="41"/>
  <c r="N2245" i="41" s="1"/>
  <c r="L2244" i="41"/>
  <c r="N2244" i="41" s="1"/>
  <c r="L2243" i="41"/>
  <c r="N2243" i="41" s="1"/>
  <c r="L2242" i="41"/>
  <c r="N2242" i="41" s="1"/>
  <c r="L2241" i="41"/>
  <c r="N2241" i="41" s="1"/>
  <c r="L2240" i="41"/>
  <c r="N2240" i="41" s="1"/>
  <c r="L2239" i="41"/>
  <c r="N2239" i="41" s="1"/>
  <c r="L2238" i="41"/>
  <c r="N2238" i="41" s="1"/>
  <c r="L2237" i="41"/>
  <c r="N2237" i="41" s="1"/>
  <c r="L2236" i="41"/>
  <c r="N2236" i="41" s="1"/>
  <c r="L2235" i="41"/>
  <c r="N2235" i="41" s="1"/>
  <c r="L2234" i="41"/>
  <c r="N2234" i="41" s="1"/>
  <c r="V2233" i="41"/>
  <c r="Y2233" i="41" s="1"/>
  <c r="H2233" i="41"/>
  <c r="L2232" i="41"/>
  <c r="N2232" i="41" s="1"/>
  <c r="V2231" i="41"/>
  <c r="Y2231" i="41" s="1"/>
  <c r="L2231" i="41"/>
  <c r="N2231" i="41" s="1"/>
  <c r="L2230" i="41"/>
  <c r="N2230" i="41" s="1"/>
  <c r="L2229" i="41"/>
  <c r="N2229" i="41" s="1"/>
  <c r="L2228" i="41"/>
  <c r="N2228" i="41" s="1"/>
  <c r="L2227" i="41"/>
  <c r="N2227" i="41" s="1"/>
  <c r="L2226" i="41"/>
  <c r="N2226" i="41" s="1"/>
  <c r="L2225" i="41"/>
  <c r="N2225" i="41" s="1"/>
  <c r="L2224" i="41"/>
  <c r="N2224" i="41" s="1"/>
  <c r="L2223" i="41"/>
  <c r="N2223" i="41" s="1"/>
  <c r="L2222" i="41"/>
  <c r="N2222" i="41" s="1"/>
  <c r="L2221" i="41"/>
  <c r="N2221" i="41" s="1"/>
  <c r="L2220" i="41"/>
  <c r="N2220" i="41" s="1"/>
  <c r="L2219" i="41"/>
  <c r="N2219" i="41" s="1"/>
  <c r="L2218" i="41"/>
  <c r="N2218" i="41" s="1"/>
  <c r="L2217" i="41"/>
  <c r="N2217" i="41" s="1"/>
  <c r="L2216" i="41"/>
  <c r="N2216" i="41" s="1"/>
  <c r="L2215" i="41"/>
  <c r="N2215" i="41" s="1"/>
  <c r="L2214" i="41"/>
  <c r="N2214" i="41" s="1"/>
  <c r="L2213" i="41"/>
  <c r="N2213" i="41" s="1"/>
  <c r="L2212" i="41"/>
  <c r="N2212" i="41" s="1"/>
  <c r="L2211" i="41"/>
  <c r="N2211" i="41" s="1"/>
  <c r="V2210" i="41"/>
  <c r="Y2210" i="41" s="1"/>
  <c r="L2210" i="41"/>
  <c r="N2210" i="41" s="1"/>
  <c r="L2209" i="41"/>
  <c r="N2209" i="41" s="1"/>
  <c r="L2208" i="41"/>
  <c r="N2208" i="41" s="1"/>
  <c r="L2207" i="41"/>
  <c r="N2207" i="41" s="1"/>
  <c r="L2206" i="41"/>
  <c r="N2206" i="41" s="1"/>
  <c r="L2205" i="41"/>
  <c r="N2205" i="41" s="1"/>
  <c r="L2204" i="41"/>
  <c r="N2204" i="41" s="1"/>
  <c r="L2203" i="41"/>
  <c r="N2203" i="41" s="1"/>
  <c r="L2202" i="41"/>
  <c r="N2202" i="41" s="1"/>
  <c r="L2201" i="41"/>
  <c r="N2201" i="41" s="1"/>
  <c r="L2200" i="41"/>
  <c r="N2200" i="41" s="1"/>
  <c r="L2199" i="41"/>
  <c r="N2199" i="41" s="1"/>
  <c r="L2198" i="41"/>
  <c r="N2198" i="41" s="1"/>
  <c r="L2197" i="41"/>
  <c r="N2197" i="41" s="1"/>
  <c r="L2196" i="41"/>
  <c r="N2196" i="41" s="1"/>
  <c r="L2195" i="41"/>
  <c r="N2195" i="41" s="1"/>
  <c r="L2194" i="41"/>
  <c r="N2194" i="41" s="1"/>
  <c r="L2193" i="41"/>
  <c r="N2193" i="41" s="1"/>
  <c r="L2192" i="41"/>
  <c r="N2192" i="41" s="1"/>
  <c r="L2191" i="41"/>
  <c r="N2191" i="41" s="1"/>
  <c r="L2190" i="41"/>
  <c r="N2190" i="41" s="1"/>
  <c r="L2189" i="41"/>
  <c r="N2189" i="41" s="1"/>
  <c r="L2188" i="41"/>
  <c r="N2188" i="41" s="1"/>
  <c r="L2187" i="41"/>
  <c r="N2187" i="41" s="1"/>
  <c r="L2186" i="41"/>
  <c r="N2186" i="41" s="1"/>
  <c r="L2185" i="41"/>
  <c r="N2185" i="41" s="1"/>
  <c r="L2184" i="41"/>
  <c r="N2184" i="41" s="1"/>
  <c r="L2183" i="41"/>
  <c r="N2183" i="41" s="1"/>
  <c r="L2182" i="41"/>
  <c r="N2182" i="41" s="1"/>
  <c r="Y2181" i="41"/>
  <c r="L2181" i="41"/>
  <c r="N2181" i="41" s="1"/>
  <c r="L2180" i="41"/>
  <c r="N2180" i="41" s="1"/>
  <c r="L2179" i="41"/>
  <c r="N2179" i="41" s="1"/>
  <c r="L2178" i="41"/>
  <c r="N2178" i="41" s="1"/>
  <c r="L2177" i="41"/>
  <c r="N2177" i="41" s="1"/>
  <c r="L2176" i="41"/>
  <c r="N2176" i="41" s="1"/>
  <c r="Y2175" i="41"/>
  <c r="L2175" i="41"/>
  <c r="N2175" i="41" s="1"/>
  <c r="Y2174" i="41"/>
  <c r="L2174" i="41"/>
  <c r="N2174" i="41" s="1"/>
  <c r="L2173" i="41"/>
  <c r="N2173" i="41" s="1"/>
  <c r="L2172" i="41"/>
  <c r="N2172" i="41" s="1"/>
  <c r="L2171" i="41"/>
  <c r="N2171" i="41" s="1"/>
  <c r="L2170" i="41"/>
  <c r="N2170" i="41" s="1"/>
  <c r="L2169" i="41"/>
  <c r="N2169" i="41" s="1"/>
  <c r="L2168" i="41"/>
  <c r="N2168" i="41" s="1"/>
  <c r="L2167" i="41"/>
  <c r="N2167" i="41" s="1"/>
  <c r="L2166" i="41"/>
  <c r="N2166" i="41" s="1"/>
  <c r="L2165" i="41"/>
  <c r="N2165" i="41" s="1"/>
  <c r="L2164" i="41"/>
  <c r="N2164" i="41" s="1"/>
  <c r="L2163" i="41"/>
  <c r="N2163" i="41" s="1"/>
  <c r="L2162" i="41"/>
  <c r="N2162" i="41" s="1"/>
  <c r="L2161" i="41"/>
  <c r="N2161" i="41" s="1"/>
  <c r="L2160" i="41"/>
  <c r="N2160" i="41" s="1"/>
  <c r="L2159" i="41"/>
  <c r="N2159" i="41" s="1"/>
  <c r="L2158" i="41"/>
  <c r="N2158" i="41" s="1"/>
  <c r="L2157" i="41"/>
  <c r="N2157" i="41" s="1"/>
  <c r="L2156" i="41"/>
  <c r="N2156" i="41" s="1"/>
  <c r="L2155" i="41"/>
  <c r="N2155" i="41" s="1"/>
  <c r="L2154" i="41"/>
  <c r="N2154" i="41" s="1"/>
  <c r="L2153" i="41"/>
  <c r="N2153" i="41" s="1"/>
  <c r="L2152" i="41"/>
  <c r="N2152" i="41" s="1"/>
  <c r="L2151" i="41"/>
  <c r="N2151" i="41" s="1"/>
  <c r="L2150" i="41"/>
  <c r="N2150" i="41" s="1"/>
  <c r="L2149" i="41"/>
  <c r="N2149" i="41" s="1"/>
  <c r="L2148" i="41"/>
  <c r="N2148" i="41" s="1"/>
  <c r="L2147" i="41"/>
  <c r="N2147" i="41" s="1"/>
  <c r="L2146" i="41"/>
  <c r="N2146" i="41" s="1"/>
  <c r="L2145" i="41"/>
  <c r="N2145" i="41" s="1"/>
  <c r="L2144" i="41"/>
  <c r="N2144" i="41" s="1"/>
  <c r="L2143" i="41"/>
  <c r="N2143" i="41" s="1"/>
  <c r="L2142" i="41"/>
  <c r="N2142" i="41" s="1"/>
  <c r="L2141" i="41"/>
  <c r="N2141" i="41" s="1"/>
  <c r="L2140" i="41"/>
  <c r="N2140" i="41" s="1"/>
  <c r="L2139" i="41"/>
  <c r="N2139" i="41" s="1"/>
  <c r="Y2138" i="41"/>
  <c r="L2138" i="41"/>
  <c r="N2138" i="41" s="1"/>
  <c r="L2137" i="41"/>
  <c r="N2137" i="41" s="1"/>
  <c r="L2136" i="41"/>
  <c r="N2136" i="41" s="1"/>
  <c r="Y2135" i="41"/>
  <c r="L2135" i="41"/>
  <c r="N2135" i="41" s="1"/>
  <c r="L2134" i="41"/>
  <c r="N2134" i="41" s="1"/>
  <c r="L2133" i="41"/>
  <c r="N2133" i="41" s="1"/>
  <c r="L2132" i="41"/>
  <c r="N2132" i="41" s="1"/>
  <c r="L2131" i="41"/>
  <c r="N2131" i="41" s="1"/>
  <c r="L2130" i="41"/>
  <c r="N2130" i="41" s="1"/>
  <c r="L2129" i="41"/>
  <c r="N2129" i="41" s="1"/>
  <c r="L2128" i="41"/>
  <c r="N2128" i="41" s="1"/>
  <c r="L2127" i="41"/>
  <c r="N2127" i="41" s="1"/>
  <c r="L2126" i="41"/>
  <c r="N2126" i="41" s="1"/>
  <c r="L2125" i="41"/>
  <c r="N2125" i="41" s="1"/>
  <c r="L2124" i="41"/>
  <c r="N2124" i="41" s="1"/>
  <c r="L2123" i="41"/>
  <c r="N2123" i="41" s="1"/>
  <c r="L2122" i="41"/>
  <c r="N2122" i="41" s="1"/>
  <c r="L2121" i="41"/>
  <c r="L2120" i="41"/>
  <c r="N2120" i="41" s="1"/>
  <c r="L2119" i="41"/>
  <c r="N2119" i="41" s="1"/>
  <c r="L2118" i="41"/>
  <c r="N2118" i="41" s="1"/>
  <c r="L2117" i="41"/>
  <c r="N2117" i="41" s="1"/>
  <c r="L2116" i="41"/>
  <c r="N2116" i="41" s="1"/>
  <c r="L2115" i="41"/>
  <c r="N2115" i="41" s="1"/>
  <c r="L2114" i="41"/>
  <c r="N2114" i="41" s="1"/>
  <c r="L2113" i="41"/>
  <c r="N2113" i="41" s="1"/>
  <c r="L2112" i="41"/>
  <c r="N2112" i="41" s="1"/>
  <c r="L2111" i="41"/>
  <c r="N2111" i="41" s="1"/>
  <c r="L2110" i="41"/>
  <c r="N2110" i="41" s="1"/>
  <c r="L2109" i="41"/>
  <c r="N2109" i="41" s="1"/>
  <c r="L2108" i="41"/>
  <c r="N2108" i="41" s="1"/>
  <c r="L2107" i="41"/>
  <c r="N2107" i="41" s="1"/>
  <c r="L2106" i="41"/>
  <c r="N2106" i="41" s="1"/>
  <c r="L2105" i="41"/>
  <c r="N2105" i="41" s="1"/>
  <c r="L2104" i="41"/>
  <c r="N2104" i="41" s="1"/>
  <c r="L2103" i="41"/>
  <c r="N2103" i="41" s="1"/>
  <c r="L2102" i="41"/>
  <c r="N2102" i="41" s="1"/>
  <c r="L2101" i="41"/>
  <c r="N2101" i="41" s="1"/>
  <c r="L2100" i="41"/>
  <c r="N2100" i="41" s="1"/>
  <c r="Y2099" i="41"/>
  <c r="L2099" i="41"/>
  <c r="N2099" i="41" s="1"/>
  <c r="L2098" i="41"/>
  <c r="N2098" i="41" s="1"/>
  <c r="L2097" i="41"/>
  <c r="N2097" i="41" s="1"/>
  <c r="L2096" i="41"/>
  <c r="N2096" i="41" s="1"/>
  <c r="L2095" i="41"/>
  <c r="N2095" i="41" s="1"/>
  <c r="L2094" i="41"/>
  <c r="N2094" i="41" s="1"/>
  <c r="L2093" i="41"/>
  <c r="N2093" i="41" s="1"/>
  <c r="L2092" i="41"/>
  <c r="N2092" i="41" s="1"/>
  <c r="L2091" i="41"/>
  <c r="N2091" i="41" s="1"/>
  <c r="L2090" i="41"/>
  <c r="N2090" i="41" s="1"/>
  <c r="L2089" i="41"/>
  <c r="N2089" i="41" s="1"/>
  <c r="L2088" i="41"/>
  <c r="N2088" i="41" s="1"/>
  <c r="L2087" i="41"/>
  <c r="N2087" i="41" s="1"/>
  <c r="L2086" i="41"/>
  <c r="N2086" i="41" s="1"/>
  <c r="L2085" i="41"/>
  <c r="N2085" i="41" s="1"/>
  <c r="L2084" i="41"/>
  <c r="N2084" i="41" s="1"/>
  <c r="L2083" i="41"/>
  <c r="N2083" i="41" s="1"/>
  <c r="L2082" i="41"/>
  <c r="N2082" i="41" s="1"/>
  <c r="L2081" i="41"/>
  <c r="N2081" i="41" s="1"/>
  <c r="L2080" i="41"/>
  <c r="N2080" i="41" s="1"/>
  <c r="L2079" i="41"/>
  <c r="N2079" i="41" s="1"/>
  <c r="L2078" i="41"/>
  <c r="N2078" i="41" s="1"/>
  <c r="L2077" i="41"/>
  <c r="N2077" i="41" s="1"/>
  <c r="L2076" i="41"/>
  <c r="N2076" i="41" s="1"/>
  <c r="L2075" i="41"/>
  <c r="N2075" i="41" s="1"/>
  <c r="L2074" i="41"/>
  <c r="N2074" i="41" s="1"/>
  <c r="L2073" i="41"/>
  <c r="N2073" i="41" s="1"/>
  <c r="L2072" i="41"/>
  <c r="N2072" i="41" s="1"/>
  <c r="L2071" i="41"/>
  <c r="N2071" i="41" s="1"/>
  <c r="L2070" i="41"/>
  <c r="N2070" i="41" s="1"/>
  <c r="L2069" i="41"/>
  <c r="N2069" i="41" s="1"/>
  <c r="L2068" i="41"/>
  <c r="N2068" i="41" s="1"/>
  <c r="L2067" i="41"/>
  <c r="N2067" i="41" s="1"/>
  <c r="L2066" i="41"/>
  <c r="N2066" i="41" s="1"/>
  <c r="L2065" i="41"/>
  <c r="N2065" i="41" s="1"/>
  <c r="L2064" i="41"/>
  <c r="N2064" i="41" s="1"/>
  <c r="L2063" i="41"/>
  <c r="N2063" i="41" s="1"/>
  <c r="L2062" i="41"/>
  <c r="N2062" i="41" s="1"/>
  <c r="L2061" i="41"/>
  <c r="N2061" i="41" s="1"/>
  <c r="L2060" i="41"/>
  <c r="N2060" i="41" s="1"/>
  <c r="L2059" i="41"/>
  <c r="N2059" i="41" s="1"/>
  <c r="V2058" i="41"/>
  <c r="Y2058" i="41" s="1"/>
  <c r="L2058" i="41"/>
  <c r="N2058" i="41" s="1"/>
  <c r="L2057" i="41"/>
  <c r="N2057" i="41" s="1"/>
  <c r="L2056" i="41"/>
  <c r="N2056" i="41" s="1"/>
  <c r="L2055" i="41"/>
  <c r="N2055" i="41" s="1"/>
  <c r="L2054" i="41"/>
  <c r="N2054" i="41" s="1"/>
  <c r="L2053" i="41"/>
  <c r="N2053" i="41" s="1"/>
  <c r="L2052" i="41"/>
  <c r="N2052" i="41" s="1"/>
  <c r="L2051" i="41"/>
  <c r="N2051" i="41" s="1"/>
  <c r="L2050" i="41"/>
  <c r="N2050" i="41" s="1"/>
  <c r="L2049" i="41"/>
  <c r="N2049" i="41" s="1"/>
  <c r="Y2048" i="41"/>
  <c r="L2048" i="41"/>
  <c r="N2048" i="41" s="1"/>
  <c r="L2047" i="41"/>
  <c r="N2047" i="41" s="1"/>
  <c r="L2046" i="41"/>
  <c r="N2046" i="41" s="1"/>
  <c r="L2045" i="41"/>
  <c r="N2045" i="41" s="1"/>
  <c r="L2044" i="41"/>
  <c r="N2044" i="41" s="1"/>
  <c r="L2043" i="41"/>
  <c r="N2043" i="41" s="1"/>
  <c r="L2042" i="41"/>
  <c r="N2042" i="41" s="1"/>
  <c r="L2041" i="41"/>
  <c r="N2041" i="41" s="1"/>
  <c r="L2040" i="41"/>
  <c r="N2040" i="41" s="1"/>
  <c r="L2039" i="41"/>
  <c r="N2039" i="41" s="1"/>
  <c r="L2038" i="41"/>
  <c r="N2038" i="41" s="1"/>
  <c r="L2037" i="41"/>
  <c r="N2037" i="41" s="1"/>
  <c r="L2036" i="41"/>
  <c r="N2036" i="41" s="1"/>
  <c r="L2035" i="41"/>
  <c r="N2035" i="41" s="1"/>
  <c r="L2034" i="41"/>
  <c r="N2034" i="41" s="1"/>
  <c r="L2033" i="41"/>
  <c r="N2033" i="41" s="1"/>
  <c r="L2032" i="41"/>
  <c r="N2032" i="41" s="1"/>
  <c r="L2031" i="41"/>
  <c r="N2031" i="41" s="1"/>
  <c r="L2030" i="41"/>
  <c r="N2030" i="41" s="1"/>
  <c r="L2029" i="41"/>
  <c r="N2029" i="41" s="1"/>
  <c r="L2028" i="41"/>
  <c r="N2028" i="41" s="1"/>
  <c r="L2027" i="41"/>
  <c r="N2027" i="41" s="1"/>
  <c r="L2026" i="41"/>
  <c r="N2026" i="41" s="1"/>
  <c r="L2025" i="41"/>
  <c r="N2025" i="41" s="1"/>
  <c r="L2024" i="41"/>
  <c r="N2024" i="41" s="1"/>
  <c r="L2023" i="41"/>
  <c r="N2023" i="41" s="1"/>
  <c r="L2022" i="41"/>
  <c r="N2022" i="41" s="1"/>
  <c r="L2021" i="41"/>
  <c r="N2021" i="41" s="1"/>
  <c r="L2020" i="41"/>
  <c r="N2020" i="41" s="1"/>
  <c r="L2019" i="41"/>
  <c r="N2019" i="41" s="1"/>
  <c r="L2018" i="41"/>
  <c r="N2018" i="41" s="1"/>
  <c r="L2017" i="41"/>
  <c r="N2017" i="41" s="1"/>
  <c r="L2016" i="41"/>
  <c r="N2016" i="41" s="1"/>
  <c r="L2015" i="41"/>
  <c r="N2015" i="41" s="1"/>
  <c r="L2014" i="41"/>
  <c r="N2014" i="41" s="1"/>
  <c r="Y2013" i="41"/>
  <c r="L2013" i="41"/>
  <c r="N2013" i="41" s="1"/>
  <c r="L2012" i="41"/>
  <c r="N2012" i="41" s="1"/>
  <c r="L2011" i="41"/>
  <c r="N2011" i="41" s="1"/>
  <c r="L2010" i="41"/>
  <c r="N2010" i="41" s="1"/>
  <c r="L2009" i="41"/>
  <c r="N2009" i="41" s="1"/>
  <c r="L2008" i="41"/>
  <c r="N2008" i="41" s="1"/>
  <c r="L2007" i="41"/>
  <c r="N2007" i="41" s="1"/>
  <c r="L2006" i="41"/>
  <c r="N2006" i="41" s="1"/>
  <c r="L2005" i="41"/>
  <c r="N2005" i="41" s="1"/>
  <c r="L2004" i="41"/>
  <c r="N2004" i="41" s="1"/>
  <c r="L2003" i="41"/>
  <c r="N2003" i="41" s="1"/>
  <c r="L2002" i="41"/>
  <c r="N2002" i="41" s="1"/>
  <c r="L2001" i="41"/>
  <c r="N2001" i="41" s="1"/>
  <c r="L2000" i="41"/>
  <c r="N2000" i="41" s="1"/>
  <c r="L1999" i="41"/>
  <c r="N1999" i="41" s="1"/>
  <c r="L1998" i="41"/>
  <c r="N1998" i="41" s="1"/>
  <c r="L1997" i="41"/>
  <c r="N1997" i="41" s="1"/>
  <c r="L1996" i="41"/>
  <c r="N1996" i="41" s="1"/>
  <c r="L1995" i="41"/>
  <c r="N1995" i="41" s="1"/>
  <c r="L1994" i="41"/>
  <c r="N1994" i="41" s="1"/>
  <c r="L1993" i="41"/>
  <c r="N1993" i="41" s="1"/>
  <c r="L1992" i="41"/>
  <c r="N1992" i="41" s="1"/>
  <c r="L1991" i="41"/>
  <c r="N1991" i="41" s="1"/>
  <c r="L1990" i="41"/>
  <c r="N1990" i="41" s="1"/>
  <c r="L1989" i="41"/>
  <c r="N1989" i="41" s="1"/>
  <c r="L1988" i="41"/>
  <c r="N1988" i="41" s="1"/>
  <c r="L1987" i="41"/>
  <c r="N1987" i="41" s="1"/>
  <c r="L1986" i="41"/>
  <c r="N1986" i="41" s="1"/>
  <c r="L1985" i="41"/>
  <c r="N1985" i="41" s="1"/>
  <c r="L1984" i="41"/>
  <c r="N1984" i="41" s="1"/>
  <c r="L1983" i="41"/>
  <c r="N1983" i="41" s="1"/>
  <c r="L1982" i="41"/>
  <c r="N1982" i="41" s="1"/>
  <c r="L1981" i="41"/>
  <c r="N1981" i="41" s="1"/>
  <c r="L1980" i="41"/>
  <c r="N1980" i="41" s="1"/>
  <c r="L1979" i="41"/>
  <c r="N1979" i="41" s="1"/>
  <c r="L1978" i="41"/>
  <c r="N1978" i="41" s="1"/>
  <c r="L1977" i="41"/>
  <c r="N1977" i="41" s="1"/>
  <c r="Y1976" i="41"/>
  <c r="L1976" i="41"/>
  <c r="N1976" i="41" s="1"/>
  <c r="L1975" i="41"/>
  <c r="N1975" i="41" s="1"/>
  <c r="L1974" i="41"/>
  <c r="N1974" i="41" s="1"/>
  <c r="L1973" i="41"/>
  <c r="N1973" i="41" s="1"/>
  <c r="L1972" i="41"/>
  <c r="N1972" i="41" s="1"/>
  <c r="L1971" i="41"/>
  <c r="N1971" i="41" s="1"/>
  <c r="L1970" i="41"/>
  <c r="N1970" i="41" s="1"/>
  <c r="L1969" i="41"/>
  <c r="N1969" i="41" s="1"/>
  <c r="L1968" i="41"/>
  <c r="N1968" i="41" s="1"/>
  <c r="L1967" i="41"/>
  <c r="N1967" i="41" s="1"/>
  <c r="L1966" i="41"/>
  <c r="N1966" i="41" s="1"/>
  <c r="L1965" i="41"/>
  <c r="N1965" i="41" s="1"/>
  <c r="L1964" i="41"/>
  <c r="N1964" i="41" s="1"/>
  <c r="L1962" i="41"/>
  <c r="N1962" i="41" s="1"/>
  <c r="L1961" i="41"/>
  <c r="N1961" i="41" s="1"/>
  <c r="L1960" i="41"/>
  <c r="N1960" i="41" s="1"/>
  <c r="L1959" i="41"/>
  <c r="N1959" i="41" s="1"/>
  <c r="L1958" i="41"/>
  <c r="N1958" i="41" s="1"/>
  <c r="Y1957" i="41"/>
  <c r="L1957" i="41"/>
  <c r="N1957" i="41" s="1"/>
  <c r="L1956" i="41"/>
  <c r="N1956" i="41" s="1"/>
  <c r="L1955" i="41"/>
  <c r="N1955" i="41" s="1"/>
  <c r="L1954" i="41"/>
  <c r="N1954" i="41" s="1"/>
  <c r="L1953" i="41"/>
  <c r="N1953" i="41" s="1"/>
  <c r="L1952" i="41"/>
  <c r="N1952" i="41" s="1"/>
  <c r="L1951" i="41"/>
  <c r="N1951" i="41" s="1"/>
  <c r="L1950" i="41"/>
  <c r="N1950" i="41" s="1"/>
  <c r="L1949" i="41"/>
  <c r="N1949" i="41" s="1"/>
  <c r="L1948" i="41"/>
  <c r="N1948" i="41" s="1"/>
  <c r="L1947" i="41"/>
  <c r="N1947" i="41" s="1"/>
  <c r="L1946" i="41"/>
  <c r="N1946" i="41" s="1"/>
  <c r="L1945" i="41"/>
  <c r="N1945" i="41" s="1"/>
  <c r="L1944" i="41"/>
  <c r="N1944" i="41" s="1"/>
  <c r="L1943" i="41"/>
  <c r="N1943" i="41" s="1"/>
  <c r="L1942" i="41"/>
  <c r="N1942" i="41" s="1"/>
  <c r="L1941" i="41"/>
  <c r="N1941" i="41" s="1"/>
  <c r="L1940" i="41"/>
  <c r="N1940" i="41" s="1"/>
  <c r="L1938" i="41"/>
  <c r="N1938" i="41" s="1"/>
  <c r="L1937" i="41"/>
  <c r="N1937" i="41" s="1"/>
  <c r="L1936" i="41"/>
  <c r="N1936" i="41" s="1"/>
  <c r="Y1935" i="41"/>
  <c r="L1935" i="41"/>
  <c r="N1935" i="41" s="1"/>
  <c r="L1934" i="41"/>
  <c r="N1934" i="41" s="1"/>
  <c r="L1933" i="41"/>
  <c r="N1933" i="41" s="1"/>
  <c r="L1932" i="41"/>
  <c r="N1932" i="41" s="1"/>
  <c r="L1931" i="41"/>
  <c r="N1931" i="41" s="1"/>
  <c r="L1930" i="41"/>
  <c r="N1930" i="41" s="1"/>
  <c r="L1929" i="41"/>
  <c r="N1929" i="41" s="1"/>
  <c r="L1928" i="41"/>
  <c r="N1928" i="41" s="1"/>
  <c r="L1927" i="41"/>
  <c r="N1927" i="41" s="1"/>
  <c r="L1926" i="41"/>
  <c r="N1926" i="41" s="1"/>
  <c r="L1925" i="41"/>
  <c r="N1925" i="41" s="1"/>
  <c r="L1924" i="41"/>
  <c r="N1924" i="41" s="1"/>
  <c r="L1923" i="41"/>
  <c r="N1923" i="41" s="1"/>
  <c r="L1922" i="41"/>
  <c r="N1922" i="41" s="1"/>
  <c r="L1921" i="41"/>
  <c r="N1921" i="41" s="1"/>
  <c r="L1920" i="41"/>
  <c r="N1920" i="41" s="1"/>
  <c r="L1919" i="41"/>
  <c r="N1919" i="41" s="1"/>
  <c r="L1918" i="41"/>
  <c r="N1918" i="41" s="1"/>
  <c r="V1917" i="41"/>
  <c r="Y1917" i="41" s="1"/>
  <c r="L1917" i="41"/>
  <c r="N1917" i="41" s="1"/>
  <c r="L1916" i="41"/>
  <c r="N1916" i="41" s="1"/>
  <c r="L1915" i="41"/>
  <c r="N1915" i="41" s="1"/>
  <c r="L1914" i="41"/>
  <c r="N1914" i="41" s="1"/>
  <c r="L1913" i="41"/>
  <c r="N1913" i="41" s="1"/>
  <c r="L1912" i="41"/>
  <c r="N1912" i="41" s="1"/>
  <c r="L1911" i="41"/>
  <c r="N1911" i="41" s="1"/>
  <c r="L1910" i="41"/>
  <c r="N1910" i="41" s="1"/>
  <c r="L1909" i="41"/>
  <c r="N1909" i="41" s="1"/>
  <c r="L1908" i="41"/>
  <c r="N1908" i="41" s="1"/>
  <c r="L1907" i="41"/>
  <c r="N1907" i="41" s="1"/>
  <c r="L1906" i="41"/>
  <c r="N1906" i="41" s="1"/>
  <c r="L1905" i="41"/>
  <c r="N1905" i="41" s="1"/>
  <c r="L1904" i="41"/>
  <c r="N1904" i="41" s="1"/>
  <c r="L1903" i="41"/>
  <c r="N1903" i="41" s="1"/>
  <c r="L1902" i="41"/>
  <c r="N1902" i="41" s="1"/>
  <c r="L1901" i="41"/>
  <c r="N1901" i="41" s="1"/>
  <c r="L1900" i="41"/>
  <c r="N1900" i="41" s="1"/>
  <c r="L1899" i="41"/>
  <c r="N1899" i="41" s="1"/>
  <c r="L1898" i="41"/>
  <c r="N1898" i="41" s="1"/>
  <c r="L1897" i="41"/>
  <c r="N1897" i="41" s="1"/>
  <c r="L1896" i="41"/>
  <c r="N1896" i="41" s="1"/>
  <c r="L1895" i="41"/>
  <c r="N1895" i="41" s="1"/>
  <c r="L1894" i="41"/>
  <c r="N1894" i="41" s="1"/>
  <c r="L1893" i="41"/>
  <c r="N1893" i="41" s="1"/>
  <c r="L1892" i="41"/>
  <c r="N1892" i="41" s="1"/>
  <c r="V1891" i="41"/>
  <c r="Y1891" i="41" s="1"/>
  <c r="L1891" i="41"/>
  <c r="N1891" i="41" s="1"/>
  <c r="L1890" i="41"/>
  <c r="N1890" i="41" s="1"/>
  <c r="L1889" i="41"/>
  <c r="N1889" i="41" s="1"/>
  <c r="L1888" i="41"/>
  <c r="N1888" i="41" s="1"/>
  <c r="L1887" i="41"/>
  <c r="N1887" i="41" s="1"/>
  <c r="L1886" i="41"/>
  <c r="N1886" i="41" s="1"/>
  <c r="L1885" i="41"/>
  <c r="N1885" i="41" s="1"/>
  <c r="L1884" i="41"/>
  <c r="N1884" i="41" s="1"/>
  <c r="L1883" i="41"/>
  <c r="N1883" i="41" s="1"/>
  <c r="L1882" i="41"/>
  <c r="N1882" i="41" s="1"/>
  <c r="L1881" i="41"/>
  <c r="N1881" i="41" s="1"/>
  <c r="L1880" i="41"/>
  <c r="N1880" i="41" s="1"/>
  <c r="L1879" i="41"/>
  <c r="N1879" i="41" s="1"/>
  <c r="L1878" i="41"/>
  <c r="N1878" i="41" s="1"/>
  <c r="L1877" i="41"/>
  <c r="N1877" i="41" s="1"/>
  <c r="L1876" i="41"/>
  <c r="N1876" i="41" s="1"/>
  <c r="L1875" i="41"/>
  <c r="N1875" i="41" s="1"/>
  <c r="L1874" i="41"/>
  <c r="N1874" i="41" s="1"/>
  <c r="L1873" i="41"/>
  <c r="N1873" i="41" s="1"/>
  <c r="L1872" i="41"/>
  <c r="N1872" i="41" s="1"/>
  <c r="L1871" i="41"/>
  <c r="N1871" i="41" s="1"/>
  <c r="L1870" i="41"/>
  <c r="N1870" i="41" s="1"/>
  <c r="L1869" i="41"/>
  <c r="N1869" i="41" s="1"/>
  <c r="L1868" i="41"/>
  <c r="N1868" i="41" s="1"/>
  <c r="L1867" i="41"/>
  <c r="N1867" i="41" s="1"/>
  <c r="L1866" i="41"/>
  <c r="N1866" i="41" s="1"/>
  <c r="L1865" i="41"/>
  <c r="N1865" i="41" s="1"/>
  <c r="L1864" i="41"/>
  <c r="N1864" i="41" s="1"/>
  <c r="L1863" i="41"/>
  <c r="N1863" i="41" s="1"/>
  <c r="L1862" i="41"/>
  <c r="N1862" i="41" s="1"/>
  <c r="L1861" i="41"/>
  <c r="N1861" i="41" s="1"/>
  <c r="L1860" i="41"/>
  <c r="N1860" i="41" s="1"/>
  <c r="L1859" i="41"/>
  <c r="N1859" i="41" s="1"/>
  <c r="L1858" i="41"/>
  <c r="N1858" i="41" s="1"/>
  <c r="L1857" i="41"/>
  <c r="N1857" i="41" s="1"/>
  <c r="L1856" i="41"/>
  <c r="N1856" i="41" s="1"/>
  <c r="L1855" i="41"/>
  <c r="N1855" i="41" s="1"/>
  <c r="L1854" i="41"/>
  <c r="N1854" i="41" s="1"/>
  <c r="L1853" i="41"/>
  <c r="N1853" i="41" s="1"/>
  <c r="V1852" i="41"/>
  <c r="Y1852" i="41" s="1"/>
  <c r="L1852" i="41"/>
  <c r="N1852" i="41" s="1"/>
  <c r="V1851" i="41"/>
  <c r="Y1851" i="41" s="1"/>
  <c r="H1851" i="41"/>
  <c r="L1850" i="41"/>
  <c r="N1850" i="41" s="1"/>
  <c r="L1849" i="41"/>
  <c r="N1849" i="41" s="1"/>
  <c r="L1848" i="41"/>
  <c r="N1848" i="41" s="1"/>
  <c r="L1847" i="41"/>
  <c r="N1847" i="41" s="1"/>
  <c r="L1846" i="41"/>
  <c r="N1846" i="41" s="1"/>
  <c r="L1845" i="41"/>
  <c r="N1845" i="41" s="1"/>
  <c r="L1844" i="41"/>
  <c r="N1844" i="41" s="1"/>
  <c r="L1843" i="41"/>
  <c r="N1843" i="41" s="1"/>
  <c r="L1842" i="41"/>
  <c r="N1842" i="41" s="1"/>
  <c r="L1841" i="41"/>
  <c r="N1841" i="41" s="1"/>
  <c r="L1839" i="41"/>
  <c r="N1839" i="41" s="1"/>
  <c r="L1838" i="41"/>
  <c r="N1838" i="41" s="1"/>
  <c r="L1837" i="41"/>
  <c r="N1837" i="41" s="1"/>
  <c r="L1836" i="41"/>
  <c r="N1836" i="41" s="1"/>
  <c r="L1835" i="41"/>
  <c r="N1835" i="41" s="1"/>
  <c r="L1834" i="41"/>
  <c r="N1834" i="41" s="1"/>
  <c r="L1833" i="41"/>
  <c r="N1833" i="41" s="1"/>
  <c r="L1832" i="41"/>
  <c r="N1832" i="41" s="1"/>
  <c r="L1831" i="41"/>
  <c r="N1831" i="41" s="1"/>
  <c r="L1830" i="41"/>
  <c r="N1830" i="41" s="1"/>
  <c r="L1829" i="41"/>
  <c r="N1829" i="41" s="1"/>
  <c r="Y1828" i="41"/>
  <c r="L1828" i="41"/>
  <c r="N1828" i="41" s="1"/>
  <c r="L1827" i="41"/>
  <c r="N1827" i="41" s="1"/>
  <c r="Y1826" i="41"/>
  <c r="L1826" i="41"/>
  <c r="N1826" i="41" s="1"/>
  <c r="L1825" i="41"/>
  <c r="N1825" i="41" s="1"/>
  <c r="L1824" i="41"/>
  <c r="N1824" i="41" s="1"/>
  <c r="L1823" i="41"/>
  <c r="N1823" i="41" s="1"/>
  <c r="L1822" i="41"/>
  <c r="N1822" i="41" s="1"/>
  <c r="V1821" i="41"/>
  <c r="Y1821" i="41" s="1"/>
  <c r="L1821" i="41"/>
  <c r="N1821" i="41" s="1"/>
  <c r="L1820" i="41"/>
  <c r="N1820" i="41" s="1"/>
  <c r="L1819" i="41"/>
  <c r="N1819" i="41" s="1"/>
  <c r="L1818" i="41"/>
  <c r="N1818" i="41" s="1"/>
  <c r="L1817" i="41"/>
  <c r="N1817" i="41" s="1"/>
  <c r="L1816" i="41"/>
  <c r="N1816" i="41" s="1"/>
  <c r="L1815" i="41"/>
  <c r="N1815" i="41" s="1"/>
  <c r="L1814" i="41"/>
  <c r="N1814" i="41" s="1"/>
  <c r="L1813" i="41"/>
  <c r="N1813" i="41" s="1"/>
  <c r="L1812" i="41"/>
  <c r="N1812" i="41" s="1"/>
  <c r="L1811" i="41"/>
  <c r="N1811" i="41" s="1"/>
  <c r="L1810" i="41"/>
  <c r="N1810" i="41" s="1"/>
  <c r="L1809" i="41"/>
  <c r="N1809" i="41" s="1"/>
  <c r="L1808" i="41"/>
  <c r="N1808" i="41" s="1"/>
  <c r="L1807" i="41"/>
  <c r="N1807" i="41" s="1"/>
  <c r="L1806" i="41"/>
  <c r="N1806" i="41" s="1"/>
  <c r="L1805" i="41"/>
  <c r="N1805" i="41" s="1"/>
  <c r="Y1804" i="41"/>
  <c r="L1804" i="41"/>
  <c r="N1804" i="41" s="1"/>
  <c r="L1803" i="41"/>
  <c r="N1803" i="41" s="1"/>
  <c r="L1802" i="41"/>
  <c r="N1802" i="41" s="1"/>
  <c r="L1801" i="41"/>
  <c r="N1801" i="41" s="1"/>
  <c r="L1800" i="41"/>
  <c r="N1800" i="41" s="1"/>
  <c r="L1799" i="41"/>
  <c r="N1799" i="41" s="1"/>
  <c r="L1798" i="41"/>
  <c r="N1798" i="41" s="1"/>
  <c r="L1797" i="41"/>
  <c r="N1797" i="41" s="1"/>
  <c r="L1796" i="41"/>
  <c r="N1796" i="41" s="1"/>
  <c r="L1795" i="41"/>
  <c r="N1795" i="41" s="1"/>
  <c r="L1794" i="41"/>
  <c r="N1794" i="41" s="1"/>
  <c r="L1793" i="41"/>
  <c r="N1793" i="41" s="1"/>
  <c r="L1792" i="41"/>
  <c r="N1792" i="41" s="1"/>
  <c r="Y1791" i="41"/>
  <c r="O1791" i="41"/>
  <c r="L1791" i="41"/>
  <c r="N1791" i="41" s="1"/>
  <c r="L1790" i="41"/>
  <c r="N1790" i="41" s="1"/>
  <c r="L1789" i="41"/>
  <c r="N1789" i="41" s="1"/>
  <c r="L1788" i="41"/>
  <c r="N1788" i="41" s="1"/>
  <c r="L1787" i="41"/>
  <c r="N1787" i="41" s="1"/>
  <c r="L1785" i="41"/>
  <c r="N1785" i="41" s="1"/>
  <c r="L1784" i="41"/>
  <c r="N1784" i="41" s="1"/>
  <c r="L1783" i="41"/>
  <c r="N1783" i="41" s="1"/>
  <c r="L1782" i="41"/>
  <c r="N1782" i="41" s="1"/>
  <c r="L1781" i="41"/>
  <c r="N1781" i="41" s="1"/>
  <c r="L1780" i="41"/>
  <c r="N1780" i="41" s="1"/>
  <c r="L1779" i="41"/>
  <c r="N1779" i="41" s="1"/>
  <c r="L1778" i="41"/>
  <c r="N1778" i="41" s="1"/>
  <c r="L1777" i="41"/>
  <c r="N1777" i="41" s="1"/>
  <c r="L1776" i="41"/>
  <c r="N1776" i="41" s="1"/>
  <c r="L1775" i="41"/>
  <c r="N1775" i="41" s="1"/>
  <c r="L1774" i="41"/>
  <c r="N1774" i="41" s="1"/>
  <c r="L1773" i="41"/>
  <c r="N1773" i="41" s="1"/>
  <c r="L1772" i="41"/>
  <c r="N1772" i="41" s="1"/>
  <c r="L1771" i="41"/>
  <c r="N1771" i="41" s="1"/>
  <c r="V1770" i="41"/>
  <c r="Y1770" i="41" s="1"/>
  <c r="L1770" i="41"/>
  <c r="N1770" i="41" s="1"/>
  <c r="L1769" i="41"/>
  <c r="N1769" i="41" s="1"/>
  <c r="L1768" i="41"/>
  <c r="N1768" i="41" s="1"/>
  <c r="L1767" i="41"/>
  <c r="N1767" i="41" s="1"/>
  <c r="L1766" i="41"/>
  <c r="N1766" i="41" s="1"/>
  <c r="L1765" i="41"/>
  <c r="N1765" i="41" s="1"/>
  <c r="L1764" i="41"/>
  <c r="N1764" i="41" s="1"/>
  <c r="L1763" i="41"/>
  <c r="N1763" i="41" s="1"/>
  <c r="L1762" i="41"/>
  <c r="N1762" i="41" s="1"/>
  <c r="L1761" i="41"/>
  <c r="N1761" i="41" s="1"/>
  <c r="Y1760" i="41"/>
  <c r="L1760" i="41"/>
  <c r="N1760" i="41" s="1"/>
  <c r="V1759" i="41"/>
  <c r="Y1759" i="41" s="1"/>
  <c r="L1759" i="41"/>
  <c r="N1759" i="41" s="1"/>
  <c r="L1758" i="41"/>
  <c r="N1758" i="41" s="1"/>
  <c r="Y1757" i="41"/>
  <c r="L1757" i="41"/>
  <c r="N1757" i="41" s="1"/>
  <c r="L1756" i="41"/>
  <c r="N1756" i="41" s="1"/>
  <c r="L1755" i="41"/>
  <c r="N1755" i="41" s="1"/>
  <c r="L1754" i="41"/>
  <c r="N1754" i="41" s="1"/>
  <c r="L1753" i="41"/>
  <c r="N1753" i="41" s="1"/>
  <c r="L1752" i="41"/>
  <c r="N1752" i="41" s="1"/>
  <c r="L1751" i="41"/>
  <c r="N1751" i="41" s="1"/>
  <c r="L1750" i="41"/>
  <c r="N1750" i="41" s="1"/>
  <c r="L1749" i="41"/>
  <c r="N1749" i="41" s="1"/>
  <c r="L1748" i="41"/>
  <c r="N1748" i="41" s="1"/>
  <c r="L1747" i="41"/>
  <c r="N1747" i="41" s="1"/>
  <c r="L1746" i="41"/>
  <c r="N1746" i="41" s="1"/>
  <c r="L1745" i="41"/>
  <c r="N1745" i="41" s="1"/>
  <c r="L1744" i="41"/>
  <c r="N1744" i="41" s="1"/>
  <c r="L1743" i="41"/>
  <c r="N1743" i="41" s="1"/>
  <c r="L1742" i="41"/>
  <c r="N1742" i="41" s="1"/>
  <c r="L1741" i="41"/>
  <c r="N1741" i="41" s="1"/>
  <c r="L1740" i="41"/>
  <c r="N1740" i="41" s="1"/>
  <c r="L1739" i="41"/>
  <c r="N1739" i="41" s="1"/>
  <c r="L1738" i="41"/>
  <c r="N1738" i="41" s="1"/>
  <c r="L1737" i="41"/>
  <c r="N1737" i="41" s="1"/>
  <c r="L1736" i="41"/>
  <c r="N1736" i="41" s="1"/>
  <c r="L1735" i="41"/>
  <c r="N1735" i="41" s="1"/>
  <c r="L1734" i="41"/>
  <c r="N1734" i="41" s="1"/>
  <c r="L1733" i="41"/>
  <c r="N1733" i="41" s="1"/>
  <c r="L1732" i="41"/>
  <c r="N1732" i="41" s="1"/>
  <c r="L1731" i="41"/>
  <c r="N1731" i="41" s="1"/>
  <c r="L1730" i="41"/>
  <c r="N1730" i="41" s="1"/>
  <c r="L1729" i="41"/>
  <c r="N1729" i="41" s="1"/>
  <c r="L1727" i="41"/>
  <c r="N1727" i="41" s="1"/>
  <c r="L1726" i="41"/>
  <c r="N1726" i="41" s="1"/>
  <c r="L1725" i="41"/>
  <c r="N1725" i="41" s="1"/>
  <c r="L1724" i="41"/>
  <c r="N1724" i="41" s="1"/>
  <c r="L1723" i="41"/>
  <c r="N1723" i="41" s="1"/>
  <c r="L1722" i="41"/>
  <c r="N1722" i="41" s="1"/>
  <c r="L1721" i="41"/>
  <c r="N1721" i="41" s="1"/>
  <c r="L1720" i="41"/>
  <c r="N1720" i="41" s="1"/>
  <c r="L1719" i="41"/>
  <c r="N1719" i="41" s="1"/>
  <c r="L1718" i="41"/>
  <c r="N1718" i="41" s="1"/>
  <c r="L1717" i="41"/>
  <c r="N1717" i="41" s="1"/>
  <c r="L1716" i="41"/>
  <c r="N1716" i="41" s="1"/>
  <c r="L1715" i="41"/>
  <c r="N1715" i="41" s="1"/>
  <c r="L1714" i="41"/>
  <c r="N1714" i="41" s="1"/>
  <c r="L1713" i="41"/>
  <c r="N1713" i="41" s="1"/>
  <c r="L1712" i="41"/>
  <c r="N1712" i="41" s="1"/>
  <c r="L1711" i="41"/>
  <c r="N1711" i="41" s="1"/>
  <c r="L1710" i="41"/>
  <c r="N1710" i="41" s="1"/>
  <c r="L1709" i="41"/>
  <c r="N1709" i="41" s="1"/>
  <c r="L1708" i="41"/>
  <c r="N1708" i="41" s="1"/>
  <c r="L1707" i="41"/>
  <c r="N1707" i="41" s="1"/>
  <c r="L1706" i="41"/>
  <c r="N1706" i="41" s="1"/>
  <c r="L1705" i="41"/>
  <c r="N1705" i="41" s="1"/>
  <c r="L1704" i="41"/>
  <c r="N1704" i="41" s="1"/>
  <c r="L1703" i="41"/>
  <c r="N1703" i="41" s="1"/>
  <c r="L1702" i="41"/>
  <c r="N1702" i="41" s="1"/>
  <c r="L1701" i="41"/>
  <c r="N1701" i="41" s="1"/>
  <c r="L1700" i="41"/>
  <c r="N1700" i="41" s="1"/>
  <c r="L1699" i="41"/>
  <c r="N1699" i="41" s="1"/>
  <c r="L1698" i="41"/>
  <c r="N1698" i="41" s="1"/>
  <c r="L1697" i="41"/>
  <c r="N1697" i="41" s="1"/>
  <c r="L1696" i="41"/>
  <c r="N1696" i="41" s="1"/>
  <c r="L1695" i="41"/>
  <c r="N1695" i="41" s="1"/>
  <c r="L1694" i="41"/>
  <c r="N1694" i="41" s="1"/>
  <c r="L1693" i="41"/>
  <c r="N1693" i="41" s="1"/>
  <c r="L1692" i="41"/>
  <c r="N1692" i="41" s="1"/>
  <c r="L1691" i="41"/>
  <c r="N1691" i="41" s="1"/>
  <c r="L1690" i="41"/>
  <c r="N1690" i="41" s="1"/>
  <c r="L1689" i="41"/>
  <c r="N1689" i="41" s="1"/>
  <c r="V1688" i="41"/>
  <c r="Y1688" i="41" s="1"/>
  <c r="I1688" i="41"/>
  <c r="L1687" i="41"/>
  <c r="N1687" i="41" s="1"/>
  <c r="L1686" i="41"/>
  <c r="N1686" i="41" s="1"/>
  <c r="L1685" i="41"/>
  <c r="N1685" i="41" s="1"/>
  <c r="L1684" i="41"/>
  <c r="N1684" i="41" s="1"/>
  <c r="J1683" i="41"/>
  <c r="L1682" i="41"/>
  <c r="N1682" i="41" s="1"/>
  <c r="L1681" i="41"/>
  <c r="N1681" i="41" s="1"/>
  <c r="L1680" i="41"/>
  <c r="N1680" i="41" s="1"/>
  <c r="L1679" i="41"/>
  <c r="N1679" i="41" s="1"/>
  <c r="L1678" i="41"/>
  <c r="N1678" i="41" s="1"/>
  <c r="L1677" i="41"/>
  <c r="N1677" i="41" s="1"/>
  <c r="L1676" i="41"/>
  <c r="N1676" i="41" s="1"/>
  <c r="L1675" i="41"/>
  <c r="N1675" i="41" s="1"/>
  <c r="L1674" i="41"/>
  <c r="N1674" i="41" s="1"/>
  <c r="L1673" i="41"/>
  <c r="N1673" i="41" s="1"/>
  <c r="L1672" i="41"/>
  <c r="N1672" i="41" s="1"/>
  <c r="L1671" i="41"/>
  <c r="N1671" i="41" s="1"/>
  <c r="L1670" i="41"/>
  <c r="N1670" i="41" s="1"/>
  <c r="L1669" i="41"/>
  <c r="N1669" i="41" s="1"/>
  <c r="L1668" i="41"/>
  <c r="N1668" i="41" s="1"/>
  <c r="L1667" i="41"/>
  <c r="N1667" i="41" s="1"/>
  <c r="L1666" i="41"/>
  <c r="N1666" i="41" s="1"/>
  <c r="L1665" i="41"/>
  <c r="N1665" i="41" s="1"/>
  <c r="L1664" i="41"/>
  <c r="N1664" i="41" s="1"/>
  <c r="L1663" i="41"/>
  <c r="N1663" i="41" s="1"/>
  <c r="L1662" i="41"/>
  <c r="N1662" i="41" s="1"/>
  <c r="L1661" i="41"/>
  <c r="N1661" i="41" s="1"/>
  <c r="L1660" i="41"/>
  <c r="N1660" i="41" s="1"/>
  <c r="L1659" i="41"/>
  <c r="N1659" i="41" s="1"/>
  <c r="L1658" i="41"/>
  <c r="N1658" i="41" s="1"/>
  <c r="L1657" i="41"/>
  <c r="N1657" i="41" s="1"/>
  <c r="L1656" i="41"/>
  <c r="N1656" i="41" s="1"/>
  <c r="L1655" i="41"/>
  <c r="N1655" i="41" s="1"/>
  <c r="L1654" i="41"/>
  <c r="N1654" i="41" s="1"/>
  <c r="L1653" i="41"/>
  <c r="N1653" i="41" s="1"/>
  <c r="L1652" i="41"/>
  <c r="N1652" i="41" s="1"/>
  <c r="L1651" i="41"/>
  <c r="N1651" i="41" s="1"/>
  <c r="L1650" i="41"/>
  <c r="N1650" i="41" s="1"/>
  <c r="L1649" i="41"/>
  <c r="N1649" i="41" s="1"/>
  <c r="L1648" i="41"/>
  <c r="N1648" i="41" s="1"/>
  <c r="L1647" i="41"/>
  <c r="N1647" i="41" s="1"/>
  <c r="L1646" i="41"/>
  <c r="N1646" i="41" s="1"/>
  <c r="L1645" i="41"/>
  <c r="N1645" i="41" s="1"/>
  <c r="L1644" i="41"/>
  <c r="N1644" i="41" s="1"/>
  <c r="L1643" i="41"/>
  <c r="N1643" i="41" s="1"/>
  <c r="L1642" i="41"/>
  <c r="N1642" i="41" s="1"/>
  <c r="L1641" i="41"/>
  <c r="N1641" i="41" s="1"/>
  <c r="L1640" i="41"/>
  <c r="N1640" i="41" s="1"/>
  <c r="Y1639" i="41"/>
  <c r="L1639" i="41"/>
  <c r="N1639" i="41" s="1"/>
  <c r="L1638" i="41"/>
  <c r="N1638" i="41" s="1"/>
  <c r="Y1637" i="41"/>
  <c r="L1637" i="41"/>
  <c r="N1637" i="41" s="1"/>
  <c r="L1636" i="41"/>
  <c r="N1636" i="41" s="1"/>
  <c r="L1635" i="41"/>
  <c r="N1635" i="41" s="1"/>
  <c r="L1634" i="41"/>
  <c r="N1634" i="41" s="1"/>
  <c r="V1633" i="41"/>
  <c r="Y1633" i="41" s="1"/>
  <c r="L1633" i="41"/>
  <c r="N1633" i="41" s="1"/>
  <c r="L1632" i="41"/>
  <c r="N1632" i="41" s="1"/>
  <c r="L1631" i="41"/>
  <c r="N1631" i="41" s="1"/>
  <c r="L1630" i="41"/>
  <c r="N1630" i="41" s="1"/>
  <c r="L1629" i="41"/>
  <c r="N1629" i="41" s="1"/>
  <c r="L1628" i="41"/>
  <c r="N1628" i="41" s="1"/>
  <c r="L1627" i="41"/>
  <c r="N1627" i="41" s="1"/>
  <c r="L1626" i="41"/>
  <c r="N1626" i="41" s="1"/>
  <c r="L1625" i="41"/>
  <c r="N1625" i="41" s="1"/>
  <c r="L1624" i="41"/>
  <c r="N1624" i="41" s="1"/>
  <c r="L1623" i="41"/>
  <c r="N1623" i="41" s="1"/>
  <c r="L1622" i="41"/>
  <c r="N1622" i="41" s="1"/>
  <c r="L1621" i="41"/>
  <c r="N1621" i="41" s="1"/>
  <c r="L1620" i="41"/>
  <c r="N1620" i="41" s="1"/>
  <c r="L1619" i="41"/>
  <c r="N1619" i="41" s="1"/>
  <c r="L1618" i="41"/>
  <c r="N1618" i="41" s="1"/>
  <c r="L1617" i="41"/>
  <c r="N1617" i="41" s="1"/>
  <c r="L1616" i="41"/>
  <c r="N1616" i="41" s="1"/>
  <c r="L1615" i="41"/>
  <c r="N1615" i="41" s="1"/>
  <c r="L1614" i="41"/>
  <c r="N1614" i="41" s="1"/>
  <c r="L1613" i="41"/>
  <c r="N1613" i="41" s="1"/>
  <c r="L1612" i="41"/>
  <c r="N1612" i="41" s="1"/>
  <c r="L1611" i="41"/>
  <c r="N1611" i="41" s="1"/>
  <c r="L1610" i="41"/>
  <c r="N1610" i="41" s="1"/>
  <c r="V1609" i="41"/>
  <c r="Y1609" i="41" s="1"/>
  <c r="H1609" i="41"/>
  <c r="L1608" i="41"/>
  <c r="N1608" i="41" s="1"/>
  <c r="L1607" i="41"/>
  <c r="N1607" i="41" s="1"/>
  <c r="L1606" i="41"/>
  <c r="N1606" i="41" s="1"/>
  <c r="L1605" i="41"/>
  <c r="N1605" i="41" s="1"/>
  <c r="L1604" i="41"/>
  <c r="N1604" i="41" s="1"/>
  <c r="L1603" i="41"/>
  <c r="N1603" i="41" s="1"/>
  <c r="L1602" i="41"/>
  <c r="N1602" i="41" s="1"/>
  <c r="L1601" i="41"/>
  <c r="N1601" i="41" s="1"/>
  <c r="L1600" i="41"/>
  <c r="N1600" i="41" s="1"/>
  <c r="L1599" i="41"/>
  <c r="N1599" i="41" s="1"/>
  <c r="L1598" i="41"/>
  <c r="N1598" i="41" s="1"/>
  <c r="L1597" i="41"/>
  <c r="N1597" i="41" s="1"/>
  <c r="L1596" i="41"/>
  <c r="N1596" i="41" s="1"/>
  <c r="L1595" i="41"/>
  <c r="N1595" i="41" s="1"/>
  <c r="L1594" i="41"/>
  <c r="N1594" i="41" s="1"/>
  <c r="L1593" i="41"/>
  <c r="N1593" i="41" s="1"/>
  <c r="L1592" i="41"/>
  <c r="N1592" i="41" s="1"/>
  <c r="L1591" i="41"/>
  <c r="N1591" i="41" s="1"/>
  <c r="L1590" i="41"/>
  <c r="N1590" i="41" s="1"/>
  <c r="L1589" i="41"/>
  <c r="N1589" i="41" s="1"/>
  <c r="L1588" i="41"/>
  <c r="N1588" i="41" s="1"/>
  <c r="L1587" i="41"/>
  <c r="N1587" i="41" s="1"/>
  <c r="L1586" i="41"/>
  <c r="N1586" i="41" s="1"/>
  <c r="L1585" i="41"/>
  <c r="N1585" i="41" s="1"/>
  <c r="L1584" i="41"/>
  <c r="N1584" i="41" s="1"/>
  <c r="L1583" i="41"/>
  <c r="N1583" i="41" s="1"/>
  <c r="L1582" i="41"/>
  <c r="N1582" i="41" s="1"/>
  <c r="L1581" i="41"/>
  <c r="N1581" i="41" s="1"/>
  <c r="L1580" i="41"/>
  <c r="N1580" i="41" s="1"/>
  <c r="L1579" i="41"/>
  <c r="N1579" i="41" s="1"/>
  <c r="L1578" i="41"/>
  <c r="N1578" i="41" s="1"/>
  <c r="L1577" i="41"/>
  <c r="N1577" i="41" s="1"/>
  <c r="L1576" i="41"/>
  <c r="N1576" i="41" s="1"/>
  <c r="L1575" i="41"/>
  <c r="N1575" i="41" s="1"/>
  <c r="L1574" i="41"/>
  <c r="N1574" i="41" s="1"/>
  <c r="L1573" i="41"/>
  <c r="N1573" i="41" s="1"/>
  <c r="L1572" i="41"/>
  <c r="N1572" i="41" s="1"/>
  <c r="L1571" i="41"/>
  <c r="N1571" i="41" s="1"/>
  <c r="V1570" i="41"/>
  <c r="Y1570" i="41" s="1"/>
  <c r="L1570" i="41"/>
  <c r="N1570" i="41" s="1"/>
  <c r="L1569" i="41"/>
  <c r="N1569" i="41" s="1"/>
  <c r="L1568" i="41"/>
  <c r="N1568" i="41" s="1"/>
  <c r="L1567" i="41"/>
  <c r="N1567" i="41" s="1"/>
  <c r="L1566" i="41"/>
  <c r="N1566" i="41" s="1"/>
  <c r="L1565" i="41"/>
  <c r="N1565" i="41" s="1"/>
  <c r="L1564" i="41"/>
  <c r="N1564" i="41" s="1"/>
  <c r="L1563" i="41"/>
  <c r="N1563" i="41" s="1"/>
  <c r="V1562" i="41"/>
  <c r="Y1562" i="41" s="1"/>
  <c r="L1562" i="41"/>
  <c r="N1562" i="41" s="1"/>
  <c r="L1561" i="41"/>
  <c r="N1561" i="41" s="1"/>
  <c r="L1560" i="41"/>
  <c r="N1560" i="41" s="1"/>
  <c r="L1559" i="41"/>
  <c r="N1559" i="41" s="1"/>
  <c r="V1558" i="41"/>
  <c r="Y1558" i="41" s="1"/>
  <c r="L1558" i="41"/>
  <c r="N1558" i="41" s="1"/>
  <c r="L1557" i="41"/>
  <c r="N1557" i="41" s="1"/>
  <c r="V1556" i="41"/>
  <c r="Y1556" i="41" s="1"/>
  <c r="L1556" i="41"/>
  <c r="N1556" i="41" s="1"/>
  <c r="L1555" i="41"/>
  <c r="N1555" i="41" s="1"/>
  <c r="L1554" i="41"/>
  <c r="N1554" i="41" s="1"/>
  <c r="L1553" i="41"/>
  <c r="N1553" i="41" s="1"/>
  <c r="L1552" i="41"/>
  <c r="N1552" i="41" s="1"/>
  <c r="Q1551" i="41"/>
  <c r="L1551" i="41"/>
  <c r="N1551" i="41" s="1"/>
  <c r="L1550" i="41"/>
  <c r="N1550" i="41" s="1"/>
  <c r="L1549" i="41"/>
  <c r="N1549" i="41" s="1"/>
  <c r="L1548" i="41"/>
  <c r="N1548" i="41" s="1"/>
  <c r="L1547" i="41"/>
  <c r="N1547" i="41" s="1"/>
  <c r="L1546" i="41"/>
  <c r="N1546" i="41" s="1"/>
  <c r="L1545" i="41"/>
  <c r="N1545" i="41" s="1"/>
  <c r="L1544" i="41"/>
  <c r="N1544" i="41" s="1"/>
  <c r="L1543" i="41"/>
  <c r="N1543" i="41" s="1"/>
  <c r="L1542" i="41"/>
  <c r="N1542" i="41" s="1"/>
  <c r="L1541" i="41"/>
  <c r="N1541" i="41" s="1"/>
  <c r="L1540" i="41"/>
  <c r="N1540" i="41" s="1"/>
  <c r="V1539" i="41"/>
  <c r="Y1539" i="41" s="1"/>
  <c r="L1539" i="41"/>
  <c r="N1539" i="41" s="1"/>
  <c r="L1538" i="41"/>
  <c r="N1538" i="41" s="1"/>
  <c r="L1537" i="41"/>
  <c r="N1537" i="41" s="1"/>
  <c r="L1536" i="41"/>
  <c r="N1536" i="41" s="1"/>
  <c r="L1535" i="41"/>
  <c r="N1535" i="41" s="1"/>
  <c r="L1534" i="41"/>
  <c r="N1534" i="41" s="1"/>
  <c r="L1533" i="41"/>
  <c r="N1533" i="41" s="1"/>
  <c r="L1532" i="41"/>
  <c r="N1532" i="41" s="1"/>
  <c r="L1531" i="41"/>
  <c r="N1531" i="41" s="1"/>
  <c r="L1530" i="41"/>
  <c r="N1530" i="41" s="1"/>
  <c r="L1529" i="41"/>
  <c r="N1529" i="41" s="1"/>
  <c r="L1528" i="41"/>
  <c r="N1528" i="41" s="1"/>
  <c r="L1527" i="41"/>
  <c r="N1527" i="41" s="1"/>
  <c r="L1526" i="41"/>
  <c r="N1526" i="41" s="1"/>
  <c r="L1525" i="41"/>
  <c r="N1525" i="41" s="1"/>
  <c r="L1524" i="41"/>
  <c r="N1524" i="41" s="1"/>
  <c r="L1523" i="41"/>
  <c r="N1523" i="41" s="1"/>
  <c r="L1522" i="41"/>
  <c r="N1522" i="41" s="1"/>
  <c r="L1521" i="41"/>
  <c r="N1521" i="41" s="1"/>
  <c r="L1520" i="41"/>
  <c r="N1520" i="41" s="1"/>
  <c r="L1519" i="41"/>
  <c r="N1519" i="41" s="1"/>
  <c r="L1518" i="41"/>
  <c r="N1518" i="41" s="1"/>
  <c r="L1517" i="41"/>
  <c r="N1517" i="41" s="1"/>
  <c r="L1516" i="41"/>
  <c r="N1516" i="41" s="1"/>
  <c r="L1515" i="41"/>
  <c r="N1515" i="41" s="1"/>
  <c r="L1514" i="41"/>
  <c r="N1514" i="41" s="1"/>
  <c r="L1513" i="41"/>
  <c r="N1513" i="41" s="1"/>
  <c r="L1512" i="41"/>
  <c r="N1512" i="41" s="1"/>
  <c r="L1511" i="41"/>
  <c r="N1511" i="41" s="1"/>
  <c r="L1510" i="41"/>
  <c r="N1510" i="41" s="1"/>
  <c r="L1509" i="41"/>
  <c r="N1509" i="41" s="1"/>
  <c r="L1508" i="41"/>
  <c r="N1508" i="41" s="1"/>
  <c r="L1507" i="41"/>
  <c r="N1507" i="41" s="1"/>
  <c r="L1506" i="41"/>
  <c r="N1506" i="41" s="1"/>
  <c r="L1505" i="41"/>
  <c r="N1505" i="41" s="1"/>
  <c r="L1504" i="41"/>
  <c r="N1504" i="41" s="1"/>
  <c r="L1503" i="41"/>
  <c r="N1503" i="41" s="1"/>
  <c r="L1502" i="41"/>
  <c r="N1502" i="41" s="1"/>
  <c r="L1501" i="41"/>
  <c r="N1501" i="41" s="1"/>
  <c r="L1500" i="41"/>
  <c r="N1500" i="41" s="1"/>
  <c r="L1499" i="41"/>
  <c r="N1499" i="41" s="1"/>
  <c r="L1498" i="41"/>
  <c r="N1498" i="41" s="1"/>
  <c r="L1497" i="41"/>
  <c r="N1497" i="41" s="1"/>
  <c r="V1496" i="41"/>
  <c r="Y1496" i="41" s="1"/>
  <c r="J1496" i="41"/>
  <c r="L1495" i="41"/>
  <c r="N1495" i="41" s="1"/>
  <c r="L1494" i="41"/>
  <c r="N1494" i="41" s="1"/>
  <c r="L1493" i="41"/>
  <c r="N1493" i="41" s="1"/>
  <c r="L1492" i="41"/>
  <c r="N1492" i="41" s="1"/>
  <c r="L1491" i="41"/>
  <c r="N1491" i="41" s="1"/>
  <c r="L1490" i="41"/>
  <c r="N1490" i="41" s="1"/>
  <c r="L1489" i="41"/>
  <c r="N1489" i="41" s="1"/>
  <c r="L1488" i="41"/>
  <c r="N1488" i="41" s="1"/>
  <c r="L1487" i="41"/>
  <c r="N1487" i="41" s="1"/>
  <c r="L1486" i="41"/>
  <c r="N1486" i="41" s="1"/>
  <c r="L1485" i="41"/>
  <c r="N1485" i="41" s="1"/>
  <c r="L1484" i="41"/>
  <c r="N1484" i="41" s="1"/>
  <c r="L1483" i="41"/>
  <c r="N1483" i="41" s="1"/>
  <c r="L1482" i="41"/>
  <c r="N1482" i="41" s="1"/>
  <c r="L1481" i="41"/>
  <c r="N1481" i="41" s="1"/>
  <c r="L1480" i="41"/>
  <c r="N1480" i="41" s="1"/>
  <c r="L1479" i="41"/>
  <c r="N1479" i="41" s="1"/>
  <c r="L1478" i="41"/>
  <c r="N1478" i="41" s="1"/>
  <c r="L1477" i="41"/>
  <c r="N1477" i="41" s="1"/>
  <c r="L1476" i="41"/>
  <c r="N1476" i="41" s="1"/>
  <c r="L1475" i="41"/>
  <c r="N1475" i="41" s="1"/>
  <c r="L1474" i="41"/>
  <c r="N1474" i="41" s="1"/>
  <c r="L1473" i="41"/>
  <c r="N1473" i="41" s="1"/>
  <c r="L1472" i="41"/>
  <c r="N1472" i="41" s="1"/>
  <c r="L1471" i="41"/>
  <c r="N1471" i="41" s="1"/>
  <c r="L1470" i="41"/>
  <c r="N1470" i="41" s="1"/>
  <c r="L1469" i="41"/>
  <c r="N1469" i="41" s="1"/>
  <c r="L1468" i="41"/>
  <c r="N1468" i="41" s="1"/>
  <c r="L1467" i="41"/>
  <c r="N1467" i="41" s="1"/>
  <c r="L1466" i="41"/>
  <c r="N1466" i="41" s="1"/>
  <c r="L1465" i="41"/>
  <c r="N1465" i="41" s="1"/>
  <c r="L1464" i="41"/>
  <c r="N1464" i="41" s="1"/>
  <c r="L1463" i="41"/>
  <c r="N1463" i="41" s="1"/>
  <c r="L1462" i="41"/>
  <c r="N1462" i="41" s="1"/>
  <c r="L1461" i="41"/>
  <c r="N1461" i="41" s="1"/>
  <c r="L1460" i="41"/>
  <c r="N1460" i="41" s="1"/>
  <c r="L1459" i="41"/>
  <c r="N1459" i="41" s="1"/>
  <c r="L1458" i="41"/>
  <c r="N1458" i="41" s="1"/>
  <c r="L1457" i="41"/>
  <c r="N1457" i="41" s="1"/>
  <c r="L1456" i="41"/>
  <c r="N1456" i="41" s="1"/>
  <c r="L1455" i="41"/>
  <c r="N1455" i="41" s="1"/>
  <c r="L1454" i="41"/>
  <c r="N1454" i="41" s="1"/>
  <c r="L1453" i="41"/>
  <c r="N1453" i="41" s="1"/>
  <c r="L1452" i="41"/>
  <c r="N1452" i="41" s="1"/>
  <c r="L1451" i="41"/>
  <c r="N1451" i="41" s="1"/>
  <c r="L1450" i="41"/>
  <c r="N1450" i="41" s="1"/>
  <c r="L1449" i="41"/>
  <c r="N1449" i="41" s="1"/>
  <c r="L1448" i="41"/>
  <c r="N1448" i="41" s="1"/>
  <c r="L1447" i="41"/>
  <c r="N1447" i="41" s="1"/>
  <c r="L1446" i="41"/>
  <c r="N1446" i="41" s="1"/>
  <c r="L1445" i="41"/>
  <c r="N1445" i="41" s="1"/>
  <c r="V1444" i="41"/>
  <c r="Y1444" i="41" s="1"/>
  <c r="J1444" i="41"/>
  <c r="L1443" i="41"/>
  <c r="N1443" i="41" s="1"/>
  <c r="L1442" i="41"/>
  <c r="N1442" i="41" s="1"/>
  <c r="L1441" i="41"/>
  <c r="N1441" i="41" s="1"/>
  <c r="L1440" i="41"/>
  <c r="N1440" i="41" s="1"/>
  <c r="L1439" i="41"/>
  <c r="N1439" i="41" s="1"/>
  <c r="L1438" i="41"/>
  <c r="N1438" i="41" s="1"/>
  <c r="L1437" i="41"/>
  <c r="N1437" i="41" s="1"/>
  <c r="L1436" i="41"/>
  <c r="N1436" i="41" s="1"/>
  <c r="L1435" i="41"/>
  <c r="N1435" i="41" s="1"/>
  <c r="V1434" i="41"/>
  <c r="Y1434" i="41" s="1"/>
  <c r="J1434" i="41"/>
  <c r="L1433" i="41"/>
  <c r="N1433" i="41" s="1"/>
  <c r="L1432" i="41"/>
  <c r="N1432" i="41" s="1"/>
  <c r="L1431" i="41"/>
  <c r="N1431" i="41" s="1"/>
  <c r="L1430" i="41"/>
  <c r="N1430" i="41" s="1"/>
  <c r="L1429" i="41"/>
  <c r="N1429" i="41" s="1"/>
  <c r="L1428" i="41"/>
  <c r="N1428" i="41" s="1"/>
  <c r="L1427" i="41"/>
  <c r="N1427" i="41" s="1"/>
  <c r="L1426" i="41"/>
  <c r="N1426" i="41" s="1"/>
  <c r="L1425" i="41"/>
  <c r="N1425" i="41" s="1"/>
  <c r="L1424" i="41"/>
  <c r="N1424" i="41" s="1"/>
  <c r="L1423" i="41"/>
  <c r="N1423" i="41" s="1"/>
  <c r="L1422" i="41"/>
  <c r="N1422" i="41" s="1"/>
  <c r="L1421" i="41"/>
  <c r="N1421" i="41" s="1"/>
  <c r="L1420" i="41"/>
  <c r="N1420" i="41" s="1"/>
  <c r="L1419" i="41"/>
  <c r="N1419" i="41" s="1"/>
  <c r="L1418" i="41"/>
  <c r="N1418" i="41" s="1"/>
  <c r="L1417" i="41"/>
  <c r="N1417" i="41" s="1"/>
  <c r="V1416" i="41"/>
  <c r="Y1416" i="41" s="1"/>
  <c r="J1416" i="41"/>
  <c r="L1415" i="41"/>
  <c r="N1415" i="41" s="1"/>
  <c r="Y1414" i="41"/>
  <c r="L1414" i="41"/>
  <c r="N1414" i="41" s="1"/>
  <c r="L1413" i="41"/>
  <c r="N1413" i="41" s="1"/>
  <c r="L1412" i="41"/>
  <c r="N1412" i="41" s="1"/>
  <c r="L1411" i="41"/>
  <c r="N1411" i="41" s="1"/>
  <c r="L1410" i="41"/>
  <c r="N1410" i="41" s="1"/>
  <c r="L1409" i="41"/>
  <c r="N1409" i="41" s="1"/>
  <c r="L1408" i="41"/>
  <c r="N1408" i="41" s="1"/>
  <c r="L1407" i="41"/>
  <c r="N1407" i="41" s="1"/>
  <c r="L1406" i="41"/>
  <c r="N1406" i="41" s="1"/>
  <c r="L1405" i="41"/>
  <c r="N1405" i="41" s="1"/>
  <c r="L1404" i="41"/>
  <c r="N1404" i="41" s="1"/>
  <c r="L1403" i="41"/>
  <c r="N1403" i="41" s="1"/>
  <c r="L1402" i="41"/>
  <c r="N1402" i="41" s="1"/>
  <c r="L1401" i="41"/>
  <c r="N1401" i="41" s="1"/>
  <c r="L1400" i="41"/>
  <c r="N1400" i="41" s="1"/>
  <c r="L1399" i="41"/>
  <c r="N1399" i="41" s="1"/>
  <c r="L1398" i="41"/>
  <c r="N1398" i="41" s="1"/>
  <c r="L1397" i="41"/>
  <c r="N1397" i="41" s="1"/>
  <c r="L1396" i="41"/>
  <c r="N1396" i="41" s="1"/>
  <c r="L1395" i="41"/>
  <c r="N1395" i="41" s="1"/>
  <c r="L1394" i="41"/>
  <c r="N1394" i="41" s="1"/>
  <c r="L1393" i="41"/>
  <c r="N1393" i="41" s="1"/>
  <c r="L1392" i="41"/>
  <c r="N1392" i="41" s="1"/>
  <c r="L1391" i="41"/>
  <c r="N1391" i="41" s="1"/>
  <c r="L1390" i="41"/>
  <c r="N1390" i="41" s="1"/>
  <c r="L1389" i="41"/>
  <c r="N1389" i="41" s="1"/>
  <c r="L1388" i="41"/>
  <c r="N1388" i="41" s="1"/>
  <c r="L1387" i="41"/>
  <c r="N1387" i="41" s="1"/>
  <c r="L1386" i="41"/>
  <c r="N1386" i="41" s="1"/>
  <c r="L1385" i="41"/>
  <c r="N1385" i="41" s="1"/>
  <c r="L1384" i="41"/>
  <c r="N1384" i="41" s="1"/>
  <c r="L1383" i="41"/>
  <c r="N1383" i="41" s="1"/>
  <c r="L1382" i="41"/>
  <c r="N1382" i="41" s="1"/>
  <c r="L1381" i="41"/>
  <c r="N1381" i="41" s="1"/>
  <c r="L1380" i="41"/>
  <c r="N1380" i="41" s="1"/>
  <c r="L1379" i="41"/>
  <c r="N1379" i="41" s="1"/>
  <c r="L1378" i="41"/>
  <c r="N1378" i="41" s="1"/>
  <c r="L1377" i="41"/>
  <c r="N1377" i="41" s="1"/>
  <c r="L1376" i="41"/>
  <c r="N1376" i="41" s="1"/>
  <c r="L1375" i="41"/>
  <c r="N1375" i="41" s="1"/>
  <c r="L1374" i="41"/>
  <c r="N1374" i="41" s="1"/>
  <c r="L1373" i="41"/>
  <c r="N1373" i="41" s="1"/>
  <c r="L1372" i="41"/>
  <c r="N1372" i="41" s="1"/>
  <c r="L1371" i="41"/>
  <c r="N1371" i="41" s="1"/>
  <c r="L1370" i="41"/>
  <c r="N1370" i="41" s="1"/>
  <c r="L1369" i="41"/>
  <c r="N1369" i="41" s="1"/>
  <c r="L1368" i="41"/>
  <c r="N1368" i="41" s="1"/>
  <c r="L1367" i="41"/>
  <c r="N1367" i="41" s="1"/>
  <c r="L1366" i="41"/>
  <c r="N1366" i="41" s="1"/>
  <c r="L1365" i="41"/>
  <c r="N1365" i="41" s="1"/>
  <c r="L1364" i="41"/>
  <c r="N1364" i="41" s="1"/>
  <c r="L1363" i="41"/>
  <c r="N1363" i="41" s="1"/>
  <c r="L1362" i="41"/>
  <c r="N1362" i="41" s="1"/>
  <c r="Y1361" i="41"/>
  <c r="L1361" i="41"/>
  <c r="N1361" i="41" s="1"/>
  <c r="L1360" i="41"/>
  <c r="N1360" i="41" s="1"/>
  <c r="L1359" i="41"/>
  <c r="N1359" i="41" s="1"/>
  <c r="L1358" i="41"/>
  <c r="N1358" i="41" s="1"/>
  <c r="L1357" i="41"/>
  <c r="N1357" i="41" s="1"/>
  <c r="L1356" i="41"/>
  <c r="N1356" i="41" s="1"/>
  <c r="L1355" i="41"/>
  <c r="N1355" i="41" s="1"/>
  <c r="L1354" i="41"/>
  <c r="N1354" i="41" s="1"/>
  <c r="L1353" i="41"/>
  <c r="N1353" i="41" s="1"/>
  <c r="L1352" i="41"/>
  <c r="N1352" i="41" s="1"/>
  <c r="L1351" i="41"/>
  <c r="N1351" i="41" s="1"/>
  <c r="L1350" i="41"/>
  <c r="N1350" i="41" s="1"/>
  <c r="L1349" i="41"/>
  <c r="N1349" i="41" s="1"/>
  <c r="L1348" i="41"/>
  <c r="N1348" i="41" s="1"/>
  <c r="L1347" i="41"/>
  <c r="N1347" i="41" s="1"/>
  <c r="L1346" i="41"/>
  <c r="N1346" i="41" s="1"/>
  <c r="V1345" i="41"/>
  <c r="Y1345" i="41" s="1"/>
  <c r="L1345" i="41"/>
  <c r="N1345" i="41" s="1"/>
  <c r="L1344" i="41"/>
  <c r="N1344" i="41" s="1"/>
  <c r="L1343" i="41"/>
  <c r="N1343" i="41" s="1"/>
  <c r="L1342" i="41"/>
  <c r="N1342" i="41" s="1"/>
  <c r="L1341" i="41"/>
  <c r="N1341" i="41" s="1"/>
  <c r="L1340" i="41"/>
  <c r="N1340" i="41" s="1"/>
  <c r="L1339" i="41"/>
  <c r="N1339" i="41" s="1"/>
  <c r="L1338" i="41"/>
  <c r="N1338" i="41" s="1"/>
  <c r="L1337" i="41"/>
  <c r="N1337" i="41" s="1"/>
  <c r="L1336" i="41"/>
  <c r="N1336" i="41" s="1"/>
  <c r="L1335" i="41"/>
  <c r="N1335" i="41" s="1"/>
  <c r="L1334" i="41"/>
  <c r="N1334" i="41" s="1"/>
  <c r="L1333" i="41"/>
  <c r="N1333" i="41" s="1"/>
  <c r="L1332" i="41"/>
  <c r="N1332" i="41" s="1"/>
  <c r="L1331" i="41"/>
  <c r="N1331" i="41" s="1"/>
  <c r="L1330" i="41"/>
  <c r="N1330" i="41" s="1"/>
  <c r="L1329" i="41"/>
  <c r="N1329" i="41" s="1"/>
  <c r="L1328" i="41"/>
  <c r="N1328" i="41" s="1"/>
  <c r="L1327" i="41"/>
  <c r="N1327" i="41" s="1"/>
  <c r="V1326" i="41"/>
  <c r="Y1326" i="41" s="1"/>
  <c r="H1326" i="41"/>
  <c r="L1325" i="41"/>
  <c r="N1325" i="41" s="1"/>
  <c r="L1324" i="41"/>
  <c r="N1324" i="41" s="1"/>
  <c r="L1323" i="41"/>
  <c r="N1323" i="41" s="1"/>
  <c r="L1322" i="41"/>
  <c r="N1322" i="41" s="1"/>
  <c r="L1321" i="41"/>
  <c r="N1321" i="41" s="1"/>
  <c r="L1320" i="41"/>
  <c r="N1320" i="41" s="1"/>
  <c r="L1319" i="41"/>
  <c r="N1319" i="41" s="1"/>
  <c r="L1318" i="41"/>
  <c r="N1318" i="41" s="1"/>
  <c r="L1317" i="41"/>
  <c r="N1317" i="41" s="1"/>
  <c r="L1316" i="41"/>
  <c r="N1316" i="41" s="1"/>
  <c r="V1315" i="41"/>
  <c r="Y1315" i="41" s="1"/>
  <c r="L1315" i="41"/>
  <c r="L1314" i="41"/>
  <c r="N1314" i="41" s="1"/>
  <c r="L1313" i="41"/>
  <c r="N1313" i="41" s="1"/>
  <c r="L1312" i="41"/>
  <c r="N1312" i="41" s="1"/>
  <c r="L1311" i="41"/>
  <c r="N1311" i="41" s="1"/>
  <c r="L1310" i="41"/>
  <c r="N1310" i="41" s="1"/>
  <c r="L1309" i="41"/>
  <c r="N1309" i="41" s="1"/>
  <c r="L1308" i="41"/>
  <c r="N1308" i="41" s="1"/>
  <c r="L1307" i="41"/>
  <c r="N1307" i="41" s="1"/>
  <c r="V1306" i="41"/>
  <c r="Y1306" i="41" s="1"/>
  <c r="L1306" i="41"/>
  <c r="L1305" i="41"/>
  <c r="N1305" i="41" s="1"/>
  <c r="L1304" i="41"/>
  <c r="N1304" i="41" s="1"/>
  <c r="V1303" i="41"/>
  <c r="Y1303" i="41" s="1"/>
  <c r="L1303" i="41"/>
  <c r="L1302" i="41"/>
  <c r="N1302" i="41" s="1"/>
  <c r="L1301" i="41"/>
  <c r="N1301" i="41" s="1"/>
  <c r="L1300" i="41"/>
  <c r="N1300" i="41" s="1"/>
  <c r="L1299" i="41"/>
  <c r="N1299" i="41" s="1"/>
  <c r="L1298" i="41"/>
  <c r="N1298" i="41" s="1"/>
  <c r="L1297" i="41"/>
  <c r="N1297" i="41" s="1"/>
  <c r="L1296" i="41"/>
  <c r="N1296" i="41" s="1"/>
  <c r="L1295" i="41"/>
  <c r="N1295" i="41" s="1"/>
  <c r="L1294" i="41"/>
  <c r="N1294" i="41" s="1"/>
  <c r="L1293" i="41"/>
  <c r="N1293" i="41" s="1"/>
  <c r="L1292" i="41"/>
  <c r="N1292" i="41" s="1"/>
  <c r="L1291" i="41"/>
  <c r="N1291" i="41" s="1"/>
  <c r="L1290" i="41"/>
  <c r="N1290" i="41" s="1"/>
  <c r="L1289" i="41"/>
  <c r="N1289" i="41" s="1"/>
  <c r="L1288" i="41"/>
  <c r="N1288" i="41" s="1"/>
  <c r="L1287" i="41"/>
  <c r="N1287" i="41" s="1"/>
  <c r="L1286" i="41"/>
  <c r="N1286" i="41" s="1"/>
  <c r="L1285" i="41"/>
  <c r="N1285" i="41" s="1"/>
  <c r="L1284" i="41"/>
  <c r="N1284" i="41" s="1"/>
  <c r="L1283" i="41"/>
  <c r="N1283" i="41" s="1"/>
  <c r="L1282" i="41"/>
  <c r="N1282" i="41" s="1"/>
  <c r="L1281" i="41"/>
  <c r="N1281" i="41" s="1"/>
  <c r="L1280" i="41"/>
  <c r="N1280" i="41" s="1"/>
  <c r="L1279" i="41"/>
  <c r="N1279" i="41" s="1"/>
  <c r="L1278" i="41"/>
  <c r="N1278" i="41" s="1"/>
  <c r="Y1277" i="41"/>
  <c r="L1276" i="41"/>
  <c r="N1276" i="41" s="1"/>
  <c r="L1275" i="41"/>
  <c r="N1275" i="41" s="1"/>
  <c r="L1274" i="41"/>
  <c r="N1274" i="41" s="1"/>
  <c r="L1273" i="41"/>
  <c r="N1273" i="41" s="1"/>
  <c r="L1272" i="41"/>
  <c r="N1272" i="41" s="1"/>
  <c r="L1271" i="41"/>
  <c r="N1271" i="41" s="1"/>
  <c r="L1270" i="41"/>
  <c r="N1270" i="41" s="1"/>
  <c r="L1269" i="41"/>
  <c r="N1269" i="41" s="1"/>
  <c r="L1268" i="41"/>
  <c r="N1268" i="41" s="1"/>
  <c r="L1267" i="41"/>
  <c r="N1267" i="41" s="1"/>
  <c r="L1266" i="41"/>
  <c r="N1266" i="41" s="1"/>
  <c r="L1265" i="41"/>
  <c r="N1265" i="41" s="1"/>
  <c r="L1264" i="41"/>
  <c r="N1264" i="41" s="1"/>
  <c r="V1263" i="41"/>
  <c r="Y1263" i="41" s="1"/>
  <c r="L1263" i="41"/>
  <c r="L1262" i="41"/>
  <c r="N1262" i="41" s="1"/>
  <c r="L1261" i="41"/>
  <c r="N1261" i="41" s="1"/>
  <c r="L1260" i="41"/>
  <c r="N1260" i="41" s="1"/>
  <c r="L1259" i="41"/>
  <c r="N1259" i="41" s="1"/>
  <c r="L1258" i="41"/>
  <c r="N1258" i="41" s="1"/>
  <c r="L1257" i="41"/>
  <c r="N1257" i="41" s="1"/>
  <c r="L1256" i="41"/>
  <c r="N1256" i="41" s="1"/>
  <c r="L1255" i="41"/>
  <c r="N1255" i="41" s="1"/>
  <c r="L1254" i="41"/>
  <c r="N1254" i="41" s="1"/>
  <c r="L1253" i="41"/>
  <c r="N1253" i="41" s="1"/>
  <c r="L1252" i="41"/>
  <c r="N1252" i="41" s="1"/>
  <c r="L1251" i="41"/>
  <c r="N1251" i="41" s="1"/>
  <c r="L1250" i="41"/>
  <c r="N1250" i="41" s="1"/>
  <c r="L1249" i="41"/>
  <c r="N1249" i="41" s="1"/>
  <c r="L1248" i="41"/>
  <c r="N1248" i="41" s="1"/>
  <c r="L1247" i="41"/>
  <c r="N1247" i="41" s="1"/>
  <c r="L1246" i="41"/>
  <c r="N1246" i="41" s="1"/>
  <c r="L1245" i="41"/>
  <c r="N1245" i="41" s="1"/>
  <c r="L1244" i="41"/>
  <c r="N1244" i="41" s="1"/>
  <c r="L1243" i="41"/>
  <c r="N1243" i="41" s="1"/>
  <c r="L1242" i="41"/>
  <c r="N1242" i="41" s="1"/>
  <c r="L1241" i="41"/>
  <c r="N1241" i="41" s="1"/>
  <c r="L1240" i="41"/>
  <c r="N1240" i="41" s="1"/>
  <c r="L1239" i="41"/>
  <c r="N1239" i="41" s="1"/>
  <c r="L1238" i="41"/>
  <c r="N1238" i="41" s="1"/>
  <c r="L1237" i="41"/>
  <c r="N1237" i="41" s="1"/>
  <c r="L1236" i="41"/>
  <c r="N1236" i="41" s="1"/>
  <c r="L1235" i="41"/>
  <c r="N1235" i="41" s="1"/>
  <c r="L1234" i="41"/>
  <c r="N1234" i="41" s="1"/>
  <c r="L1233" i="41"/>
  <c r="N1233" i="41" s="1"/>
  <c r="L1232" i="41"/>
  <c r="N1232" i="41" s="1"/>
  <c r="L1231" i="41"/>
  <c r="N1231" i="41" s="1"/>
  <c r="L1230" i="41"/>
  <c r="N1230" i="41" s="1"/>
  <c r="L1229" i="41"/>
  <c r="N1229" i="41" s="1"/>
  <c r="L1228" i="41"/>
  <c r="N1228" i="41" s="1"/>
  <c r="L1227" i="41"/>
  <c r="N1227" i="41" s="1"/>
  <c r="L1226" i="41"/>
  <c r="N1226" i="41" s="1"/>
  <c r="L1225" i="41"/>
  <c r="N1225" i="41" s="1"/>
  <c r="L1224" i="41"/>
  <c r="N1224" i="41" s="1"/>
  <c r="L1223" i="41"/>
  <c r="N1223" i="41" s="1"/>
  <c r="L1222" i="41"/>
  <c r="N1222" i="41" s="1"/>
  <c r="L1221" i="41"/>
  <c r="N1221" i="41" s="1"/>
  <c r="L1220" i="41"/>
  <c r="N1220" i="41" s="1"/>
  <c r="L1219" i="41"/>
  <c r="N1219" i="41" s="1"/>
  <c r="L1218" i="41"/>
  <c r="N1218" i="41" s="1"/>
  <c r="L1217" i="41"/>
  <c r="N1217" i="41" s="1"/>
  <c r="L1216" i="41"/>
  <c r="N1216" i="41" s="1"/>
  <c r="L1215" i="41"/>
  <c r="N1215" i="41" s="1"/>
  <c r="L1214" i="41"/>
  <c r="N1214" i="41" s="1"/>
  <c r="L1213" i="41"/>
  <c r="N1213" i="41" s="1"/>
  <c r="L1212" i="41"/>
  <c r="N1212" i="41" s="1"/>
  <c r="L1211" i="41"/>
  <c r="N1211" i="41" s="1"/>
  <c r="L1210" i="41"/>
  <c r="N1210" i="41" s="1"/>
  <c r="L1209" i="41"/>
  <c r="N1209" i="41" s="1"/>
  <c r="L1208" i="41"/>
  <c r="N1208" i="41" s="1"/>
  <c r="L1207" i="41"/>
  <c r="N1207" i="41" s="1"/>
  <c r="V1206" i="41"/>
  <c r="Y1206" i="41" s="1"/>
  <c r="L1206" i="41"/>
  <c r="L1205" i="41"/>
  <c r="N1205" i="41" s="1"/>
  <c r="L1204" i="41"/>
  <c r="N1204" i="41" s="1"/>
  <c r="L1203" i="41"/>
  <c r="N1203" i="41" s="1"/>
  <c r="L1202" i="41"/>
  <c r="N1202" i="41" s="1"/>
  <c r="L1201" i="41"/>
  <c r="N1201" i="41" s="1"/>
  <c r="L1200" i="41"/>
  <c r="N1200" i="41" s="1"/>
  <c r="L1199" i="41"/>
  <c r="N1199" i="41" s="1"/>
  <c r="L1198" i="41"/>
  <c r="N1198" i="41" s="1"/>
  <c r="L1197" i="41"/>
  <c r="N1197" i="41" s="1"/>
  <c r="L1196" i="41"/>
  <c r="N1196" i="41" s="1"/>
  <c r="L1195" i="41"/>
  <c r="N1195" i="41" s="1"/>
  <c r="L1194" i="41"/>
  <c r="N1194" i="41" s="1"/>
  <c r="L1193" i="41"/>
  <c r="N1193" i="41" s="1"/>
  <c r="L1192" i="41"/>
  <c r="N1192" i="41" s="1"/>
  <c r="L1191" i="41"/>
  <c r="N1191" i="41" s="1"/>
  <c r="L1190" i="41"/>
  <c r="N1190" i="41" s="1"/>
  <c r="V1189" i="41"/>
  <c r="Y1189" i="41" s="1"/>
  <c r="L1189" i="41"/>
  <c r="L1188" i="41"/>
  <c r="N1188" i="41" s="1"/>
  <c r="L1187" i="41"/>
  <c r="N1187" i="41" s="1"/>
  <c r="L1186" i="41"/>
  <c r="N1186" i="41" s="1"/>
  <c r="L1185" i="41"/>
  <c r="N1185" i="41" s="1"/>
  <c r="L1184" i="41"/>
  <c r="N1184" i="41" s="1"/>
  <c r="L1183" i="41"/>
  <c r="N1183" i="41" s="1"/>
  <c r="L1182" i="41"/>
  <c r="N1182" i="41" s="1"/>
  <c r="L1181" i="41"/>
  <c r="N1181" i="41" s="1"/>
  <c r="L1180" i="41"/>
  <c r="N1180" i="41" s="1"/>
  <c r="L1179" i="41"/>
  <c r="N1179" i="41" s="1"/>
  <c r="L1178" i="41"/>
  <c r="N1178" i="41" s="1"/>
  <c r="L1177" i="41"/>
  <c r="N1177" i="41" s="1"/>
  <c r="V1176" i="41"/>
  <c r="Y1176" i="41" s="1"/>
  <c r="H1176" i="41"/>
  <c r="L1175" i="41"/>
  <c r="N1175" i="41" s="1"/>
  <c r="L1174" i="41"/>
  <c r="N1174" i="41" s="1"/>
  <c r="L1173" i="41"/>
  <c r="N1173" i="41" s="1"/>
  <c r="L1172" i="41"/>
  <c r="N1172" i="41" s="1"/>
  <c r="V1171" i="41"/>
  <c r="Y1171" i="41" s="1"/>
  <c r="L1171" i="41"/>
  <c r="N1171" i="41" s="1"/>
  <c r="L1170" i="41"/>
  <c r="N1170" i="41" s="1"/>
  <c r="L1169" i="41"/>
  <c r="N1169" i="41" s="1"/>
  <c r="L1168" i="41"/>
  <c r="N1168" i="41" s="1"/>
  <c r="L1167" i="41"/>
  <c r="N1167" i="41" s="1"/>
  <c r="L1166" i="41"/>
  <c r="N1166" i="41" s="1"/>
  <c r="V1165" i="41"/>
  <c r="Y1165" i="41" s="1"/>
  <c r="H1165" i="41"/>
  <c r="L1164" i="41"/>
  <c r="N1164" i="41" s="1"/>
  <c r="L1163" i="41"/>
  <c r="N1163" i="41" s="1"/>
  <c r="L1162" i="41"/>
  <c r="N1162" i="41" s="1"/>
  <c r="L1161" i="41"/>
  <c r="N1161" i="41" s="1"/>
  <c r="L1160" i="41"/>
  <c r="N1160" i="41" s="1"/>
  <c r="L1159" i="41"/>
  <c r="N1159" i="41" s="1"/>
  <c r="V1158" i="41"/>
  <c r="Y1158" i="41" s="1"/>
  <c r="L1158" i="41"/>
  <c r="N1158" i="41" s="1"/>
  <c r="L1157" i="41"/>
  <c r="N1157" i="41" s="1"/>
  <c r="L1156" i="41"/>
  <c r="N1156" i="41" s="1"/>
  <c r="L1155" i="41"/>
  <c r="N1155" i="41" s="1"/>
  <c r="L1154" i="41"/>
  <c r="N1154" i="41" s="1"/>
  <c r="L1153" i="41"/>
  <c r="N1153" i="41" s="1"/>
  <c r="L1152" i="41"/>
  <c r="N1152" i="41" s="1"/>
  <c r="L1151" i="41"/>
  <c r="N1151" i="41" s="1"/>
  <c r="V1150" i="41"/>
  <c r="Y1150" i="41" s="1"/>
  <c r="L1150" i="41"/>
  <c r="N1150" i="41" s="1"/>
  <c r="L1149" i="41"/>
  <c r="N1149" i="41" s="1"/>
  <c r="L1148" i="41"/>
  <c r="N1148" i="41" s="1"/>
  <c r="L1147" i="41"/>
  <c r="N1147" i="41" s="1"/>
  <c r="L1146" i="41"/>
  <c r="N1146" i="41" s="1"/>
  <c r="L1145" i="41"/>
  <c r="N1145" i="41" s="1"/>
  <c r="L1144" i="41"/>
  <c r="N1144" i="41" s="1"/>
  <c r="L1143" i="41"/>
  <c r="N1143" i="41" s="1"/>
  <c r="L1142" i="41"/>
  <c r="N1142" i="41" s="1"/>
  <c r="L1141" i="41"/>
  <c r="N1141" i="41" s="1"/>
  <c r="L1140" i="41"/>
  <c r="N1140" i="41" s="1"/>
  <c r="L1139" i="41"/>
  <c r="N1139" i="41" s="1"/>
  <c r="L1138" i="41"/>
  <c r="N1138" i="41" s="1"/>
  <c r="L1137" i="41"/>
  <c r="N1137" i="41" s="1"/>
  <c r="L1136" i="41"/>
  <c r="N1136" i="41" s="1"/>
  <c r="L1135" i="41"/>
  <c r="N1135" i="41" s="1"/>
  <c r="L1134" i="41"/>
  <c r="N1134" i="41" s="1"/>
  <c r="L1133" i="41"/>
  <c r="N1133" i="41" s="1"/>
  <c r="L1132" i="41"/>
  <c r="N1132" i="41" s="1"/>
  <c r="L1131" i="41"/>
  <c r="N1131" i="41" s="1"/>
  <c r="Y1130" i="41"/>
  <c r="H1130" i="41"/>
  <c r="L1129" i="41"/>
  <c r="N1129" i="41" s="1"/>
  <c r="L1128" i="41"/>
  <c r="N1128" i="41" s="1"/>
  <c r="L1127" i="41"/>
  <c r="N1127" i="41" s="1"/>
  <c r="V1126" i="41"/>
  <c r="Y1126" i="41" s="1"/>
  <c r="L1126" i="41"/>
  <c r="N1126" i="41" s="1"/>
  <c r="L1125" i="41"/>
  <c r="N1125" i="41" s="1"/>
  <c r="L1124" i="41"/>
  <c r="N1124" i="41" s="1"/>
  <c r="L1123" i="41"/>
  <c r="N1123" i="41" s="1"/>
  <c r="L1122" i="41"/>
  <c r="N1122" i="41" s="1"/>
  <c r="L1121" i="41"/>
  <c r="N1121" i="41" s="1"/>
  <c r="L1120" i="41"/>
  <c r="N1120" i="41" s="1"/>
  <c r="L1119" i="41"/>
  <c r="N1119" i="41" s="1"/>
  <c r="Y1118" i="41"/>
  <c r="L1118" i="41"/>
  <c r="N1118" i="41" s="1"/>
  <c r="L1117" i="41"/>
  <c r="N1117" i="41" s="1"/>
  <c r="L1116" i="41"/>
  <c r="N1116" i="41" s="1"/>
  <c r="L1115" i="41"/>
  <c r="N1115" i="41" s="1"/>
  <c r="L1114" i="41"/>
  <c r="N1114" i="41" s="1"/>
  <c r="L1113" i="41"/>
  <c r="N1113" i="41" s="1"/>
  <c r="L1112" i="41"/>
  <c r="N1112" i="41" s="1"/>
  <c r="L1111" i="41"/>
  <c r="N1111" i="41" s="1"/>
  <c r="L1110" i="41"/>
  <c r="N1110" i="41" s="1"/>
  <c r="L1109" i="41"/>
  <c r="N1109" i="41" s="1"/>
  <c r="L1108" i="41"/>
  <c r="N1108" i="41" s="1"/>
  <c r="L1107" i="41"/>
  <c r="N1107" i="41" s="1"/>
  <c r="L1106" i="41"/>
  <c r="N1106" i="41" s="1"/>
  <c r="L1105" i="41"/>
  <c r="N1105" i="41" s="1"/>
  <c r="L1104" i="41"/>
  <c r="N1104" i="41" s="1"/>
  <c r="L1103" i="41"/>
  <c r="N1103" i="41" s="1"/>
  <c r="L1102" i="41"/>
  <c r="N1102" i="41" s="1"/>
  <c r="L1101" i="41"/>
  <c r="N1101" i="41" s="1"/>
  <c r="L1100" i="41"/>
  <c r="N1100" i="41" s="1"/>
  <c r="L1099" i="41"/>
  <c r="N1099" i="41" s="1"/>
  <c r="L1098" i="41"/>
  <c r="N1098" i="41" s="1"/>
  <c r="L1097" i="41"/>
  <c r="N1097" i="41" s="1"/>
  <c r="V1096" i="41"/>
  <c r="Y1096" i="41" s="1"/>
  <c r="L1096" i="41"/>
  <c r="N1096" i="41" s="1"/>
  <c r="L1095" i="41"/>
  <c r="N1095" i="41" s="1"/>
  <c r="L1094" i="41"/>
  <c r="N1094" i="41" s="1"/>
  <c r="V1093" i="41"/>
  <c r="Y1093" i="41" s="1"/>
  <c r="L1093" i="41"/>
  <c r="N1093" i="41" s="1"/>
  <c r="L1092" i="41"/>
  <c r="N1092" i="41" s="1"/>
  <c r="V1091" i="41"/>
  <c r="Y1091" i="41" s="1"/>
  <c r="J1091" i="41"/>
  <c r="L1090" i="41"/>
  <c r="N1090" i="41" s="1"/>
  <c r="L1089" i="41"/>
  <c r="N1089" i="41" s="1"/>
  <c r="L1088" i="41"/>
  <c r="N1088" i="41" s="1"/>
  <c r="L1087" i="41"/>
  <c r="N1087" i="41" s="1"/>
  <c r="L1086" i="41"/>
  <c r="N1086" i="41" s="1"/>
  <c r="L1085" i="41"/>
  <c r="N1085" i="41" s="1"/>
  <c r="L1084" i="41"/>
  <c r="N1084" i="41" s="1"/>
  <c r="L1083" i="41"/>
  <c r="N1083" i="41" s="1"/>
  <c r="L1082" i="41"/>
  <c r="N1082" i="41" s="1"/>
  <c r="L1081" i="41"/>
  <c r="N1081" i="41" s="1"/>
  <c r="L1080" i="41"/>
  <c r="N1080" i="41" s="1"/>
  <c r="L1079" i="41"/>
  <c r="N1079" i="41" s="1"/>
  <c r="L1078" i="41"/>
  <c r="N1078" i="41" s="1"/>
  <c r="L1077" i="41"/>
  <c r="N1077" i="41" s="1"/>
  <c r="L1076" i="41"/>
  <c r="N1076" i="41" s="1"/>
  <c r="L1075" i="41"/>
  <c r="N1075" i="41" s="1"/>
  <c r="L1074" i="41"/>
  <c r="N1074" i="41" s="1"/>
  <c r="L1073" i="41"/>
  <c r="N1073" i="41" s="1"/>
  <c r="L1072" i="41"/>
  <c r="N1072" i="41" s="1"/>
  <c r="L1071" i="41"/>
  <c r="N1071" i="41" s="1"/>
  <c r="L1070" i="41"/>
  <c r="N1070" i="41" s="1"/>
  <c r="L1069" i="41"/>
  <c r="N1069" i="41" s="1"/>
  <c r="L1068" i="41"/>
  <c r="N1068" i="41" s="1"/>
  <c r="L1067" i="41"/>
  <c r="N1067" i="41" s="1"/>
  <c r="V1066" i="41"/>
  <c r="Y1066" i="41" s="1"/>
  <c r="L1066" i="41"/>
  <c r="N1066" i="41" s="1"/>
  <c r="L1065" i="41"/>
  <c r="N1065" i="41" s="1"/>
  <c r="L1064" i="41"/>
  <c r="N1064" i="41" s="1"/>
  <c r="L1063" i="41"/>
  <c r="N1063" i="41" s="1"/>
  <c r="L1062" i="41"/>
  <c r="N1062" i="41" s="1"/>
  <c r="L1061" i="41"/>
  <c r="N1061" i="41" s="1"/>
  <c r="L1060" i="41"/>
  <c r="N1060" i="41" s="1"/>
  <c r="L1059" i="41"/>
  <c r="N1059" i="41" s="1"/>
  <c r="L1058" i="41"/>
  <c r="N1058" i="41" s="1"/>
  <c r="L1057" i="41"/>
  <c r="N1057" i="41" s="1"/>
  <c r="L1056" i="41"/>
  <c r="N1056" i="41" s="1"/>
  <c r="L1055" i="41"/>
  <c r="N1055" i="41" s="1"/>
  <c r="Y1054" i="41"/>
  <c r="L1054" i="41"/>
  <c r="N1054" i="41" s="1"/>
  <c r="L1053" i="41"/>
  <c r="N1053" i="41" s="1"/>
  <c r="L1052" i="41"/>
  <c r="N1052" i="41" s="1"/>
  <c r="L1051" i="41"/>
  <c r="N1051" i="41" s="1"/>
  <c r="L1050" i="41"/>
  <c r="N1050" i="41" s="1"/>
  <c r="L1049" i="41"/>
  <c r="N1049" i="41" s="1"/>
  <c r="L1048" i="41"/>
  <c r="N1048" i="41" s="1"/>
  <c r="L1047" i="41"/>
  <c r="N1047" i="41" s="1"/>
  <c r="L1046" i="41"/>
  <c r="N1046" i="41" s="1"/>
  <c r="L1045" i="41"/>
  <c r="N1045" i="41" s="1"/>
  <c r="L1044" i="41"/>
  <c r="N1044" i="41" s="1"/>
  <c r="L1043" i="41"/>
  <c r="N1043" i="41" s="1"/>
  <c r="L1042" i="41"/>
  <c r="N1042" i="41" s="1"/>
  <c r="L1041" i="41"/>
  <c r="N1041" i="41" s="1"/>
  <c r="L1040" i="41"/>
  <c r="N1040" i="41" s="1"/>
  <c r="L1039" i="41"/>
  <c r="N1039" i="41" s="1"/>
  <c r="L1038" i="41"/>
  <c r="N1038" i="41" s="1"/>
  <c r="L1037" i="41"/>
  <c r="N1037" i="41" s="1"/>
  <c r="L1036" i="41"/>
  <c r="N1036" i="41" s="1"/>
  <c r="L1035" i="41"/>
  <c r="N1035" i="41" s="1"/>
  <c r="L1034" i="41"/>
  <c r="N1034" i="41" s="1"/>
  <c r="L1033" i="41"/>
  <c r="N1033" i="41" s="1"/>
  <c r="N1032" i="41"/>
  <c r="L1031" i="41"/>
  <c r="N1031" i="41" s="1"/>
  <c r="V1030" i="41"/>
  <c r="Y1030" i="41" s="1"/>
  <c r="L1030" i="41"/>
  <c r="N1030" i="41" s="1"/>
  <c r="L1029" i="41"/>
  <c r="N1029" i="41" s="1"/>
  <c r="L1028" i="41"/>
  <c r="N1028" i="41" s="1"/>
  <c r="L1027" i="41"/>
  <c r="N1027" i="41" s="1"/>
  <c r="L1026" i="41"/>
  <c r="N1026" i="41" s="1"/>
  <c r="L1025" i="41"/>
  <c r="N1025" i="41" s="1"/>
  <c r="L1024" i="41"/>
  <c r="N1024" i="41" s="1"/>
  <c r="L1023" i="41"/>
  <c r="N1023" i="41" s="1"/>
  <c r="L1022" i="41"/>
  <c r="N1022" i="41" s="1"/>
  <c r="L1021" i="41"/>
  <c r="N1021" i="41" s="1"/>
  <c r="L1020" i="41"/>
  <c r="N1020" i="41" s="1"/>
  <c r="L1019" i="41"/>
  <c r="N1019" i="41" s="1"/>
  <c r="L1018" i="41"/>
  <c r="N1018" i="41" s="1"/>
  <c r="L1017" i="41"/>
  <c r="N1017" i="41" s="1"/>
  <c r="L1016" i="41"/>
  <c r="N1016" i="41" s="1"/>
  <c r="L1015" i="41"/>
  <c r="N1015" i="41" s="1"/>
  <c r="L1014" i="41"/>
  <c r="N1014" i="41" s="1"/>
  <c r="L1013" i="41"/>
  <c r="N1013" i="41" s="1"/>
  <c r="L1012" i="41"/>
  <c r="N1012" i="41" s="1"/>
  <c r="L1011" i="41"/>
  <c r="N1011" i="41" s="1"/>
  <c r="L1010" i="41"/>
  <c r="N1010" i="41" s="1"/>
  <c r="L1009" i="41"/>
  <c r="N1009" i="41" s="1"/>
  <c r="L1008" i="41"/>
  <c r="N1008" i="41" s="1"/>
  <c r="L1007" i="41"/>
  <c r="N1007" i="41" s="1"/>
  <c r="L1006" i="41"/>
  <c r="N1006" i="41" s="1"/>
  <c r="V1005" i="41"/>
  <c r="Y1005" i="41" s="1"/>
  <c r="L1005" i="41"/>
  <c r="N1005" i="41" s="1"/>
  <c r="L1004" i="41"/>
  <c r="N1004" i="41" s="1"/>
  <c r="L1003" i="41"/>
  <c r="N1003" i="41" s="1"/>
  <c r="L1002" i="41"/>
  <c r="N1002" i="41" s="1"/>
  <c r="L1001" i="41"/>
  <c r="N1001" i="41" s="1"/>
  <c r="L1000" i="41"/>
  <c r="N1000" i="41" s="1"/>
  <c r="L999" i="41"/>
  <c r="N999" i="41" s="1"/>
  <c r="L998" i="41"/>
  <c r="N998" i="41" s="1"/>
  <c r="L997" i="41"/>
  <c r="N997" i="41" s="1"/>
  <c r="L996" i="41"/>
  <c r="N996" i="41" s="1"/>
  <c r="Y995" i="41"/>
  <c r="L995" i="41"/>
  <c r="N995" i="41" s="1"/>
  <c r="V994" i="41"/>
  <c r="Y994" i="41" s="1"/>
  <c r="L994" i="41"/>
  <c r="N994" i="41" s="1"/>
  <c r="L993" i="41"/>
  <c r="N993" i="41" s="1"/>
  <c r="L992" i="41"/>
  <c r="N992" i="41" s="1"/>
  <c r="L991" i="41"/>
  <c r="N991" i="41" s="1"/>
  <c r="L990" i="41"/>
  <c r="N990" i="41" s="1"/>
  <c r="L989" i="41"/>
  <c r="N989" i="41" s="1"/>
  <c r="L988" i="41"/>
  <c r="N988" i="41" s="1"/>
  <c r="L987" i="41"/>
  <c r="N987" i="41" s="1"/>
  <c r="L986" i="41"/>
  <c r="N986" i="41" s="1"/>
  <c r="L985" i="41"/>
  <c r="N985" i="41" s="1"/>
  <c r="L984" i="41"/>
  <c r="N984" i="41" s="1"/>
  <c r="L983" i="41"/>
  <c r="N983" i="41" s="1"/>
  <c r="L982" i="41"/>
  <c r="N982" i="41" s="1"/>
  <c r="L981" i="41"/>
  <c r="N981" i="41" s="1"/>
  <c r="L980" i="41"/>
  <c r="N980" i="41" s="1"/>
  <c r="L979" i="41"/>
  <c r="N979" i="41" s="1"/>
  <c r="L978" i="41"/>
  <c r="N978" i="41" s="1"/>
  <c r="L977" i="41"/>
  <c r="N977" i="41" s="1"/>
  <c r="L976" i="41"/>
  <c r="N976" i="41" s="1"/>
  <c r="L975" i="41"/>
  <c r="N975" i="41" s="1"/>
  <c r="L974" i="41"/>
  <c r="N974" i="41" s="1"/>
  <c r="L973" i="41"/>
  <c r="N973" i="41" s="1"/>
  <c r="L972" i="41"/>
  <c r="N972" i="41" s="1"/>
  <c r="L971" i="41"/>
  <c r="N971" i="41" s="1"/>
  <c r="L970" i="41"/>
  <c r="N970" i="41" s="1"/>
  <c r="L969" i="41"/>
  <c r="N969" i="41" s="1"/>
  <c r="L968" i="41"/>
  <c r="N968" i="41" s="1"/>
  <c r="L967" i="41"/>
  <c r="N967" i="41" s="1"/>
  <c r="L966" i="41"/>
  <c r="N966" i="41" s="1"/>
  <c r="L965" i="41"/>
  <c r="N965" i="41" s="1"/>
  <c r="L964" i="41"/>
  <c r="N964" i="41" s="1"/>
  <c r="L963" i="41"/>
  <c r="N963" i="41" s="1"/>
  <c r="L962" i="41"/>
  <c r="N962" i="41" s="1"/>
  <c r="L961" i="41"/>
  <c r="N961" i="41" s="1"/>
  <c r="V960" i="41"/>
  <c r="Y960" i="41" s="1"/>
  <c r="L960" i="41"/>
  <c r="N960" i="41" s="1"/>
  <c r="L959" i="41"/>
  <c r="N959" i="41" s="1"/>
  <c r="L958" i="41"/>
  <c r="N958" i="41" s="1"/>
  <c r="L957" i="41"/>
  <c r="N957" i="41" s="1"/>
  <c r="L956" i="41"/>
  <c r="N956" i="41" s="1"/>
  <c r="L955" i="41"/>
  <c r="N955" i="41" s="1"/>
  <c r="L954" i="41"/>
  <c r="N954" i="41" s="1"/>
  <c r="L953" i="41"/>
  <c r="N953" i="41" s="1"/>
  <c r="L952" i="41"/>
  <c r="N952" i="41" s="1"/>
  <c r="L951" i="41"/>
  <c r="N951" i="41" s="1"/>
  <c r="L950" i="41"/>
  <c r="N950" i="41" s="1"/>
  <c r="V949" i="41"/>
  <c r="Y949" i="41" s="1"/>
  <c r="H949" i="41"/>
  <c r="L948" i="41"/>
  <c r="N948" i="41" s="1"/>
  <c r="L947" i="41"/>
  <c r="N947" i="41" s="1"/>
  <c r="L946" i="41"/>
  <c r="N946" i="41" s="1"/>
  <c r="L945" i="41"/>
  <c r="N945" i="41" s="1"/>
  <c r="L944" i="41"/>
  <c r="N944" i="41" s="1"/>
  <c r="V943" i="41"/>
  <c r="Y943" i="41" s="1"/>
  <c r="J943" i="41"/>
  <c r="L942" i="41"/>
  <c r="N942" i="41" s="1"/>
  <c r="L941" i="41"/>
  <c r="N941" i="41" s="1"/>
  <c r="L940" i="41"/>
  <c r="N940" i="41" s="1"/>
  <c r="L939" i="41"/>
  <c r="N939" i="41" s="1"/>
  <c r="L938" i="41"/>
  <c r="N938" i="41" s="1"/>
  <c r="L937" i="41"/>
  <c r="N937" i="41" s="1"/>
  <c r="Y936" i="41"/>
  <c r="L936" i="41"/>
  <c r="N936" i="41" s="1"/>
  <c r="L935" i="41"/>
  <c r="N935" i="41" s="1"/>
  <c r="Y934" i="41"/>
  <c r="L934" i="41"/>
  <c r="N934" i="41" s="1"/>
  <c r="L933" i="41"/>
  <c r="N933" i="41" s="1"/>
  <c r="L932" i="41"/>
  <c r="N932" i="41" s="1"/>
  <c r="L931" i="41"/>
  <c r="N931" i="41" s="1"/>
  <c r="L930" i="41"/>
  <c r="N930" i="41" s="1"/>
  <c r="L929" i="41"/>
  <c r="N929" i="41" s="1"/>
  <c r="L928" i="41"/>
  <c r="N928" i="41" s="1"/>
  <c r="L927" i="41"/>
  <c r="N927" i="41" s="1"/>
  <c r="L926" i="41"/>
  <c r="N926" i="41" s="1"/>
  <c r="H925" i="41"/>
  <c r="L924" i="41"/>
  <c r="N924" i="41" s="1"/>
  <c r="L923" i="41"/>
  <c r="N923" i="41" s="1"/>
  <c r="L922" i="41"/>
  <c r="N922" i="41" s="1"/>
  <c r="L921" i="41"/>
  <c r="N921" i="41" s="1"/>
  <c r="L920" i="41"/>
  <c r="N920" i="41" s="1"/>
  <c r="L919" i="41"/>
  <c r="N919" i="41" s="1"/>
  <c r="L918" i="41"/>
  <c r="N918" i="41" s="1"/>
  <c r="L917" i="41"/>
  <c r="N917" i="41" s="1"/>
  <c r="L916" i="41"/>
  <c r="N916" i="41" s="1"/>
  <c r="L915" i="41"/>
  <c r="N915" i="41" s="1"/>
  <c r="L914" i="41"/>
  <c r="N914" i="41" s="1"/>
  <c r="V913" i="41"/>
  <c r="Y913" i="41" s="1"/>
  <c r="L913" i="41"/>
  <c r="N913" i="41" s="1"/>
  <c r="L912" i="41"/>
  <c r="N912" i="41" s="1"/>
  <c r="L911" i="41"/>
  <c r="N911" i="41" s="1"/>
  <c r="L910" i="41"/>
  <c r="N910" i="41" s="1"/>
  <c r="L909" i="41"/>
  <c r="N909" i="41" s="1"/>
  <c r="L908" i="41"/>
  <c r="N908" i="41" s="1"/>
  <c r="Y907" i="41"/>
  <c r="J907" i="41"/>
  <c r="L906" i="41"/>
  <c r="N906" i="41" s="1"/>
  <c r="L905" i="41"/>
  <c r="N905" i="41" s="1"/>
  <c r="L904" i="41"/>
  <c r="N904" i="41" s="1"/>
  <c r="L903" i="41"/>
  <c r="N903" i="41" s="1"/>
  <c r="L902" i="41"/>
  <c r="N902" i="41" s="1"/>
  <c r="L901" i="41"/>
  <c r="N901" i="41" s="1"/>
  <c r="L900" i="41"/>
  <c r="N900" i="41" s="1"/>
  <c r="L899" i="41"/>
  <c r="N899" i="41" s="1"/>
  <c r="L898" i="41"/>
  <c r="N898" i="41" s="1"/>
  <c r="L897" i="41"/>
  <c r="N897" i="41" s="1"/>
  <c r="L896" i="41"/>
  <c r="N896" i="41" s="1"/>
  <c r="L895" i="41"/>
  <c r="N895" i="41" s="1"/>
  <c r="L894" i="41"/>
  <c r="N894" i="41" s="1"/>
  <c r="L893" i="41"/>
  <c r="N893" i="41" s="1"/>
  <c r="L892" i="41"/>
  <c r="N892" i="41" s="1"/>
  <c r="L891" i="41"/>
  <c r="N891" i="41" s="1"/>
  <c r="L890" i="41"/>
  <c r="N890" i="41" s="1"/>
  <c r="Y889" i="41"/>
  <c r="L888" i="41"/>
  <c r="N888" i="41" s="1"/>
  <c r="L887" i="41"/>
  <c r="N887" i="41" s="1"/>
  <c r="L886" i="41"/>
  <c r="N886" i="41" s="1"/>
  <c r="L885" i="41"/>
  <c r="N885" i="41" s="1"/>
  <c r="L884" i="41"/>
  <c r="N884" i="41" s="1"/>
  <c r="V883" i="41"/>
  <c r="Y883" i="41" s="1"/>
  <c r="L883" i="41"/>
  <c r="N883" i="41" s="1"/>
  <c r="L882" i="41"/>
  <c r="N882" i="41" s="1"/>
  <c r="L881" i="41"/>
  <c r="N881" i="41" s="1"/>
  <c r="V880" i="41"/>
  <c r="Y880" i="41" s="1"/>
  <c r="L880" i="41"/>
  <c r="N880" i="41" s="1"/>
  <c r="L879" i="41"/>
  <c r="N879" i="41" s="1"/>
  <c r="L878" i="41"/>
  <c r="N878" i="41" s="1"/>
  <c r="L877" i="41"/>
  <c r="N877" i="41" s="1"/>
  <c r="L876" i="41"/>
  <c r="N876" i="41" s="1"/>
  <c r="L875" i="41"/>
  <c r="N875" i="41" s="1"/>
  <c r="L874" i="41"/>
  <c r="N874" i="41" s="1"/>
  <c r="L873" i="41"/>
  <c r="N873" i="41" s="1"/>
  <c r="L872" i="41"/>
  <c r="N872" i="41" s="1"/>
  <c r="L871" i="41"/>
  <c r="N871" i="41" s="1"/>
  <c r="L870" i="41"/>
  <c r="N870" i="41" s="1"/>
  <c r="L869" i="41"/>
  <c r="N869" i="41" s="1"/>
  <c r="L868" i="41"/>
  <c r="N868" i="41" s="1"/>
  <c r="L867" i="41"/>
  <c r="N867" i="41" s="1"/>
  <c r="L866" i="41"/>
  <c r="N866" i="41" s="1"/>
  <c r="L865" i="41"/>
  <c r="N865" i="41" s="1"/>
  <c r="L864" i="41"/>
  <c r="N864" i="41" s="1"/>
  <c r="L863" i="41"/>
  <c r="N863" i="41" s="1"/>
  <c r="L862" i="41"/>
  <c r="N862" i="41" s="1"/>
  <c r="L861" i="41"/>
  <c r="N861" i="41" s="1"/>
  <c r="L860" i="41"/>
  <c r="N860" i="41" s="1"/>
  <c r="L859" i="41"/>
  <c r="N859" i="41" s="1"/>
  <c r="L858" i="41"/>
  <c r="N858" i="41" s="1"/>
  <c r="L857" i="41"/>
  <c r="N857" i="41" s="1"/>
  <c r="L856" i="41"/>
  <c r="N856" i="41" s="1"/>
  <c r="L855" i="41"/>
  <c r="N855" i="41" s="1"/>
  <c r="L854" i="41"/>
  <c r="N854" i="41" s="1"/>
  <c r="L853" i="41"/>
  <c r="N853" i="41" s="1"/>
  <c r="L852" i="41"/>
  <c r="N852" i="41" s="1"/>
  <c r="L851" i="41"/>
  <c r="N851" i="41" s="1"/>
  <c r="V850" i="41"/>
  <c r="Y850" i="41" s="1"/>
  <c r="L850" i="41"/>
  <c r="N850" i="41" s="1"/>
  <c r="L849" i="41"/>
  <c r="N849" i="41" s="1"/>
  <c r="V848" i="41"/>
  <c r="Y848" i="41" s="1"/>
  <c r="L848" i="41"/>
  <c r="N848" i="41" s="1"/>
  <c r="L847" i="41"/>
  <c r="N847" i="41" s="1"/>
  <c r="L846" i="41"/>
  <c r="N846" i="41" s="1"/>
  <c r="L845" i="41"/>
  <c r="N845" i="41" s="1"/>
  <c r="L844" i="41"/>
  <c r="N844" i="41" s="1"/>
  <c r="N843" i="41"/>
  <c r="L842" i="41"/>
  <c r="N842" i="41" s="1"/>
  <c r="L841" i="41"/>
  <c r="N841" i="41" s="1"/>
  <c r="V840" i="41"/>
  <c r="Y840" i="41" s="1"/>
  <c r="L840" i="41"/>
  <c r="N840" i="41" s="1"/>
  <c r="L839" i="41"/>
  <c r="N839" i="41" s="1"/>
  <c r="L838" i="41"/>
  <c r="N838" i="41" s="1"/>
  <c r="L837" i="41"/>
  <c r="N837" i="41" s="1"/>
  <c r="L836" i="41"/>
  <c r="N836" i="41" s="1"/>
  <c r="L835" i="41"/>
  <c r="N835" i="41" s="1"/>
  <c r="L834" i="41"/>
  <c r="N834" i="41" s="1"/>
  <c r="L833" i="41"/>
  <c r="N833" i="41" s="1"/>
  <c r="L832" i="41"/>
  <c r="N832" i="41" s="1"/>
  <c r="L831" i="41"/>
  <c r="N831" i="41" s="1"/>
  <c r="L830" i="41"/>
  <c r="N830" i="41" s="1"/>
  <c r="L829" i="41"/>
  <c r="N829" i="41" s="1"/>
  <c r="L828" i="41"/>
  <c r="N828" i="41" s="1"/>
  <c r="L827" i="41"/>
  <c r="N827" i="41" s="1"/>
  <c r="L826" i="41"/>
  <c r="N826" i="41" s="1"/>
  <c r="L825" i="41"/>
  <c r="N825" i="41" s="1"/>
  <c r="L824" i="41"/>
  <c r="N824" i="41" s="1"/>
  <c r="L823" i="41"/>
  <c r="N823" i="41" s="1"/>
  <c r="L822" i="41"/>
  <c r="N822" i="41" s="1"/>
  <c r="L821" i="41"/>
  <c r="N821" i="41" s="1"/>
  <c r="L820" i="41"/>
  <c r="N820" i="41" s="1"/>
  <c r="L819" i="41"/>
  <c r="N819" i="41" s="1"/>
  <c r="L818" i="41"/>
  <c r="N818" i="41" s="1"/>
  <c r="L817" i="41"/>
  <c r="N817" i="41" s="1"/>
  <c r="L816" i="41"/>
  <c r="N816" i="41" s="1"/>
  <c r="L815" i="41"/>
  <c r="N815" i="41" s="1"/>
  <c r="L814" i="41"/>
  <c r="N814" i="41" s="1"/>
  <c r="L813" i="41"/>
  <c r="N813" i="41" s="1"/>
  <c r="L812" i="41"/>
  <c r="N812" i="41" s="1"/>
  <c r="L811" i="41"/>
  <c r="N811" i="41" s="1"/>
  <c r="L810" i="41"/>
  <c r="N810" i="41" s="1"/>
  <c r="L809" i="41"/>
  <c r="N809" i="41" s="1"/>
  <c r="L808" i="41"/>
  <c r="N808" i="41" s="1"/>
  <c r="L807" i="41"/>
  <c r="N807" i="41" s="1"/>
  <c r="L806" i="41"/>
  <c r="N806" i="41" s="1"/>
  <c r="L805" i="41"/>
  <c r="N805" i="41" s="1"/>
  <c r="L804" i="41"/>
  <c r="N804" i="41" s="1"/>
  <c r="Y803" i="41"/>
  <c r="H803" i="41"/>
  <c r="L802" i="41"/>
  <c r="N802" i="41" s="1"/>
  <c r="L801" i="41"/>
  <c r="N801" i="41" s="1"/>
  <c r="L800" i="41"/>
  <c r="N800" i="41" s="1"/>
  <c r="L799" i="41"/>
  <c r="N799" i="41" s="1"/>
  <c r="L798" i="41"/>
  <c r="N798" i="41" s="1"/>
  <c r="L797" i="41"/>
  <c r="N797" i="41" s="1"/>
  <c r="L796" i="41"/>
  <c r="N796" i="41" s="1"/>
  <c r="L795" i="41"/>
  <c r="N795" i="41" s="1"/>
  <c r="L794" i="41"/>
  <c r="N794" i="41" s="1"/>
  <c r="L793" i="41"/>
  <c r="N793" i="41" s="1"/>
  <c r="L792" i="41"/>
  <c r="N792" i="41" s="1"/>
  <c r="L791" i="41"/>
  <c r="N791" i="41" s="1"/>
  <c r="L790" i="41"/>
  <c r="N790" i="41" s="1"/>
  <c r="L789" i="41"/>
  <c r="N789" i="41" s="1"/>
  <c r="V788" i="41"/>
  <c r="Y788" i="41" s="1"/>
  <c r="L788" i="41"/>
  <c r="N788" i="41" s="1"/>
  <c r="V787" i="41"/>
  <c r="Y787" i="41" s="1"/>
  <c r="K787" i="41"/>
  <c r="L786" i="41"/>
  <c r="N786" i="41" s="1"/>
  <c r="V785" i="41"/>
  <c r="Y785" i="41" s="1"/>
  <c r="O785" i="41"/>
  <c r="L785" i="41"/>
  <c r="N785" i="41" s="1"/>
  <c r="L784" i="41"/>
  <c r="N784" i="41" s="1"/>
  <c r="L783" i="41"/>
  <c r="N783" i="41" s="1"/>
  <c r="L782" i="41"/>
  <c r="N782" i="41" s="1"/>
  <c r="L781" i="41"/>
  <c r="N781" i="41" s="1"/>
  <c r="L780" i="41"/>
  <c r="N780" i="41" s="1"/>
  <c r="L779" i="41"/>
  <c r="N779" i="41" s="1"/>
  <c r="L778" i="41"/>
  <c r="N778" i="41" s="1"/>
  <c r="L777" i="41"/>
  <c r="N777" i="41" s="1"/>
  <c r="L776" i="41"/>
  <c r="N776" i="41" s="1"/>
  <c r="L775" i="41"/>
  <c r="N775" i="41" s="1"/>
  <c r="L774" i="41"/>
  <c r="N774" i="41" s="1"/>
  <c r="L773" i="41"/>
  <c r="N773" i="41" s="1"/>
  <c r="L772" i="41"/>
  <c r="N772" i="41" s="1"/>
  <c r="L771" i="41"/>
  <c r="N771" i="41" s="1"/>
  <c r="L770" i="41"/>
  <c r="N770" i="41" s="1"/>
  <c r="L769" i="41"/>
  <c r="N769" i="41" s="1"/>
  <c r="L768" i="41"/>
  <c r="N768" i="41" s="1"/>
  <c r="L767" i="41"/>
  <c r="N767" i="41" s="1"/>
  <c r="L766" i="41"/>
  <c r="N766" i="41" s="1"/>
  <c r="L765" i="41"/>
  <c r="N765" i="41" s="1"/>
  <c r="L764" i="41"/>
  <c r="N764" i="41" s="1"/>
  <c r="L763" i="41"/>
  <c r="N763" i="41" s="1"/>
  <c r="L762" i="41"/>
  <c r="N762" i="41" s="1"/>
  <c r="L761" i="41"/>
  <c r="N761" i="41" s="1"/>
  <c r="L760" i="41"/>
  <c r="N760" i="41" s="1"/>
  <c r="L759" i="41"/>
  <c r="N759" i="41" s="1"/>
  <c r="L758" i="41"/>
  <c r="N758" i="41" s="1"/>
  <c r="L757" i="41"/>
  <c r="N757" i="41" s="1"/>
  <c r="L756" i="41"/>
  <c r="N756" i="41" s="1"/>
  <c r="V755" i="41"/>
  <c r="Y755" i="41" s="1"/>
  <c r="L755" i="41"/>
  <c r="N755" i="41" s="1"/>
  <c r="L754" i="41"/>
  <c r="N754" i="41" s="1"/>
  <c r="L753" i="41"/>
  <c r="N753" i="41" s="1"/>
  <c r="L752" i="41"/>
  <c r="N752" i="41" s="1"/>
  <c r="V751" i="41"/>
  <c r="Y751" i="41" s="1"/>
  <c r="L751" i="41"/>
  <c r="N751" i="41" s="1"/>
  <c r="L750" i="41"/>
  <c r="N750" i="41" s="1"/>
  <c r="L749" i="41"/>
  <c r="N749" i="41" s="1"/>
  <c r="L748" i="41"/>
  <c r="N748" i="41" s="1"/>
  <c r="L747" i="41"/>
  <c r="N747" i="41" s="1"/>
  <c r="L746" i="41"/>
  <c r="N746" i="41" s="1"/>
  <c r="L745" i="41"/>
  <c r="N745" i="41" s="1"/>
  <c r="L744" i="41"/>
  <c r="N744" i="41" s="1"/>
  <c r="L743" i="41"/>
  <c r="N743" i="41" s="1"/>
  <c r="L742" i="41"/>
  <c r="N742" i="41" s="1"/>
  <c r="L741" i="41"/>
  <c r="N741" i="41" s="1"/>
  <c r="V740" i="41"/>
  <c r="Y740" i="41" s="1"/>
  <c r="L740" i="41"/>
  <c r="N740" i="41" s="1"/>
  <c r="L739" i="41"/>
  <c r="N739" i="41" s="1"/>
  <c r="L738" i="41"/>
  <c r="N738" i="41" s="1"/>
  <c r="L737" i="41"/>
  <c r="N737" i="41" s="1"/>
  <c r="L736" i="41"/>
  <c r="N736" i="41" s="1"/>
  <c r="V735" i="41"/>
  <c r="Y735" i="41" s="1"/>
  <c r="L735" i="41"/>
  <c r="N735" i="41" s="1"/>
  <c r="L734" i="41"/>
  <c r="N734" i="41" s="1"/>
  <c r="L733" i="41"/>
  <c r="N733" i="41" s="1"/>
  <c r="L732" i="41"/>
  <c r="N732" i="41" s="1"/>
  <c r="L731" i="41"/>
  <c r="N731" i="41" s="1"/>
  <c r="L730" i="41"/>
  <c r="N730" i="41" s="1"/>
  <c r="Y729" i="41"/>
  <c r="L729" i="41"/>
  <c r="N729" i="41" s="1"/>
  <c r="L728" i="41"/>
  <c r="N728" i="41" s="1"/>
  <c r="L727" i="41"/>
  <c r="N727" i="41" s="1"/>
  <c r="L726" i="41"/>
  <c r="N726" i="41" s="1"/>
  <c r="L725" i="41"/>
  <c r="N725" i="41" s="1"/>
  <c r="L724" i="41"/>
  <c r="N724" i="41" s="1"/>
  <c r="L723" i="41"/>
  <c r="N723" i="41" s="1"/>
  <c r="L722" i="41"/>
  <c r="N722" i="41" s="1"/>
  <c r="L721" i="41"/>
  <c r="N721" i="41" s="1"/>
  <c r="L720" i="41"/>
  <c r="N720" i="41" s="1"/>
  <c r="L719" i="41"/>
  <c r="N719" i="41" s="1"/>
  <c r="L718" i="41"/>
  <c r="N718" i="41" s="1"/>
  <c r="L717" i="41"/>
  <c r="N717" i="41" s="1"/>
  <c r="L716" i="41"/>
  <c r="N716" i="41" s="1"/>
  <c r="L715" i="41"/>
  <c r="N715" i="41" s="1"/>
  <c r="V714" i="41"/>
  <c r="Y714" i="41" s="1"/>
  <c r="L714" i="41"/>
  <c r="N714" i="41" s="1"/>
  <c r="L713" i="41"/>
  <c r="N713" i="41" s="1"/>
  <c r="L712" i="41"/>
  <c r="N712" i="41" s="1"/>
  <c r="V711" i="41"/>
  <c r="Y711" i="41" s="1"/>
  <c r="L711" i="41"/>
  <c r="N711" i="41" s="1"/>
  <c r="L710" i="41"/>
  <c r="N710" i="41" s="1"/>
  <c r="L709" i="41"/>
  <c r="N709" i="41" s="1"/>
  <c r="L708" i="41"/>
  <c r="N708" i="41" s="1"/>
  <c r="L707" i="41"/>
  <c r="N707" i="41" s="1"/>
  <c r="L706" i="41"/>
  <c r="N706" i="41" s="1"/>
  <c r="L705" i="41"/>
  <c r="N705" i="41" s="1"/>
  <c r="L704" i="41"/>
  <c r="N704" i="41" s="1"/>
  <c r="L703" i="41"/>
  <c r="N703" i="41" s="1"/>
  <c r="L702" i="41"/>
  <c r="N702" i="41" s="1"/>
  <c r="L701" i="41"/>
  <c r="N701" i="41" s="1"/>
  <c r="L700" i="41"/>
  <c r="N700" i="41" s="1"/>
  <c r="L699" i="41"/>
  <c r="N699" i="41" s="1"/>
  <c r="L698" i="41"/>
  <c r="N698" i="41" s="1"/>
  <c r="L697" i="41"/>
  <c r="N697" i="41" s="1"/>
  <c r="L696" i="41"/>
  <c r="N696" i="41" s="1"/>
  <c r="L695" i="41"/>
  <c r="N695" i="41" s="1"/>
  <c r="L694" i="41"/>
  <c r="N694" i="41" s="1"/>
  <c r="V693" i="41"/>
  <c r="Y693" i="41" s="1"/>
  <c r="L693" i="41"/>
  <c r="N693" i="41" s="1"/>
  <c r="L692" i="41"/>
  <c r="N692" i="41" s="1"/>
  <c r="Y691" i="41"/>
  <c r="L691" i="41"/>
  <c r="N691" i="41" s="1"/>
  <c r="V690" i="41"/>
  <c r="Y690" i="41" s="1"/>
  <c r="L690" i="41"/>
  <c r="N690" i="41" s="1"/>
  <c r="L689" i="41"/>
  <c r="N689" i="41" s="1"/>
  <c r="L688" i="41"/>
  <c r="N688" i="41" s="1"/>
  <c r="V687" i="41"/>
  <c r="Y687" i="41" s="1"/>
  <c r="H687" i="41"/>
  <c r="L686" i="41"/>
  <c r="N686" i="41" s="1"/>
  <c r="L685" i="41"/>
  <c r="N685" i="41" s="1"/>
  <c r="L684" i="41"/>
  <c r="N684" i="41" s="1"/>
  <c r="L683" i="41"/>
  <c r="N683" i="41" s="1"/>
  <c r="L682" i="41"/>
  <c r="N682" i="41" s="1"/>
  <c r="V681" i="41"/>
  <c r="Y681" i="41" s="1"/>
  <c r="L681" i="41"/>
  <c r="N681" i="41" s="1"/>
  <c r="L680" i="41"/>
  <c r="N680" i="41" s="1"/>
  <c r="L679" i="41"/>
  <c r="N679" i="41" s="1"/>
  <c r="L678" i="41"/>
  <c r="N678" i="41" s="1"/>
  <c r="L677" i="41"/>
  <c r="N677" i="41" s="1"/>
  <c r="L676" i="41"/>
  <c r="N676" i="41" s="1"/>
  <c r="L675" i="41"/>
  <c r="N675" i="41" s="1"/>
  <c r="L674" i="41"/>
  <c r="N674" i="41" s="1"/>
  <c r="L673" i="41"/>
  <c r="N673" i="41" s="1"/>
  <c r="V672" i="41"/>
  <c r="Y672" i="41" s="1"/>
  <c r="L672" i="41"/>
  <c r="N672" i="41" s="1"/>
  <c r="L671" i="41"/>
  <c r="N671" i="41" s="1"/>
  <c r="L670" i="41"/>
  <c r="N670" i="41" s="1"/>
  <c r="L669" i="41"/>
  <c r="N669" i="41" s="1"/>
  <c r="L668" i="41"/>
  <c r="N668" i="41" s="1"/>
  <c r="V667" i="41"/>
  <c r="Y667" i="41" s="1"/>
  <c r="L667" i="41"/>
  <c r="N667" i="41" s="1"/>
  <c r="L666" i="41"/>
  <c r="N666" i="41" s="1"/>
  <c r="L665" i="41"/>
  <c r="N665" i="41" s="1"/>
  <c r="L664" i="41"/>
  <c r="N664" i="41" s="1"/>
  <c r="L663" i="41"/>
  <c r="N663" i="41" s="1"/>
  <c r="L662" i="41"/>
  <c r="N662" i="41" s="1"/>
  <c r="L661" i="41"/>
  <c r="N661" i="41" s="1"/>
  <c r="L660" i="41"/>
  <c r="N660" i="41" s="1"/>
  <c r="L659" i="41"/>
  <c r="N659" i="41" s="1"/>
  <c r="L658" i="41"/>
  <c r="N658" i="41" s="1"/>
  <c r="L657" i="41"/>
  <c r="N657" i="41" s="1"/>
  <c r="L656" i="41"/>
  <c r="N656" i="41" s="1"/>
  <c r="L655" i="41"/>
  <c r="N655" i="41" s="1"/>
  <c r="V654" i="41"/>
  <c r="Y654" i="41" s="1"/>
  <c r="L654" i="41"/>
  <c r="N654" i="41" s="1"/>
  <c r="L653" i="41"/>
  <c r="N653" i="41" s="1"/>
  <c r="L652" i="41"/>
  <c r="N652" i="41" s="1"/>
  <c r="L651" i="41"/>
  <c r="N651" i="41" s="1"/>
  <c r="L650" i="41"/>
  <c r="N650" i="41" s="1"/>
  <c r="L649" i="41"/>
  <c r="N649" i="41" s="1"/>
  <c r="L648" i="41"/>
  <c r="N648" i="41" s="1"/>
  <c r="L647" i="41"/>
  <c r="N647" i="41" s="1"/>
  <c r="L646" i="41"/>
  <c r="N646" i="41" s="1"/>
  <c r="L645" i="41"/>
  <c r="N645" i="41" s="1"/>
  <c r="L644" i="41"/>
  <c r="N644" i="41" s="1"/>
  <c r="L643" i="41"/>
  <c r="N643" i="41" s="1"/>
  <c r="L642" i="41"/>
  <c r="N642" i="41" s="1"/>
  <c r="Y641" i="41"/>
  <c r="L641" i="41"/>
  <c r="N641" i="41" s="1"/>
  <c r="L640" i="41"/>
  <c r="N640" i="41" s="1"/>
  <c r="L639" i="41"/>
  <c r="N639" i="41" s="1"/>
  <c r="L638" i="41"/>
  <c r="N638" i="41" s="1"/>
  <c r="L637" i="41"/>
  <c r="N637" i="41" s="1"/>
  <c r="L636" i="41"/>
  <c r="N636" i="41" s="1"/>
  <c r="V635" i="41"/>
  <c r="Y635" i="41" s="1"/>
  <c r="L635" i="41"/>
  <c r="N635" i="41" s="1"/>
  <c r="L634" i="41"/>
  <c r="N634" i="41" s="1"/>
  <c r="L633" i="41"/>
  <c r="N633" i="41" s="1"/>
  <c r="L632" i="41"/>
  <c r="N632" i="41" s="1"/>
  <c r="L631" i="41"/>
  <c r="N631" i="41" s="1"/>
  <c r="L630" i="41"/>
  <c r="N630" i="41" s="1"/>
  <c r="L629" i="41"/>
  <c r="N629" i="41" s="1"/>
  <c r="L628" i="41"/>
  <c r="N628" i="41" s="1"/>
  <c r="L627" i="41"/>
  <c r="N627" i="41" s="1"/>
  <c r="L626" i="41"/>
  <c r="N626" i="41" s="1"/>
  <c r="L625" i="41"/>
  <c r="N625" i="41" s="1"/>
  <c r="V624" i="41"/>
  <c r="Y624" i="41" s="1"/>
  <c r="L624" i="41"/>
  <c r="N624" i="41" s="1"/>
  <c r="L623" i="41"/>
  <c r="N623" i="41" s="1"/>
  <c r="Y621" i="41"/>
  <c r="L621" i="41"/>
  <c r="N621" i="41" s="1"/>
  <c r="Y620" i="41"/>
  <c r="H620" i="41"/>
  <c r="L619" i="41"/>
  <c r="N619" i="41" s="1"/>
  <c r="L618" i="41"/>
  <c r="N618" i="41" s="1"/>
  <c r="L617" i="41"/>
  <c r="N617" i="41" s="1"/>
  <c r="L616" i="41"/>
  <c r="N616" i="41" s="1"/>
  <c r="L615" i="41"/>
  <c r="N615" i="41" s="1"/>
  <c r="L614" i="41"/>
  <c r="N614" i="41" s="1"/>
  <c r="L613" i="41"/>
  <c r="N613" i="41" s="1"/>
  <c r="L612" i="41"/>
  <c r="N612" i="41" s="1"/>
  <c r="L611" i="41"/>
  <c r="N611" i="41" s="1"/>
  <c r="L610" i="41"/>
  <c r="N610" i="41" s="1"/>
  <c r="L609" i="41"/>
  <c r="N609" i="41" s="1"/>
  <c r="L608" i="41"/>
  <c r="N608" i="41" s="1"/>
  <c r="L607" i="41"/>
  <c r="N607" i="41" s="1"/>
  <c r="L606" i="41"/>
  <c r="N606" i="41" s="1"/>
  <c r="L605" i="41"/>
  <c r="N605" i="41" s="1"/>
  <c r="L604" i="41"/>
  <c r="N604" i="41" s="1"/>
  <c r="L603" i="41"/>
  <c r="N603" i="41" s="1"/>
  <c r="L602" i="41"/>
  <c r="N602" i="41" s="1"/>
  <c r="Y601" i="41"/>
  <c r="L601" i="41"/>
  <c r="N601" i="41" s="1"/>
  <c r="L600" i="41"/>
  <c r="N600" i="41" s="1"/>
  <c r="L599" i="41"/>
  <c r="N599" i="41" s="1"/>
  <c r="L598" i="41"/>
  <c r="N598" i="41" s="1"/>
  <c r="L597" i="41"/>
  <c r="N597" i="41" s="1"/>
  <c r="L596" i="41"/>
  <c r="N596" i="41" s="1"/>
  <c r="L595" i="41"/>
  <c r="N595" i="41" s="1"/>
  <c r="L594" i="41"/>
  <c r="N594" i="41" s="1"/>
  <c r="L593" i="41"/>
  <c r="N593" i="41" s="1"/>
  <c r="L592" i="41"/>
  <c r="N592" i="41" s="1"/>
  <c r="V591" i="41"/>
  <c r="Y591" i="41" s="1"/>
  <c r="L591" i="41"/>
  <c r="N591" i="41" s="1"/>
  <c r="L590" i="41"/>
  <c r="N590" i="41" s="1"/>
  <c r="L589" i="41"/>
  <c r="N589" i="41" s="1"/>
  <c r="L588" i="41"/>
  <c r="N588" i="41" s="1"/>
  <c r="L587" i="41"/>
  <c r="N587" i="41" s="1"/>
  <c r="L586" i="41"/>
  <c r="N586" i="41" s="1"/>
  <c r="L585" i="41"/>
  <c r="N585" i="41" s="1"/>
  <c r="L584" i="41"/>
  <c r="N584" i="41" s="1"/>
  <c r="L583" i="41"/>
  <c r="N583" i="41" s="1"/>
  <c r="L582" i="41"/>
  <c r="N582" i="41" s="1"/>
  <c r="L581" i="41"/>
  <c r="N581" i="41" s="1"/>
  <c r="L580" i="41"/>
  <c r="N580" i="41" s="1"/>
  <c r="L579" i="41"/>
  <c r="N579" i="41" s="1"/>
  <c r="L578" i="41"/>
  <c r="N578" i="41" s="1"/>
  <c r="L577" i="41"/>
  <c r="N577" i="41" s="1"/>
  <c r="V576" i="41"/>
  <c r="Y576" i="41" s="1"/>
  <c r="L576" i="41"/>
  <c r="N576" i="41" s="1"/>
  <c r="L575" i="41"/>
  <c r="N575" i="41" s="1"/>
  <c r="L574" i="41"/>
  <c r="N574" i="41" s="1"/>
  <c r="L573" i="41"/>
  <c r="N573" i="41" s="1"/>
  <c r="L572" i="41"/>
  <c r="N572" i="41" s="1"/>
  <c r="L571" i="41"/>
  <c r="N571" i="41" s="1"/>
  <c r="L570" i="41"/>
  <c r="N570" i="41" s="1"/>
  <c r="V569" i="41"/>
  <c r="Y569" i="41" s="1"/>
  <c r="H569" i="41"/>
  <c r="L568" i="41"/>
  <c r="N568" i="41" s="1"/>
  <c r="L567" i="41"/>
  <c r="N567" i="41" s="1"/>
  <c r="L566" i="41"/>
  <c r="N566" i="41" s="1"/>
  <c r="L565" i="41"/>
  <c r="N565" i="41" s="1"/>
  <c r="L564" i="41"/>
  <c r="N564" i="41" s="1"/>
  <c r="L563" i="41"/>
  <c r="N563" i="41" s="1"/>
  <c r="L562" i="41"/>
  <c r="N562" i="41" s="1"/>
  <c r="L561" i="41"/>
  <c r="N561" i="41" s="1"/>
  <c r="L560" i="41"/>
  <c r="N560" i="41" s="1"/>
  <c r="L559" i="41"/>
  <c r="N559" i="41" s="1"/>
  <c r="L558" i="41"/>
  <c r="N558" i="41" s="1"/>
  <c r="L557" i="41"/>
  <c r="N557" i="41" s="1"/>
  <c r="L556" i="41"/>
  <c r="N556" i="41" s="1"/>
  <c r="L555" i="41"/>
  <c r="N555" i="41" s="1"/>
  <c r="L554" i="41"/>
  <c r="N554" i="41" s="1"/>
  <c r="L553" i="41"/>
  <c r="N553" i="41" s="1"/>
  <c r="L552" i="41"/>
  <c r="N552" i="41" s="1"/>
  <c r="V551" i="41"/>
  <c r="Y551" i="41" s="1"/>
  <c r="H551" i="41"/>
  <c r="V550" i="41"/>
  <c r="Y550" i="41" s="1"/>
  <c r="H550" i="41"/>
  <c r="L549" i="41"/>
  <c r="N549" i="41" s="1"/>
  <c r="L548" i="41"/>
  <c r="N548" i="41" s="1"/>
  <c r="L547" i="41"/>
  <c r="N547" i="41" s="1"/>
  <c r="L546" i="41"/>
  <c r="N546" i="41" s="1"/>
  <c r="L545" i="41"/>
  <c r="N545" i="41" s="1"/>
  <c r="L544" i="41"/>
  <c r="N544" i="41" s="1"/>
  <c r="L543" i="41"/>
  <c r="N543" i="41" s="1"/>
  <c r="V542" i="41"/>
  <c r="Y542" i="41" s="1"/>
  <c r="L542" i="41"/>
  <c r="N542" i="41" s="1"/>
  <c r="L541" i="41"/>
  <c r="N541" i="41" s="1"/>
  <c r="L540" i="41"/>
  <c r="N540" i="41" s="1"/>
  <c r="L539" i="41"/>
  <c r="N539" i="41" s="1"/>
  <c r="L538" i="41"/>
  <c r="N538" i="41" s="1"/>
  <c r="L537" i="41"/>
  <c r="N537" i="41" s="1"/>
  <c r="L536" i="41"/>
  <c r="N536" i="41" s="1"/>
  <c r="L535" i="41"/>
  <c r="N535" i="41" s="1"/>
  <c r="L534" i="41"/>
  <c r="N534" i="41" s="1"/>
  <c r="V533" i="41"/>
  <c r="Y533" i="41" s="1"/>
  <c r="H533" i="41"/>
  <c r="L532" i="41"/>
  <c r="N532" i="41" s="1"/>
  <c r="L531" i="41"/>
  <c r="N531" i="41" s="1"/>
  <c r="Y530" i="41"/>
  <c r="L530" i="41"/>
  <c r="N530" i="41" s="1"/>
  <c r="L529" i="41"/>
  <c r="N529" i="41" s="1"/>
  <c r="L528" i="41"/>
  <c r="N528" i="41" s="1"/>
  <c r="L527" i="41"/>
  <c r="N527" i="41" s="1"/>
  <c r="L526" i="41"/>
  <c r="N526" i="41" s="1"/>
  <c r="Y525" i="41"/>
  <c r="L525" i="41"/>
  <c r="N525" i="41" s="1"/>
  <c r="L524" i="41"/>
  <c r="N524" i="41" s="1"/>
  <c r="L523" i="41"/>
  <c r="N523" i="41" s="1"/>
  <c r="L522" i="41"/>
  <c r="N522" i="41" s="1"/>
  <c r="L521" i="41"/>
  <c r="N521" i="41" s="1"/>
  <c r="L520" i="41"/>
  <c r="N520" i="41" s="1"/>
  <c r="L519" i="41"/>
  <c r="N519" i="41" s="1"/>
  <c r="L518" i="41"/>
  <c r="N518" i="41" s="1"/>
  <c r="L517" i="41"/>
  <c r="N517" i="41" s="1"/>
  <c r="L516" i="41"/>
  <c r="N516" i="41" s="1"/>
  <c r="L515" i="41"/>
  <c r="N515" i="41" s="1"/>
  <c r="L514" i="41"/>
  <c r="N514" i="41" s="1"/>
  <c r="L513" i="41"/>
  <c r="N513" i="41" s="1"/>
  <c r="L512" i="41"/>
  <c r="N512" i="41" s="1"/>
  <c r="L511" i="41"/>
  <c r="N511" i="41" s="1"/>
  <c r="L510" i="41"/>
  <c r="N510" i="41" s="1"/>
  <c r="L509" i="41"/>
  <c r="N509" i="41" s="1"/>
  <c r="L508" i="41"/>
  <c r="N508" i="41" s="1"/>
  <c r="L507" i="41"/>
  <c r="N507" i="41" s="1"/>
  <c r="L506" i="41"/>
  <c r="N506" i="41" s="1"/>
  <c r="L505" i="41"/>
  <c r="N505" i="41" s="1"/>
  <c r="L504" i="41"/>
  <c r="N504" i="41" s="1"/>
  <c r="Y503" i="41"/>
  <c r="L503" i="41"/>
  <c r="N503" i="41" s="1"/>
  <c r="L502" i="41"/>
  <c r="N502" i="41" s="1"/>
  <c r="L501" i="41"/>
  <c r="N501" i="41" s="1"/>
  <c r="L500" i="41"/>
  <c r="N500" i="41" s="1"/>
  <c r="L499" i="41"/>
  <c r="N499" i="41" s="1"/>
  <c r="L498" i="41"/>
  <c r="N498" i="41" s="1"/>
  <c r="L497" i="41"/>
  <c r="N497" i="41" s="1"/>
  <c r="L496" i="41"/>
  <c r="N496" i="41" s="1"/>
  <c r="L495" i="41"/>
  <c r="N495" i="41" s="1"/>
  <c r="L494" i="41"/>
  <c r="N494" i="41" s="1"/>
  <c r="L493" i="41"/>
  <c r="N493" i="41" s="1"/>
  <c r="V492" i="41"/>
  <c r="Y492" i="41" s="1"/>
  <c r="H492" i="41"/>
  <c r="L491" i="41"/>
  <c r="N491" i="41" s="1"/>
  <c r="L490" i="41"/>
  <c r="N490" i="41" s="1"/>
  <c r="L489" i="41"/>
  <c r="N489" i="41" s="1"/>
  <c r="L488" i="41"/>
  <c r="N488" i="41" s="1"/>
  <c r="L487" i="41"/>
  <c r="N487" i="41" s="1"/>
  <c r="L486" i="41"/>
  <c r="N486" i="41" s="1"/>
  <c r="V485" i="41"/>
  <c r="Y485" i="41" s="1"/>
  <c r="L485" i="41"/>
  <c r="N485" i="41" s="1"/>
  <c r="L484" i="41"/>
  <c r="N484" i="41" s="1"/>
  <c r="L483" i="41"/>
  <c r="N483" i="41" s="1"/>
  <c r="L482" i="41"/>
  <c r="N482" i="41" s="1"/>
  <c r="L481" i="41"/>
  <c r="N481" i="41" s="1"/>
  <c r="L480" i="41"/>
  <c r="N480" i="41" s="1"/>
  <c r="L479" i="41"/>
  <c r="N479" i="41" s="1"/>
  <c r="L478" i="41"/>
  <c r="N478" i="41" s="1"/>
  <c r="L477" i="41"/>
  <c r="N477" i="41" s="1"/>
  <c r="L476" i="41"/>
  <c r="N476" i="41" s="1"/>
  <c r="L475" i="41"/>
  <c r="N475" i="41" s="1"/>
  <c r="L474" i="41"/>
  <c r="N474" i="41" s="1"/>
  <c r="L473" i="41"/>
  <c r="N473" i="41" s="1"/>
  <c r="L472" i="41"/>
  <c r="N472" i="41" s="1"/>
  <c r="L471" i="41"/>
  <c r="N471" i="41" s="1"/>
  <c r="V470" i="41"/>
  <c r="Y470" i="41" s="1"/>
  <c r="L470" i="41"/>
  <c r="N470" i="41" s="1"/>
  <c r="L469" i="41"/>
  <c r="N469" i="41" s="1"/>
  <c r="L468" i="41"/>
  <c r="N468" i="41" s="1"/>
  <c r="L467" i="41"/>
  <c r="N467" i="41" s="1"/>
  <c r="L466" i="41"/>
  <c r="N466" i="41" s="1"/>
  <c r="L465" i="41"/>
  <c r="N465" i="41" s="1"/>
  <c r="L464" i="41"/>
  <c r="N464" i="41" s="1"/>
  <c r="L463" i="41"/>
  <c r="N463" i="41" s="1"/>
  <c r="L462" i="41"/>
  <c r="N462" i="41" s="1"/>
  <c r="L461" i="41"/>
  <c r="N461" i="41" s="1"/>
  <c r="L460" i="41"/>
  <c r="N460" i="41" s="1"/>
  <c r="L459" i="41"/>
  <c r="N459" i="41" s="1"/>
  <c r="L458" i="41"/>
  <c r="N458" i="41" s="1"/>
  <c r="L457" i="41"/>
  <c r="N457" i="41" s="1"/>
  <c r="L456" i="41"/>
  <c r="N456" i="41" s="1"/>
  <c r="L455" i="41"/>
  <c r="N455" i="41" s="1"/>
  <c r="L454" i="41"/>
  <c r="N454" i="41" s="1"/>
  <c r="L453" i="41"/>
  <c r="N453" i="41" s="1"/>
  <c r="L452" i="41"/>
  <c r="N452" i="41" s="1"/>
  <c r="L451" i="41"/>
  <c r="N451" i="41" s="1"/>
  <c r="L450" i="41"/>
  <c r="N450" i="41" s="1"/>
  <c r="L449" i="41"/>
  <c r="N449" i="41" s="1"/>
  <c r="L448" i="41"/>
  <c r="N448" i="41" s="1"/>
  <c r="L447" i="41"/>
  <c r="N447" i="41" s="1"/>
  <c r="L446" i="41"/>
  <c r="N446" i="41" s="1"/>
  <c r="L445" i="41"/>
  <c r="N445" i="41" s="1"/>
  <c r="L444" i="41"/>
  <c r="N444" i="41" s="1"/>
  <c r="L443" i="41"/>
  <c r="N443" i="41" s="1"/>
  <c r="L442" i="41"/>
  <c r="N442" i="41" s="1"/>
  <c r="L441" i="41"/>
  <c r="N441" i="41" s="1"/>
  <c r="L440" i="41"/>
  <c r="N440" i="41" s="1"/>
  <c r="L439" i="41"/>
  <c r="N439" i="41" s="1"/>
  <c r="Y438" i="41"/>
  <c r="L438" i="41"/>
  <c r="N438" i="41" s="1"/>
  <c r="L437" i="41"/>
  <c r="N437" i="41" s="1"/>
  <c r="L436" i="41"/>
  <c r="N436" i="41" s="1"/>
  <c r="L435" i="41"/>
  <c r="N435" i="41" s="1"/>
  <c r="L434" i="41"/>
  <c r="N434" i="41" s="1"/>
  <c r="L433" i="41"/>
  <c r="N433" i="41" s="1"/>
  <c r="L432" i="41"/>
  <c r="N432" i="41" s="1"/>
  <c r="L431" i="41"/>
  <c r="N431" i="41" s="1"/>
  <c r="L430" i="41"/>
  <c r="N430" i="41" s="1"/>
  <c r="V429" i="41"/>
  <c r="Y429" i="41" s="1"/>
  <c r="L429" i="41"/>
  <c r="N429" i="41" s="1"/>
  <c r="L428" i="41"/>
  <c r="N428" i="41" s="1"/>
  <c r="Y427" i="41"/>
  <c r="J427" i="41"/>
  <c r="L426" i="41"/>
  <c r="N426" i="41" s="1"/>
  <c r="L425" i="41"/>
  <c r="N425" i="41" s="1"/>
  <c r="L424" i="41"/>
  <c r="N424" i="41" s="1"/>
  <c r="V423" i="41"/>
  <c r="Y423" i="41" s="1"/>
  <c r="H423" i="41"/>
  <c r="L422" i="41"/>
  <c r="N422" i="41" s="1"/>
  <c r="L421" i="41"/>
  <c r="N421" i="41" s="1"/>
  <c r="V420" i="41"/>
  <c r="Y420" i="41" s="1"/>
  <c r="L420" i="41"/>
  <c r="N420" i="41" s="1"/>
  <c r="L419" i="41"/>
  <c r="N419" i="41" s="1"/>
  <c r="L418" i="41"/>
  <c r="N418" i="41" s="1"/>
  <c r="L417" i="41"/>
  <c r="N417" i="41" s="1"/>
  <c r="L416" i="41"/>
  <c r="N416" i="41" s="1"/>
  <c r="L415" i="41"/>
  <c r="N415" i="41" s="1"/>
  <c r="L414" i="41"/>
  <c r="N414" i="41" s="1"/>
  <c r="Y413" i="41"/>
  <c r="L413" i="41"/>
  <c r="N413" i="41" s="1"/>
  <c r="Y412" i="41"/>
  <c r="L412" i="41"/>
  <c r="N412" i="41" s="1"/>
  <c r="L411" i="41"/>
  <c r="N411" i="41" s="1"/>
  <c r="L410" i="41"/>
  <c r="N410" i="41" s="1"/>
  <c r="L409" i="41"/>
  <c r="N409" i="41" s="1"/>
  <c r="L408" i="41"/>
  <c r="N408" i="41" s="1"/>
  <c r="V407" i="41"/>
  <c r="Y407" i="41" s="1"/>
  <c r="H407" i="41"/>
  <c r="L406" i="41"/>
  <c r="N406" i="41" s="1"/>
  <c r="L405" i="41"/>
  <c r="N405" i="41" s="1"/>
  <c r="L404" i="41"/>
  <c r="N404" i="41" s="1"/>
  <c r="L403" i="41"/>
  <c r="N403" i="41" s="1"/>
  <c r="L402" i="41"/>
  <c r="N402" i="41" s="1"/>
  <c r="L401" i="41"/>
  <c r="N401" i="41" s="1"/>
  <c r="L400" i="41"/>
  <c r="N400" i="41" s="1"/>
  <c r="L399" i="41"/>
  <c r="N399" i="41" s="1"/>
  <c r="L398" i="41"/>
  <c r="N398" i="41" s="1"/>
  <c r="L397" i="41"/>
  <c r="N397" i="41" s="1"/>
  <c r="Y396" i="41"/>
  <c r="L396" i="41"/>
  <c r="N396" i="41" s="1"/>
  <c r="L395" i="41"/>
  <c r="N395" i="41" s="1"/>
  <c r="L394" i="41"/>
  <c r="N394" i="41" s="1"/>
  <c r="L393" i="41"/>
  <c r="N393" i="41" s="1"/>
  <c r="L392" i="41"/>
  <c r="N392" i="41" s="1"/>
  <c r="L391" i="41"/>
  <c r="N391" i="41" s="1"/>
  <c r="L390" i="41"/>
  <c r="N390" i="41" s="1"/>
  <c r="L389" i="41"/>
  <c r="N389" i="41" s="1"/>
  <c r="L388" i="41"/>
  <c r="N388" i="41" s="1"/>
  <c r="L387" i="41"/>
  <c r="N387" i="41" s="1"/>
  <c r="L386" i="41"/>
  <c r="N386" i="41" s="1"/>
  <c r="L385" i="41"/>
  <c r="N385" i="41" s="1"/>
  <c r="L384" i="41"/>
  <c r="N384" i="41" s="1"/>
  <c r="L383" i="41"/>
  <c r="N383" i="41" s="1"/>
  <c r="L382" i="41"/>
  <c r="N382" i="41" s="1"/>
  <c r="V381" i="41"/>
  <c r="Y381" i="41" s="1"/>
  <c r="H381" i="41"/>
  <c r="L380" i="41"/>
  <c r="N380" i="41" s="1"/>
  <c r="L379" i="41"/>
  <c r="N379" i="41" s="1"/>
  <c r="L378" i="41"/>
  <c r="N378" i="41" s="1"/>
  <c r="V377" i="41"/>
  <c r="Y377" i="41" s="1"/>
  <c r="L377" i="41"/>
  <c r="N377" i="41" s="1"/>
  <c r="V376" i="41"/>
  <c r="Y376" i="41" s="1"/>
  <c r="L376" i="41"/>
  <c r="N376" i="41" s="1"/>
  <c r="L375" i="41"/>
  <c r="N375" i="41" s="1"/>
  <c r="L374" i="41"/>
  <c r="N374" i="41" s="1"/>
  <c r="L373" i="41"/>
  <c r="N373" i="41" s="1"/>
  <c r="L372" i="41"/>
  <c r="N372" i="41" s="1"/>
  <c r="L371" i="41"/>
  <c r="N371" i="41" s="1"/>
  <c r="L370" i="41"/>
  <c r="N370" i="41" s="1"/>
  <c r="L369" i="41"/>
  <c r="N369" i="41" s="1"/>
  <c r="L368" i="41"/>
  <c r="N368" i="41" s="1"/>
  <c r="V367" i="41"/>
  <c r="Y367" i="41" s="1"/>
  <c r="L367" i="41"/>
  <c r="N367" i="41" s="1"/>
  <c r="L366" i="41"/>
  <c r="N366" i="41" s="1"/>
  <c r="L365" i="41"/>
  <c r="N365" i="41" s="1"/>
  <c r="V364" i="41"/>
  <c r="Y364" i="41" s="1"/>
  <c r="I364" i="41"/>
  <c r="L363" i="41"/>
  <c r="N363" i="41" s="1"/>
  <c r="L362" i="41"/>
  <c r="N362" i="41" s="1"/>
  <c r="L361" i="41"/>
  <c r="N361" i="41" s="1"/>
  <c r="L360" i="41"/>
  <c r="N360" i="41" s="1"/>
  <c r="Y359" i="41"/>
  <c r="I359" i="41"/>
  <c r="L358" i="41"/>
  <c r="N358" i="41" s="1"/>
  <c r="L357" i="41"/>
  <c r="N357" i="41" s="1"/>
  <c r="L356" i="41"/>
  <c r="N356" i="41" s="1"/>
  <c r="L355" i="41"/>
  <c r="N355" i="41" s="1"/>
  <c r="L354" i="41"/>
  <c r="N354" i="41" s="1"/>
  <c r="L353" i="41"/>
  <c r="N353" i="41" s="1"/>
  <c r="V352" i="41"/>
  <c r="Y352" i="41" s="1"/>
  <c r="L352" i="41"/>
  <c r="N352" i="41" s="1"/>
  <c r="Y351" i="41"/>
  <c r="L351" i="41"/>
  <c r="N351" i="41" s="1"/>
  <c r="L350" i="41"/>
  <c r="N350" i="41" s="1"/>
  <c r="L349" i="41"/>
  <c r="N349" i="41" s="1"/>
  <c r="L348" i="41"/>
  <c r="N348" i="41" s="1"/>
  <c r="L347" i="41"/>
  <c r="N347" i="41" s="1"/>
  <c r="P346" i="41"/>
  <c r="L346" i="41"/>
  <c r="N346" i="41" s="1"/>
  <c r="L345" i="41"/>
  <c r="N345" i="41" s="1"/>
  <c r="L344" i="41"/>
  <c r="N344" i="41" s="1"/>
  <c r="L343" i="41"/>
  <c r="N343" i="41" s="1"/>
  <c r="L342" i="41"/>
  <c r="N342" i="41" s="1"/>
  <c r="L341" i="41"/>
  <c r="N341" i="41" s="1"/>
  <c r="L340" i="41"/>
  <c r="N340" i="41" s="1"/>
  <c r="L339" i="41"/>
  <c r="N339" i="41" s="1"/>
  <c r="L338" i="41"/>
  <c r="N338" i="41" s="1"/>
  <c r="V337" i="41"/>
  <c r="Y337" i="41" s="1"/>
  <c r="L337" i="41"/>
  <c r="G337" i="41"/>
  <c r="L336" i="41"/>
  <c r="N336" i="41" s="1"/>
  <c r="L335" i="41"/>
  <c r="N335" i="41" s="1"/>
  <c r="L334" i="41"/>
  <c r="N334" i="41" s="1"/>
  <c r="L333" i="41"/>
  <c r="N333" i="41" s="1"/>
  <c r="L332" i="41"/>
  <c r="N332" i="41" s="1"/>
  <c r="L331" i="41"/>
  <c r="N331" i="41" s="1"/>
  <c r="L330" i="41"/>
  <c r="N330" i="41" s="1"/>
  <c r="Y329" i="41"/>
  <c r="L329" i="41"/>
  <c r="N329" i="41" s="1"/>
  <c r="L328" i="41"/>
  <c r="N328" i="41" s="1"/>
  <c r="L327" i="41"/>
  <c r="N327" i="41" s="1"/>
  <c r="L326" i="41"/>
  <c r="N326" i="41" s="1"/>
  <c r="L325" i="41"/>
  <c r="N325" i="41" s="1"/>
  <c r="V324" i="41"/>
  <c r="Y324" i="41" s="1"/>
  <c r="H324" i="41"/>
  <c r="L323" i="41"/>
  <c r="N323" i="41" s="1"/>
  <c r="L322" i="41"/>
  <c r="N322" i="41" s="1"/>
  <c r="L321" i="41"/>
  <c r="N321" i="41" s="1"/>
  <c r="L320" i="41"/>
  <c r="N320" i="41" s="1"/>
  <c r="V319" i="41"/>
  <c r="Y319" i="41" s="1"/>
  <c r="L319" i="41"/>
  <c r="N319" i="41" s="1"/>
  <c r="L318" i="41"/>
  <c r="N318" i="41" s="1"/>
  <c r="Y317" i="41"/>
  <c r="L317" i="41"/>
  <c r="N317" i="41" s="1"/>
  <c r="L316" i="41"/>
  <c r="N316" i="41" s="1"/>
  <c r="L315" i="41"/>
  <c r="N315" i="41" s="1"/>
  <c r="L314" i="41"/>
  <c r="N314" i="41" s="1"/>
  <c r="L313" i="41"/>
  <c r="N313" i="41" s="1"/>
  <c r="L312" i="41"/>
  <c r="N312" i="41" s="1"/>
  <c r="L311" i="41"/>
  <c r="N311" i="41" s="1"/>
  <c r="L310" i="41"/>
  <c r="N310" i="41" s="1"/>
  <c r="L309" i="41"/>
  <c r="N309" i="41" s="1"/>
  <c r="L308" i="41"/>
  <c r="N308" i="41" s="1"/>
  <c r="Y307" i="41"/>
  <c r="L307" i="41"/>
  <c r="N307" i="41" s="1"/>
  <c r="L306" i="41"/>
  <c r="N306" i="41" s="1"/>
  <c r="L305" i="41"/>
  <c r="N305" i="41" s="1"/>
  <c r="L304" i="41"/>
  <c r="N304" i="41" s="1"/>
  <c r="L303" i="41"/>
  <c r="N303" i="41" s="1"/>
  <c r="V302" i="41"/>
  <c r="Y302" i="41" s="1"/>
  <c r="L302" i="41"/>
  <c r="N302" i="41" s="1"/>
  <c r="L301" i="41"/>
  <c r="N301" i="41" s="1"/>
  <c r="L300" i="41"/>
  <c r="N300" i="41" s="1"/>
  <c r="L299" i="41"/>
  <c r="N299" i="41" s="1"/>
  <c r="L298" i="41"/>
  <c r="N298" i="41" s="1"/>
  <c r="Y297" i="41"/>
  <c r="L297" i="41"/>
  <c r="N297" i="41" s="1"/>
  <c r="L296" i="41"/>
  <c r="N296" i="41" s="1"/>
  <c r="V295" i="41"/>
  <c r="Y295" i="41" s="1"/>
  <c r="H295" i="41"/>
  <c r="L295" i="41" s="1"/>
  <c r="N295" i="41" s="1"/>
  <c r="V294" i="41"/>
  <c r="Y294" i="41" s="1"/>
  <c r="L294" i="41"/>
  <c r="N294" i="41" s="1"/>
  <c r="L293" i="41"/>
  <c r="N293" i="41" s="1"/>
  <c r="L292" i="41"/>
  <c r="N292" i="41" s="1"/>
  <c r="L291" i="41"/>
  <c r="N291" i="41" s="1"/>
  <c r="L290" i="41"/>
  <c r="N290" i="41" s="1"/>
  <c r="L289" i="41"/>
  <c r="N289" i="41" s="1"/>
  <c r="L288" i="41"/>
  <c r="N288" i="41" s="1"/>
  <c r="L287" i="41"/>
  <c r="N287" i="41" s="1"/>
  <c r="L286" i="41"/>
  <c r="N286" i="41" s="1"/>
  <c r="L285" i="41"/>
  <c r="N285" i="41" s="1"/>
  <c r="L284" i="41"/>
  <c r="N284" i="41" s="1"/>
  <c r="L283" i="41"/>
  <c r="N283" i="41" s="1"/>
  <c r="L282" i="41"/>
  <c r="N282" i="41" s="1"/>
  <c r="L281" i="41"/>
  <c r="N281" i="41" s="1"/>
  <c r="L280" i="41"/>
  <c r="N280" i="41" s="1"/>
  <c r="Y279" i="41"/>
  <c r="L278" i="41"/>
  <c r="N278" i="41" s="1"/>
  <c r="L277" i="41"/>
  <c r="N277" i="41" s="1"/>
  <c r="L276" i="41"/>
  <c r="N276" i="41" s="1"/>
  <c r="L275" i="41"/>
  <c r="N275" i="41" s="1"/>
  <c r="V274" i="41"/>
  <c r="Y274" i="41" s="1"/>
  <c r="L274" i="41"/>
  <c r="N274" i="41" s="1"/>
  <c r="L273" i="41"/>
  <c r="N273" i="41" s="1"/>
  <c r="L272" i="41"/>
  <c r="N272" i="41" s="1"/>
  <c r="L271" i="41"/>
  <c r="N271" i="41" s="1"/>
  <c r="L270" i="41"/>
  <c r="N270" i="41" s="1"/>
  <c r="L269" i="41"/>
  <c r="N269" i="41" s="1"/>
  <c r="L268" i="41"/>
  <c r="N268" i="41" s="1"/>
  <c r="L267" i="41"/>
  <c r="N267" i="41" s="1"/>
  <c r="L266" i="41"/>
  <c r="N266" i="41" s="1"/>
  <c r="L265" i="41"/>
  <c r="N265" i="41" s="1"/>
  <c r="L264" i="41"/>
  <c r="N264" i="41" s="1"/>
  <c r="L263" i="41"/>
  <c r="N263" i="41" s="1"/>
  <c r="V262" i="41"/>
  <c r="Y262" i="41" s="1"/>
  <c r="L262" i="41"/>
  <c r="N262" i="41" s="1"/>
  <c r="V261" i="41"/>
  <c r="Y261" i="41" s="1"/>
  <c r="L261" i="41"/>
  <c r="N261" i="41" s="1"/>
  <c r="L260" i="41"/>
  <c r="N260" i="41" s="1"/>
  <c r="V259" i="41"/>
  <c r="Y259" i="41" s="1"/>
  <c r="L259" i="41"/>
  <c r="N259" i="41" s="1"/>
  <c r="L258" i="41"/>
  <c r="N258" i="41" s="1"/>
  <c r="L257" i="41"/>
  <c r="N257" i="41" s="1"/>
  <c r="L256" i="41"/>
  <c r="N256" i="41" s="1"/>
  <c r="L255" i="41"/>
  <c r="N255" i="41" s="1"/>
  <c r="L254" i="41"/>
  <c r="N254" i="41" s="1"/>
  <c r="L253" i="41"/>
  <c r="N253" i="41" s="1"/>
  <c r="L252" i="41"/>
  <c r="N252" i="41" s="1"/>
  <c r="V251" i="41"/>
  <c r="Y251" i="41" s="1"/>
  <c r="L251" i="41"/>
  <c r="N251" i="41" s="1"/>
  <c r="L250" i="41"/>
  <c r="N250" i="41" s="1"/>
  <c r="L249" i="41"/>
  <c r="N249" i="41" s="1"/>
  <c r="L248" i="41"/>
  <c r="N248" i="41" s="1"/>
  <c r="L247" i="41"/>
  <c r="N247" i="41" s="1"/>
  <c r="L246" i="41"/>
  <c r="N246" i="41" s="1"/>
  <c r="L245" i="41"/>
  <c r="N245" i="41" s="1"/>
  <c r="Y244" i="41"/>
  <c r="I244" i="41"/>
  <c r="T244" i="41" s="1"/>
  <c r="H244" i="41"/>
  <c r="S244" i="41" s="1"/>
  <c r="L243" i="41"/>
  <c r="N243" i="41" s="1"/>
  <c r="Y242" i="41"/>
  <c r="I242" i="41"/>
  <c r="T242" i="41" s="1"/>
  <c r="H242" i="41"/>
  <c r="S242" i="41" s="1"/>
  <c r="L241" i="41"/>
  <c r="N241" i="41" s="1"/>
  <c r="L240" i="41"/>
  <c r="N240" i="41" s="1"/>
  <c r="L239" i="41"/>
  <c r="N239" i="41" s="1"/>
  <c r="L238" i="41"/>
  <c r="N238" i="41" s="1"/>
  <c r="L237" i="41"/>
  <c r="N237" i="41" s="1"/>
  <c r="L236" i="41"/>
  <c r="N236" i="41" s="1"/>
  <c r="L235" i="41"/>
  <c r="N235" i="41" s="1"/>
  <c r="L234" i="41"/>
  <c r="N234" i="41" s="1"/>
  <c r="Y233" i="41"/>
  <c r="I233" i="41"/>
  <c r="T233" i="41" s="1"/>
  <c r="H233" i="41"/>
  <c r="S233" i="41" s="1"/>
  <c r="L232" i="41"/>
  <c r="N232" i="41" s="1"/>
  <c r="L231" i="41"/>
  <c r="N231" i="41" s="1"/>
  <c r="L230" i="41"/>
  <c r="N230" i="41" s="1"/>
  <c r="L229" i="41"/>
  <c r="N229" i="41" s="1"/>
  <c r="Y228" i="41"/>
  <c r="I228" i="41"/>
  <c r="T228" i="41" s="1"/>
  <c r="H228" i="41"/>
  <c r="S228" i="41" s="1"/>
  <c r="L227" i="41"/>
  <c r="N227" i="41" s="1"/>
  <c r="L226" i="41"/>
  <c r="N226" i="41" s="1"/>
  <c r="L225" i="41"/>
  <c r="N225" i="41" s="1"/>
  <c r="L224" i="41"/>
  <c r="N224" i="41" s="1"/>
  <c r="L223" i="41"/>
  <c r="N223" i="41" s="1"/>
  <c r="L222" i="41"/>
  <c r="N222" i="41" s="1"/>
  <c r="L221" i="41"/>
  <c r="N221" i="41" s="1"/>
  <c r="L220" i="41"/>
  <c r="N220" i="41" s="1"/>
  <c r="Y219" i="41"/>
  <c r="I219" i="41"/>
  <c r="T219" i="41" s="1"/>
  <c r="H219" i="41"/>
  <c r="S219" i="41" s="1"/>
  <c r="L218" i="41"/>
  <c r="N218" i="41" s="1"/>
  <c r="L217" i="41"/>
  <c r="N217" i="41" s="1"/>
  <c r="L216" i="41"/>
  <c r="N216" i="41" s="1"/>
  <c r="L215" i="41"/>
  <c r="N215" i="41" s="1"/>
  <c r="L214" i="41"/>
  <c r="N214" i="41" s="1"/>
  <c r="L213" i="41"/>
  <c r="N213" i="41" s="1"/>
  <c r="L212" i="41"/>
  <c r="N212" i="41" s="1"/>
  <c r="Y211" i="41"/>
  <c r="I211" i="41"/>
  <c r="T211" i="41" s="1"/>
  <c r="H211" i="41"/>
  <c r="S211" i="41" s="1"/>
  <c r="L210" i="41"/>
  <c r="N210" i="41" s="1"/>
  <c r="L209" i="41"/>
  <c r="N209" i="41" s="1"/>
  <c r="L208" i="41"/>
  <c r="N208" i="41" s="1"/>
  <c r="L207" i="41"/>
  <c r="N207" i="41" s="1"/>
  <c r="L206" i="41"/>
  <c r="N206" i="41" s="1"/>
  <c r="L205" i="41"/>
  <c r="N205" i="41" s="1"/>
  <c r="L204" i="41"/>
  <c r="N204" i="41" s="1"/>
  <c r="L203" i="41"/>
  <c r="N203" i="41" s="1"/>
  <c r="L202" i="41"/>
  <c r="N202" i="41" s="1"/>
  <c r="L201" i="41"/>
  <c r="N201" i="41" s="1"/>
  <c r="L200" i="41"/>
  <c r="N200" i="41" s="1"/>
  <c r="V199" i="41"/>
  <c r="Y199" i="41" s="1"/>
  <c r="L199" i="41"/>
  <c r="N199" i="41" s="1"/>
  <c r="L198" i="41"/>
  <c r="N198" i="41" s="1"/>
  <c r="L197" i="41"/>
  <c r="N197" i="41" s="1"/>
  <c r="L196" i="41"/>
  <c r="N196" i="41" s="1"/>
  <c r="L195" i="41"/>
  <c r="N195" i="41" s="1"/>
  <c r="L194" i="41"/>
  <c r="N194" i="41" s="1"/>
  <c r="L193" i="41"/>
  <c r="N193" i="41" s="1"/>
  <c r="Y192" i="41"/>
  <c r="L192" i="41"/>
  <c r="N192" i="41" s="1"/>
  <c r="L191" i="41"/>
  <c r="N191" i="41" s="1"/>
  <c r="L190" i="41"/>
  <c r="N190" i="41" s="1"/>
  <c r="L188" i="41"/>
  <c r="N188" i="41" s="1"/>
  <c r="L187" i="41"/>
  <c r="N187" i="41" s="1"/>
  <c r="L186" i="41"/>
  <c r="N186" i="41" s="1"/>
  <c r="L185" i="41"/>
  <c r="N185" i="41" s="1"/>
  <c r="L184" i="41"/>
  <c r="N184" i="41" s="1"/>
  <c r="L183" i="41"/>
  <c r="N183" i="41" s="1"/>
  <c r="Y182" i="41"/>
  <c r="J182" i="41"/>
  <c r="L181" i="41"/>
  <c r="N181" i="41" s="1"/>
  <c r="L180" i="41"/>
  <c r="N180" i="41" s="1"/>
  <c r="L179" i="41"/>
  <c r="N179" i="41" s="1"/>
  <c r="V178" i="41"/>
  <c r="Y178" i="41" s="1"/>
  <c r="L178" i="41"/>
  <c r="N178" i="41" s="1"/>
  <c r="L177" i="41"/>
  <c r="N177" i="41" s="1"/>
  <c r="V176" i="41"/>
  <c r="Y176" i="41" s="1"/>
  <c r="L176" i="41"/>
  <c r="N176" i="41" s="1"/>
  <c r="Y175" i="41"/>
  <c r="L175" i="41"/>
  <c r="N175" i="41" s="1"/>
  <c r="L174" i="41"/>
  <c r="N174" i="41" s="1"/>
  <c r="L173" i="41"/>
  <c r="N173" i="41" s="1"/>
  <c r="L172" i="41"/>
  <c r="N172" i="41" s="1"/>
  <c r="L171" i="41"/>
  <c r="N171" i="41" s="1"/>
  <c r="V170" i="41"/>
  <c r="Y170" i="41" s="1"/>
  <c r="L170" i="41"/>
  <c r="N170" i="41" s="1"/>
  <c r="L169" i="41"/>
  <c r="N169" i="41" s="1"/>
  <c r="L168" i="41"/>
  <c r="N168" i="41" s="1"/>
  <c r="Y167" i="41"/>
  <c r="L167" i="41"/>
  <c r="N167" i="41" s="1"/>
  <c r="L166" i="41"/>
  <c r="N166" i="41" s="1"/>
  <c r="L165" i="41"/>
  <c r="N165" i="41" s="1"/>
  <c r="L164" i="41"/>
  <c r="N164" i="41" s="1"/>
  <c r="L163" i="41"/>
  <c r="N163" i="41" s="1"/>
  <c r="L162" i="41"/>
  <c r="N162" i="41" s="1"/>
  <c r="L161" i="41"/>
  <c r="N161" i="41" s="1"/>
  <c r="L160" i="41"/>
  <c r="N160" i="41" s="1"/>
  <c r="L159" i="41"/>
  <c r="N159" i="41" s="1"/>
  <c r="L158" i="41"/>
  <c r="N158" i="41" s="1"/>
  <c r="L157" i="41"/>
  <c r="N157" i="41" s="1"/>
  <c r="V156" i="41"/>
  <c r="Y156" i="41" s="1"/>
  <c r="L156" i="41"/>
  <c r="N156" i="41" s="1"/>
  <c r="L155" i="41"/>
  <c r="N155" i="41" s="1"/>
  <c r="L154" i="41"/>
  <c r="N154" i="41" s="1"/>
  <c r="V153" i="41"/>
  <c r="Y153" i="41" s="1"/>
  <c r="L153" i="41"/>
  <c r="N153" i="41" s="1"/>
  <c r="L152" i="41"/>
  <c r="N152" i="41" s="1"/>
  <c r="L151" i="41"/>
  <c r="N151" i="41" s="1"/>
  <c r="L150" i="41"/>
  <c r="N150" i="41" s="1"/>
  <c r="L149" i="41"/>
  <c r="N149" i="41" s="1"/>
  <c r="V148" i="41"/>
  <c r="Y148" i="41" s="1"/>
  <c r="L148" i="41"/>
  <c r="N148" i="41" s="1"/>
  <c r="L147" i="41"/>
  <c r="N147" i="41" s="1"/>
  <c r="L146" i="41"/>
  <c r="N146" i="41" s="1"/>
  <c r="L145" i="41"/>
  <c r="N145" i="41" s="1"/>
  <c r="L144" i="41"/>
  <c r="N144" i="41" s="1"/>
  <c r="L143" i="41"/>
  <c r="N143" i="41" s="1"/>
  <c r="V142" i="41"/>
  <c r="Y142" i="41" s="1"/>
  <c r="L142" i="41"/>
  <c r="N142" i="41" s="1"/>
  <c r="L141" i="41"/>
  <c r="N141" i="41" s="1"/>
  <c r="L140" i="41"/>
  <c r="N140" i="41" s="1"/>
  <c r="L139" i="41"/>
  <c r="N139" i="41" s="1"/>
  <c r="L138" i="41"/>
  <c r="N138" i="41" s="1"/>
  <c r="L137" i="41"/>
  <c r="N137" i="41" s="1"/>
  <c r="L136" i="41"/>
  <c r="N136" i="41" s="1"/>
  <c r="L135" i="41"/>
  <c r="N135" i="41" s="1"/>
  <c r="L134" i="41"/>
  <c r="N134" i="41" s="1"/>
  <c r="V133" i="41"/>
  <c r="Y133" i="41" s="1"/>
  <c r="L133" i="41"/>
  <c r="N133" i="41" s="1"/>
  <c r="L132" i="41"/>
  <c r="N132" i="41" s="1"/>
  <c r="L131" i="41"/>
  <c r="N131" i="41" s="1"/>
  <c r="L130" i="41"/>
  <c r="N130" i="41" s="1"/>
  <c r="L129" i="41"/>
  <c r="N129" i="41" s="1"/>
  <c r="L128" i="41"/>
  <c r="N128" i="41" s="1"/>
  <c r="L127" i="41"/>
  <c r="N127" i="41" s="1"/>
  <c r="L126" i="41"/>
  <c r="N126" i="41" s="1"/>
  <c r="L125" i="41"/>
  <c r="N125" i="41" s="1"/>
  <c r="X124" i="41"/>
  <c r="V124" i="41"/>
  <c r="L124" i="41"/>
  <c r="N124" i="41" s="1"/>
  <c r="L123" i="41"/>
  <c r="N123" i="41" s="1"/>
  <c r="Y122" i="41"/>
  <c r="L122" i="41"/>
  <c r="N122" i="41" s="1"/>
  <c r="L121" i="41"/>
  <c r="N121" i="41" s="1"/>
  <c r="L120" i="41"/>
  <c r="N120" i="41" s="1"/>
  <c r="L119" i="41"/>
  <c r="N119" i="41" s="1"/>
  <c r="L118" i="41"/>
  <c r="N118" i="41" s="1"/>
  <c r="V117" i="41"/>
  <c r="Y117" i="41" s="1"/>
  <c r="L117" i="41"/>
  <c r="N117" i="41" s="1"/>
  <c r="L116" i="41"/>
  <c r="N116" i="41" s="1"/>
  <c r="L115" i="41"/>
  <c r="N115" i="41" s="1"/>
  <c r="L114" i="41"/>
  <c r="N114" i="41" s="1"/>
  <c r="L113" i="41"/>
  <c r="N113" i="41" s="1"/>
  <c r="L112" i="41"/>
  <c r="N112" i="41" s="1"/>
  <c r="L111" i="41"/>
  <c r="N111" i="41" s="1"/>
  <c r="L110" i="41"/>
  <c r="N110" i="41" s="1"/>
  <c r="L109" i="41"/>
  <c r="N109" i="41" s="1"/>
  <c r="L108" i="41"/>
  <c r="N108" i="41" s="1"/>
  <c r="L107" i="41"/>
  <c r="N107" i="41" s="1"/>
  <c r="L106" i="41"/>
  <c r="N106" i="41" s="1"/>
  <c r="L105" i="41"/>
  <c r="N105" i="41" s="1"/>
  <c r="L104" i="41"/>
  <c r="N104" i="41" s="1"/>
  <c r="L103" i="41"/>
  <c r="N103" i="41" s="1"/>
  <c r="L102" i="41"/>
  <c r="N102" i="41" s="1"/>
  <c r="L101" i="41"/>
  <c r="N101" i="41" s="1"/>
  <c r="L100" i="41"/>
  <c r="N100" i="41" s="1"/>
  <c r="Y99" i="41"/>
  <c r="L99" i="41"/>
  <c r="N99" i="41" s="1"/>
  <c r="L98" i="41"/>
  <c r="N98" i="41" s="1"/>
  <c r="L97" i="41"/>
  <c r="N97" i="41" s="1"/>
  <c r="L96" i="41"/>
  <c r="N96" i="41" s="1"/>
  <c r="Y95" i="41"/>
  <c r="L95" i="41"/>
  <c r="N95" i="41" s="1"/>
  <c r="L94" i="41"/>
  <c r="N94" i="41" s="1"/>
  <c r="L93" i="41"/>
  <c r="N93" i="41" s="1"/>
  <c r="L92" i="41"/>
  <c r="N92" i="41" s="1"/>
  <c r="Y91" i="41"/>
  <c r="L91" i="41"/>
  <c r="N91" i="41" s="1"/>
  <c r="L90" i="41"/>
  <c r="N90" i="41" s="1"/>
  <c r="L89" i="41"/>
  <c r="N89" i="41" s="1"/>
  <c r="L88" i="41"/>
  <c r="N88" i="41" s="1"/>
  <c r="V87" i="41"/>
  <c r="Y87" i="41" s="1"/>
  <c r="L87" i="41"/>
  <c r="N87" i="41" s="1"/>
  <c r="L86" i="41"/>
  <c r="N86" i="41" s="1"/>
  <c r="Y85" i="41"/>
  <c r="L85" i="41"/>
  <c r="N85" i="41" s="1"/>
  <c r="L84" i="41"/>
  <c r="N84" i="41" s="1"/>
  <c r="L83" i="41"/>
  <c r="N83" i="41" s="1"/>
  <c r="L82" i="41"/>
  <c r="N82" i="41" s="1"/>
  <c r="L81" i="41"/>
  <c r="N81" i="41" s="1"/>
  <c r="L80" i="41"/>
  <c r="N80" i="41" s="1"/>
  <c r="L79" i="41"/>
  <c r="N79" i="41" s="1"/>
  <c r="Y78" i="41"/>
  <c r="V77" i="41"/>
  <c r="Y77" i="41" s="1"/>
  <c r="L77" i="41"/>
  <c r="N77" i="41" s="1"/>
  <c r="V76" i="41"/>
  <c r="Y76" i="41" s="1"/>
  <c r="L76" i="41"/>
  <c r="N76" i="41" s="1"/>
  <c r="L75" i="41"/>
  <c r="N75" i="41" s="1"/>
  <c r="L74" i="41"/>
  <c r="N74" i="41" s="1"/>
  <c r="L73" i="41"/>
  <c r="N73" i="41" s="1"/>
  <c r="L72" i="41"/>
  <c r="N72" i="41" s="1"/>
  <c r="L71" i="41"/>
  <c r="N71" i="41" s="1"/>
  <c r="L70" i="41"/>
  <c r="N70" i="41" s="1"/>
  <c r="L69" i="41"/>
  <c r="N69" i="41" s="1"/>
  <c r="L68" i="41"/>
  <c r="N68" i="41" s="1"/>
  <c r="L67" i="41"/>
  <c r="N67" i="41" s="1"/>
  <c r="L66" i="41"/>
  <c r="N66" i="41" s="1"/>
  <c r="L65" i="41"/>
  <c r="N65" i="41" s="1"/>
  <c r="L64" i="41"/>
  <c r="N64" i="41" s="1"/>
  <c r="L63" i="41"/>
  <c r="N63" i="41" s="1"/>
  <c r="L62" i="41"/>
  <c r="N62" i="41" s="1"/>
  <c r="L61" i="41"/>
  <c r="N61" i="41" s="1"/>
  <c r="V60" i="41"/>
  <c r="Y60" i="41" s="1"/>
  <c r="L60" i="41"/>
  <c r="N60" i="41" s="1"/>
  <c r="L59" i="41"/>
  <c r="N59" i="41" s="1"/>
  <c r="L58" i="41"/>
  <c r="N58" i="41" s="1"/>
  <c r="L57" i="41"/>
  <c r="N57" i="41" s="1"/>
  <c r="L56" i="41"/>
  <c r="N56" i="41" s="1"/>
  <c r="V55" i="41"/>
  <c r="Y55" i="41" s="1"/>
  <c r="L55" i="41"/>
  <c r="N55" i="41" s="1"/>
  <c r="L54" i="41"/>
  <c r="N54" i="41" s="1"/>
  <c r="L53" i="41"/>
  <c r="N53" i="41" s="1"/>
  <c r="L52" i="41"/>
  <c r="N52" i="41" s="1"/>
  <c r="L51" i="41"/>
  <c r="N51" i="41" s="1"/>
  <c r="L50" i="41"/>
  <c r="N50" i="41" s="1"/>
  <c r="Y49" i="41"/>
  <c r="L48" i="41"/>
  <c r="N48" i="41" s="1"/>
  <c r="L47" i="41"/>
  <c r="N47" i="41" s="1"/>
  <c r="L46" i="41"/>
  <c r="N46" i="41" s="1"/>
  <c r="L45" i="41"/>
  <c r="N45" i="41" s="1"/>
  <c r="L44" i="41"/>
  <c r="N44" i="41" s="1"/>
  <c r="L43" i="41"/>
  <c r="N43" i="41" s="1"/>
  <c r="L42" i="41"/>
  <c r="N42" i="41" s="1"/>
  <c r="L41" i="41"/>
  <c r="N41" i="41" s="1"/>
  <c r="L40" i="41"/>
  <c r="N40" i="41" s="1"/>
  <c r="Y39" i="41"/>
  <c r="L39" i="41"/>
  <c r="N39" i="41" s="1"/>
  <c r="L38" i="41"/>
  <c r="N38" i="41" s="1"/>
  <c r="L37" i="41"/>
  <c r="N37" i="41" s="1"/>
  <c r="L36" i="41"/>
  <c r="N36" i="41" s="1"/>
  <c r="L35" i="41"/>
  <c r="N35" i="41" s="1"/>
  <c r="L34" i="41"/>
  <c r="N34" i="41" s="1"/>
  <c r="L33" i="41"/>
  <c r="N33" i="41" s="1"/>
  <c r="L32" i="41"/>
  <c r="N32" i="41" s="1"/>
  <c r="L31" i="41"/>
  <c r="N31" i="41" s="1"/>
  <c r="L30" i="41"/>
  <c r="N30" i="41" s="1"/>
  <c r="L29" i="41"/>
  <c r="N29" i="41" s="1"/>
  <c r="L28" i="41"/>
  <c r="N28" i="41" s="1"/>
  <c r="L27" i="41"/>
  <c r="N27" i="41" s="1"/>
  <c r="L26" i="41"/>
  <c r="N26" i="41" s="1"/>
  <c r="L25" i="41"/>
  <c r="N25" i="41" s="1"/>
  <c r="L24" i="41"/>
  <c r="N24" i="41" s="1"/>
  <c r="L23" i="41"/>
  <c r="N23" i="41" s="1"/>
  <c r="L22" i="41"/>
  <c r="N22" i="41" s="1"/>
  <c r="L21" i="41"/>
  <c r="N21" i="41" s="1"/>
  <c r="L20" i="41"/>
  <c r="N20" i="41" s="1"/>
  <c r="L19" i="41"/>
  <c r="N19" i="41" s="1"/>
  <c r="V18" i="41"/>
  <c r="Y18" i="41" s="1"/>
  <c r="K18" i="41"/>
  <c r="T18" i="41" s="1"/>
  <c r="J18" i="41"/>
  <c r="S18" i="41" s="1"/>
  <c r="V17" i="41"/>
  <c r="Y17" i="41" s="1"/>
  <c r="L17" i="41"/>
  <c r="N17" i="41" s="1"/>
  <c r="L16" i="41"/>
  <c r="N16" i="41" s="1"/>
  <c r="L15" i="41"/>
  <c r="N15" i="41" s="1"/>
  <c r="L14" i="41"/>
  <c r="N14" i="41" s="1"/>
  <c r="L13" i="41"/>
  <c r="N13" i="41" s="1"/>
  <c r="L12" i="41"/>
  <c r="N12" i="41" s="1"/>
  <c r="L11" i="41"/>
  <c r="N11" i="41" s="1"/>
  <c r="Y10" i="41"/>
  <c r="L10" i="41"/>
  <c r="N10" i="41" s="1"/>
  <c r="L9" i="41"/>
  <c r="N9" i="41" s="1"/>
  <c r="L8" i="41"/>
  <c r="N8" i="41" s="1"/>
  <c r="L7" i="41"/>
  <c r="N7" i="41" s="1"/>
  <c r="L6" i="41"/>
  <c r="N6" i="41" s="1"/>
  <c r="L5" i="41"/>
  <c r="N5" i="41" s="1"/>
  <c r="L4" i="41"/>
  <c r="N4" i="41" s="1"/>
  <c r="L3" i="41"/>
  <c r="N3" i="41" s="1"/>
  <c r="L2" i="41"/>
  <c r="L1688" i="41" l="1"/>
  <c r="N1688" i="41" s="1"/>
  <c r="T1688" i="41"/>
  <c r="U1688" i="41" s="1"/>
  <c r="U5480" i="41"/>
  <c r="U3838" i="41"/>
  <c r="U18" i="41"/>
  <c r="U3882" i="41"/>
  <c r="L2985" i="41"/>
  <c r="N2985" i="41" s="1"/>
  <c r="S2985" i="41"/>
  <c r="U2985" i="41" s="1"/>
  <c r="L2271" i="41"/>
  <c r="N2271" i="41" s="1"/>
  <c r="S2271" i="41"/>
  <c r="U2271" i="41" s="1"/>
  <c r="L2539" i="41"/>
  <c r="N2539" i="41" s="1"/>
  <c r="S2539" i="41"/>
  <c r="U2539" i="41" s="1"/>
  <c r="L423" i="41"/>
  <c r="N423" i="41" s="1"/>
  <c r="S423" i="41"/>
  <c r="U423" i="41" s="1"/>
  <c r="L2601" i="41"/>
  <c r="N2601" i="41" s="1"/>
  <c r="S2601" i="41"/>
  <c r="U2601" i="41" s="1"/>
  <c r="L5314" i="41"/>
  <c r="N5314" i="41" s="1"/>
  <c r="S5314" i="41"/>
  <c r="U5314" i="41" s="1"/>
  <c r="L2233" i="41"/>
  <c r="N2233" i="41" s="1"/>
  <c r="S2233" i="41"/>
  <c r="U2233" i="41" s="1"/>
  <c r="L569" i="41"/>
  <c r="N569" i="41" s="1"/>
  <c r="S569" i="41"/>
  <c r="U569" i="41" s="1"/>
  <c r="L551" i="41"/>
  <c r="N551" i="41" s="1"/>
  <c r="S551" i="41"/>
  <c r="U551" i="41" s="1"/>
  <c r="L4637" i="41"/>
  <c r="N4637" i="41" s="1"/>
  <c r="T4637" i="41"/>
  <c r="U4637" i="41" s="1"/>
  <c r="L5243" i="41"/>
  <c r="N5243" i="41" s="1"/>
  <c r="S5243" i="41"/>
  <c r="U5243" i="41" s="1"/>
  <c r="L492" i="41"/>
  <c r="N492" i="41" s="1"/>
  <c r="S492" i="41"/>
  <c r="U492" i="41" s="1"/>
  <c r="L1851" i="41"/>
  <c r="N1851" i="41" s="1"/>
  <c r="S1851" i="41"/>
  <c r="U1851" i="41" s="1"/>
  <c r="L550" i="41"/>
  <c r="N550" i="41" s="1"/>
  <c r="S550" i="41"/>
  <c r="U550" i="41" s="1"/>
  <c r="L533" i="41"/>
  <c r="N533" i="41" s="1"/>
  <c r="S533" i="41"/>
  <c r="U533" i="41" s="1"/>
  <c r="L407" i="41"/>
  <c r="N407" i="41" s="1"/>
  <c r="S407" i="41"/>
  <c r="U407" i="41" s="1"/>
  <c r="L1326" i="41"/>
  <c r="N1326" i="41" s="1"/>
  <c r="S1326" i="41"/>
  <c r="U1326" i="41" s="1"/>
  <c r="L3631" i="41"/>
  <c r="N3631" i="41" s="1"/>
  <c r="S3631" i="41"/>
  <c r="U3631" i="41" s="1"/>
  <c r="L3371" i="41"/>
  <c r="N3371" i="41" s="1"/>
  <c r="S3371" i="41"/>
  <c r="U3371" i="41" s="1"/>
  <c r="N4593" i="41"/>
  <c r="T4593" i="41"/>
  <c r="U4593" i="41" s="1"/>
  <c r="L803" i="41"/>
  <c r="N803" i="41" s="1"/>
  <c r="S803" i="41"/>
  <c r="U803" i="41" s="1"/>
  <c r="L324" i="41"/>
  <c r="N324" i="41" s="1"/>
  <c r="S324" i="41"/>
  <c r="U324" i="41" s="1"/>
  <c r="L359" i="41"/>
  <c r="N359" i="41" s="1"/>
  <c r="T359" i="41"/>
  <c r="U359" i="41" s="1"/>
  <c r="L3057" i="41"/>
  <c r="N3057" i="41" s="1"/>
  <c r="S3057" i="41"/>
  <c r="U3057" i="41" s="1"/>
  <c r="L4476" i="41"/>
  <c r="N4476" i="41" s="1"/>
  <c r="S4476" i="41"/>
  <c r="U4476" i="41" s="1"/>
  <c r="L5651" i="41"/>
  <c r="N5651" i="41" s="1"/>
  <c r="S5651" i="41"/>
  <c r="U5651" i="41" s="1"/>
  <c r="L949" i="41"/>
  <c r="N949" i="41" s="1"/>
  <c r="S949" i="41"/>
  <c r="U949" i="41" s="1"/>
  <c r="L787" i="41"/>
  <c r="N787" i="41" s="1"/>
  <c r="T787" i="41"/>
  <c r="U787" i="41" s="1"/>
  <c r="L1176" i="41"/>
  <c r="N1176" i="41" s="1"/>
  <c r="S1176" i="41"/>
  <c r="U1176" i="41" s="1"/>
  <c r="L687" i="41"/>
  <c r="N687" i="41" s="1"/>
  <c r="S687" i="41"/>
  <c r="U687" i="41" s="1"/>
  <c r="L1165" i="41"/>
  <c r="N1165" i="41" s="1"/>
  <c r="S1165" i="41"/>
  <c r="U1165" i="41" s="1"/>
  <c r="L2647" i="41"/>
  <c r="N2647" i="41" s="1"/>
  <c r="T2647" i="41"/>
  <c r="U2647" i="41" s="1"/>
  <c r="L3365" i="41"/>
  <c r="N3365" i="41" s="1"/>
  <c r="S3365" i="41"/>
  <c r="U3365" i="41" s="1"/>
  <c r="L3520" i="41"/>
  <c r="N3520" i="41" s="1"/>
  <c r="S3520" i="41"/>
  <c r="U3520" i="41" s="1"/>
  <c r="L3314" i="41"/>
  <c r="N3314" i="41" s="1"/>
  <c r="S3314" i="41"/>
  <c r="U3314" i="41" s="1"/>
  <c r="L364" i="41"/>
  <c r="N364" i="41" s="1"/>
  <c r="T364" i="41"/>
  <c r="U364" i="41" s="1"/>
  <c r="L925" i="41"/>
  <c r="N925" i="41" s="1"/>
  <c r="S925" i="41"/>
  <c r="U925" i="41" s="1"/>
  <c r="L381" i="41"/>
  <c r="N381" i="41" s="1"/>
  <c r="S381" i="41"/>
  <c r="U381" i="41" s="1"/>
  <c r="L1130" i="41"/>
  <c r="N1130" i="41" s="1"/>
  <c r="S1130" i="41"/>
  <c r="U1130" i="41" s="1"/>
  <c r="U244" i="41"/>
  <c r="L1609" i="41"/>
  <c r="N1609" i="41" s="1"/>
  <c r="S1609" i="41"/>
  <c r="U1609" i="41" s="1"/>
  <c r="U219" i="41"/>
  <c r="L2933" i="41"/>
  <c r="N2933" i="41" s="1"/>
  <c r="T2933" i="41"/>
  <c r="U2933" i="41" s="1"/>
  <c r="L620" i="41"/>
  <c r="N620" i="41" s="1"/>
  <c r="S620" i="41"/>
  <c r="U620" i="41" s="1"/>
  <c r="L2935" i="41"/>
  <c r="N2935" i="41" s="1"/>
  <c r="T2935" i="41"/>
  <c r="U2935" i="41" s="1"/>
  <c r="L2945" i="41"/>
  <c r="N2945" i="41" s="1"/>
  <c r="T2945" i="41"/>
  <c r="U2945" i="41" s="1"/>
  <c r="L2960" i="41"/>
  <c r="N2960" i="41" s="1"/>
  <c r="T2960" i="41"/>
  <c r="U2960" i="41" s="1"/>
  <c r="L2963" i="41"/>
  <c r="N2963" i="41" s="1"/>
  <c r="T2963" i="41"/>
  <c r="U2963" i="41" s="1"/>
  <c r="U233" i="41"/>
  <c r="U242" i="41"/>
  <c r="U228" i="41"/>
  <c r="L5679" i="41"/>
  <c r="N5679" i="41" s="1"/>
  <c r="S5679" i="41"/>
  <c r="U5679" i="41" s="1"/>
  <c r="U211" i="41"/>
  <c r="L3578" i="41"/>
  <c r="N3578" i="41" s="1"/>
  <c r="S3578" i="41"/>
  <c r="U3578" i="41" s="1"/>
  <c r="L5609" i="41"/>
  <c r="S5609" i="41"/>
  <c r="U5609" i="41" s="1"/>
  <c r="L907" i="41"/>
  <c r="N907" i="41" s="1"/>
  <c r="S907" i="41"/>
  <c r="U907" i="41" s="1"/>
  <c r="L1416" i="41"/>
  <c r="N1416" i="41" s="1"/>
  <c r="S1416" i="41"/>
  <c r="U1416" i="41" s="1"/>
  <c r="N5609" i="41"/>
  <c r="L1496" i="41"/>
  <c r="N1496" i="41" s="1"/>
  <c r="S1496" i="41"/>
  <c r="U1496" i="41" s="1"/>
  <c r="L182" i="41"/>
  <c r="N182" i="41" s="1"/>
  <c r="S182" i="41"/>
  <c r="L427" i="41"/>
  <c r="N427" i="41" s="1"/>
  <c r="S427" i="41"/>
  <c r="L4802" i="41"/>
  <c r="N4802" i="41" s="1"/>
  <c r="S4802" i="41"/>
  <c r="U4802" i="41" s="1"/>
  <c r="L4478" i="41"/>
  <c r="N4478" i="41" s="1"/>
  <c r="S4478" i="41"/>
  <c r="L3265" i="41"/>
  <c r="N3265" i="41" s="1"/>
  <c r="S3265" i="41"/>
  <c r="U3265" i="41" s="1"/>
  <c r="L943" i="41"/>
  <c r="N943" i="41" s="1"/>
  <c r="S943" i="41"/>
  <c r="U943" i="41" s="1"/>
  <c r="L1434" i="41"/>
  <c r="N1434" i="41" s="1"/>
  <c r="S1434" i="41"/>
  <c r="U1434" i="41" s="1"/>
  <c r="L1683" i="41"/>
  <c r="N1683" i="41" s="1"/>
  <c r="S1683" i="41"/>
  <c r="U1683" i="41" s="1"/>
  <c r="L1091" i="41"/>
  <c r="N1091" i="41" s="1"/>
  <c r="S1091" i="41"/>
  <c r="U1091" i="41" s="1"/>
  <c r="L1444" i="41"/>
  <c r="N1444" i="41" s="1"/>
  <c r="S1444" i="41"/>
  <c r="U1444" i="41" s="1"/>
  <c r="L18" i="41"/>
  <c r="N18" i="41" s="1"/>
  <c r="L3838" i="41"/>
  <c r="N3838" i="41" s="1"/>
  <c r="I3518" i="40"/>
  <c r="L3882" i="41"/>
  <c r="N3882" i="41" s="1"/>
  <c r="N1206" i="41"/>
  <c r="N1303" i="41"/>
  <c r="L219" i="41"/>
  <c r="N219" i="41" s="1"/>
  <c r="L5480" i="41"/>
  <c r="N5480" i="41" s="1"/>
  <c r="N1189" i="41"/>
  <c r="L242" i="41"/>
  <c r="N242" i="41" s="1"/>
  <c r="L228" i="41"/>
  <c r="N228" i="41" s="1"/>
  <c r="N2687" i="41"/>
  <c r="L233" i="41"/>
  <c r="N233" i="41" s="1"/>
  <c r="N1315" i="41"/>
  <c r="N5048" i="41"/>
  <c r="N2803" i="41"/>
  <c r="Y124" i="41"/>
  <c r="N1263" i="41"/>
  <c r="L244" i="41"/>
  <c r="N244" i="41" s="1"/>
  <c r="L211" i="41"/>
  <c r="N211" i="41" s="1"/>
  <c r="N3583" i="41"/>
  <c r="N337" i="41"/>
  <c r="N4587" i="41"/>
  <c r="N2" i="41"/>
  <c r="N1306" i="41"/>
  <c r="AD5318" i="41" l="1"/>
  <c r="L4593" i="41"/>
</calcChain>
</file>

<file path=xl/sharedStrings.xml><?xml version="1.0" encoding="utf-8"?>
<sst xmlns="http://schemas.openxmlformats.org/spreadsheetml/2006/main" count="62493" uniqueCount="31800">
  <si>
    <t>FRN</t>
  </si>
  <si>
    <t>FirmName</t>
  </si>
  <si>
    <t>Holden &amp; Co</t>
  </si>
  <si>
    <t>NIT</t>
  </si>
  <si>
    <t>Daly, Hoggett &amp; Co</t>
  </si>
  <si>
    <t>Santander UK Plc</t>
  </si>
  <si>
    <t>IT</t>
  </si>
  <si>
    <t>Nationwide Building Society</t>
  </si>
  <si>
    <t>Ellis Bates Financial Solutions Limited</t>
  </si>
  <si>
    <t>Howard Wright Ltd</t>
  </si>
  <si>
    <t>The Royal Bank of Scotland Plc</t>
  </si>
  <si>
    <t>Norfolk &amp; Suffolk Financial Services Limited</t>
  </si>
  <si>
    <t>Saunderson House Limited</t>
  </si>
  <si>
    <t>Rathbones Investment Management Limited</t>
  </si>
  <si>
    <t>Optimum Path Financial Planning Ltd</t>
  </si>
  <si>
    <t>La Bourse Limited</t>
  </si>
  <si>
    <t>Salisbury Financial Services Limited</t>
  </si>
  <si>
    <t>The National Farmers' Union Mutual Insurance Society Limited</t>
  </si>
  <si>
    <t>Lloyds Bank PLC</t>
  </si>
  <si>
    <t>Carter Pearl Limited</t>
  </si>
  <si>
    <t>Michael Ambrose Limited</t>
  </si>
  <si>
    <t>Pension Potential Limited</t>
  </si>
  <si>
    <t>Jackson (Life &amp; Pensions) Limited</t>
  </si>
  <si>
    <t>National Westminster Bank Plc</t>
  </si>
  <si>
    <t>Financial Administration Services Limited</t>
  </si>
  <si>
    <t>Coutts &amp; Company</t>
  </si>
  <si>
    <t>Evelyn Partners Securities</t>
  </si>
  <si>
    <t>Charles Stanley &amp; Co Ltd</t>
  </si>
  <si>
    <t>Brewin Dolphin Limited</t>
  </si>
  <si>
    <t>Investec Wealth &amp; Investment Limited</t>
  </si>
  <si>
    <t>HFS Milbourne Financial Services Limited</t>
  </si>
  <si>
    <t>Abacus Wealth Planning Ltd</t>
  </si>
  <si>
    <t>Hugh Davies Associates Limited</t>
  </si>
  <si>
    <t>Castle Sundborn Limited</t>
  </si>
  <si>
    <t>MCHB Wealth Management Ltd</t>
  </si>
  <si>
    <t>Backhouse Independent Financial Services Limited</t>
  </si>
  <si>
    <t>Bourne Taylor Neville Limited</t>
  </si>
  <si>
    <t>Medics Financial Services Limited</t>
  </si>
  <si>
    <t>MacBeth, Scott &amp; Company Life &amp; Pensions Services Limited</t>
  </si>
  <si>
    <t>Johnston Financial Limited</t>
  </si>
  <si>
    <t>Evelyn Partners Investment Services Limited</t>
  </si>
  <si>
    <t>City &amp; Trust Finance Limited</t>
  </si>
  <si>
    <t>HW Financial Services Limited</t>
  </si>
  <si>
    <t>Executive Benefit Services (UK) Limited</t>
  </si>
  <si>
    <t>Wesleyan Financial Services Ltd</t>
  </si>
  <si>
    <t>Highwood Financial Services</t>
  </si>
  <si>
    <t>ART Holdings Limited</t>
  </si>
  <si>
    <t>Keyte Limited</t>
  </si>
  <si>
    <t>Evelyn Partners Financial Planning Limited</t>
  </si>
  <si>
    <t>Orwell Securities (Ipswich) Limited</t>
  </si>
  <si>
    <t>Strategic Wealth Management Limited</t>
  </si>
  <si>
    <t>Dart Capital Limited</t>
  </si>
  <si>
    <t>Chase de Vere Independent Financial Advisers limited</t>
  </si>
  <si>
    <t>Delta Financial Management Limited</t>
  </si>
  <si>
    <t>Frank Corrigan &amp; Co. Limited</t>
  </si>
  <si>
    <t>Law Society (NI) Financial Advice Limited</t>
  </si>
  <si>
    <t>Richardsons Financial Services Limited</t>
  </si>
  <si>
    <t>The Henley Life &amp; Pensions Consultancy</t>
  </si>
  <si>
    <t>Telford Mann Limited</t>
  </si>
  <si>
    <t>Schroder &amp; Co Ltd</t>
  </si>
  <si>
    <t>abrdn Financial Planning And Advice Limited</t>
  </si>
  <si>
    <t>Michael Philips</t>
  </si>
  <si>
    <t>Beyond Finance Ltd</t>
  </si>
  <si>
    <t>W B Baxter Limited</t>
  </si>
  <si>
    <t>HFMC Wealth Management Ltd</t>
  </si>
  <si>
    <t>Homecroft Financial Management Limited</t>
  </si>
  <si>
    <t>Evelyn Partners Discretionary Investment Management Limited</t>
  </si>
  <si>
    <t>Altorfer Financial Management Limited</t>
  </si>
  <si>
    <t>Weston-Cummins Limited</t>
  </si>
  <si>
    <t>BRB Financial Horizons Limited</t>
  </si>
  <si>
    <t>Modern Money Financial Services Limited</t>
  </si>
  <si>
    <t>Skipton Building Society</t>
  </si>
  <si>
    <t>Graham Carter Financial Services Limited</t>
  </si>
  <si>
    <t>Barrington Jarvis Limited</t>
  </si>
  <si>
    <t>Shackleton Advisers Limited</t>
  </si>
  <si>
    <t>RDS Financial Consultants Limited</t>
  </si>
  <si>
    <t>Evelyn Partners Investment Management Services Limited</t>
  </si>
  <si>
    <t>Bank of Scotland plc</t>
  </si>
  <si>
    <t>Heron House Financial Management Limited</t>
  </si>
  <si>
    <t>Informed Choice Ltd</t>
  </si>
  <si>
    <t>AKFP Ltd</t>
  </si>
  <si>
    <t>Belmont Associates Limited</t>
  </si>
  <si>
    <t>Evelyn Partners Financial Services Limited</t>
  </si>
  <si>
    <t>Philip J Milton &amp; Company Plc</t>
  </si>
  <si>
    <t>Atkins Bland Limited</t>
  </si>
  <si>
    <t>Cockburn Lucas Independent Financial Consulting Limited</t>
  </si>
  <si>
    <t>Quilter Financial Planning Solutions Limited</t>
  </si>
  <si>
    <t>Tom French &amp; Associates Limited</t>
  </si>
  <si>
    <t>Intelligent Pensions Ltd</t>
  </si>
  <si>
    <t>The Ethical Investment Co-operative Limited</t>
  </si>
  <si>
    <t>Fairstone Wealth Management Limited</t>
  </si>
  <si>
    <t>Robert Gerrard &amp; Westbrook Ltd</t>
  </si>
  <si>
    <t>Moneyweb Limited</t>
  </si>
  <si>
    <t>Wealth and Tax Management Limited</t>
  </si>
  <si>
    <t>Hargreaves Lansdown Advisory Services Limited</t>
  </si>
  <si>
    <t>AISA FINANCIAL PLANNING LIMITED</t>
  </si>
  <si>
    <t>HB Dobbin Financial Planning Ltd</t>
  </si>
  <si>
    <t>Sturdy Edwards (Financial Services) Limited</t>
  </si>
  <si>
    <t>Ovation Finance Limited</t>
  </si>
  <si>
    <t>Morton-Wilson Associates Limited</t>
  </si>
  <si>
    <t>Investing Ethically Ltd</t>
  </si>
  <si>
    <t>Cartlidge Morland Limited</t>
  </si>
  <si>
    <t>Origen Financial Services Limited</t>
  </si>
  <si>
    <t>HFMC Wealth Limited</t>
  </si>
  <si>
    <t>Lighthouse Advisory Services Limited</t>
  </si>
  <si>
    <t>The Broughton Wilkins Partnership Ltd</t>
  </si>
  <si>
    <t>St. James's Place Wealth Management Plc</t>
  </si>
  <si>
    <t>Rosan Helmsley Limited</t>
  </si>
  <si>
    <t>Investax Limited</t>
  </si>
  <si>
    <t>Weatherbys Bank Limited</t>
  </si>
  <si>
    <t>Isis Financial Planners Limited</t>
  </si>
  <si>
    <t>Scrutton Bland Financial Services Limited</t>
  </si>
  <si>
    <t>D B Wood Limited</t>
  </si>
  <si>
    <t>Watson French Limited</t>
  </si>
  <si>
    <t>Jane Smith Financial Planning Limited</t>
  </si>
  <si>
    <t>Alpha Financial Management Limited</t>
  </si>
  <si>
    <t>Sterling &amp; Law Group Plc</t>
  </si>
  <si>
    <t>Quilter Wealth Ltd</t>
  </si>
  <si>
    <t>SKYBOUND WEALTH MANAGEMENT LIMITED</t>
  </si>
  <si>
    <t>Acumen Financial Planning Limited</t>
  </si>
  <si>
    <t>Genesis Wealth Management Limited</t>
  </si>
  <si>
    <t>Eldon Financial Planning Ltd</t>
  </si>
  <si>
    <t>Evelyn Partners Asset Management Limited</t>
  </si>
  <si>
    <t>Best Practice IFA Group Limited</t>
  </si>
  <si>
    <t>HKA (FS) Ltd</t>
  </si>
  <si>
    <t>LFP Limited</t>
  </si>
  <si>
    <t>Succession Financial Management Limited</t>
  </si>
  <si>
    <t>Titan Private Wealth Limited</t>
  </si>
  <si>
    <t>GM2 Ltd</t>
  </si>
  <si>
    <t>Arena Investment Management Ltd</t>
  </si>
  <si>
    <t>Cooper Park Wealth Management Ltd</t>
  </si>
  <si>
    <t>Black Swan Capital Ltd</t>
  </si>
  <si>
    <t>Coton Financial Management Ltd</t>
  </si>
  <si>
    <t>Wise Investments Ltd</t>
  </si>
  <si>
    <t>Whitley Asset Management Ltd</t>
  </si>
  <si>
    <t>Burwood Sage + Brookridge Ltd</t>
  </si>
  <si>
    <t>Shorts Financial Services LLP</t>
  </si>
  <si>
    <t>Investment Quorum Limited</t>
  </si>
  <si>
    <t>KINGFURNESS &amp; ASSOCIATES LIMITED</t>
  </si>
  <si>
    <t>Wealth Matters Limited</t>
  </si>
  <si>
    <t>Aaron Tawny Mortgages Limited</t>
  </si>
  <si>
    <t>Heritable Limited</t>
  </si>
  <si>
    <t>Landmark Financial Limited</t>
  </si>
  <si>
    <t>Amber Wealth Creation Ltd</t>
  </si>
  <si>
    <t>Estate Capital Financial Management Limited</t>
  </si>
  <si>
    <t>Fowler Drew Limited</t>
  </si>
  <si>
    <t>Saltus Partners LLP</t>
  </si>
  <si>
    <t>IM ASSET MANAGEMENT LIMITED</t>
  </si>
  <si>
    <t>Chadwick McLean Ltd</t>
  </si>
  <si>
    <t>Fiducia Wealth Management Limited</t>
  </si>
  <si>
    <t>Belmayne Independent Financial Services LLP</t>
  </si>
  <si>
    <t>KMG Independent Limited</t>
  </si>
  <si>
    <t>Oakfield Financial Consultants Limited</t>
  </si>
  <si>
    <t>Create Wealth Management Ltd</t>
  </si>
  <si>
    <t>HFMC Wealth Partners LLP</t>
  </si>
  <si>
    <t>SRC Financial Services Limited</t>
  </si>
  <si>
    <t>Johnston Campbell Ltd</t>
  </si>
  <si>
    <t>Hoyl Independent Advisers Ltd</t>
  </si>
  <si>
    <t>Indigo Financial Advice Limited</t>
  </si>
  <si>
    <t>Grangewood Financial Management Ltd</t>
  </si>
  <si>
    <t>abrdn Client Management Limited</t>
  </si>
  <si>
    <t>3-S Financial Management</t>
  </si>
  <si>
    <t>Quilter Financial Services Ltd</t>
  </si>
  <si>
    <t>Moneo Wealth Management Ltd</t>
  </si>
  <si>
    <t>Henson Aslam Financial Management LLP</t>
  </si>
  <si>
    <t>Mortgages Etc Ltd</t>
  </si>
  <si>
    <t>Peter R.T Holden &amp; Partners LLP</t>
  </si>
  <si>
    <t>J M Finn &amp; Co Ltd</t>
  </si>
  <si>
    <t>Stephen Ellis</t>
  </si>
  <si>
    <t>Equilibrium Financial Planning LLP</t>
  </si>
  <si>
    <t>SERENITY FINANCIAL PLANNING LTD</t>
  </si>
  <si>
    <t>JPM Asset Management Limited</t>
  </si>
  <si>
    <t>Gracechurch Wealth Management LLP</t>
  </si>
  <si>
    <t>Portfolio Financial Consultancy Limited</t>
  </si>
  <si>
    <t>Simple Financial Advice Limited</t>
  </si>
  <si>
    <t>Aspire Independent Financial Planners LLP</t>
  </si>
  <si>
    <t>Shipman Wealth Management Ltd</t>
  </si>
  <si>
    <t>Rowley Turton (IFA) Ltd</t>
  </si>
  <si>
    <t>GMT Financial Solutions Limited</t>
  </si>
  <si>
    <t>Crown Wealth Management Limited</t>
  </si>
  <si>
    <t>GSI Wealth Management Limited</t>
  </si>
  <si>
    <t>Killik &amp; Co LLP</t>
  </si>
  <si>
    <t>Courtney Havers LLP</t>
  </si>
  <si>
    <t>FIL Wealth Management Limited</t>
  </si>
  <si>
    <t>Fleming Financial Ltd</t>
  </si>
  <si>
    <t>Insight Wealth Limited</t>
  </si>
  <si>
    <t>Begley Brown Financial Solutions Ltd</t>
  </si>
  <si>
    <t>Century Law Limited</t>
  </si>
  <si>
    <t>Just Financial Planning Ltd</t>
  </si>
  <si>
    <t>Wealth Solutions (UK) Limited</t>
  </si>
  <si>
    <t>Lanyon Financial Planning Limited</t>
  </si>
  <si>
    <t>Positive Wealth Creation Ltd</t>
  </si>
  <si>
    <t>Med-Ex Financial Advisory Services Limited</t>
  </si>
  <si>
    <t>True Bearing Ltd</t>
  </si>
  <si>
    <t>Values To Vision Financial Planning Ltd</t>
  </si>
  <si>
    <t>Westminster Wealth Management LLP</t>
  </si>
  <si>
    <t>Quilter Financial Limited</t>
  </si>
  <si>
    <t>Barker Poland Asset Management LLP</t>
  </si>
  <si>
    <t>The Informed Partnership Limited</t>
  </si>
  <si>
    <t>KD Wright Financial Services Limited</t>
  </si>
  <si>
    <t>Future Life Wealth Management Limited</t>
  </si>
  <si>
    <t>Truly Independent Limited</t>
  </si>
  <si>
    <t>Cheetham Jackson Ltd</t>
  </si>
  <si>
    <t>Aspinalls Family Office LLP</t>
  </si>
  <si>
    <t>One Life Wealth Planning Ltd</t>
  </si>
  <si>
    <t>Page Kirk Financial Services LLP</t>
  </si>
  <si>
    <t>Create and Prosper Financial Services Ltd</t>
  </si>
  <si>
    <t>Burfield Financial Planning Limited</t>
  </si>
  <si>
    <t>Baggette &amp; Company Wealth Management Limited</t>
  </si>
  <si>
    <t>Strategic Solutions Financial Services</t>
  </si>
  <si>
    <t>Verus Financial Planning Limited</t>
  </si>
  <si>
    <t>Emery (IFA) Limited</t>
  </si>
  <si>
    <t>True Potential Investments LLP</t>
  </si>
  <si>
    <t>Atkinson Powell Financial Management LLP</t>
  </si>
  <si>
    <t>Andrew Bourne &amp; Co Independent Financial Advisers Ltd</t>
  </si>
  <si>
    <t>True Potential Wealth Management LLP</t>
  </si>
  <si>
    <t>David Williams IFA Ltd</t>
  </si>
  <si>
    <t>Argentum Financial Planning Limited</t>
  </si>
  <si>
    <t>Investment Solutions Wealth Management Limited</t>
  </si>
  <si>
    <t>Jennings Wealth Management Ltd</t>
  </si>
  <si>
    <t>Otus Financial Limited</t>
  </si>
  <si>
    <t>Nutmeg Saving and Investment Limited</t>
  </si>
  <si>
    <t>Aurora Financial Solutions Limited</t>
  </si>
  <si>
    <t>BLG Wealth Limited</t>
  </si>
  <si>
    <t>Kelvin Financial Planning Limited</t>
  </si>
  <si>
    <t>George Square Financial Management Ltd</t>
  </si>
  <si>
    <t>Titan Wealth Planning Limited</t>
  </si>
  <si>
    <t>D L Bloomer Limited</t>
  </si>
  <si>
    <t>Abacus Financial Options Limited</t>
  </si>
  <si>
    <t>Anstee &amp; Co Limited</t>
  </si>
  <si>
    <t>Willow Financial Planning Limited</t>
  </si>
  <si>
    <t>Ascot Lloyd Limited</t>
  </si>
  <si>
    <t>Lumin Wealth Management Limited</t>
  </si>
  <si>
    <t>Evelyn Partners Investment Management LLP</t>
  </si>
  <si>
    <t>Mosaac Ltd</t>
  </si>
  <si>
    <t>Sandringham Financial Partners Limited</t>
  </si>
  <si>
    <t>J H Lowson &amp; Company Limited</t>
  </si>
  <si>
    <t>NFU Mutual Select Investments Limited</t>
  </si>
  <si>
    <t>Tingley &amp; Cooper Ltd</t>
  </si>
  <si>
    <t>Five Point Consulting Limited</t>
  </si>
  <si>
    <t>M&amp;G Wealth Advice Limited</t>
  </si>
  <si>
    <t>Navigator Financial Planning Limited</t>
  </si>
  <si>
    <t>Succession Wealth Management Ltd</t>
  </si>
  <si>
    <t>Seven Investment Management LLP</t>
  </si>
  <si>
    <t>Fyfe Financial Limited</t>
  </si>
  <si>
    <t>RA Elmes Limited</t>
  </si>
  <si>
    <t>Evolution Wealth  Network Ltd</t>
  </si>
  <si>
    <t>Blue Spire Independent Financial Advice Limited</t>
  </si>
  <si>
    <t>Ontrak Financial Planning Limited</t>
  </si>
  <si>
    <t>Plan Money Ltd</t>
  </si>
  <si>
    <t>Pension Freedom (UK) Limited</t>
  </si>
  <si>
    <t>Fiveways Financial Planning Limited</t>
  </si>
  <si>
    <t>Rock Wealth LLP</t>
  </si>
  <si>
    <t>Chancery Financial Planning LLP</t>
  </si>
  <si>
    <t>The Mortgage and Protection Partnership Ltd</t>
  </si>
  <si>
    <t>The Cosgrove Partnership LLP</t>
  </si>
  <si>
    <t>Wigmore Associates Wealth Management Ltd</t>
  </si>
  <si>
    <t>Pareto Financial Planning Limited</t>
  </si>
  <si>
    <t>Balance: Wealth Planning Limited</t>
  </si>
  <si>
    <t>Cervello Financial Planning Limited</t>
  </si>
  <si>
    <t>MFM Investment Ltd</t>
  </si>
  <si>
    <t>Adelp Financial Solutions Ltd</t>
  </si>
  <si>
    <t>Ellis Bates Wealth Management Limited</t>
  </si>
  <si>
    <t>Citygate Financial Planning Limited</t>
  </si>
  <si>
    <t>Leeburn Financial Planning (NI) Limited</t>
  </si>
  <si>
    <t>TFP Financial Planning Ltd</t>
  </si>
  <si>
    <t>Co-Navigate Limited</t>
  </si>
  <si>
    <t>Red Circle Financial Planning Limited</t>
  </si>
  <si>
    <t>Heritage Wealth Solutions Ltd</t>
  </si>
  <si>
    <t>Footes Financial Planning UK Limited</t>
  </si>
  <si>
    <t>Chadwicks Limited</t>
  </si>
  <si>
    <t>Netwealth Investments Limited</t>
  </si>
  <si>
    <t>Leodis Wealth Limited</t>
  </si>
  <si>
    <t>Asperand Wealth Limited</t>
  </si>
  <si>
    <t>Dartington Wealth Management Limited</t>
  </si>
  <si>
    <t>Sage Roxborough Limited</t>
  </si>
  <si>
    <t>Tailored Financial Planning Ltd</t>
  </si>
  <si>
    <t>Saltus Financial Planning Limited</t>
  </si>
  <si>
    <t>Wells Gibson Limited</t>
  </si>
  <si>
    <t>Waterbridge Financial Planning Limited</t>
  </si>
  <si>
    <t>Polaris Wealth Management Limited</t>
  </si>
  <si>
    <t>Wake up your Wealth LLP</t>
  </si>
  <si>
    <t>Bluesky Independent Wealth Managers Ltd</t>
  </si>
  <si>
    <t>J.P. Morgan SE</t>
  </si>
  <si>
    <t>OCTOPUS MONEY FINANCIAL SOLUTIONS LIMITED</t>
  </si>
  <si>
    <t>Leven Wealth Management Limited</t>
  </si>
  <si>
    <t>HSBC UK Bank Plc</t>
  </si>
  <si>
    <t>Direct Wealth Management Limited</t>
  </si>
  <si>
    <t>Gatehouse-IFA Ltd</t>
  </si>
  <si>
    <t>Altor Wealth Management LLP</t>
  </si>
  <si>
    <t>Redwood Financial Family Wealth and Estate Planners Ltd</t>
  </si>
  <si>
    <t>Lumin Wealth Limited</t>
  </si>
  <si>
    <t>Engage Financial Services Ltd</t>
  </si>
  <si>
    <t>Equilibrium Investment Management LLP</t>
  </si>
  <si>
    <t>NOVA Wealth Ltd</t>
  </si>
  <si>
    <t>Lifetime Wealth Ltd</t>
  </si>
  <si>
    <t>Charles Dean Limited</t>
  </si>
  <si>
    <t>Schroder Wealth Management (US) Limited</t>
  </si>
  <si>
    <t>Oak Four Limited</t>
  </si>
  <si>
    <t>7IM Investment and Retirement Solutions Limited</t>
  </si>
  <si>
    <t>Carlile Alexander Private Wealth Ltd</t>
  </si>
  <si>
    <t>Campbell &amp; McConnachie Limited</t>
  </si>
  <si>
    <t>CopperHouse Financial Limited</t>
  </si>
  <si>
    <t>Red Kite Wealth Management Limited</t>
  </si>
  <si>
    <t>Bosworth Wealth Management Ltd</t>
  </si>
  <si>
    <t>DELAUNAY WEALTH MANAGEMENT LIMITED</t>
  </si>
  <si>
    <t>Fides Limited</t>
  </si>
  <si>
    <t>Milton Keynes Financial Advice Ltd</t>
  </si>
  <si>
    <t>Titan Financial Planning Limited</t>
  </si>
  <si>
    <t>Mclay-James Limited</t>
  </si>
  <si>
    <t>Sweeny Wealth Management Ltd</t>
  </si>
  <si>
    <t>Global Advice Group Ltd</t>
  </si>
  <si>
    <t>Acorn Wealth Management Group Limited</t>
  </si>
  <si>
    <t>Corinthian Benefits Consulting Limited</t>
  </si>
  <si>
    <t>Imperial Wealth International Ltd</t>
  </si>
  <si>
    <t>Humboldt Financial Limited</t>
  </si>
  <si>
    <t>R&amp;S Associates Financial Planning Limited</t>
  </si>
  <si>
    <t>PENGUIN WEALTH PLANNERS LIMITED</t>
  </si>
  <si>
    <t>Scottish Widows Schroder Personal Wealth Limited</t>
  </si>
  <si>
    <t>Thanks Wealth Planning Limited</t>
  </si>
  <si>
    <t>Ruby Red Financial Planning Ltd</t>
  </si>
  <si>
    <t>Meridian Financial Partners Limited</t>
  </si>
  <si>
    <t>Smith and Wardle Financial Consultants LLP</t>
  </si>
  <si>
    <t>Next Chapter Financial Planning Limited</t>
  </si>
  <si>
    <t>Chapter House Wealth Management Limited</t>
  </si>
  <si>
    <t>Expert Independent Financial Planning Limited</t>
  </si>
  <si>
    <t>BlueFinch Wealth Limited</t>
  </si>
  <si>
    <t>Forecast Financial Planning Limited</t>
  </si>
  <si>
    <t>Seed Financial Planning Limited</t>
  </si>
  <si>
    <t>Huw Watts Independent Financial Planning Ltd</t>
  </si>
  <si>
    <t>Osprey Wealth Management Limited</t>
  </si>
  <si>
    <t>Verdant Financial Planning Limited</t>
  </si>
  <si>
    <t>Fernleigh Wearden &amp; Company Ltd</t>
  </si>
  <si>
    <t>Philpott Financial Limited</t>
  </si>
  <si>
    <t>Baron &amp; Grant Investment Management Limited</t>
  </si>
  <si>
    <t>Rosecut Technologies Limited</t>
  </si>
  <si>
    <t>Ellis Davies Financial Planning Limited</t>
  </si>
  <si>
    <t>Engage Wealth Management Limited</t>
  </si>
  <si>
    <t>Montgomery Estate Planning Limited</t>
  </si>
  <si>
    <t>The Stonegate Wealth Group Ltd</t>
  </si>
  <si>
    <t>Simon Bray Wealth Management Ltd</t>
  </si>
  <si>
    <t>Empower Partners LLP</t>
  </si>
  <si>
    <t>Belvedere Wealth Management Ltd</t>
  </si>
  <si>
    <t>PerryJones Financial Planning Limited</t>
  </si>
  <si>
    <t>W Wealth Management Ltd</t>
  </si>
  <si>
    <t>Mission Financial Planning Limited</t>
  </si>
  <si>
    <t>8 Financial Planning Limited</t>
  </si>
  <si>
    <t>Aretian Wealth Management Limited</t>
  </si>
  <si>
    <t>Veracity Financial Planning Ltd</t>
  </si>
  <si>
    <t>Oliver Financial Planning Ltd</t>
  </si>
  <si>
    <t>Oak Private Wealth Ltd</t>
  </si>
  <si>
    <t>Good Green Money Limited</t>
  </si>
  <si>
    <t>Need Financial Planning Ltd</t>
  </si>
  <si>
    <t>Financial Care Solutions Limited</t>
  </si>
  <si>
    <t>Julia Williams Financial Planning Ltd</t>
  </si>
  <si>
    <t>Pyrford Financial Planning Limited</t>
  </si>
  <si>
    <t>Cactus Financial Planning Ltd</t>
  </si>
  <si>
    <t>Riverglen Financial Associates Ltd</t>
  </si>
  <si>
    <t>Rootes Wealth Management Limited</t>
  </si>
  <si>
    <t>Callabas Financial Services Ltd</t>
  </si>
  <si>
    <t>ABFP Limited</t>
  </si>
  <si>
    <t>Giliker Flynn Independent Wealth Ltd</t>
  </si>
  <si>
    <t>Videre Financial Planning Ltd</t>
  </si>
  <si>
    <t>London and Capital Asset Management Limited</t>
  </si>
  <si>
    <t>Singular Financial Planning Limited</t>
  </si>
  <si>
    <t>Prosperity Wealth Ltd</t>
  </si>
  <si>
    <t>Cowgills Wealth Limited</t>
  </si>
  <si>
    <t>Sycamore Wealth LLP</t>
  </si>
  <si>
    <t>Middleton Private Capital Limited</t>
  </si>
  <si>
    <t>N/A</t>
  </si>
  <si>
    <t>Organisation Name</t>
  </si>
  <si>
    <t>Skipton Financial Services Ltd</t>
  </si>
  <si>
    <t>Oury Clark</t>
  </si>
  <si>
    <t>Heywood Shepherd</t>
  </si>
  <si>
    <t>Greaves West &amp; Ayre</t>
  </si>
  <si>
    <t>Rizwan Javed</t>
  </si>
  <si>
    <t>Keymer Haslam &amp; Co</t>
  </si>
  <si>
    <t>Wildin &amp; Co</t>
  </si>
  <si>
    <t>M. Emanuel</t>
  </si>
  <si>
    <t>Thomson Cooper</t>
  </si>
  <si>
    <t>Walker, Dunnett &amp; Co</t>
  </si>
  <si>
    <t>Morris Owen</t>
  </si>
  <si>
    <t>Cashmore &amp; Co</t>
  </si>
  <si>
    <t>Cansdales Limited</t>
  </si>
  <si>
    <t>MoneyScience Investment Consultancy</t>
  </si>
  <si>
    <t>Cirencester Friendly Society Limited</t>
  </si>
  <si>
    <t>National Deposit Friendly Society Limited</t>
  </si>
  <si>
    <t>Dentists' Provident Society Limited</t>
  </si>
  <si>
    <t>Wiltshire Friendly Society Limited</t>
  </si>
  <si>
    <t>The Kensington Friendly Collecting Society Ltd</t>
  </si>
  <si>
    <t>Life Insurance Corporation of India</t>
  </si>
  <si>
    <t>Transatlantic Life Assurance Company Limited</t>
  </si>
  <si>
    <t>Brebners</t>
  </si>
  <si>
    <t>Morgan Griffiths</t>
  </si>
  <si>
    <t>Michael Letch &amp; Partners</t>
  </si>
  <si>
    <t>WDS Wealth Management Ltd</t>
  </si>
  <si>
    <t>Turpin Barker Armstrong</t>
  </si>
  <si>
    <t>Clarke &amp; Co</t>
  </si>
  <si>
    <t>Nigel Sloam &amp; Co</t>
  </si>
  <si>
    <t>Peterkins</t>
  </si>
  <si>
    <t>John Roddick &amp; Son</t>
  </si>
  <si>
    <t>McSherry Halliday</t>
  </si>
  <si>
    <t>Philip Skinner</t>
  </si>
  <si>
    <t>Habib Bank AG Zurich</t>
  </si>
  <si>
    <t>CAL Investments Limited</t>
  </si>
  <si>
    <t>BRITANNIA GLOBAL MARKETS LIMITED</t>
  </si>
  <si>
    <t>HSBC Bank Plc</t>
  </si>
  <si>
    <t>Standard Chartered Bank</t>
  </si>
  <si>
    <t>Whitechurch Securities Limited</t>
  </si>
  <si>
    <t>Johnston Carmichael Wealth Limited</t>
  </si>
  <si>
    <t>Bordier &amp; Cie (UK) PLC</t>
  </si>
  <si>
    <t>F H. Manning Financial Services Limited</t>
  </si>
  <si>
    <t>Thesis Asset Management Limited</t>
  </si>
  <si>
    <t>Dennehy Wealth Limited</t>
  </si>
  <si>
    <t>Portland Financial Management Limited</t>
  </si>
  <si>
    <t>John Whittenbury Financial Services Limited</t>
  </si>
  <si>
    <t>Wilfred T. Fry (Personal Financial Planning) Limited</t>
  </si>
  <si>
    <t>Alan Steel (Asset Management) Limited</t>
  </si>
  <si>
    <t>Maunby Investment Management Ltd</t>
  </si>
  <si>
    <t>Eurosure Limited</t>
  </si>
  <si>
    <t>Finesco Financial Services Limited</t>
  </si>
  <si>
    <t>Birchwood Investment Management Limited</t>
  </si>
  <si>
    <t>Peter Hoare &amp; Company (Insurance Brokers) Limited</t>
  </si>
  <si>
    <t>Stuart Binns &amp; Associates</t>
  </si>
  <si>
    <t>Lowes Financial Management Limited</t>
  </si>
  <si>
    <t>KW Wealth Planning Limited</t>
  </si>
  <si>
    <t>Walker Crips Financial Planning Limited</t>
  </si>
  <si>
    <t>Bartlett Wealth Management Ltd</t>
  </si>
  <si>
    <t>Culver Financial Management Ltd</t>
  </si>
  <si>
    <t>Penmor</t>
  </si>
  <si>
    <t>Charteris Treasury Portfolio Managers Limited</t>
  </si>
  <si>
    <t>Prestwood Etheridge &amp; Russell Limited</t>
  </si>
  <si>
    <t>Mansbrook,Brosche &amp; Co.Limited</t>
  </si>
  <si>
    <t>Ivor Jones &amp; Co. Ltd.</t>
  </si>
  <si>
    <t>Lacomp Plc</t>
  </si>
  <si>
    <t>Cestrian Financial Planning Services Limited</t>
  </si>
  <si>
    <t>Gallagher (Administration &amp; Investment) Limited</t>
  </si>
  <si>
    <t>Michael Davey Financial Management Limited</t>
  </si>
  <si>
    <t>Griffin Wylde Limited</t>
  </si>
  <si>
    <t>Henderson Employee Benefits Limited</t>
  </si>
  <si>
    <t>Bowmore Financial Planning Limited</t>
  </si>
  <si>
    <t>Hargreaves Lansdown Asset Management Limited</t>
  </si>
  <si>
    <t>Reyker Securities Plc</t>
  </si>
  <si>
    <t>John Joseph Financial Services Limited</t>
  </si>
  <si>
    <t>Rafter Associates Financial Management Limited</t>
  </si>
  <si>
    <t>Stuart Rowland Barnden</t>
  </si>
  <si>
    <t>Kerswell Stone &amp; Company</t>
  </si>
  <si>
    <t>R.J. Hurst &amp; Partners Limited</t>
  </si>
  <si>
    <t>Houlihan Lokey Advisory Limited</t>
  </si>
  <si>
    <t>J. Edward Sellars &amp; Partners Limited</t>
  </si>
  <si>
    <t>Handford Aitkenhead &amp; Walker Ltd</t>
  </si>
  <si>
    <t>SDB Strategic Planners Limited</t>
  </si>
  <si>
    <t>E J Glanville &amp; Co (Investment Brokers) Limited</t>
  </si>
  <si>
    <t>BRB Wealth Management Limited</t>
  </si>
  <si>
    <t>Waverton Investment Management Limited</t>
  </si>
  <si>
    <t>Streets Financial Consulting Limited</t>
  </si>
  <si>
    <t>Progeny Wealth Limited</t>
  </si>
  <si>
    <t>Richard Keen Insurance Brokers Limited</t>
  </si>
  <si>
    <t>Callaway Sykes Associates Limited</t>
  </si>
  <si>
    <t>K G J Insurance Brokers (Stourbridge) Limited</t>
  </si>
  <si>
    <t>The Royal London Mutual Insurance Society Limited</t>
  </si>
  <si>
    <t>BV Services</t>
  </si>
  <si>
    <t>Augustine Limited</t>
  </si>
  <si>
    <t>Davies Craddock</t>
  </si>
  <si>
    <t>Griffins Financial Solutions Limited</t>
  </si>
  <si>
    <t>SMG F S Limited</t>
  </si>
  <si>
    <t>M. Thurlow &amp; Co (Insurance) Brokers</t>
  </si>
  <si>
    <t>Whiting Group Limited</t>
  </si>
  <si>
    <t>Trevor Downing Financial Management (IFA) Limited</t>
  </si>
  <si>
    <t>Scotzone Insurance Consultants Limited</t>
  </si>
  <si>
    <t>Rotherwood Insurance Consultants</t>
  </si>
  <si>
    <t>JB Wealth Management Limited</t>
  </si>
  <si>
    <t>Holland (Glasgow) Insurance Brokers Ltd</t>
  </si>
  <si>
    <t>Jonathan Knight</t>
  </si>
  <si>
    <t>Smith Robinson &amp; Co</t>
  </si>
  <si>
    <t>S Rankin &amp; Co (Life &amp; Pensions) Limited</t>
  </si>
  <si>
    <t>Capital International Limited</t>
  </si>
  <si>
    <t>SG Kleinwort Hambros Bank Limited</t>
  </si>
  <si>
    <t>CCLA Investment Management Ltd</t>
  </si>
  <si>
    <t>UBS Asset Management (UK) Ltd</t>
  </si>
  <si>
    <t>Close Asset Management Limited</t>
  </si>
  <si>
    <t>AXA Investment Managers UK Ltd</t>
  </si>
  <si>
    <t>London and Capital Wealth Advisers Limited</t>
  </si>
  <si>
    <t>W. Denis Financial Services Limited</t>
  </si>
  <si>
    <t>Everall Rolfe Associates Limited</t>
  </si>
  <si>
    <t>Blue Shield Investment Services</t>
  </si>
  <si>
    <t>Mitchell Prockter Financial Services Limited</t>
  </si>
  <si>
    <t>C. McDonald Brown Limited</t>
  </si>
  <si>
    <t>Harold Wilson Financial Services Limited</t>
  </si>
  <si>
    <t>Evans Hart Limited</t>
  </si>
  <si>
    <t>Cedar House Financial Services Limited</t>
  </si>
  <si>
    <t>Aurea Financial Planning Limited</t>
  </si>
  <si>
    <t>P.J. Hutchinson &amp; Associates</t>
  </si>
  <si>
    <t>White Knight Group</t>
  </si>
  <si>
    <t>Leagold Limited</t>
  </si>
  <si>
    <t>Capital &amp; Counties (Financial Services) Limited</t>
  </si>
  <si>
    <t>Lycetts Financial Services Limited</t>
  </si>
  <si>
    <t>Peter Guy Limited</t>
  </si>
  <si>
    <t>Nestegg Financial Services</t>
  </si>
  <si>
    <t>J W Hickinson &amp; Co</t>
  </si>
  <si>
    <t>CMS Financial Management Limited</t>
  </si>
  <si>
    <t>Ian Stevenson</t>
  </si>
  <si>
    <t>Doug Wade Insurance Consultant</t>
  </si>
  <si>
    <t>P J Clifton Financial Services</t>
  </si>
  <si>
    <t>Andrew Kent &amp; Partners Limited</t>
  </si>
  <si>
    <t>David Stock &amp; Co Limited</t>
  </si>
  <si>
    <t>Clydesdale Bank Plc</t>
  </si>
  <si>
    <t>NatWest Markets Plc</t>
  </si>
  <si>
    <t>The Co-operative Bank Plc</t>
  </si>
  <si>
    <t>McInroy &amp; Wood Ltd</t>
  </si>
  <si>
    <t>Mercer Limited</t>
  </si>
  <si>
    <t>AIB Group (UK) Plc</t>
  </si>
  <si>
    <t>RF Trustee Co. Limited</t>
  </si>
  <si>
    <t>Northern Bank Limited</t>
  </si>
  <si>
    <t>GAM London Limited</t>
  </si>
  <si>
    <t>HSBC Global Asset Management (UK) Limited</t>
  </si>
  <si>
    <t>Top Technology Ventures Limited</t>
  </si>
  <si>
    <t>Alder Investment Management Ltd</t>
  </si>
  <si>
    <t>VenCap International plc</t>
  </si>
  <si>
    <t>The Bank of New York Mellon</t>
  </si>
  <si>
    <t>City Asset Management Plc</t>
  </si>
  <si>
    <t>BRI Wealth Management PLC</t>
  </si>
  <si>
    <t>Fabian J.A. Finlay M.C.S.I.</t>
  </si>
  <si>
    <t>Atomos Investments Limited</t>
  </si>
  <si>
    <t>Invesco Asset Management Limited</t>
  </si>
  <si>
    <t>Barclays Bank Plc</t>
  </si>
  <si>
    <t>Girlings</t>
  </si>
  <si>
    <t>Hansells Solicitors</t>
  </si>
  <si>
    <t>Quilter Cheviot Limited</t>
  </si>
  <si>
    <t>Credit Suisse (UK) Limited</t>
  </si>
  <si>
    <t>Fiske Plc</t>
  </si>
  <si>
    <t>First Equity Limited</t>
  </si>
  <si>
    <t>N. M. Rothschild &amp; Sons Ltd</t>
  </si>
  <si>
    <t>RBC Europe Limited</t>
  </si>
  <si>
    <t>Brown Shipley &amp; Co Limited</t>
  </si>
  <si>
    <t>BNP Paribas</t>
  </si>
  <si>
    <t>Goldman Sachs International Bank</t>
  </si>
  <si>
    <t>Citibank, N.A.</t>
  </si>
  <si>
    <t>Shore Capital Stockbrokers Ltd</t>
  </si>
  <si>
    <t>ICBC Standard Bank Plc</t>
  </si>
  <si>
    <t>Societe Generale</t>
  </si>
  <si>
    <t>Oberon Investments Limited</t>
  </si>
  <si>
    <t>ING Bank N.V.</t>
  </si>
  <si>
    <t>P.J. Assurance Agency Limited</t>
  </si>
  <si>
    <t>PWS Financial Consulting Limited</t>
  </si>
  <si>
    <t>Courtiers Investment Services Limited</t>
  </si>
  <si>
    <t>Philip T. English International Financial Services Limited</t>
  </si>
  <si>
    <t>J.R. Pritchard Financial &amp; Assurance Consultants</t>
  </si>
  <si>
    <t>Philip Marsden</t>
  </si>
  <si>
    <t>G.S. Lunnon &amp; Company Limited</t>
  </si>
  <si>
    <t>Chalfont Investment Consultants Limited</t>
  </si>
  <si>
    <t>Sett Valley Insurance Services</t>
  </si>
  <si>
    <t>Radcliffe &amp; Company (Life &amp; Pensions) Limited</t>
  </si>
  <si>
    <t>Ellerd Investments Limited</t>
  </si>
  <si>
    <t>DTE Risk and Financial Management Limited</t>
  </si>
  <si>
    <t>Devonshire Financial Services Limited</t>
  </si>
  <si>
    <t>Westerby Investment Management Limited</t>
  </si>
  <si>
    <t>Kerr Henderson (Financial Services) Limited</t>
  </si>
  <si>
    <t>Lloyd and Whyte (Financial Services) Limited</t>
  </si>
  <si>
    <t>Goddard Perry Consulting Ltd</t>
  </si>
  <si>
    <t>Glamis Limited</t>
  </si>
  <si>
    <t>Kent Soper Life &amp; Pensions Limited</t>
  </si>
  <si>
    <t>Malcolm Wood</t>
  </si>
  <si>
    <t>Eastlake &amp; Beachell Limited</t>
  </si>
  <si>
    <t>Active Investment Managers Limited</t>
  </si>
  <si>
    <t>Paul Hipkiss</t>
  </si>
  <si>
    <t>Expatriate Advisory Services Plc</t>
  </si>
  <si>
    <t>Calcluth &amp; Sangster (Financial Services) Limited</t>
  </si>
  <si>
    <t>Financial Management Bureau Limited</t>
  </si>
  <si>
    <t>Thurlowe-Clarke Limited</t>
  </si>
  <si>
    <t>BFS Wealth and Protection Ltd</t>
  </si>
  <si>
    <t>Footman Sherwin Financial Services Limited</t>
  </si>
  <si>
    <t>Professional Independent Advisers Limited</t>
  </si>
  <si>
    <t>Campbell Thomson (Insurance Services) Limited</t>
  </si>
  <si>
    <t>Power Robbins</t>
  </si>
  <si>
    <t>Andrews Insurances Life &amp; Pensions</t>
  </si>
  <si>
    <t>Carey and Johnston</t>
  </si>
  <si>
    <t>Malikks of Bellshill</t>
  </si>
  <si>
    <t>Covenham Financial Services Limited</t>
  </si>
  <si>
    <t>R.A. Cowen &amp; Partners (Financial Services) Limited</t>
  </si>
  <si>
    <t>Ecclesiastical Financial Advisory Services Limited</t>
  </si>
  <si>
    <t>McHardy Financial Limited</t>
  </si>
  <si>
    <t>SCB Financial Services Ltd</t>
  </si>
  <si>
    <t>B &amp; S Financial Management Limited</t>
  </si>
  <si>
    <t>David Jameson Limited</t>
  </si>
  <si>
    <t>D A Calder Limited</t>
  </si>
  <si>
    <t>A. G. Shackcloth and Company</t>
  </si>
  <si>
    <t>Chesterton House Financial Planning Ltd</t>
  </si>
  <si>
    <t>Bartholomew &amp; James (Financial Services) Limited</t>
  </si>
  <si>
    <t>Milsted Langdon Financial Services Limited</t>
  </si>
  <si>
    <t>Warby Wealth Management</t>
  </si>
  <si>
    <t>P W White and Partners Limited</t>
  </si>
  <si>
    <t>Birstall Insurance Services</t>
  </si>
  <si>
    <t>Lifewing Consultants Limited</t>
  </si>
  <si>
    <t>L G Keeley (Life and Pensions) Limited</t>
  </si>
  <si>
    <t>Manor Brokers</t>
  </si>
  <si>
    <t>Harding Roberts &amp; Company</t>
  </si>
  <si>
    <t>Buzzacott Financial Services Limited</t>
  </si>
  <si>
    <t>Moneywise Investments Plc</t>
  </si>
  <si>
    <t>FACET INVESTMENT MANAGEMENT LTD</t>
  </si>
  <si>
    <t>PrisWM Limited</t>
  </si>
  <si>
    <t>Mark Bischoff</t>
  </si>
  <si>
    <t>Lawrence Sheridan Millar</t>
  </si>
  <si>
    <t>Peter Shirley (Financial Services) Limited</t>
  </si>
  <si>
    <t>Midas Financial Services</t>
  </si>
  <si>
    <t>P. Srinivasan, Esq.</t>
  </si>
  <si>
    <t>WM Thomson &amp; Sons</t>
  </si>
  <si>
    <t>Howe Maxted Group Limited</t>
  </si>
  <si>
    <t>Court Ross Financial Management Limited</t>
  </si>
  <si>
    <t>Ahli United Bank (UK) PLC</t>
  </si>
  <si>
    <t>Brian J Hyman (Life &amp; Pensions) Limited</t>
  </si>
  <si>
    <t>Budge and Company Limited</t>
  </si>
  <si>
    <t>Sara Louise Wilkinson</t>
  </si>
  <si>
    <t>Carlton Asset Management Limited</t>
  </si>
  <si>
    <t>R Sheridan &amp; Co</t>
  </si>
  <si>
    <t>Springfield Financial Services Limited</t>
  </si>
  <si>
    <t>Hibbins Financial Services</t>
  </si>
  <si>
    <t>Peter Jones and Associates</t>
  </si>
  <si>
    <t>H&amp;D Wealth Limited</t>
  </si>
  <si>
    <t>DWA Protector Limited</t>
  </si>
  <si>
    <t>NFP Wealth Management Limited</t>
  </si>
  <si>
    <t>Lawrence Dawson &amp; Co. Limited</t>
  </si>
  <si>
    <t>Jeston Insurance Brokers Limited</t>
  </si>
  <si>
    <t>Centaur Financial Services Limited</t>
  </si>
  <si>
    <t>Jackson Financial Planning Limited</t>
  </si>
  <si>
    <t>Mike Coram Associates</t>
  </si>
  <si>
    <t>Personal Financial Advice Limited</t>
  </si>
  <si>
    <t>Meldon &amp; Co Ltd</t>
  </si>
  <si>
    <t>Lawson Financial Management</t>
  </si>
  <si>
    <t>Campbell Insurance Services Limited</t>
  </si>
  <si>
    <t>Broadstone Financial Solutions Limited</t>
  </si>
  <si>
    <t>The Carruth Financial Group Limited</t>
  </si>
  <si>
    <t>Gerald Mulhern</t>
  </si>
  <si>
    <t>Fraser-Hann Financial Services Limited</t>
  </si>
  <si>
    <t>Andrew Colyer-Worsell</t>
  </si>
  <si>
    <t>Craven Street Financial Planning Limited</t>
  </si>
  <si>
    <t>Charles James Financial Planning Limited</t>
  </si>
  <si>
    <t>Martyn Collett</t>
  </si>
  <si>
    <t>Home &amp; Finance IFA Limited</t>
  </si>
  <si>
    <t>Felce Management Company Limited</t>
  </si>
  <si>
    <t>Robert Graham Harvie</t>
  </si>
  <si>
    <t>Christopher Mayes</t>
  </si>
  <si>
    <t>E. S. Walton &amp; Co Limited</t>
  </si>
  <si>
    <t>P.J. McIlroy &amp; Son Insurance &amp; Investment</t>
  </si>
  <si>
    <t>Tavistock Insurance Services Limited</t>
  </si>
  <si>
    <t>K.A. Ripley, Esq.</t>
  </si>
  <si>
    <t>Thompson &amp; Richardson (Financial Services) Lincoln Limited</t>
  </si>
  <si>
    <t>Informed Choice (South West) Limited</t>
  </si>
  <si>
    <t>Rainbourne Associates (Financial Services) Limited</t>
  </si>
  <si>
    <t>Keith Montgomery Associates Limited</t>
  </si>
  <si>
    <t>Self Financial Planners Limited</t>
  </si>
  <si>
    <t>West Frazier Limited</t>
  </si>
  <si>
    <t>Pacific (Norwich) Limited</t>
  </si>
  <si>
    <t>Logicos Financial Planning Limited</t>
  </si>
  <si>
    <t>Atholl Scott Financial Services Limited</t>
  </si>
  <si>
    <t>Kirrage Williams Limited</t>
  </si>
  <si>
    <t>TERRY REED &amp; COMPANY LIMITED</t>
  </si>
  <si>
    <t>Mathews Comfort Financial Services Limited</t>
  </si>
  <si>
    <t>Timmins Whittaker Ltd</t>
  </si>
  <si>
    <t>Moneynotion Limited</t>
  </si>
  <si>
    <t>Tallychart Limited</t>
  </si>
  <si>
    <t>Kishore A. Shah Insurance Consultant</t>
  </si>
  <si>
    <t>P.M.S. Financial Services</t>
  </si>
  <si>
    <t>The McHattie Group</t>
  </si>
  <si>
    <t>Stellar Financial Services</t>
  </si>
  <si>
    <t>Marel Sandidge Associates</t>
  </si>
  <si>
    <t>Beckett Financial Services Limited</t>
  </si>
  <si>
    <t>Embassy Financial Planning Limited</t>
  </si>
  <si>
    <t>Carleton Financial Planning Limited</t>
  </si>
  <si>
    <t>Pharon Independent Financial Advisers Limited</t>
  </si>
  <si>
    <t>Howard Taylor Associates</t>
  </si>
  <si>
    <t>GDC Associates</t>
  </si>
  <si>
    <t>Waterford Investments</t>
  </si>
  <si>
    <t>Barr Davis and Company Limited</t>
  </si>
  <si>
    <t>Guardian Financial Planners Limited</t>
  </si>
  <si>
    <t>Independent Wealth Management Consultants Ltd</t>
  </si>
  <si>
    <t>Philip Evans &amp; Associates</t>
  </si>
  <si>
    <t>Stephen Devey</t>
  </si>
  <si>
    <t>Julius Baer International Limited</t>
  </si>
  <si>
    <t>MUFG BANK, LTD</t>
  </si>
  <si>
    <t>Jefferies International Ltd</t>
  </si>
  <si>
    <t>Qatar National Bank (Q.P.S.C.)</t>
  </si>
  <si>
    <t>Brunel Assurance Society</t>
  </si>
  <si>
    <t>I L Prebble &amp; Partners</t>
  </si>
  <si>
    <t>T.R.S. Independent Financial Advisers</t>
  </si>
  <si>
    <t>W H Ireland Limited</t>
  </si>
  <si>
    <t>DB UK Bank Limited</t>
  </si>
  <si>
    <t>BELLECAPITAL UK LIMITED</t>
  </si>
  <si>
    <t>Oak Tree Friendly Society</t>
  </si>
  <si>
    <t>Interactive Investor Services Limited</t>
  </si>
  <si>
    <t>National Australia Bank Limited</t>
  </si>
  <si>
    <t>Adam &amp; Company Investment Management Limited</t>
  </si>
  <si>
    <t>Dobson &amp; Hodge Limited</t>
  </si>
  <si>
    <t>Stockcube Research Limited</t>
  </si>
  <si>
    <t>Fyshe Horton Finney Ltd</t>
  </si>
  <si>
    <t>Chamberlyns(Leicestershire)Ltd</t>
  </si>
  <si>
    <t>Barons Capital Partners Limited</t>
  </si>
  <si>
    <t>Taylor Withers &amp; Company</t>
  </si>
  <si>
    <t>Cairn Independent Limited</t>
  </si>
  <si>
    <t>Aberdein Considine &amp; Co.</t>
  </si>
  <si>
    <t>Finli (G&amp;P) Ltd</t>
  </si>
  <si>
    <t>Vintage Investment Services</t>
  </si>
  <si>
    <t>Walker Watson Financial Services</t>
  </si>
  <si>
    <t>Goldman Sachs International</t>
  </si>
  <si>
    <t>Swiss Finance Corporation Limited</t>
  </si>
  <si>
    <t>TILNEY DISCRETIONARY PORTFOLIO MANAGEMENT LIMITED</t>
  </si>
  <si>
    <t>Kellands (Gloucester) Limited</t>
  </si>
  <si>
    <t>Arbuthnot Latham &amp; Co Limited</t>
  </si>
  <si>
    <t>Kieldsen McLean Financial Services</t>
  </si>
  <si>
    <t>Lewis &amp; Co (Investments &amp; Pensions) Limited</t>
  </si>
  <si>
    <t>Blankstone Sington Limited</t>
  </si>
  <si>
    <t>MHA Caves Wealth Limited</t>
  </si>
  <si>
    <t>Warner Matthews Limited</t>
  </si>
  <si>
    <t>Beach UK Ltd</t>
  </si>
  <si>
    <t>EFG Private Bank Limited</t>
  </si>
  <si>
    <t>Magill &amp; Company Limited</t>
  </si>
  <si>
    <t>Associated Life</t>
  </si>
  <si>
    <t>IFPC Limited</t>
  </si>
  <si>
    <t>Character Financial Services Limited</t>
  </si>
  <si>
    <t>Kieron John Bassett</t>
  </si>
  <si>
    <t>Henry F Dodds Wealth Management Limited</t>
  </si>
  <si>
    <t>Supreme Wealth Management</t>
  </si>
  <si>
    <t>Numis Securities Limited</t>
  </si>
  <si>
    <t>Richmond House Wealth Management</t>
  </si>
  <si>
    <t>Save &amp; Invest (Financial Planning) Limited</t>
  </si>
  <si>
    <t>Fletcher Investment Consultants Limited</t>
  </si>
  <si>
    <t>A.S.J. Financial Services Limited</t>
  </si>
  <si>
    <t>Three Counties Limited</t>
  </si>
  <si>
    <t>Latham Independent Finance</t>
  </si>
  <si>
    <t>Charlwood Leigh Limited</t>
  </si>
  <si>
    <t>Frenkel Topping Limited</t>
  </si>
  <si>
    <t>Somerville Financial Services Limited</t>
  </si>
  <si>
    <t>Theisen Securities Limited</t>
  </si>
  <si>
    <t>Aviva Life Services UK Limited</t>
  </si>
  <si>
    <t>Richard Field Investment Limited</t>
  </si>
  <si>
    <t>Widelist Investments Limited</t>
  </si>
  <si>
    <t>Johnsons</t>
  </si>
  <si>
    <t>Charles Royle &amp; Company</t>
  </si>
  <si>
    <t>Headstart Advisers Limited</t>
  </si>
  <si>
    <t>R C Brown Investment Management Plc</t>
  </si>
  <si>
    <t>Dowgate Capital Limited</t>
  </si>
  <si>
    <t>Lucas Fettes &amp; Partners (Financial Services) Limited</t>
  </si>
  <si>
    <t>David Booler &amp; Company</t>
  </si>
  <si>
    <t>AMT Futures Limited</t>
  </si>
  <si>
    <t>RVW WealthCare Ltd</t>
  </si>
  <si>
    <t>Woodward Markwell Financial Advisers Limited</t>
  </si>
  <si>
    <t>McLean's</t>
  </si>
  <si>
    <t>Weston Murray &amp; Moore Limited</t>
  </si>
  <si>
    <t>London Court Limited</t>
  </si>
  <si>
    <t>Shore Capital and Corporate Limited</t>
  </si>
  <si>
    <t>Credit Suisse International</t>
  </si>
  <si>
    <t>Bentley Independent Financial Advisers</t>
  </si>
  <si>
    <t>Legal &amp; General (Portfolio Management Services) Ltd</t>
  </si>
  <si>
    <t>Peter Stewart Associates Limited</t>
  </si>
  <si>
    <t>Owen and Associates</t>
  </si>
  <si>
    <t>Halo Invest Ltd</t>
  </si>
  <si>
    <t>Kimberley Financial Services</t>
  </si>
  <si>
    <t>Chamberlain De Broe Limited</t>
  </si>
  <si>
    <t>Harney &amp; Co Independent Financial Advisers</t>
  </si>
  <si>
    <t>David Cope and Partners Limited</t>
  </si>
  <si>
    <t>WDFS Limited</t>
  </si>
  <si>
    <t>Peter Hope</t>
  </si>
  <si>
    <t>Nott Pybus &amp; Associates Limited</t>
  </si>
  <si>
    <t>Union Bancaire Privee, UBP SA</t>
  </si>
  <si>
    <t>Philip Binfield Limited</t>
  </si>
  <si>
    <t>Ramsay Brown Financial Services Limited</t>
  </si>
  <si>
    <t>Financial Advice and Services Limited</t>
  </si>
  <si>
    <t>Fieldstone Private Capital Group Ltd</t>
  </si>
  <si>
    <t>Partridge Muir &amp; Warren Limited</t>
  </si>
  <si>
    <t>Manor Park Financial Services Ltd</t>
  </si>
  <si>
    <t>Rees Astley Independent Financial Advisers Limited</t>
  </si>
  <si>
    <t>Financial Affairs Limited</t>
  </si>
  <si>
    <t>Rowlands &amp; Hames Insurance Brokers Limited</t>
  </si>
  <si>
    <t>The Hartwood Group</t>
  </si>
  <si>
    <t>Albert Goodman Financial Planning Limited</t>
  </si>
  <si>
    <t>S R Smyth</t>
  </si>
  <si>
    <t>ADM Investor Services International Limited</t>
  </si>
  <si>
    <t>MM Wealth Ltd</t>
  </si>
  <si>
    <t>FUTURE PLANET CAPITAL (VENTURES) LIMITED</t>
  </si>
  <si>
    <t>K. D. R. Financial Services</t>
  </si>
  <si>
    <t>Circle Financial Services Limited</t>
  </si>
  <si>
    <t>Bexley Independent Financial Services</t>
  </si>
  <si>
    <t>Essex Financial Management Limited</t>
  </si>
  <si>
    <t>Rixon Matthews Appleyard (Financial Services) Limited</t>
  </si>
  <si>
    <t>Brighton Williams &amp; Partners</t>
  </si>
  <si>
    <t>Whiteleaf Financial Plc</t>
  </si>
  <si>
    <t>Cantor Fitzgerald Europe</t>
  </si>
  <si>
    <t>Research Independent Financial Services Limited</t>
  </si>
  <si>
    <t>J.S.P. Financial Services Limited</t>
  </si>
  <si>
    <t>Plumptree Kilby</t>
  </si>
  <si>
    <t>Goldstar Insurance Services Limited</t>
  </si>
  <si>
    <t>Tower Associates</t>
  </si>
  <si>
    <t>Finance Together Limited</t>
  </si>
  <si>
    <t>TenetConnect Limited</t>
  </si>
  <si>
    <t>ALPs F S Limited</t>
  </si>
  <si>
    <t>Stonewood Financial Planning Limited</t>
  </si>
  <si>
    <t>Roger T Hulme Limited</t>
  </si>
  <si>
    <t>The GMD Partnership</t>
  </si>
  <si>
    <t>Deutsche Bank AG</t>
  </si>
  <si>
    <t>Ecofin Advisors Limited</t>
  </si>
  <si>
    <t>Amar Financial Services</t>
  </si>
  <si>
    <t>MGP Investment Management Limited</t>
  </si>
  <si>
    <t>G G Lewis and Company</t>
  </si>
  <si>
    <t>Access Wealth Management</t>
  </si>
  <si>
    <t>Bernard Barrett Associates Ltd.</t>
  </si>
  <si>
    <t>ABS Financial Planning Limited</t>
  </si>
  <si>
    <t>Perspective (North East) Limited</t>
  </si>
  <si>
    <t>Hill Oldridge Limited</t>
  </si>
  <si>
    <t>Talis Financial Advisers Ltd</t>
  </si>
  <si>
    <t>Lowndes Halsden &amp; Partners Limited</t>
  </si>
  <si>
    <t>Rickard Lazenby Financial Services Ltd</t>
  </si>
  <si>
    <t>Iain Brown</t>
  </si>
  <si>
    <t>TenetConnect Services Limited</t>
  </si>
  <si>
    <t>Rouse Limited</t>
  </si>
  <si>
    <t>Greenfields Financial Management Limited</t>
  </si>
  <si>
    <t>Norwood Financial Services</t>
  </si>
  <si>
    <t>Helm Godfrey Partners Ltd</t>
  </si>
  <si>
    <t>Murdoch Asset Management Limited</t>
  </si>
  <si>
    <t>GHC Capital Markets Ltd</t>
  </si>
  <si>
    <t>MM Financial Management Limited</t>
  </si>
  <si>
    <t>Denyer Insurance Consultancy Ltd</t>
  </si>
  <si>
    <t>Better Retirement Group Ltd</t>
  </si>
  <si>
    <t>Warren &amp; Warren</t>
  </si>
  <si>
    <t>One Four Nine Wealth Limited</t>
  </si>
  <si>
    <t>Julian Harris Financial Consultants</t>
  </si>
  <si>
    <t>Richard Jacobs Pension and Trustee Services Limited</t>
  </si>
  <si>
    <t>Keey Partners Limited</t>
  </si>
  <si>
    <t>Christchurch Investment Management Limited</t>
  </si>
  <si>
    <t>Blackfinch Investments Limited</t>
  </si>
  <si>
    <t>Verso Wealth Management Limited</t>
  </si>
  <si>
    <t>Laver Wealth Management Limited</t>
  </si>
  <si>
    <t>N. J. Leeson &amp; Co.</t>
  </si>
  <si>
    <t>Capel Court Public Limited Company</t>
  </si>
  <si>
    <t>City &amp; Merchant Limited</t>
  </si>
  <si>
    <t>Executive Advisory Services Limited</t>
  </si>
  <si>
    <t>A.J. Buckley Asset Management Ltd</t>
  </si>
  <si>
    <t>Canaccord Genuity Financial Planning Limited</t>
  </si>
  <si>
    <t>Lyndhurst Financial Management Limited</t>
  </si>
  <si>
    <t>Greystone Financial Services Limited</t>
  </si>
  <si>
    <t>T B Patterson Associates</t>
  </si>
  <si>
    <t>Vale Insurance Services Limited</t>
  </si>
  <si>
    <t>Investacc Limited</t>
  </si>
  <si>
    <t>Barbican Independent Financial Advisors Limited</t>
  </si>
  <si>
    <t>City Equities Limited</t>
  </si>
  <si>
    <t>Rowan Dartington &amp; Co. Limited</t>
  </si>
  <si>
    <t>Hampton Ash 1993</t>
  </si>
  <si>
    <t>Morgan Law (Financial Services) Limited</t>
  </si>
  <si>
    <t>AJ Bell Securities Limited</t>
  </si>
  <si>
    <t>BARCLAYS INVESTMENT SOLUTIONS LIMITED</t>
  </si>
  <si>
    <t>VSA Capital Limited</t>
  </si>
  <si>
    <t>Peter Gay &amp; Company</t>
  </si>
  <si>
    <t>Chantler Kent Investments</t>
  </si>
  <si>
    <t>Cambrian Associates Limited</t>
  </si>
  <si>
    <t>Morgans Ltd</t>
  </si>
  <si>
    <t>Burgess &amp; Lee Limited</t>
  </si>
  <si>
    <t>Church's Financial Planning Limited</t>
  </si>
  <si>
    <t>Financial Risk Management</t>
  </si>
  <si>
    <t>Pension &amp; Investment Management Services</t>
  </si>
  <si>
    <t>Aquila Financial Management Limited</t>
  </si>
  <si>
    <t>Strand Hanson Limited</t>
  </si>
  <si>
    <t>Graham Grant IFA Limited</t>
  </si>
  <si>
    <t>QI Financial Solutions Limited</t>
  </si>
  <si>
    <t>Simon Flather</t>
  </si>
  <si>
    <t>Bradbury Hamilton Limited</t>
  </si>
  <si>
    <t>Kevin Adams</t>
  </si>
  <si>
    <t>Skerritt Consultants Limited</t>
  </si>
  <si>
    <t>P M Independent Financial Services</t>
  </si>
  <si>
    <t>Reeve-Sims Ltd</t>
  </si>
  <si>
    <t>Graham Curtis and Company</t>
  </si>
  <si>
    <t>Townsend McCormack Ltd</t>
  </si>
  <si>
    <t>Corbett Keeling Limited</t>
  </si>
  <si>
    <t>Shetland Independent Financial Advisers</t>
  </si>
  <si>
    <t>Johnston Kennedy</t>
  </si>
  <si>
    <t>Kelly Financial Management</t>
  </si>
  <si>
    <t>AMR Financial Management Limited</t>
  </si>
  <si>
    <t>Ethical Investors (UK) Ltd</t>
  </si>
  <si>
    <t>Research Vision Ltd</t>
  </si>
  <si>
    <t>Perrett &amp; Co. Financial Services Limited</t>
  </si>
  <si>
    <t>Medical &amp; Executive Financial Services</t>
  </si>
  <si>
    <t>Morgan Stanley &amp; Co. International Plc</t>
  </si>
  <si>
    <t>Slater Investments Ltd</t>
  </si>
  <si>
    <t>Miller &amp; Co Investment Management Ltd</t>
  </si>
  <si>
    <t>Castlegate Financial Management Limited</t>
  </si>
  <si>
    <t>H S Coleman (Insurance Services) Ltd</t>
  </si>
  <si>
    <t>Graeme James Dick</t>
  </si>
  <si>
    <t>Campbell Munro Limited</t>
  </si>
  <si>
    <t>D C Financial Limited</t>
  </si>
  <si>
    <t>HRI Investments Limited</t>
  </si>
  <si>
    <t>Omnilife Insurance Company Limited</t>
  </si>
  <si>
    <t>Bank of China Limited London Branch</t>
  </si>
  <si>
    <t>NS ASSET MANAGEMENT UK LTD</t>
  </si>
  <si>
    <t>Fraser Spy Financial Services Ltd</t>
  </si>
  <si>
    <t>SP Financial Management Limited</t>
  </si>
  <si>
    <t>Fieldings Investment Management Ltd</t>
  </si>
  <si>
    <t>CFS Management Ltd</t>
  </si>
  <si>
    <t>Fraser Finance Limited</t>
  </si>
  <si>
    <t>ITI Capital Limited</t>
  </si>
  <si>
    <t>Peter Manduell &amp; Company Financial Services Limited</t>
  </si>
  <si>
    <t>Kotak Mahindra (UK) Limited</t>
  </si>
  <si>
    <t>J &amp; E Davy (UK) Limited</t>
  </si>
  <si>
    <t>Broadway Financial Planning Limited</t>
  </si>
  <si>
    <t>Asset Management Financial Advisers Limited</t>
  </si>
  <si>
    <t>Venture Alliance Corporate Finance Ltd</t>
  </si>
  <si>
    <t>Mr Peter John Shandley</t>
  </si>
  <si>
    <t>John Eames Limited</t>
  </si>
  <si>
    <t>Affluent Financial Planning Ltd</t>
  </si>
  <si>
    <t>Aston Lark Employee Benefits Limited</t>
  </si>
  <si>
    <t>Epworth Investment Management Limited</t>
  </si>
  <si>
    <t>Daiwa Corporate Advisory Limited</t>
  </si>
  <si>
    <t>Gordon Shepherd Associates Limited</t>
  </si>
  <si>
    <t>Mattinson Ginty and Partners (Employee Benefits) Limited</t>
  </si>
  <si>
    <t>Johnson Gibbs</t>
  </si>
  <si>
    <t>Capital Trust Financial Management LTD</t>
  </si>
  <si>
    <t>CROWD FOR ANGELS (UK) LIMITED</t>
  </si>
  <si>
    <t>Mayfield Financial Services Limited</t>
  </si>
  <si>
    <t>Nsure Financial Services Limited</t>
  </si>
  <si>
    <t>Massey Independent Advisers Ltd</t>
  </si>
  <si>
    <t>Templar Financial Planning Ltd</t>
  </si>
  <si>
    <t>Perspective (South) Limited</t>
  </si>
  <si>
    <t>Hynes Davis Limited</t>
  </si>
  <si>
    <t>PG Owen Limited</t>
  </si>
  <si>
    <t>Michael Brian Rooney</t>
  </si>
  <si>
    <t>Wild &amp; Company Limited</t>
  </si>
  <si>
    <t>Clarksons Platou Futures Limited</t>
  </si>
  <si>
    <t>Blevins Franks Financial Management Limited</t>
  </si>
  <si>
    <t>Brookson Financial Limited</t>
  </si>
  <si>
    <t>Herbert Scott Ltd</t>
  </si>
  <si>
    <t>Timothy James and Partners Ltd</t>
  </si>
  <si>
    <t>MPL Wealth Management Limited</t>
  </si>
  <si>
    <t>Hallmark Independent Financial Advisers</t>
  </si>
  <si>
    <t>Blackfriars Asset Management Limited</t>
  </si>
  <si>
    <t>Home Counties Financial Services</t>
  </si>
  <si>
    <t>Paul Mayo Financial Services</t>
  </si>
  <si>
    <t>Alfred Henry Corporate Finance Ltd</t>
  </si>
  <si>
    <t>Optiva Securities Limited</t>
  </si>
  <si>
    <t>Montfort International Limited</t>
  </si>
  <si>
    <t>Hedley Asset Management Limited</t>
  </si>
  <si>
    <t>SCOTTISH WIDOWS LIMITED</t>
  </si>
  <si>
    <t>Strategic Investment Planning Ltd</t>
  </si>
  <si>
    <t>Alastair Lyon</t>
  </si>
  <si>
    <t>Melanie Cygelman</t>
  </si>
  <si>
    <t>Gerrard Stuart Financial Services Limited</t>
  </si>
  <si>
    <t>AV Trinity Limited</t>
  </si>
  <si>
    <t>Hannah Consultancy Limited</t>
  </si>
  <si>
    <t>Nagle James Financial Planning Ltd</t>
  </si>
  <si>
    <t>Hughes Carne Independent Financial Advisers Ltd</t>
  </si>
  <si>
    <t>CBW Financial Planning Limited</t>
  </si>
  <si>
    <t>Churchill Investments Plc</t>
  </si>
  <si>
    <t>McDonald Associates Limited</t>
  </si>
  <si>
    <t>Forvis Mazars Financial Planning Limited</t>
  </si>
  <si>
    <t>Manse Capital Limited</t>
  </si>
  <si>
    <t>SPARK Advisory Partners Limited</t>
  </si>
  <si>
    <t>Cameron Trinity Limited</t>
  </si>
  <si>
    <t>The Bank of New York Mellon (International) Limited</t>
  </si>
  <si>
    <t>Dr David Smith Financial Services</t>
  </si>
  <si>
    <t>Torevell &amp; Partners Limited</t>
  </si>
  <si>
    <t>Chamberlyns Limited</t>
  </si>
  <si>
    <t>APM Capital Markets Limited</t>
  </si>
  <si>
    <t>Pall Mall Financial Independence Limited</t>
  </si>
  <si>
    <t>Personal Financial Planning Ltd</t>
  </si>
  <si>
    <t>Gallagher Risk &amp; Reward Limited</t>
  </si>
  <si>
    <t>Beaumont Cornish Limited</t>
  </si>
  <si>
    <t>Greene Financial Services</t>
  </si>
  <si>
    <t>Brooks Macdonald Asset Management Limited</t>
  </si>
  <si>
    <t>Legal &amp; Medical Investments Ltd</t>
  </si>
  <si>
    <t>Crowe Financial Planning UK Limited</t>
  </si>
  <si>
    <t>Clarity Limited</t>
  </si>
  <si>
    <t>Edison Consulting Limited</t>
  </si>
  <si>
    <t>Kelsall Steele Investment Services Limited</t>
  </si>
  <si>
    <t>Robin Christopher Singer</t>
  </si>
  <si>
    <t>Argyle Consulting Ltd</t>
  </si>
  <si>
    <t>Carlton St John Financial Services Limited</t>
  </si>
  <si>
    <t>Aviva Administration Limited</t>
  </si>
  <si>
    <t>Bigmore Benefits Limited</t>
  </si>
  <si>
    <t>Rose Financial Services Ltd</t>
  </si>
  <si>
    <t>Pi Financial Ltd</t>
  </si>
  <si>
    <t>Globe Independent Financial Advisors Ltd</t>
  </si>
  <si>
    <t>Smith &amp; Pinching Financial Services Ltd</t>
  </si>
  <si>
    <t>Lotus Benefit Consultants Limited</t>
  </si>
  <si>
    <t>Premier Independent Investments UK Ltd</t>
  </si>
  <si>
    <t>The Financial Planning Practice</t>
  </si>
  <si>
    <t>Doherty Pension &amp; Investment Consultancy Limited</t>
  </si>
  <si>
    <t>KBC Bank NV</t>
  </si>
  <si>
    <t>Nicola Reynolds</t>
  </si>
  <si>
    <t>Muir Brown Limited</t>
  </si>
  <si>
    <t>Liverpool Victoria Financial Advice Services Limited</t>
  </si>
  <si>
    <t>UBS AG</t>
  </si>
  <si>
    <t>Reeves Financial Services Limited</t>
  </si>
  <si>
    <t>Grosvenor Consultancy Limited</t>
  </si>
  <si>
    <t>Pembroke Financial Services (Horsham) Limited</t>
  </si>
  <si>
    <t>Grew Financial Services Limited</t>
  </si>
  <si>
    <t>City Financial (Aberdeen) Ltd</t>
  </si>
  <si>
    <t>Sheppard Davies Asset Management Ltd</t>
  </si>
  <si>
    <t>The Marshall Partnership</t>
  </si>
  <si>
    <t>AXA Investment Managers GS Limited</t>
  </si>
  <si>
    <t>MGA Financial Management Limited</t>
  </si>
  <si>
    <t>HBL BANK UK LIMITED</t>
  </si>
  <si>
    <t>MICL Limited</t>
  </si>
  <si>
    <t>BLM Partnership Limited</t>
  </si>
  <si>
    <t>Blacktower Financial Management Ltd</t>
  </si>
  <si>
    <t>Fidelius Ltd</t>
  </si>
  <si>
    <t>Balmoral Asset Management Limited</t>
  </si>
  <si>
    <t>Personal Investment Planning Ltd</t>
  </si>
  <si>
    <t>Paladin Financial Services Ltd</t>
  </si>
  <si>
    <t>Rometsch &amp; Moor Limited</t>
  </si>
  <si>
    <t>Yates Financial Planning Ltd</t>
  </si>
  <si>
    <t>Eastwood Financial Services Limited</t>
  </si>
  <si>
    <t>Baker Davies Limited</t>
  </si>
  <si>
    <t>Mohindra &amp; Co</t>
  </si>
  <si>
    <t>Campton (Financial Services) Ltd</t>
  </si>
  <si>
    <t>The St. David's Partnership</t>
  </si>
  <si>
    <t>McCrea Financial Services Limited</t>
  </si>
  <si>
    <t>GATE CAPITAL GROUP LTD</t>
  </si>
  <si>
    <t>SPF Private Clients Limited</t>
  </si>
  <si>
    <t>Shaw Gibbs Financial Services Limited</t>
  </si>
  <si>
    <t>Andrew O'Connor</t>
  </si>
  <si>
    <t>Premier Financial Planning</t>
  </si>
  <si>
    <t>CAPITAL PLUS PARTNERS LIMITED</t>
  </si>
  <si>
    <t>Chartwell Financial Services Ltd</t>
  </si>
  <si>
    <t>Carpenter Rees Limited</t>
  </si>
  <si>
    <t>Kymin Financial Services Ltd</t>
  </si>
  <si>
    <t>Jonathan Bradnick</t>
  </si>
  <si>
    <t>Premier Financial Management Ltd</t>
  </si>
  <si>
    <t>Monahans Financial Services Limited</t>
  </si>
  <si>
    <t>Lonsdale Financial Consulting Ltd</t>
  </si>
  <si>
    <t>Finsol Limited</t>
  </si>
  <si>
    <t>Solomon's</t>
  </si>
  <si>
    <t>Kevin Chalk</t>
  </si>
  <si>
    <t>Lovewell Blake Financial Planning Limited</t>
  </si>
  <si>
    <t>Adviser Business Solutions Ltd</t>
  </si>
  <si>
    <t>Deep Blue Financial Limited</t>
  </si>
  <si>
    <t>Progressive Financial Planning Limited</t>
  </si>
  <si>
    <t>Marechale Capital PLC</t>
  </si>
  <si>
    <t>Phoenix Wealth Management Ltd.</t>
  </si>
  <si>
    <t>GRC Financial Management Limited</t>
  </si>
  <si>
    <t>James Chadwick and Associates</t>
  </si>
  <si>
    <t>RPG Consulting Limited</t>
  </si>
  <si>
    <t>Intelligent Capital Ltd</t>
  </si>
  <si>
    <t>Church House Investments Limited</t>
  </si>
  <si>
    <t>Financial Planning (Wales) Ltd</t>
  </si>
  <si>
    <t>First Global (UK) Limited</t>
  </si>
  <si>
    <t>Abbot Associates Ltd</t>
  </si>
  <si>
    <t>The Whitechurch Network Limited</t>
  </si>
  <si>
    <t>Magus Private Wealth Limited</t>
  </si>
  <si>
    <t>Strategic Financial Solutions Limited</t>
  </si>
  <si>
    <t>TSB Bank plc</t>
  </si>
  <si>
    <t>T J Green (Financial Services) Limited</t>
  </si>
  <si>
    <t>Geoff Mason Associates</t>
  </si>
  <si>
    <t>BHP Financial Planning Limited</t>
  </si>
  <si>
    <t>Stephenson Smart Financial Services Limited</t>
  </si>
  <si>
    <t>Hopwood Ash Limited</t>
  </si>
  <si>
    <t>HHPG Limited</t>
  </si>
  <si>
    <t>LifePlanning Solutions</t>
  </si>
  <si>
    <t>WFS Consulting Limited</t>
  </si>
  <si>
    <t>Mayfair Independent Limited</t>
  </si>
  <si>
    <t>Fisher Investments Europe Limited</t>
  </si>
  <si>
    <t>Brookes Financial Management Limited</t>
  </si>
  <si>
    <t>PIPER SANDLER LTD</t>
  </si>
  <si>
    <t>Neales Financial Management Limited</t>
  </si>
  <si>
    <t>Mapus Financial Planning Limited</t>
  </si>
  <si>
    <t>P W Financial Management Limited</t>
  </si>
  <si>
    <t>Euro-IB Limited</t>
  </si>
  <si>
    <t>A.J. Wealth Management Limited</t>
  </si>
  <si>
    <t>Adcock Financial Limited</t>
  </si>
  <si>
    <t>Sound Financial Management Ltd</t>
  </si>
  <si>
    <t>Credo Capital Limited</t>
  </si>
  <si>
    <t>Lionel David Eustace Thomas</t>
  </si>
  <si>
    <t>Optima Financial Services Ltd.</t>
  </si>
  <si>
    <t>Clear Markets Europe Limited</t>
  </si>
  <si>
    <t>Christie Financial Planning Limited</t>
  </si>
  <si>
    <t>Radiant Financial Planning Limited</t>
  </si>
  <si>
    <t>Henderson Loggie Financial Planning Limited</t>
  </si>
  <si>
    <t>Seven Street Wealth Ltd</t>
  </si>
  <si>
    <t>The Ethical Partnership Limited</t>
  </si>
  <si>
    <t>Roberts Clark Independent Financial Solutions Limited</t>
  </si>
  <si>
    <t>Navigation Financial Services Ltd</t>
  </si>
  <si>
    <t>Holyrood Asset Management Ltd</t>
  </si>
  <si>
    <t>The On-Line Partnership Limited</t>
  </si>
  <si>
    <t>Aim Independent Limited</t>
  </si>
  <si>
    <t>The Internet IFA Ltd</t>
  </si>
  <si>
    <t>Ainsworths Financial Services Limited</t>
  </si>
  <si>
    <t>Hartmann Capital Limited</t>
  </si>
  <si>
    <t>Active Financial Planners Limited</t>
  </si>
  <si>
    <t>Progress Financial Planning Ltd</t>
  </si>
  <si>
    <t>The Life &amp; Pensions Network Ltd</t>
  </si>
  <si>
    <t>Stephen Frederick Gordon</t>
  </si>
  <si>
    <t>Perry Appleton Financial Management Limited</t>
  </si>
  <si>
    <t>Murphy Sawers Consulting Limited</t>
  </si>
  <si>
    <t>Kellands (Hale) Limited</t>
  </si>
  <si>
    <t>Atomos Financial Planning Limited</t>
  </si>
  <si>
    <t>Manor IFA Limited</t>
  </si>
  <si>
    <t>The Financial Investment Consultancy</t>
  </si>
  <si>
    <t>Murray Round Wealth Management Limited</t>
  </si>
  <si>
    <t>JFS Cheltenham Limited</t>
  </si>
  <si>
    <t>Stonehage Fleming Investment Management Limited</t>
  </si>
  <si>
    <t>Acton Financial Management</t>
  </si>
  <si>
    <t>GE Capital Limited</t>
  </si>
  <si>
    <t>Dentons Investment Services Ltd</t>
  </si>
  <si>
    <t>Cutting and Carter Limited</t>
  </si>
  <si>
    <t>Hammond Raggett &amp; Company Limited</t>
  </si>
  <si>
    <t>Raymond James Investment Services Ltd</t>
  </si>
  <si>
    <t>HFMC Asset Management Limited</t>
  </si>
  <si>
    <t>Ludgate Investments Limited</t>
  </si>
  <si>
    <t>Europa Partners Limited</t>
  </si>
  <si>
    <t>Curo Advisers Limited</t>
  </si>
  <si>
    <t>Canaccord Genuity Wealth Limited</t>
  </si>
  <si>
    <t>Stonehage Fleming Advisory Limited</t>
  </si>
  <si>
    <t>Chetwood Wealth Management Ltd</t>
  </si>
  <si>
    <t>Finli (GPGFS) Ltd</t>
  </si>
  <si>
    <t>Strategic Asset Managers Limited</t>
  </si>
  <si>
    <t>F.P. Consulting Limited</t>
  </si>
  <si>
    <t>Chase Buckingham Limited</t>
  </si>
  <si>
    <t>D C Pensions &amp; Investment Limited</t>
  </si>
  <si>
    <t>IG Markets Limited</t>
  </si>
  <si>
    <t>Morgan Stanley Bank International Limited</t>
  </si>
  <si>
    <t>Finli (FA92) Ltd</t>
  </si>
  <si>
    <t>TMS Capital Limited</t>
  </si>
  <si>
    <t>Gerald Pepper Financial Management Limited</t>
  </si>
  <si>
    <t>Spence &amp; Partners Limited</t>
  </si>
  <si>
    <t>Chelsea Investments Limited</t>
  </si>
  <si>
    <t>Advance Investments Limited</t>
  </si>
  <si>
    <t>Cheltenham Wealth Financial Practice Ltd</t>
  </si>
  <si>
    <t>S G Wealth Management Limited</t>
  </si>
  <si>
    <t>Trevally Capital Advisers Ltd</t>
  </si>
  <si>
    <t>Kellands (Bristol) Limited</t>
  </si>
  <si>
    <t>Marchmaine</t>
  </si>
  <si>
    <t>Ernst &amp; Young LLP</t>
  </si>
  <si>
    <t>Mr William Harris</t>
  </si>
  <si>
    <t>Ledingham Chalmers Financial Limited</t>
  </si>
  <si>
    <t>Trillium Financial Planning Ltd</t>
  </si>
  <si>
    <t>FPC Financial Services Ltd</t>
  </si>
  <si>
    <t>Praefinium Partners Ltd</t>
  </si>
  <si>
    <t>Campbell Lutyens &amp; Co. Ltd</t>
  </si>
  <si>
    <t>Consilium Financial Planning Limited</t>
  </si>
  <si>
    <t>Jade Independent Financial Advisors Limited</t>
  </si>
  <si>
    <t>Oakland Financial Management Ltd</t>
  </si>
  <si>
    <t>Chapelwood Financial Planning Ltd</t>
  </si>
  <si>
    <t>Concerva Limited</t>
  </si>
  <si>
    <t>Asset and Investment Management Limited</t>
  </si>
  <si>
    <t>Trustlaw Financial Services Limited</t>
  </si>
  <si>
    <t>Berkeley La Roche Financial Consultants Ltd</t>
  </si>
  <si>
    <t>Robert Morrow Financial Services</t>
  </si>
  <si>
    <t>MC3 Investments</t>
  </si>
  <si>
    <t>AFS Limited</t>
  </si>
  <si>
    <t>Fredericks Michael &amp; Co Limited</t>
  </si>
  <si>
    <t>TTR Barnes (Financial Services) Limited</t>
  </si>
  <si>
    <t>MULBERRY WEALTH CLIENT SERVICES LIMITED</t>
  </si>
  <si>
    <t>ValidPath Limited</t>
  </si>
  <si>
    <t>Gilliland Neilson Brown Limited</t>
  </si>
  <si>
    <t>Winders Financial Services Limited</t>
  </si>
  <si>
    <t>Orr Kerr Dykes Financial Services Limited</t>
  </si>
  <si>
    <t>Boler Wiseman Financial Services Limited</t>
  </si>
  <si>
    <t>MacIntyre Hudson Corporate Finance Ltd</t>
  </si>
  <si>
    <t>Cooper Parry Wealth Limited</t>
  </si>
  <si>
    <t>Regent Capital Limited</t>
  </si>
  <si>
    <t>Focused Financial Services</t>
  </si>
  <si>
    <t>Citywest Consultants Limited</t>
  </si>
  <si>
    <t>Integra Capital Limited</t>
  </si>
  <si>
    <t>Handelsbanken Wealth &amp; Asset Management Limited</t>
  </si>
  <si>
    <t>H C I Financial Services Limited</t>
  </si>
  <si>
    <t>Rapport Financial Strategists Limited</t>
  </si>
  <si>
    <t>Keith Bayley Rogers &amp; Co Limited</t>
  </si>
  <si>
    <t>RNS Financial Services Limited</t>
  </si>
  <si>
    <t>Ermin Fosse Financial Management LLP</t>
  </si>
  <si>
    <t>Graeme Morrison Mackay</t>
  </si>
  <si>
    <t>JXG Wealth Limited</t>
  </si>
  <si>
    <t>Inter-UK Financial Services Limited</t>
  </si>
  <si>
    <t>Foresight Group LLP</t>
  </si>
  <si>
    <t>GRS Financial Consultants Limited</t>
  </si>
  <si>
    <t>Moore Kingston Smith Corporate Finance Limited</t>
  </si>
  <si>
    <t>Hodgson Barrow (Financial Services) Limited</t>
  </si>
  <si>
    <t>Moffatt Financial Planning Limited</t>
  </si>
  <si>
    <t>Professional Financial Centre (Thames Valley) Ltd</t>
  </si>
  <si>
    <t>Lowland Financial Services Limited</t>
  </si>
  <si>
    <t>DBS Bank Limited</t>
  </si>
  <si>
    <t>Oversea-Chinese Banking Corporation Limited</t>
  </si>
  <si>
    <t>Allied Irish Banks Plc</t>
  </si>
  <si>
    <t>John Barrett Financial Services Limited</t>
  </si>
  <si>
    <t>Independent Financial Advice Bureau</t>
  </si>
  <si>
    <t>Clairville York Limited</t>
  </si>
  <si>
    <t>Maskell Moss &amp; Co Limited</t>
  </si>
  <si>
    <t>Sussex Independent Financial Advisers Limited</t>
  </si>
  <si>
    <t>Rowanbank Financial Consultants Limited</t>
  </si>
  <si>
    <t>Weston Associates IFA Limited</t>
  </si>
  <si>
    <t>Midvale Financial Services Limited</t>
  </si>
  <si>
    <t>Ravenstone Financial Management Limited</t>
  </si>
  <si>
    <t>Beardmore and Co Limited</t>
  </si>
  <si>
    <t>Harrington Wright &amp; Co</t>
  </si>
  <si>
    <t>MSM Independent Financial Services Limited</t>
  </si>
  <si>
    <t>J Illingworth &amp; Co Limited</t>
  </si>
  <si>
    <t>Wealthcare Limited</t>
  </si>
  <si>
    <t>IPS Financial Solutions Limited</t>
  </si>
  <si>
    <t>The Harvest Partnership Limited</t>
  </si>
  <si>
    <t>Access Equity Management Limited</t>
  </si>
  <si>
    <t>AHV Associates LLP</t>
  </si>
  <si>
    <t>Resolution Partners Limited</t>
  </si>
  <si>
    <t>The Whitehall Partnership Limited</t>
  </si>
  <si>
    <t>The Arlo Group UK Limited</t>
  </si>
  <si>
    <t>Arden Associates (IFA) LLP</t>
  </si>
  <si>
    <t>Cobalt II Limited</t>
  </si>
  <si>
    <t>4 Square Advice Limited</t>
  </si>
  <si>
    <t>Hottinger &amp; Co Limited</t>
  </si>
  <si>
    <t>Professional Pensions and Investments Limited</t>
  </si>
  <si>
    <t>OHFS Limited</t>
  </si>
  <si>
    <t>Mansion Park Limited</t>
  </si>
  <si>
    <t>Cadogan Wilson Limited</t>
  </si>
  <si>
    <t>Avon House</t>
  </si>
  <si>
    <t>Kingston PTM Limited</t>
  </si>
  <si>
    <t>The Premier Partnership Limited</t>
  </si>
  <si>
    <t>Garstang Independent Financial Services Ltd</t>
  </si>
  <si>
    <t>The Independent Asset Management Company</t>
  </si>
  <si>
    <t>Investment and Tax Advisory Services Limited</t>
  </si>
  <si>
    <t>Ideal Financial Management Limited</t>
  </si>
  <si>
    <t>WR Simon Ashley Silver Independent Financial Advisor LImited</t>
  </si>
  <si>
    <t>KSM Associates Independent Financial Advisers Limited</t>
  </si>
  <si>
    <t>Martin John Haines</t>
  </si>
  <si>
    <t>RFC AMBRIAN LIMITED</t>
  </si>
  <si>
    <t>HK Wealth Managers Ltd</t>
  </si>
  <si>
    <t>Medical Investment &amp; Financial Management Limited</t>
  </si>
  <si>
    <t>Winter Dean Partnership LLP</t>
  </si>
  <si>
    <t>Joseph R Lamb Independent Financial Advisers Limited</t>
  </si>
  <si>
    <t>Saxon Financial Advice Limited</t>
  </si>
  <si>
    <t>Horizon Independent Financial Advisers Ltd</t>
  </si>
  <si>
    <t>KPMG LLP</t>
  </si>
  <si>
    <t>Richings Financial Management Ltd</t>
  </si>
  <si>
    <t>MCM Investment House LLP</t>
  </si>
  <si>
    <t>Thompson Jenner Financial Services Limited</t>
  </si>
  <si>
    <t>Omnium Capital Limited</t>
  </si>
  <si>
    <t>Tavistock Private Client Limited</t>
  </si>
  <si>
    <t>Dragon Investment Managers Ltd</t>
  </si>
  <si>
    <t>Alan Boswell &amp; Company Limited</t>
  </si>
  <si>
    <t>Aspen Financial Strategies Limited</t>
  </si>
  <si>
    <t>Tees Financial Limited</t>
  </si>
  <si>
    <t>Noventus Partners Limited</t>
  </si>
  <si>
    <t>Innes Reid Investments Limited</t>
  </si>
  <si>
    <t>Citibank Europe plc</t>
  </si>
  <si>
    <t>Blue Sky Financial Planning Limited</t>
  </si>
  <si>
    <t>Caliber Financial Associates Limited</t>
  </si>
  <si>
    <t>Fiscal Engineers Limited</t>
  </si>
  <si>
    <t>Brian Mole Independent Financial Advisers Limited</t>
  </si>
  <si>
    <t>Laurus Associates Limited</t>
  </si>
  <si>
    <t>Nailsea Financial Services Limited</t>
  </si>
  <si>
    <t>Simpson &amp; Colvin Limited</t>
  </si>
  <si>
    <t>Independent Investment Associates Limited</t>
  </si>
  <si>
    <t>Pen-Life Associates Limited</t>
  </si>
  <si>
    <t>Michael Benjamin</t>
  </si>
  <si>
    <t>Filip Slipaczek B.A.(Hons) FCIB ACII FPFS Chartered Financial Planner ISO 22222 Certified</t>
  </si>
  <si>
    <t>Barry Fleming and Partners (Tax, Trusts and Investments Planning) Limited</t>
  </si>
  <si>
    <t>Star Financial Planning Limited</t>
  </si>
  <si>
    <t>PFM Associates Limited</t>
  </si>
  <si>
    <t>Scott and Casey Financial Management Limited</t>
  </si>
  <si>
    <t>Policy Services Limited</t>
  </si>
  <si>
    <t>Caledonia Asset Management Limited</t>
  </si>
  <si>
    <t>Acorn Bowman Finance &amp; Investment Management Ltd</t>
  </si>
  <si>
    <t>Alex M Grant &amp; Company Limited</t>
  </si>
  <si>
    <t>HCR Independent Financial Advisers Limited</t>
  </si>
  <si>
    <t>Professional Financial Planning Services (PFPS) Limited</t>
  </si>
  <si>
    <t>AFH Independent Financial Services Limited</t>
  </si>
  <si>
    <t>Evelyn Partners Corporate Finance Limited</t>
  </si>
  <si>
    <t>FirstBank UK Limited</t>
  </si>
  <si>
    <t>M G Shaw (UK) Limited</t>
  </si>
  <si>
    <t>Stratos Markets Limited</t>
  </si>
  <si>
    <t>Robson MacIntosh &amp; Company Ltd</t>
  </si>
  <si>
    <t>TIC Financial Services (UK) Limited</t>
  </si>
  <si>
    <t>Talon Associates Limited</t>
  </si>
  <si>
    <t>Brideshead Independent Financial Services</t>
  </si>
  <si>
    <t>Trentham Invest Ltd</t>
  </si>
  <si>
    <t>Rothschild &amp; Co Wealth Management UK Limited</t>
  </si>
  <si>
    <t>Abbeyifa Limited</t>
  </si>
  <si>
    <t>Hunter Mills Limited</t>
  </si>
  <si>
    <t>Howard Financial Services Limited</t>
  </si>
  <si>
    <t>EA Financial Solutions Ltd</t>
  </si>
  <si>
    <t>Hallidays Wealth Management Limited</t>
  </si>
  <si>
    <t>Fairway McNaughton Ltd</t>
  </si>
  <si>
    <t>Strata Technology Partners LLP</t>
  </si>
  <si>
    <t>Merlin Financial Services Limited</t>
  </si>
  <si>
    <t>The Wealth Management Partnership LLP</t>
  </si>
  <si>
    <t>Anderson King Ltd</t>
  </si>
  <si>
    <t>Abacus Portfolio Management Ltd</t>
  </si>
  <si>
    <t>Sterling Trust Professional Ltd</t>
  </si>
  <si>
    <t>Mattioli Woods PLC</t>
  </si>
  <si>
    <t>CLB Financial Consulting Limited</t>
  </si>
  <si>
    <t>Enable Independent Limited</t>
  </si>
  <si>
    <t>David Smith Financial Services LLP</t>
  </si>
  <si>
    <t>Flagship Financial Consultants Ltd</t>
  </si>
  <si>
    <t>Mark Begg Asset Management Ltd</t>
  </si>
  <si>
    <t>Corville Financial Services Limited</t>
  </si>
  <si>
    <t>PricewaterhouseCoopers LLP</t>
  </si>
  <si>
    <t>NLP Financial Management Limited</t>
  </si>
  <si>
    <t>Keith Higginson Financial Services Limited</t>
  </si>
  <si>
    <t>Ashik Shah &amp; Co Limited</t>
  </si>
  <si>
    <t>In Focus Asset Management &amp; Tax Solutions Limited</t>
  </si>
  <si>
    <t>Swallow Financial Management LLP</t>
  </si>
  <si>
    <t>Chamberlain Associates</t>
  </si>
  <si>
    <t>Portfolio &amp; Pension Management Ltd</t>
  </si>
  <si>
    <t>Ward Goodman Financial Services Ltd</t>
  </si>
  <si>
    <t>SW Financial Planning</t>
  </si>
  <si>
    <t>R &amp; G FINANCIAL SERVICES LTD</t>
  </si>
  <si>
    <t>Hines Associates Ltd</t>
  </si>
  <si>
    <t>Minster Financial Management Limited</t>
  </si>
  <si>
    <t>Adcas Financial Management Ltd</t>
  </si>
  <si>
    <t>DP's Financial Advice &amp; Services</t>
  </si>
  <si>
    <t>Makemson &amp; Company Limited</t>
  </si>
  <si>
    <t>David Spence Financial Options</t>
  </si>
  <si>
    <t>Edinburgh Wealth Management Limited</t>
  </si>
  <si>
    <t>The Financial Planning Centre Limited</t>
  </si>
  <si>
    <t>Thorntons Wealth Management Limited</t>
  </si>
  <si>
    <t>Whitefriars Financial Services Limited</t>
  </si>
  <si>
    <t>Sable Private Wealth Management Ltd</t>
  </si>
  <si>
    <t>Clydebank Financial Services Ltd</t>
  </si>
  <si>
    <t>Peter Richards Financial Ltd</t>
  </si>
  <si>
    <t>Index Financial Services Ltd</t>
  </si>
  <si>
    <t>Sound Financial Planning Ltd</t>
  </si>
  <si>
    <t>Richard Bamber &amp; Company Limited</t>
  </si>
  <si>
    <t>Estate Planning Solutions Ltd</t>
  </si>
  <si>
    <t>Mr Salvatore Antonino Panzera</t>
  </si>
  <si>
    <t>Professional Wealth Management Ltd</t>
  </si>
  <si>
    <t>Marshall Zoing Limited</t>
  </si>
  <si>
    <t>Maher Brownsword Limited</t>
  </si>
  <si>
    <t>Protection and Investment Ltd</t>
  </si>
  <si>
    <t>Accalon Associates Limited</t>
  </si>
  <si>
    <t>PK Financial Planning LLP</t>
  </si>
  <si>
    <t>Byron Longstaff Independent Financial Consultancy Ltd</t>
  </si>
  <si>
    <t>Acuity Financial Consultancy Limited</t>
  </si>
  <si>
    <t>Bhavik Shah IFA</t>
  </si>
  <si>
    <t>Independence Wealth Management Limited</t>
  </si>
  <si>
    <t>Perspective (Northants &amp; Cambs) Ltd</t>
  </si>
  <si>
    <t>Whyte Sharp Independent LLP</t>
  </si>
  <si>
    <t>Inspirational Financial Management Ltd</t>
  </si>
  <si>
    <t>Hazlewoods Financial Planning LLP</t>
  </si>
  <si>
    <t>Prosperis Limited</t>
  </si>
  <si>
    <t>Twigden Asset Management Limited</t>
  </si>
  <si>
    <t>Oakfield Financial Services Limited</t>
  </si>
  <si>
    <t>Myers Davison Ginger Ltd</t>
  </si>
  <si>
    <t>Caton Fry Financial Services Limited</t>
  </si>
  <si>
    <t>NBL Financial Management Limited</t>
  </si>
  <si>
    <t>Wills &amp; Trusts Independent Financial Planning Limited</t>
  </si>
  <si>
    <t>MacKrill Financial Management Limited</t>
  </si>
  <si>
    <t>Dickinson &amp; Company Limited</t>
  </si>
  <si>
    <t>Simpson Wood (Financial Services) Limited</t>
  </si>
  <si>
    <t>The Safe Insurance Agency Limited</t>
  </si>
  <si>
    <t>Peartree Wealth Management Ltd</t>
  </si>
  <si>
    <t>Cullen Wealth Limited</t>
  </si>
  <si>
    <t>Perrins Financial Planning Limited</t>
  </si>
  <si>
    <t>Davidsons Independent Financial Advisers Limited</t>
  </si>
  <si>
    <t>Amherst Financial Management Ltd</t>
  </si>
  <si>
    <t>Mistral Consultancy Limited</t>
  </si>
  <si>
    <t>Norrix Financial Services Limited</t>
  </si>
  <si>
    <t>Future First Financial Solutions Limited</t>
  </si>
  <si>
    <t>Zeus Capital Limited</t>
  </si>
  <si>
    <t>Kevin Gates</t>
  </si>
  <si>
    <t>R.C. McLeish Insurance Consultants Ltd</t>
  </si>
  <si>
    <t>Sardis Capital Limited</t>
  </si>
  <si>
    <t>Harwood Capital LLP</t>
  </si>
  <si>
    <t>Stones Financial Limited</t>
  </si>
  <si>
    <t>Horbury Financial Services Limited</t>
  </si>
  <si>
    <t>Laithwaite Financial Services Limited</t>
  </si>
  <si>
    <t>Moodybrook Financial Services Ltd</t>
  </si>
  <si>
    <t>Family First Financial Services Limited</t>
  </si>
  <si>
    <t>Capital Asset Management (Financial Planning) Ltd</t>
  </si>
  <si>
    <t>Cavendish Ware Limited</t>
  </si>
  <si>
    <t>Trusted Advisor Limited</t>
  </si>
  <si>
    <t>Cambourne Financial Planning Limited</t>
  </si>
  <si>
    <t>Medical &amp; General Financial Solutions Limited</t>
  </si>
  <si>
    <t>Davidson Asset Management Limited</t>
  </si>
  <si>
    <t>The Dorchester Finance</t>
  </si>
  <si>
    <t>Bank House Consultants Ltd</t>
  </si>
  <si>
    <t>Newstead Financial Services Limited</t>
  </si>
  <si>
    <t>Perspective (Oxon) Limited</t>
  </si>
  <si>
    <t>IFS Financial Management Limited</t>
  </si>
  <si>
    <t>Brookfield Financial Planning Ltd</t>
  </si>
  <si>
    <t>Lonsdale Services Ltd</t>
  </si>
  <si>
    <t>C.P.H. Ltd</t>
  </si>
  <si>
    <t>Turquoise International Limited</t>
  </si>
  <si>
    <t>Landmark IFA Limited</t>
  </si>
  <si>
    <t>Distinct Financial Management Ltd</t>
  </si>
  <si>
    <t>Alexander Beard Investment Management Limited</t>
  </si>
  <si>
    <t>CDP Associates Ltd</t>
  </si>
  <si>
    <t>Barnett Ravenscroft Financial Services Limited</t>
  </si>
  <si>
    <t>Lifetime Financial Management Intermediaries Ltd</t>
  </si>
  <si>
    <t>D G S Independent Financial Advisers Limited</t>
  </si>
  <si>
    <t>Meltemi Investment Management Limited</t>
  </si>
  <si>
    <t>SAB Securities Limited</t>
  </si>
  <si>
    <t>Asset Wealth Management LLP</t>
  </si>
  <si>
    <t>Accrue Investment Management Ltd</t>
  </si>
  <si>
    <t>William H Howard Ltd</t>
  </si>
  <si>
    <t>Hencilla Canworth Ltd</t>
  </si>
  <si>
    <t>Charlwood IFA Limited</t>
  </si>
  <si>
    <t>Walker Crips Investment Management Limited</t>
  </si>
  <si>
    <t>Wallace Nichols Financial Services Ltd</t>
  </si>
  <si>
    <t>Axxis Financial Planning Ltd</t>
  </si>
  <si>
    <t>KML Financial Services Limited</t>
  </si>
  <si>
    <t>TK White &amp; Co Limited</t>
  </si>
  <si>
    <t>McArthur Smith Financial Management Ltd</t>
  </si>
  <si>
    <t>Dunhams Financial Planning Limited</t>
  </si>
  <si>
    <t>IFA. 1 Ltd</t>
  </si>
  <si>
    <t>Kingfisher Finance Limited</t>
  </si>
  <si>
    <t>The Independent Advice Bureau Limited</t>
  </si>
  <si>
    <t>Matthew Douglas Ltd</t>
  </si>
  <si>
    <t>AJH Financial Services Ltd</t>
  </si>
  <si>
    <t>Competitive Mortgages and Financial Services Ltd</t>
  </si>
  <si>
    <t>Stewart Investment Planning Limited</t>
  </si>
  <si>
    <t>Rapprocher Ltd</t>
  </si>
  <si>
    <t>Vie International Financial Services Ltd</t>
  </si>
  <si>
    <t>Carlton Financial Planning Ltd</t>
  </si>
  <si>
    <t>LCM FAMILY LIMITED</t>
  </si>
  <si>
    <t>Sire Ltd</t>
  </si>
  <si>
    <t>KNFM Ltd</t>
  </si>
  <si>
    <t>TL Financial Consultancy Ltd</t>
  </si>
  <si>
    <t>Chatsworth Financial Management Limited</t>
  </si>
  <si>
    <t>Swallow Financial Planning LLP</t>
  </si>
  <si>
    <t>Strawberry Financial Ltd</t>
  </si>
  <si>
    <t>Kliskey Independent Financial Services Limited</t>
  </si>
  <si>
    <t>Castle Financial Services Ltd</t>
  </si>
  <si>
    <t>Oakdale Financial Management Ltd</t>
  </si>
  <si>
    <t>Pembroke Financial Services Ltd</t>
  </si>
  <si>
    <t>Hewitt Card (Financial Planning) Ltd</t>
  </si>
  <si>
    <t>Security Financial Services Ltd</t>
  </si>
  <si>
    <t>Ringrose Grimsley Ltd</t>
  </si>
  <si>
    <t>Shaun Start Financial Planning</t>
  </si>
  <si>
    <t>AGB &amp; Associates Ltd</t>
  </si>
  <si>
    <t>Practice Financial Management Ltd</t>
  </si>
  <si>
    <t>David Kneale Financial Management Ltd</t>
  </si>
  <si>
    <t>Premier Plus Limited</t>
  </si>
  <si>
    <t>Ruffer LLP</t>
  </si>
  <si>
    <t>Clarity Capital Partners Limited</t>
  </si>
  <si>
    <t>H.S.P. Financial Planning Limited</t>
  </si>
  <si>
    <t>Pembroke Asset Management LLP</t>
  </si>
  <si>
    <t>Gavin Hathaway Investment Services</t>
  </si>
  <si>
    <t>Orchard Financial Management Ltd</t>
  </si>
  <si>
    <t>McDade Financial Services Ltd</t>
  </si>
  <si>
    <t>Bourlet Financial Planning Limited</t>
  </si>
  <si>
    <t>Oakworth Financial Planning Limited</t>
  </si>
  <si>
    <t>Employee Benefit Solutions Ltd</t>
  </si>
  <si>
    <t>Taylors Asset Management Ltd</t>
  </si>
  <si>
    <t>Roland Ferri Financial Services Ltd</t>
  </si>
  <si>
    <t>Lodge Financial Advice Ltd</t>
  </si>
  <si>
    <t>I.D. Bond Independent Financial Services Ltd</t>
  </si>
  <si>
    <t>Professional Financial Centre (Cornwall) Ltd</t>
  </si>
  <si>
    <t>Perspective (North West) Limited</t>
  </si>
  <si>
    <t>P J Collier Financial Services Limited</t>
  </si>
  <si>
    <t>Kenley Financial Limited</t>
  </si>
  <si>
    <t>Imperial House Ltd</t>
  </si>
  <si>
    <t>TEBC Ltd</t>
  </si>
  <si>
    <t>Geeson Financial Services Ltd</t>
  </si>
  <si>
    <t>Spectrum Independent Financial Services</t>
  </si>
  <si>
    <t>Bishopgate Limited</t>
  </si>
  <si>
    <t>Investment Technique Ltd</t>
  </si>
  <si>
    <t>Tavistock Partners (UK) Limited</t>
  </si>
  <si>
    <t>Complete Financial Services</t>
  </si>
  <si>
    <t>J M G Independent Financial Advisers</t>
  </si>
  <si>
    <t>Altus Investment Management Limited</t>
  </si>
  <si>
    <t>Bastow &amp; Co Ltd</t>
  </si>
  <si>
    <t>SI Capital Ltd</t>
  </si>
  <si>
    <t>Robert Miller Financial Management Ltd</t>
  </si>
  <si>
    <t>Hamdon Financial Services Ltd</t>
  </si>
  <si>
    <t>West Financial Management Co Limited</t>
  </si>
  <si>
    <t>PS Financial Advisers Ltd</t>
  </si>
  <si>
    <t>Ultimate Financial Solutions Ltd</t>
  </si>
  <si>
    <t>SN Financial Services Ltd</t>
  </si>
  <si>
    <t>PSA Financial Services Limited</t>
  </si>
  <si>
    <t>Andover Financial Planning Ltd</t>
  </si>
  <si>
    <t>Phoenix Financial Planning Ltd</t>
  </si>
  <si>
    <t>Hugh James Solicitors</t>
  </si>
  <si>
    <t>Wright, Johnston &amp; MacKenzie LLP</t>
  </si>
  <si>
    <t>Marshwood Financial Services Ltd</t>
  </si>
  <si>
    <t>I F MACKINNON &amp; COMPANY LLP</t>
  </si>
  <si>
    <t>Booth Financial Services Ltd</t>
  </si>
  <si>
    <t>FD Wealth Ltd</t>
  </si>
  <si>
    <t>Venn Watson &amp; Company Ltd</t>
  </si>
  <si>
    <t>A E Thomson Ltd</t>
  </si>
  <si>
    <t>K &amp; M Financial Advisors Limited</t>
  </si>
  <si>
    <t>Lawton &amp; Taylor Financial Services Limited</t>
  </si>
  <si>
    <t>Pense Limited</t>
  </si>
  <si>
    <t>Citywide Financial Partners Ltd</t>
  </si>
  <si>
    <t>Broadleaf Financial Services Ltd</t>
  </si>
  <si>
    <t>Park Investments (Leicester) Ltd</t>
  </si>
  <si>
    <t>4Life Financial Planning Ltd</t>
  </si>
  <si>
    <t>Laurel Court Associates Limited</t>
  </si>
  <si>
    <t>Stoneleigh Financial Services LLP</t>
  </si>
  <si>
    <t>Grant Thornton UK LLP</t>
  </si>
  <si>
    <t>Steve Wassell Insurance Management Ltd</t>
  </si>
  <si>
    <t>Cathedral Independent Financial Planning Ltd</t>
  </si>
  <si>
    <t>Unbiased (Financial Advice) UK Ltd</t>
  </si>
  <si>
    <t>DML Financial Advisers</t>
  </si>
  <si>
    <t>Cowling Rawnsley Financial Solutions Limited</t>
  </si>
  <si>
    <t>Capelin Financial Management Ltd</t>
  </si>
  <si>
    <t>IPP Financial Services LLP</t>
  </si>
  <si>
    <t>Stiles &amp; Company Financial Services Ltd</t>
  </si>
  <si>
    <t>Covington's Financial Service Limited</t>
  </si>
  <si>
    <t>Ludlow Wealth Management Group Ltd</t>
  </si>
  <si>
    <t>The Insurance Partnership Financial Services Limited</t>
  </si>
  <si>
    <t>Kingfurness and Associates Ltd</t>
  </si>
  <si>
    <t>GH Financial Consultancy Limited</t>
  </si>
  <si>
    <t>Francis John Hughes</t>
  </si>
  <si>
    <t>Globe Property Services Ltd</t>
  </si>
  <si>
    <t>Charterhouse Portfolio Management Limited</t>
  </si>
  <si>
    <t>Coffey Brooks Financial Services Ltd</t>
  </si>
  <si>
    <t>Brancaster House Limited</t>
  </si>
  <si>
    <t>Lifetime Financial Advisers Ltd.</t>
  </si>
  <si>
    <t>Jerroms Financial Planning LTD</t>
  </si>
  <si>
    <t>Diana Atkinson Limited</t>
  </si>
  <si>
    <t>DTB Investments Ltd</t>
  </si>
  <si>
    <t>Warren &amp; Co (Complete Financial Solutions) Ltd</t>
  </si>
  <si>
    <t>Clive Webb Financial Services Limited</t>
  </si>
  <si>
    <t>Hills Insurance Services Ltd</t>
  </si>
  <si>
    <t>Manor House Financial Services Ltd</t>
  </si>
  <si>
    <t>Financial Planning Partners Limited</t>
  </si>
  <si>
    <t>Independent Financial Planning Limited</t>
  </si>
  <si>
    <t>A M Ruthven &amp; Associates Ltd</t>
  </si>
  <si>
    <t>MAP Financial Ltd</t>
  </si>
  <si>
    <t>Sage Independent Advisers Ltd</t>
  </si>
  <si>
    <t>Swee Li</t>
  </si>
  <si>
    <t>Active Financial Partners Limited</t>
  </si>
  <si>
    <t>Christopher Shaw</t>
  </si>
  <si>
    <t>Stone Financial Consultants Ltd</t>
  </si>
  <si>
    <t>P J Financial Services</t>
  </si>
  <si>
    <t>Red Dot (Cymru) Ltd</t>
  </si>
  <si>
    <t>Independent First Limited</t>
  </si>
  <si>
    <t>Phoenix Wealth Solutions Limited</t>
  </si>
  <si>
    <t>MurrayPaterson Limited</t>
  </si>
  <si>
    <t>Acuma Ltd</t>
  </si>
  <si>
    <t>Mortgages TLC Limited</t>
  </si>
  <si>
    <t>Ballma Ltd</t>
  </si>
  <si>
    <t>Epsilon Mortgages Limited</t>
  </si>
  <si>
    <t>Pool House Professional Advisers Limited</t>
  </si>
  <si>
    <t>Anthony William Lennon</t>
  </si>
  <si>
    <t>Seago Butler + Stopps Financial Services Ltd</t>
  </si>
  <si>
    <t>Info4 Limited</t>
  </si>
  <si>
    <t>Giles Warren Financial Ltd</t>
  </si>
  <si>
    <t>Julie McGee</t>
  </si>
  <si>
    <t>Pembroke Finance Limited</t>
  </si>
  <si>
    <t>M &amp; N Insurance Service Ltd</t>
  </si>
  <si>
    <t>Finances Sorted Limited</t>
  </si>
  <si>
    <t>Horizon Financial Planning Limited</t>
  </si>
  <si>
    <t>Anglo International Group Ltd</t>
  </si>
  <si>
    <t>Dumnonia Financial Services Limited</t>
  </si>
  <si>
    <t>Willis &amp; Company (Insurance Brokers) Limited</t>
  </si>
  <si>
    <t>Fistic Ltd</t>
  </si>
  <si>
    <t>Carlton-Sturman (Insurance Brokers) Limited</t>
  </si>
  <si>
    <t>Route Mortgages Ltd</t>
  </si>
  <si>
    <t>Aon UK Limited</t>
  </si>
  <si>
    <t>John F Whippy &amp; Company Limited</t>
  </si>
  <si>
    <t>Wilkinson Financial Management Ltd</t>
  </si>
  <si>
    <t>Synergy Financial Products Limited</t>
  </si>
  <si>
    <t>Howden Employee Benefits &amp; Wellbeing Limited</t>
  </si>
  <si>
    <t>Nedbank Private Wealth Limited</t>
  </si>
  <si>
    <t>Suitable Financial Advice Ltd</t>
  </si>
  <si>
    <t>Redfield</t>
  </si>
  <si>
    <t>Cloverleaf Mortgages Ltd</t>
  </si>
  <si>
    <t>Atul Narharidas Patel</t>
  </si>
  <si>
    <t>Longley Asset Management Ltd</t>
  </si>
  <si>
    <t>Kassius Ltd</t>
  </si>
  <si>
    <t>Sutherland Independent Ltd</t>
  </si>
  <si>
    <t>Bond Financial Limited</t>
  </si>
  <si>
    <t>SR Investment Associates Ltd</t>
  </si>
  <si>
    <t>Protocol Capital Management Limited</t>
  </si>
  <si>
    <t>Kings Park Financial Management (Scotland) Ltd</t>
  </si>
  <si>
    <t>A&amp;M Wealth Management Ltd</t>
  </si>
  <si>
    <t>Ainsdale Finance Ltd</t>
  </si>
  <si>
    <t>Stanhope Capital LLP</t>
  </si>
  <si>
    <t>Halton Insurance Services Ltd</t>
  </si>
  <si>
    <t>Edward Asset Management LLP</t>
  </si>
  <si>
    <t>John Atkinson</t>
  </si>
  <si>
    <t>Money Matters Independent Ltd</t>
  </si>
  <si>
    <t>Wynnstay Financial Consultancy</t>
  </si>
  <si>
    <t>Wessex Investment Management Limited</t>
  </si>
  <si>
    <t>HCL Bank House Financial Services Ltd</t>
  </si>
  <si>
    <t>Strathayr Financial Services LLP</t>
  </si>
  <si>
    <t>Kenneth Alan Partnership Financial Services</t>
  </si>
  <si>
    <t>Elmfield Financial Planning Limited</t>
  </si>
  <si>
    <t>WTB Financial Consultancy</t>
  </si>
  <si>
    <t>Consolidated Financial Management Limited</t>
  </si>
  <si>
    <t>PJG Financial Services Limited</t>
  </si>
  <si>
    <t>Whitefield Financial Services Ltd</t>
  </si>
  <si>
    <t>Lawson and Fern Ltd</t>
  </si>
  <si>
    <t>John Butters IFA</t>
  </si>
  <si>
    <t>Sean Barry</t>
  </si>
  <si>
    <t>Global Leisure Partners LLP</t>
  </si>
  <si>
    <t>Martec Associates Ltd</t>
  </si>
  <si>
    <t>Ash-Ridge Asset Management Ltd</t>
  </si>
  <si>
    <t>Kyle Consulting Ltd</t>
  </si>
  <si>
    <t>VWM Consulting Limited</t>
  </si>
  <si>
    <t>Spayne Lindsay &amp; Co. LLP</t>
  </si>
  <si>
    <t>Victoria Capital (UK) Ltd</t>
  </si>
  <si>
    <t>Corporate &amp; Personal Investment Planning Ltd</t>
  </si>
  <si>
    <t>Headstart Financial Planning Limited</t>
  </si>
  <si>
    <t>Fundamental Asset Management Ltd</t>
  </si>
  <si>
    <t>Absolute Financial Management Ltd</t>
  </si>
  <si>
    <t>Independent Financial Advice 4 You LLP</t>
  </si>
  <si>
    <t>Bottriell Adams LLP</t>
  </si>
  <si>
    <t>Platinum IFS Limited</t>
  </si>
  <si>
    <t>Expert Financial Solutions Ltd</t>
  </si>
  <si>
    <t>R.L Stevenson Ltd</t>
  </si>
  <si>
    <t>Complete Financial Solutions Ltd</t>
  </si>
  <si>
    <t>The Matrix Model Group (UK) Ltd</t>
  </si>
  <si>
    <t>Retirement Planning (UK) Ltd</t>
  </si>
  <si>
    <t>S4 Financial Ltd</t>
  </si>
  <si>
    <t>Eton Square Financial Management Limited</t>
  </si>
  <si>
    <t>Independent Choice</t>
  </si>
  <si>
    <t>Fitzallan Ltd</t>
  </si>
  <si>
    <t>Sage Financial Management Limited</t>
  </si>
  <si>
    <t>G &amp; E Wealth Management Ltd</t>
  </si>
  <si>
    <t>Friar Gate Independent Financial Services Ltd</t>
  </si>
  <si>
    <t>Wealthwise Financial Services Ltd</t>
  </si>
  <si>
    <t>EIS Financial Services Ltd</t>
  </si>
  <si>
    <t>Temple Bar Independent Financial Advice Limited</t>
  </si>
  <si>
    <t>P A Asset Management LLP</t>
  </si>
  <si>
    <t>Golden Gate IFA Ltd</t>
  </si>
  <si>
    <t>G &amp; L Financial Solutions</t>
  </si>
  <si>
    <t>Statehouse Financial Management Limited</t>
  </si>
  <si>
    <t>Henderson Rowe Ltd</t>
  </si>
  <si>
    <t>Christopher Newcombe</t>
  </si>
  <si>
    <t>William St Clare Limited</t>
  </si>
  <si>
    <t>Paterson Financial Planning Ltd</t>
  </si>
  <si>
    <t>Gregory White Associates Ltd</t>
  </si>
  <si>
    <t>Professional Financial Centre (Cumbria) Ltd</t>
  </si>
  <si>
    <t>Finance 21 Ltd</t>
  </si>
  <si>
    <t>Home Matters Services Ltd</t>
  </si>
  <si>
    <t>West Riding Personal Financial Solutions Ltd</t>
  </si>
  <si>
    <t>Richmonde Laine Wealth Management Ltd</t>
  </si>
  <si>
    <t>Leabold Financial Management Ltd</t>
  </si>
  <si>
    <t>Loraine Marsh</t>
  </si>
  <si>
    <t>Charlesworth Financial Planning Ltd</t>
  </si>
  <si>
    <t>Fallon Associates Limited</t>
  </si>
  <si>
    <t>Independent Personal Financial Management Limited</t>
  </si>
  <si>
    <t>Jan Kazimierz Pietruszka</t>
  </si>
  <si>
    <t>Perennial Financial Management Limited</t>
  </si>
  <si>
    <t>Midas Fides</t>
  </si>
  <si>
    <t>Gary A Egan Financial Services Ltd</t>
  </si>
  <si>
    <t>Throgmorton Financial Services Ltd</t>
  </si>
  <si>
    <t>CRN Financial Services Ltd</t>
  </si>
  <si>
    <t>Independent Financial Strategies Ltd</t>
  </si>
  <si>
    <t>Jewell &amp; Petersen Ltd</t>
  </si>
  <si>
    <t>Bradstyle Limited</t>
  </si>
  <si>
    <t>M &amp; D Financial Management Limited</t>
  </si>
  <si>
    <t>Gencia Financial Services Ltd</t>
  </si>
  <si>
    <t>Abacus Advice Ltd</t>
  </si>
  <si>
    <t>Jamieson Corporate Finance LLP</t>
  </si>
  <si>
    <t>Adaurum Limited</t>
  </si>
  <si>
    <t>MacIntosh James and Partners Limited</t>
  </si>
  <si>
    <t>IM Asset Management Ltd</t>
  </si>
  <si>
    <t>Chapters Financial Limited</t>
  </si>
  <si>
    <t>Lifetime Financial Consulting Ltd</t>
  </si>
  <si>
    <t>Stephen James Associates Ltd</t>
  </si>
  <si>
    <t>Piercefield Asset Management Ltd</t>
  </si>
  <si>
    <t>Ashton Mortgage &amp; Financial Solutions Ltd</t>
  </si>
  <si>
    <t>Shore Financial Services Ltd</t>
  </si>
  <si>
    <t>Alka Financial Services Limited</t>
  </si>
  <si>
    <t>McCudden-Hughes</t>
  </si>
  <si>
    <t>Page Russell Ltd</t>
  </si>
  <si>
    <t>London Private Wealth Limited</t>
  </si>
  <si>
    <t>BOWSPRIT PARTNERS LIMITED</t>
  </si>
  <si>
    <t>Universal Finance (Omagh) Ltd</t>
  </si>
  <si>
    <t>Williams Investment Management LLP</t>
  </si>
  <si>
    <t>The Aldra Group Ltd</t>
  </si>
  <si>
    <t>Grierson Dickens Ltd</t>
  </si>
  <si>
    <t>Heptagon Capital LLP</t>
  </si>
  <si>
    <t>Wheeler Wicks &amp; Company</t>
  </si>
  <si>
    <t>Wade Financial Services Ltd</t>
  </si>
  <si>
    <t>FutureFocus Advisory Limited</t>
  </si>
  <si>
    <t>Equanimity Independent Financial Advisers Limited</t>
  </si>
  <si>
    <t>Steggles &amp; Co Limited</t>
  </si>
  <si>
    <t>Darwin Financial Management Ltd</t>
  </si>
  <si>
    <t>Midas Wealth Management Ltd</t>
  </si>
  <si>
    <t>DKLS Ltd</t>
  </si>
  <si>
    <t>Panmure Liberum Limited</t>
  </si>
  <si>
    <t>Perry Insurance Consultants Ltd</t>
  </si>
  <si>
    <t>Cheshire Investments &amp; Pensions Limited</t>
  </si>
  <si>
    <t>Penvest Limited</t>
  </si>
  <si>
    <t>Optimum Financial Advisors Ltd</t>
  </si>
  <si>
    <t>Jonathan Blake Money Management Limited</t>
  </si>
  <si>
    <t>Apogee Financial Planning Limited</t>
  </si>
  <si>
    <t>Bede Financial Group Limited</t>
  </si>
  <si>
    <t>Completely Financial Services Limited</t>
  </si>
  <si>
    <t>James &amp; Associates Financial Services Ltd</t>
  </si>
  <si>
    <t>Openwork Limited</t>
  </si>
  <si>
    <t>First With Mortgages Limited</t>
  </si>
  <si>
    <t>Harkin Financial Services Ltd</t>
  </si>
  <si>
    <t>HLSFM Ltd</t>
  </si>
  <si>
    <t>Becketts F.S. Ltd</t>
  </si>
  <si>
    <t>Segbourne Financial Management Limited</t>
  </si>
  <si>
    <t>Northumbrian Financial Ltd</t>
  </si>
  <si>
    <t>Hereford Pension, Investment and Mortgage Centre LLP</t>
  </si>
  <si>
    <t>Affinity Financial Awareness Limited</t>
  </si>
  <si>
    <t>IFS Family Wealth Advisers Ltd</t>
  </si>
  <si>
    <t>McClelland Yarr Financial Services Ltd</t>
  </si>
  <si>
    <t>Whittaker Financial Solutions Limited</t>
  </si>
  <si>
    <t>Bedrock Asset Management (UK) Limited</t>
  </si>
  <si>
    <t>Sterling Financial Services</t>
  </si>
  <si>
    <t>Cleddau Financial Services Limited</t>
  </si>
  <si>
    <t>Belgrave Asset Management Limited</t>
  </si>
  <si>
    <t>Bailey Financial Limited</t>
  </si>
  <si>
    <t>Redswan Limited</t>
  </si>
  <si>
    <t>Paul Robinson Financial Services</t>
  </si>
  <si>
    <t>Handheld Investments Limited</t>
  </si>
  <si>
    <t>Bramdean Asset Management LLP</t>
  </si>
  <si>
    <t>A C Financial Ltd</t>
  </si>
  <si>
    <t>Strategic IFA Ltd</t>
  </si>
  <si>
    <t>Stirling House Financial Services Limited</t>
  </si>
  <si>
    <t>Clayden Financial Planning Limited</t>
  </si>
  <si>
    <t>MLP Wealth Management Ltd</t>
  </si>
  <si>
    <t>Financial Advice Centre Limited</t>
  </si>
  <si>
    <t>Gracechurch Financial Services Ltd</t>
  </si>
  <si>
    <t>Lamont Financial</t>
  </si>
  <si>
    <t>Premier Research and Marketing</t>
  </si>
  <si>
    <t>BFS Handforth Limited</t>
  </si>
  <si>
    <t>Newton-Barr Limited</t>
  </si>
  <si>
    <t>Regentia Lifestyle Planning Limited</t>
  </si>
  <si>
    <t>Sterling Financial Services Limited</t>
  </si>
  <si>
    <t>Espiene Ltd</t>
  </si>
  <si>
    <t>AEON Financial Services Ltd</t>
  </si>
  <si>
    <t>Financial Direction (Northumberland) Ltd</t>
  </si>
  <si>
    <t>Hymans Robertson LLP</t>
  </si>
  <si>
    <t>Future Asset Management LLP</t>
  </si>
  <si>
    <t>XL Independent Financial Advisers Ltd</t>
  </si>
  <si>
    <t>Thompson Riddle Associates Ltd</t>
  </si>
  <si>
    <t>Thomas House Partnership LLP</t>
  </si>
  <si>
    <t>PFS (IFA) Limited</t>
  </si>
  <si>
    <t>Vale Asset Management</t>
  </si>
  <si>
    <t>Faraday Financial Planning Ltd</t>
  </si>
  <si>
    <t>Thome Asset Management &amp; Asset Controlling</t>
  </si>
  <si>
    <t>Future Perfect Financial Planning (UK) Ltd</t>
  </si>
  <si>
    <t>Anderson Sinclair &amp; Co LLP</t>
  </si>
  <si>
    <t>Cavendish Securities PLC</t>
  </si>
  <si>
    <t>Wealth At Work Limited</t>
  </si>
  <si>
    <t>Simon Rowberry</t>
  </si>
  <si>
    <t>Lifestyle Financial Choices Limited</t>
  </si>
  <si>
    <t>Select Financial Solutions North East LLP</t>
  </si>
  <si>
    <t>Henwood Court Financial Planning Limited</t>
  </si>
  <si>
    <t>Arlingclose Limited</t>
  </si>
  <si>
    <t>SMG Financial Management Limited</t>
  </si>
  <si>
    <t>Professional Capital Limited</t>
  </si>
  <si>
    <t>Charter Consultancy Ltd</t>
  </si>
  <si>
    <t>75point3 Limited</t>
  </si>
  <si>
    <t>Christmas Financial Planners Ltd</t>
  </si>
  <si>
    <t>Best to Invest Limited</t>
  </si>
  <si>
    <t>OCM Wealth Management Ltd</t>
  </si>
  <si>
    <t>Argentis Wealth Management Ltd</t>
  </si>
  <si>
    <t>Lightblue U.K. Limited</t>
  </si>
  <si>
    <t>Arc Eden Ltd</t>
  </si>
  <si>
    <t>Stephenson Johnson Financial Planning Limited</t>
  </si>
  <si>
    <t>Fortitude Financial Planning Limited</t>
  </si>
  <si>
    <t>JTM Financial Services Limited</t>
  </si>
  <si>
    <t>Jamieson Christie Wealth Management Limited</t>
  </si>
  <si>
    <t>Sanderson Independent LLP</t>
  </si>
  <si>
    <t>Crownhouse IFAS Ltd</t>
  </si>
  <si>
    <t>MT Polo Limited</t>
  </si>
  <si>
    <t>Arnott Guy &amp; Co Ltd</t>
  </si>
  <si>
    <t>Stirling Financial Management (UK) Limited</t>
  </si>
  <si>
    <t>Broom Consultants Ltd</t>
  </si>
  <si>
    <t>Vincent Colley Investment Advisors Limited</t>
  </si>
  <si>
    <t>Face 2 Face Financial Ltd</t>
  </si>
  <si>
    <t>Interface Financial Planning Ltd</t>
  </si>
  <si>
    <t>PRICE FERGUSON LIMITED</t>
  </si>
  <si>
    <t>Concept Financial Management Limited</t>
  </si>
  <si>
    <t>Anomaly Consultants Limited</t>
  </si>
  <si>
    <t>Astute Financial Limited</t>
  </si>
  <si>
    <t>Solicitors Financial Centre Limited</t>
  </si>
  <si>
    <t>Financial Escape Limited</t>
  </si>
  <si>
    <t>Money Minder Financial Services (UK) Limited</t>
  </si>
  <si>
    <t>Trust Matters Financial Services Ltd</t>
  </si>
  <si>
    <t>Fort Financial Planning Ltd</t>
  </si>
  <si>
    <t>Business &amp; Personal Investment Limited</t>
  </si>
  <si>
    <t>Harry Moore</t>
  </si>
  <si>
    <t>Hampshire Hill Group Limited</t>
  </si>
  <si>
    <t>Antony Ransom Independent Financial Adviser Ltd</t>
  </si>
  <si>
    <t>Millen Griffiths Limited</t>
  </si>
  <si>
    <t>Prism Financial Advice Limited</t>
  </si>
  <si>
    <t>Holyoakes Group Ltd</t>
  </si>
  <si>
    <t>Prism Independent Financial Management Ltd</t>
  </si>
  <si>
    <t>Symphony Financial Advisers Limited</t>
  </si>
  <si>
    <t>Fleming Court Financial Services LLP</t>
  </si>
  <si>
    <t>GS Financial Services Limited</t>
  </si>
  <si>
    <t>Morton Fraser MacRoberts LLP</t>
  </si>
  <si>
    <t>A &amp; J Wealth Management Ltd</t>
  </si>
  <si>
    <t>Brown Thornton &amp; Lee Independent Financial Advisers LLP</t>
  </si>
  <si>
    <t>MKC Wealth Ltd</t>
  </si>
  <si>
    <t>M3 Financial Solutions Limited</t>
  </si>
  <si>
    <t>Barratt &amp; Cooke Limited</t>
  </si>
  <si>
    <t>Fhoenix Estates Limited</t>
  </si>
  <si>
    <t>DHFS Davies Harris Financial Services Limited</t>
  </si>
  <si>
    <t>Heron Wealth Management Limited</t>
  </si>
  <si>
    <t>D S Howell Financial Services Ltd</t>
  </si>
  <si>
    <t>David McDonald Financial Services Ltd</t>
  </si>
  <si>
    <t>Citrus Wealth Management Limited</t>
  </si>
  <si>
    <t>Hawley &amp; Wood Limited</t>
  </si>
  <si>
    <t>Davies Financial Limited</t>
  </si>
  <si>
    <t>Corbel Partners Limited</t>
  </si>
  <si>
    <t>Spratt Financial Services Limited</t>
  </si>
  <si>
    <t>Clear Solutions (Wealth and Tax Management) Ltd</t>
  </si>
  <si>
    <t>Crown Financial Management</t>
  </si>
  <si>
    <t>Greysmere Associates Limited</t>
  </si>
  <si>
    <t>Simpsons of Brighton IFA Limited</t>
  </si>
  <si>
    <t>DPS Direction Ltd</t>
  </si>
  <si>
    <t>Regency Financial Consultancy LLP</t>
  </si>
  <si>
    <t>Paragon Investment Management Ltd</t>
  </si>
  <si>
    <t>HB Cranfield Wealth Management Limited</t>
  </si>
  <si>
    <t>Crocus Wealth Limited</t>
  </si>
  <si>
    <t>Independent Financial Planning (Anglia) Ltd</t>
  </si>
  <si>
    <t>Roebridge Financial Management Limited</t>
  </si>
  <si>
    <t>Gresham Financial Limited</t>
  </si>
  <si>
    <t>DWS Investments UK Limited</t>
  </si>
  <si>
    <t>Capital Gains Ltd</t>
  </si>
  <si>
    <t>Financial Independent Solutions Limited</t>
  </si>
  <si>
    <t>Mr Peter Gann</t>
  </si>
  <si>
    <t>Advanced (Scotland) Limited</t>
  </si>
  <si>
    <t>Prosper Independent Financial Advisers Ltd</t>
  </si>
  <si>
    <t>Hampton Court Associates Financial Services LLP</t>
  </si>
  <si>
    <t>Beckworth Financial Services Ltd</t>
  </si>
  <si>
    <t>Prospect Financial Solutions Ltd</t>
  </si>
  <si>
    <t>Optimum Solutions Independent Financial Advisers Limited</t>
  </si>
  <si>
    <t>Matrix Capital Limited</t>
  </si>
  <si>
    <t>Genesis Wealth Strategies Ltd</t>
  </si>
  <si>
    <t>Huw Davies Independent Financial Adviser</t>
  </si>
  <si>
    <t>Wessex Financial Planning Limited</t>
  </si>
  <si>
    <t>Bradstock Bourne Limited</t>
  </si>
  <si>
    <t>Investment For Life Limited</t>
  </si>
  <si>
    <t>Phil Johnson Financial Services Limited</t>
  </si>
  <si>
    <t>James Anderson Barr t/a Anderson Barr Consultants</t>
  </si>
  <si>
    <t>Hestia Wealth</t>
  </si>
  <si>
    <t>Alcock Jones Financial Planning Ltd</t>
  </si>
  <si>
    <t>S K Nanda Financial Services</t>
  </si>
  <si>
    <t>Padstone Financial Management Limited</t>
  </si>
  <si>
    <t>Encompass Financial Management Ltd</t>
  </si>
  <si>
    <t>John Andrew James</t>
  </si>
  <si>
    <t>Westward Financial Management Limited</t>
  </si>
  <si>
    <t>Professional &amp; Medical Financial Planning Ltd</t>
  </si>
  <si>
    <t>ASTUS Financial Planning Ltd</t>
  </si>
  <si>
    <t>Chelwood Financial Management</t>
  </si>
  <si>
    <t>Cummins Financial Advisers Ltd</t>
  </si>
  <si>
    <t>Trevor Derek Fletcher</t>
  </si>
  <si>
    <t>Protexx (UK) Limited</t>
  </si>
  <si>
    <t>O2 Associates Ltd</t>
  </si>
  <si>
    <t>Executive Financial Services Ltd</t>
  </si>
  <si>
    <t>Ark Financial Planning Ltd</t>
  </si>
  <si>
    <t>Advanta Direct Ltd</t>
  </si>
  <si>
    <t>G11 Financial Management Limited</t>
  </si>
  <si>
    <t>Canter Holland Ltd</t>
  </si>
  <si>
    <t>Foinaven Asset Management Ltd</t>
  </si>
  <si>
    <t>Great British Finance Limited</t>
  </si>
  <si>
    <t>Orme Financial Services Ltd</t>
  </si>
  <si>
    <t>M &amp; M Financial Services Ltd</t>
  </si>
  <si>
    <t>Equitas Investment Services Limited</t>
  </si>
  <si>
    <t>Town &amp; Country Private Finance Limited</t>
  </si>
  <si>
    <t>Throgmorton Private Capital Ltd</t>
  </si>
  <si>
    <t>Oakham Wealth Management Ltd</t>
  </si>
  <si>
    <t>Fantastic Financial Ltd</t>
  </si>
  <si>
    <t>First Option</t>
  </si>
  <si>
    <t>Barrie Financial Services Ltd</t>
  </si>
  <si>
    <t>Gale and Phillipson Investment Services Ltd</t>
  </si>
  <si>
    <t>Just Investment Strategies Ltd</t>
  </si>
  <si>
    <t>HQN Financial Management Limited</t>
  </si>
  <si>
    <t>Integer Financial Management Ltd</t>
  </si>
  <si>
    <t>Charterhall Associates Limited</t>
  </si>
  <si>
    <t>UK Structured Finance Limited</t>
  </si>
  <si>
    <t>Manchester Independent Mortgages Limited</t>
  </si>
  <si>
    <t>Endeavour Ventures Limited</t>
  </si>
  <si>
    <t>Lewis Christopher Limited</t>
  </si>
  <si>
    <t>Caxton Payments Limited</t>
  </si>
  <si>
    <t>Redwood Financial Management Ltd</t>
  </si>
  <si>
    <t>M.R. Financial Services Ltd</t>
  </si>
  <si>
    <t>Personal Financial Planning Services Limited</t>
  </si>
  <si>
    <t>The Strachan Partnership Ltd</t>
  </si>
  <si>
    <t>Prydis Wealth Limited</t>
  </si>
  <si>
    <t>M G Norman &amp; Co Ltd</t>
  </si>
  <si>
    <t>Maurice Macdonald Associates</t>
  </si>
  <si>
    <t>Financial Profiles Limited</t>
  </si>
  <si>
    <t>Oaklands Wealth Management Ltd</t>
  </si>
  <si>
    <t>Castlefield Investment Partners LLP</t>
  </si>
  <si>
    <t>Kirkpatrick Kennedy</t>
  </si>
  <si>
    <t>Accudo Investments Limited</t>
  </si>
  <si>
    <t>Sound Advice Financial Management Limited</t>
  </si>
  <si>
    <t>Ashlea Financial Planning Ltd</t>
  </si>
  <si>
    <t>Towers Watson Limited</t>
  </si>
  <si>
    <t>Barker Financial Solutions Limited</t>
  </si>
  <si>
    <t>Coleridge Capital Ltd</t>
  </si>
  <si>
    <t>Watson Moore Independent Financial Advisers Ltd</t>
  </si>
  <si>
    <t>E L Watson Financial Planning Limited</t>
  </si>
  <si>
    <t>Orchard House (IFAs) Ltd</t>
  </si>
  <si>
    <t>Hanley Financial Consultants Ltd</t>
  </si>
  <si>
    <t>Fogwill &amp; Jones Asset Management Ltd</t>
  </si>
  <si>
    <t>Heritage Independent Financial Advisers Ltd</t>
  </si>
  <si>
    <t>Shand Associates Ltd</t>
  </si>
  <si>
    <t>Francis Clark Financial Planning Ltd</t>
  </si>
  <si>
    <t>Clayden Associates Ltd</t>
  </si>
  <si>
    <t>Evans Ash Financial Services LLP</t>
  </si>
  <si>
    <t>Kench &amp; Co Financial Services Ltd</t>
  </si>
  <si>
    <t>H V Financial Planning Ltd</t>
  </si>
  <si>
    <t>Financial Foresight (NI) Limited</t>
  </si>
  <si>
    <t>Carrick IFC Ltd</t>
  </si>
  <si>
    <t>O'Sullivan Associates</t>
  </si>
  <si>
    <t>MPA Financial Management Limited</t>
  </si>
  <si>
    <t>Acornmain Limited</t>
  </si>
  <si>
    <t>Whitings Wealth Management Limited</t>
  </si>
  <si>
    <t>Polygon Financial Ltd</t>
  </si>
  <si>
    <t>Civvals Financial Services Ltd</t>
  </si>
  <si>
    <t>Struan Financial Management Limited</t>
  </si>
  <si>
    <t>Argentis Financial Management Ltd</t>
  </si>
  <si>
    <t>Logic Wealth Planning Limited</t>
  </si>
  <si>
    <t>Capital Managers LLP</t>
  </si>
  <si>
    <t>Lynas Vokes Investments Ltd</t>
  </si>
  <si>
    <t>Danamere Employee Benefits Ltd</t>
  </si>
  <si>
    <t>Griffin Benedict Ltd</t>
  </si>
  <si>
    <t>IMIA Ltd</t>
  </si>
  <si>
    <t>Infinite Financial Consultancy Ltd</t>
  </si>
  <si>
    <t>Howard Evans Financial Services Ltd</t>
  </si>
  <si>
    <t>Edmans IFA Ltd</t>
  </si>
  <si>
    <t>Parallel Financial Limited</t>
  </si>
  <si>
    <t>The Financial Practice (UK) Ltd</t>
  </si>
  <si>
    <t>Cavendish Medical Ltd</t>
  </si>
  <si>
    <t>Midas Strategies (UK) LLP</t>
  </si>
  <si>
    <t>Kudos Financial Consultancy</t>
  </si>
  <si>
    <t>Moneytree IFA Ltd</t>
  </si>
  <si>
    <t>Global Investment Strategy UK Ltd</t>
  </si>
  <si>
    <t>Royal Acres Financial</t>
  </si>
  <si>
    <t>Richard H. Potts Financial Services Limited</t>
  </si>
  <si>
    <t>Whitegate Financial Services Limited</t>
  </si>
  <si>
    <t>Test Valley Financial Management Ltd</t>
  </si>
  <si>
    <t>Astute Financial &amp; Lifestyle Planning Limited</t>
  </si>
  <si>
    <t>Cathedral Financial Services LLP</t>
  </si>
  <si>
    <t>BSQFA Limited</t>
  </si>
  <si>
    <t>Lane Financial Management Limited</t>
  </si>
  <si>
    <t>Capital Markets Strategy Ltd</t>
  </si>
  <si>
    <t>Thomas And Gentry Independent Financial Advisors Limited</t>
  </si>
  <si>
    <t>Cameron Asset Management Limited</t>
  </si>
  <si>
    <t>Meliora Asset Management Ltd</t>
  </si>
  <si>
    <t>Incisive Wealth Strategies LLP</t>
  </si>
  <si>
    <t>Wright Financial Management Limited</t>
  </si>
  <si>
    <t>Wisdom Consulting Limited</t>
  </si>
  <si>
    <t>Oak County Financial Services Ltd</t>
  </si>
  <si>
    <t>Macleman Wealth Ltd</t>
  </si>
  <si>
    <t>Avsons Financial Limited</t>
  </si>
  <si>
    <t>Face to Face Finance (Anglia) Ltd</t>
  </si>
  <si>
    <t>Mr Alexander Henney Farrow</t>
  </si>
  <si>
    <t>Standard Life Assurance Limited</t>
  </si>
  <si>
    <t>W&amp;T Limited</t>
  </si>
  <si>
    <t>Roberts Mackie Winstanley</t>
  </si>
  <si>
    <t>Harbour Wealth Limited</t>
  </si>
  <si>
    <t>Sheila Tarr Limited</t>
  </si>
  <si>
    <t>Burlington Associates Ltd</t>
  </si>
  <si>
    <t>Charles Wilkinson Financial Planning Limited</t>
  </si>
  <si>
    <t>AK Jensen Limited</t>
  </si>
  <si>
    <t>Bob Little &amp; Co Ltd</t>
  </si>
  <si>
    <t>Cooper Mortimer Plant Limited</t>
  </si>
  <si>
    <t>J Buckley Investment Planning Services</t>
  </si>
  <si>
    <t>Atlas Financial Planning Ltd</t>
  </si>
  <si>
    <t>M. Reynolds Financial Solutions Limited</t>
  </si>
  <si>
    <t>Excel 121 Ltd</t>
  </si>
  <si>
    <t>All Counties Financial Limited</t>
  </si>
  <si>
    <t>M J KENDAL</t>
  </si>
  <si>
    <t>Lexington Wealth Management Ltd</t>
  </si>
  <si>
    <t>Robert Graham Financial Ltd</t>
  </si>
  <si>
    <t>Chandler King (City) Ltd</t>
  </si>
  <si>
    <t>CALPE FINANCIAL SOLUTIONS LIMITED</t>
  </si>
  <si>
    <t>Capital Independent Financial Consultants Ltd</t>
  </si>
  <si>
    <t>Pigotts Investments Limited</t>
  </si>
  <si>
    <t>MMR Financial Planning (Midlands) Ltd</t>
  </si>
  <si>
    <t>The Choice IFA Network Limited</t>
  </si>
  <si>
    <t>Independent Options Ltd</t>
  </si>
  <si>
    <t>Perspective (South West) Limited</t>
  </si>
  <si>
    <t>Builth Wells Financial Planning Ltd</t>
  </si>
  <si>
    <t>UnaVida Wealth Management Ltd</t>
  </si>
  <si>
    <t>Paragon Independent Limited</t>
  </si>
  <si>
    <t>City Financial Planning Ltd</t>
  </si>
  <si>
    <t>Worldwide Financial Planning Ltd</t>
  </si>
  <si>
    <t>S.F.S. Investments Limited</t>
  </si>
  <si>
    <t>Quilter Mortgage Planning Limited</t>
  </si>
  <si>
    <t>Structured Financial Planning Ltd</t>
  </si>
  <si>
    <t>MPI Investments Limited</t>
  </si>
  <si>
    <t>Atwood Benefits UK Limited</t>
  </si>
  <si>
    <t>Octave Financial Planning Ltd</t>
  </si>
  <si>
    <t>Plantech Independent Limited</t>
  </si>
  <si>
    <t>New Oak Wealth Management Limited</t>
  </si>
  <si>
    <t>Metcalf Moat IFA Ltd</t>
  </si>
  <si>
    <t>Timothy John Pollitt</t>
  </si>
  <si>
    <t>St Johns Asset Management Limited</t>
  </si>
  <si>
    <t>JLS Associates Independent Financial Advisers Ltd</t>
  </si>
  <si>
    <t>Cater Willis Limited</t>
  </si>
  <si>
    <t>Perspective (West) Limited</t>
  </si>
  <si>
    <t>David Travers Financial Services</t>
  </si>
  <si>
    <t>Midland Financial Advisers Limited</t>
  </si>
  <si>
    <t>Maxis Investments Ltd</t>
  </si>
  <si>
    <t>Hagley Financial Planning Ltd</t>
  </si>
  <si>
    <t>IWP Financial Planning Limited</t>
  </si>
  <si>
    <t>Bruce &amp; Co Legal &amp; Financial Ltd</t>
  </si>
  <si>
    <t>Futures Assured Ltd</t>
  </si>
  <si>
    <t>Equilius Limited</t>
  </si>
  <si>
    <t>Stewart IFA Ltd</t>
  </si>
  <si>
    <t>Beatties Financial Services</t>
  </si>
  <si>
    <t>Harrison Brown Financial Services Ltd</t>
  </si>
  <si>
    <t>Communications Equity Associates International LLP</t>
  </si>
  <si>
    <t>Gill Insurance &amp; Finance Consultants Ltd</t>
  </si>
  <si>
    <t>Perspective (Thornton Springer) Ltd</t>
  </si>
  <si>
    <t>B McKernan &amp; Co Ltd</t>
  </si>
  <si>
    <t>Professional Assured Financial Services Limited</t>
  </si>
  <si>
    <t>Alan Reid Financial Services (NI) Ltd</t>
  </si>
  <si>
    <t>Whites Financial Management Ltd</t>
  </si>
  <si>
    <t>Collingbourne Wealth Management Ltd</t>
  </si>
  <si>
    <t>Sykes Ihlenfeldt Limited</t>
  </si>
  <si>
    <t>Hilton Wordsworth Financial Services Ltd</t>
  </si>
  <si>
    <t>Simple Financial Services Ltd</t>
  </si>
  <si>
    <t>Money Doctor Financial Planning Ltd</t>
  </si>
  <si>
    <t>Butler Toll Ltd</t>
  </si>
  <si>
    <t>Partners Wealth Management LLP</t>
  </si>
  <si>
    <t>PJ Aiken Ltd</t>
  </si>
  <si>
    <t>Alpha Partnership (IFA) Ltd</t>
  </si>
  <si>
    <t>LGB &amp; CO. LIMITED</t>
  </si>
  <si>
    <t>Haven IFA Limited</t>
  </si>
  <si>
    <t>Wynford Davies &amp; Co</t>
  </si>
  <si>
    <t>The Devereux Partnership LLP</t>
  </si>
  <si>
    <t>Everlong Wealth Limited</t>
  </si>
  <si>
    <t>City House Investors Limited</t>
  </si>
  <si>
    <t>The Wealth Group Limited</t>
  </si>
  <si>
    <t>David Ewens</t>
  </si>
  <si>
    <t>Humphries IFA Ltd</t>
  </si>
  <si>
    <t>AM&amp;A Investment &amp; Pension Planning Ltd</t>
  </si>
  <si>
    <t>DRB Associates Ltd</t>
  </si>
  <si>
    <t>JPM Insurance Advisers Limited</t>
  </si>
  <si>
    <t>Financial Solutions Wales Ltd</t>
  </si>
  <si>
    <t>DATA Wealth Management LLP</t>
  </si>
  <si>
    <t>Pegasus Portfolio Planning LLP</t>
  </si>
  <si>
    <t>Mortgage Horizons Ltd</t>
  </si>
  <si>
    <t>Barnett &amp; Partners Ltd</t>
  </si>
  <si>
    <t>Chase Integral Limited</t>
  </si>
  <si>
    <t>Eastmills Limited</t>
  </si>
  <si>
    <t>Bigmore Associates Limited</t>
  </si>
  <si>
    <t>Lloyds Independent Financial Planning Limited</t>
  </si>
  <si>
    <t>Murray Smith Financial Services Ltd</t>
  </si>
  <si>
    <t>North Laine Financial Management Limited</t>
  </si>
  <si>
    <t>Fox &amp; Co Financial Management Ltd</t>
  </si>
  <si>
    <t>Platinum Wealth Management Limited</t>
  </si>
  <si>
    <t>Prosser Knowles Associates Ltd</t>
  </si>
  <si>
    <t>Sterling Financial Advisers Limited</t>
  </si>
  <si>
    <t>Grosvenor Beaumont Financial Services Limited</t>
  </si>
  <si>
    <t>Roger Graham Sheppard</t>
  </si>
  <si>
    <t>Gibson Lamb &amp; Co. LLP</t>
  </si>
  <si>
    <t>Allan Investment Management Ltd</t>
  </si>
  <si>
    <t>Summerside Independent Ltd</t>
  </si>
  <si>
    <t>Europe Arab Bank plc</t>
  </si>
  <si>
    <t>Bluesky Wealth Management Limited</t>
  </si>
  <si>
    <t>Intrinsic Capital LLP</t>
  </si>
  <si>
    <t>Clear IFA Limited</t>
  </si>
  <si>
    <t>Brant Financial Ltd</t>
  </si>
  <si>
    <t>IFA Financial Services (UK) Limited</t>
  </si>
  <si>
    <t>Independent Financial Advisor Ltd</t>
  </si>
  <si>
    <t>The BT Partnership</t>
  </si>
  <si>
    <t>Codex Capital Partners Limited</t>
  </si>
  <si>
    <t>UHY Financial Planning Limited</t>
  </si>
  <si>
    <t>HAMNETT WEALTH MANAGEMENT LIMITED</t>
  </si>
  <si>
    <t>Hurst Financial Consultancy Limited</t>
  </si>
  <si>
    <t>Brook-Dobson Brear Limited</t>
  </si>
  <si>
    <t>Copperstone Financial Services Ltd</t>
  </si>
  <si>
    <t>Champion Financial Advisors Limited</t>
  </si>
  <si>
    <t>Yellowtail Financial Planning Ltd</t>
  </si>
  <si>
    <t>Brampton Financial Management Ltd</t>
  </si>
  <si>
    <t>Moore and Smalley LLP</t>
  </si>
  <si>
    <t>Taylor &amp; Taylor Financial Services Ltd</t>
  </si>
  <si>
    <t>Lancashire Financial Services Limited</t>
  </si>
  <si>
    <t>Azets Wealth Management Limited</t>
  </si>
  <si>
    <t>Charterhouse Financial Planning Limited</t>
  </si>
  <si>
    <t>Merlin Partners LLP</t>
  </si>
  <si>
    <t>Gravel Hill Wealth Management LLP</t>
  </si>
  <si>
    <t>Darren Hall</t>
  </si>
  <si>
    <t>I F S (SP) Limited</t>
  </si>
  <si>
    <t>CANTAB ASSET MANAGEMENT LIMITED</t>
  </si>
  <si>
    <t>IMC Financial Services Ltd</t>
  </si>
  <si>
    <t>Integrity Financial Management Ltd</t>
  </si>
  <si>
    <t>Steven Martin &amp; Associates Ltd</t>
  </si>
  <si>
    <t>Tavistock Partners Limited</t>
  </si>
  <si>
    <t>Glenwin Hardy Limited</t>
  </si>
  <si>
    <t>Pello Capital Limited</t>
  </si>
  <si>
    <t>Supportive Financial Planning Limited</t>
  </si>
  <si>
    <t>Robert Nicholas Financial Advisers Ltd</t>
  </si>
  <si>
    <t>Goodwill Financial Services Limited</t>
  </si>
  <si>
    <t>Acumen Financial Partnership Limited</t>
  </si>
  <si>
    <t>Scodie Deyong Financial Services LLP</t>
  </si>
  <si>
    <t>Hunter Hammond Daniel Associates Limited</t>
  </si>
  <si>
    <t>www.addingvalue4u.com Limited</t>
  </si>
  <si>
    <t>Park Financial Limited</t>
  </si>
  <si>
    <t>Thomas, Carroll Independent Financial Advisers Limited</t>
  </si>
  <si>
    <t>Romilly Associates IFA Limited</t>
  </si>
  <si>
    <t>Peacock Financial Management Ltd</t>
  </si>
  <si>
    <t>Wayne Austin IFA Ltd</t>
  </si>
  <si>
    <t>Capital Advisory Partners Ltd</t>
  </si>
  <si>
    <t>Neal and Co Financial Services Ltd</t>
  </si>
  <si>
    <t>AXG Advice Ltd</t>
  </si>
  <si>
    <t>Chancellor Financial Management Ltd</t>
  </si>
  <si>
    <t>Cochran Dickie &amp; MacKenzie Limited</t>
  </si>
  <si>
    <t>Fensham Howes Limited</t>
  </si>
  <si>
    <t>Stephanie Amber Croft</t>
  </si>
  <si>
    <t>Odey Wealth Management (UK) Limited</t>
  </si>
  <si>
    <t>BOWER RETIREMENT LIMITED</t>
  </si>
  <si>
    <t>The Exeter Practice Limited</t>
  </si>
  <si>
    <t>Zenith Bank (UK) Limited</t>
  </si>
  <si>
    <t>Reef Financial Limited</t>
  </si>
  <si>
    <t>Darwins IFA Limited</t>
  </si>
  <si>
    <t>Sean McCabe (Financial Adviser) Limited</t>
  </si>
  <si>
    <t>Libra Financial Planning Limited</t>
  </si>
  <si>
    <t>Treasurer Wealth Management LLP</t>
  </si>
  <si>
    <t>Newquay Mortgage &amp; Pensions Limited</t>
  </si>
  <si>
    <t>National Friendly Financial Solutions Limited</t>
  </si>
  <si>
    <t>Hulbert West Limited</t>
  </si>
  <si>
    <t>Prosper Capital LLP</t>
  </si>
  <si>
    <t>Hastings Financial Planning Limited</t>
  </si>
  <si>
    <t>MFS Limited</t>
  </si>
  <si>
    <t>Ace Financial Advisers Limited</t>
  </si>
  <si>
    <t>Peter A Sudlow Certified Financial Planner</t>
  </si>
  <si>
    <t>Clarity Independant Financial Advisors Ltd</t>
  </si>
  <si>
    <t>Singer Capital Markets Securities Ltd</t>
  </si>
  <si>
    <t>Hay Hill Wealth Management Limited</t>
  </si>
  <si>
    <t>Douglas Hope Financial Management</t>
  </si>
  <si>
    <t>Christison and Rowland LLP</t>
  </si>
  <si>
    <t>Essex Financial Planners UK Ltd</t>
  </si>
  <si>
    <t>Charterhouse Independent Financial Advisors LLP</t>
  </si>
  <si>
    <t>Fletcher Davies Limited</t>
  </si>
  <si>
    <t>Kingswood Law IFA Limited</t>
  </si>
  <si>
    <t>Premier Financial Ltd</t>
  </si>
  <si>
    <t>Aveton Gifford Associates Limited</t>
  </si>
  <si>
    <t>Hanlon Kneller and Associates LLP</t>
  </si>
  <si>
    <t>Howard Muir Associates LLP</t>
  </si>
  <si>
    <t>Mortgage Pensions &amp; Investments LLP</t>
  </si>
  <si>
    <t>NVS Financial Planning</t>
  </si>
  <si>
    <t>Smith Weale Associates LLP</t>
  </si>
  <si>
    <t>CAPITAL MANAGEMENT CFP LTD</t>
  </si>
  <si>
    <t>1st Financial Services (London) Limited</t>
  </si>
  <si>
    <t>BlacklerSnelling Financial Planning Limited</t>
  </si>
  <si>
    <t>Strata Financial Resourcing Ltd</t>
  </si>
  <si>
    <t>MRIB Limited</t>
  </si>
  <si>
    <t>SBN Advisors Limited</t>
  </si>
  <si>
    <t>DKB Management (UK) Limited</t>
  </si>
  <si>
    <t>Waterside Wealth Management Limited</t>
  </si>
  <si>
    <t>Stonehouse Financial Services Ltd</t>
  </si>
  <si>
    <t>Creative Advice Limited</t>
  </si>
  <si>
    <t>GMP Independent Financial Advisers LLP</t>
  </si>
  <si>
    <t>Paradigm Norton Financial Planning Ltd</t>
  </si>
  <si>
    <t>Briggs Fiscal Limited</t>
  </si>
  <si>
    <t>Finance Matters (NI) Limited</t>
  </si>
  <si>
    <t>Eaton Financial Services Ltd</t>
  </si>
  <si>
    <t>Kevin Cotterell Financial Services Limited</t>
  </si>
  <si>
    <t>Axiom Financial Services Ltd</t>
  </si>
  <si>
    <t>Mercury Wealth Management Limited</t>
  </si>
  <si>
    <t>Andrew Clements Partnership Limited</t>
  </si>
  <si>
    <t>Anglo-Celtic Financial Consultants Ltd.</t>
  </si>
  <si>
    <t>Riverpark Investment &amp; Financial Consultants Limited</t>
  </si>
  <si>
    <t>HUB Financial Solutions Limited</t>
  </si>
  <si>
    <t>Suttons Independent Financial Advisers Limited</t>
  </si>
  <si>
    <t>Kingswood Financial Advisors</t>
  </si>
  <si>
    <t>Baker Jenness Financial Management</t>
  </si>
  <si>
    <t>Aubrey Capital Management Limited</t>
  </si>
  <si>
    <t>GEE 7 WEALTH MANAGEMENT LIMITED</t>
  </si>
  <si>
    <t>Fletcher Associates Financial Services Limited</t>
  </si>
  <si>
    <t>Kirk Newsholme Financial Planning Limited</t>
  </si>
  <si>
    <t>In2 Planning Limited</t>
  </si>
  <si>
    <t>Aspire Wealth Management Limited</t>
  </si>
  <si>
    <t>Newman Cozens Ltd</t>
  </si>
  <si>
    <t>Russell Young IFA Limited</t>
  </si>
  <si>
    <t>Elevation Wealth Management Ltd</t>
  </si>
  <si>
    <t>Blue Ocean Investment Company Limited</t>
  </si>
  <si>
    <t>Foxbridge Independent Financial Solutions Limited</t>
  </si>
  <si>
    <t>Everard Investment Planning Ltd</t>
  </si>
  <si>
    <t>KRD Financial Advisers Limited</t>
  </si>
  <si>
    <t>RJH Mortgage and Financial Services Limited</t>
  </si>
  <si>
    <t>Chilvester Limited</t>
  </si>
  <si>
    <t>Novum Securities Limited</t>
  </si>
  <si>
    <t>MVA Holdings Ltd</t>
  </si>
  <si>
    <t>Eastgate Financial Services (Exeter) Limited</t>
  </si>
  <si>
    <t>Carter Dawes IFA Solutions Limited</t>
  </si>
  <si>
    <t>Home Financial Consultants Limited</t>
  </si>
  <si>
    <t>BAKER FINANCIAL PLANNING LTD</t>
  </si>
  <si>
    <t>Laurence Anthony Associates</t>
  </si>
  <si>
    <t>Affinity Financial Advisors Ltd</t>
  </si>
  <si>
    <t>Roxborough Wealth Management Limited</t>
  </si>
  <si>
    <t>Alan Robinson</t>
  </si>
  <si>
    <t>Legal &amp; Financial Planning Limited</t>
  </si>
  <si>
    <t>R H Financial Limited</t>
  </si>
  <si>
    <t>Tower House Financial Management Limited</t>
  </si>
  <si>
    <t>MSL Independent Financial Advisers Limited</t>
  </si>
  <si>
    <t>Fairstone Private Wealth Limited</t>
  </si>
  <si>
    <t>Akshar Financial Services Ltd</t>
  </si>
  <si>
    <t>Tacconis Advisors &amp; Co LLP</t>
  </si>
  <si>
    <t>RBS Associates</t>
  </si>
  <si>
    <t>CMD Independent Financial Advisers Limited</t>
  </si>
  <si>
    <t>Element Hinton Ltd</t>
  </si>
  <si>
    <t>PSC UK INSURANCE BROKERS LIMITED</t>
  </si>
  <si>
    <t>Allsopp Financial Management Limited</t>
  </si>
  <si>
    <t>Sophex Limited</t>
  </si>
  <si>
    <t>Wealth Experts Ltd</t>
  </si>
  <si>
    <t>Calver Groom Limited</t>
  </si>
  <si>
    <t>Allied Financial Services Ltd</t>
  </si>
  <si>
    <t>Hugh Pearson-Gregory</t>
  </si>
  <si>
    <t>Oakley Independent Ltd</t>
  </si>
  <si>
    <t>Westcourt Financial Services Limited</t>
  </si>
  <si>
    <t>LWM10 LTD</t>
  </si>
  <si>
    <t>(SMT) Money Matters Limited</t>
  </si>
  <si>
    <t>Hassium Asset Management LLP</t>
  </si>
  <si>
    <t>David S Lowe Financial Management</t>
  </si>
  <si>
    <t>B &amp; M Harrison Limited</t>
  </si>
  <si>
    <t>Holborn Financial Limited</t>
  </si>
  <si>
    <t>Hearnden Associates Limited</t>
  </si>
  <si>
    <t>Chase St James Private Clients Limited</t>
  </si>
  <si>
    <t>Manning &amp; Company (South West) Ltd</t>
  </si>
  <si>
    <t>James Murray Associates Limited</t>
  </si>
  <si>
    <t>Ian Blessed &amp; Co Independent Financial Consultants Ltd</t>
  </si>
  <si>
    <t>Insight Financial Associates Limited</t>
  </si>
  <si>
    <t>Tony Rogers Financial Management Limited</t>
  </si>
  <si>
    <t>Tailormade Financial Services Limited</t>
  </si>
  <si>
    <t>Mitchell Griffin Wealth Management Limited</t>
  </si>
  <si>
    <t>Lockhart Consultancy Ltd</t>
  </si>
  <si>
    <t>Jonathan Davis Wealth Management Ltd</t>
  </si>
  <si>
    <t>MWS Financial Advisers Limited</t>
  </si>
  <si>
    <t>Corin Berry Associates Limited</t>
  </si>
  <si>
    <t>Robson Laidler Financial Planning Limited</t>
  </si>
  <si>
    <t>Gemini Wealth Management Limited</t>
  </si>
  <si>
    <t>Ives &amp; Co Financial Services Limited</t>
  </si>
  <si>
    <t>Master Adviser CFP Limited</t>
  </si>
  <si>
    <t>Prosperity Wealth Management Limited</t>
  </si>
  <si>
    <t>Castell Cyf</t>
  </si>
  <si>
    <t>IFP Associates Limited</t>
  </si>
  <si>
    <t>Sandringham Financial Management</t>
  </si>
  <si>
    <t>Blackstone Moregate Limited</t>
  </si>
  <si>
    <t>Graham Bacon Financial Solutions Limited</t>
  </si>
  <si>
    <t>XPAT Limited</t>
  </si>
  <si>
    <t>Blowfish Financial Services Limited</t>
  </si>
  <si>
    <t>Copthorne Financial Services Ltd</t>
  </si>
  <si>
    <t>PM&amp;M Financial Planning Ltd</t>
  </si>
  <si>
    <t>Starkey Financial Planning Limited</t>
  </si>
  <si>
    <t>R T Financial Services UK Limited</t>
  </si>
  <si>
    <t>Pension &amp; Investment Partners LLP</t>
  </si>
  <si>
    <t>Deane Andrew Cross</t>
  </si>
  <si>
    <t>Primavera Financial Partners LLP</t>
  </si>
  <si>
    <t>Tudor Financial Options Ltd</t>
  </si>
  <si>
    <t>Philip Roberts</t>
  </si>
  <si>
    <t>Questa Financial Services Ltd</t>
  </si>
  <si>
    <t>Divitiae Limited</t>
  </si>
  <si>
    <t>Walpole Financial Ltd</t>
  </si>
  <si>
    <t>M.A.G. Financial Services Limited</t>
  </si>
  <si>
    <t>Michael Eaton</t>
  </si>
  <si>
    <t>Mulberry Independent Financial Advisers Ltd</t>
  </si>
  <si>
    <t>Pelier Financial Limited</t>
  </si>
  <si>
    <t>Essential Financial Advisers LLP</t>
  </si>
  <si>
    <t>Trafalgar Financial Advisers</t>
  </si>
  <si>
    <t>Derek A Forsythe Financial Advisors Ltd</t>
  </si>
  <si>
    <t>Mitchell and Kane Independent Financial Advisers Ltd</t>
  </si>
  <si>
    <t>Ingard Independent Financial Management LLP</t>
  </si>
  <si>
    <t>Man Fai Lau</t>
  </si>
  <si>
    <t>City Financial Planning (Exeter) Limited</t>
  </si>
  <si>
    <t>Kelvin Jenkins</t>
  </si>
  <si>
    <t>Steven Ibbotson</t>
  </si>
  <si>
    <t>MWA FINANCIAL ADVICE LTD</t>
  </si>
  <si>
    <t>New Leaf Distribution Limited</t>
  </si>
  <si>
    <t>Financial Planning Objectives Limited</t>
  </si>
  <si>
    <t>Independent Professional Investments Limited</t>
  </si>
  <si>
    <t>Progressive Strategic Solutions LLP</t>
  </si>
  <si>
    <t>LFS &amp; Partners Limited</t>
  </si>
  <si>
    <t>Prospero Wealth Management Services LLP</t>
  </si>
  <si>
    <t>Barry Fenton Independent Financial Advisers Ltd</t>
  </si>
  <si>
    <t>DOL Solutions</t>
  </si>
  <si>
    <t>Isio Wealth Planning Limited</t>
  </si>
  <si>
    <t>Corfields (UK) Limited</t>
  </si>
  <si>
    <t>Demelza Financial Planning Limited</t>
  </si>
  <si>
    <t>Inspire Wealth Ltd</t>
  </si>
  <si>
    <t>Dentons Pension Management Limited</t>
  </si>
  <si>
    <t>Castle Financial LLP</t>
  </si>
  <si>
    <t>Hamish Leng &amp; Company Limited</t>
  </si>
  <si>
    <t>Northern Star Financial Management Limited</t>
  </si>
  <si>
    <t>Mulberry Financial Ltd</t>
  </si>
  <si>
    <t>2 Plan Wealth Management Limited</t>
  </si>
  <si>
    <t>Farley &amp; Thompson LLP</t>
  </si>
  <si>
    <t>The Mortgage Market UK Ltd</t>
  </si>
  <si>
    <t>Robinson Sterling NYC Financial Services LLP</t>
  </si>
  <si>
    <t>Strabens Hall Ltd</t>
  </si>
  <si>
    <t>Tavira Financial Limited</t>
  </si>
  <si>
    <t>Money Adviser LLP</t>
  </si>
  <si>
    <t>Attivo Financial Services Limited</t>
  </si>
  <si>
    <t>John Fachiri Ltd</t>
  </si>
  <si>
    <t>Ardent IFA Limited</t>
  </si>
  <si>
    <t>Robertson Baxter Limited</t>
  </si>
  <si>
    <t>Mortgage Solutions Merseyside</t>
  </si>
  <si>
    <t>Investax Management LLP</t>
  </si>
  <si>
    <t>Mackenzie Taylor Wealth Management Limited</t>
  </si>
  <si>
    <t>The Big Picture Wealth Management Ltd</t>
  </si>
  <si>
    <t>David Ducker Associates Ltd</t>
  </si>
  <si>
    <t>Thornton &amp; Baines Independent Financial Advisers Limited</t>
  </si>
  <si>
    <t>Bromige Limited</t>
  </si>
  <si>
    <t>Charterhouse Estate Planning And Investment Services Limited</t>
  </si>
  <si>
    <t>Windmill Financial Services Ltd</t>
  </si>
  <si>
    <t>Dukes Financial Planning LLP</t>
  </si>
  <si>
    <t>Andrews Gwynne LLP</t>
  </si>
  <si>
    <t>Foster Denovo Limited</t>
  </si>
  <si>
    <t>Investment &amp; Mortgage Options Scotland Ltd</t>
  </si>
  <si>
    <t>Asset Investment Management Ltd</t>
  </si>
  <si>
    <t>Clear Financial Advice Ltd</t>
  </si>
  <si>
    <t>Capital &amp; Income Solutions Ltd</t>
  </si>
  <si>
    <t>H.L. Financial Limited</t>
  </si>
  <si>
    <t>Bateman Asset Management Ltd</t>
  </si>
  <si>
    <t>Optimal Planning Ltd</t>
  </si>
  <si>
    <t>FMS Sevenoaks LLP</t>
  </si>
  <si>
    <t>Pavey Group Financial Services Limited</t>
  </si>
  <si>
    <t>Mills &amp; Spenceley Limited</t>
  </si>
  <si>
    <t>A D Shah Financial Limited</t>
  </si>
  <si>
    <t>Whitehill Financial Management Limited</t>
  </si>
  <si>
    <t>Straight Talk Financial Planning Ltd</t>
  </si>
  <si>
    <t>County Capital Wealth Management Limited</t>
  </si>
  <si>
    <t>C. Rengert &amp; Company Limited</t>
  </si>
  <si>
    <t>CF Partners (UK) LLP</t>
  </si>
  <si>
    <t>Example Associates Limited</t>
  </si>
  <si>
    <t>Tailored Financial Services Solutions Ltd</t>
  </si>
  <si>
    <t>ACUITY PROFESSIONAL ADVISERS LTD</t>
  </si>
  <si>
    <t>Twismo Financial Planning Ltd</t>
  </si>
  <si>
    <t>EJS Financial Planners Ltd</t>
  </si>
  <si>
    <t>Bank of London and The Middle East plc</t>
  </si>
  <si>
    <t>Infinity Asset Management LLP</t>
  </si>
  <si>
    <t>Equilibrium Capital Ltd</t>
  </si>
  <si>
    <t>Zigma Financial Services Limited</t>
  </si>
  <si>
    <t>Synergy Financial Planning Limited</t>
  </si>
  <si>
    <t>AES Financial Services Ltd</t>
  </si>
  <si>
    <t>Halcyon Financial Solutions Limited</t>
  </si>
  <si>
    <t>Single Point Financial Services Limited</t>
  </si>
  <si>
    <t>Steven Day</t>
  </si>
  <si>
    <t>Warner Goodman LLP</t>
  </si>
  <si>
    <t>Martin Aitken Financial Services Limited</t>
  </si>
  <si>
    <t>Panmure Liberum Capital Limited</t>
  </si>
  <si>
    <t>Grove Pension Solutions Limited</t>
  </si>
  <si>
    <t>Gemmell Financial Services Limited</t>
  </si>
  <si>
    <t>Sense Network Limited</t>
  </si>
  <si>
    <t>IWP ADVISORY SERVICES LIMITED</t>
  </si>
  <si>
    <t>Thomas Anthony Wealth Management Limited</t>
  </si>
  <si>
    <t>Cerno Capital Partners LLP</t>
  </si>
  <si>
    <t>CONSULT LWC LIMITED</t>
  </si>
  <si>
    <t>Mearns &amp; Company Limited</t>
  </si>
  <si>
    <t>Market Position Limited</t>
  </si>
  <si>
    <t>MWLFS Limited</t>
  </si>
  <si>
    <t>Jupp Castle Financial Services Limited</t>
  </si>
  <si>
    <t>Arundel Wealth Management Limited</t>
  </si>
  <si>
    <t>Christian Douglass Group Ltd</t>
  </si>
  <si>
    <t>Phillip Masters Independent Financial Advisers Limited</t>
  </si>
  <si>
    <t>Black Swan Financial Management Ltd</t>
  </si>
  <si>
    <t>Appleton Fox Wealth Management Ltd</t>
  </si>
  <si>
    <t>MPI Services (Saffron Walden) Ltd</t>
  </si>
  <si>
    <t>Ellis Lloyd Jones (Financial Services) Limited</t>
  </si>
  <si>
    <t>QIB (UK) Plc</t>
  </si>
  <si>
    <t>Kroll Securities Ltd</t>
  </si>
  <si>
    <t>David Winter Independent Financial Advisers Limited</t>
  </si>
  <si>
    <t>Tozer LLP</t>
  </si>
  <si>
    <t>Plurimi Wealth LLP</t>
  </si>
  <si>
    <t>Franklin Davies (IFA) Ltd</t>
  </si>
  <si>
    <t>Tiger Financial &amp; Asset Management Ltd</t>
  </si>
  <si>
    <t>Bank J. Safra Sarasin (Gibraltar) Ltd</t>
  </si>
  <si>
    <t>Financial Planning Options Ltd</t>
  </si>
  <si>
    <t>Aspen Financial Services Limited</t>
  </si>
  <si>
    <t>SG Finance Limited</t>
  </si>
  <si>
    <t>Warwickshire Independent Financial Services Ltd</t>
  </si>
  <si>
    <t>Bank of China (UK) Ltd</t>
  </si>
  <si>
    <t>A.G.B. Financial Services Limited</t>
  </si>
  <si>
    <t>1 FS Limited</t>
  </si>
  <si>
    <t>Edison Wealth Management Limited</t>
  </si>
  <si>
    <t>Hill Financial Services (UK) Limited</t>
  </si>
  <si>
    <t>Lanner Capital Limited</t>
  </si>
  <si>
    <t>The Wealth Management Group LLP</t>
  </si>
  <si>
    <t>Wealth Solutions Ltd</t>
  </si>
  <si>
    <t>Jim Paul and Associates Limited</t>
  </si>
  <si>
    <t>Independent Financial Consultants Limited</t>
  </si>
  <si>
    <t>WEALTHWIDE LIMITED</t>
  </si>
  <si>
    <t>Connor Broadley Ltd</t>
  </si>
  <si>
    <t>Hargreaves &amp; Jones Limited</t>
  </si>
  <si>
    <t>Hall Wealth LLP</t>
  </si>
  <si>
    <t>Clarke and Partners LLP</t>
  </si>
  <si>
    <t>Medical &amp; Financial Ltd</t>
  </si>
  <si>
    <t>Concept Financial Planning Ltd</t>
  </si>
  <si>
    <t>MCB Financial Planning Limited</t>
  </si>
  <si>
    <t>DBL Asset Management LLP</t>
  </si>
  <si>
    <t>Lincoln Financial Services Ltd</t>
  </si>
  <si>
    <t>Hallmark Financial Planning Limited</t>
  </si>
  <si>
    <t>Boulton Financial Services Ltd</t>
  </si>
  <si>
    <t>Protect And Invest Ltd</t>
  </si>
  <si>
    <t>Ravenstone Financial Ltd</t>
  </si>
  <si>
    <t>James Patrick Kehoe</t>
  </si>
  <si>
    <t>Via Wealth Limited</t>
  </si>
  <si>
    <t>Henson Crisp Ltd</t>
  </si>
  <si>
    <t>Lyon &amp; Co LLP</t>
  </si>
  <si>
    <t>Hughes Firman Ovel Asset Management Ltd</t>
  </si>
  <si>
    <t>TD Financial Ltd</t>
  </si>
  <si>
    <t>Consilium Asset Management Limited</t>
  </si>
  <si>
    <t>Sterling Independent Advisers LLP</t>
  </si>
  <si>
    <t>Invest Southwest Ltd</t>
  </si>
  <si>
    <t>Mark Bex</t>
  </si>
  <si>
    <t>Fargrove Financial Solutions Limited</t>
  </si>
  <si>
    <t>QED Wealth Management Ltd</t>
  </si>
  <si>
    <t>McHardy Private Wealth Ltd</t>
  </si>
  <si>
    <t>Phillip Bates &amp; Co Financial Services Limited</t>
  </si>
  <si>
    <t>Strategic Financial Planning (SFP) Ltd</t>
  </si>
  <si>
    <t>New Vision Wealth Strategies Limited</t>
  </si>
  <si>
    <t>William Gow</t>
  </si>
  <si>
    <t>Apollo Pension &amp; Investment Advisers</t>
  </si>
  <si>
    <t>Palm Financial Care Limited</t>
  </si>
  <si>
    <t>Fairway Financial Consultancy</t>
  </si>
  <si>
    <t>Hathaway &amp; Cope (Life &amp; Pensions) Ltd</t>
  </si>
  <si>
    <t>Stuart Mulligan Ltd</t>
  </si>
  <si>
    <t>Simon Carter</t>
  </si>
  <si>
    <t>Marks Baughan Securities UK, LLP</t>
  </si>
  <si>
    <t>LGT Wealth Management UK LLP</t>
  </si>
  <si>
    <t>Withybrook Financial Consultants Ltd</t>
  </si>
  <si>
    <t>BBI Independent Financial Advisers Ltd</t>
  </si>
  <si>
    <t>Core Financial Services Ltd</t>
  </si>
  <si>
    <t>Hedley &amp; Company Stockbrokers Limited</t>
  </si>
  <si>
    <t>IPS Capital LLP</t>
  </si>
  <si>
    <t>LIFT-Financial Ltd</t>
  </si>
  <si>
    <t>Confiar Finance Ltd</t>
  </si>
  <si>
    <t>Signet Financial Services (London) Limited</t>
  </si>
  <si>
    <t>Partneriaeth Seiont Partnership LLP</t>
  </si>
  <si>
    <t>Clearwater Wealth Management LLP</t>
  </si>
  <si>
    <t>Simpson Financial Services Ltd</t>
  </si>
  <si>
    <t>Lansdowne Woodward Financial Services Limited</t>
  </si>
  <si>
    <t>Quantum Actuarial LLP</t>
  </si>
  <si>
    <t>Grosvenor Wealth Management Limited</t>
  </si>
  <si>
    <t>Samuel Bath Ltd</t>
  </si>
  <si>
    <t>Davenport Financial Management Ltd</t>
  </si>
  <si>
    <t>A.J.Hutton Ltd</t>
  </si>
  <si>
    <t>Aquarius Wealth Management Limited</t>
  </si>
  <si>
    <t>Independent Financial Strategies (Horley) LLP</t>
  </si>
  <si>
    <t>Niche Independent Financial Advisers Limited</t>
  </si>
  <si>
    <t>Lincolnshire Independent Financial Advisers Ltd</t>
  </si>
  <si>
    <t>Lakenwest Ltd</t>
  </si>
  <si>
    <t>Simon John Honey</t>
  </si>
  <si>
    <t>CPR Financial LLP</t>
  </si>
  <si>
    <t>Chancery Investment Management Ltd</t>
  </si>
  <si>
    <t>RE Hutt Financial Services Limited</t>
  </si>
  <si>
    <t>Liberty Partnership Limited</t>
  </si>
  <si>
    <t>Condy Mathias Financial Planners Limited</t>
  </si>
  <si>
    <t>Hawksmoor Investment Management Ltd</t>
  </si>
  <si>
    <t>Cilbenrick Ltd</t>
  </si>
  <si>
    <t>Brooks Wealth Management LLP</t>
  </si>
  <si>
    <t>Andrew Hill Ltd</t>
  </si>
  <si>
    <t>Rosedale Financial Management</t>
  </si>
  <si>
    <t>Ruth Whitehead Associates</t>
  </si>
  <si>
    <t>Matrix Independent Limited</t>
  </si>
  <si>
    <t>CRS Consultants Ltd</t>
  </si>
  <si>
    <t>Equity And General Financial Services Limited</t>
  </si>
  <si>
    <t>Sun Global Investments Limited</t>
  </si>
  <si>
    <t>Yorkshire Independent Financial Advisers Limited</t>
  </si>
  <si>
    <t>Darnells Wealth Management Ltd</t>
  </si>
  <si>
    <t>Lincoln International LLP</t>
  </si>
  <si>
    <t>Fortic Financial Services Ltd</t>
  </si>
  <si>
    <t>Cavendish Corporate Finance LLP</t>
  </si>
  <si>
    <t>Cheshire Wealth Management Ltd</t>
  </si>
  <si>
    <t>Rainbird &amp; Co IFA Ltd</t>
  </si>
  <si>
    <t>Gent &amp; Craig Insurances Ltd</t>
  </si>
  <si>
    <t>Taylor Hartley Limited</t>
  </si>
  <si>
    <t>Independent Financial Advisory Service Limited</t>
  </si>
  <si>
    <t>MIO Partners (UK) Limited</t>
  </si>
  <si>
    <t>Jordan Financial Management Ltd</t>
  </si>
  <si>
    <t>Thomas Penn Partnership Ltd</t>
  </si>
  <si>
    <t>YVONNE GOODWIN WEALTH MANAGEMENT LIMITED</t>
  </si>
  <si>
    <t>Accendo Markets Limited</t>
  </si>
  <si>
    <t>Perspective (HNH) Limited</t>
  </si>
  <si>
    <t>Brown Advisory Limited</t>
  </si>
  <si>
    <t>Gail Renshaw Independent Financial Adviser</t>
  </si>
  <si>
    <t>Iona Beesly Associates Limited</t>
  </si>
  <si>
    <t>Halstead Independent Financial Management Limited</t>
  </si>
  <si>
    <t>Four Seasons Financial Planning Ltd</t>
  </si>
  <si>
    <t>Mary Henderson</t>
  </si>
  <si>
    <t>Wirral Financial Services Ltd</t>
  </si>
  <si>
    <t>JW Finance Ltd</t>
  </si>
  <si>
    <t>Partners Capital LLP</t>
  </si>
  <si>
    <t>Aspire Mortgages &amp; Financial Services Ltd</t>
  </si>
  <si>
    <t>Central Markets Investment Management Limited</t>
  </si>
  <si>
    <t>HPZ.3 Limited</t>
  </si>
  <si>
    <t>Charterhouse London Mortgages Ltd</t>
  </si>
  <si>
    <t>Equity For Growth (Securities) Limited</t>
  </si>
  <si>
    <t>Fairstone Financial Management Limited</t>
  </si>
  <si>
    <t>Millennium Rose Associates Ltd</t>
  </si>
  <si>
    <t>Clark &amp; John Financial Services Ltd</t>
  </si>
  <si>
    <t>Midas Financial Planning Services Ltd</t>
  </si>
  <si>
    <t>K F Harty Financial Management Ltd</t>
  </si>
  <si>
    <t>Hanover Wealth Management Limited</t>
  </si>
  <si>
    <t>BPH Wealth Management LLP</t>
  </si>
  <si>
    <t>Warwick Financial Solutions Limited</t>
  </si>
  <si>
    <t>Forrester-Hyde Limited</t>
  </si>
  <si>
    <t>Project Financial Solutions Ltd</t>
  </si>
  <si>
    <t>Excaliber Associates Ltd</t>
  </si>
  <si>
    <t>Ucapital Asset Management LLP</t>
  </si>
  <si>
    <t>Operii Financial Planning LLP</t>
  </si>
  <si>
    <t>Harrold Financial Planning Limited</t>
  </si>
  <si>
    <t>Elliot Fletcher Limited</t>
  </si>
  <si>
    <t>Proactive Financial Management Ltd</t>
  </si>
  <si>
    <t>SMB Wealth Management Ltd</t>
  </si>
  <si>
    <t>Chevening Financial Ltd</t>
  </si>
  <si>
    <t>Bailey Financial Services (Preston) Ltd</t>
  </si>
  <si>
    <t>Alantra Corporate Finance LLP</t>
  </si>
  <si>
    <t>Vision Financial Advisers Ltd</t>
  </si>
  <si>
    <t>Blueberry Financial Ltd</t>
  </si>
  <si>
    <t>Punter Southall Wealth Limited</t>
  </si>
  <si>
    <t>Wingate Wealth Management Ltd</t>
  </si>
  <si>
    <t>Tejara Capital Limited</t>
  </si>
  <si>
    <t>Hutchison &amp; White Limited</t>
  </si>
  <si>
    <t>Milkstone Ltd</t>
  </si>
  <si>
    <t>First Service Financial Limited</t>
  </si>
  <si>
    <t>Edward T James &amp; Company Ltd</t>
  </si>
  <si>
    <t>Herbert Financial Services</t>
  </si>
  <si>
    <t>Pembrokeshire Mortgage Centre Ltd</t>
  </si>
  <si>
    <t>Thomas and Thomas Financial Services Ltd</t>
  </si>
  <si>
    <t>London Wealth Management Limited</t>
  </si>
  <si>
    <t>Bluestone Independent Financial Advisers Ltd</t>
  </si>
  <si>
    <t>Davies Carrington Limited</t>
  </si>
  <si>
    <t>Logical Financial Planning Ltd</t>
  </si>
  <si>
    <t>415 LLP</t>
  </si>
  <si>
    <t>Gribben &amp; Watt Financial Planning Limited</t>
  </si>
  <si>
    <t>JFP Financial Services Ltd</t>
  </si>
  <si>
    <t>Wendover Financial Limited</t>
  </si>
  <si>
    <t>The Taylormade Financial Management LLP</t>
  </si>
  <si>
    <t>Eden Independent Financial Advisers Limited</t>
  </si>
  <si>
    <t>London Stone Securities Limited</t>
  </si>
  <si>
    <t>Crossbridge Capital LLP</t>
  </si>
  <si>
    <t>Spear Financial Ltd</t>
  </si>
  <si>
    <t>Sovereign (Financial Services) Limited</t>
  </si>
  <si>
    <t>Western Financial Planning Ltd</t>
  </si>
  <si>
    <t>Financial Planning Solutions Ltd</t>
  </si>
  <si>
    <t>Clifton Compliance Services Ltd</t>
  </si>
  <si>
    <t>Jason Ball</t>
  </si>
  <si>
    <t>Walford and Phelps</t>
  </si>
  <si>
    <t>HSD Independent Financial Advisors Ltd</t>
  </si>
  <si>
    <t>Trafford &amp; Houghton Financial Planning Ltd</t>
  </si>
  <si>
    <t>Carpenter John Financial Services Ltd</t>
  </si>
  <si>
    <t>Fairey Associates Ltd</t>
  </si>
  <si>
    <t>KNG Financial Management LLP</t>
  </si>
  <si>
    <t>Mr Mark Walker</t>
  </si>
  <si>
    <t>FS247 Ltd</t>
  </si>
  <si>
    <t>Eriswell Capital Management LLP</t>
  </si>
  <si>
    <t>Peak Assured Ltd</t>
  </si>
  <si>
    <t>True CFP Limited</t>
  </si>
  <si>
    <t>Stafford &amp; Co Ltd</t>
  </si>
  <si>
    <t>First Command Europe Ltd</t>
  </si>
  <si>
    <t>City Capital Markets Ltd</t>
  </si>
  <si>
    <t>Hansford Bell Financial Planning Ltd</t>
  </si>
  <si>
    <t>Molineaux Investment Services LLP</t>
  </si>
  <si>
    <t>Joseph John McKenna</t>
  </si>
  <si>
    <t>Thomas Brannigan</t>
  </si>
  <si>
    <t>Premier Pensions and Tax Consultancy Limited</t>
  </si>
  <si>
    <t>Olive Wealth Management Ltd</t>
  </si>
  <si>
    <t>Fiduciary Wealth Management Limited</t>
  </si>
  <si>
    <t>Financial Relationships LLP</t>
  </si>
  <si>
    <t>Hexagon Wealth Limited</t>
  </si>
  <si>
    <t>Argyll Advisory LLP</t>
  </si>
  <si>
    <t>Peter Murray Financial Management Limited</t>
  </si>
  <si>
    <t>Retirement Solutions (UK) Limited</t>
  </si>
  <si>
    <t>Collins Sarri Statham Investments Limited</t>
  </si>
  <si>
    <t>Gary Bunkell</t>
  </si>
  <si>
    <t>Steven Barton</t>
  </si>
  <si>
    <t>Smart Financial Planning Ltd</t>
  </si>
  <si>
    <t>Oyster Wealth Management Limited</t>
  </si>
  <si>
    <t>Joslin Rhodes Lifestyle Financial Planning Limited</t>
  </si>
  <si>
    <t>Mr Alan Tarver</t>
  </si>
  <si>
    <t>Astute Financial Management UK Ltd</t>
  </si>
  <si>
    <t>LR Financial Services Ltd</t>
  </si>
  <si>
    <t>Thinking Finance UK Ltd</t>
  </si>
  <si>
    <t>Kenneth Brewster</t>
  </si>
  <si>
    <t>Tandy Financial Services LLP</t>
  </si>
  <si>
    <t>Monenti Partners Ltd</t>
  </si>
  <si>
    <t>KIRBY THOMAS &amp; CO (IFA) LTD</t>
  </si>
  <si>
    <t>Knightsbridge Wealth Management (NI) Ltd</t>
  </si>
  <si>
    <t>Lumen Financial Planning Limited</t>
  </si>
  <si>
    <t>Clayton Holmes Naisbitt Financial Consultancy LLP</t>
  </si>
  <si>
    <t>Philip Harper LLP</t>
  </si>
  <si>
    <t>Hamilton Financial (Scotland) Ltd</t>
  </si>
  <si>
    <t>Provisio Limited</t>
  </si>
  <si>
    <t>Langholm Dalton LLP</t>
  </si>
  <si>
    <t>Medical &amp; Professional Investment LLP</t>
  </si>
  <si>
    <t>IFA Consultants Limited</t>
  </si>
  <si>
    <t>Financial Solutions SC Ltd</t>
  </si>
  <si>
    <t>D M Cager (Financial Services) ltd</t>
  </si>
  <si>
    <t>Paul McAllen &amp; Co Limited</t>
  </si>
  <si>
    <t>Acorn to Oaks Financial Services Ltd</t>
  </si>
  <si>
    <t>Lifestages Ltd</t>
  </si>
  <si>
    <t>Grovelands Financial Planning Ltd</t>
  </si>
  <si>
    <t>Rippon Financial Management Limited</t>
  </si>
  <si>
    <t>PFM Financial Ltd</t>
  </si>
  <si>
    <t>Anthony John Arlott</t>
  </si>
  <si>
    <t>Menzies Wealth Management Ltd</t>
  </si>
  <si>
    <t>Sound Financial Advice Ltd</t>
  </si>
  <si>
    <t>Lumley Baxter Asset Management LLP</t>
  </si>
  <si>
    <t>Andrew Heptinstall Financial Services LLP</t>
  </si>
  <si>
    <t>Amarjit Singh Gharial</t>
  </si>
  <si>
    <t>Gallium Fund Solutions Limited</t>
  </si>
  <si>
    <t>P K Financial Limited</t>
  </si>
  <si>
    <t>The Financial Planning Corporation LLP</t>
  </si>
  <si>
    <t>James Stratten Financial Planning Limited</t>
  </si>
  <si>
    <t>Anning Financial Management Ltd</t>
  </si>
  <si>
    <t>Vision Independent Financial Planning Ltd</t>
  </si>
  <si>
    <t>Acumensa Limited</t>
  </si>
  <si>
    <t>Merit Financial Services Ltd</t>
  </si>
  <si>
    <t>Blue River Wealth Management Ltd</t>
  </si>
  <si>
    <t>Independently East Ltd</t>
  </si>
  <si>
    <t>Lomond Financial Management Group Ltd</t>
  </si>
  <si>
    <t>Key 2 Financial Solutions Ltd</t>
  </si>
  <si>
    <t>PLS Financial Services Ltd</t>
  </si>
  <si>
    <t>Cormorant Partnership LLP</t>
  </si>
  <si>
    <t>Dolphin Wealth Management Ltd</t>
  </si>
  <si>
    <t>Horton Kirby Financial Services Ltd</t>
  </si>
  <si>
    <t>Albert E Sharp LLP</t>
  </si>
  <si>
    <t>RMB Financial Management (UK) Ltd</t>
  </si>
  <si>
    <t>Financial Solutions (Cheshire) Limited</t>
  </si>
  <si>
    <t>Brilliance Financial Planning Ltd</t>
  </si>
  <si>
    <t>Dickson Financial Services Ltd</t>
  </si>
  <si>
    <t>Vintage Asset Management Ltd</t>
  </si>
  <si>
    <t>Carpenter Box Wealth Management LLP</t>
  </si>
  <si>
    <t>Heath Crawford Financial Services LLP</t>
  </si>
  <si>
    <t>MASECO LLP</t>
  </si>
  <si>
    <t>Allenby Capital Limited</t>
  </si>
  <si>
    <t>MCM Bespoke Investment Services Limited</t>
  </si>
  <si>
    <t>Financially Prudent (Independent Financial Advisors) Limited</t>
  </si>
  <si>
    <t>Talbot Capital Ltd</t>
  </si>
  <si>
    <t>Independent Wealth Management (UK) LLP</t>
  </si>
  <si>
    <t>Money Advice &amp; Planning Ltd</t>
  </si>
  <si>
    <t>Feast Noble &amp; Company LLP</t>
  </si>
  <si>
    <t>Premier Financial Planning Ltd</t>
  </si>
  <si>
    <t>CheckRisk LLP</t>
  </si>
  <si>
    <t>Fernedene Financial Planning Ltd</t>
  </si>
  <si>
    <t>NFS Limited</t>
  </si>
  <si>
    <t>Milton Independent Financial Advisers Ltd</t>
  </si>
  <si>
    <t>Grindley Potter Limited</t>
  </si>
  <si>
    <t>Islandbridge Capital Ltd</t>
  </si>
  <si>
    <t>Vale Independent Financial Advisers Limited</t>
  </si>
  <si>
    <t>Ashleigh Court Private Client Wealth Management Ltd</t>
  </si>
  <si>
    <t>Alexander Cameron Ltd</t>
  </si>
  <si>
    <t>AVN Wealth Managers LLP</t>
  </si>
  <si>
    <t>Walden Capital Limited</t>
  </si>
  <si>
    <t>Shorestone Financial LLP</t>
  </si>
  <si>
    <t>LFP Financial Planning &amp; Wealth Management Limited</t>
  </si>
  <si>
    <t>Shaun Carr Financial Services Limited</t>
  </si>
  <si>
    <t>Stonewater Wealth Management Ltd</t>
  </si>
  <si>
    <t>Oakwood Asset Management LLP</t>
  </si>
  <si>
    <t>Bright Investments Pensions and Savings Ltd</t>
  </si>
  <si>
    <t>Ayres Punchard Investment Management Ltd</t>
  </si>
  <si>
    <t>Integrated Financial Solutions Ltd</t>
  </si>
  <si>
    <t>Keightley Pattison Financial Management Limited</t>
  </si>
  <si>
    <t>Guardian Stockbrokers Ltd</t>
  </si>
  <si>
    <t>Oracle Financial Planning Ltd</t>
  </si>
  <si>
    <t>Midland Financial Solutions Ltd</t>
  </si>
  <si>
    <t>Clocktower Fund Management Limited</t>
  </si>
  <si>
    <t>Pinnacle Financial Planning Ltd</t>
  </si>
  <si>
    <t>Grosvenor Financial Services (South West) Limited</t>
  </si>
  <si>
    <t>Campbell Mackie Limited</t>
  </si>
  <si>
    <t>Advance Wealth Limited</t>
  </si>
  <si>
    <t>Moorlands Financial Services Ltd</t>
  </si>
  <si>
    <t>Pensions and Annuities Ltd</t>
  </si>
  <si>
    <t>Barnett Waddingham LLP</t>
  </si>
  <si>
    <t>Louise Atkinson</t>
  </si>
  <si>
    <t>Adanac Financial Services Ltd</t>
  </si>
  <si>
    <t>Aspin Corporate Services Limited</t>
  </si>
  <si>
    <t>Currencies Direct Financial Markets Limited</t>
  </si>
  <si>
    <t>B Independent Financial Services Ltd</t>
  </si>
  <si>
    <t>Founding Asset Management Limited</t>
  </si>
  <si>
    <t>LK Asset Management LLP</t>
  </si>
  <si>
    <t>P N Dales Ltd</t>
  </si>
  <si>
    <t>Timothy Hugh Morland</t>
  </si>
  <si>
    <t>Tideway Investment Partners LLP</t>
  </si>
  <si>
    <t>AGILITY Financial Solutions Ltd</t>
  </si>
  <si>
    <t>The Acorn Partnership IFA LLP</t>
  </si>
  <si>
    <t>Stephen Trowbridge</t>
  </si>
  <si>
    <t>Elite-Wealth Management UK Ltd</t>
  </si>
  <si>
    <t>D2 Financial Solutions (UK) Ltd</t>
  </si>
  <si>
    <t>Angell Mallinder Ltd</t>
  </si>
  <si>
    <t>Caleb Roberts Financial Management Ltd</t>
  </si>
  <si>
    <t>Attivo Financial Limited</t>
  </si>
  <si>
    <t>Gerald Morgan</t>
  </si>
  <si>
    <t>Wilson Edwards LLP</t>
  </si>
  <si>
    <t>2020 Financial LTD</t>
  </si>
  <si>
    <t>RMC Wealth Management LLP</t>
  </si>
  <si>
    <t>J M Taylor Financial Services Limited</t>
  </si>
  <si>
    <t>Imperial Finance 23 Ltd</t>
  </si>
  <si>
    <t>George Ide LLP</t>
  </si>
  <si>
    <t>SWC Independent Ltd</t>
  </si>
  <si>
    <t>Strategic Vision Wealth Ltd</t>
  </si>
  <si>
    <t>Dante Partners LLP</t>
  </si>
  <si>
    <t>The TJM Partnership Limited</t>
  </si>
  <si>
    <t>Homer &amp; Co LLP</t>
  </si>
  <si>
    <t>Reich Life Ltd</t>
  </si>
  <si>
    <t>Generation Financial Services Ltd</t>
  </si>
  <si>
    <t>Winchester Investment Solutions Ltd</t>
  </si>
  <si>
    <t>FBS-IFA LLP</t>
  </si>
  <si>
    <t>Mulberry Wealth Management Limited</t>
  </si>
  <si>
    <t>bdhSterling Limited</t>
  </si>
  <si>
    <t>Redmayne-Bentley LLP</t>
  </si>
  <si>
    <t>First 4 Financial Planning Ltd</t>
  </si>
  <si>
    <t>Lakewood Financial Services Ltd</t>
  </si>
  <si>
    <t>Airgead Financial Services Ltd</t>
  </si>
  <si>
    <t>Carr &amp; Associates LLP</t>
  </si>
  <si>
    <t>DAI MAGISTER LIMITED</t>
  </si>
  <si>
    <t>Hardman &amp; Hamilton Financial Services Limited</t>
  </si>
  <si>
    <t>HCF Partnership Ltd</t>
  </si>
  <si>
    <t>Marchwood IFA Ltd</t>
  </si>
  <si>
    <t>Renaissance IFA LLP</t>
  </si>
  <si>
    <t>Fox Whittle Financial Management Ltd</t>
  </si>
  <si>
    <t>Alpha Financial Services</t>
  </si>
  <si>
    <t>Wilcocks &amp; Associates Ltd</t>
  </si>
  <si>
    <t>Bob Farrington Ltd</t>
  </si>
  <si>
    <t>Morton Hill Ltd</t>
  </si>
  <si>
    <t>S&amp;T Asset Management LLP</t>
  </si>
  <si>
    <t>Sancto Merricks Financial Planning Ltd</t>
  </si>
  <si>
    <t>Greg Power Lifetime Financial Planning</t>
  </si>
  <si>
    <t>Investment Risk Management Ltd</t>
  </si>
  <si>
    <t>Adler Financial Planning Ltd</t>
  </si>
  <si>
    <t>R M Harris</t>
  </si>
  <si>
    <t>Gordian Financial Services Limited</t>
  </si>
  <si>
    <t>Keystone Financial Ltd</t>
  </si>
  <si>
    <t>Ian Buckley</t>
  </si>
  <si>
    <t>Sovereign Asset Management (Bristol) Ltd</t>
  </si>
  <si>
    <t>Bourne Independent Financial Advisers Ltd</t>
  </si>
  <si>
    <t>Sirius Money Management Ltd</t>
  </si>
  <si>
    <t>Paul Jones</t>
  </si>
  <si>
    <t>Quartet Capital Partners LLP</t>
  </si>
  <si>
    <t>Rogate Capital Limited</t>
  </si>
  <si>
    <t>Online Mortgages UK Ltd</t>
  </si>
  <si>
    <t>ASPECT FINANCIAL SOLUTIONS LTD</t>
  </si>
  <si>
    <t>Financial Dimensions UK Ltd</t>
  </si>
  <si>
    <t>Jackson Jeffrey Financial Services Limited</t>
  </si>
  <si>
    <t>Face to Face Financial Planning Limited</t>
  </si>
  <si>
    <t>Gerald David Hussey</t>
  </si>
  <si>
    <t>Lombard Street Research Financial Services Ltd</t>
  </si>
  <si>
    <t>Cade &amp; Co LLP</t>
  </si>
  <si>
    <t>Barker Sutcliffe and Associates Ltd</t>
  </si>
  <si>
    <t>Financial Aims Limited</t>
  </si>
  <si>
    <t>Stephen Walters Financial Planning Ltd</t>
  </si>
  <si>
    <t>Abbey Financial Services (N.I.) Ltd</t>
  </si>
  <si>
    <t>Belbury Financial Planning Ltd</t>
  </si>
  <si>
    <t>Fidra Wealth Management Ltd</t>
  </si>
  <si>
    <t>Apogee Wealth Management Limited</t>
  </si>
  <si>
    <t>Mowatt Financial Planning Ltd</t>
  </si>
  <si>
    <t>David Hester Financial Services Limited</t>
  </si>
  <si>
    <t>Rosemount Asset Management Ltd</t>
  </si>
  <si>
    <t>Stephen Holmes</t>
  </si>
  <si>
    <t>Penda Financial Management Ltd</t>
  </si>
  <si>
    <t>Oakbank Financial Services Ltd</t>
  </si>
  <si>
    <t>Wellway Wealth Management LLP</t>
  </si>
  <si>
    <t>Hume Capital Securities plc</t>
  </si>
  <si>
    <t>Chamberlain Berry LLP</t>
  </si>
  <si>
    <t>MB Capital Limited</t>
  </si>
  <si>
    <t>Investment &amp; Retirement Solutions Ltd</t>
  </si>
  <si>
    <t>The Moneytree Corporation Limited</t>
  </si>
  <si>
    <t>Thomson Ferrie LLP</t>
  </si>
  <si>
    <t>Jackson Hodge Wealth Management Services Limited</t>
  </si>
  <si>
    <t>My Financial Planner Limited</t>
  </si>
  <si>
    <t>James Young Associates Ltd</t>
  </si>
  <si>
    <t>Portcullis Financial Planning Limited</t>
  </si>
  <si>
    <t>Simon McGregor</t>
  </si>
  <si>
    <t>David Allen Financial Services (Dalston) Limited</t>
  </si>
  <si>
    <t>Tweed Financial Services Ltd</t>
  </si>
  <si>
    <t>Meridian Capital (GB) Ltd</t>
  </si>
  <si>
    <t>Goldsmith Financial Solutions</t>
  </si>
  <si>
    <t>EGB Financial Ltd</t>
  </si>
  <si>
    <t>Advanced Asset Consultants Ltd</t>
  </si>
  <si>
    <t>KW Investment Management Limited</t>
  </si>
  <si>
    <t>Mandan Financial Management</t>
  </si>
  <si>
    <t>ASC Financial Solutions Ltd</t>
  </si>
  <si>
    <t>Regan Financial Ltd</t>
  </si>
  <si>
    <t>Clarke Fencott LLP</t>
  </si>
  <si>
    <t>Barkestone Associates (Wealth Management) Limited</t>
  </si>
  <si>
    <t>AGL Wealth Management Ltd</t>
  </si>
  <si>
    <t>Phil Hughes Financial Services Ltd</t>
  </si>
  <si>
    <t>Money Matters Financial Solutions Ltd</t>
  </si>
  <si>
    <t>Priscum Limited</t>
  </si>
  <si>
    <t>Best 4 Advice Ltd</t>
  </si>
  <si>
    <t>Binary Capital Limited</t>
  </si>
  <si>
    <t>A.R.D. Consultancy Limited</t>
  </si>
  <si>
    <t>JB Management (UK) LLP</t>
  </si>
  <si>
    <t>Andrew Hartop Financial Planning Ltd</t>
  </si>
  <si>
    <t>Apex CB Financial Planning Ltd</t>
  </si>
  <si>
    <t>Broad Wealth Management Ltd</t>
  </si>
  <si>
    <t>Yours Financially Ltd</t>
  </si>
  <si>
    <t>Thompson Financial Consulting Ltd</t>
  </si>
  <si>
    <t>Anderson Financial Limited</t>
  </si>
  <si>
    <t>Obsidian Financial Limited</t>
  </si>
  <si>
    <t>Baker Gladstone &amp; York Ltd</t>
  </si>
  <si>
    <t>Kubera Wealth Ltd</t>
  </si>
  <si>
    <t>Tisco Financial Planning Ltd</t>
  </si>
  <si>
    <t>Strategic Retirement Solutions Ltd</t>
  </si>
  <si>
    <t>Centurion Wealth Management Limited</t>
  </si>
  <si>
    <t>Find Peace of Mind Ltd</t>
  </si>
  <si>
    <t>Milne Craig</t>
  </si>
  <si>
    <t>Platinum Financial Services Ltd</t>
  </si>
  <si>
    <t>Pryor Portfolio Management Limited</t>
  </si>
  <si>
    <t>Simply Ethical Financial Services Ltd</t>
  </si>
  <si>
    <t>TNW Financial Services Ltd</t>
  </si>
  <si>
    <t>Glynneath Financial Services Limited</t>
  </si>
  <si>
    <t>Border Finance Ltd</t>
  </si>
  <si>
    <t>Carrmichaels Ltd</t>
  </si>
  <si>
    <t>Elm Tree Financial Services Limited</t>
  </si>
  <si>
    <t>Simple Solutions Financial Management Ltd</t>
  </si>
  <si>
    <t>Longbon &amp; Co Ltd</t>
  </si>
  <si>
    <t>Forgeron Financial Planning Ltd</t>
  </si>
  <si>
    <t>CJT Financial Planning Ltd</t>
  </si>
  <si>
    <t>Black Dog Financial Services Ltd</t>
  </si>
  <si>
    <t>Carnwyllon Wealth Management Ltd</t>
  </si>
  <si>
    <t>Choice Independent Financial Services Ltd</t>
  </si>
  <si>
    <t>D S Financial Limited</t>
  </si>
  <si>
    <t>Florins Pensions &amp; Investments Ltd</t>
  </si>
  <si>
    <t>Style Insurance &amp; Mortgage Services Ltd</t>
  </si>
  <si>
    <t>ARBION LIMITED</t>
  </si>
  <si>
    <t>Kim Bayliss Wealth Management Limited</t>
  </si>
  <si>
    <t>Hazelton Mountford Jefferies Limited</t>
  </si>
  <si>
    <t>LMJ Financial Management Ltd</t>
  </si>
  <si>
    <t>James Hambro &amp; Partners LLP</t>
  </si>
  <si>
    <t>Wealth Management Experts Ltd</t>
  </si>
  <si>
    <t>Shipman Financial Planning Ltd</t>
  </si>
  <si>
    <t>Martyn Quantick</t>
  </si>
  <si>
    <t>Time Financial Management Ltd</t>
  </si>
  <si>
    <t>J M Wakeling Independent Financial Advisers Ltd</t>
  </si>
  <si>
    <t>Goodmans Financial Planning Ltd</t>
  </si>
  <si>
    <t>Achieve Financial Planning Ltd</t>
  </si>
  <si>
    <t>Rice Whatmough Crozier LLP</t>
  </si>
  <si>
    <t>Donre Advisory Limited</t>
  </si>
  <si>
    <t>Bridgegate Financial Solutions Limited</t>
  </si>
  <si>
    <t>Tayside Investments Ltd</t>
  </si>
  <si>
    <t>Bluetrust Limited</t>
  </si>
  <si>
    <t>Shailesh Poptani</t>
  </si>
  <si>
    <t>Glebe Portman Ltd</t>
  </si>
  <si>
    <t>ALTYX FINANCIAL PLANNING Ltd</t>
  </si>
  <si>
    <t>Eastwood Financial Solutions Ltd</t>
  </si>
  <si>
    <t>Bentley Grove Financial Solutions LLP</t>
  </si>
  <si>
    <t>IUR Capital Ltd</t>
  </si>
  <si>
    <t>Park Hall Financial Services Limited</t>
  </si>
  <si>
    <t>Chiltern Consultancy Limited</t>
  </si>
  <si>
    <t>CBH Wealth UK Limited</t>
  </si>
  <si>
    <t>Financial Solutions NI LLP</t>
  </si>
  <si>
    <t>Emirates NBD Bank (P.J.S.C)</t>
  </si>
  <si>
    <t>Chrystal Capital Partners LLP</t>
  </si>
  <si>
    <t>Kingsfleet Wealth Limited</t>
  </si>
  <si>
    <t>Belisarius Wealth Management Limited</t>
  </si>
  <si>
    <t>Paul Walsh Financial Services Ltd</t>
  </si>
  <si>
    <t>Yew Tree Financial Planning Ltd</t>
  </si>
  <si>
    <t>Charles Dickson Financial Planning LLP</t>
  </si>
  <si>
    <t>Futura Wealth Management Ltd</t>
  </si>
  <si>
    <t>Financial Tracking &amp; Advice Limited</t>
  </si>
  <si>
    <t>Woolley &amp; Harris Independent Financial Advisers Limited</t>
  </si>
  <si>
    <t>Doubletree Financial Services Ltd</t>
  </si>
  <si>
    <t>Argent Wealth Limited</t>
  </si>
  <si>
    <t>Coates &amp; Co Financial Planning Ltd</t>
  </si>
  <si>
    <t>Affinity Wealth Management (NW) Ltd</t>
  </si>
  <si>
    <t>Sandycross Wealth Management LLP</t>
  </si>
  <si>
    <t>Chaldon Fox Associates Ltd</t>
  </si>
  <si>
    <t>Greshams Independent Financial Advisors Limited</t>
  </si>
  <si>
    <t>Horlock Holdcroft Financial Consultants Ltd</t>
  </si>
  <si>
    <t>Tamsel (UK) Limited</t>
  </si>
  <si>
    <t>Altior Vita LLP</t>
  </si>
  <si>
    <t>Colin Jones &amp; Associates Ltd</t>
  </si>
  <si>
    <t>Abacus Assurance Financial Services Ltd</t>
  </si>
  <si>
    <t>Austin-Chapel Independent Financial Advisers LLP</t>
  </si>
  <si>
    <t>G &amp; S Investment &amp; Mortgages Ltd</t>
  </si>
  <si>
    <t>N W B Consultants Limited</t>
  </si>
  <si>
    <t>WP Financial Services Ltd</t>
  </si>
  <si>
    <t>Logic Investments Ltd</t>
  </si>
  <si>
    <t>Ashberg Limited</t>
  </si>
  <si>
    <t>St George's Financial Services Ltd</t>
  </si>
  <si>
    <t>Cresswell Cadenhead &amp; Co Limited</t>
  </si>
  <si>
    <t>West Wake Price LLP</t>
  </si>
  <si>
    <t>Wealthwise Corporate Financial Management Ltd</t>
  </si>
  <si>
    <t>Prosperity Medical Financial Services LLP</t>
  </si>
  <si>
    <t>S. P. Angel Corporate Finance LLP</t>
  </si>
  <si>
    <t>Taurus Global Financial Advisers Ltd</t>
  </si>
  <si>
    <t>Corporate Benefits Consulting Ltd</t>
  </si>
  <si>
    <t>Financial Professionals (NI) Ltd</t>
  </si>
  <si>
    <t>Verso Investment Management LLP</t>
  </si>
  <si>
    <t>Ten Wealth Management Limited</t>
  </si>
  <si>
    <t>44 Financial Limited</t>
  </si>
  <si>
    <t>Barker Maule Limited</t>
  </si>
  <si>
    <t>Ethicalfin Limited</t>
  </si>
  <si>
    <t>Paton Wealth Management Limited</t>
  </si>
  <si>
    <t>Kate Philip</t>
  </si>
  <si>
    <t>GA Hicks Associates Ltd</t>
  </si>
  <si>
    <t>AMG Wealth Solutions LLP</t>
  </si>
  <si>
    <t>Greenwood Financial Planning LLP</t>
  </si>
  <si>
    <t>Travis Yates Limited</t>
  </si>
  <si>
    <t>Perspective (North) Limited</t>
  </si>
  <si>
    <t>Lindley Financial Management Ltd</t>
  </si>
  <si>
    <t>Chatfield Private Client Ltd</t>
  </si>
  <si>
    <t>Secure Asset Funds Europe Ltd</t>
  </si>
  <si>
    <t>Langton Capital Ltd</t>
  </si>
  <si>
    <t>ASFC LLP</t>
  </si>
  <si>
    <t>Independent Financial Services 4 You Ltd</t>
  </si>
  <si>
    <t>NFP Benefits Consultants Limited</t>
  </si>
  <si>
    <t>Mark Brookes IFA</t>
  </si>
  <si>
    <t>Centurion Financial Planning Limited</t>
  </si>
  <si>
    <t>AFL Wealth Management Ltd</t>
  </si>
  <si>
    <t>Clarion Wealth Planning Limited</t>
  </si>
  <si>
    <t>The Aspire Partnership LLP</t>
  </si>
  <si>
    <t>The Tavistock Partnership Limited</t>
  </si>
  <si>
    <t>Estate and Property Ltd</t>
  </si>
  <si>
    <t>John Morrison</t>
  </si>
  <si>
    <t>Alpha Wealth Ltd</t>
  </si>
  <si>
    <t>Chase Asset Management Ltd</t>
  </si>
  <si>
    <t>Griersons Financial Ltd</t>
  </si>
  <si>
    <t>Integrity Pensions &amp; Investments Ltd</t>
  </si>
  <si>
    <t>Peter Donnelly</t>
  </si>
  <si>
    <t>Nicholas Corfield</t>
  </si>
  <si>
    <t>Simon Hannam Ltd</t>
  </si>
  <si>
    <t>Milburn Davies Partnership Limited</t>
  </si>
  <si>
    <t>Bell Financial Planning Limited</t>
  </si>
  <si>
    <t>Connectus Wealth Limited</t>
  </si>
  <si>
    <t>Mike Callaghan</t>
  </si>
  <si>
    <t>Montpellier Asset Management Ltd</t>
  </si>
  <si>
    <t>Scott Financial Planning Limited</t>
  </si>
  <si>
    <t>Money Matters (North East) Limited</t>
  </si>
  <si>
    <t>Tate Consultancy Limited</t>
  </si>
  <si>
    <t>McLaren Capital Limited</t>
  </si>
  <si>
    <t>Shape Pensions &amp; Advisory Services Ltd</t>
  </si>
  <si>
    <t>Trevor William Kettle</t>
  </si>
  <si>
    <t>Medical Assurance Bureau (Midlands) Ltd</t>
  </si>
  <si>
    <t>Freeman Financial Services Limited</t>
  </si>
  <si>
    <t>Morgan Wealth Management Limited</t>
  </si>
  <si>
    <t>D B Financial Management Limited</t>
  </si>
  <si>
    <t>Clark Boyle Limited</t>
  </si>
  <si>
    <t>PX Wealth Limited</t>
  </si>
  <si>
    <t>Census Wealth Management Limited</t>
  </si>
  <si>
    <t>Independent Benefit Consultancy Limited</t>
  </si>
  <si>
    <t>McCoubrey Investment Management Limited</t>
  </si>
  <si>
    <t>Efficient Portfolio Wealth Management Ltd</t>
  </si>
  <si>
    <t>Finsgate LLP</t>
  </si>
  <si>
    <t>Kilgour Wealth Management Limited</t>
  </si>
  <si>
    <t>David Hopkinson IFA Limited</t>
  </si>
  <si>
    <t>Nelsons Solicitors Limited</t>
  </si>
  <si>
    <t>Gill Financial Services Limited</t>
  </si>
  <si>
    <t>D G Financial Services Limited</t>
  </si>
  <si>
    <t>Antrams Financial Services LLP</t>
  </si>
  <si>
    <t>Green Financial Advice Limited</t>
  </si>
  <si>
    <t>Plan 2 Protect Limited</t>
  </si>
  <si>
    <t>SYLVA FINANCIAL PLANNING LIMITED</t>
  </si>
  <si>
    <t>Independent Financial Advice Bureau Limited</t>
  </si>
  <si>
    <t>ABN AMRO Bank NV</t>
  </si>
  <si>
    <t>Inspired Financial Solutions Limited</t>
  </si>
  <si>
    <t>Martyn Barnes</t>
  </si>
  <si>
    <t>Peter Riley IFA Limited</t>
  </si>
  <si>
    <t>Compass Financial Management LLP</t>
  </si>
  <si>
    <t>Digby Holman</t>
  </si>
  <si>
    <t>Independent Advice Limited</t>
  </si>
  <si>
    <t>Paul Tillcock Financial Solutions Limited</t>
  </si>
  <si>
    <t>Clear Sky Financial Consulting Ltd</t>
  </si>
  <si>
    <t>MacArthur Denton Asset Management Limited</t>
  </si>
  <si>
    <t>Washington Square Ltd</t>
  </si>
  <si>
    <t>Ashmore Financial Services Limited</t>
  </si>
  <si>
    <t>Agency Partners LLP</t>
  </si>
  <si>
    <t>Jeremy Naylor</t>
  </si>
  <si>
    <t>Step-By-Step Financial Planners Limited</t>
  </si>
  <si>
    <t>ABM Financial Management Limited</t>
  </si>
  <si>
    <t>BEST Wealth Management Ltd</t>
  </si>
  <si>
    <t>ISACO Limited</t>
  </si>
  <si>
    <t>Rapport Financial Planning Ltd</t>
  </si>
  <si>
    <t>Pettecrew Financial Planning Ltd</t>
  </si>
  <si>
    <t>MICHAEL BARNES FINANCIAL SERVICES LTD</t>
  </si>
  <si>
    <t>JPRS (South West) Limited</t>
  </si>
  <si>
    <t>Howard Wealth Management Limited</t>
  </si>
  <si>
    <t>Synergy Wealth Management Ltd</t>
  </si>
  <si>
    <t>Hanson Asset Management Limited</t>
  </si>
  <si>
    <t>Ford IFA Limited</t>
  </si>
  <si>
    <t>Tyburn Asset Management Limited</t>
  </si>
  <si>
    <t>Brendan Miskella Ltd</t>
  </si>
  <si>
    <t>GoddardFry Wealth Management Limited</t>
  </si>
  <si>
    <t>James Cunningham</t>
  </si>
  <si>
    <t>Premier Financial Group Limited</t>
  </si>
  <si>
    <t>Perspective (Gould Financial Planning) Limited</t>
  </si>
  <si>
    <t>W1 Financial Services Limited</t>
  </si>
  <si>
    <t>Thomas Whiting Limited</t>
  </si>
  <si>
    <t>Quigley &amp; Partners Limited</t>
  </si>
  <si>
    <t>4wealth Ltd</t>
  </si>
  <si>
    <t>Malcolm Aplin</t>
  </si>
  <si>
    <t>Enterprise Financial Services UK Limited</t>
  </si>
  <si>
    <t>Ifamax Limited</t>
  </si>
  <si>
    <t>Beacon Wealth Management Limited</t>
  </si>
  <si>
    <t>ILM Financial Limited</t>
  </si>
  <si>
    <t>THROGMORTON FINANCIAL ADVICE LIMITED</t>
  </si>
  <si>
    <t>Town &amp; Country Financial Planning Limited</t>
  </si>
  <si>
    <t>Peter Reilly</t>
  </si>
  <si>
    <t>Evans Falco LLP</t>
  </si>
  <si>
    <t>AM Financial Planning Limited</t>
  </si>
  <si>
    <t>John Kirkpatrick</t>
  </si>
  <si>
    <t>David Munro Financial Services Limited</t>
  </si>
  <si>
    <t>Headley Financial Services Limited</t>
  </si>
  <si>
    <t>Stewart Wealth Management Ltd</t>
  </si>
  <si>
    <t>Absolute Return Investment Advisers (ARIA) Limited</t>
  </si>
  <si>
    <t>Vanguard Asset Management, Ltd</t>
  </si>
  <si>
    <t>Financial Therapeutics UK Ltd</t>
  </si>
  <si>
    <t>Selwyn Goldberg</t>
  </si>
  <si>
    <t>Michael Hancock</t>
  </si>
  <si>
    <t>Always Independent Financial Solutions Ltd</t>
  </si>
  <si>
    <t>Jigsaw Corporate Financial Management Limited</t>
  </si>
  <si>
    <t>MN Consultancy Ltd</t>
  </si>
  <si>
    <t>Slater Financial Limited</t>
  </si>
  <si>
    <t>Herbert &amp; Webster Ltd</t>
  </si>
  <si>
    <t>Christopher Mordecai</t>
  </si>
  <si>
    <t>Wiser Wealth Limited</t>
  </si>
  <si>
    <t>P J Mortgages (UK) Limited</t>
  </si>
  <si>
    <t>Heaton Financial Independent Financial Advisers Limited</t>
  </si>
  <si>
    <t>Grosvenor Birch Limited</t>
  </si>
  <si>
    <t>MJC Financial Planning Limited</t>
  </si>
  <si>
    <t>M Hunter &amp; Co Limited</t>
  </si>
  <si>
    <t>Christopher Charles Financial Services Limited</t>
  </si>
  <si>
    <t>Elite Financial Consulting Ltd</t>
  </si>
  <si>
    <t>IJS Financial Solutions Limited</t>
  </si>
  <si>
    <t>Phillips Financial Planning Ltd</t>
  </si>
  <si>
    <t>Waverton Wealth Planning LLP</t>
  </si>
  <si>
    <t>Russell &amp; Co Financial Advisers LLP</t>
  </si>
  <si>
    <t>Geoff Rowland</t>
  </si>
  <si>
    <t>Holbein Partners LLP</t>
  </si>
  <si>
    <t>OPUS Independent Financial Planning Limited</t>
  </si>
  <si>
    <t>Janus Financial Consultancy Limited</t>
  </si>
  <si>
    <t>Evolve Wealth Limited</t>
  </si>
  <si>
    <t>Caple Banks Limited</t>
  </si>
  <si>
    <t>Ayrin Financial Management</t>
  </si>
  <si>
    <t>Chamberlain Wealth Management Limited</t>
  </si>
  <si>
    <t>Thomas Fear &amp; Co Limited</t>
  </si>
  <si>
    <t>KM Financial Solutions LLP</t>
  </si>
  <si>
    <t>Pennymatters Limited</t>
  </si>
  <si>
    <t>Philip James Financial Services Ltd.</t>
  </si>
  <si>
    <t>Anderson Financial Planning Limited</t>
  </si>
  <si>
    <t>Astute Private Wealth Limited</t>
  </si>
  <si>
    <t>Kirk Rice LLP</t>
  </si>
  <si>
    <t>James &amp; James Financial Advisers Limited</t>
  </si>
  <si>
    <t>Glamorgan 1:1 Financial Limited</t>
  </si>
  <si>
    <t>Lifeplan Financial Management Limited</t>
  </si>
  <si>
    <t>FB Wealth Management Ltd</t>
  </si>
  <si>
    <t>Gibson Financial Planning Ltd</t>
  </si>
  <si>
    <t>AW Financial Management LLP</t>
  </si>
  <si>
    <t>Legacy / CKS</t>
  </si>
  <si>
    <t>Roberts Boyt Limited</t>
  </si>
  <si>
    <t>Retirement &amp; Investment Solutions Limited</t>
  </si>
  <si>
    <t>Black Label Financial Ltd</t>
  </si>
  <si>
    <t>Storrar Crane Ltd</t>
  </si>
  <si>
    <t>Bruce Bennett</t>
  </si>
  <si>
    <t>Lancett &amp; Co Limited</t>
  </si>
  <si>
    <t>Kenyon Clarke Financial Services Ltd</t>
  </si>
  <si>
    <t>Russell Gibson Financial Management Limited</t>
  </si>
  <si>
    <t>ERG Financial Planning Limited</t>
  </si>
  <si>
    <t>Theo Filippeos</t>
  </si>
  <si>
    <t>Piggybank UK Limited</t>
  </si>
  <si>
    <t>Magenta Financial Services Limited</t>
  </si>
  <si>
    <t>Brunsdon Financial Services Limited</t>
  </si>
  <si>
    <t>Core Independent Financial Planning Limited</t>
  </si>
  <si>
    <t>IRIS Advisory Limited</t>
  </si>
  <si>
    <t>Quantock Analytical Ltd</t>
  </si>
  <si>
    <t>Smith Square Partners LLP</t>
  </si>
  <si>
    <t>London &amp; Eastern LLP</t>
  </si>
  <si>
    <t>RMP Financial LLP</t>
  </si>
  <si>
    <t>William O'Neil &amp; Co. Incorporated</t>
  </si>
  <si>
    <t>Perceptive Planning Limited</t>
  </si>
  <si>
    <t>McLean Financial Planning</t>
  </si>
  <si>
    <t>Mr Stephen Alan Clarke</t>
  </si>
  <si>
    <t>Patrick O'Neill</t>
  </si>
  <si>
    <t>Rosemount Financial Solutions (IFA) Limited</t>
  </si>
  <si>
    <t>Attain Wealth Management Limited</t>
  </si>
  <si>
    <t>Taylormade Financial Planning LLP</t>
  </si>
  <si>
    <t>Wealthmasters Financial Management Ltd</t>
  </si>
  <si>
    <t>Legacy Financial Solutions Limited</t>
  </si>
  <si>
    <t>Ian Jeffrey Levey</t>
  </si>
  <si>
    <t>Churchgate Accountants Limited</t>
  </si>
  <si>
    <t>Carbon Financial Partners Ltd</t>
  </si>
  <si>
    <t>Practical Financial Planning Ltd</t>
  </si>
  <si>
    <t>Financial Design (Independent Financial Advisors) Ltd</t>
  </si>
  <si>
    <t>AURA HEXAA LLP</t>
  </si>
  <si>
    <t>Rutherford Asset Management Ltd</t>
  </si>
  <si>
    <t>Sirius Financial Planning Limited</t>
  </si>
  <si>
    <t>Blue Circle Wealth Management Ltd</t>
  </si>
  <si>
    <t>EGR WEALTH LIMITED</t>
  </si>
  <si>
    <t>The Bobby Dhanjal Practice Ltd</t>
  </si>
  <si>
    <t>ML Financial Associates Limited</t>
  </si>
  <si>
    <t>Quay Financial Advice Limited</t>
  </si>
  <si>
    <t>St Martin's Partners LLP</t>
  </si>
  <si>
    <t>Steven Wombwell</t>
  </si>
  <si>
    <t>MONEY@IFA LIMITED</t>
  </si>
  <si>
    <t>Shard Capital Partners LLP</t>
  </si>
  <si>
    <t>Kvika Securities Ltd</t>
  </si>
  <si>
    <t>EQ Investors Limited</t>
  </si>
  <si>
    <t>Rowena Chowdrey</t>
  </si>
  <si>
    <t>Mr Peter Evans</t>
  </si>
  <si>
    <t>SCHOFIELD MONEY LIMITED</t>
  </si>
  <si>
    <t>Hayward Manning Limited</t>
  </si>
  <si>
    <t>Rosemount Independent Financial Advisers Limited</t>
  </si>
  <si>
    <t>Clarendon Financial Planning Ltd</t>
  </si>
  <si>
    <t>Priority Financial Planning Limited</t>
  </si>
  <si>
    <t>Brian Mellor Financial Services Limited</t>
  </si>
  <si>
    <t>Clearview Independent Financial Advisers Ltd</t>
  </si>
  <si>
    <t>Harris Williams &amp; Co. Ltd</t>
  </si>
  <si>
    <t>Clifton Wealth Partnership Ltd</t>
  </si>
  <si>
    <t>MMG Financial Management Limited</t>
  </si>
  <si>
    <t>Panthera Private Office LLP</t>
  </si>
  <si>
    <t>Plutus Wealth Management LLP</t>
  </si>
  <si>
    <t>David Charles Hesketh</t>
  </si>
  <si>
    <t>Farrell Financial Planning Limited</t>
  </si>
  <si>
    <t>Lifestyle (Glamorgan) Limited</t>
  </si>
  <si>
    <t>Mainestream Financial Services Ltd</t>
  </si>
  <si>
    <t>AlTi Wealth Management (UK) Limited</t>
  </si>
  <si>
    <t>Edward Chappell Financial Services Ltd</t>
  </si>
  <si>
    <t>Armstrong Watson Financial Planning Limited</t>
  </si>
  <si>
    <t>Mike Norris Financial Services Limited</t>
  </si>
  <si>
    <t>Meaning Financial Limited</t>
  </si>
  <si>
    <t>Investment &amp; Financial Solutions Partnership LLP</t>
  </si>
  <si>
    <t>Financial Aspirations Lifestyle Planning Limited</t>
  </si>
  <si>
    <t>O'Connor and Co (Financial Services) Limited</t>
  </si>
  <si>
    <t>Lord Clarke Limited</t>
  </si>
  <si>
    <t>OANDA Europe Limited</t>
  </si>
  <si>
    <t>INTERESTME FINANCIAL PLANNING LIMITED</t>
  </si>
  <si>
    <t>County Associates (UK) LLP</t>
  </si>
  <si>
    <t>Able Money Limited</t>
  </si>
  <si>
    <t>Encompass Financial Services Limited</t>
  </si>
  <si>
    <t>Approachable Finance Limited</t>
  </si>
  <si>
    <t>Oakhouse Financial Services Limited</t>
  </si>
  <si>
    <t>Moscrops Financial Planning (Bury) LLP</t>
  </si>
  <si>
    <t>YOU Asset Management Limited</t>
  </si>
  <si>
    <t>Partnership Financial Planning Limited</t>
  </si>
  <si>
    <t>Ashcombe Advisers LLP</t>
  </si>
  <si>
    <t>Dial Partners LLP</t>
  </si>
  <si>
    <t>Arian Financial Planning Ltd</t>
  </si>
  <si>
    <t>Mark Horner</t>
  </si>
  <si>
    <t>Nicholas Plumb</t>
  </si>
  <si>
    <t>APC Financial Solutions and Consultancy Services Limited</t>
  </si>
  <si>
    <t>Downing LLP</t>
  </si>
  <si>
    <t>Wilson Chambers Limited</t>
  </si>
  <si>
    <t>Mr Paul O'Brien</t>
  </si>
  <si>
    <t>Alpha Investments and Financial Planning Ltd</t>
  </si>
  <si>
    <t>Kamal Uddin</t>
  </si>
  <si>
    <t>Informed Independent Financial Advisers Ltd</t>
  </si>
  <si>
    <t>Capital Tower Limited</t>
  </si>
  <si>
    <t>Barnes &amp; Sherwood Professional Advisers Limited</t>
  </si>
  <si>
    <t>Spencer Gardner Dickins Financial Services Ltd</t>
  </si>
  <si>
    <t>Jenkins Financial Advisers Limited</t>
  </si>
  <si>
    <t>W.G. STEWART FINANCIAL PLANNING LTD.</t>
  </si>
  <si>
    <t>Lloyd &amp; Co Financial Planning Ltd</t>
  </si>
  <si>
    <t>S W Financial Management Limited</t>
  </si>
  <si>
    <t>Rockingham Financial Services Ltd</t>
  </si>
  <si>
    <t>Ian St John Hendry</t>
  </si>
  <si>
    <t>Taylor Watson Financial Management Ltd</t>
  </si>
  <si>
    <t>Sapia Partners LLP</t>
  </si>
  <si>
    <t>CDC Wealth Management Limited</t>
  </si>
  <si>
    <t>Ken Nairn Limited</t>
  </si>
  <si>
    <t>Stephen McDine Limited</t>
  </si>
  <si>
    <t>Vision Independent Financial Advisors Limited</t>
  </si>
  <si>
    <t>Finance Shop Ltd</t>
  </si>
  <si>
    <t>Open Door IFA Limited</t>
  </si>
  <si>
    <t>Newton Smith Ltd</t>
  </si>
  <si>
    <t>Paul Whitehead</t>
  </si>
  <si>
    <t>Paul Simons</t>
  </si>
  <si>
    <t>Moneyology Limited</t>
  </si>
  <si>
    <t>Saxo Capital Markets UK Limited</t>
  </si>
  <si>
    <t>Simon Strapp</t>
  </si>
  <si>
    <t>Ascot Wealth Management Limited</t>
  </si>
  <si>
    <t>Mark J Morsley &amp; Associates Limited</t>
  </si>
  <si>
    <t>Shacklocks LLP</t>
  </si>
  <si>
    <t>Ethical Futures LLP</t>
  </si>
  <si>
    <t>NK Financial Management Limited</t>
  </si>
  <si>
    <t>Hicks &amp; McNish LLP</t>
  </si>
  <si>
    <t>Dolfin Financial (UK) Ltd</t>
  </si>
  <si>
    <t>Parkway Financial Planning Ltd</t>
  </si>
  <si>
    <t>Anderson Strathern Asset Management Limited</t>
  </si>
  <si>
    <t>Entente Partners Ltd</t>
  </si>
  <si>
    <t>Bolsover Render Financial Planning Ltd</t>
  </si>
  <si>
    <t>I Planning Wealth Management Ltd</t>
  </si>
  <si>
    <t>Patrick McGee Limited</t>
  </si>
  <si>
    <t>Providential Finance Limited</t>
  </si>
  <si>
    <t>Belyn Financial Services Ltd</t>
  </si>
  <si>
    <t>Niven Financial Ltd</t>
  </si>
  <si>
    <t>Gemini Financial Planning Ltd</t>
  </si>
  <si>
    <t>The Saltus Partnership Limited</t>
  </si>
  <si>
    <t>Paul Williams Financial Services Ltd</t>
  </si>
  <si>
    <t>Clarke Robinson &amp; Co Ltd</t>
  </si>
  <si>
    <t>Mark J Rees LLP</t>
  </si>
  <si>
    <t>Financial Planning Associates LLP</t>
  </si>
  <si>
    <t>Weybrook Financial Management Limited</t>
  </si>
  <si>
    <t>Elysium Corporate Finance Limited</t>
  </si>
  <si>
    <t>Harding Financial Limited</t>
  </si>
  <si>
    <t>Enlightened Finance Limited</t>
  </si>
  <si>
    <t>DJWM Limited</t>
  </si>
  <si>
    <t>Interactive Wealth Management Limited</t>
  </si>
  <si>
    <t>4 Shires Asset Management Ltd</t>
  </si>
  <si>
    <t>Auker Rhodes Financial Planning LLP</t>
  </si>
  <si>
    <t>Michael John Knott</t>
  </si>
  <si>
    <t>LMN Capital Limited</t>
  </si>
  <si>
    <t>Michelle Procter Limited</t>
  </si>
  <si>
    <t>Colin Of Mar</t>
  </si>
  <si>
    <t>Clear Vision Financial Planning Limited</t>
  </si>
  <si>
    <t>Morris Financial Planning Limited</t>
  </si>
  <si>
    <t>Vedanta Hedging Ltd</t>
  </si>
  <si>
    <t>Christian Jones Financial Services Ltd</t>
  </si>
  <si>
    <t>Stonehage Fleming Wealth Planning Ltd</t>
  </si>
  <si>
    <t>Infinity Financial Planning Limited</t>
  </si>
  <si>
    <t>Sanderson Financial Planning Limited</t>
  </si>
  <si>
    <t>Invest India Limited</t>
  </si>
  <si>
    <t>Kingfisher Independent Financial Planning LLP</t>
  </si>
  <si>
    <t>Pioneer Wealth Management Limited</t>
  </si>
  <si>
    <t>Pro-Sport 1 Limited</t>
  </si>
  <si>
    <t>Mark Tennant</t>
  </si>
  <si>
    <t>Savvy Wealth Management Limited</t>
  </si>
  <si>
    <t>The Children's ISA Limited</t>
  </si>
  <si>
    <t>BSK Financial Planning Limited</t>
  </si>
  <si>
    <t>The Finance Lab Ltd</t>
  </si>
  <si>
    <t>Mark Smith Wealth Management Ltd</t>
  </si>
  <si>
    <t>TWP Wealth Limited</t>
  </si>
  <si>
    <t>ARNOLD &amp; CO LTD</t>
  </si>
  <si>
    <t>Coloma Wealth Management LLP</t>
  </si>
  <si>
    <t>Integrated Wealth Management Ltd</t>
  </si>
  <si>
    <t>Compass Independent Financial Services Ltd</t>
  </si>
  <si>
    <t>Knight James Associates Ltd</t>
  </si>
  <si>
    <t>Brian Collingwood</t>
  </si>
  <si>
    <t>Park View Financial Services Limited</t>
  </si>
  <si>
    <t>Northwood Financial Consultants Limited</t>
  </si>
  <si>
    <t>Wealth of Advice Ltd</t>
  </si>
  <si>
    <t>Montagu Ltd</t>
  </si>
  <si>
    <t>SLG Financial Solutions Limited</t>
  </si>
  <si>
    <t>Chris Leach &amp; Associates Ltd</t>
  </si>
  <si>
    <t>Finli (Thames Valley) Ltd</t>
  </si>
  <si>
    <t>Barretts Financial Solutions Limited</t>
  </si>
  <si>
    <t>Thomson Gray Wealth Management Limited</t>
  </si>
  <si>
    <t>Allotts Financial Services Limited</t>
  </si>
  <si>
    <t>Daedalus Partners LLP</t>
  </si>
  <si>
    <t>Michael Fox</t>
  </si>
  <si>
    <t>Oxford Investment Opportunity Network Limited</t>
  </si>
  <si>
    <t>K &amp; S Financial Management Limited</t>
  </si>
  <si>
    <t>Gildencrest Capital Limited</t>
  </si>
  <si>
    <t>Wheble Financial Services Limited</t>
  </si>
  <si>
    <t>Plain English Finance Limited</t>
  </si>
  <si>
    <t>Oval Financial Management Ltd</t>
  </si>
  <si>
    <t>SRG Financial Management Ltd</t>
  </si>
  <si>
    <t>Almond &amp; Jenkinson Financial Planning Ltd</t>
  </si>
  <si>
    <t>Vizion Wealth LLP</t>
  </si>
  <si>
    <t>Estate Financial Planning Limited</t>
  </si>
  <si>
    <t>GDA Financial Partners LLP</t>
  </si>
  <si>
    <t>336 Financial Management Limited</t>
  </si>
  <si>
    <t>Sheldon Flanders Financial Services Ltd</t>
  </si>
  <si>
    <t>Blue Spire Financial Planning Limited</t>
  </si>
  <si>
    <t>S &amp; M Hughes Limited</t>
  </si>
  <si>
    <t>Fleet Street Financial Limited</t>
  </si>
  <si>
    <t>BeaconIFA Limited</t>
  </si>
  <si>
    <t>Premier Practice Limited</t>
  </si>
  <si>
    <t>Carrington Investment Consultants Limited</t>
  </si>
  <si>
    <t>Friend-James Limited</t>
  </si>
  <si>
    <t>Ink Financial Management Limited</t>
  </si>
  <si>
    <t>The Financial Partnership Advisers Ltd</t>
  </si>
  <si>
    <t>Focus Investment Planning Limited</t>
  </si>
  <si>
    <t>E C Financial Services Limited</t>
  </si>
  <si>
    <t>Vesta Wealth Limited</t>
  </si>
  <si>
    <t>Absolute Financial Services LLP</t>
  </si>
  <si>
    <t>Simon Karande Ltd</t>
  </si>
  <si>
    <t>Singer Capital Markets Advisory LLP</t>
  </si>
  <si>
    <t>Global Preservation Strategies Limited</t>
  </si>
  <si>
    <t>Riverside Financial Planning Limited</t>
  </si>
  <si>
    <t>Julian Oates</t>
  </si>
  <si>
    <t>November March Limited</t>
  </si>
  <si>
    <t>MIller Knight Limited</t>
  </si>
  <si>
    <t>DHM Wynchwood LLP</t>
  </si>
  <si>
    <t>Hale Wealth Management Limited</t>
  </si>
  <si>
    <t>ADMS Asset Management Limited</t>
  </si>
  <si>
    <t>Arnold Stansby &amp; Co. Limited</t>
  </si>
  <si>
    <t>Partridge Financial Limited</t>
  </si>
  <si>
    <t>Simon Jeremy Bailey</t>
  </si>
  <si>
    <t>Wells Financial Limited</t>
  </si>
  <si>
    <t>Argyll &amp; Bute Consultants Limited</t>
  </si>
  <si>
    <t>Macmillan Financial Planning Limited</t>
  </si>
  <si>
    <t>Keyline Financial Solutions Limited</t>
  </si>
  <si>
    <t>MOYES Financial Planning Limited</t>
  </si>
  <si>
    <t>The Clifton Business Consultancy Ltd</t>
  </si>
  <si>
    <t>CFP Management Limited</t>
  </si>
  <si>
    <t>Hawker and Palmer Wealth Management Limited</t>
  </si>
  <si>
    <t>Bentley Reid &amp; Co (UK) Limited</t>
  </si>
  <si>
    <t>Simply 1 Financial Services Limited</t>
  </si>
  <si>
    <t>Financialmum Ltd</t>
  </si>
  <si>
    <t>Proposito Financial Planning Limited</t>
  </si>
  <si>
    <t>Rockpool Investments LLP</t>
  </si>
  <si>
    <t>Kingswood Wealth Management Ltd</t>
  </si>
  <si>
    <t>Oasis Crescent Wealth (UK) Limited</t>
  </si>
  <si>
    <t>Whitchurch IFA Limited</t>
  </si>
  <si>
    <t>More Than Mortgages Limited</t>
  </si>
  <si>
    <t>Warr &amp; Co Independent Financial Advisers Limited</t>
  </si>
  <si>
    <t>Church Financial Services Limited</t>
  </si>
  <si>
    <t>Purple Patch Independent Financial Planning Limited</t>
  </si>
  <si>
    <t>SKF Trading Ltd</t>
  </si>
  <si>
    <t>Forward Plan IFA Limited</t>
  </si>
  <si>
    <t>Alan McKelvey</t>
  </si>
  <si>
    <t>Charnwood Financial Planning LLP</t>
  </si>
  <si>
    <t>Wealth Aspirations LLP</t>
  </si>
  <si>
    <t>Employee Benefits Partnership Limited</t>
  </si>
  <si>
    <t>Thornton Financial Services Ltd</t>
  </si>
  <si>
    <t>Millcroft Wealth Management Limited</t>
  </si>
  <si>
    <t>Holder &amp; Combes Limited</t>
  </si>
  <si>
    <t>Signpost Financial Planning Ltd</t>
  </si>
  <si>
    <t>Browning Financial Ltd</t>
  </si>
  <si>
    <t>Urquhart Asset Management Limited</t>
  </si>
  <si>
    <t>IpsoFacto Investor.Com Limited</t>
  </si>
  <si>
    <t>Harrington &amp; Horne Financial Services Ltd</t>
  </si>
  <si>
    <t>Clarity Wealth Management LLP</t>
  </si>
  <si>
    <t>Severn Financial Services Limited</t>
  </si>
  <si>
    <t>Maxlyte Financial Limited</t>
  </si>
  <si>
    <t>GP3 Financial Solutions Ltd</t>
  </si>
  <si>
    <t>Macsen Wealth Management Ltd</t>
  </si>
  <si>
    <t>Vertis Private Wealth Management Limited</t>
  </si>
  <si>
    <t>Mitchell Harper Limited</t>
  </si>
  <si>
    <t>Oakhurst Financial Management Limited</t>
  </si>
  <si>
    <t>Light Cason Associates Limited</t>
  </si>
  <si>
    <t>Sterling (Porthmadog) Cyf</t>
  </si>
  <si>
    <t>Matrix Financial Limited</t>
  </si>
  <si>
    <t>Scottsdale IFA LLP</t>
  </si>
  <si>
    <t>Granite Financial Services (UK) Limited</t>
  </si>
  <si>
    <t>MML Financial Associates Ltd</t>
  </si>
  <si>
    <t>Futurity Financial Services Limited</t>
  </si>
  <si>
    <t>Axis Bank UK Limited</t>
  </si>
  <si>
    <t>Know Your Number Limited</t>
  </si>
  <si>
    <t>Dukes Independent Financial Advisers Ltd</t>
  </si>
  <si>
    <t>Quantfury Trading UK Limited</t>
  </si>
  <si>
    <t>Geraint Rees</t>
  </si>
  <si>
    <t>Pioneer Financial Services Ltd</t>
  </si>
  <si>
    <t>Robert Baldwin</t>
  </si>
  <si>
    <t>Haldon Financial Limited</t>
  </si>
  <si>
    <t>Kevin Barnes</t>
  </si>
  <si>
    <t>Robert Anthony Ridout</t>
  </si>
  <si>
    <t>Aqua Wealth Management Limited</t>
  </si>
  <si>
    <t>Capital Professional Limited</t>
  </si>
  <si>
    <t>Anders Bayley Scott Limited</t>
  </si>
  <si>
    <t>ProAct Financial (Bolton) Ltd</t>
  </si>
  <si>
    <t>Hinchliffe, Watts &amp; Wyatt Ltd</t>
  </si>
  <si>
    <t>Atlanticomnium (UK) Limited</t>
  </si>
  <si>
    <t>Bell Wealth Management Ltd</t>
  </si>
  <si>
    <t>Asset Match Limited</t>
  </si>
  <si>
    <t>Adroit Financial Planning Limited</t>
  </si>
  <si>
    <t>GSS Financial Planning Limited</t>
  </si>
  <si>
    <t>MBH Wealth Management Ltd</t>
  </si>
  <si>
    <t>Kalkine Limited</t>
  </si>
  <si>
    <t>CPN Investment Management LLP</t>
  </si>
  <si>
    <t>Ferguson Law Financial Services Ltd</t>
  </si>
  <si>
    <t>Gilbert Stephens Financial Services Ltd</t>
  </si>
  <si>
    <t>SHK Finance Ltd</t>
  </si>
  <si>
    <t>My Pension Expert Limited</t>
  </si>
  <si>
    <t>Premier Commercial Wealth Management Ltd</t>
  </si>
  <si>
    <t>Bluebridge Financial Planners Ltd</t>
  </si>
  <si>
    <t>Neil Paterson</t>
  </si>
  <si>
    <t>Bateman Jarvis Limited</t>
  </si>
  <si>
    <t>PSP Wealth Management Ltd</t>
  </si>
  <si>
    <t>DP Advisory Limited</t>
  </si>
  <si>
    <t>The Money Map (Financial Navigation) LLP</t>
  </si>
  <si>
    <t>Asset Management Advice</t>
  </si>
  <si>
    <t>Portal Financial Planning Limited</t>
  </si>
  <si>
    <t>Pluto Wealth Limited</t>
  </si>
  <si>
    <t>Sharon Deangelis</t>
  </si>
  <si>
    <t>Burlaw Ltd</t>
  </si>
  <si>
    <t>AlTi RE Limited</t>
  </si>
  <si>
    <t>Bowden Financial Management Ltd</t>
  </si>
  <si>
    <t>Robert Coventry</t>
  </si>
  <si>
    <t>Tier One Capital Ltd</t>
  </si>
  <si>
    <t>Misland Capital Limited</t>
  </si>
  <si>
    <t>Parkstone Financial Planning Limited</t>
  </si>
  <si>
    <t>Sublime Business Financial Advisers Ltd</t>
  </si>
  <si>
    <t>Smythe House Limited</t>
  </si>
  <si>
    <t>Mountstone Partners Limited</t>
  </si>
  <si>
    <t>The First Choice Insurance Consultants Ltd</t>
  </si>
  <si>
    <t>Beaufort Financial Planning Ltd</t>
  </si>
  <si>
    <t>Taylor Money Limited</t>
  </si>
  <si>
    <t>Brighton Financial Ltd</t>
  </si>
  <si>
    <t>Clive Ingram</t>
  </si>
  <si>
    <t>London Wall Partners LLP</t>
  </si>
  <si>
    <t>Seneca Partners Limited</t>
  </si>
  <si>
    <t>ASC Financial Advisers Limited</t>
  </si>
  <si>
    <t>WPS Financial Group Limited</t>
  </si>
  <si>
    <t>DML Financial Planning Limited</t>
  </si>
  <si>
    <t>Andrew James</t>
  </si>
  <si>
    <t>Sheraton Financial Planning Ltd</t>
  </si>
  <si>
    <t>IEP Financial Limited</t>
  </si>
  <si>
    <t>Clarion Investment Management Limited</t>
  </si>
  <si>
    <t>Lewis Capital Management Ltd</t>
  </si>
  <si>
    <t>A Finance Limited</t>
  </si>
  <si>
    <t>Quadrillion Wealth Management Limited</t>
  </si>
  <si>
    <t>AK Advisory Limited</t>
  </si>
  <si>
    <t>Santorini Financial Planning Limited</t>
  </si>
  <si>
    <t>Square Mile Asset Management Limited</t>
  </si>
  <si>
    <t>Firmus Financial Services Limited</t>
  </si>
  <si>
    <t>LGT Wealth Management US Limited</t>
  </si>
  <si>
    <t>Solutions Wealth Management Limited</t>
  </si>
  <si>
    <t>FIM Capital Limited</t>
  </si>
  <si>
    <t>Bob Barnett Limited</t>
  </si>
  <si>
    <t>JC Roxburgh (Financial Services) Limited</t>
  </si>
  <si>
    <t>AZW Consulting Ltd</t>
  </si>
  <si>
    <t>MerrixGrogan LLP</t>
  </si>
  <si>
    <t>Astute Financial Solutions LLP</t>
  </si>
  <si>
    <t>IQ Financial Advice Ltd</t>
  </si>
  <si>
    <t>Hoxton Wealth (UK) Ltd</t>
  </si>
  <si>
    <t>Nationwide Independent Consultants Ltd</t>
  </si>
  <si>
    <t>Phoenix Financial Services (UK) Ltd</t>
  </si>
  <si>
    <t>Montgomery Charles Financial Management Ltd</t>
  </si>
  <si>
    <t>Henri James Wealth Ltd</t>
  </si>
  <si>
    <t>Tradeslide Trading Tech Limited</t>
  </si>
  <si>
    <t>DACO Associates Limited</t>
  </si>
  <si>
    <t>Absolute Wealth Management Ltd</t>
  </si>
  <si>
    <t>Hawsons Wealth Management Limited</t>
  </si>
  <si>
    <t>Finli (FLP) Ltd</t>
  </si>
  <si>
    <t>360 Financial Management Limited</t>
  </si>
  <si>
    <t>Investwise Asset Management Ltd</t>
  </si>
  <si>
    <t>CMS Wealth Ltd</t>
  </si>
  <si>
    <t>Annandale Financial Services LLP</t>
  </si>
  <si>
    <t>Invicta Financial Services Ltd</t>
  </si>
  <si>
    <t>QED Financial Associates Ltd</t>
  </si>
  <si>
    <t>Langham Associates Limited</t>
  </si>
  <si>
    <t>Genesis Financial Planning Limited</t>
  </si>
  <si>
    <t>Inspire Financial Planning Limited</t>
  </si>
  <si>
    <t>ESJ Financial Planning LLP</t>
  </si>
  <si>
    <t>Milo Financial Limited</t>
  </si>
  <si>
    <t>JPA Financial Services Ltd</t>
  </si>
  <si>
    <t>Fresh Perspective Financial Planning Ltd</t>
  </si>
  <si>
    <t>CIB Financial Management Limited</t>
  </si>
  <si>
    <t>Calcluth and Sangster Limited</t>
  </si>
  <si>
    <t>Kingdom Investments Management Limited</t>
  </si>
  <si>
    <t>St Andrew's Square Asset Management Limited</t>
  </si>
  <si>
    <t>FSJC Ltd</t>
  </si>
  <si>
    <t>Focus Financial Planning Ltd</t>
  </si>
  <si>
    <t>PL Financial Solutions Limited</t>
  </si>
  <si>
    <t>Premier Investment Management Services Limited</t>
  </si>
  <si>
    <t>Prosper Financial Solutions Ltd</t>
  </si>
  <si>
    <t>Chancery Wall Financial Services Ltd</t>
  </si>
  <si>
    <t>Broadstone Corporate Benefits Limited</t>
  </si>
  <si>
    <t>Sutherland IFA Limited</t>
  </si>
  <si>
    <t>Sedulo Wealth Management Limited</t>
  </si>
  <si>
    <t>Ryedale Asset Management Ltd</t>
  </si>
  <si>
    <t>NDMC Associates Limited</t>
  </si>
  <si>
    <t>Lifetime Financial Solutions (Yorkshire) Limited</t>
  </si>
  <si>
    <t>Add Wealth Management Ltd</t>
  </si>
  <si>
    <t>Jacobs and Harris Limited</t>
  </si>
  <si>
    <t>AKL Financial Management Limited</t>
  </si>
  <si>
    <t>J Stern &amp; Co. LLP</t>
  </si>
  <si>
    <t>RHA Financial Management LLP</t>
  </si>
  <si>
    <t>Britannic Place Financial Management Limited</t>
  </si>
  <si>
    <t>Complete Money Care Ltd</t>
  </si>
  <si>
    <t>Financial Webb Ltd</t>
  </si>
  <si>
    <t>Sorbus Partners LLP</t>
  </si>
  <si>
    <t>Black &amp; White Financial Planning Ltd</t>
  </si>
  <si>
    <t>Barwells Independent Financial Management Limited</t>
  </si>
  <si>
    <t>Tier One Capital Wealth Management Limited</t>
  </si>
  <si>
    <t>C J Hannan Ltd</t>
  </si>
  <si>
    <t>Derivatives Value Advisors Limited</t>
  </si>
  <si>
    <t>Robson Lister Limited</t>
  </si>
  <si>
    <t>Stepping Stones Wealth Management Ltd</t>
  </si>
  <si>
    <t>Prestige Specialist Independent Financial Advice Limited</t>
  </si>
  <si>
    <t>Dune Financial Planning Limited</t>
  </si>
  <si>
    <t>Independent One-2-One Ltd</t>
  </si>
  <si>
    <t>NTM Financial Services Ltd</t>
  </si>
  <si>
    <t>Ardmore Financial Planning Limited</t>
  </si>
  <si>
    <t>Gideon Kasler and Associates LLP</t>
  </si>
  <si>
    <t>Reed Financial Planning Ltd</t>
  </si>
  <si>
    <t>Sunil Shah</t>
  </si>
  <si>
    <t>Moss And Roberts (Wealth Management) Ltd</t>
  </si>
  <si>
    <t>David Melville</t>
  </si>
  <si>
    <t>Warren Financial Planning Ltd</t>
  </si>
  <si>
    <t>Investment Partnership LLP</t>
  </si>
  <si>
    <t>William White</t>
  </si>
  <si>
    <t>S.N.R. Brunt Partnership</t>
  </si>
  <si>
    <t>Creative Benefit Wealth Management Limited</t>
  </si>
  <si>
    <t>Monetary Solutions Limited</t>
  </si>
  <si>
    <t>Affinity Financial Planning Ltd</t>
  </si>
  <si>
    <t>4ways Financial Solutions LLP</t>
  </si>
  <si>
    <t>Progressive Financial Solutions Ltd</t>
  </si>
  <si>
    <t>Fiscale Financial Services Limited</t>
  </si>
  <si>
    <t>DIS Independent Financial Planning Limited</t>
  </si>
  <si>
    <t>Kapwealth Limited</t>
  </si>
  <si>
    <t>Puma Investment Management Limited</t>
  </si>
  <si>
    <t>Michael Gillbanks</t>
  </si>
  <si>
    <t>Chrysalis Financial Planning Ltd</t>
  </si>
  <si>
    <t>Blick Rothenberg Audit LLP</t>
  </si>
  <si>
    <t>Cardens Limited</t>
  </si>
  <si>
    <t>MAPS Wealth Management Ltd</t>
  </si>
  <si>
    <t>Nouveau Wealth Management Ltd</t>
  </si>
  <si>
    <t>Bird Stewart Financial Services Limited</t>
  </si>
  <si>
    <t>One-To-One Advisers Limited</t>
  </si>
  <si>
    <t>Pension Savings Investment Annuity Mortgage LLP</t>
  </si>
  <si>
    <t>Star Financial Solutions Limited</t>
  </si>
  <si>
    <t>Seventy Two Wealth Ltd</t>
  </si>
  <si>
    <t>Hubert Child Limited</t>
  </si>
  <si>
    <t>HC WEALTH MANAGEMENT LIMITED</t>
  </si>
  <si>
    <t>Nestor Financial Group Limited</t>
  </si>
  <si>
    <t>Bamford Wealth Management Ltd</t>
  </si>
  <si>
    <t>Medical Investment and Advisory Services LLP</t>
  </si>
  <si>
    <t>Harold Stephens Ltd</t>
  </si>
  <si>
    <t>HOBART CAPITAL MARKETS LLP</t>
  </si>
  <si>
    <t>GBIM Limited</t>
  </si>
  <si>
    <t>Myers Financial Management Limited</t>
  </si>
  <si>
    <t>Seabrook Clark Ltd</t>
  </si>
  <si>
    <t>Lang Financial Scotland Limited</t>
  </si>
  <si>
    <t>Vintage Wealth Management Limited</t>
  </si>
  <si>
    <t>Flowers McEwan Limited</t>
  </si>
  <si>
    <t>Cooper Assurance Services LLP</t>
  </si>
  <si>
    <t>Protean Capital LLP</t>
  </si>
  <si>
    <t>Corhammock Ltd</t>
  </si>
  <si>
    <t>Complete Wealth Management Limited</t>
  </si>
  <si>
    <t>Otter Financial Services Limited</t>
  </si>
  <si>
    <t>Palm Financial Management Ltd</t>
  </si>
  <si>
    <t>Hartey Wealth Management Ltd</t>
  </si>
  <si>
    <t>Westbury Asset Management Ltd</t>
  </si>
  <si>
    <t>Rockwood Financial Solutions Ltd</t>
  </si>
  <si>
    <t>Ridgeway Capital LLP</t>
  </si>
  <si>
    <t>Willson Grange Limited</t>
  </si>
  <si>
    <t>Flemmings Financial Planning Limited</t>
  </si>
  <si>
    <t>Belper Independent Financial Solutions Limited</t>
  </si>
  <si>
    <t>CG Wealth Planning Limited</t>
  </si>
  <si>
    <t>Buchanan &amp; Associates Financial Planning Limited</t>
  </si>
  <si>
    <t>Sand Financial Planning Limited</t>
  </si>
  <si>
    <t>Uniq Family Wealth Ltd</t>
  </si>
  <si>
    <t>Herts Financial Services Limited</t>
  </si>
  <si>
    <t>Informed Options Financial Planning Limited</t>
  </si>
  <si>
    <t>WG Partners LLP</t>
  </si>
  <si>
    <t>Bartholomew Financial Limited</t>
  </si>
  <si>
    <t>Buxton Beresford Financial Planning Ltd</t>
  </si>
  <si>
    <t>Grange Financial Planning Ltd</t>
  </si>
  <si>
    <t>QMPF Llp</t>
  </si>
  <si>
    <t>Iceni Financial Advisers Limited</t>
  </si>
  <si>
    <t>Nexus Wealth Planning Ltd</t>
  </si>
  <si>
    <t>Ramsay Asset Management Limited</t>
  </si>
  <si>
    <t>Cornwall Finance &amp; Investment Services Ltd</t>
  </si>
  <si>
    <t>Lee Wealth Management Ltd</t>
  </si>
  <si>
    <t>Profile Financial Solutions Limited</t>
  </si>
  <si>
    <t>Tellsons Investors LLP</t>
  </si>
  <si>
    <t>Female Financial Management Limited</t>
  </si>
  <si>
    <t>Wealth Wizards Benefits Limited</t>
  </si>
  <si>
    <t>Womble Bond Dickinson Wealth Limited</t>
  </si>
  <si>
    <t>Galleon Wealth Management Limited</t>
  </si>
  <si>
    <t>College Street Insurance Advisers</t>
  </si>
  <si>
    <t>Timeline Wealth Management Ltd</t>
  </si>
  <si>
    <t>Milford James Ltd</t>
  </si>
  <si>
    <t>Fenchurch Advisory Partners LLP</t>
  </si>
  <si>
    <t>Charter Wealth Management Limited</t>
  </si>
  <si>
    <t>Portillion Capital Ltd</t>
  </si>
  <si>
    <t>Ineo (UK) Limited</t>
  </si>
  <si>
    <t>Think Smart Finance Limited</t>
  </si>
  <si>
    <t>Robinson &amp; Co Financial Services Limited</t>
  </si>
  <si>
    <t>Hampstead Wealth Management Ltd</t>
  </si>
  <si>
    <t>Evolution FS Ltd</t>
  </si>
  <si>
    <t>CS Financial Management Limited</t>
  </si>
  <si>
    <t>Lombard Odier (Europe) S.A.</t>
  </si>
  <si>
    <t>QHFS Limited</t>
  </si>
  <si>
    <t>Reyl &amp; Co (UK) LLP</t>
  </si>
  <si>
    <t>PP Wealth Limited</t>
  </si>
  <si>
    <t>GHC Wealth Management Limited</t>
  </si>
  <si>
    <t>Mark Cooke</t>
  </si>
  <si>
    <t>Kingdom Financial Services Limited</t>
  </si>
  <si>
    <t>Paul Rice Investment Planning Limited</t>
  </si>
  <si>
    <t>T.H. March Financial Planning Limited</t>
  </si>
  <si>
    <t>Jack Lawrence Insurance &amp; Financial Services</t>
  </si>
  <si>
    <t>Peter Wyper</t>
  </si>
  <si>
    <t>CFE (UK) Ltd</t>
  </si>
  <si>
    <t>Money Matters 2u UK Limited</t>
  </si>
  <si>
    <t>Integrity Wealth Solutions Limited</t>
  </si>
  <si>
    <t>Lamont Pridmore Asset and Wealth Management Limited</t>
  </si>
  <si>
    <t>Acumen Independent Financial Planning Limited</t>
  </si>
  <si>
    <t>Glennan Wealth Management Ltd</t>
  </si>
  <si>
    <t>Arcanum Asset Management Ltd</t>
  </si>
  <si>
    <t>The Langridge Partnership LLP</t>
  </si>
  <si>
    <t>Sterling North Limited</t>
  </si>
  <si>
    <t>AML Associates Financial Services Ltd</t>
  </si>
  <si>
    <t>James Robertson</t>
  </si>
  <si>
    <t>Metis Wealth Ltd</t>
  </si>
  <si>
    <t>Informed Wealth Strategies Ltd</t>
  </si>
  <si>
    <t>Simpson Kelly Associates Ltd</t>
  </si>
  <si>
    <t>Platinum Gain Ltd</t>
  </si>
  <si>
    <t>Cedar Wealth Management Limited</t>
  </si>
  <si>
    <t>Sovereign Money Matters Ltd</t>
  </si>
  <si>
    <t>JMC Financial Services Limited</t>
  </si>
  <si>
    <t>Chris Gooding (IFA) Ltd</t>
  </si>
  <si>
    <t>Richmond Wealth LLP</t>
  </si>
  <si>
    <t>McDevitt Consulting Limited</t>
  </si>
  <si>
    <t>LIFA (UK) Limited</t>
  </si>
  <si>
    <t>Terry King Financial Services Limited</t>
  </si>
  <si>
    <t>Ian Harrison Independent Financial Services Limited</t>
  </si>
  <si>
    <t>Philippa Gee Wealth Management Limited</t>
  </si>
  <si>
    <t>Meridian Wealth Management Limited</t>
  </si>
  <si>
    <t>CW Capital Management (UK) Limited</t>
  </si>
  <si>
    <t>Culverhouse Financial Planning Ltd</t>
  </si>
  <si>
    <t>JH Family Office Ltd</t>
  </si>
  <si>
    <t>PFPNI LTD</t>
  </si>
  <si>
    <t>Lindsay Lockett Financial Guidance Ltd</t>
  </si>
  <si>
    <t>City Investment and Insurance Services Ltd</t>
  </si>
  <si>
    <t>Continuum Wealth Limited</t>
  </si>
  <si>
    <t>Maidenhead Independent Limited</t>
  </si>
  <si>
    <t>Loveday &amp; Partners Limited</t>
  </si>
  <si>
    <t>Brimmond Financial Management Ltd</t>
  </si>
  <si>
    <t>Associated Legal &amp; Financial Limited</t>
  </si>
  <si>
    <t>Seven Financial UK Limited</t>
  </si>
  <si>
    <t>Key Wealth Management Limited</t>
  </si>
  <si>
    <t>Currency Solutions Limited</t>
  </si>
  <si>
    <t>Mayfield Investment Management Limited</t>
  </si>
  <si>
    <t>Applewood Independent Limited</t>
  </si>
  <si>
    <t>Comprehensive Financial Planning Limited</t>
  </si>
  <si>
    <t>CST Wealth Management Limited</t>
  </si>
  <si>
    <t>Campbell &amp; Associates Independent Financial Advice Ltd</t>
  </si>
  <si>
    <t>Oak Financial Management Limited</t>
  </si>
  <si>
    <t>RJM &amp; Associates (Hampton) Limited</t>
  </si>
  <si>
    <t>Fangdale Financial Ltd</t>
  </si>
  <si>
    <t>AFS Advocate Financial Services Limited</t>
  </si>
  <si>
    <t>Liberty Bishop Financial Services Ltd</t>
  </si>
  <si>
    <t>Sandwell Financial Services Limited</t>
  </si>
  <si>
    <t>Cheltenham Independent Financial Advisers Ltd</t>
  </si>
  <si>
    <t>London International Corporation Limited</t>
  </si>
  <si>
    <t>Debenwood Financial Planning Limited</t>
  </si>
  <si>
    <t>Unity Financial Planning Limited</t>
  </si>
  <si>
    <t>Amethyst Financial Planning Limited</t>
  </si>
  <si>
    <t>Montel Investments Limited</t>
  </si>
  <si>
    <t>The Redlake Consultancy Ltd</t>
  </si>
  <si>
    <t>3R Financial Services Ltd</t>
  </si>
  <si>
    <t>Eldercare Solutions Limited</t>
  </si>
  <si>
    <t>Primary Financial Management Limited</t>
  </si>
  <si>
    <t>Dalbeath Financial Planning Ltd</t>
  </si>
  <si>
    <t>Gateway Financial Advisers (UK) Ltd</t>
  </si>
  <si>
    <t>Green Financial Planning Limited</t>
  </si>
  <si>
    <t>Paul Murray Investments Ltd</t>
  </si>
  <si>
    <t>The Pension Review Business Limited</t>
  </si>
  <si>
    <t>Gamble Gaunt &amp; Mole LLP</t>
  </si>
  <si>
    <t>SAMGEM Associates Limited</t>
  </si>
  <si>
    <t>MKM Financial Management Ltd</t>
  </si>
  <si>
    <t>Wyatt Morris Golland (F S) Ltd.</t>
  </si>
  <si>
    <t>Cotswold Independent Financial Services Limited</t>
  </si>
  <si>
    <t>NovitasFTCL Limited</t>
  </si>
  <si>
    <t>Futura Investments Limited</t>
  </si>
  <si>
    <t>LWM LLP</t>
  </si>
  <si>
    <t>DEWM Limited</t>
  </si>
  <si>
    <t>TL Dallas Independent Financial Services Limited</t>
  </si>
  <si>
    <t>Independent Financial Advice Centre (Glasgow) Ltd</t>
  </si>
  <si>
    <t>Aqua Financial Limited</t>
  </si>
  <si>
    <t>Suited 2u Limited</t>
  </si>
  <si>
    <t>East Anglian Financial Planning Limited</t>
  </si>
  <si>
    <t>Equinox Wealth Limited</t>
  </si>
  <si>
    <t>Harrison Townend Financial Services Limited</t>
  </si>
  <si>
    <t>Alexander James Financial Planning Limited</t>
  </si>
  <si>
    <t>Fields Macdonald Wealth Management Ltd</t>
  </si>
  <si>
    <t>I.T. Associates Financial Planning Limited</t>
  </si>
  <si>
    <t>Eight Four Two Limited</t>
  </si>
  <si>
    <t>Cassons Financial Planning Limited</t>
  </si>
  <si>
    <t>Anglebury Financial Associates LLP</t>
  </si>
  <si>
    <t>Paul Jolly Financial Services Limited</t>
  </si>
  <si>
    <t>Pritchard Jones Wealth Planning Limited</t>
  </si>
  <si>
    <t>Chiltern Financial Services Limited</t>
  </si>
  <si>
    <t>Greenarch Wealth Management Limited</t>
  </si>
  <si>
    <t>JDB Life Ltd</t>
  </si>
  <si>
    <t>Regis Bentley Limited</t>
  </si>
  <si>
    <t>Copia Wealth Management Ltd</t>
  </si>
  <si>
    <t>Tristan Brodbeck Financial Planning Ltd</t>
  </si>
  <si>
    <t>Advanta Wealth Ltd</t>
  </si>
  <si>
    <t>Oculus Wealth Management Limited</t>
  </si>
  <si>
    <t>Novitas Wealth Management Ltd</t>
  </si>
  <si>
    <t>Impartial Financial Solutions Dundee LLP</t>
  </si>
  <si>
    <t>Seren Financial Advisers Ltd</t>
  </si>
  <si>
    <t>Arcaria Financial Solutions Ltd</t>
  </si>
  <si>
    <t>Acorn Financial Planning Limited</t>
  </si>
  <si>
    <t>Scotia Wealth Management Ltd</t>
  </si>
  <si>
    <t>Tyrrell &amp; Company Independent Financial Advisers LLP</t>
  </si>
  <si>
    <t>Stonehill Financial Limited</t>
  </si>
  <si>
    <t>Dandelion Financial Limited</t>
  </si>
  <si>
    <t>TPD Wealth Management Limited</t>
  </si>
  <si>
    <t>The Gray Partnership Limited</t>
  </si>
  <si>
    <t>Bede Wealth Management Limited</t>
  </si>
  <si>
    <t>Michael Stokes</t>
  </si>
  <si>
    <t>QC Financial Management Limited</t>
  </si>
  <si>
    <t>FINANCIAL AFFAIRS WEALTH SOLUTIONS LIMITED</t>
  </si>
  <si>
    <t>Ferguson Wealth Management Limited</t>
  </si>
  <si>
    <t>Ashworth Financial Planning Ltd</t>
  </si>
  <si>
    <t>Oracle Wealth Ltd</t>
  </si>
  <si>
    <t>Lampiers Financial Planning Ltd</t>
  </si>
  <si>
    <t>Wealth Management &amp; Growth Limited</t>
  </si>
  <si>
    <t>Ashley Kneale Associates Limited</t>
  </si>
  <si>
    <t>Cartwright Benefit Solutions Ltd</t>
  </si>
  <si>
    <t>Brian Wilson</t>
  </si>
  <si>
    <t>AFWM Limited</t>
  </si>
  <si>
    <t>Paul James Howard</t>
  </si>
  <si>
    <t>Dean Young</t>
  </si>
  <si>
    <t>Sparrows Capital Limited</t>
  </si>
  <si>
    <t>S&amp;S Mortgage Solutions Ltd</t>
  </si>
  <si>
    <t>Browning Financial Planning Ltd</t>
  </si>
  <si>
    <t>Shropshire Independent Financial Services Limited</t>
  </si>
  <si>
    <t>Antonine Investment Managers Limited</t>
  </si>
  <si>
    <t>AJD Financial Services Ltd</t>
  </si>
  <si>
    <t>Steven Mufti &amp; Associates Limited</t>
  </si>
  <si>
    <t>Best Advice Financial Services Ltd</t>
  </si>
  <si>
    <t>Gower House Financial Ltd</t>
  </si>
  <si>
    <t>Lee Strathy Limited</t>
  </si>
  <si>
    <t>John Davies Investment and Mortgage Services LLP</t>
  </si>
  <si>
    <t>James Irvine Financial Planning Limited</t>
  </si>
  <si>
    <t>G&amp;H Bell ( Life &amp; Pensions) Ltd</t>
  </si>
  <si>
    <t>Orchard Independent Financial Advice</t>
  </si>
  <si>
    <t>R &amp; H Partnership</t>
  </si>
  <si>
    <t>Michael Raymond</t>
  </si>
  <si>
    <t>Hayburn Rock Financial Planning Ltd</t>
  </si>
  <si>
    <t>Town Close Financial Planning Limited</t>
  </si>
  <si>
    <t>AAB Wealth Limited</t>
  </si>
  <si>
    <t>ilumiti LLP</t>
  </si>
  <si>
    <t>Fitch Financial Associates Limited</t>
  </si>
  <si>
    <t>Schaefer Financial Management Limited</t>
  </si>
  <si>
    <t>Bridge Investments Partners Limited</t>
  </si>
  <si>
    <t>Complete Financial UK Trading Limited</t>
  </si>
  <si>
    <t>KPW Investments LLP</t>
  </si>
  <si>
    <t>Ink Employee Benefits Limited</t>
  </si>
  <si>
    <t>M A C Financial Services Limited</t>
  </si>
  <si>
    <t>Craig Johnston Asset Management Limited</t>
  </si>
  <si>
    <t>Avista Financial Planning Limited</t>
  </si>
  <si>
    <t>Active Asset Management (Scotland) Limited</t>
  </si>
  <si>
    <t>Danum Financial Services Limited</t>
  </si>
  <si>
    <t>Ravenscroft Investments (UK) Limited</t>
  </si>
  <si>
    <t>Gillinghams Independent Financial Advisers Ltd</t>
  </si>
  <si>
    <t>Elkins Financial Planning Ltd</t>
  </si>
  <si>
    <t>Tayside Financial Planning Limited</t>
  </si>
  <si>
    <t>Andrew Grindley Financial Services Limited</t>
  </si>
  <si>
    <t>Kippax Financial Services Ltd</t>
  </si>
  <si>
    <t>Archytas Strategic Planning Ltd</t>
  </si>
  <si>
    <t>Thameside Financial Planning Limited</t>
  </si>
  <si>
    <t>Ingenuity Financial Services Limited</t>
  </si>
  <si>
    <t>Certus Financial Planning Limited</t>
  </si>
  <si>
    <t>Adam Jones</t>
  </si>
  <si>
    <t>KCM Wealth Management Ltd</t>
  </si>
  <si>
    <t>The Wealth Care Partnership Limited</t>
  </si>
  <si>
    <t>Paul Dodd Asset Management Limited</t>
  </si>
  <si>
    <t>Rajive Hensman</t>
  </si>
  <si>
    <t>Geoffrey Craig Limited</t>
  </si>
  <si>
    <t>KMG Investment Management Limited</t>
  </si>
  <si>
    <t>Trust KB2 Limited</t>
  </si>
  <si>
    <t>Tanager Wealth Management LLP</t>
  </si>
  <si>
    <t>Abacus Money Management Ltd</t>
  </si>
  <si>
    <t>Robert Bruce Associates Limited</t>
  </si>
  <si>
    <t>Mid &amp; West IFA Limited</t>
  </si>
  <si>
    <t>IAS Financial Planning Ltd</t>
  </si>
  <si>
    <t>Safran (South West) Limited</t>
  </si>
  <si>
    <t>Burley Fox Limited</t>
  </si>
  <si>
    <t>USA/UK Financial Concierge Ltd</t>
  </si>
  <si>
    <t>Rowe Financial and Insurance Services Ltd</t>
  </si>
  <si>
    <t>Vision Financial Strategies Ltd</t>
  </si>
  <si>
    <t>Bespoke Independent Financial Advisers Limited</t>
  </si>
  <si>
    <t>James Gregory Financial Limited</t>
  </si>
  <si>
    <t>Mike Smith IFA Limited</t>
  </si>
  <si>
    <t>Oyster Financial Planning Ltd</t>
  </si>
  <si>
    <t>Anthony Ketteringham</t>
  </si>
  <si>
    <t>Money Tree Financial Planning Limited</t>
  </si>
  <si>
    <t>Clearwater Independent Financial Planning Limited</t>
  </si>
  <si>
    <t>jch investment management limited</t>
  </si>
  <si>
    <t>JKFS (UK) Ltd</t>
  </si>
  <si>
    <t>Macdonalds Independent Financial Advisers Limited</t>
  </si>
  <si>
    <t>Ellacotts Wealth Planning Ltd</t>
  </si>
  <si>
    <t>ONE FINANCIAL ADVISER LTD</t>
  </si>
  <si>
    <t>TPFA Limited</t>
  </si>
  <si>
    <t>Shore Financial Planning (Plymouth) Limited</t>
  </si>
  <si>
    <t>Mill House Group Investments Limited</t>
  </si>
  <si>
    <t>Finanalysis Limited</t>
  </si>
  <si>
    <t>Pinewood Portfolio Management LLP</t>
  </si>
  <si>
    <t>Clifford Osborne Limited</t>
  </si>
  <si>
    <t>Foundation Investment Management Limited</t>
  </si>
  <si>
    <t>JJW Financial Planning Limited</t>
  </si>
  <si>
    <t>Provident Wealth FS Ltd</t>
  </si>
  <si>
    <t>Furnival Evans Limited</t>
  </si>
  <si>
    <t>ForeSight Independent Financial Planning Ltd</t>
  </si>
  <si>
    <t>Integra Financial Services Limited</t>
  </si>
  <si>
    <t>Watt Money Limited</t>
  </si>
  <si>
    <t>Mole Valley Asset Management Ltd</t>
  </si>
  <si>
    <t>King's Court Financial Planning LLP</t>
  </si>
  <si>
    <t>Accord Financial Planning Limited</t>
  </si>
  <si>
    <t>A J Options Ltd</t>
  </si>
  <si>
    <t>Kathryn Priestley</t>
  </si>
  <si>
    <t>ABi Fol Consulting Limited</t>
  </si>
  <si>
    <t>Lincoln Private Investment Office LLP</t>
  </si>
  <si>
    <t>Chancery Law (Southport) Limited</t>
  </si>
  <si>
    <t>Thorntons Investment Management Ltd</t>
  </si>
  <si>
    <t>ABG Corporate Finance LLP</t>
  </si>
  <si>
    <t>Stonewood Wealth Management LLP</t>
  </si>
  <si>
    <t>Sandle Nash Limited</t>
  </si>
  <si>
    <t>Professional Financial LLP</t>
  </si>
  <si>
    <t>Best Price Financial Services Limited</t>
  </si>
  <si>
    <t>Regal Independent Financial Services Ltd</t>
  </si>
  <si>
    <t>Equitas Financial (UK) Ltd</t>
  </si>
  <si>
    <t>Larcomes Financial Services Limited</t>
  </si>
  <si>
    <t>BlackStar Finance Limited</t>
  </si>
  <si>
    <t>Watermead Financial Ltd</t>
  </si>
  <si>
    <t>Esteem Money Ltd</t>
  </si>
  <si>
    <t>Cavendish Financial Advice Ltd</t>
  </si>
  <si>
    <t>LawlerDavis Independent Financial Planners Limited</t>
  </si>
  <si>
    <t>The Palmer Partnership (2014) Limited</t>
  </si>
  <si>
    <t>Meridian Financial Planning Limited</t>
  </si>
  <si>
    <t>Professional Wealth Planning Limited</t>
  </si>
  <si>
    <t>121-Advice Ltd</t>
  </si>
  <si>
    <t>Hartsfield Financial Services Limited</t>
  </si>
  <si>
    <t>Winshaw Corporate Solutions Limited</t>
  </si>
  <si>
    <t>Emery Little Wealth Management Limited</t>
  </si>
  <si>
    <t>Peter John Lucketti</t>
  </si>
  <si>
    <t>Bespoke-Advice Limited</t>
  </si>
  <si>
    <t>Strathleven Financial Services Ltd</t>
  </si>
  <si>
    <t>Sense Financial Solutions Limited</t>
  </si>
  <si>
    <t>Autus Lifetime Planning Limited</t>
  </si>
  <si>
    <t>Philip Andrew Whitehead</t>
  </si>
  <si>
    <t>Financial Strategies Limited</t>
  </si>
  <si>
    <t>Strata Financial Limited</t>
  </si>
  <si>
    <t>Heather Macqueen Limited</t>
  </si>
  <si>
    <t>Ashton Financial Services Limited</t>
  </si>
  <si>
    <t>J Kempson Associates Limited</t>
  </si>
  <si>
    <t>Independence Assured Ltd</t>
  </si>
  <si>
    <t>TM Asset Management Limited</t>
  </si>
  <si>
    <t>Latimer Financial Services Ltd</t>
  </si>
  <si>
    <t>Nigel J Barker &amp; Company Limited</t>
  </si>
  <si>
    <t>Alchemy Financial Limited</t>
  </si>
  <si>
    <t>Simple Financial Planning Ltd</t>
  </si>
  <si>
    <t>Lyncombe Consultants Limited</t>
  </si>
  <si>
    <t>K M Financial Consultants (Wessex) Ltd</t>
  </si>
  <si>
    <t>Sasha Hunt Limited</t>
  </si>
  <si>
    <t>Courtville Partners LLP</t>
  </si>
  <si>
    <t>Brunswick Investment Management Limited</t>
  </si>
  <si>
    <t>Hall Financial Planning LLP</t>
  </si>
  <si>
    <t>Chic-Kending Ltd</t>
  </si>
  <si>
    <t>Oracle Consultants Ltd</t>
  </si>
  <si>
    <t>WATTSIIS LTD</t>
  </si>
  <si>
    <t>Akur Limited</t>
  </si>
  <si>
    <t>Breed Elliott LLP</t>
  </si>
  <si>
    <t>Torphin Financial Planning Ltd</t>
  </si>
  <si>
    <t>Griffin Wealth Management Limited</t>
  </si>
  <si>
    <t>John Gaughran</t>
  </si>
  <si>
    <t>Verity Wealth Management LLP</t>
  </si>
  <si>
    <t>Fry Family Office Limited</t>
  </si>
  <si>
    <t>Financial Planning Concepts Ltd</t>
  </si>
  <si>
    <t>IronMarket Ltd</t>
  </si>
  <si>
    <t>MC Financial Wealth Management Ltd</t>
  </si>
  <si>
    <t>Ross Bell Associates Ltd</t>
  </si>
  <si>
    <t>PBR Financial Services Limited</t>
  </si>
  <si>
    <t>Michael David Sherrard</t>
  </si>
  <si>
    <t>Gresham Wealth Management (FS) Ltd</t>
  </si>
  <si>
    <t>SFIA Wealth Management Limited</t>
  </si>
  <si>
    <t>Ferguson Hill Asset Management Limited</t>
  </si>
  <si>
    <t>Lomond Financial Management Limited</t>
  </si>
  <si>
    <t>Crystal Financial Solutions Limited</t>
  </si>
  <si>
    <t>C. Alexander Financial Planning Ltd</t>
  </si>
  <si>
    <t>Crofton Financial Planning Limited</t>
  </si>
  <si>
    <t>People and Business IFA Limited</t>
  </si>
  <si>
    <t>Unbiased Financial Planning Limited</t>
  </si>
  <si>
    <t>Taylor Cobby LLP</t>
  </si>
  <si>
    <t>Mac Kotecha &amp; Company</t>
  </si>
  <si>
    <t>The Heritage Financial Planning Partnership</t>
  </si>
  <si>
    <t>Ideal Financial Solutions Ltd</t>
  </si>
  <si>
    <t>Grange Wealth Management Ltd</t>
  </si>
  <si>
    <t>Mark Cromack</t>
  </si>
  <si>
    <t>Synergy Markets Limited</t>
  </si>
  <si>
    <t>Huntington Ross Limited</t>
  </si>
  <si>
    <t>abrdn Portfolio Solutions Limited</t>
  </si>
  <si>
    <t>Define Financial Planning Limited</t>
  </si>
  <si>
    <t>Aether Energy Limited</t>
  </si>
  <si>
    <t>Wargrave &amp; Henley Financial Services Ltd</t>
  </si>
  <si>
    <t>Entire FS Ltd</t>
  </si>
  <si>
    <t>D O'Kane Financial Services Limited</t>
  </si>
  <si>
    <t>Williams Financial Planning Limited</t>
  </si>
  <si>
    <t>Darren Davidson</t>
  </si>
  <si>
    <t>Amethyst Independent Financial Advisers LLP</t>
  </si>
  <si>
    <t>80 Twenty Consultancy Limited</t>
  </si>
  <si>
    <t>BJFM Limited</t>
  </si>
  <si>
    <t>LIFT-Advice Ltd</t>
  </si>
  <si>
    <t>Coldrey &amp; Bryant Consultants Limited</t>
  </si>
  <si>
    <t>Leo Alexander Wealth &amp; Financial Management Limited</t>
  </si>
  <si>
    <t>Consulo Financial Planning Limited</t>
  </si>
  <si>
    <t>Waverley Court Consulting Ltd</t>
  </si>
  <si>
    <t>Macaulay Edwards Independent Financial Consultants Limited</t>
  </si>
  <si>
    <t>LTI Wealth Management Ltd</t>
  </si>
  <si>
    <t>Activus Wealth Limited</t>
  </si>
  <si>
    <t>Argentis Financial Planning Ltd</t>
  </si>
  <si>
    <t>Aegis Financial Planning Limited</t>
  </si>
  <si>
    <t>PLFM Limited</t>
  </si>
  <si>
    <t>Edward Paul Financial Planning Ltd</t>
  </si>
  <si>
    <t>Castlebay Investment Partners LLP</t>
  </si>
  <si>
    <t>Sirrus Financial Planning Ltd</t>
  </si>
  <si>
    <t>Echo Financial Planning LLP</t>
  </si>
  <si>
    <t>WPS ADVISORY Ltd</t>
  </si>
  <si>
    <t>Concept Financial Solutions Limited</t>
  </si>
  <si>
    <t>Cherwell Financial Services Limited</t>
  </si>
  <si>
    <t>PBS Financial Solutions Ltd</t>
  </si>
  <si>
    <t>LUXE CAPITAL FINANCIAL SERVICES LIMITED</t>
  </si>
  <si>
    <t>Kusal Ariyawansa</t>
  </si>
  <si>
    <t>Radcliffe Cooper Limited</t>
  </si>
  <si>
    <t>John Paul Fahy</t>
  </si>
  <si>
    <t>Molyneux Associates Ltd</t>
  </si>
  <si>
    <t>Complete Advice Services Limited</t>
  </si>
  <si>
    <t>Martin Ratcliffe</t>
  </si>
  <si>
    <t>Pembroke Financial Services (Staplefield) Limited</t>
  </si>
  <si>
    <t>Mr Alan Stephen McMahon</t>
  </si>
  <si>
    <t>Greenhill Wealth Management Limited</t>
  </si>
  <si>
    <t>First Call Financial Advice Limited</t>
  </si>
  <si>
    <t>Principle Wealth Management Ltd</t>
  </si>
  <si>
    <t>Furnley House Limited</t>
  </si>
  <si>
    <t>Advised Financial Limited</t>
  </si>
  <si>
    <t>Catherine Adams Financial Planning Limited</t>
  </si>
  <si>
    <t>IAM Financial Services Ltd</t>
  </si>
  <si>
    <t>Alban Wealth LLP</t>
  </si>
  <si>
    <t>HRS Asset Management Ltd</t>
  </si>
  <si>
    <t>Simon Neal</t>
  </si>
  <si>
    <t>J S Jones IFA Limited</t>
  </si>
  <si>
    <t>Derbyshire Independent Financial Advisers LLP</t>
  </si>
  <si>
    <t>Nick Hanson Associates Limited</t>
  </si>
  <si>
    <t>Heritage Independent Financial Consultancy Ltd</t>
  </si>
  <si>
    <t>Right Advice Limited</t>
  </si>
  <si>
    <t>Catterall Keating Financial Planning Limited</t>
  </si>
  <si>
    <t>Foxgrove Associates Ltd</t>
  </si>
  <si>
    <t>PLAN SMART FINANCIAL PLANNING LIMITED.</t>
  </si>
  <si>
    <t>Blithe House Financial Management Ltd</t>
  </si>
  <si>
    <t>Wallace Financial Services</t>
  </si>
  <si>
    <t>JM Independent Financial Advisers Ltd</t>
  </si>
  <si>
    <t>Michael Denman</t>
  </si>
  <si>
    <t>Pilling Financial Ltd</t>
  </si>
  <si>
    <t>Whitewell Financial Planning Limited</t>
  </si>
  <si>
    <t>Medical + Dental Financial Planning Services Ltd.</t>
  </si>
  <si>
    <t>Teesside Financial Management Ltd</t>
  </si>
  <si>
    <t>Castlebank Financial Planning Limited</t>
  </si>
  <si>
    <t>Bradley Financial Services Limited</t>
  </si>
  <si>
    <t>Eason Rose Limited</t>
  </si>
  <si>
    <t>Cambridge Independent Financial Planning</t>
  </si>
  <si>
    <t>Harbour Financial LLP</t>
  </si>
  <si>
    <t>Penney, Ruddy &amp; Winter Ltd</t>
  </si>
  <si>
    <t>Nugenis Financial Planning Limited</t>
  </si>
  <si>
    <t>November Financial Services Limited</t>
  </si>
  <si>
    <t>Cradle Overseas Pensions Ltd</t>
  </si>
  <si>
    <t>Bowmore Asset Management Limited</t>
  </si>
  <si>
    <t>North Star Financial Consultants Ltd</t>
  </si>
  <si>
    <t>Blueberry Wealth Limited</t>
  </si>
  <si>
    <t>Carlile Financial Services Ltd</t>
  </si>
  <si>
    <t>Logic Financial Services Ltd</t>
  </si>
  <si>
    <t>HWWA Consulting Limited</t>
  </si>
  <si>
    <t>Seven Stars Asset Management Limited</t>
  </si>
  <si>
    <t>George Travis Ltd</t>
  </si>
  <si>
    <t>Whitman Fry Wealth Management Limited</t>
  </si>
  <si>
    <t>Black Financial Services Limited</t>
  </si>
  <si>
    <t>West Park Investment Partnership Limited</t>
  </si>
  <si>
    <t>Athena Wealth Planning Limited</t>
  </si>
  <si>
    <t>Andrew Haxton &amp; Co Ltd</t>
  </si>
  <si>
    <t>Face To Face Financial Solutions Limited</t>
  </si>
  <si>
    <t>Habib Bank Zurich Plc</t>
  </si>
  <si>
    <t>Frank Investments Limited</t>
  </si>
  <si>
    <t>Sterling Asset Management Limited</t>
  </si>
  <si>
    <t>The Pentagon Partnership</t>
  </si>
  <si>
    <t>JT Financial Management Limited</t>
  </si>
  <si>
    <t>Mackenzie Taylor Asset Management Limited</t>
  </si>
  <si>
    <t>Financial Goal Attainment Limited</t>
  </si>
  <si>
    <t>Ecclesall Wealth Management Ltd</t>
  </si>
  <si>
    <t>Rainford Financial Services Ltd</t>
  </si>
  <si>
    <t>C&amp;M (Life &amp; Pensions) Ltd</t>
  </si>
  <si>
    <t>PF Financial Ltd</t>
  </si>
  <si>
    <t>Trent River Capital Limited</t>
  </si>
  <si>
    <t>Andrew Dawborn</t>
  </si>
  <si>
    <t>Alan Donald &amp; Company Limited</t>
  </si>
  <si>
    <t>Sequoia Circle LLP</t>
  </si>
  <si>
    <t>Lloyds Independent Financial Services</t>
  </si>
  <si>
    <t>Maxima Financial Management Ltd</t>
  </si>
  <si>
    <t>Minerva Wealthcare Consultancy Limited</t>
  </si>
  <si>
    <t>Bunker Riley Ltd</t>
  </si>
  <si>
    <t>Woodwards Financial Planning Limited</t>
  </si>
  <si>
    <t>Vita Wealth Management Ltd</t>
  </si>
  <si>
    <t>Mayne Solutions Limited</t>
  </si>
  <si>
    <t>Sentry Financial Ltd</t>
  </si>
  <si>
    <t>Austyn Smith Associates Limited</t>
  </si>
  <si>
    <t>Tailored Retirement &amp; Investment Planning Limited</t>
  </si>
  <si>
    <t>Professional Money Management Ltd</t>
  </si>
  <si>
    <t>Platboom Ltd</t>
  </si>
  <si>
    <t>Roger Hindle Financial Services Limited</t>
  </si>
  <si>
    <t>Clarity Wealth Management Solutions Ltd</t>
  </si>
  <si>
    <t>Horizon Wealth Management Limited</t>
  </si>
  <si>
    <t>Verum Wealth Ltd</t>
  </si>
  <si>
    <t>Maymont Wealth Limited</t>
  </si>
  <si>
    <t>St. Mary's Private Wealth Limited</t>
  </si>
  <si>
    <t>The Manor Partners Limited</t>
  </si>
  <si>
    <t>Crawford Financial Consulting Limited</t>
  </si>
  <si>
    <t>Nancherro Limited</t>
  </si>
  <si>
    <t>Patricia Anne Wray</t>
  </si>
  <si>
    <t>Heritage Financial Services (IW) Limited</t>
  </si>
  <si>
    <t>Mark Dean Wealth Management (UK) Limited</t>
  </si>
  <si>
    <t>Green Sky Wealth Limited</t>
  </si>
  <si>
    <t>MC Wealth Management (UK) Limited</t>
  </si>
  <si>
    <t>Academy Associates Wealth Management Ltd</t>
  </si>
  <si>
    <t>JM Financial Planning Ltd</t>
  </si>
  <si>
    <t>Harvest Associates Ltd</t>
  </si>
  <si>
    <t>Duke Godley Financial Planning Limited</t>
  </si>
  <si>
    <t>Gavin Carr Financial Services Limited</t>
  </si>
  <si>
    <t>Alexander Douglas Limited</t>
  </si>
  <si>
    <t>Quays Wealth Services Limited</t>
  </si>
  <si>
    <t>Wealthcare Management Limited</t>
  </si>
  <si>
    <t>Fortuna Financial Planning Limited</t>
  </si>
  <si>
    <t>Aptus Wealth Limited</t>
  </si>
  <si>
    <t>RMI Finance Ltd</t>
  </si>
  <si>
    <t>Michael Forward Financial Services Ltd</t>
  </si>
  <si>
    <t>Devereaux Montague LLP</t>
  </si>
  <si>
    <t>Chris Lunt IFA Limited</t>
  </si>
  <si>
    <t>HFL Advisory Services Ltd</t>
  </si>
  <si>
    <t>Allen Tomas &amp; Co Financial Management Ltd</t>
  </si>
  <si>
    <t>John Phillips Financial Planning LLP</t>
  </si>
  <si>
    <t>Blackstone Financial Management Limited</t>
  </si>
  <si>
    <t>Ian King Financial Planning Ltd</t>
  </si>
  <si>
    <t>Harron Financial Limited</t>
  </si>
  <si>
    <t>Prism EBC Limited</t>
  </si>
  <si>
    <t>Candid Financial Advice Limited</t>
  </si>
  <si>
    <t>Achieve Wealth Management (Wiltshire) Ltd</t>
  </si>
  <si>
    <t>Studio 61 Wealth Management Limited</t>
  </si>
  <si>
    <t>Focused Financial Limited</t>
  </si>
  <si>
    <t>King &amp; Co Financial Services Limited</t>
  </si>
  <si>
    <t>Phil Anderson Financial Services Ltd</t>
  </si>
  <si>
    <t>J.R. Edwards Financial Limited</t>
  </si>
  <si>
    <t>Strass Capital Limited</t>
  </si>
  <si>
    <t>S Johnson Wealth Management LLP</t>
  </si>
  <si>
    <t>Robert John McFarlane</t>
  </si>
  <si>
    <t>RiverPeak Wealth Limited</t>
  </si>
  <si>
    <t>Mike Oliver Associates</t>
  </si>
  <si>
    <t>Lee Financial Planning Limited</t>
  </si>
  <si>
    <t>Brett Andrews</t>
  </si>
  <si>
    <t>Patricia Mary Richmond</t>
  </si>
  <si>
    <t>Hemisphere Financial Limited</t>
  </si>
  <si>
    <t>AB Vision Financial Ltd</t>
  </si>
  <si>
    <t>Sherwin Financial Services Ltd</t>
  </si>
  <si>
    <t>Accredo Financial Services Limited</t>
  </si>
  <si>
    <t>KFP Investment Solutions Limited</t>
  </si>
  <si>
    <t>Capital Wealth Partners Limited</t>
  </si>
  <si>
    <t>Quro Financial Solutions Ltd</t>
  </si>
  <si>
    <t>Glenrose Investment Ltd</t>
  </si>
  <si>
    <t>A1 Financial Solutions Ltd</t>
  </si>
  <si>
    <t>Haywood &amp; Co Financial Planning Limited</t>
  </si>
  <si>
    <t>Ambrose Fisher Ltd</t>
  </si>
  <si>
    <t>Miller Associates Limited</t>
  </si>
  <si>
    <t>G10 Capital Limited</t>
  </si>
  <si>
    <t>TFG (Eastern) Limited</t>
  </si>
  <si>
    <t>Abbey Lane Financial Associates Limited</t>
  </si>
  <si>
    <t>Financial Private Clients Limited</t>
  </si>
  <si>
    <t>AutonomyFP Limited</t>
  </si>
  <si>
    <t>JWC Financial Solutions Ltd</t>
  </si>
  <si>
    <t>Archers Financial Services Limited</t>
  </si>
  <si>
    <t>Niche Capital Limited</t>
  </si>
  <si>
    <t>HP Financial Services Limited</t>
  </si>
  <si>
    <t>Crowdcube Capital Limited</t>
  </si>
  <si>
    <t>Parlett Financial Limited</t>
  </si>
  <si>
    <t>Gordon MacLeod</t>
  </si>
  <si>
    <t>Hamilton Rose Wealth Management Limited</t>
  </si>
  <si>
    <t>Private Office Asset Management Limited</t>
  </si>
  <si>
    <t>SJ Financial Advice Ltd</t>
  </si>
  <si>
    <t>Terry Lindsay &amp; Co Ltd</t>
  </si>
  <si>
    <t>Holroyd &amp; Co Wealth Management Limited</t>
  </si>
  <si>
    <t>Woodcote Financial Ltd</t>
  </si>
  <si>
    <t>Pilling &amp; Co Stockbrokers Ltd</t>
  </si>
  <si>
    <t>BBi Financial Planning Ltd</t>
  </si>
  <si>
    <t>Glasgow Wealth Limited</t>
  </si>
  <si>
    <t>EP Wealth Management Limited</t>
  </si>
  <si>
    <t>Asset Risk Consultants (UK) Limited</t>
  </si>
  <si>
    <t>Independent Financial Advice Bureau (Watford) LLP</t>
  </si>
  <si>
    <t>Momentum Investing Ltd</t>
  </si>
  <si>
    <t>Alpha Independent Financial Solutions Limited</t>
  </si>
  <si>
    <t>Killimore Financial Management Limited</t>
  </si>
  <si>
    <t>Sterling Wealth Ltd</t>
  </si>
  <si>
    <t>Patronus Partners Limited</t>
  </si>
  <si>
    <t>Financial Advice Made Easy Limited</t>
  </si>
  <si>
    <t>Birkett Long IFA LLP</t>
  </si>
  <si>
    <t>Hood Financial Planning Limited</t>
  </si>
  <si>
    <t>South Herts Financial Services Limited</t>
  </si>
  <si>
    <t>Granville James (Financial Planning) Ltd</t>
  </si>
  <si>
    <t>Constellation Financial Solutions Limited</t>
  </si>
  <si>
    <t>Elmham Financial Limited</t>
  </si>
  <si>
    <t>Vobis Limited</t>
  </si>
  <si>
    <t>ELG Asset Management Limited</t>
  </si>
  <si>
    <t>121 FS Ltd</t>
  </si>
  <si>
    <t>Bennett Allen Financial Planning Ltd</t>
  </si>
  <si>
    <t>Walter &amp; Partners Ltd</t>
  </si>
  <si>
    <t>Redwood Employee Benefit Services Ltd</t>
  </si>
  <si>
    <t>Later Life Asset Management Limited</t>
  </si>
  <si>
    <t>IC Financial Planning Limited</t>
  </si>
  <si>
    <t>Andrew Elsden</t>
  </si>
  <si>
    <t>Wardour Partners Asset Management LLP</t>
  </si>
  <si>
    <t>Elementary Financial Planning Ltd</t>
  </si>
  <si>
    <t>Jones Financial (Norwich) Limited</t>
  </si>
  <si>
    <t>CALFA Ltd</t>
  </si>
  <si>
    <t>Medical and General Independent Financial Advisers Ltd</t>
  </si>
  <si>
    <t>OAKWOOD FINANCIAL SERVICES LTD</t>
  </si>
  <si>
    <t>Odd Asset Management Ltd</t>
  </si>
  <si>
    <t>Argyll Financial Services Limited</t>
  </si>
  <si>
    <t>Brierie Financial Planning Ltd</t>
  </si>
  <si>
    <t>Meadons Financial Management Ltd</t>
  </si>
  <si>
    <t>Integrity Asset Management Limited</t>
  </si>
  <si>
    <t>Midlands Investment Agency Limited</t>
  </si>
  <si>
    <t>Nicholls Stevens (Financial Services) Limited</t>
  </si>
  <si>
    <t>John Charcol Limited</t>
  </si>
  <si>
    <t>WREN STERLING FINANCIAL PLANNING LIMITED</t>
  </si>
  <si>
    <t>Rhoss Dancey</t>
  </si>
  <si>
    <t>Elysium Wealth Ltd</t>
  </si>
  <si>
    <t>Littlewell Financial Management Limited</t>
  </si>
  <si>
    <t>Reynolds Wealth Management Ltd</t>
  </si>
  <si>
    <t>ParnabyEvans Financial Advisers Ltd</t>
  </si>
  <si>
    <t>IMS Wealth Ltd</t>
  </si>
  <si>
    <t>P &amp; P Invest Ltd</t>
  </si>
  <si>
    <t>Aspirations Financial Advice Ltd</t>
  </si>
  <si>
    <t>PK Wealth Limited</t>
  </si>
  <si>
    <t>Gibbons Associates Ltd</t>
  </si>
  <si>
    <t>John Rolfe Financial Services Limited</t>
  </si>
  <si>
    <t>The Pension Planner Ltd</t>
  </si>
  <si>
    <t>Intelligent Financial Advisory Ltd</t>
  </si>
  <si>
    <t>RSB Financial Ltd</t>
  </si>
  <si>
    <t>Goldstone Wealth Management Ltd</t>
  </si>
  <si>
    <t>Ark Investment Management Ltd</t>
  </si>
  <si>
    <t>TIML Ltd</t>
  </si>
  <si>
    <t>Churchill Wealth Management Ltd</t>
  </si>
  <si>
    <t>Vintage Corporate Limited</t>
  </si>
  <si>
    <t>Age Partnership Wealth Management Limited</t>
  </si>
  <si>
    <t>Long-Term Capital Partners Limited</t>
  </si>
  <si>
    <t>Integrity Financial Planning Limited</t>
  </si>
  <si>
    <t>Kennet Financial Services LLP</t>
  </si>
  <si>
    <t>Imperious Capital Partners Ltd</t>
  </si>
  <si>
    <t>Robert Angell Financial Services Limited</t>
  </si>
  <si>
    <t>Lumon Risk Management Ltd</t>
  </si>
  <si>
    <t>Advantage Wealth Management Ltd</t>
  </si>
  <si>
    <t>Hardcastle Burton Financial Limited</t>
  </si>
  <si>
    <t>JLW Financial Solutions Ltd</t>
  </si>
  <si>
    <t>Plain Speaking Financial Planning Ltd</t>
  </si>
  <si>
    <t>James Sheldon Hall</t>
  </si>
  <si>
    <t>Carron Financial Services Limited</t>
  </si>
  <si>
    <t>Advice 4U Financial Planning Ltd</t>
  </si>
  <si>
    <t>ABC Financial Planning Limited</t>
  </si>
  <si>
    <t>Rutland Independent Wealth Management LLP</t>
  </si>
  <si>
    <t>Asquire Wealth Management Ltd</t>
  </si>
  <si>
    <t>Flying Colours Advice Limited</t>
  </si>
  <si>
    <t>Spicer and Yarwood Limited</t>
  </si>
  <si>
    <t>Harvey Wickham</t>
  </si>
  <si>
    <t>Platinum Financial Planning &amp; IFA Limited</t>
  </si>
  <si>
    <t>LBFA Limited</t>
  </si>
  <si>
    <t>Wilcox Financial Planning Limited</t>
  </si>
  <si>
    <t>One and All Financial Services Ltd</t>
  </si>
  <si>
    <t>Fisher Brown Financial Services Ltd</t>
  </si>
  <si>
    <t>James Brewster Financial Services Limited</t>
  </si>
  <si>
    <t>B Murray Accountants and Financial Planning Consultants Limited</t>
  </si>
  <si>
    <t>T &amp; M Financial Planning Limited</t>
  </si>
  <si>
    <t>Seven Bridges IM Ltd</t>
  </si>
  <si>
    <t>Carlson Wealth Management Ltd</t>
  </si>
  <si>
    <t>F J Nixon &amp; Co Limited</t>
  </si>
  <si>
    <t>OPENMONEY ADVISER SERVICES LTD</t>
  </si>
  <si>
    <t>Oakwood Financial Services 2015 Ltd</t>
  </si>
  <si>
    <t>Warwick Wealth Management Ltd</t>
  </si>
  <si>
    <t>Artorius Wealth Management Limited</t>
  </si>
  <si>
    <t>Beechwood Financial Services Limited</t>
  </si>
  <si>
    <t>Edward Wilson Financial Ltd</t>
  </si>
  <si>
    <t>Westcotts Financial Management Limited</t>
  </si>
  <si>
    <t>Intelligence Wealth Management Ltd</t>
  </si>
  <si>
    <t>William Glass &amp; Company Ltd</t>
  </si>
  <si>
    <t>Bryant O'Neill Wealth Management Limited</t>
  </si>
  <si>
    <t>Chris Binns Wealth Management Limited</t>
  </si>
  <si>
    <t>Wychwood Financial Services Limited</t>
  </si>
  <si>
    <t>Martin Radford</t>
  </si>
  <si>
    <t>Mat White Financial Services Limited</t>
  </si>
  <si>
    <t>Ambler Blackburn Financial Planning Ltd</t>
  </si>
  <si>
    <t>RFC Financial Services Ltd</t>
  </si>
  <si>
    <t>Adrian Smith Wealth Management Limited</t>
  </si>
  <si>
    <t>North East Financial Planning Ltd</t>
  </si>
  <si>
    <t>Jeremy Kaye Portfolio Management Limited</t>
  </si>
  <si>
    <t>Novus Wealth Management Limited</t>
  </si>
  <si>
    <t>Clear Wealth Management Ltd</t>
  </si>
  <si>
    <t>Barry Johnson Financial Services Limited</t>
  </si>
  <si>
    <t>Wealthline Ltd</t>
  </si>
  <si>
    <t>Libertas Wealth Management Ltd</t>
  </si>
  <si>
    <t>Alex James Independent Financial Advisers Limited</t>
  </si>
  <si>
    <t>Portland Square Independent Financial Advice Ltd</t>
  </si>
  <si>
    <t>Platinum Advice Limited</t>
  </si>
  <si>
    <t>Symvan Capital Limited</t>
  </si>
  <si>
    <t>Generation Wealth Ltd</t>
  </si>
  <si>
    <t>Davison Smith Financial Management Limited</t>
  </si>
  <si>
    <t>Athena Financial Planning Limited</t>
  </si>
  <si>
    <t>Morris Shapland Financial Services Limited</t>
  </si>
  <si>
    <t>Future Directions Financial Services Limited</t>
  </si>
  <si>
    <t>C Heslop Financial Services Ltd</t>
  </si>
  <si>
    <t>KHEPRI ADVISERS LIMITED</t>
  </si>
  <si>
    <t>Parker Kelly Financial Services Ltd</t>
  </si>
  <si>
    <t>IIB Financial Services Ltd</t>
  </si>
  <si>
    <t>Bastion Financial Planning Limited</t>
  </si>
  <si>
    <t>Perspective (Midlands &amp; Cheshire) Limited</t>
  </si>
  <si>
    <t>Mather &amp; Murray Financial Ltd</t>
  </si>
  <si>
    <t>Plan4Life Limited</t>
  </si>
  <si>
    <t>Welby Associates Wealth Management Ltd</t>
  </si>
  <si>
    <t>DRR Financial Consultants Limited</t>
  </si>
  <si>
    <t>David Gunter</t>
  </si>
  <si>
    <t>DSN Financial Ltd</t>
  </si>
  <si>
    <t>Hankley Financial Planning Ltd</t>
  </si>
  <si>
    <t>RFG Financial Management  Limited</t>
  </si>
  <si>
    <t>Invictus IFA Limited</t>
  </si>
  <si>
    <t>Wealth &amp; Prosperity Ltd</t>
  </si>
  <si>
    <t>Digney Grant Financial Planning Ltd</t>
  </si>
  <si>
    <t>IS Independent Financial Advisers Ltd</t>
  </si>
  <si>
    <t>Callidus Wealth Management Ltd</t>
  </si>
  <si>
    <t>D&amp;J McGuinness Personal Finance Ltd</t>
  </si>
  <si>
    <t>Gateway Investment Services Limited</t>
  </si>
  <si>
    <t>Future Planning Wealth Management Ltd</t>
  </si>
  <si>
    <t>Watt Financial Planning</t>
  </si>
  <si>
    <t>x2 Wealth Management Ltd</t>
  </si>
  <si>
    <t>Douglas Steers &amp; Company Ltd</t>
  </si>
  <si>
    <t>Southam Financial Planning Ltd</t>
  </si>
  <si>
    <t>Beechwood Financial Management Ltd</t>
  </si>
  <si>
    <t>Argentous Private Clients Limited</t>
  </si>
  <si>
    <t>HL Financial Services Limited</t>
  </si>
  <si>
    <t>Queens Gate Capital Advisors Limited</t>
  </si>
  <si>
    <t>F3 Wealth Management Limited</t>
  </si>
  <si>
    <t>Stuart Lacey and Associates Limited</t>
  </si>
  <si>
    <t>Panoramic Wealth Management Ltd</t>
  </si>
  <si>
    <t>West Midlands Wealth Management Ltd</t>
  </si>
  <si>
    <t>Companion Financial Planning LLP</t>
  </si>
  <si>
    <t>Providus Financial Ltd</t>
  </si>
  <si>
    <t>Paul Andrew Tune</t>
  </si>
  <si>
    <t>Ribble Wealth Management Limited</t>
  </si>
  <si>
    <t>MCM Financial Limited</t>
  </si>
  <si>
    <t>A Bianchi Financial Solutions Limited</t>
  </si>
  <si>
    <t>A.C.T. Financial Services Ltd</t>
  </si>
  <si>
    <t>Integrity Wealth Planning Ltd</t>
  </si>
  <si>
    <t>Bell Simpson Ltd</t>
  </si>
  <si>
    <t>AMAS Investments Limited</t>
  </si>
  <si>
    <t>Gavin Absolom Independent Financial Adviser Limited</t>
  </si>
  <si>
    <t>Brett Jones</t>
  </si>
  <si>
    <t>Clear Capital Markets Ltd</t>
  </si>
  <si>
    <t>Southbank Investment Research Limited</t>
  </si>
  <si>
    <t>Cloisters Financial Management Limited</t>
  </si>
  <si>
    <t>Pennywise Advisory Services Limited</t>
  </si>
  <si>
    <t>DHW Financial Services Ltd</t>
  </si>
  <si>
    <t>Lubbock Fine Wealth Management LLP</t>
  </si>
  <si>
    <t>Kelvin Smith Financial Planning Ltd</t>
  </si>
  <si>
    <t>EB ASSOCIATES GROUP LIMITED</t>
  </si>
  <si>
    <t>Aidan Dow Wealth Management Limited</t>
  </si>
  <si>
    <t>Lowry Shuker Financial Planning Limited</t>
  </si>
  <si>
    <t>Pauline McCalmont</t>
  </si>
  <si>
    <t>Craig Dunne</t>
  </si>
  <si>
    <t>Your Finance Matters Limited</t>
  </si>
  <si>
    <t>Newstead Clark Financial Services Ltd</t>
  </si>
  <si>
    <t>JDW Wealth Management Ltd</t>
  </si>
  <si>
    <t>Prudent Financial Planning Services Ltd</t>
  </si>
  <si>
    <t>Audere Solutions Ltd</t>
  </si>
  <si>
    <t>SQ Wealth Limited</t>
  </si>
  <si>
    <t>David Jeffreys Financial Services Ltd</t>
  </si>
  <si>
    <t>Blinkhorn Financial Limited</t>
  </si>
  <si>
    <t>Brian McGoldrick Ltd</t>
  </si>
  <si>
    <t>Resolute Financial Advisers LLP</t>
  </si>
  <si>
    <t>London Bridge Capital Limited</t>
  </si>
  <si>
    <t>J &amp; P Financial Services Limited</t>
  </si>
  <si>
    <t>Family Finance Centre Group Ltd</t>
  </si>
  <si>
    <t>Curo Holdings LLP</t>
  </si>
  <si>
    <t>Clear Financial Solutions (Midlands) Ltd</t>
  </si>
  <si>
    <t>Illiquidx Limited</t>
  </si>
  <si>
    <t>Cranwell James Financial Planning limited</t>
  </si>
  <si>
    <t>Complete Wealth Solutions Ltd</t>
  </si>
  <si>
    <t>OneLife Wealth Advice Limited</t>
  </si>
  <si>
    <t>Merchant Financial Services (UK) Ltd</t>
  </si>
  <si>
    <t>ISF Solutions Ltd</t>
  </si>
  <si>
    <t>JMF Advisory Ltd</t>
  </si>
  <si>
    <t>The Pension Drawdown Company Limited</t>
  </si>
  <si>
    <t>Plan-It Financial Solutions Ltd</t>
  </si>
  <si>
    <t>GilesSmith Wealth Management LLP</t>
  </si>
  <si>
    <t>AJP Financial Planning Services Limited</t>
  </si>
  <si>
    <t>Quinn &amp; Company (Financial Services) Limited</t>
  </si>
  <si>
    <t>Diligent Wealth Planning Limited</t>
  </si>
  <si>
    <t>Sarus Select Capital Ltd</t>
  </si>
  <si>
    <t>Zenith Asset Management Ltd</t>
  </si>
  <si>
    <t>KLO Financial Services Ltd</t>
  </si>
  <si>
    <t>Parklands Financial Advisers Ltd</t>
  </si>
  <si>
    <t>Vermeer Investment Management Ltd</t>
  </si>
  <si>
    <t>TPC Financial Management Ltd</t>
  </si>
  <si>
    <t>Hodsons Financial Services Limited</t>
  </si>
  <si>
    <t>Douglas White Limited</t>
  </si>
  <si>
    <t>M &amp; H Financial Planning Ltd</t>
  </si>
  <si>
    <t>Platinum (SRI) Financial Services Ltd</t>
  </si>
  <si>
    <t>Bright Future Financial Planning Limited</t>
  </si>
  <si>
    <t>North Riding Financial Services Ltd</t>
  </si>
  <si>
    <t>DJC Financial Services</t>
  </si>
  <si>
    <t>Hayden Kilkelly Independent Financial Advisors Limited</t>
  </si>
  <si>
    <t>Hybrid Advice Central Limited</t>
  </si>
  <si>
    <t>Alpha Independent Financial Planning Ltd</t>
  </si>
  <si>
    <t>Berg-Davies Associates Ltd</t>
  </si>
  <si>
    <t>Hopton Advisers LLP</t>
  </si>
  <si>
    <t>GB &amp; Partners Ltd</t>
  </si>
  <si>
    <t>Michael John Rice</t>
  </si>
  <si>
    <t>Bygo Limited</t>
  </si>
  <si>
    <t>Masterman Financial Services LTD</t>
  </si>
  <si>
    <t>Elite Financial Planning Limited</t>
  </si>
  <si>
    <t>Paragon Financial Partners LLP</t>
  </si>
  <si>
    <t>Simply IFA Limited</t>
  </si>
  <si>
    <t>Buzz Financial Ltd</t>
  </si>
  <si>
    <t>Desire Wealth Management Limited</t>
  </si>
  <si>
    <t>Andrew Sherlock</t>
  </si>
  <si>
    <t>Alex De Silva &amp; Co Limited</t>
  </si>
  <si>
    <t>Clickery Financial Ltd</t>
  </si>
  <si>
    <t>Hazel Consultancy Ltd</t>
  </si>
  <si>
    <t>Adam Starr</t>
  </si>
  <si>
    <t>Michael James</t>
  </si>
  <si>
    <t>Langham Financial Management Ltd</t>
  </si>
  <si>
    <t>Adair Financial Management Ltd</t>
  </si>
  <si>
    <t>IFS Wealth &amp; Pensions Ltd</t>
  </si>
  <si>
    <t>IF Wealth Limited</t>
  </si>
  <si>
    <t>Erdley Hand T/A Wright Hand Associates</t>
  </si>
  <si>
    <t>Stephen Andrew Riseley</t>
  </si>
  <si>
    <t>FPG Financial Services LLP</t>
  </si>
  <si>
    <t>Pension Income Planning Limited</t>
  </si>
  <si>
    <t>DMH Private Wealth Limited</t>
  </si>
  <si>
    <t>North Capital Management Limited</t>
  </si>
  <si>
    <t>JN &amp; E Capstick Financial Services Ltd</t>
  </si>
  <si>
    <t>Verity Pensions Ltd</t>
  </si>
  <si>
    <t>A1 Mortgages Ltd</t>
  </si>
  <si>
    <t>BLUESPHERE LTD</t>
  </si>
  <si>
    <t>Harmony Wealth Management Limited</t>
  </si>
  <si>
    <t>Robin Edward Hill</t>
  </si>
  <si>
    <t>Thornbridge Investment Management LLP</t>
  </si>
  <si>
    <t>John Milne</t>
  </si>
  <si>
    <t>Monmouth Capital Limited</t>
  </si>
  <si>
    <t>Pure Wealth Limited</t>
  </si>
  <si>
    <t>David John Hill</t>
  </si>
  <si>
    <t>Marquee Wealth Management Ltd</t>
  </si>
  <si>
    <t>Van der Meulen Associates Limited</t>
  </si>
  <si>
    <t>P N M Financial Management Limited</t>
  </si>
  <si>
    <t>Above Wealth Management  LLP</t>
  </si>
  <si>
    <t>Rose and North Limited</t>
  </si>
  <si>
    <t>3 Sixty Financial Limited</t>
  </si>
  <si>
    <t>CPD Financial Advisors Ltd</t>
  </si>
  <si>
    <t>Reed Independent Ltd</t>
  </si>
  <si>
    <t>Frederick Walters</t>
  </si>
  <si>
    <t>L-Life Limited</t>
  </si>
  <si>
    <t>Cox Financial Limited</t>
  </si>
  <si>
    <t>Kingstons Wealth Management Limited</t>
  </si>
  <si>
    <t>Outhwaite &amp; Chavda Limited</t>
  </si>
  <si>
    <t>Green Rose Financial Services Limited</t>
  </si>
  <si>
    <t>Chapter Wealth Management Ltd</t>
  </si>
  <si>
    <t>Smith Associates Financial Services Limited</t>
  </si>
  <si>
    <t>Burgess Williams Financial Services Limited</t>
  </si>
  <si>
    <t>Karen Richardson Financial Services Limited</t>
  </si>
  <si>
    <t>Andrew Baggott</t>
  </si>
  <si>
    <t>Whateley Wealth Management Limited</t>
  </si>
  <si>
    <t>Stepping Stones Financial Advisers Ltd</t>
  </si>
  <si>
    <t>C D D Financial Services</t>
  </si>
  <si>
    <t>RSW Advisory LLP</t>
  </si>
  <si>
    <t>MONEY ADVICE PARTNERSHIP LTD</t>
  </si>
  <si>
    <t>Whitworth Financial Planning Ltd</t>
  </si>
  <si>
    <t>Holistic Finance Ltd</t>
  </si>
  <si>
    <t>Future Financial Planning Ltd</t>
  </si>
  <si>
    <t>Spectrum Financial Solutions Ltd</t>
  </si>
  <si>
    <t>NorthStar Wealth Management Group Ltd</t>
  </si>
  <si>
    <t>Lee Neatis Financial Services Ltd</t>
  </si>
  <si>
    <t>Chalfont Financial Planning Limited</t>
  </si>
  <si>
    <t>Legacy Wealth Management Limited</t>
  </si>
  <si>
    <t>GTM Financial (Rochester) Limited</t>
  </si>
  <si>
    <t>Cripps Financial Planning Limited</t>
  </si>
  <si>
    <t>CNFP LLP</t>
  </si>
  <si>
    <t>Tony Tyler Financial Services Ltd</t>
  </si>
  <si>
    <t>Onelife Planning LLP</t>
  </si>
  <si>
    <t>CJA Financial Planning Ltd</t>
  </si>
  <si>
    <t>Wellington Wealth (Glasgow) Limited</t>
  </si>
  <si>
    <t>Aspire Wealth Limited</t>
  </si>
  <si>
    <t>John Tamblin Financial Services Ltd</t>
  </si>
  <si>
    <t>Brandane Financial Services Ltd</t>
  </si>
  <si>
    <t>Wrightnow Financial Limited</t>
  </si>
  <si>
    <t>Mercia Financial Planning Limited</t>
  </si>
  <si>
    <t>Advicesmith Ltd</t>
  </si>
  <si>
    <t>Tankard Wealth Limited</t>
  </si>
  <si>
    <t>VAR Capital Limited</t>
  </si>
  <si>
    <t>Assured Private Wealth Limited</t>
  </si>
  <si>
    <t>Enigma Wealth Management Limited</t>
  </si>
  <si>
    <t>Lewis-Jones Financial Management Limited</t>
  </si>
  <si>
    <t>Aspley Financial Planning Limited</t>
  </si>
  <si>
    <t>Berry Wealth Management Ltd</t>
  </si>
  <si>
    <t>Calvard Financial Limited</t>
  </si>
  <si>
    <t>Sterling Scott Limited</t>
  </si>
  <si>
    <t>Candid Financial Planning Limited</t>
  </si>
  <si>
    <t>Affinity Independent Financial Solutions Limited</t>
  </si>
  <si>
    <t>Barker and Company Financial Services Limited</t>
  </si>
  <si>
    <t>Atlantic House Group Limited</t>
  </si>
  <si>
    <t>Fidelium Financial Planners Limited</t>
  </si>
  <si>
    <t>My London IFA Limited</t>
  </si>
  <si>
    <t>Integral Advice Limited</t>
  </si>
  <si>
    <t>Mrs Beverley Ann Barber-Fleming</t>
  </si>
  <si>
    <t>Fletcher Shaw &amp; Co Ltd</t>
  </si>
  <si>
    <t>Gavin Tansey Financial Services Limited</t>
  </si>
  <si>
    <t>Salonica Capital Limited</t>
  </si>
  <si>
    <t>Sigma Wealth Partners Ltd</t>
  </si>
  <si>
    <t>JPB Financial Planning Ltd</t>
  </si>
  <si>
    <t>Heard Hamilton Financial Planning Ltd</t>
  </si>
  <si>
    <t>Martin Financial Management Limited</t>
  </si>
  <si>
    <t>Mike Griffiths Limited</t>
  </si>
  <si>
    <t>Thomson Wealth Management Ltd</t>
  </si>
  <si>
    <t>Liberate Wealth Solutions Limited</t>
  </si>
  <si>
    <t>Barker Owen Limited</t>
  </si>
  <si>
    <t>Portfolio Wealth Advice Limited</t>
  </si>
  <si>
    <t>Mason Financial Management Limited</t>
  </si>
  <si>
    <t>SKY Financial Limited</t>
  </si>
  <si>
    <t>Riverhead Financial Ltd</t>
  </si>
  <si>
    <t>Cooper Maverick LLP</t>
  </si>
  <si>
    <t>Edward Hart Financial Services Limited</t>
  </si>
  <si>
    <t>Jellings Dalton Investments Limited</t>
  </si>
  <si>
    <t>Aevitas Wealth Ltd</t>
  </si>
  <si>
    <t>Lumwood Financial Planning Limited</t>
  </si>
  <si>
    <t>B &amp; E Financial Limited</t>
  </si>
  <si>
    <t>The Financial Assets Management Consultancy Limited</t>
  </si>
  <si>
    <t>Oakwood Financial Advisers Limited</t>
  </si>
  <si>
    <t>Jan Oliff Financial Planning Limited</t>
  </si>
  <si>
    <t>The Pensions Adviser Ltd</t>
  </si>
  <si>
    <t>True Capital Limited</t>
  </si>
  <si>
    <t>Jonathan Richards Financial Consultancy Ltd</t>
  </si>
  <si>
    <t>Justyn Grant Ltd</t>
  </si>
  <si>
    <t>Cullimore Dutton Solicitors Ltd</t>
  </si>
  <si>
    <t>Unbiased Financial Group LLP</t>
  </si>
  <si>
    <t>Trusted Planning Limited</t>
  </si>
  <si>
    <t>Edgmoor Limited</t>
  </si>
  <si>
    <t>Tandem Financial Limited</t>
  </si>
  <si>
    <t>Chester Rose Financial Planning Limited</t>
  </si>
  <si>
    <t>Highclere Financial Services Ltd</t>
  </si>
  <si>
    <t>Marlowe Capital Limited</t>
  </si>
  <si>
    <t>Casterbridge Wealth Limited</t>
  </si>
  <si>
    <t>Executive Lifestyle Planning Ltd</t>
  </si>
  <si>
    <t>LWM Consultants Limited</t>
  </si>
  <si>
    <t>More Wealth Planning Ltd</t>
  </si>
  <si>
    <t>Stockwell &amp; Bentley Associates Limited</t>
  </si>
  <si>
    <t>Holcombe Wealth Management Limited</t>
  </si>
  <si>
    <t>Green Wealth Management Ltd</t>
  </si>
  <si>
    <t>Peritus Private Finance Limited</t>
  </si>
  <si>
    <t>Bluegrove Wealth Limited</t>
  </si>
  <si>
    <t>Consilium Wealth Limited</t>
  </si>
  <si>
    <t>Hall Financial Planners Ltd</t>
  </si>
  <si>
    <t>Marshall Wooldridge Financial Services Ltd</t>
  </si>
  <si>
    <t>Monzo Bank Ltd</t>
  </si>
  <si>
    <t>Southern Wealth Associates Limited</t>
  </si>
  <si>
    <t>Orlando Heron</t>
  </si>
  <si>
    <t>Monster Insurance Services Ltd</t>
  </si>
  <si>
    <t>Croft &amp; Oakes Financial Planners Limited</t>
  </si>
  <si>
    <t>Artisan Financial Limited</t>
  </si>
  <si>
    <t>Hawthorn Financial Services (Wealth Management) Limited</t>
  </si>
  <si>
    <t>Robson Financial Limited</t>
  </si>
  <si>
    <t>Alpha One Strategies Limited</t>
  </si>
  <si>
    <t>Lairgate Financial Ltd</t>
  </si>
  <si>
    <t>Gardner Financial Management Ltd</t>
  </si>
  <si>
    <t>SPM Dawson Whyte (Life &amp; Pensions) Limited</t>
  </si>
  <si>
    <t>42 Wealth Management Ltd</t>
  </si>
  <si>
    <t>Integritas Financial Advisers Limited</t>
  </si>
  <si>
    <t>Coast &amp; Country Wealth Management Limited</t>
  </si>
  <si>
    <t>John Gaulton Independent Financial Advisors</t>
  </si>
  <si>
    <t>Foxbrook Wealth Management Limited</t>
  </si>
  <si>
    <t>HDH Investment Services Limited</t>
  </si>
  <si>
    <t>Ethical Financial Planning Ltd</t>
  </si>
  <si>
    <t>Chartered Wealth Management Limited</t>
  </si>
  <si>
    <t>Clearshore Capital Limited</t>
  </si>
  <si>
    <t>Nolan Wealth Management Limited</t>
  </si>
  <si>
    <t>Granite Financial Planning Ltd</t>
  </si>
  <si>
    <t>Professional Financial Partnerships Ltd</t>
  </si>
  <si>
    <t>Legalwebb UK Ltd</t>
  </si>
  <si>
    <t>Sovereign Financial Planners Limited</t>
  </si>
  <si>
    <t>David Dougan Financial Services Limited</t>
  </si>
  <si>
    <t>Mackay Hall Financial Services Limited</t>
  </si>
  <si>
    <t>Claritas Wealth Management Limited</t>
  </si>
  <si>
    <t>The Medical Partnership (South West) Limited</t>
  </si>
  <si>
    <t>Primary Wealth Limited</t>
  </si>
  <si>
    <t>Christina Clegg Financial Planning Services Limited</t>
  </si>
  <si>
    <t>Future Start Independent Financial Planning Limited</t>
  </si>
  <si>
    <t>Johnson Fleming Limited</t>
  </si>
  <si>
    <t>Jigsaw Financial Planning Limited</t>
  </si>
  <si>
    <t>At Retirement Options Wealth Management Ltd</t>
  </si>
  <si>
    <t>Eclipse Financial Solutions (SW) Limited</t>
  </si>
  <si>
    <t>Davidson Wealth Management Limited</t>
  </si>
  <si>
    <t>Fairway Independent Financial Advisers Limited</t>
  </si>
  <si>
    <t>Omni Financial Limited</t>
  </si>
  <si>
    <t>GWM Asset Management Limited</t>
  </si>
  <si>
    <t>Roberts Keen Independent Financial Advisers Ltd</t>
  </si>
  <si>
    <t>Star House Financial Services Limited</t>
  </si>
  <si>
    <t>Skybound Financial Planning Limited</t>
  </si>
  <si>
    <t>Harpur Wealth Management Limited</t>
  </si>
  <si>
    <t>GMB Portfolio Services Limited</t>
  </si>
  <si>
    <t>Blackadders Wealth Management LLP</t>
  </si>
  <si>
    <t>Eastcote Wealth Management Limited</t>
  </si>
  <si>
    <t>Damus Capital Limited</t>
  </si>
  <si>
    <t>Langbourn Limited</t>
  </si>
  <si>
    <t>Tony Fenton &amp; Sons Wealth Management Limited</t>
  </si>
  <si>
    <t>Pension Works Limited</t>
  </si>
  <si>
    <t>Just Financial Group Ltd</t>
  </si>
  <si>
    <t>Wardour Financial Planners Ltd</t>
  </si>
  <si>
    <t>R K Financial Services Limited</t>
  </si>
  <si>
    <t>Tempest Associates Limited</t>
  </si>
  <si>
    <t>Cailean Limited</t>
  </si>
  <si>
    <t>Earlyworld Capital Limited</t>
  </si>
  <si>
    <t>Atherton York Limited</t>
  </si>
  <si>
    <t>SUTTON MCGRATH HARTLEY (FINANCIAL SERVICES) LLP</t>
  </si>
  <si>
    <t>PROGENY ASSET MANAGEMENT LIMITED</t>
  </si>
  <si>
    <t>Corporate Solutions (Poole) Limited</t>
  </si>
  <si>
    <t>Longton FS LLP</t>
  </si>
  <si>
    <t>Jones Cooper Wealth Management Limited</t>
  </si>
  <si>
    <t>Nicholsons Accountants Ltd</t>
  </si>
  <si>
    <t>Fiscal Financial Planning Limited</t>
  </si>
  <si>
    <t>Harrogate Wealth Management Limited</t>
  </si>
  <si>
    <t>Integral Financial Planning Limited</t>
  </si>
  <si>
    <t>Bluezone Capital Ltd</t>
  </si>
  <si>
    <t>Yellow Bear Financial Consultancy LLP</t>
  </si>
  <si>
    <t>Sweetland Associates Limited</t>
  </si>
  <si>
    <t>Clearway Financial Solutions Limited</t>
  </si>
  <si>
    <t>Ingenious Financial Solutions Limited</t>
  </si>
  <si>
    <t>Capital Assets (North) Limited</t>
  </si>
  <si>
    <t>Amram Capital (UK) LLP</t>
  </si>
  <si>
    <t>Trust Will Plan Limited</t>
  </si>
  <si>
    <t>Kingsbridge Wealth Management Ltd</t>
  </si>
  <si>
    <t>Select Wealth Management Limited</t>
  </si>
  <si>
    <t>IWC Financial Ltd</t>
  </si>
  <si>
    <t>JNH Wealth Management Limited</t>
  </si>
  <si>
    <t>Magenta Financial Planning Limited</t>
  </si>
  <si>
    <t>Planet 3 Wealth Limited</t>
  </si>
  <si>
    <t>The Minster Partnership Ltd</t>
  </si>
  <si>
    <t>Metro Financial Solutions LLP</t>
  </si>
  <si>
    <t>Masterplan Financial Ltd</t>
  </si>
  <si>
    <t>Mark Leach Asset Management Limited</t>
  </si>
  <si>
    <t>Compass Financial Associates Limited</t>
  </si>
  <si>
    <t>Global Business Finance</t>
  </si>
  <si>
    <t>Expert Pensions Advice LLP</t>
  </si>
  <si>
    <t>Bryher East Associates Limited</t>
  </si>
  <si>
    <t>Fulcrum Private Clients Limited</t>
  </si>
  <si>
    <t>Alpha Wealth Management Limited</t>
  </si>
  <si>
    <t>Holistic Pension Transfer Specialists Limited</t>
  </si>
  <si>
    <t>Bespoke Wealth Solutions Limited</t>
  </si>
  <si>
    <t>Murphy Wealth Limited</t>
  </si>
  <si>
    <t>OSL Financial Consultancy Limited</t>
  </si>
  <si>
    <t>R D Wealth Management Limited</t>
  </si>
  <si>
    <t>Maia Asset Management Limited</t>
  </si>
  <si>
    <t>AIS Pensions LLP</t>
  </si>
  <si>
    <t>Lauder Financial Limited</t>
  </si>
  <si>
    <t>Niche Private Clients Ltd</t>
  </si>
  <si>
    <t>Forrest Financial Management Limited</t>
  </si>
  <si>
    <t>NB Financial Solutions Ltd</t>
  </si>
  <si>
    <t>Condies Wealth Strategies Limited</t>
  </si>
  <si>
    <t>Blue Cherry Financial Solutions Limited</t>
  </si>
  <si>
    <t>Inspire Wealth Solutions Ltd</t>
  </si>
  <si>
    <t>MAPFS Limited</t>
  </si>
  <si>
    <t>Anthony Goss</t>
  </si>
  <si>
    <t>Andrew Fincham</t>
  </si>
  <si>
    <t>Rock Financial Advisors Ltd</t>
  </si>
  <si>
    <t>Questa Wealth &amp; Financial Planning Limited</t>
  </si>
  <si>
    <t>CSR Planning Limited</t>
  </si>
  <si>
    <t>O'Brien Associates Limited</t>
  </si>
  <si>
    <t>Gaudium Associates Limited</t>
  </si>
  <si>
    <t>Perpetual Independent Financial Advice Limited</t>
  </si>
  <si>
    <t>Acer Consultancy Services Ltd</t>
  </si>
  <si>
    <t>Arquitis Financial Management Ltd</t>
  </si>
  <si>
    <t>Blue Sky Financial Limited</t>
  </si>
  <si>
    <t>Routledge Financial Limited</t>
  </si>
  <si>
    <t>Wheatfromchaff Limited</t>
  </si>
  <si>
    <t>WiseAlpha Technologies Limited</t>
  </si>
  <si>
    <t>Thomas Financial Limited</t>
  </si>
  <si>
    <t>Quantum Wealth Management Ltd</t>
  </si>
  <si>
    <t>Brookmans &amp; Berkeley Wealth Ltd</t>
  </si>
  <si>
    <t>Iolaire Financial Limited</t>
  </si>
  <si>
    <t>P1 Investment Services Limited</t>
  </si>
  <si>
    <t>Zinga Financial Services Limited</t>
  </si>
  <si>
    <t>Claybridge Financial Planning Ltd</t>
  </si>
  <si>
    <t>Throgmorton Wealth Management Ltd</t>
  </si>
  <si>
    <t>Capital Direct Management (UK) Ltd</t>
  </si>
  <si>
    <t>Financial Fortress Limited</t>
  </si>
  <si>
    <t>Kevin Benstead IFA Limited</t>
  </si>
  <si>
    <t>Tailored Financial Advice Ltd</t>
  </si>
  <si>
    <t>Temple Gray Limited</t>
  </si>
  <si>
    <t>Addison Satchi Finance Limited</t>
  </si>
  <si>
    <t>Northwood Wealth Management Ltd</t>
  </si>
  <si>
    <t>Andrea Irving-Morse Associates Limited</t>
  </si>
  <si>
    <t>Squared Limited</t>
  </si>
  <si>
    <t>HARBOUR ROCK CAPITAL LIMITED</t>
  </si>
  <si>
    <t>Pensionhelp Limited</t>
  </si>
  <si>
    <t>HR Independent Financial Services Limited</t>
  </si>
  <si>
    <t>Thomas Joseph Charters</t>
  </si>
  <si>
    <t>Complete Financial Solutions (NW)</t>
  </si>
  <si>
    <t>Peter Winter</t>
  </si>
  <si>
    <t>Alison Bestente</t>
  </si>
  <si>
    <t>Yorke Finance Ltd</t>
  </si>
  <si>
    <t>HDG Financial Services Ltd</t>
  </si>
  <si>
    <t>CGR Wealth Management Ltd</t>
  </si>
  <si>
    <t>Alan Roderick Thomson Waugh</t>
  </si>
  <si>
    <t>Tribe Impact Capital LLP</t>
  </si>
  <si>
    <t>Aspire Wealth (Scotland) Limited</t>
  </si>
  <si>
    <t>Epsilon Planning LLP</t>
  </si>
  <si>
    <t>APW Financial Planning Limited</t>
  </si>
  <si>
    <t>High Peak Financial Planning Ltd</t>
  </si>
  <si>
    <t>Eppione Limited</t>
  </si>
  <si>
    <t>Peregrine &amp; Black Investment Management Limited</t>
  </si>
  <si>
    <t>WILLU Invest Limited</t>
  </si>
  <si>
    <t>John Mitchell Financial Advisers Ltd</t>
  </si>
  <si>
    <t>Hanbury Wealth Management Ltd</t>
  </si>
  <si>
    <t>Newbridge Financial Planning Limited</t>
  </si>
  <si>
    <t>Clarity Wealth Limited</t>
  </si>
  <si>
    <t>Stephen Campbell</t>
  </si>
  <si>
    <t>Pranaflow Limited</t>
  </si>
  <si>
    <t>DM Pension &amp; Investment Solutions Ltd</t>
  </si>
  <si>
    <t>Keith Parr</t>
  </si>
  <si>
    <t>McCormack Financial Advisers Ltd</t>
  </si>
  <si>
    <t>Barclays Bank UK PLC</t>
  </si>
  <si>
    <t>Fair Financial Limited</t>
  </si>
  <si>
    <t>Masson Glennie LLP</t>
  </si>
  <si>
    <t>Richardson Premier Wealth Ltd</t>
  </si>
  <si>
    <t>Crystal Financial Planning Ltd</t>
  </si>
  <si>
    <t>Freedom Wealth LLP</t>
  </si>
  <si>
    <t>Arthur Dodds &amp; Co Ltd</t>
  </si>
  <si>
    <t>First Sentinel Corporate Finance Limited</t>
  </si>
  <si>
    <t>Toddington Independent Financial Advice Ltd</t>
  </si>
  <si>
    <t>LEBC Group Limited</t>
  </si>
  <si>
    <t>Pinsa Wealth Ltd</t>
  </si>
  <si>
    <t>Quantum Wealth Planning Ltd</t>
  </si>
  <si>
    <t>Capital Financial Markets Limited</t>
  </si>
  <si>
    <t>Oliver Asset Management Ltd</t>
  </si>
  <si>
    <t>D &amp; A Investments Partnership Limited</t>
  </si>
  <si>
    <t>Satis Asset Management Limited</t>
  </si>
  <si>
    <t>Witham Financial Services Limited</t>
  </si>
  <si>
    <t>PPA Wealth Ltd</t>
  </si>
  <si>
    <t>Diverse Financial Planning Limited</t>
  </si>
  <si>
    <t>Cleveland Wealth Management Ltd</t>
  </si>
  <si>
    <t>Rainsford Financial Planning Ltd</t>
  </si>
  <si>
    <t>Lloyds Bank Corporate Markets Plc</t>
  </si>
  <si>
    <t>Platinum Wealth (IFA) Ltd</t>
  </si>
  <si>
    <t>Saranac Partners Limited</t>
  </si>
  <si>
    <t>DOMINION FINANCIAL MANAGEMENT LIMITED</t>
  </si>
  <si>
    <t>TW11 Wealth Management Ltd</t>
  </si>
  <si>
    <t>Mallinson Wealth Management Limited</t>
  </si>
  <si>
    <t>Opes Independent Financial Advisers Ltd</t>
  </si>
  <si>
    <t>Work Life Wealth Limited</t>
  </si>
  <si>
    <t>ATLANTIC CAPITAL MARKETS LTD</t>
  </si>
  <si>
    <t>Quadros Financial Solutions Limited</t>
  </si>
  <si>
    <t>West Bridgford Wealth Management Ltd</t>
  </si>
  <si>
    <t>Peak Wealth Management Limited</t>
  </si>
  <si>
    <t>Somnium Financial Planning Limited</t>
  </si>
  <si>
    <t>Verus Financial Services Limited</t>
  </si>
  <si>
    <t>Family Capital Limited</t>
  </si>
  <si>
    <t>Nicholson Bond Partnership Limited</t>
  </si>
  <si>
    <t>Andrew Parker Wealth Management Limited</t>
  </si>
  <si>
    <t>Anthony Mackintosh Wealth Management</t>
  </si>
  <si>
    <t>52 Finance Limited</t>
  </si>
  <si>
    <t>Chattertons Wealth Management Limited</t>
  </si>
  <si>
    <t>Haymarket Associates (IFA) LLP</t>
  </si>
  <si>
    <t>Roundhouse Financial Services (London) Limited</t>
  </si>
  <si>
    <t>Wealthmax Financial Advisers Limited</t>
  </si>
  <si>
    <t>Mayfair Capital Limited</t>
  </si>
  <si>
    <t>Capital Wealth Management (UK) Limited</t>
  </si>
  <si>
    <t>Tweedside Financial Services Ltd</t>
  </si>
  <si>
    <t>Riverfort Global Capital Ltd</t>
  </si>
  <si>
    <t>Mamucium Capital Limited</t>
  </si>
  <si>
    <t>Yorkshire Wealth Management Ltd</t>
  </si>
  <si>
    <t>Granite Financial Solutions Limited</t>
  </si>
  <si>
    <t>Fern Financial Planning Limited</t>
  </si>
  <si>
    <t>Prospectus Financial Management Limited</t>
  </si>
  <si>
    <t>Prime Wealth Solutions Ltd</t>
  </si>
  <si>
    <t>Tarran &amp; Co. Financial Planning Ltd</t>
  </si>
  <si>
    <t>Succession Employee Benefit Solutions Limited</t>
  </si>
  <si>
    <t>Sequence Advisers LLP</t>
  </si>
  <si>
    <t>Maven Adviser Limited</t>
  </si>
  <si>
    <t>Sherpa Financial Solutions Limited</t>
  </si>
  <si>
    <t>Lionmede Wealth Management Ltd</t>
  </si>
  <si>
    <t>MSC Financial Planners Ltd</t>
  </si>
  <si>
    <t>London Premier Wealth Management Limited</t>
  </si>
  <si>
    <t>Align Research Limited</t>
  </si>
  <si>
    <t>BlueJay Financial Planning Ltd</t>
  </si>
  <si>
    <t>Woodruff Financial Planning Limited</t>
  </si>
  <si>
    <t>Martin-Redman (UK) Limited</t>
  </si>
  <si>
    <t>Bloomfield Financial Limited</t>
  </si>
  <si>
    <t>Richdale Brokers &amp; Financial Services Ltd</t>
  </si>
  <si>
    <t>Big River Ltd</t>
  </si>
  <si>
    <t>Slaiyburn Financial Planning Ltd</t>
  </si>
  <si>
    <t>ISJ INDEPENDENT FINANCIAL PLANNING LIMITED</t>
  </si>
  <si>
    <t>MitonOptimal Portfolio Management (UK) Limited</t>
  </si>
  <si>
    <t>Vinco Wealth Management Ltd</t>
  </si>
  <si>
    <t>CubicStone Capital Management Limited</t>
  </si>
  <si>
    <t>Blue Pebble Finance Limited</t>
  </si>
  <si>
    <t>RDBIFS Ltd</t>
  </si>
  <si>
    <t>Charlotte Square Partners Limited</t>
  </si>
  <si>
    <t>John Patrick Financial Services Limited</t>
  </si>
  <si>
    <t>Spectrum Wealth Management Ltd</t>
  </si>
  <si>
    <t>Perry Monroe Ltd</t>
  </si>
  <si>
    <t>The Robertsons &amp; Crawford Organization Limited</t>
  </si>
  <si>
    <t>RTS Financial Planning Limited</t>
  </si>
  <si>
    <t>DLM Wealth Management LLP</t>
  </si>
  <si>
    <t>ISM Wealth Planning LLP</t>
  </si>
  <si>
    <t>Boston Direct Management (UK) Ltd</t>
  </si>
  <si>
    <t>4 THE RECORD COMPLIANCE LTD</t>
  </si>
  <si>
    <t>Cameron Reeves Financial Planning Limited</t>
  </si>
  <si>
    <t>Prosperity  IFA Limited</t>
  </si>
  <si>
    <t>Milestone Wealth Ltd</t>
  </si>
  <si>
    <t>Beaumont Financial Planners Limited</t>
  </si>
  <si>
    <t>P M Investment Services Limited</t>
  </si>
  <si>
    <t>Haven Protect Limited</t>
  </si>
  <si>
    <t>EMET Financial Services Ltd</t>
  </si>
  <si>
    <t>Niall Victor Patrick Moore</t>
  </si>
  <si>
    <t>Citypoint Wealth Limited</t>
  </si>
  <si>
    <t>SMCL3 Limited</t>
  </si>
  <si>
    <t>Berkley Wilkinson Wealth Management Ltd</t>
  </si>
  <si>
    <t>Unity Wealth Management Limited</t>
  </si>
  <si>
    <t>Postcard Financial Planning Limited</t>
  </si>
  <si>
    <t>Bonum Wealth Ltd</t>
  </si>
  <si>
    <t>Acumen Associate Financial Services Ltd</t>
  </si>
  <si>
    <t>Patterson-Mills Financial Planning Limited</t>
  </si>
  <si>
    <t>F G Watts Financial Advisers Ltd</t>
  </si>
  <si>
    <t>Assured Financial Planning Limited</t>
  </si>
  <si>
    <t>McLaren Wealth Management UK Limited</t>
  </si>
  <si>
    <t>Risksave Technologies Ltd.</t>
  </si>
  <si>
    <t>OMBA Advisory &amp; Investments Limited</t>
  </si>
  <si>
    <t>Leadenhall Wealth Management Ltd</t>
  </si>
  <si>
    <t>Freedom Advice LLP</t>
  </si>
  <si>
    <t>Sama Wealth Limited</t>
  </si>
  <si>
    <t>Torch Financial Planning Limited</t>
  </si>
  <si>
    <t>Eurotrade Capital Ltd</t>
  </si>
  <si>
    <t>Dark Star Asset Management Limited</t>
  </si>
  <si>
    <t>Storrs Wealth Planning Limited</t>
  </si>
  <si>
    <t>Rainbow Consulting (Scot) Limited</t>
  </si>
  <si>
    <t>Camerons Financial Planning Limited</t>
  </si>
  <si>
    <t>Live Smart Financial Planning Limited</t>
  </si>
  <si>
    <t>Beats Financial Planning Ltd</t>
  </si>
  <si>
    <t>Dolphin Financial Limited</t>
  </si>
  <si>
    <t>Mario Frixou</t>
  </si>
  <si>
    <t>Craiglyon Financial Management Limited</t>
  </si>
  <si>
    <t>Arkinson Mortgage &amp; Investment Solutions Ltd</t>
  </si>
  <si>
    <t>Georgetown Wealth Management LLP</t>
  </si>
  <si>
    <t>Grovebridge Financial Limited</t>
  </si>
  <si>
    <t>Bond Wealth Ltd</t>
  </si>
  <si>
    <t>Kent Insurance Services Ltd</t>
  </si>
  <si>
    <t>Lighthouse Financial Planning Ltd</t>
  </si>
  <si>
    <t>Advice Matters Financial Planning Ltd</t>
  </si>
  <si>
    <t>Milestone FP Ltd</t>
  </si>
  <si>
    <t>Wealth Generation LLP</t>
  </si>
  <si>
    <t>PGI Financial Limited</t>
  </si>
  <si>
    <t>London Investment Management Limited</t>
  </si>
  <si>
    <t>AMERICAN INTERNATIONAL GROUP UK LIMITED</t>
  </si>
  <si>
    <t>TSP Wealth LLP</t>
  </si>
  <si>
    <t>Marshall Pension &amp; Financial Planning Ltd</t>
  </si>
  <si>
    <t>Catterson Wealth Management Limited</t>
  </si>
  <si>
    <t>Mathieson David Porter</t>
  </si>
  <si>
    <t>Pacem Financial Advisory Ltd</t>
  </si>
  <si>
    <t>Daniel Hyde Financial Services Ltd</t>
  </si>
  <si>
    <t>Windsor Private Office Investment Management Limited</t>
  </si>
  <si>
    <t>Lamb and Associates Independent Financial Planning Ltd</t>
  </si>
  <si>
    <t>JP Maxwell Financial Management Ltd</t>
  </si>
  <si>
    <t>DAH FP Ltd</t>
  </si>
  <si>
    <t>First Equitable (UK) Ltd</t>
  </si>
  <si>
    <t>Informed Wealth Management Ltd</t>
  </si>
  <si>
    <t>Coast Financial Limited</t>
  </si>
  <si>
    <t>TRUST DFM LIMITED</t>
  </si>
  <si>
    <t>RTP Management Ltd</t>
  </si>
  <si>
    <t>Stewart Asset Management Limited</t>
  </si>
  <si>
    <t>Financial Prospects (N.I.) Ltd</t>
  </si>
  <si>
    <t>Lucus Wealth Ltd</t>
  </si>
  <si>
    <t>Golden Oak Wealth Management Limited</t>
  </si>
  <si>
    <t>FPM Advice Centre Limited</t>
  </si>
  <si>
    <t>Itineris Solutions Ltd</t>
  </si>
  <si>
    <t>Strategic Wealth Partners Limited</t>
  </si>
  <si>
    <t>Harcourt Financial Limited</t>
  </si>
  <si>
    <t>Pilgrim Wealth Management Ltd</t>
  </si>
  <si>
    <t>Burnett &amp; Co Financial Planning Ltd</t>
  </si>
  <si>
    <t>Aries Wealth Management Limited</t>
  </si>
  <si>
    <t>Personal Wealth Management (South Wales) Ltd</t>
  </si>
  <si>
    <t>Blue Square Financial Limited</t>
  </si>
  <si>
    <t>Crawford Financial Planning Limited</t>
  </si>
  <si>
    <t>SF Wealth Services Ltd</t>
  </si>
  <si>
    <t>Woodgrange Associates (IFA) Ltd</t>
  </si>
  <si>
    <t>Competitive Edge Wealth Creation Ltd</t>
  </si>
  <si>
    <t>Sentient Wealth Management LTD</t>
  </si>
  <si>
    <t>Hambrook Financial Planning Limited</t>
  </si>
  <si>
    <t>GJS Wealth Management Ltd</t>
  </si>
  <si>
    <t>ST ANNE'S CAPITAL LIMITED</t>
  </si>
  <si>
    <t>Acacia Financial Consultants Limited</t>
  </si>
  <si>
    <t>IAC Financial Planning Ltd</t>
  </si>
  <si>
    <t>Everest Mortgage Services Ltd</t>
  </si>
  <si>
    <t>Silverwood Money Management Ltd</t>
  </si>
  <si>
    <t>Prestige Financial Planners Limited</t>
  </si>
  <si>
    <t>Surrey Downs Financial Services Limited</t>
  </si>
  <si>
    <t>Acquire Financial Planning Ltd</t>
  </si>
  <si>
    <t>SRU Management Limited</t>
  </si>
  <si>
    <t>Acuity Research Limited</t>
  </si>
  <si>
    <t>Berry &amp; Oak Limited</t>
  </si>
  <si>
    <t>Life Matters Financial Planning Ltd</t>
  </si>
  <si>
    <t>Monica Curtis Associates Limited</t>
  </si>
  <si>
    <t>Hilltop Finance Limited</t>
  </si>
  <si>
    <t>JD Financial Planning Ltd</t>
  </si>
  <si>
    <t>Blackbear Financial Group Ltd</t>
  </si>
  <si>
    <t>Heritage Financial Limited</t>
  </si>
  <si>
    <t>Foresight Financial Planning Limited</t>
  </si>
  <si>
    <t>Fadders Consultancy Ltd</t>
  </si>
  <si>
    <t>DRC Associates Limited</t>
  </si>
  <si>
    <t>Agile Independent Financial Advice Ltd</t>
  </si>
  <si>
    <t>M B Smith &amp; Co Ltd</t>
  </si>
  <si>
    <t>Portus Wealth Limited</t>
  </si>
  <si>
    <t>Blue Fox Wealth Management Limited</t>
  </si>
  <si>
    <t>Money Flow Ltd</t>
  </si>
  <si>
    <t>Dart Wealth Management Limited</t>
  </si>
  <si>
    <t>Investment &amp; Pension Advisory Ltd</t>
  </si>
  <si>
    <t>Truscott Wealth Management Limited</t>
  </si>
  <si>
    <t>Pole Arnold Financial Management Ltd</t>
  </si>
  <si>
    <t>The Private Office Limited</t>
  </si>
  <si>
    <t>Platinum Financial Partners Ltd</t>
  </si>
  <si>
    <t>Saulsbury Independent Financial Planning Ltd</t>
  </si>
  <si>
    <t>S D Greenway Ltd</t>
  </si>
  <si>
    <t>Bramley Financial Planning limited</t>
  </si>
  <si>
    <t>Nicholas Charles Thompson</t>
  </si>
  <si>
    <t>Sancus Retirement Planning Limited</t>
  </si>
  <si>
    <t>Flamingo Capital Limited</t>
  </si>
  <si>
    <t>Ashtree Financial Services Ltd</t>
  </si>
  <si>
    <t>VCAP Capital Ltd</t>
  </si>
  <si>
    <t>Sanctuary Wealth Planning Limited</t>
  </si>
  <si>
    <t>Plan2 Holdings Ltd</t>
  </si>
  <si>
    <t>HB Financial Independence Ltd</t>
  </si>
  <si>
    <t>boosst Limited</t>
  </si>
  <si>
    <t>Prosperity Life Planning Ltd</t>
  </si>
  <si>
    <t>Evolve Financial Services Ltd</t>
  </si>
  <si>
    <t>Charles Mark Financial Ltd</t>
  </si>
  <si>
    <t>Mottram Financial Services Limited</t>
  </si>
  <si>
    <t>House Independent Financial Advisers Ltd</t>
  </si>
  <si>
    <t>Claritus Wealth Ltd</t>
  </si>
  <si>
    <t>Lowndes Capital Limited</t>
  </si>
  <si>
    <t>Strowz Ltd</t>
  </si>
  <si>
    <t>Lifestyle Wealth Management Ltd</t>
  </si>
  <si>
    <t>Houlihan Lokey UK Limited</t>
  </si>
  <si>
    <t>Pelham Financial Limited</t>
  </si>
  <si>
    <t>Clear Buy 2 Let Limited</t>
  </si>
  <si>
    <t>Rossie House Investment Management LLP</t>
  </si>
  <si>
    <t>RHA Financial Associates</t>
  </si>
  <si>
    <t>D M Financial Advice Limited</t>
  </si>
  <si>
    <t>Gunson and Co Independent Financial Advisers Ltd</t>
  </si>
  <si>
    <t>PDIFS LLP</t>
  </si>
  <si>
    <t>Corellia Financial Services Limited</t>
  </si>
  <si>
    <t>Grosvenor Wealth Ltd</t>
  </si>
  <si>
    <t>Barrow Financial Services Ltd</t>
  </si>
  <si>
    <t>Powell Financial Planning Ltd</t>
  </si>
  <si>
    <t>Holmes Independent Financial Advice Limited</t>
  </si>
  <si>
    <t>Hawfinch Financial Services Limited</t>
  </si>
  <si>
    <t>Nightingales Wealth Management Ltd</t>
  </si>
  <si>
    <t>Sierra Asset Management Limited</t>
  </si>
  <si>
    <t>Jon Houghton Limited</t>
  </si>
  <si>
    <t>Stewardship Wealth Limited</t>
  </si>
  <si>
    <t>Campbell Alexander Financial Management Ltd</t>
  </si>
  <si>
    <t>Aletheia Analyst Network Limited</t>
  </si>
  <si>
    <t>Kevin James Smith Wealth Managers LLP</t>
  </si>
  <si>
    <t>Amber Solutions Financial Planning LLP</t>
  </si>
  <si>
    <t>Credencis (IFA) Limited</t>
  </si>
  <si>
    <t>Bespoke Financial Planning Kent Limited</t>
  </si>
  <si>
    <t>DSMA Ltd</t>
  </si>
  <si>
    <t>Clarke Financial Planning Ltd</t>
  </si>
  <si>
    <t>Obdios Capital Limited</t>
  </si>
  <si>
    <t>Rothesay Bennett Limited</t>
  </si>
  <si>
    <t>Integer Advisors LLP</t>
  </si>
  <si>
    <t>AM Mortgage &amp; Financial Services Ltd</t>
  </si>
  <si>
    <t>Kensington Place Research Ltd</t>
  </si>
  <si>
    <t>James Hair Group Ltd</t>
  </si>
  <si>
    <t>Lyon Griffiths (Financial Services) Limited</t>
  </si>
  <si>
    <t>Banyard Independent Advice Services Ltd</t>
  </si>
  <si>
    <t>Buck Wealth Management Limited</t>
  </si>
  <si>
    <t>ANAND FINANCIAL ARCHITECTURE LTD</t>
  </si>
  <si>
    <t>Better Financial Planning Ltd</t>
  </si>
  <si>
    <t>Benchmark Wealth Management Limited</t>
  </si>
  <si>
    <t>Giles Sanger</t>
  </si>
  <si>
    <t>S&amp;S Financial Solutions Limited</t>
  </si>
  <si>
    <t>Christian Dean Financial Planning Ltd</t>
  </si>
  <si>
    <t>Kingsley Financial Consulting Limited</t>
  </si>
  <si>
    <t>Optimum Independent Financial Advisers Limited</t>
  </si>
  <si>
    <t>JWA Financial Planning Ltd</t>
  </si>
  <si>
    <t>Irwell Wealth Management Ltd</t>
  </si>
  <si>
    <t>Barry W P Bennett Limited</t>
  </si>
  <si>
    <t>Bowline Advisors Limited</t>
  </si>
  <si>
    <t>MNM Financial Ltd</t>
  </si>
  <si>
    <t>Featherstone Partners Limited</t>
  </si>
  <si>
    <t>Purely Financial Ltd</t>
  </si>
  <si>
    <t>Keith Stockdale and Company Limited</t>
  </si>
  <si>
    <t>Alan Ellis Financial Services Limited</t>
  </si>
  <si>
    <t>Robert Moreland Ltd</t>
  </si>
  <si>
    <t>Carlton Smith Financial Planning Ltd</t>
  </si>
  <si>
    <t>Aurum Wealth LLP</t>
  </si>
  <si>
    <t>Cobalt Wealth Limited</t>
  </si>
  <si>
    <t>Brackenbury (IFA) Limited</t>
  </si>
  <si>
    <t>BENTLEY INDEPENDENT FINANCIAL ADVISERS LTD</t>
  </si>
  <si>
    <t>Nectar Wealth Limited</t>
  </si>
  <si>
    <t>Norton Michael Financial Management Limited</t>
  </si>
  <si>
    <t>D&amp;M Financial Ltd</t>
  </si>
  <si>
    <t>Conroy Financial Planning LLP</t>
  </si>
  <si>
    <t>McDowell Financial Services Ltd</t>
  </si>
  <si>
    <t>Investengine (UK) Limited</t>
  </si>
  <si>
    <t>Falco Private Wealth Limited</t>
  </si>
  <si>
    <t>WILLDAY WEALTH MANAGEMENT LIMITED</t>
  </si>
  <si>
    <t>SJW Independent Financial Management Limited</t>
  </si>
  <si>
    <t>Phil Gee Financial Ltd</t>
  </si>
  <si>
    <t>Continuum (Financial Services) LLP</t>
  </si>
  <si>
    <t>Gill &amp; Green Financial Planning Ltd</t>
  </si>
  <si>
    <t>AK WEALTH HOLDINGS LIMITED</t>
  </si>
  <si>
    <t>Devizes Financial Services Ltd</t>
  </si>
  <si>
    <t>Whinchat Financial Planning Ltd</t>
  </si>
  <si>
    <t>Cranbourne Financial Limited</t>
  </si>
  <si>
    <t>DW Wealth Management Ltd</t>
  </si>
  <si>
    <t>MLA Wealth Management Ltd</t>
  </si>
  <si>
    <t>KMD Private Wealth Management Limited</t>
  </si>
  <si>
    <t>Realm Investment Management Limited</t>
  </si>
  <si>
    <t>Windsor Financial Services</t>
  </si>
  <si>
    <t>Jones &amp; Co Advisers Limited</t>
  </si>
  <si>
    <t>Simply Advice Ltd</t>
  </si>
  <si>
    <t>DP Financial Planning Ltd</t>
  </si>
  <si>
    <t>Elite Financial Advice Ltd</t>
  </si>
  <si>
    <t>Professional Financial Planning Group Ltd</t>
  </si>
  <si>
    <t>Prosperity Planning Ltd</t>
  </si>
  <si>
    <t>Wealth Protect Ltd</t>
  </si>
  <si>
    <t>Aled Williams Financial Management Ltd</t>
  </si>
  <si>
    <t>Halcyon Financial Planning Ltd</t>
  </si>
  <si>
    <t>Citibank UK Limited</t>
  </si>
  <si>
    <t>Investrium Ltd</t>
  </si>
  <si>
    <t>Watson, Wood, and Sillars Limited</t>
  </si>
  <si>
    <t>GQ Independent Ltd</t>
  </si>
  <si>
    <t>JRG Financial Planning Limited</t>
  </si>
  <si>
    <t>David Vance Consulting Ltd</t>
  </si>
  <si>
    <t>Navigate Wealth Limited</t>
  </si>
  <si>
    <t>Delaunay Wealth Management Ltd</t>
  </si>
  <si>
    <t>Handelsbanken plc</t>
  </si>
  <si>
    <t>Poole Townsend Financial Services Ltd</t>
  </si>
  <si>
    <t>Aequus Wealth Management Ltd</t>
  </si>
  <si>
    <t>Richard Hall</t>
  </si>
  <si>
    <t>Yellowstone Advisory Limited</t>
  </si>
  <si>
    <t>West End Financial Management Ltd</t>
  </si>
  <si>
    <t>Sanctuary Financial Ltd</t>
  </si>
  <si>
    <t>Parkmore Financial Services Limited</t>
  </si>
  <si>
    <t>Rutherford Hughes Limited</t>
  </si>
  <si>
    <t>Geneva Wealth Limited</t>
  </si>
  <si>
    <t>Brooks Financial Consultancy Ltd</t>
  </si>
  <si>
    <t>Allisons Financial Planning Limited</t>
  </si>
  <si>
    <t>Heritage Coast Asset Management ltd</t>
  </si>
  <si>
    <t>Courtlands Wealth Planning Ltd</t>
  </si>
  <si>
    <t>Fox-Davies Capital Limited</t>
  </si>
  <si>
    <t>Inspiring Wealth Limited</t>
  </si>
  <si>
    <t>Harwood Financial Planning Limited</t>
  </si>
  <si>
    <t>Celtic Financial Planning Ltd</t>
  </si>
  <si>
    <t>Unity Financial Consultants LLP</t>
  </si>
  <si>
    <t>Hentons Wealth Limited</t>
  </si>
  <si>
    <t>Howarth Financial Limited</t>
  </si>
  <si>
    <t>Advisory Investment Services Limited</t>
  </si>
  <si>
    <t>BKD Wealth Management Limited</t>
  </si>
  <si>
    <t>Richardson &amp; Associates Independent Financial &amp; Mortgage Services Limited</t>
  </si>
  <si>
    <t>Blakes Financial Management Limited</t>
  </si>
  <si>
    <t>Yodelar Investments Limited</t>
  </si>
  <si>
    <t>Cartlidge Morland Wealth Management LLP</t>
  </si>
  <si>
    <t>Aurora Financial IFA Limited</t>
  </si>
  <si>
    <t>Iron Wealth Management Limited</t>
  </si>
  <si>
    <t>Forest Financial Services Ltd</t>
  </si>
  <si>
    <t>Hamilton Court Foreign Exchange Limited</t>
  </si>
  <si>
    <t>Goldcrest Financial Planning Ltd</t>
  </si>
  <si>
    <t>Real Life Financial Planning Ltd</t>
  </si>
  <si>
    <t>FFS Connect Limited</t>
  </si>
  <si>
    <t>John Yuille Financial Services Ltd</t>
  </si>
  <si>
    <t>Grendon Independent Financial Services Limited</t>
  </si>
  <si>
    <t>Greenland Financial Planning Limited</t>
  </si>
  <si>
    <t>Astute Financial &amp; Mortgage Advisers Ltd</t>
  </si>
  <si>
    <t>GPIM Limited</t>
  </si>
  <si>
    <t>Penny Lane Credit Services Ltd</t>
  </si>
  <si>
    <t>David Gunderson</t>
  </si>
  <si>
    <t>Forth Capital Advisers Limited</t>
  </si>
  <si>
    <t>Henry Spain Investment Services Limited</t>
  </si>
  <si>
    <t>WHN Solicitors Limited</t>
  </si>
  <si>
    <t>Lazenbys Financial Services Limited</t>
  </si>
  <si>
    <t>MacBeth Currie Financial Services Limited</t>
  </si>
  <si>
    <t>Edale UK Management Limited</t>
  </si>
  <si>
    <t>C&amp;M Global Capital Management Limited</t>
  </si>
  <si>
    <t>Lloyd O'Sullivan Financial Services Ltd</t>
  </si>
  <si>
    <t>Consilium Financial Services Limited</t>
  </si>
  <si>
    <t>Select Wealth Managers Ltd.</t>
  </si>
  <si>
    <t>SMC Financial Services Limited</t>
  </si>
  <si>
    <t>The Finance Family Limited</t>
  </si>
  <si>
    <t>Life Map Limited</t>
  </si>
  <si>
    <t>PJL Financial Services Ltd</t>
  </si>
  <si>
    <t>A&amp;E Wealth Solutions Limited</t>
  </si>
  <si>
    <t>Inverness Financial Advice LLP</t>
  </si>
  <si>
    <t>James Sharp &amp; Co LLP</t>
  </si>
  <si>
    <t>Diem Marshall Wealth Management Limited</t>
  </si>
  <si>
    <t>Fintuity Limited</t>
  </si>
  <si>
    <t>Thompson Cavendish Ltd</t>
  </si>
  <si>
    <t>HF WEALTH LTD</t>
  </si>
  <si>
    <t>APR Money Ltd</t>
  </si>
  <si>
    <t>Financial Synergy Ltd</t>
  </si>
  <si>
    <t>Meriden Financial Planning Limited</t>
  </si>
  <si>
    <t>Gnosco Financial Planning Limited</t>
  </si>
  <si>
    <t>Trusted Financial Planning Limited</t>
  </si>
  <si>
    <t>SimFin Financial limited</t>
  </si>
  <si>
    <t>Broadgate Wealth Client Servicing LLP</t>
  </si>
  <si>
    <t>Imperial Wealth Advisory Limited</t>
  </si>
  <si>
    <t>MPA Financial Solutions Ltd</t>
  </si>
  <si>
    <t>Laurent Wealth Management Limited</t>
  </si>
  <si>
    <t>Bowden Financial Planning Ltd</t>
  </si>
  <si>
    <t>BULLINGER WEALTH LIMITED</t>
  </si>
  <si>
    <t>Eadon &amp; Co Ltd</t>
  </si>
  <si>
    <t>Halen Wealth Limited</t>
  </si>
  <si>
    <t>Wren Investment Office Limited</t>
  </si>
  <si>
    <t>Halwyn Capital Ltd</t>
  </si>
  <si>
    <t>Utopia Wealth Planning Ltd</t>
  </si>
  <si>
    <t>Zeus Investment Management Limited</t>
  </si>
  <si>
    <t>Alexander Bates Campbell Financial Planning Limited</t>
  </si>
  <si>
    <t>Craufurd Hale Wealth Management Limited</t>
  </si>
  <si>
    <t>UNLU SECURITIES UK LIMITED</t>
  </si>
  <si>
    <t>Stratagem Financial Planning Limited</t>
  </si>
  <si>
    <t>Clarity Advice &amp; Management Ltd</t>
  </si>
  <si>
    <t>Foster Bourne Wealth Management Ltd</t>
  </si>
  <si>
    <t>Annetts &amp; Orchard Ltd</t>
  </si>
  <si>
    <t>MONOGRAM CAPITAL MANAGEMENT LTD</t>
  </si>
  <si>
    <t>JENSON FUNDING PARTNERS LLP</t>
  </si>
  <si>
    <t>Wisley Family Wealth Limited</t>
  </si>
  <si>
    <t>C D G Financial Services Limited</t>
  </si>
  <si>
    <t>Fortress Financial LTD</t>
  </si>
  <si>
    <t>Ethical Market Place Limited</t>
  </si>
  <si>
    <t>Windsor Private Office Financial Planning LLP</t>
  </si>
  <si>
    <t>Executive Wealth Services Ltd</t>
  </si>
  <si>
    <t>Onyx Capital Advisory Limited</t>
  </si>
  <si>
    <t>Plain Savings Ltd</t>
  </si>
  <si>
    <t>CONSOLIDARE WEALTH MANAGEMENT LTD</t>
  </si>
  <si>
    <t>King &amp; Shaxson Asset Management Limited</t>
  </si>
  <si>
    <t>Eighteen48 Partners Limited</t>
  </si>
  <si>
    <t>CAM Wealth Group Limited</t>
  </si>
  <si>
    <t>Bailey Cook Financial Planning Ltd</t>
  </si>
  <si>
    <t>MDM Wealth Ltd</t>
  </si>
  <si>
    <t>Servini Financial Planning Limited</t>
  </si>
  <si>
    <t>Colin R Bauld</t>
  </si>
  <si>
    <t>David Michael Crabtree</t>
  </si>
  <si>
    <t>Performance Wealth Management Limited</t>
  </si>
  <si>
    <t>WIS Contractor Mortgages Ltd</t>
  </si>
  <si>
    <t>Mayfair International Private Wealth Management Ltd</t>
  </si>
  <si>
    <t>Chawton Global Investors LLP</t>
  </si>
  <si>
    <t>Fibonacci Finance Limited</t>
  </si>
  <si>
    <t>E.S.N Financial Services LLP</t>
  </si>
  <si>
    <t>Arthur Browns Wealth Management Ltd</t>
  </si>
  <si>
    <t>Easi Route Ltd</t>
  </si>
  <si>
    <t>JM Financial Consultancy Limited</t>
  </si>
  <si>
    <t>BERKSHIRE IFA LIMITED</t>
  </si>
  <si>
    <t>Yoke Financial Consultants Limited</t>
  </si>
  <si>
    <t>Pure Wealth Management Limited</t>
  </si>
  <si>
    <t>Tindle Wealth Management Limited</t>
  </si>
  <si>
    <t>Duchy Private Office LLP</t>
  </si>
  <si>
    <t>Hoxton Capital Management (UK) Ltd</t>
  </si>
  <si>
    <t>CMIS Independent Financial Advisors Limited</t>
  </si>
  <si>
    <t>The Wealth Harbour Limited</t>
  </si>
  <si>
    <t>Autonomy Wealth Limited</t>
  </si>
  <si>
    <t>Holistic Financial Advice Limited</t>
  </si>
  <si>
    <t>Global WealthMAP Ltd</t>
  </si>
  <si>
    <t>The Path Financial Limited</t>
  </si>
  <si>
    <t>John Timoney</t>
  </si>
  <si>
    <t>Platinum Financial Consulting Limited</t>
  </si>
  <si>
    <t>Throgmorton Capital Management Limited</t>
  </si>
  <si>
    <t>Objective Wealth Ltd</t>
  </si>
  <si>
    <t>Ethical Investments (SW) Ltd</t>
  </si>
  <si>
    <t>Caledonian Financial Management Limited</t>
  </si>
  <si>
    <t>Wensons Financial Ltd</t>
  </si>
  <si>
    <t>IFT Wealth Management Ltd</t>
  </si>
  <si>
    <t>Case Financial Consulting Limited</t>
  </si>
  <si>
    <t>Daintree Wealth Management Limited</t>
  </si>
  <si>
    <t>Watermark Wealth Management Limited</t>
  </si>
  <si>
    <t>DMA Moneybetter LTD</t>
  </si>
  <si>
    <t>Absolute Sense Independent Financial Advisers Limited</t>
  </si>
  <si>
    <t>PMN Financial Management LLP</t>
  </si>
  <si>
    <t>Cairn Financial Management Limited</t>
  </si>
  <si>
    <t>Welrex Ltd</t>
  </si>
  <si>
    <t>SM Solutions Ltd.</t>
  </si>
  <si>
    <t>LIA Wealth Advisers Limited</t>
  </si>
  <si>
    <t>Odyssey Financial Planning Ltd</t>
  </si>
  <si>
    <t>Stewart Lyon Limited</t>
  </si>
  <si>
    <t>Lifestyle Financial Services (Droitwich) Limited</t>
  </si>
  <si>
    <t>PUZZLE FINANCIAL SOLUTIONS LLP</t>
  </si>
  <si>
    <t>Fenshaw Independent Financial Advisers LLP</t>
  </si>
  <si>
    <t>UK Investment Solutions Ltd</t>
  </si>
  <si>
    <t>Orion Ridge Capital Ltd</t>
  </si>
  <si>
    <t>Holistic Wealth Management Limited</t>
  </si>
  <si>
    <t>Andrew Lucas Wealth Management Ltd</t>
  </si>
  <si>
    <t>Paul Young Independent Financial Advisors LLP</t>
  </si>
  <si>
    <t>Deen Financial Solutions Ltd</t>
  </si>
  <si>
    <t>CS Managers Ltd</t>
  </si>
  <si>
    <t>Hedgley Financial Services Ltd</t>
  </si>
  <si>
    <t>Bowes Financial Services Ltd</t>
  </si>
  <si>
    <t>JDL Wealth Management Limited</t>
  </si>
  <si>
    <t>BLH Financial Services Limited</t>
  </si>
  <si>
    <t>Premier Clients (Swansea) Limited</t>
  </si>
  <si>
    <t>Anculo Ltd</t>
  </si>
  <si>
    <t>Kanaka Advisors Limited</t>
  </si>
  <si>
    <t>Simply Mortgages (NW) Ltd</t>
  </si>
  <si>
    <t>Lifestyle Pensions and Investments Ltd</t>
  </si>
  <si>
    <t>Lloyd Vine Limited</t>
  </si>
  <si>
    <t>WealthTek LLP</t>
  </si>
  <si>
    <t>BEESURE LTD</t>
  </si>
  <si>
    <t>Godiva Wealth Management Limited</t>
  </si>
  <si>
    <t>Elementary Limited</t>
  </si>
  <si>
    <t>Jane Newman Financial Planning Ltd</t>
  </si>
  <si>
    <t>Millbank Financial Solutions Limited</t>
  </si>
  <si>
    <t>Surrey Wealth LTD</t>
  </si>
  <si>
    <t>PlanHappy Investment Management Limited</t>
  </si>
  <si>
    <t>claim3000 ltd</t>
  </si>
  <si>
    <t>Comet Wealth Ltd</t>
  </si>
  <si>
    <t>Vanderpant Financial Planning (New Malden) Ltd.</t>
  </si>
  <si>
    <t>William Braddock LLP</t>
  </si>
  <si>
    <t>Frazer James Ltd</t>
  </si>
  <si>
    <t>TRF Limited</t>
  </si>
  <si>
    <t>Life Bridging and Commercial Solutions Limited</t>
  </si>
  <si>
    <t>Dartington Financials Limited</t>
  </si>
  <si>
    <t>Chetwood Investment Management Ltd</t>
  </si>
  <si>
    <t>TPIO Limited</t>
  </si>
  <si>
    <t>Fruition Financial Services Ltd</t>
  </si>
  <si>
    <t>Fortress Financial Services Limited</t>
  </si>
  <si>
    <t>ValidPath Financial Limited</t>
  </si>
  <si>
    <t>Hayman Watkin Davies Ltd</t>
  </si>
  <si>
    <t>N2 ASSET MANAGEMENT LIMITED</t>
  </si>
  <si>
    <t>Dharmea Financial Planning Ltd</t>
  </si>
  <si>
    <t>E &amp; S Financial Planning Ltd</t>
  </si>
  <si>
    <t>Lathe &amp; Co Wealth Advisers Ltd</t>
  </si>
  <si>
    <t>Forbes Wealth Ltd</t>
  </si>
  <si>
    <t>Sunrise Independent Financial Advisers Limited</t>
  </si>
  <si>
    <t>PDT Financial Services Ltd</t>
  </si>
  <si>
    <t>Advice Wise Ltd</t>
  </si>
  <si>
    <t>Legal and General Financial Advice Limited</t>
  </si>
  <si>
    <t>Reeves Independent Limited</t>
  </si>
  <si>
    <t>Cantium Wealth Management Limited</t>
  </si>
  <si>
    <t>Assured Pensions &amp; Investments Ltd</t>
  </si>
  <si>
    <t>MJS Financial Ltd</t>
  </si>
  <si>
    <t>Meridan Pension Services Limited</t>
  </si>
  <si>
    <t>Howlett Reid Wealth Management</t>
  </si>
  <si>
    <t>Headway Wealth ltd</t>
  </si>
  <si>
    <t>Vital Financial Planning Ltd</t>
  </si>
  <si>
    <t>Key Financial Planning Ltd</t>
  </si>
  <si>
    <t>Kendar Advisors Ltd</t>
  </si>
  <si>
    <t>Rosewood Wealth Management Ltd</t>
  </si>
  <si>
    <t>Firmus Wealth Management Limited</t>
  </si>
  <si>
    <t>Dragon Financial Planning Ltd</t>
  </si>
  <si>
    <t>Daniel Geach Ltd</t>
  </si>
  <si>
    <t>McWilliam IFS Ltd</t>
  </si>
  <si>
    <t>Apex Wealth Management Limited</t>
  </si>
  <si>
    <t>Withycombe Financial Services Limited</t>
  </si>
  <si>
    <t>Asset Intelligence Portfolio Management Limited</t>
  </si>
  <si>
    <t>Jenny Lomas</t>
  </si>
  <si>
    <t>Trilogy Financial Planning Limited</t>
  </si>
  <si>
    <t>Aspen Wealth Management LLP</t>
  </si>
  <si>
    <t>Qiying Financial Limited</t>
  </si>
  <si>
    <t>Financial Framework Wealth &amp; Estate Planning Limited</t>
  </si>
  <si>
    <t>Ben Thorpe Financial Services Limited</t>
  </si>
  <si>
    <t>Blake and Day Financial Planning Limited</t>
  </si>
  <si>
    <t>Staverton Garage Limited</t>
  </si>
  <si>
    <t>Causeway Financial Management Ltd</t>
  </si>
  <si>
    <t>Raeburn Christie Clark &amp; Wallace LLP</t>
  </si>
  <si>
    <t>FSS Wealth &amp; Pensions Ltd</t>
  </si>
  <si>
    <t>BML Financial Solutions Limited</t>
  </si>
  <si>
    <t>Haven Global Strategies Limited</t>
  </si>
  <si>
    <t>Financial Connections Wealth Management Ltd</t>
  </si>
  <si>
    <t>Halliday Financial Guidance Limited</t>
  </si>
  <si>
    <t>Mackintosh Beardsley Wealth Management Limited</t>
  </si>
  <si>
    <t>One2one Financial Advice Limited</t>
  </si>
  <si>
    <t>Manning Gee Investments Limited</t>
  </si>
  <si>
    <t>Windsor Wealth Management Limited</t>
  </si>
  <si>
    <t>Mackenzie Financial Planning Ltd</t>
  </si>
  <si>
    <t>Phoenix Financial Advisers Limited</t>
  </si>
  <si>
    <t>Imperial Independent Mortgage Services Ltd</t>
  </si>
  <si>
    <t>Nucleus Wealth Planning Limited</t>
  </si>
  <si>
    <t>CS Wealth Consultancy Limited</t>
  </si>
  <si>
    <t>Caroline Anderson IFA LTD</t>
  </si>
  <si>
    <t>De Luca West Financial Planning Ltd</t>
  </si>
  <si>
    <t>Christopher J Jones Wealth Management Ltd</t>
  </si>
  <si>
    <t>Rosart Holdings Limited</t>
  </si>
  <si>
    <t>Stratton Wealth Management Limited</t>
  </si>
  <si>
    <t>Professional Financial Planning Ltd.</t>
  </si>
  <si>
    <t>Butcher &amp; Moody Financial Services Ltd</t>
  </si>
  <si>
    <t>Castle Financial Services (South East) Ltd</t>
  </si>
  <si>
    <t>Paul Russell Financial Services Ltd</t>
  </si>
  <si>
    <t>Castra Financial limited</t>
  </si>
  <si>
    <t>Shaun Keir Watson</t>
  </si>
  <si>
    <t>CIRCA5000 LTD</t>
  </si>
  <si>
    <t>Akorn Financial Advice Limited</t>
  </si>
  <si>
    <t>Bright Cube Money Ltd</t>
  </si>
  <si>
    <t>Crieff Financial &amp; Mortgage Centre Limited</t>
  </si>
  <si>
    <t>B-Advised Ltd</t>
  </si>
  <si>
    <t>Starck Uberoi Wealth Ltd</t>
  </si>
  <si>
    <t>Gibbons Wealth Management Limited</t>
  </si>
  <si>
    <t>Weldons Wealth Management Ltd</t>
  </si>
  <si>
    <t>P J Watts Independent Financial Adviser Ltd</t>
  </si>
  <si>
    <t>Severnside Financial Planning Ltd</t>
  </si>
  <si>
    <t>Hundle &amp; Partners Limited</t>
  </si>
  <si>
    <t>Peter Rooney</t>
  </si>
  <si>
    <t>Xentum Limited</t>
  </si>
  <si>
    <t>Tallow Financial Planning Limited</t>
  </si>
  <si>
    <t>Justin Heaton Limited</t>
  </si>
  <si>
    <t>RMS Wealth Management Limited</t>
  </si>
  <si>
    <t>Premier Wealth Solutions Ltd</t>
  </si>
  <si>
    <t>Barclay &amp; Bond Financial Planners LLP</t>
  </si>
  <si>
    <t>ProPlan Financial Advice Limited</t>
  </si>
  <si>
    <t>Consequential Planning Limited</t>
  </si>
  <si>
    <t>Ian Gordon Financial Services (Scotland) LTD</t>
  </si>
  <si>
    <t>A W Financial Services Limited</t>
  </si>
  <si>
    <t>MIWORLD WEALTH MANAGEMENT LIMITED</t>
  </si>
  <si>
    <t>Simon Potter Investments Limited</t>
  </si>
  <si>
    <t>Lytton Financial Limited</t>
  </si>
  <si>
    <t>GK Wealth Ltd</t>
  </si>
  <si>
    <t>Amulet Private Office Limited</t>
  </si>
  <si>
    <t>Topstone Capital Limited</t>
  </si>
  <si>
    <t>Cooper Brewer Ltd</t>
  </si>
  <si>
    <t>Cala Investments Limited</t>
  </si>
  <si>
    <t>MIT Fiscal Ltd</t>
  </si>
  <si>
    <t>Iridium Corporate Finance Limited</t>
  </si>
  <si>
    <t>Darryl Martin Investments Limited</t>
  </si>
  <si>
    <t>Barker Financial Associates</t>
  </si>
  <si>
    <t>Tony Walker Financial Planning Services Limited</t>
  </si>
  <si>
    <t>Pace Financial Management Limited</t>
  </si>
  <si>
    <t>Universe Financial Advice Ltd</t>
  </si>
  <si>
    <t>Bowden Financial Consultancy Ltd</t>
  </si>
  <si>
    <t>Andrew Reid</t>
  </si>
  <si>
    <t>Framling Wealth Ltd</t>
  </si>
  <si>
    <t>Donna Malone Financial Advice Limited</t>
  </si>
  <si>
    <t>Surrey Hills Financial Management Limited</t>
  </si>
  <si>
    <t>Wealthfusion Limited</t>
  </si>
  <si>
    <t>Bluesky Financial Planners Limited</t>
  </si>
  <si>
    <t>Millennial Wealth Ltd</t>
  </si>
  <si>
    <t>John Christopher Kinch</t>
  </si>
  <si>
    <t>M B Financial Planning Limited</t>
  </si>
  <si>
    <t>WKM Wealth Ltd</t>
  </si>
  <si>
    <t>UCAP Asset Management (UK) Ltd</t>
  </si>
  <si>
    <t>Acumen Pensions and Investments Limited</t>
  </si>
  <si>
    <t>Aimee Financial Limited</t>
  </si>
  <si>
    <t>Atkinson Financial Services Limited</t>
  </si>
  <si>
    <t>Campbell Financial Services Ltd</t>
  </si>
  <si>
    <t>Cortex Wealth Management Ltd</t>
  </si>
  <si>
    <t>Your Future Your Money Limited</t>
  </si>
  <si>
    <t>Goldstraw Associates Limited</t>
  </si>
  <si>
    <t>FOREST FINANCIAL PLANNING LIMITED</t>
  </si>
  <si>
    <t>New World Financial Group Ltd</t>
  </si>
  <si>
    <t>Skinner Financial Consultancy Limited</t>
  </si>
  <si>
    <t>WHITMAN ASSET MANAGEMENT LIMITED</t>
  </si>
  <si>
    <t>Independent, Advanced &amp; Clear Ltd</t>
  </si>
  <si>
    <t>Portland Financial Planning Limited</t>
  </si>
  <si>
    <t>Umbra Capital Partners LLP</t>
  </si>
  <si>
    <t>William Highbourne Wealth Management Limited</t>
  </si>
  <si>
    <t>Spencer Maynard W M Limited</t>
  </si>
  <si>
    <t>Odin Financial Planning Ltd</t>
  </si>
  <si>
    <t>Michael McKeown Investment Planning Limited</t>
  </si>
  <si>
    <t>Voyager Asset Management Ltd</t>
  </si>
  <si>
    <t>Greycoat Financial Services Limited</t>
  </si>
  <si>
    <t>Spend Time Ltd</t>
  </si>
  <si>
    <t>Thomson Tyndall Limited</t>
  </si>
  <si>
    <t>Alexander Wealth Management Limited</t>
  </si>
  <si>
    <t>Wieldmore Investment Management Limited</t>
  </si>
  <si>
    <t>Pearson Solicitors and Financial Advisers Ltd</t>
  </si>
  <si>
    <t>Bournebridge Financial Services Limited</t>
  </si>
  <si>
    <t>Midas Portal Limited</t>
  </si>
  <si>
    <t>Woodside Financial Planning Ltd</t>
  </si>
  <si>
    <t>Edwards Associates Independent Wealth Advisers LTD</t>
  </si>
  <si>
    <t>DG Financial Wealth Ltd</t>
  </si>
  <si>
    <t>Promethean Financial Consultants Limited</t>
  </si>
  <si>
    <t>Millward Wealth Management Limited</t>
  </si>
  <si>
    <t>Hannay Wealth LLP</t>
  </si>
  <si>
    <t>Stepping Stones Financial Solutions Limited</t>
  </si>
  <si>
    <t>Navigate IFA Ltd</t>
  </si>
  <si>
    <t>Sirius Wealth Management LLP</t>
  </si>
  <si>
    <t>Westside Independent Financial Services LLP</t>
  </si>
  <si>
    <t>F1rst Financial Services Ltd</t>
  </si>
  <si>
    <t>Wealthflow Group Ltd</t>
  </si>
  <si>
    <t>Mander Duffill Financial Services Ltd</t>
  </si>
  <si>
    <t>2TIX Ltd</t>
  </si>
  <si>
    <t>Daniel Associates 1989 Ltd</t>
  </si>
  <si>
    <t>Christopher Jones Wealth Management Ltd</t>
  </si>
  <si>
    <t>EBCam Limited</t>
  </si>
  <si>
    <t>DW 2020 Limited</t>
  </si>
  <si>
    <t>Berry Financial Planning Ltd</t>
  </si>
  <si>
    <t>JB Financial Advice Ltd</t>
  </si>
  <si>
    <t>Clarity Independent Wealth Management Limited</t>
  </si>
  <si>
    <t>Collaborative Wealth Limited</t>
  </si>
  <si>
    <t>EST Wealth Ltd</t>
  </si>
  <si>
    <t>Medical Wealthcare Planning Limited</t>
  </si>
  <si>
    <t>Paul Forman-Cummings</t>
  </si>
  <si>
    <t>English Rose Financial Planning Ltd</t>
  </si>
  <si>
    <t>Prosper Fintech Limited</t>
  </si>
  <si>
    <t>Clifton Financial Planning Limited</t>
  </si>
  <si>
    <t>BBT Group Limited</t>
  </si>
  <si>
    <t>Aspirational Financial Planning Limited</t>
  </si>
  <si>
    <t>David Williams Financial Solutions Limited</t>
  </si>
  <si>
    <t>Richards Financial Limited</t>
  </si>
  <si>
    <t>Affinity Financial Associates Ltd</t>
  </si>
  <si>
    <t>Allonby + Partners Ltd</t>
  </si>
  <si>
    <t>Manfield Wealth Management Limited</t>
  </si>
  <si>
    <t>Mark Carroll</t>
  </si>
  <si>
    <t>Redpath Financial Planning Limited</t>
  </si>
  <si>
    <t>PAF Hereford Ltd</t>
  </si>
  <si>
    <t>Ethical Adviser(UK) Ltd</t>
  </si>
  <si>
    <t>Meridiem Investment Management Limited</t>
  </si>
  <si>
    <t>Alistair Craig Financial Services Ltd</t>
  </si>
  <si>
    <t>Freedom Financial Planning Ltd</t>
  </si>
  <si>
    <t>56 Wealth Management Limited</t>
  </si>
  <si>
    <t>Hartley Ross Ltd</t>
  </si>
  <si>
    <t>Hather Financial Services Limited</t>
  </si>
  <si>
    <t>Longhurst Limited</t>
  </si>
  <si>
    <t>Gosford Financial Services Ltd</t>
  </si>
  <si>
    <t>Edenhurst Limited</t>
  </si>
  <si>
    <t>Eclipse Adviser (Pensions &amp; Investments) Ltd</t>
  </si>
  <si>
    <t>Later Life Matters Ltd</t>
  </si>
  <si>
    <t>John Murphy Financial Management Limited</t>
  </si>
  <si>
    <t>Chase Financial Limited</t>
  </si>
  <si>
    <t>Readymoney Investments Limited</t>
  </si>
  <si>
    <t>Avoca Wealth Management Ltd</t>
  </si>
  <si>
    <t>Fairhall Investments Ltd</t>
  </si>
  <si>
    <t>Michael Edwin Harwood</t>
  </si>
  <si>
    <t>Artless Wealth Ltd</t>
  </si>
  <si>
    <t>Hampton Financial Services Ltd</t>
  </si>
  <si>
    <t>B3 Wealth Management Limited</t>
  </si>
  <si>
    <t>Money Matters (Bucks) Limited</t>
  </si>
  <si>
    <t>Fox Heritage Financial Services Limited</t>
  </si>
  <si>
    <t>Edmund Nigel Wallen (T/A KL &amp; EW Financial Services)</t>
  </si>
  <si>
    <t>The Wright Financial Company Ltd</t>
  </si>
  <si>
    <t>Macfarlane Wealth Management Ltd</t>
  </si>
  <si>
    <t>Dowgate Wealth Limited</t>
  </si>
  <si>
    <t>Sentinel Portfolio Management Limited</t>
  </si>
  <si>
    <t>Park Lidgett Wealth Management Limited</t>
  </si>
  <si>
    <t>Semiramiss Hosseinian</t>
  </si>
  <si>
    <t>Shields Wealth Planning Ltd</t>
  </si>
  <si>
    <t>Michael Reed Wealth Management Limited</t>
  </si>
  <si>
    <t>Robert Sheppard</t>
  </si>
  <si>
    <t>Enigma Strategy Limited</t>
  </si>
  <si>
    <t>Cansquared Limited</t>
  </si>
  <si>
    <t>Denis Hugh Gilgallon</t>
  </si>
  <si>
    <t>Sixty Three Capital Ltd</t>
  </si>
  <si>
    <t>Interalpha Financial Planning Limited</t>
  </si>
  <si>
    <t>CSense Capital FS Ltd</t>
  </si>
  <si>
    <t>Hesketh Financial Planning Limited</t>
  </si>
  <si>
    <t>D Bragg Financial Solutions Ltd</t>
  </si>
  <si>
    <t>Stolworthy Pilling Ltd</t>
  </si>
  <si>
    <t>Greenspace Sustainable Financial Planning Ltd</t>
  </si>
  <si>
    <t>New Horizon Global Advisory Ltd</t>
  </si>
  <si>
    <t>MB Private Office Ltd</t>
  </si>
  <si>
    <t>Financial Life Planning Limited</t>
  </si>
  <si>
    <t>Broadoak Financial Planning Ltd</t>
  </si>
  <si>
    <t>Method Asset Management Limited</t>
  </si>
  <si>
    <t>Financial Options (N.E.) Limited</t>
  </si>
  <si>
    <t>Confidential Financial Planning Limited</t>
  </si>
  <si>
    <t>Logical Financial Advice Limited</t>
  </si>
  <si>
    <t>Norman Gray</t>
  </si>
  <si>
    <t>Redland Wealth Management Group Limited</t>
  </si>
  <si>
    <t>RWC Corporate Benefits Limited</t>
  </si>
  <si>
    <t>Ajax Wealth Management Limited</t>
  </si>
  <si>
    <t>Dermot Brannigan</t>
  </si>
  <si>
    <t>Allied Financial (W-Ton) Ltd</t>
  </si>
  <si>
    <t>BMSG Wealth Management Limited</t>
  </si>
  <si>
    <t>JEM Financial Planning Ltd</t>
  </si>
  <si>
    <t>Virtu Financial Planning Ltd</t>
  </si>
  <si>
    <t>Poise Financial Planning Limited</t>
  </si>
  <si>
    <t>MAP Financial Planning Ltd</t>
  </si>
  <si>
    <t>Kilkee Financial Services Limited</t>
  </si>
  <si>
    <t>Kyle Insurance and Financial Services LLP</t>
  </si>
  <si>
    <t>Better World Financial Planning Limited</t>
  </si>
  <si>
    <t>Ian O'Brien Limited</t>
  </si>
  <si>
    <t>MG Asset Planning Ltd</t>
  </si>
  <si>
    <t>Professional Connection (South) Limited</t>
  </si>
  <si>
    <t>Atlantic House Investments Limited</t>
  </si>
  <si>
    <t>SGW Wealth Management Ltd</t>
  </si>
  <si>
    <t>Butterworths Asset Management LLP</t>
  </si>
  <si>
    <t>Barnaby Cecil Financial Planning Limited</t>
  </si>
  <si>
    <t>Stover Financial Planners Ltd</t>
  </si>
  <si>
    <t>Whiteleys Financial Management LLP</t>
  </si>
  <si>
    <t>ST PAULS FINANCIAL PLANNING LIMITED</t>
  </si>
  <si>
    <t>Simone Grogan</t>
  </si>
  <si>
    <t>Renaissance Financial Ltd</t>
  </si>
  <si>
    <t>James &amp; Co Wealth Management Limited</t>
  </si>
  <si>
    <t>Red IFA (Nottingham) Limited</t>
  </si>
  <si>
    <t>Heronsgate Capital LLP</t>
  </si>
  <si>
    <t>Hammond Financial Planning Limited</t>
  </si>
  <si>
    <t>MAP Independent Financial Services Limited</t>
  </si>
  <si>
    <t>D Scott Financial Limited</t>
  </si>
  <si>
    <t>EVA Capital Management Limited</t>
  </si>
  <si>
    <t>Waypoint Corporate Finance Limited</t>
  </si>
  <si>
    <t>Woodward Financials Limited</t>
  </si>
  <si>
    <t>Roatan Consulting Limited</t>
  </si>
  <si>
    <t>Simply Pensions Ltd</t>
  </si>
  <si>
    <t>Blacksquare Advisory Limited</t>
  </si>
  <si>
    <t>Mendy &amp; Watt Financial Advisers Limited</t>
  </si>
  <si>
    <t>8point8 Capital Ltd</t>
  </si>
  <si>
    <t>Advanced Investment &amp; Retirement Planning (Scotland) Ltd</t>
  </si>
  <si>
    <t>Emericks Financial Services Limited</t>
  </si>
  <si>
    <t>Consolidatemypensions.com Ltd</t>
  </si>
  <si>
    <t>Entre-Wealth Limited</t>
  </si>
  <si>
    <t>Somerset WM Limited</t>
  </si>
  <si>
    <t>S B Financial Solutions Limited</t>
  </si>
  <si>
    <t>AFM Wealth Management Ltd</t>
  </si>
  <si>
    <t>Gresham Financial Strategies Ltd</t>
  </si>
  <si>
    <t>Temple Bar CFP Limited</t>
  </si>
  <si>
    <t>Arborheath Ltd</t>
  </si>
  <si>
    <t>Advies Private Clients LLP</t>
  </si>
  <si>
    <t>Witham Phoenix Limited</t>
  </si>
  <si>
    <t>Wealthwise Financial Solutions Ltd</t>
  </si>
  <si>
    <t>DOMESTIC &amp; GENERAL INSURANCE EUROPE AG</t>
  </si>
  <si>
    <t>Crawford Drake Wealth Management Limited</t>
  </si>
  <si>
    <t>Wealthway Limited</t>
  </si>
  <si>
    <t>Zozma Ltd</t>
  </si>
  <si>
    <t>Ashbury Financial Ltd</t>
  </si>
  <si>
    <t>A.B.M. Consultancy</t>
  </si>
  <si>
    <t>Faramond UK Limited</t>
  </si>
  <si>
    <t>Wood Kirkbride Independent Financial Advisers Limited</t>
  </si>
  <si>
    <t>Tailored Wealth &amp; Trust Management Limited</t>
  </si>
  <si>
    <t>Gowans Wealth Management Limited</t>
  </si>
  <si>
    <t>Robert Milne Financial Advisers Limited</t>
  </si>
  <si>
    <t>Canford and Castle Financial Planning Limited</t>
  </si>
  <si>
    <t>Linear Financial Management Ltd</t>
  </si>
  <si>
    <t>Mike McGirr Financial Services Limited</t>
  </si>
  <si>
    <t>Bareham Independent Financial Advisers Limited</t>
  </si>
  <si>
    <t>T.M. Pullen</t>
  </si>
  <si>
    <t>Ptarmigan Capital Limited</t>
  </si>
  <si>
    <t>Chartered Financial Solutions Limited</t>
  </si>
  <si>
    <t>Rupert Scholes</t>
  </si>
  <si>
    <t>First Avenue Financial Ltd</t>
  </si>
  <si>
    <t>Charterhouse Financial Limited</t>
  </si>
  <si>
    <t>Tony Revans Financial Planning 2000 Limited</t>
  </si>
  <si>
    <t>Opulence Investment Management Limited</t>
  </si>
  <si>
    <t>St. Columb Financial Services Ltd</t>
  </si>
  <si>
    <t>Rockmas Capital Management Limited</t>
  </si>
  <si>
    <t>Belmore Financial Planning Ltd</t>
  </si>
  <si>
    <t>Hymans Robertson Personal Wealth LLP</t>
  </si>
  <si>
    <t>Independent Financial Limited</t>
  </si>
  <si>
    <t>MPFS Wealth Management Limited</t>
  </si>
  <si>
    <t>Insight Wealth Financial Advisers Ltd</t>
  </si>
  <si>
    <t>The David Hewitt Partnership Limited</t>
  </si>
  <si>
    <t>Garwood Wealth Management Limited</t>
  </si>
  <si>
    <t>Corporate Financial Resources LLP</t>
  </si>
  <si>
    <t>Sonar Financial Services Limited</t>
  </si>
  <si>
    <t>CSM Financial Solutions Limited</t>
  </si>
  <si>
    <t>Stiles &amp; Company Financial Services (Petersfield) Limited</t>
  </si>
  <si>
    <t>Conrad James Ltd</t>
  </si>
  <si>
    <t>Kernow Financial Planning Ltd</t>
  </si>
  <si>
    <t>Stem Financial Ltd</t>
  </si>
  <si>
    <t>Gibbs Denley Financial Services Limited</t>
  </si>
  <si>
    <t>Kate Talbot Financial Planning Limited</t>
  </si>
  <si>
    <t>Echo Wealth Management Limited</t>
  </si>
  <si>
    <t>Think Money Management Limited</t>
  </si>
  <si>
    <t>Derek Tidy Limited</t>
  </si>
  <si>
    <t>Jamie Buchan Wealth Management Limited</t>
  </si>
  <si>
    <t>BB Wealth Limited</t>
  </si>
  <si>
    <t>Bates Independent Limited</t>
  </si>
  <si>
    <t>Pennines IFA Limited</t>
  </si>
  <si>
    <t>K3 Advisory Limited</t>
  </si>
  <si>
    <t>Martin Smith Independent Financial Adviser Ltd</t>
  </si>
  <si>
    <t>Pura Wealth Management Ltd</t>
  </si>
  <si>
    <t>Alington Ruthin Stockbrokers and Investment Management Limited</t>
  </si>
  <si>
    <t>Clear Future Financial Planners Limited</t>
  </si>
  <si>
    <t>Lucent Financial Planning Ltd</t>
  </si>
  <si>
    <t>Watchorn Financial Services Ltd</t>
  </si>
  <si>
    <t>Purple Wealth Ltd</t>
  </si>
  <si>
    <t>Milligan Financial Planning Limited</t>
  </si>
  <si>
    <t>Martlets IFA Ltd</t>
  </si>
  <si>
    <t>AJN Financial Services Ltd</t>
  </si>
  <si>
    <t>Butterfly Financial Planning Limited</t>
  </si>
  <si>
    <t>Lexden Wealth Management Limited</t>
  </si>
  <si>
    <t>Lynch Wealth Management Ltd</t>
  </si>
  <si>
    <t>Burrows and Foy LLP</t>
  </si>
  <si>
    <t>Windsor Financial Planning Limited</t>
  </si>
  <si>
    <t>Broadstreet Wealth Management Limited</t>
  </si>
  <si>
    <t>Newbold Wealth Management Limited</t>
  </si>
  <si>
    <t>Michael Anthony Coll</t>
  </si>
  <si>
    <t>Money Principles Ltd</t>
  </si>
  <si>
    <t>Compendium Wealth LLP</t>
  </si>
  <si>
    <t>The Rock-Financial Management Companies Ltd</t>
  </si>
  <si>
    <t>Towers Whitehead Wealth Management Limited</t>
  </si>
  <si>
    <t>Paul Pugsley</t>
  </si>
  <si>
    <t>AMS Wealth Management Ltd</t>
  </si>
  <si>
    <t>Mallory Wealth Limited</t>
  </si>
  <si>
    <t>AKC Independent Financial Advisers Ltd</t>
  </si>
  <si>
    <t>Grant Financial Planning Ltd</t>
  </si>
  <si>
    <t>Blaxsell Financial Planning Ltd</t>
  </si>
  <si>
    <t>Two10 Investment Services Limited</t>
  </si>
  <si>
    <t>Tuckers Legal &amp; Financial Services Ltd</t>
  </si>
  <si>
    <t>Ascend Wealth Management Ltd</t>
  </si>
  <si>
    <t>SGM Financial Management Ltd</t>
  </si>
  <si>
    <t>RPG CROUCH CHAPMAN FINANCIAL SERVICES LIMITED</t>
  </si>
  <si>
    <t>Absolute AW Limited</t>
  </si>
  <si>
    <t>Neligan Financial Limited</t>
  </si>
  <si>
    <t>Bedford Wealth Ltd</t>
  </si>
  <si>
    <t>Halcyon Wealth UK Ltd</t>
  </si>
  <si>
    <t>Rushton Ricard LLP</t>
  </si>
  <si>
    <t>Pension Advisers UK Limited</t>
  </si>
  <si>
    <t>Framtiden Wealth Ltd</t>
  </si>
  <si>
    <t>Red Star Wealth Management Limited</t>
  </si>
  <si>
    <t>Ludice Wealth Management Ltd</t>
  </si>
  <si>
    <t>Gem &amp; Co Financial Services Limited</t>
  </si>
  <si>
    <t>Inglis Financial Advice Ltd</t>
  </si>
  <si>
    <t>MPI Financial Advice Ltd</t>
  </si>
  <si>
    <t>iPensions Wealth Limited</t>
  </si>
  <si>
    <t>Invicta Financial Solutions Ltd</t>
  </si>
  <si>
    <t>Coast to Coast Financial Planning Services Limited</t>
  </si>
  <si>
    <t>iWealth Financial Ltd</t>
  </si>
  <si>
    <t>Affinity Group Financial Services Limited</t>
  </si>
  <si>
    <t>Pura Vida Financial Planning Ltd</t>
  </si>
  <si>
    <t>Buchanan &amp; Company Financial Services Limited</t>
  </si>
  <si>
    <t>Newark Wealth Ltd</t>
  </si>
  <si>
    <t>Coleshill Mortgage Services Limited</t>
  </si>
  <si>
    <t>Sustainable Wealth Management Ltd</t>
  </si>
  <si>
    <t>Rothschild &amp; Co Equity Markets Solutions Limited</t>
  </si>
  <si>
    <t>Altior Asset Management Ltd</t>
  </si>
  <si>
    <t>Privalgo Markets Limited</t>
  </si>
  <si>
    <t>de Lisle Financial Planning Limited</t>
  </si>
  <si>
    <t>O'Sullivan Financial Planning Ltd</t>
  </si>
  <si>
    <t>Daniel Harvey</t>
  </si>
  <si>
    <t>Blackthorn Financial Services Ltd</t>
  </si>
  <si>
    <t>Philip Carvill &amp; Company Limited</t>
  </si>
  <si>
    <t>Cambridge Financial Services Ltd</t>
  </si>
  <si>
    <t>Porters Financial Ltd</t>
  </si>
  <si>
    <t>Enlighten Financial Services Limited</t>
  </si>
  <si>
    <t>Fraser Backhouse LLP</t>
  </si>
  <si>
    <t>Significant  Financial Limited</t>
  </si>
  <si>
    <t>Blackwell Private Wealth Ltd</t>
  </si>
  <si>
    <t>Kingston Independent Financial Services Ltd</t>
  </si>
  <si>
    <t>Grosvenor Corlett Bird Limited</t>
  </si>
  <si>
    <t>Cleveden Park Wealth Ltd</t>
  </si>
  <si>
    <t>Bureau of Independent Financial Advice Ltd</t>
  </si>
  <si>
    <t>Graeme Beattie &amp; Carolyn Beattie</t>
  </si>
  <si>
    <t>Foursquare Financial Management Ltd</t>
  </si>
  <si>
    <t>The Avis &amp; Keith Partnership</t>
  </si>
  <si>
    <t>Whitebeam Independent Financial Advice Ltd</t>
  </si>
  <si>
    <t>Eastern Financial Consultants Ltd</t>
  </si>
  <si>
    <t>Midland Wealth Solutions Limited</t>
  </si>
  <si>
    <t>Whitehall Partnership LLP</t>
  </si>
  <si>
    <t>Goodwin Financial Services Limited</t>
  </si>
  <si>
    <t>Anthony Darren Thursfield</t>
  </si>
  <si>
    <t>Velarium Wealth Ltd</t>
  </si>
  <si>
    <t>A2M Financial &amp; Estate Planning Ltd</t>
  </si>
  <si>
    <t>Falcon Financial Planning Limited</t>
  </si>
  <si>
    <t>Financial Succession Limited</t>
  </si>
  <si>
    <t>24/7 Investment Management Ltd</t>
  </si>
  <si>
    <t>Scottsbridge Financial Planning Ltd</t>
  </si>
  <si>
    <t>Martin Escott</t>
  </si>
  <si>
    <t>The Money Partnership Limited</t>
  </si>
  <si>
    <t>Mangu Wealth Management Limited</t>
  </si>
  <si>
    <t>Kinetic Private Investments Limited</t>
  </si>
  <si>
    <t>Resolute Financial Planning Ltd</t>
  </si>
  <si>
    <t>Deven Yagnic Limited</t>
  </si>
  <si>
    <t>INVEST PROTECT INSURE FINANCIAL ADVICE LTD</t>
  </si>
  <si>
    <t>St Matthews Financial Services Ltd</t>
  </si>
  <si>
    <t>Ethical Wealth Planning Ltd</t>
  </si>
  <si>
    <t>Audley Wealth Limited</t>
  </si>
  <si>
    <t>Plena Wealth Management Ltd</t>
  </si>
  <si>
    <t>Richmond IFA Ltd</t>
  </si>
  <si>
    <t>Charlcombe Partners Limited</t>
  </si>
  <si>
    <t>MGY Management Services Limited</t>
  </si>
  <si>
    <t>Start Financial Planning Limited</t>
  </si>
  <si>
    <t>Mensarius Wealth Ltd</t>
  </si>
  <si>
    <t>Greentree Wealth Management Limited</t>
  </si>
  <si>
    <t>Claremont Financial Services (NW) Ltd</t>
  </si>
  <si>
    <t>Scott Capital Partners LLP</t>
  </si>
  <si>
    <t>Ingoodshape Limited</t>
  </si>
  <si>
    <t>Azimuth Financial (Oxford) Limited</t>
  </si>
  <si>
    <t>Oracle Financial Advice Ltd</t>
  </si>
  <si>
    <t>Positive Independent Financial Planning Limited</t>
  </si>
  <si>
    <t>Melanie Green Financial Planning Limited</t>
  </si>
  <si>
    <t>Bletchley Financial Ltd</t>
  </si>
  <si>
    <t>C S Financial Planning Limited</t>
  </si>
  <si>
    <t>Venture Financial Services Ltd</t>
  </si>
  <si>
    <t>Calton Wealth Management Ltd</t>
  </si>
  <si>
    <t>Broadland Consultants Ltd</t>
  </si>
  <si>
    <t>Shepherd Independent Financial Advisers Limited</t>
  </si>
  <si>
    <t>Watson Financial Planning Ltd</t>
  </si>
  <si>
    <t>The SE7EN Group Ltd</t>
  </si>
  <si>
    <t>Belle Financial Services Limited</t>
  </si>
  <si>
    <t>LGT Bank AG</t>
  </si>
  <si>
    <t>Susan Rowley</t>
  </si>
  <si>
    <t>MARTIN JAMES CLARK</t>
  </si>
  <si>
    <t>Permanent Wealth Partners LTD</t>
  </si>
  <si>
    <t>Cove Financial Planning Limited</t>
  </si>
  <si>
    <t>Ocaris Wealth Management Ltd</t>
  </si>
  <si>
    <t>Hereford Financial Services Ltd</t>
  </si>
  <si>
    <t>Oakglen Wealth Limited</t>
  </si>
  <si>
    <t>Hutchinson Financial Management Limited</t>
  </si>
  <si>
    <t>Gerard Savary Mortgages Ltd</t>
  </si>
  <si>
    <t>Basma Wealth Management Limited</t>
  </si>
  <si>
    <t>Edgar Financial Advice Limited</t>
  </si>
  <si>
    <t>Life Planning Ltd</t>
  </si>
  <si>
    <t>Gneiss Energy Limited</t>
  </si>
  <si>
    <t>Johnstone and Co Financial Services Limited</t>
  </si>
  <si>
    <t>Walmsley Baker (UK) Limited</t>
  </si>
  <si>
    <t>Kimbolton Financial Planning Limited</t>
  </si>
  <si>
    <t>C A Financial Services Ltd</t>
  </si>
  <si>
    <t>Money Penny Wealth Management Limited</t>
  </si>
  <si>
    <t>KP Wealth Ltd</t>
  </si>
  <si>
    <t>William Stuart James Goodwin</t>
  </si>
  <si>
    <t>Modulus Financial Planning Ltd</t>
  </si>
  <si>
    <t>Boyd Young</t>
  </si>
  <si>
    <t>London Financial Consultants Limited</t>
  </si>
  <si>
    <t>Beryllus Capital (UK) Limited</t>
  </si>
  <si>
    <t>Millfield Osceola Financial Consultancy Limited</t>
  </si>
  <si>
    <t>BOS Wealth Management Europe S.A.</t>
  </si>
  <si>
    <t>G &amp; B Associates Independent Financial Advisers LLP</t>
  </si>
  <si>
    <t>Convera UK Financial Limited</t>
  </si>
  <si>
    <t>Gratitude Financial Planning Limited</t>
  </si>
  <si>
    <t>Bluestone Financial Planning Limited</t>
  </si>
  <si>
    <t>OWM Limited</t>
  </si>
  <si>
    <t>Old Mill Financial Planning Limited</t>
  </si>
  <si>
    <t>Parallel Lines - The Advisor Collective Ltd</t>
  </si>
  <si>
    <t>Y Tree Limited</t>
  </si>
  <si>
    <t>Sebright Financial Services Limited</t>
  </si>
  <si>
    <t>Centricity Wealth Management Limited</t>
  </si>
  <si>
    <t>Crowe Corporate Finance UK Limited</t>
  </si>
  <si>
    <t>TFAS Wealth Ltd</t>
  </si>
  <si>
    <t>Claritas Financial Planning Ltd</t>
  </si>
  <si>
    <t>Hilborne House Ltd</t>
  </si>
  <si>
    <t>Cadro Technologies Limited</t>
  </si>
  <si>
    <t>Bounty Financial Planning Limited</t>
  </si>
  <si>
    <t>Aventur Wealth Ltd</t>
  </si>
  <si>
    <t>Cozens and Bird Financial Services Ltd</t>
  </si>
  <si>
    <t>Impact Lens Financial Planning Limited</t>
  </si>
  <si>
    <t>Ravenshead Independent Financial Services Limited</t>
  </si>
  <si>
    <t>Continuity Financial Planning Ltd</t>
  </si>
  <si>
    <t>Redd Wealth Management Limited</t>
  </si>
  <si>
    <t>William James Financial Services Limited</t>
  </si>
  <si>
    <t>Direct Financial Planning (UK) Limited</t>
  </si>
  <si>
    <t>Bespoke Wealth Limited</t>
  </si>
  <si>
    <t>Prerak Financial Services Ltd</t>
  </si>
  <si>
    <t>Auctus Advisors LLP</t>
  </si>
  <si>
    <t>GSB Capital Ltd</t>
  </si>
  <si>
    <t>Knightsgate Wealth Management Ltd</t>
  </si>
  <si>
    <t>Williams Farrall Woodward Ltd</t>
  </si>
  <si>
    <t>Leading Edge Wealth Planning Ltd</t>
  </si>
  <si>
    <t>Craig Kilgour Independent Financial Planning Limited</t>
  </si>
  <si>
    <t>Periscope Financial Limited</t>
  </si>
  <si>
    <t>Chase Financial Management Limited</t>
  </si>
  <si>
    <t>Goldman Sachs Bank Europe SE</t>
  </si>
  <si>
    <t>Forte Financial Consultancy Ltd</t>
  </si>
  <si>
    <t>MWC Group UK</t>
  </si>
  <si>
    <t>Blyth-Richmond Investment Managers Limited</t>
  </si>
  <si>
    <t>Gemstone Wealth Ltd</t>
  </si>
  <si>
    <t>Juniper Wealth Management Limited</t>
  </si>
  <si>
    <t>Andrew Hawker Financial Management Limited</t>
  </si>
  <si>
    <t>Argyll Independent Ltd</t>
  </si>
  <si>
    <t>CFP Energy (UK) Ltd.</t>
  </si>
  <si>
    <t>Piccadilly Wealth Management Limited</t>
  </si>
  <si>
    <t>Sage Advice Limited</t>
  </si>
  <si>
    <t>McAlpine Brown Smyth Ltd</t>
  </si>
  <si>
    <t>Rapid Innovation Group Limited</t>
  </si>
  <si>
    <t>J Clarke &amp; Co Ltd</t>
  </si>
  <si>
    <t>PARADIGM INVESTMENT PARTNERS LTD.</t>
  </si>
  <si>
    <t>Zodiac Wealth Management Limited</t>
  </si>
  <si>
    <t>Adira Financial Services Ltd</t>
  </si>
  <si>
    <t>Stratiphy Limited</t>
  </si>
  <si>
    <t>Munich Re Risk Solutions Ireland</t>
  </si>
  <si>
    <t>Peter Hillman</t>
  </si>
  <si>
    <t>Forgue Financial Services Ltd</t>
  </si>
  <si>
    <t>JGP Financial Services LLP</t>
  </si>
  <si>
    <t>Cube Capital Limited</t>
  </si>
  <si>
    <t>Colin Baldock</t>
  </si>
  <si>
    <t>Honest Wealth Management Ltd</t>
  </si>
  <si>
    <t>Cornerstone Financial Planning Ltd</t>
  </si>
  <si>
    <t>AAF Financial Ltd</t>
  </si>
  <si>
    <t>Sky Wealth Management Limited</t>
  </si>
  <si>
    <t>Long Row Wealth Advisory Limited</t>
  </si>
  <si>
    <t>Cardinal Financial Planning and Wealth Management Limited</t>
  </si>
  <si>
    <t>Acumen Investment and Pension Solutions Ltd</t>
  </si>
  <si>
    <t>Oliver Wealth Ltd</t>
  </si>
  <si>
    <t>Martin Randal</t>
  </si>
  <si>
    <t>Maplewood Training Solutions Ltd</t>
  </si>
  <si>
    <t>Robinson Rose Wealth Management Ltd</t>
  </si>
  <si>
    <t>APG Wealth Management Ltd</t>
  </si>
  <si>
    <t>Astute Wealth Planning Limited</t>
  </si>
  <si>
    <t>Blyth Wealth Management Limited</t>
  </si>
  <si>
    <t>Principled Limited</t>
  </si>
  <si>
    <t>PSD Financial Services Ltd</t>
  </si>
  <si>
    <t>Ayrshire Financial Services Ltd</t>
  </si>
  <si>
    <t>Petra Financial Planning Limited</t>
  </si>
  <si>
    <t>I For Change Ltd</t>
  </si>
  <si>
    <t>Six Q Financial Planning Limited</t>
  </si>
  <si>
    <t>MALBURY FINANCIAL PLANNING LIMITED</t>
  </si>
  <si>
    <t>Odin Wealth Hub Ltd</t>
  </si>
  <si>
    <t>Sidekick Money Ltd</t>
  </si>
  <si>
    <t>Mirabaud &amp; Cie (Europe) S.A. (UK branch)</t>
  </si>
  <si>
    <t>CBFP UK Ltd</t>
  </si>
  <si>
    <t>Oakcean Capital Limited</t>
  </si>
  <si>
    <t>Grafton Wealth Management (UK) Limited</t>
  </si>
  <si>
    <t>Robinson Investment Solutions Ltd</t>
  </si>
  <si>
    <t>Vita Financial Planning Ltd</t>
  </si>
  <si>
    <t>Sculthorp Services Limited</t>
  </si>
  <si>
    <t>The Prestige Family Ltd</t>
  </si>
  <si>
    <t>Beaufort Wealth Management Limited</t>
  </si>
  <si>
    <t>Darsco Wealth MGMT Limited</t>
  </si>
  <si>
    <t>Arborfield Wealth Limited</t>
  </si>
  <si>
    <t>Lann Finance Limited</t>
  </si>
  <si>
    <t>Bloom Financial Consulting Limited</t>
  </si>
  <si>
    <t>Bank Pictet &amp; Cie (Europe) AG</t>
  </si>
  <si>
    <t>Cannizaro Wealth Management (MGM) Limited</t>
  </si>
  <si>
    <t>Haverfords Limited</t>
  </si>
  <si>
    <t>Raven Wealth Planning Ltd</t>
  </si>
  <si>
    <t>Bluebell Financial Management Limited</t>
  </si>
  <si>
    <t>OT Wealth Limited</t>
  </si>
  <si>
    <t>Investing Ideas Ltd</t>
  </si>
  <si>
    <t>Highfield Mortgages Ltd</t>
  </si>
  <si>
    <t>Barras Capital Management Limited</t>
  </si>
  <si>
    <t>Stanbridge Wealth Limited</t>
  </si>
  <si>
    <t>Veritycorp Ltd</t>
  </si>
  <si>
    <t>Parallel Employee Benefits Limited</t>
  </si>
  <si>
    <t>Smith and Co Financial Services Ltd</t>
  </si>
  <si>
    <t>Abode Financial Planning Limited</t>
  </si>
  <si>
    <t>HWIFM Ltd</t>
  </si>
  <si>
    <t>Townends Wealth Management Limited</t>
  </si>
  <si>
    <t>Grafton Court Wealth Management Limited</t>
  </si>
  <si>
    <t>Right Financial Management Ltd</t>
  </si>
  <si>
    <t>Eriskay Wealth Ltd</t>
  </si>
  <si>
    <t>Oakhurst Financial Services Limited</t>
  </si>
  <si>
    <t>Charlton Wealth Management Limited</t>
  </si>
  <si>
    <t>RJ Asset Management Ltd</t>
  </si>
  <si>
    <t>InCred Global Wealth Limited</t>
  </si>
  <si>
    <t>Coleman FS Limited</t>
  </si>
  <si>
    <t>Field Hamlin Wealth Management Limited</t>
  </si>
  <si>
    <t>Steven John O'Neill</t>
  </si>
  <si>
    <t>Everys Financial Services Limited</t>
  </si>
  <si>
    <t>Fairway Financial Planning Limited</t>
  </si>
  <si>
    <t>Vivid Wealth Ltd</t>
  </si>
  <si>
    <t>LCH Wealth Ltd</t>
  </si>
  <si>
    <t>Bates Financial Solutions Limited</t>
  </si>
  <si>
    <t>Two Shires Wealth Management Ltd</t>
  </si>
  <si>
    <t>Fortis Medical Finance Ltd</t>
  </si>
  <si>
    <t>Nineteen Wealth Management Ltd</t>
  </si>
  <si>
    <t>Liberate Wealth Limited</t>
  </si>
  <si>
    <t>Castlegate Capital Limited</t>
  </si>
  <si>
    <t>MacKenzie Webb Associates Limited</t>
  </si>
  <si>
    <t>Foyle Financial Ltd</t>
  </si>
  <si>
    <t>Dixon Financial Planning Ltd</t>
  </si>
  <si>
    <t>Elite Private Wealth Management Limited</t>
  </si>
  <si>
    <t>Verity Financial Planners Ltd</t>
  </si>
  <si>
    <t>Platinum Financial Planning Limited</t>
  </si>
  <si>
    <t>Prosperity Financial Management Limited</t>
  </si>
  <si>
    <t>Utmost International Distribution Services Limited</t>
  </si>
  <si>
    <t>57 North Financial Planning Ltd</t>
  </si>
  <si>
    <t>McCreath Financial Partners Limited</t>
  </si>
  <si>
    <t>Sired Ltd</t>
  </si>
  <si>
    <t>Joosten Financial Planning Ltd</t>
  </si>
  <si>
    <t>Radcliffe and Newlands Wealth Limited</t>
  </si>
  <si>
    <t>Gerard Davis Financial Ltd</t>
  </si>
  <si>
    <t>Nicholas Paul Wealth Management Limited</t>
  </si>
  <si>
    <t>All Aspects Financial Planning Limited</t>
  </si>
  <si>
    <t>CW Executive Finance Limited</t>
  </si>
  <si>
    <t>Gavin Porritt</t>
  </si>
  <si>
    <t>KBS CAPITAL MARKETS LIMITED</t>
  </si>
  <si>
    <t>UR Mortgage London Ltd</t>
  </si>
  <si>
    <t>Yule Financial Services Ltd</t>
  </si>
  <si>
    <t>Details for Count of Company  - Location: Leeds</t>
  </si>
  <si>
    <t xml:space="preserve">Company </t>
  </si>
  <si>
    <t>Location</t>
  </si>
  <si>
    <t>Leeds</t>
  </si>
  <si>
    <t>Details for Count of Company  - Location: Bristol</t>
  </si>
  <si>
    <t>Bristol</t>
  </si>
  <si>
    <t>Details for Count of Company  - Location: Leicester</t>
  </si>
  <si>
    <t>Leicester</t>
  </si>
  <si>
    <t>Mattioli Woods Limited</t>
  </si>
  <si>
    <t>Details for Count of Company  - Location: Nottingham</t>
  </si>
  <si>
    <t>Nottingham</t>
  </si>
  <si>
    <t>Details for Count of Company  - Location: Norwich</t>
  </si>
  <si>
    <t>Norwich</t>
  </si>
  <si>
    <t>Charles-Mayo Financial Advisers Limited</t>
  </si>
  <si>
    <t>Details for Count of Company  - Location: Birmingham</t>
  </si>
  <si>
    <t>Birmingham</t>
  </si>
  <si>
    <t>NFP Financial Planning Limited</t>
  </si>
  <si>
    <t>Details for Count of Company  - Location: Sheffield</t>
  </si>
  <si>
    <t>Sheffield</t>
  </si>
  <si>
    <t>Details for Count of Company  - Location: Cardiff</t>
  </si>
  <si>
    <t>Cardiff</t>
  </si>
  <si>
    <t>ARCHYTAS STRATEGIC PLANNING LIMITED</t>
  </si>
  <si>
    <t>Details for Count of Company  - Location: Belfast</t>
  </si>
  <si>
    <t>Belfast</t>
  </si>
  <si>
    <t>Details for Count of Company  - Location: #N/A</t>
  </si>
  <si>
    <t>Acacia Wealth Limited</t>
  </si>
  <si>
    <t>Details for Count of Company  - Location: Southampton</t>
  </si>
  <si>
    <t>Southampton</t>
  </si>
  <si>
    <t>Details for Count of Company  - Location: Liverpool</t>
  </si>
  <si>
    <t>Liverpool</t>
  </si>
  <si>
    <t>TheWealthPoint Management Ltd</t>
  </si>
  <si>
    <t>SME Wealth Management Limited</t>
  </si>
  <si>
    <t>Details for Count of Company  - Location: York</t>
  </si>
  <si>
    <t>York</t>
  </si>
  <si>
    <t>Bastow &amp; Co Limited</t>
  </si>
  <si>
    <t>Details for Count of Company  - Location: Newcastle Upon Tyne</t>
  </si>
  <si>
    <t>Newcastle Upon Tyne</t>
  </si>
  <si>
    <t>Azets LA Limited</t>
  </si>
  <si>
    <t>Details for Count of Company  - Location: Preston</t>
  </si>
  <si>
    <t>Preston</t>
  </si>
  <si>
    <t>Perspective (Springfield) Limited</t>
  </si>
  <si>
    <t>Fox Lifestyle Financial Planning Limited</t>
  </si>
  <si>
    <t>Details for Count of Company  - Location: Newport</t>
  </si>
  <si>
    <t>Newport</t>
  </si>
  <si>
    <t>KYMIN FINANCIAL SERVICES LIMITED</t>
  </si>
  <si>
    <t>Details for Count of Company  - Location: Colchester</t>
  </si>
  <si>
    <t>Colchester</t>
  </si>
  <si>
    <t>Capel Court Limited</t>
  </si>
  <si>
    <t>Details for Count of Company  - Location: Solihull</t>
  </si>
  <si>
    <t>Solihull</t>
  </si>
  <si>
    <t>Details for Count of Company  - Location: Exeter</t>
  </si>
  <si>
    <t>Exeter</t>
  </si>
  <si>
    <t>Details for Count of Company  - Location: Swansea</t>
  </si>
  <si>
    <t>Swansea</t>
  </si>
  <si>
    <t>M4 Financial Group Limited</t>
  </si>
  <si>
    <t>Details for Count of Company  - Location: Plymouth</t>
  </si>
  <si>
    <t>Plymouth</t>
  </si>
  <si>
    <t>Details for Count of Company  - Location: Harrogate</t>
  </si>
  <si>
    <t>Harrogate</t>
  </si>
  <si>
    <t>GB &amp; Partners Limited</t>
  </si>
  <si>
    <t>Details for Count of Company  - Location: Northampton</t>
  </si>
  <si>
    <t>Northampton</t>
  </si>
  <si>
    <t>MICHAEL FORWARD FINANCIAL SERVICES LIMITED</t>
  </si>
  <si>
    <t>MHA Wealth Limited</t>
  </si>
  <si>
    <t>Details for Count of Company  - Location: Cheltenham</t>
  </si>
  <si>
    <t>Cheltenham</t>
  </si>
  <si>
    <t>Details for Count of Company  - Location: Sutton Coldfield</t>
  </si>
  <si>
    <t>Sutton Coldfield</t>
  </si>
  <si>
    <t>Details for Count of Company  - Location: Wolverhampton</t>
  </si>
  <si>
    <t>Wolverhampton</t>
  </si>
  <si>
    <t>Details for Count of Company  - Location: Chesterfield</t>
  </si>
  <si>
    <t>Chesterfield</t>
  </si>
  <si>
    <t>Details for Count of Company  - Location: Derby</t>
  </si>
  <si>
    <t>Derby</t>
  </si>
  <si>
    <t>Expatriate Advisory Services Limited</t>
  </si>
  <si>
    <t>EGB FINANCIAL LIMITED</t>
  </si>
  <si>
    <t>Details for Count of Company  - Location: Ipswich</t>
  </si>
  <si>
    <t>Ipswich</t>
  </si>
  <si>
    <t>Details for Count of Company  - Location: Aberdeen</t>
  </si>
  <si>
    <t>Aberdeen</t>
  </si>
  <si>
    <t>Details for Count of Company  - Location: Milton Keynes</t>
  </si>
  <si>
    <t>Milton Keynes</t>
  </si>
  <si>
    <t>Imperious Capital Limited</t>
  </si>
  <si>
    <t>Details for Count of Company  - Location: Altrincham</t>
  </si>
  <si>
    <t>Altrincham</t>
  </si>
  <si>
    <t xml:space="preserve">Count of Company </t>
  </si>
  <si>
    <t>London</t>
  </si>
  <si>
    <t>Glasgow</t>
  </si>
  <si>
    <t>Manchester</t>
  </si>
  <si>
    <t>Edinburgh</t>
  </si>
  <si>
    <t>(empty)</t>
  </si>
  <si>
    <t>Fareham</t>
  </si>
  <si>
    <t>Swindon</t>
  </si>
  <si>
    <t>St. Albans</t>
  </si>
  <si>
    <t>Doncaster</t>
  </si>
  <si>
    <t>Peterborough</t>
  </si>
  <si>
    <t>Reading</t>
  </si>
  <si>
    <t>Coventry</t>
  </si>
  <si>
    <t>Guildford</t>
  </si>
  <si>
    <t>Bury</t>
  </si>
  <si>
    <t>Chelmsford</t>
  </si>
  <si>
    <t>Stockport</t>
  </si>
  <si>
    <t>Cambridge</t>
  </si>
  <si>
    <t>Chester</t>
  </si>
  <si>
    <t>Bath</t>
  </si>
  <si>
    <t>Taunton</t>
  </si>
  <si>
    <t>Maidenhead</t>
  </si>
  <si>
    <t>Salisbury</t>
  </si>
  <si>
    <t>BOLTON</t>
  </si>
  <si>
    <t>Bournemouth</t>
  </si>
  <si>
    <t>Bromsgrove</t>
  </si>
  <si>
    <t>Croydon</t>
  </si>
  <si>
    <t>Dundee</t>
  </si>
  <si>
    <t>Huddersfield</t>
  </si>
  <si>
    <t>Poole</t>
  </si>
  <si>
    <t>Warrington</t>
  </si>
  <si>
    <t>Shrewsbury</t>
  </si>
  <si>
    <t>Woking</t>
  </si>
  <si>
    <t>Harpenden</t>
  </si>
  <si>
    <t>Oswestry</t>
  </si>
  <si>
    <t>Farnham</t>
  </si>
  <si>
    <t>Worcester</t>
  </si>
  <si>
    <t>Horsham</t>
  </si>
  <si>
    <t>Stoke-on-Trent</t>
  </si>
  <si>
    <t>Truro</t>
  </si>
  <si>
    <t>Warwick</t>
  </si>
  <si>
    <t>Brighton</t>
  </si>
  <si>
    <t>Tunbridge Wells</t>
  </si>
  <si>
    <t>Gloucester</t>
  </si>
  <si>
    <t>Bishop's Stortford</t>
  </si>
  <si>
    <t>Stockton-on-Tees</t>
  </si>
  <si>
    <t>Ascot</t>
  </si>
  <si>
    <t>Surrey</t>
  </si>
  <si>
    <t>Richmond</t>
  </si>
  <si>
    <t>Sale</t>
  </si>
  <si>
    <t>Billericay</t>
  </si>
  <si>
    <t>Lichfield</t>
  </si>
  <si>
    <t>Kent</t>
  </si>
  <si>
    <t>Lincoln</t>
  </si>
  <si>
    <t>Chippenham</t>
  </si>
  <si>
    <t>Wimborne</t>
  </si>
  <si>
    <t>Bridgend</t>
  </si>
  <si>
    <t>Haywards Heath</t>
  </si>
  <si>
    <t>Hereford</t>
  </si>
  <si>
    <t>Sunderland</t>
  </si>
  <si>
    <t>Stafford</t>
  </si>
  <si>
    <t>Maidstone</t>
  </si>
  <si>
    <t>Hove</t>
  </si>
  <si>
    <t>Newark</t>
  </si>
  <si>
    <t>Gerrards Cross</t>
  </si>
  <si>
    <t>Harrow</t>
  </si>
  <si>
    <t>Newbury</t>
  </si>
  <si>
    <t>Blackpool</t>
  </si>
  <si>
    <t>Hitchin</t>
  </si>
  <si>
    <t>Stourbridge</t>
  </si>
  <si>
    <t>Leatherhead</t>
  </si>
  <si>
    <t>Stratford-upon-Avon</t>
  </si>
  <si>
    <t>Eastbourne</t>
  </si>
  <si>
    <t>Crowborough</t>
  </si>
  <si>
    <t>Barnstaple</t>
  </si>
  <si>
    <t>Darlington</t>
  </si>
  <si>
    <t>Worthing</t>
  </si>
  <si>
    <t>Chichester</t>
  </si>
  <si>
    <t>Oxford</t>
  </si>
  <si>
    <t>Middlesbrough</t>
  </si>
  <si>
    <t>Sevenoaks</t>
  </si>
  <si>
    <t>Sutton</t>
  </si>
  <si>
    <t>Watford</t>
  </si>
  <si>
    <t>Ashford</t>
  </si>
  <si>
    <t>Tamworth</t>
  </si>
  <si>
    <t>Farnborough</t>
  </si>
  <si>
    <t>Rossendale</t>
  </si>
  <si>
    <t>Hertford</t>
  </si>
  <si>
    <t>Southend-on-Sea</t>
  </si>
  <si>
    <t>Bromley</t>
  </si>
  <si>
    <t>Brentwood</t>
  </si>
  <si>
    <t>Tonbridge</t>
  </si>
  <si>
    <t>Rayleigh</t>
  </si>
  <si>
    <t>Stirling</t>
  </si>
  <si>
    <t>Carnforth</t>
  </si>
  <si>
    <t>Llanelli</t>
  </si>
  <si>
    <t>Knutsford</t>
  </si>
  <si>
    <t>Inverness</t>
  </si>
  <si>
    <t>Macclesfield</t>
  </si>
  <si>
    <t>Cirencester</t>
  </si>
  <si>
    <t>Chorley</t>
  </si>
  <si>
    <t>Loughborough</t>
  </si>
  <si>
    <t>Winchester</t>
  </si>
  <si>
    <t>Kidderminster</t>
  </si>
  <si>
    <t>Market Harborough</t>
  </si>
  <si>
    <t>Crewe</t>
  </si>
  <si>
    <t>Witney</t>
  </si>
  <si>
    <t>Wirral</t>
  </si>
  <si>
    <t>Devon</t>
  </si>
  <si>
    <t>Wilmslow</t>
  </si>
  <si>
    <t>Wetherby</t>
  </si>
  <si>
    <t>Dorking</t>
  </si>
  <si>
    <t>Wakefield</t>
  </si>
  <si>
    <t>East Grinstead</t>
  </si>
  <si>
    <t>Leigh-on-Sea</t>
  </si>
  <si>
    <t>Kendal</t>
  </si>
  <si>
    <t>Ayr</t>
  </si>
  <si>
    <t>Essex</t>
  </si>
  <si>
    <t>Ferndown</t>
  </si>
  <si>
    <t>Bedford</t>
  </si>
  <si>
    <t>Southport</t>
  </si>
  <si>
    <t>Leicestershire</t>
  </si>
  <si>
    <t>Godalming</t>
  </si>
  <si>
    <t>Rotherham</t>
  </si>
  <si>
    <t>Reigate</t>
  </si>
  <si>
    <t>Halifax</t>
  </si>
  <si>
    <t>Burgess Hill</t>
  </si>
  <si>
    <t>Bury St. Edmunds</t>
  </si>
  <si>
    <t>Marlow</t>
  </si>
  <si>
    <t>Paisley</t>
  </si>
  <si>
    <t>Orpington</t>
  </si>
  <si>
    <t>Cheadle</t>
  </si>
  <si>
    <t>Oldham</t>
  </si>
  <si>
    <t>Cheshire</t>
  </si>
  <si>
    <t>Northwich</t>
  </si>
  <si>
    <t>High Wycombe</t>
  </si>
  <si>
    <t>Clevedon</t>
  </si>
  <si>
    <t>Newton Abbot</t>
  </si>
  <si>
    <t>Lancaster</t>
  </si>
  <si>
    <t>Bradford</t>
  </si>
  <si>
    <t>Lewes</t>
  </si>
  <si>
    <t>Hull</t>
  </si>
  <si>
    <t>Berkhamsted</t>
  </si>
  <si>
    <t>Beverley</t>
  </si>
  <si>
    <t>Blackburn</t>
  </si>
  <si>
    <t>Hornchurch</t>
  </si>
  <si>
    <t>Tiverton</t>
  </si>
  <si>
    <t>Lanark</t>
  </si>
  <si>
    <t>Pontefract</t>
  </si>
  <si>
    <t>Norfolk</t>
  </si>
  <si>
    <t>Bridgnorth</t>
  </si>
  <si>
    <t>Carlisle</t>
  </si>
  <si>
    <t>Clitheroe</t>
  </si>
  <si>
    <t>Gateshead</t>
  </si>
  <si>
    <t>Beaconsfield</t>
  </si>
  <si>
    <t>Stanmore</t>
  </si>
  <si>
    <t>Bangor</t>
  </si>
  <si>
    <t>Wokingham</t>
  </si>
  <si>
    <t>Burnley</t>
  </si>
  <si>
    <t>Leamington Spa</t>
  </si>
  <si>
    <t>Wigan</t>
  </si>
  <si>
    <t>Droitwich</t>
  </si>
  <si>
    <t>Ellesmere Port</t>
  </si>
  <si>
    <t>Telford</t>
  </si>
  <si>
    <t>Coalville</t>
  </si>
  <si>
    <t>Craigavon</t>
  </si>
  <si>
    <t>Canterbury</t>
  </si>
  <si>
    <t>Gloucestershire</t>
  </si>
  <si>
    <t>Romsey</t>
  </si>
  <si>
    <t>Rugby</t>
  </si>
  <si>
    <t>Hertfordshire</t>
  </si>
  <si>
    <t>Hook</t>
  </si>
  <si>
    <t>Northallerton</t>
  </si>
  <si>
    <t>Somerset</t>
  </si>
  <si>
    <t>Alfreton</t>
  </si>
  <si>
    <t>St. Helens</t>
  </si>
  <si>
    <t>Ilkley</t>
  </si>
  <si>
    <t>Hexham</t>
  </si>
  <si>
    <t>Staffordshire</t>
  </si>
  <si>
    <t>Torquay</t>
  </si>
  <si>
    <t>Barnsley</t>
  </si>
  <si>
    <t>Lisburn</t>
  </si>
  <si>
    <t>Berkshire</t>
  </si>
  <si>
    <t>Banbury</t>
  </si>
  <si>
    <t>Christchurch</t>
  </si>
  <si>
    <t>Ballymena</t>
  </si>
  <si>
    <t>Haverfordwest</t>
  </si>
  <si>
    <t>Stroud</t>
  </si>
  <si>
    <t>Ivybridge</t>
  </si>
  <si>
    <t>Pontyclun</t>
  </si>
  <si>
    <t>Nelson</t>
  </si>
  <si>
    <t>Esher</t>
  </si>
  <si>
    <t>Sudbury</t>
  </si>
  <si>
    <t>Potters Bar</t>
  </si>
  <si>
    <t>Pinner</t>
  </si>
  <si>
    <t>Diss</t>
  </si>
  <si>
    <t>Suffolk</t>
  </si>
  <si>
    <t>Aylesbury</t>
  </si>
  <si>
    <t>Westcliff-on-Sea</t>
  </si>
  <si>
    <t>West Sussex</t>
  </si>
  <si>
    <t>Penzance</t>
  </si>
  <si>
    <t>Otley</t>
  </si>
  <si>
    <t>Kettering</t>
  </si>
  <si>
    <t>Waterlooville</t>
  </si>
  <si>
    <t>Skipton</t>
  </si>
  <si>
    <t>Dunfermline</t>
  </si>
  <si>
    <t>Walton-on-Thames</t>
  </si>
  <si>
    <t>Uxbridge</t>
  </si>
  <si>
    <t>Twickenham</t>
  </si>
  <si>
    <t>Dumfries</t>
  </si>
  <si>
    <t>Sandbach</t>
  </si>
  <si>
    <t>Bideford</t>
  </si>
  <si>
    <t>Lancashire</t>
  </si>
  <si>
    <t>Poulton-le-Fylde</t>
  </si>
  <si>
    <t>Crawley</t>
  </si>
  <si>
    <t>Mansfield</t>
  </si>
  <si>
    <t>Trowbridge</t>
  </si>
  <si>
    <t>Eastleigh</t>
  </si>
  <si>
    <t>Maldon</t>
  </si>
  <si>
    <t>Folkestone</t>
  </si>
  <si>
    <t>Southsea</t>
  </si>
  <si>
    <t>Leighton Buzzard</t>
  </si>
  <si>
    <t>St Albans</t>
  </si>
  <si>
    <t>Airdrie</t>
  </si>
  <si>
    <t>Alderley Edge</t>
  </si>
  <si>
    <t>Thame</t>
  </si>
  <si>
    <t>Lutterworth</t>
  </si>
  <si>
    <t>Luton</t>
  </si>
  <si>
    <t>Battle</t>
  </si>
  <si>
    <t>Bushey</t>
  </si>
  <si>
    <t>Cumbria</t>
  </si>
  <si>
    <t>Stamford</t>
  </si>
  <si>
    <t>Omagh</t>
  </si>
  <si>
    <t>Barry</t>
  </si>
  <si>
    <t>Livingston</t>
  </si>
  <si>
    <t>Hemel Hempstead</t>
  </si>
  <si>
    <t>Barnet</t>
  </si>
  <si>
    <t>Pontypridd</t>
  </si>
  <si>
    <t>Banstead</t>
  </si>
  <si>
    <t>Wrexham</t>
  </si>
  <si>
    <t>Ryde</t>
  </si>
  <si>
    <t>Rochdale</t>
  </si>
  <si>
    <t>Stokesley</t>
  </si>
  <si>
    <t>Rochester</t>
  </si>
  <si>
    <t>Henley-on-Thames</t>
  </si>
  <si>
    <t>Burton-on-Trent</t>
  </si>
  <si>
    <t>Romford</t>
  </si>
  <si>
    <t>Goole</t>
  </si>
  <si>
    <t>Great Yarmouth</t>
  </si>
  <si>
    <t>Chinnor</t>
  </si>
  <si>
    <t>Bracknell</t>
  </si>
  <si>
    <t>Hessle</t>
  </si>
  <si>
    <t>Bourne End</t>
  </si>
  <si>
    <t>Wiltshire</t>
  </si>
  <si>
    <t>Hamilton</t>
  </si>
  <si>
    <t>North Yorkshire</t>
  </si>
  <si>
    <t>North Shields</t>
  </si>
  <si>
    <t>Weymouth</t>
  </si>
  <si>
    <t>Weybridge</t>
  </si>
  <si>
    <t>Caterham</t>
  </si>
  <si>
    <t>Borehamwood</t>
  </si>
  <si>
    <t>Penarth</t>
  </si>
  <si>
    <t>Halesowen</t>
  </si>
  <si>
    <t>Westerham</t>
  </si>
  <si>
    <t>Epsom</t>
  </si>
  <si>
    <t>Neston</t>
  </si>
  <si>
    <t>Cobham</t>
  </si>
  <si>
    <t>Coleraine</t>
  </si>
  <si>
    <t>Dronfield</t>
  </si>
  <si>
    <t>West Byfleet</t>
  </si>
  <si>
    <t>Wembley</t>
  </si>
  <si>
    <t>Blandford Forum</t>
  </si>
  <si>
    <t>Wellington</t>
  </si>
  <si>
    <t>Colwyn Bay</t>
  </si>
  <si>
    <t>Newcastle</t>
  </si>
  <si>
    <t>Congleton</t>
  </si>
  <si>
    <t>Saffron Walden</t>
  </si>
  <si>
    <t>Amersham</t>
  </si>
  <si>
    <t>Dunmow</t>
  </si>
  <si>
    <t>Tewkesbury</t>
  </si>
  <si>
    <t>Morpeth</t>
  </si>
  <si>
    <t>Kingswinford</t>
  </si>
  <si>
    <t>Corsham</t>
  </si>
  <si>
    <t>Upminster</t>
  </si>
  <si>
    <t>Ulverston</t>
  </si>
  <si>
    <t>Honiton</t>
  </si>
  <si>
    <t>Horley</t>
  </si>
  <si>
    <t>Linlithgow</t>
  </si>
  <si>
    <t>Malvern</t>
  </si>
  <si>
    <t>Aberdeenshire</t>
  </si>
  <si>
    <t>Marlborough</t>
  </si>
  <si>
    <t>Melton Mowbray</t>
  </si>
  <si>
    <t>Merthyr Tydfil</t>
  </si>
  <si>
    <t>Mold</t>
  </si>
  <si>
    <t>Motherwell</t>
  </si>
  <si>
    <t>Neath</t>
  </si>
  <si>
    <t>Newmarket</t>
  </si>
  <si>
    <t>Newquay</t>
  </si>
  <si>
    <t>Alton</t>
  </si>
  <si>
    <t>Newry</t>
  </si>
  <si>
    <t>Chesham</t>
  </si>
  <si>
    <t>Newton Aycliffe</t>
  </si>
  <si>
    <t>Nottinghamshire</t>
  </si>
  <si>
    <t>Ormskirk</t>
  </si>
  <si>
    <t>Ossett</t>
  </si>
  <si>
    <t>Armagh</t>
  </si>
  <si>
    <t>Oxfordshire</t>
  </si>
  <si>
    <t>Ashbourne</t>
  </si>
  <si>
    <t>Ashby-De-La-Zouch</t>
  </si>
  <si>
    <t>Chipping Norton</t>
  </si>
  <si>
    <t>Pewsey</t>
  </si>
  <si>
    <t>Porthcawl</t>
  </si>
  <si>
    <t>Redcar</t>
  </si>
  <si>
    <t>Clacton-on-Sea</t>
  </si>
  <si>
    <t>Redditch</t>
  </si>
  <si>
    <t>Clydebank</t>
  </si>
  <si>
    <t>Redruth</t>
  </si>
  <si>
    <t>Coatbridge</t>
  </si>
  <si>
    <t>Rickmansworth</t>
  </si>
  <si>
    <t>Colne</t>
  </si>
  <si>
    <t>Ringwood</t>
  </si>
  <si>
    <t>Royston</t>
  </si>
  <si>
    <t>Ruislip</t>
  </si>
  <si>
    <t>Banbridge</t>
  </si>
  <si>
    <t>Salford</t>
  </si>
  <si>
    <t>Scunthorpe</t>
  </si>
  <si>
    <t>Shaftesbury</t>
  </si>
  <si>
    <t>Barrow In Furness</t>
  </si>
  <si>
    <t>County Antrim</t>
  </si>
  <si>
    <t>Sherborne</t>
  </si>
  <si>
    <t>Basildon</t>
  </si>
  <si>
    <t>Basingstoke</t>
  </si>
  <si>
    <t>Shipley</t>
  </si>
  <si>
    <t>Cowbridge</t>
  </si>
  <si>
    <t>Sidmouth</t>
  </si>
  <si>
    <t>Sittingbourne</t>
  </si>
  <si>
    <t>Sleaford</t>
  </si>
  <si>
    <t>Slough</t>
  </si>
  <si>
    <t>St. Leonards-on-Sea</t>
  </si>
  <si>
    <t>Stockton On Tees</t>
  </si>
  <si>
    <t>Cranleigh</t>
  </si>
  <si>
    <t>Benfleet</t>
  </si>
  <si>
    <t>Surbiton</t>
  </si>
  <si>
    <t>Sutton-in-Ashfield</t>
  </si>
  <si>
    <t>Teddington</t>
  </si>
  <si>
    <t>Bexhill-on-Sea</t>
  </si>
  <si>
    <t>Bexley</t>
  </si>
  <si>
    <t>Tring</t>
  </si>
  <si>
    <t>Crieff</t>
  </si>
  <si>
    <t>Tyne and Wear</t>
  </si>
  <si>
    <t>Verwood</t>
  </si>
  <si>
    <t>Wallington</t>
  </si>
  <si>
    <t>Waltham Cross</t>
  </si>
  <si>
    <t>Washington</t>
  </si>
  <si>
    <t>Watlington</t>
  </si>
  <si>
    <t>Welwyn Garden City</t>
  </si>
  <si>
    <t>West Midlands</t>
  </si>
  <si>
    <t>Westbury</t>
  </si>
  <si>
    <t>Bodmin</t>
  </si>
  <si>
    <t>Bognor Regis</t>
  </si>
  <si>
    <t>Westhill</t>
  </si>
  <si>
    <t>Whitstable</t>
  </si>
  <si>
    <t>Bordon</t>
  </si>
  <si>
    <t>Cwmbran</t>
  </si>
  <si>
    <t>Braintree</t>
  </si>
  <si>
    <t>Windsor</t>
  </si>
  <si>
    <t>Yeovil</t>
  </si>
  <si>
    <t>Derbyshire</t>
  </si>
  <si>
    <t>Brentford</t>
  </si>
  <si>
    <t>Dereham</t>
  </si>
  <si>
    <t>Bridgwater</t>
  </si>
  <si>
    <t>Dorchester</t>
  </si>
  <si>
    <t>Dover</t>
  </si>
  <si>
    <t>East Sussex</t>
  </si>
  <si>
    <t>Ebbw Vale</t>
  </si>
  <si>
    <t>Elland</t>
  </si>
  <si>
    <t>Ely</t>
  </si>
  <si>
    <t>Falmouth</t>
  </si>
  <si>
    <t>Gillingham</t>
  </si>
  <si>
    <t>Great Missenden</t>
  </si>
  <si>
    <t>Grimsby</t>
  </si>
  <si>
    <t>Haddington</t>
  </si>
  <si>
    <t>Hagley</t>
  </si>
  <si>
    <t>Hailsham</t>
  </si>
  <si>
    <t>Hampshire</t>
  </si>
  <si>
    <t>Heathfield</t>
  </si>
  <si>
    <t>Hebden Bridge</t>
  </si>
  <si>
    <t>Hillsborough</t>
  </si>
  <si>
    <t>Houghton le Spring</t>
  </si>
  <si>
    <t>Ilford</t>
  </si>
  <si>
    <t>Buxton</t>
  </si>
  <si>
    <t>Kenilworth</t>
  </si>
  <si>
    <t>Kilmarnock</t>
  </si>
  <si>
    <t>Kingston upon Thames</t>
  </si>
  <si>
    <t>Camberley</t>
  </si>
  <si>
    <t>Brighouse</t>
  </si>
  <si>
    <t>Knaresborough</t>
  </si>
  <si>
    <t>Cannock</t>
  </si>
  <si>
    <t>Letchworth Garden City</t>
  </si>
  <si>
    <t>Carmarthen</t>
  </si>
  <si>
    <t>Carrickfergus</t>
  </si>
  <si>
    <t>Lingfield</t>
  </si>
  <si>
    <t>Lossiemouth</t>
  </si>
  <si>
    <t>Lymm</t>
  </si>
  <si>
    <t>Lytham St. Annes</t>
  </si>
  <si>
    <t>Lurgan</t>
  </si>
  <si>
    <t>Abergavenny</t>
  </si>
  <si>
    <t>Chatham</t>
  </si>
  <si>
    <t>Hartlepool</t>
  </si>
  <si>
    <t>Musselburgh</t>
  </si>
  <si>
    <t>Hyde</t>
  </si>
  <si>
    <t>Nairn</t>
  </si>
  <si>
    <t>Chertsey</t>
  </si>
  <si>
    <t>Alresford</t>
  </si>
  <si>
    <t>Northumberland</t>
  </si>
  <si>
    <t>Ammanford</t>
  </si>
  <si>
    <t>Port Talbot</t>
  </si>
  <si>
    <t>Larne</t>
  </si>
  <si>
    <t>Annan</t>
  </si>
  <si>
    <t>Chester le Street</t>
  </si>
  <si>
    <t>Chipping Campden</t>
  </si>
  <si>
    <t>Ashtead</t>
  </si>
  <si>
    <t>Chislehurst</t>
  </si>
  <si>
    <t>Ashton-under-Lyne</t>
  </si>
  <si>
    <t>Kinross</t>
  </si>
  <si>
    <t>Aylesford</t>
  </si>
  <si>
    <t>Northwood</t>
  </si>
  <si>
    <t>Bagshot</t>
  </si>
  <si>
    <t>Cleckheaton</t>
  </si>
  <si>
    <t>Baldock</t>
  </si>
  <si>
    <t>Henley-in-Arden</t>
  </si>
  <si>
    <t>Huntingdon</t>
  </si>
  <si>
    <t>MARGAM</t>
  </si>
  <si>
    <t>Consett</t>
  </si>
  <si>
    <t>Conwy</t>
  </si>
  <si>
    <t>Corby</t>
  </si>
  <si>
    <t>Cornwall</t>
  </si>
  <si>
    <t>Margate</t>
  </si>
  <si>
    <t>Barrow-in-Furness</t>
  </si>
  <si>
    <t>New Malden</t>
  </si>
  <si>
    <t>Holmfirth</t>
  </si>
  <si>
    <t>Hungerford</t>
  </si>
  <si>
    <t>Beccles</t>
  </si>
  <si>
    <t>Market Rasen</t>
  </si>
  <si>
    <t>Bedfordshire</t>
  </si>
  <si>
    <t>Cramlington</t>
  </si>
  <si>
    <t>Ottery St. Mary</t>
  </si>
  <si>
    <t>Belper</t>
  </si>
  <si>
    <t>Hockley</t>
  </si>
  <si>
    <t>Berwick-upon-Tweed</t>
  </si>
  <si>
    <t>Betchworth</t>
  </si>
  <si>
    <t>Martock</t>
  </si>
  <si>
    <t>Leek</t>
  </si>
  <si>
    <t>Bicester</t>
  </si>
  <si>
    <t>Newcastle-under-Lyme</t>
  </si>
  <si>
    <t>Biggar</t>
  </si>
  <si>
    <t>Hatfield</t>
  </si>
  <si>
    <t>Billingham</t>
  </si>
  <si>
    <t>Haslemere</t>
  </si>
  <si>
    <t>Newport Pagnell</t>
  </si>
  <si>
    <t>Bingley</t>
  </si>
  <si>
    <t>Nuneaton</t>
  </si>
  <si>
    <t>Oxted</t>
  </si>
  <si>
    <t>Middlesborough</t>
  </si>
  <si>
    <t>Oakham</t>
  </si>
  <si>
    <t>Middlesex</t>
  </si>
  <si>
    <t>King's Lynn</t>
  </si>
  <si>
    <t>Newton Stewart</t>
  </si>
  <si>
    <t>Newton-Le-Willows</t>
  </si>
  <si>
    <t>Bridge of Weir</t>
  </si>
  <si>
    <t>Bridlington</t>
  </si>
  <si>
    <t>Newtown</t>
  </si>
  <si>
    <t>Brierley Hill</t>
  </si>
  <si>
    <t>Brigg</t>
  </si>
  <si>
    <t>Brixham</t>
  </si>
  <si>
    <t>Pershore</t>
  </si>
  <si>
    <t>Broadstone</t>
  </si>
  <si>
    <t>Broadway</t>
  </si>
  <si>
    <t>Pangbourne</t>
  </si>
  <si>
    <t>Dartford</t>
  </si>
  <si>
    <t>Buckinghamshire</t>
  </si>
  <si>
    <t>Kirkcaldy</t>
  </si>
  <si>
    <t>Ingatestone</t>
  </si>
  <si>
    <t>Loughton</t>
  </si>
  <si>
    <t>Burnham-on-Sea</t>
  </si>
  <si>
    <t>Newtownards</t>
  </si>
  <si>
    <t>Lowestoft</t>
  </si>
  <si>
    <t>High Peak</t>
  </si>
  <si>
    <t>Bury St Edmunds</t>
  </si>
  <si>
    <t>Olney</t>
  </si>
  <si>
    <t>Caerphilly</t>
  </si>
  <si>
    <t>Calne</t>
  </si>
  <si>
    <t>Kings Langley</t>
  </si>
  <si>
    <t>Monmouth</t>
  </si>
  <si>
    <t>Perth</t>
  </si>
  <si>
    <t>Lydney</t>
  </si>
  <si>
    <t>Morecambe</t>
  </si>
  <si>
    <t>Lymington</t>
  </si>
  <si>
    <t>Castleford</t>
  </si>
  <si>
    <t>Porthmadog</t>
  </si>
  <si>
    <t>Helensburgh</t>
  </si>
  <si>
    <t>Hassocks</t>
  </si>
  <si>
    <t>Portsmouth</t>
  </si>
  <si>
    <t>Prestwick</t>
  </si>
  <si>
    <t>Pudsey</t>
  </si>
  <si>
    <t>Pulborough</t>
  </si>
  <si>
    <t>Radlett</t>
  </si>
  <si>
    <t>Radstock</t>
  </si>
  <si>
    <t>Redhill</t>
  </si>
  <si>
    <t>Guisborough</t>
  </si>
  <si>
    <t>Renfrew</t>
  </si>
  <si>
    <t>Retford</t>
  </si>
  <si>
    <t>Leominster</t>
  </si>
  <si>
    <t>Ripon</t>
  </si>
  <si>
    <t>Greenford</t>
  </si>
  <si>
    <t>Rochford</t>
  </si>
  <si>
    <t>Gravesend</t>
  </si>
  <si>
    <t>Ross-on-Wye</t>
  </si>
  <si>
    <t>Grange-over-Sands</t>
  </si>
  <si>
    <t>Rugeley</t>
  </si>
  <si>
    <t>Ruthin</t>
  </si>
  <si>
    <t>Galashiels</t>
  </si>
  <si>
    <t>Scarborough</t>
  </si>
  <si>
    <t>Keighley</t>
  </si>
  <si>
    <t>Selkirk</t>
  </si>
  <si>
    <t>Shefford</t>
  </si>
  <si>
    <t>Shepperton</t>
  </si>
  <si>
    <t>Shifnal</t>
  </si>
  <si>
    <t>Shropshire</t>
  </si>
  <si>
    <t>Sidcup</t>
  </si>
  <si>
    <t>Johnstone</t>
  </si>
  <si>
    <t>Skelmersdale</t>
  </si>
  <si>
    <t>South Brent</t>
  </si>
  <si>
    <t>South Yorkshire</t>
  </si>
  <si>
    <t>Southam</t>
  </si>
  <si>
    <t>Southend on Sea</t>
  </si>
  <si>
    <t>Forest Row</t>
  </si>
  <si>
    <t>Fordingbridge</t>
  </si>
  <si>
    <t>Fleet</t>
  </si>
  <si>
    <t>St. Asaph</t>
  </si>
  <si>
    <t>St. Austell</t>
  </si>
  <si>
    <t>St. Neots</t>
  </si>
  <si>
    <t>Felixstowe</t>
  </si>
  <si>
    <t>Stalybridge</t>
  </si>
  <si>
    <t>Farningham</t>
  </si>
  <si>
    <t>Stansted</t>
  </si>
  <si>
    <t>Stevenage</t>
  </si>
  <si>
    <t>Stevenston</t>
  </si>
  <si>
    <t>Stockbridge</t>
  </si>
  <si>
    <t>Falkirk</t>
  </si>
  <si>
    <t>Isleworth</t>
  </si>
  <si>
    <t>Exmouth</t>
  </si>
  <si>
    <t>Ewell</t>
  </si>
  <si>
    <t>Stourport-on-Severn</t>
  </si>
  <si>
    <t>Stowmarket</t>
  </si>
  <si>
    <t>Evesham</t>
  </si>
  <si>
    <t>Strathaven</t>
  </si>
  <si>
    <t>Etchingham</t>
  </si>
  <si>
    <t>Enfield</t>
  </si>
  <si>
    <t>Thetford</t>
  </si>
  <si>
    <t>Elstree</t>
  </si>
  <si>
    <t>Tadcaster</t>
  </si>
  <si>
    <t>Tadworth</t>
  </si>
  <si>
    <t>Tarporley</t>
  </si>
  <si>
    <t>TAVISTOCK</t>
  </si>
  <si>
    <t>Tenterden</t>
  </si>
  <si>
    <t>Egham</t>
  </si>
  <si>
    <t>Thames Ditton</t>
  </si>
  <si>
    <t>Godstone</t>
  </si>
  <si>
    <t>Todmorden</t>
  </si>
  <si>
    <t>Towcester</t>
  </si>
  <si>
    <t>East Molesey</t>
  </si>
  <si>
    <t>East Kilbride</t>
  </si>
  <si>
    <t>Uckfield</t>
  </si>
  <si>
    <t>Uttoxeter</t>
  </si>
  <si>
    <t>Llandudno</t>
  </si>
  <si>
    <t>Wadebridge</t>
  </si>
  <si>
    <t>Durham</t>
  </si>
  <si>
    <t>Inverurie</t>
  </si>
  <si>
    <t>Dunstable</t>
  </si>
  <si>
    <t>Wanstead</t>
  </si>
  <si>
    <t>Wantage</t>
  </si>
  <si>
    <t>Ware</t>
  </si>
  <si>
    <t>Dungannon</t>
  </si>
  <si>
    <t>Warwickshire</t>
  </si>
  <si>
    <t>Loanhead</t>
  </si>
  <si>
    <t>Wellingborough</t>
  </si>
  <si>
    <t>West Malling</t>
  </si>
  <si>
    <t>Dorset</t>
  </si>
  <si>
    <t>Weston-super-Mare</t>
  </si>
  <si>
    <t>Donaghadee</t>
  </si>
  <si>
    <t>Dollar</t>
  </si>
  <si>
    <t>Willenhall</t>
  </si>
  <si>
    <t>Devizes</t>
  </si>
  <si>
    <t>Witham</t>
  </si>
  <si>
    <t>Workington</t>
  </si>
  <si>
    <t>Worksop</t>
  </si>
  <si>
    <t>Daventry</t>
  </si>
  <si>
    <t>Wotton-under-Edge</t>
  </si>
  <si>
    <t>Wymondham</t>
  </si>
  <si>
    <t>Yarm</t>
  </si>
  <si>
    <t>Cupar</t>
  </si>
  <si>
    <t>Currie</t>
  </si>
  <si>
    <t>Dalton-in-Furness</t>
  </si>
  <si>
    <t>Louth</t>
  </si>
  <si>
    <t>Ludlow</t>
  </si>
  <si>
    <t>Builth Wells</t>
  </si>
  <si>
    <t>Ilminster</t>
  </si>
  <si>
    <t>Illogan</t>
  </si>
  <si>
    <t>Lydiard Millicent</t>
  </si>
  <si>
    <t>Lyme Regis</t>
  </si>
  <si>
    <t>Kirkliston</t>
  </si>
  <si>
    <t>Lytham</t>
  </si>
  <si>
    <t>Kirriemuir</t>
  </si>
  <si>
    <t>Ilkeston</t>
  </si>
  <si>
    <t>Magherafelt</t>
  </si>
  <si>
    <t>Hythe</t>
  </si>
  <si>
    <t>Hurst</t>
  </si>
  <si>
    <t>Malmesbury</t>
  </si>
  <si>
    <t>Malpas</t>
  </si>
  <si>
    <t>Malton</t>
  </si>
  <si>
    <t>Huntly</t>
  </si>
  <si>
    <t>Manningtree</t>
  </si>
  <si>
    <t>Market Deeping</t>
  </si>
  <si>
    <t>Market Drayton</t>
  </si>
  <si>
    <t>Kingswood</t>
  </si>
  <si>
    <t>Hounslow</t>
  </si>
  <si>
    <t>Matlock</t>
  </si>
  <si>
    <t>Meir Heath</t>
  </si>
  <si>
    <t>Melksham</t>
  </si>
  <si>
    <t>Melrose</t>
  </si>
  <si>
    <t>Kingston upon Thame</t>
  </si>
  <si>
    <t>Merseyside</t>
  </si>
  <si>
    <t>Kingsbridge</t>
  </si>
  <si>
    <t>Horncastle</t>
  </si>
  <si>
    <t>Middleton</t>
  </si>
  <si>
    <t>Midlothian</t>
  </si>
  <si>
    <t>Milford Haven</t>
  </si>
  <si>
    <t>Millom</t>
  </si>
  <si>
    <t>Holywood</t>
  </si>
  <si>
    <t>Minehead</t>
  </si>
  <si>
    <t>Minster</t>
  </si>
  <si>
    <t>Mirfield</t>
  </si>
  <si>
    <t>Moelfre</t>
  </si>
  <si>
    <t>Montrose</t>
  </si>
  <si>
    <t>Holywell</t>
  </si>
  <si>
    <t>Mortlake</t>
  </si>
  <si>
    <t>Langport</t>
  </si>
  <si>
    <t>Mountain Ash</t>
  </si>
  <si>
    <t>Much Wenlock</t>
  </si>
  <si>
    <t>Nantwich</t>
  </si>
  <si>
    <t>Narberth</t>
  </si>
  <si>
    <t>Holt</t>
  </si>
  <si>
    <t>Kington</t>
  </si>
  <si>
    <t>Hoddesdon</t>
  </si>
  <si>
    <t>Hindhead</t>
  </si>
  <si>
    <t>Launceston</t>
  </si>
  <si>
    <t>Hinckley</t>
  </si>
  <si>
    <t>Laurencekirk</t>
  </si>
  <si>
    <t>Kings Cross, London</t>
  </si>
  <si>
    <t>Hillingdon</t>
  </si>
  <si>
    <t>Newtown Abbey</t>
  </si>
  <si>
    <t>Newtownabbey</t>
  </si>
  <si>
    <t>North Berwick</t>
  </si>
  <si>
    <t>North Leigh</t>
  </si>
  <si>
    <t>North Lincolnshire</t>
  </si>
  <si>
    <t>High Legh</t>
  </si>
  <si>
    <t>Heywood</t>
  </si>
  <si>
    <t>Herts</t>
  </si>
  <si>
    <t>Hersham</t>
  </si>
  <si>
    <t>Herefordshire</t>
  </si>
  <si>
    <t>Henley in Arden</t>
  </si>
  <si>
    <t>Leceistershire</t>
  </si>
  <si>
    <t>Nr Burford</t>
  </si>
  <si>
    <t>Nr Cheltenham</t>
  </si>
  <si>
    <t>Oadby</t>
  </si>
  <si>
    <t>Okehampton</t>
  </si>
  <si>
    <t>Hengoed</t>
  </si>
  <si>
    <t>Helston</t>
  </si>
  <si>
    <t>Ledbury</t>
  </si>
  <si>
    <t>Lee-On-The-Solent</t>
  </si>
  <si>
    <t>Hayes</t>
  </si>
  <si>
    <t>Hawarden</t>
  </si>
  <si>
    <t>Ottery St Mary</t>
  </si>
  <si>
    <t>Haverhill</t>
  </si>
  <si>
    <t>Kimbolton</t>
  </si>
  <si>
    <t>Oxon</t>
  </si>
  <si>
    <t>Havant</t>
  </si>
  <si>
    <t>Par</t>
  </si>
  <si>
    <t>Peacehaven</t>
  </si>
  <si>
    <t>Peebles</t>
  </si>
  <si>
    <t>Hatton</t>
  </si>
  <si>
    <t>Pencoed</t>
  </si>
  <si>
    <t>Penrhyndeudraeth</t>
  </si>
  <si>
    <t>Penrith</t>
  </si>
  <si>
    <t>Perranporth</t>
  </si>
  <si>
    <t>Perthshire</t>
  </si>
  <si>
    <t>Peterhead</t>
  </si>
  <si>
    <t>Petersfield</t>
  </si>
  <si>
    <t>Pethshire</t>
  </si>
  <si>
    <t>Harwell</t>
  </si>
  <si>
    <t>Hartley Wintney</t>
  </si>
  <si>
    <t>Pontypool</t>
  </si>
  <si>
    <t>Harlow</t>
  </si>
  <si>
    <t>Harleston</t>
  </si>
  <si>
    <t>Portadown</t>
  </si>
  <si>
    <t>Kidlington</t>
  </si>
  <si>
    <t>Portrush</t>
  </si>
  <si>
    <t>Handforth</t>
  </si>
  <si>
    <t>Hampton Wick</t>
  </si>
  <si>
    <t>Prescot</t>
  </si>
  <si>
    <t>Hampton HIll</t>
  </si>
  <si>
    <t>Aberystwyth</t>
  </si>
  <si>
    <t>Princes Risborough</t>
  </si>
  <si>
    <t>Abingdon</t>
  </si>
  <si>
    <t>Accrington</t>
  </si>
  <si>
    <t>Purley</t>
  </si>
  <si>
    <t>Addlestone</t>
  </si>
  <si>
    <t>Aldershot</t>
  </si>
  <si>
    <t>Ramsbottom</t>
  </si>
  <si>
    <t>Ramsgate</t>
  </si>
  <si>
    <t>Halsall</t>
  </si>
  <si>
    <t>Hale</t>
  </si>
  <si>
    <t>Rearsby</t>
  </si>
  <si>
    <t>Kenley</t>
  </si>
  <si>
    <t>Leigh</t>
  </si>
  <si>
    <t>Alexandria</t>
  </si>
  <si>
    <t>Kempston</t>
  </si>
  <si>
    <t>Alva</t>
  </si>
  <si>
    <t>Andover</t>
  </si>
  <si>
    <t>Anlaby</t>
  </si>
  <si>
    <t>Rhondda Cynon Taff</t>
  </si>
  <si>
    <t>Groesffordd</t>
  </si>
  <si>
    <t>Keith</t>
  </si>
  <si>
    <t>Appledore</t>
  </si>
  <si>
    <t>Ripley</t>
  </si>
  <si>
    <t>Arundel</t>
  </si>
  <si>
    <t>Robertsbridge</t>
  </si>
  <si>
    <t>Greenock</t>
  </si>
  <si>
    <t>Ashton-on-Ribble</t>
  </si>
  <si>
    <t>Auchterarder</t>
  </si>
  <si>
    <t>Greater Manchester</t>
  </si>
  <si>
    <t>Bacup</t>
  </si>
  <si>
    <t>Bakewell</t>
  </si>
  <si>
    <t>Grantham</t>
  </si>
  <si>
    <t>Balivanich</t>
  </si>
  <si>
    <t>Royal Wootton Bassett</t>
  </si>
  <si>
    <t>Lerwick</t>
  </si>
  <si>
    <t>Ruardean</t>
  </si>
  <si>
    <t>Glossop</t>
  </si>
  <si>
    <t>Ballycastle</t>
  </si>
  <si>
    <t>Kirkby</t>
  </si>
  <si>
    <t>Runcorn</t>
  </si>
  <si>
    <t>Ballyclare</t>
  </si>
  <si>
    <t>Glenrothes</t>
  </si>
  <si>
    <t>Ryton</t>
  </si>
  <si>
    <t>Gatwick</t>
  </si>
  <si>
    <t>Garforth</t>
  </si>
  <si>
    <t>Leven</t>
  </si>
  <si>
    <t>Ballymoney</t>
  </si>
  <si>
    <t>Saltash</t>
  </si>
  <si>
    <t>Saltburn-by-the-Sea</t>
  </si>
  <si>
    <t>Gainsborough</t>
  </si>
  <si>
    <t>Sandhurst</t>
  </si>
  <si>
    <t>Saundersfoot</t>
  </si>
  <si>
    <t>Bampton</t>
  </si>
  <si>
    <t>Banchory</t>
  </si>
  <si>
    <t>Seaford</t>
  </si>
  <si>
    <t>Seaham</t>
  </si>
  <si>
    <t>Banff</t>
  </si>
  <si>
    <t>Send</t>
  </si>
  <si>
    <t>Frome</t>
  </si>
  <si>
    <t>Leyburn</t>
  </si>
  <si>
    <t>Shanklin</t>
  </si>
  <si>
    <t>Frodsham</t>
  </si>
  <si>
    <t>Barking</t>
  </si>
  <si>
    <t>Barrowford</t>
  </si>
  <si>
    <t>Kegworth</t>
  </si>
  <si>
    <t>Sheringham</t>
  </si>
  <si>
    <t>Bathgate</t>
  </si>
  <si>
    <t>Limavady</t>
  </si>
  <si>
    <t>Shoreham-by-Sea</t>
  </si>
  <si>
    <t>Frinton-on-Sea</t>
  </si>
  <si>
    <t>Batley</t>
  </si>
  <si>
    <t>Beckenham</t>
  </si>
  <si>
    <t>Bedworth</t>
  </si>
  <si>
    <t>Lincolnshire</t>
  </si>
  <si>
    <t>Bellshill</t>
  </si>
  <si>
    <t>Skelmorlie</t>
  </si>
  <si>
    <t>Framlingham</t>
  </si>
  <si>
    <t>Lincs</t>
  </si>
  <si>
    <t>Kirkby Stephen</t>
  </si>
  <si>
    <t>Smethwick</t>
  </si>
  <si>
    <t>Fowey</t>
  </si>
  <si>
    <t>Fortrose</t>
  </si>
  <si>
    <t>Somerton</t>
  </si>
  <si>
    <t>Belvedere</t>
  </si>
  <si>
    <t>South Petherton</t>
  </si>
  <si>
    <t>South Wales</t>
  </si>
  <si>
    <t>South Wirral</t>
  </si>
  <si>
    <t>Bewdley</t>
  </si>
  <si>
    <t>Bexleyheath</t>
  </si>
  <si>
    <t>Fort William</t>
  </si>
  <si>
    <t>Bigby</t>
  </si>
  <si>
    <t>Biggleswade</t>
  </si>
  <si>
    <t>Southminster</t>
  </si>
  <si>
    <t>Billingshurst</t>
  </si>
  <si>
    <t>Fochabers</t>
  </si>
  <si>
    <t>Sowerby Bridge</t>
  </si>
  <si>
    <t>Spalding</t>
  </si>
  <si>
    <t>Spennymoor</t>
  </si>
  <si>
    <t>Flintshire</t>
  </si>
  <si>
    <t>St Andrews</t>
  </si>
  <si>
    <t>St Ives</t>
  </si>
  <si>
    <t>St Mellons</t>
  </si>
  <si>
    <t>St Neots</t>
  </si>
  <si>
    <t>Bilston</t>
  </si>
  <si>
    <t>St. Andrews</t>
  </si>
  <si>
    <t>Bishop Auckland</t>
  </si>
  <si>
    <t>Blyth</t>
  </si>
  <si>
    <t>Flackwell Heath</t>
  </si>
  <si>
    <t>Jarrow</t>
  </si>
  <si>
    <t>Boldon Colliery</t>
  </si>
  <si>
    <t>Fetcham</t>
  </si>
  <si>
    <t>Bonnyrigg</t>
  </si>
  <si>
    <t>Bradford-on-Avon</t>
  </si>
  <si>
    <t>Farnsfield</t>
  </si>
  <si>
    <t>Standon, Ware</t>
  </si>
  <si>
    <t>Brandesburton</t>
  </si>
  <si>
    <t>Brantham</t>
  </si>
  <si>
    <t>Stapleford</t>
  </si>
  <si>
    <t>Brecon</t>
  </si>
  <si>
    <t>Bridport</t>
  </si>
  <si>
    <t>Steyning</t>
  </si>
  <si>
    <t>Faringdon</t>
  </si>
  <si>
    <t>Stirlingshire</t>
  </si>
  <si>
    <t>Broadstairs</t>
  </si>
  <si>
    <t>Broughton-in-Furness</t>
  </si>
  <si>
    <t>Stocksfield</t>
  </si>
  <si>
    <t>Buckfastleigh</t>
  </si>
  <si>
    <t>Fair Oak</t>
  </si>
  <si>
    <t>Eye</t>
  </si>
  <si>
    <t>Stoke-Sub-Hamdon</t>
  </si>
  <si>
    <t>Abercynon</t>
  </si>
  <si>
    <t>Stone</t>
  </si>
  <si>
    <t>Stonehouse</t>
  </si>
  <si>
    <t>Storrington</t>
  </si>
  <si>
    <t>Bungay</t>
  </si>
  <si>
    <t>Burford</t>
  </si>
  <si>
    <t>Burntwood</t>
  </si>
  <si>
    <t>Stratford upon Avon</t>
  </si>
  <si>
    <t>Burscough</t>
  </si>
  <si>
    <t>Burton upon Trent</t>
  </si>
  <si>
    <t>Caernarfon</t>
  </si>
  <si>
    <t>Erskine</t>
  </si>
  <si>
    <t>Epworth</t>
  </si>
  <si>
    <t>Sunbury-on-Thames</t>
  </si>
  <si>
    <t>Epping</t>
  </si>
  <si>
    <t>LITTLEBOROUGH</t>
  </si>
  <si>
    <t>Enniskillen</t>
  </si>
  <si>
    <t>Cambridgeshire</t>
  </si>
  <si>
    <t>Emsworth</t>
  </si>
  <si>
    <t>Campbeltown</t>
  </si>
  <si>
    <t>Swadlincote</t>
  </si>
  <si>
    <t>Swanage</t>
  </si>
  <si>
    <t>Carluke</t>
  </si>
  <si>
    <t>Ellon</t>
  </si>
  <si>
    <t>Castle Douglas</t>
  </si>
  <si>
    <t>Tadley</t>
  </si>
  <si>
    <t>Castle Eden</t>
  </si>
  <si>
    <t>Talbot Green</t>
  </si>
  <si>
    <t>Ellesmere</t>
  </si>
  <si>
    <t>Tarleton</t>
  </si>
  <si>
    <t>Castlederg</t>
  </si>
  <si>
    <t>Elgin</t>
  </si>
  <si>
    <t>Central Milton Keynes</t>
  </si>
  <si>
    <t>Isle Of Arran</t>
  </si>
  <si>
    <t>Teignmouth</t>
  </si>
  <si>
    <t>Egremont</t>
  </si>
  <si>
    <t>Chadwich</t>
  </si>
  <si>
    <t>Chalfont St. Giles</t>
  </si>
  <si>
    <t>Edgware</t>
  </si>
  <si>
    <t>Chandlers Ford</t>
  </si>
  <si>
    <t>Thatcham</t>
  </si>
  <si>
    <t>Chatteris</t>
  </si>
  <si>
    <t>Thirsk</t>
  </si>
  <si>
    <t>Thornaby</t>
  </si>
  <si>
    <t>Thornton-Cleveleys</t>
  </si>
  <si>
    <t>Edenbridge</t>
  </si>
  <si>
    <t>Cheam</t>
  </si>
  <si>
    <t>Eccleshall</t>
  </si>
  <si>
    <t>Tonypandy</t>
  </si>
  <si>
    <t>Torpoint</t>
  </si>
  <si>
    <t>East Yorkshire</t>
  </si>
  <si>
    <t>Totnes</t>
  </si>
  <si>
    <t>CHEDDAR</t>
  </si>
  <si>
    <t>Town</t>
  </si>
  <si>
    <t>Town Newcastle Upon Tyne</t>
  </si>
  <si>
    <t>Tranent</t>
  </si>
  <si>
    <t>Tredegar</t>
  </si>
  <si>
    <t>Treforest</t>
  </si>
  <si>
    <t>Trellech</t>
  </si>
  <si>
    <t>Irvine</t>
  </si>
  <si>
    <t>East Riding of Yorkshire</t>
  </si>
  <si>
    <t>Chepstow</t>
  </si>
  <si>
    <t>Cheshire West and Chester</t>
  </si>
  <si>
    <t>East Boldon</t>
  </si>
  <si>
    <t>Twigworth</t>
  </si>
  <si>
    <t>Twineham</t>
  </si>
  <si>
    <t>Ty Croes</t>
  </si>
  <si>
    <t>Llandeilo</t>
  </si>
  <si>
    <t>Cheshunt</t>
  </si>
  <si>
    <t>Ulceby</t>
  </si>
  <si>
    <t>East Bergholt</t>
  </si>
  <si>
    <t>East Ayton</t>
  </si>
  <si>
    <t>Chessington</t>
  </si>
  <si>
    <t>Dursley</t>
  </si>
  <si>
    <t>Vale of Glamorgan</t>
  </si>
  <si>
    <t>Ventnor</t>
  </si>
  <si>
    <t>Church Stretton</t>
  </si>
  <si>
    <t>Cinderford</t>
  </si>
  <si>
    <t>Co. Durham</t>
  </si>
  <si>
    <t>Wales</t>
  </si>
  <si>
    <t>Wallingford</t>
  </si>
  <si>
    <t>Llandudno Junction</t>
  </si>
  <si>
    <t>Wallsend</t>
  </si>
  <si>
    <t>Cockermouth</t>
  </si>
  <si>
    <t>Comrie</t>
  </si>
  <si>
    <t>Coulsdon</t>
  </si>
  <si>
    <t>County Armagh</t>
  </si>
  <si>
    <t>County Down</t>
  </si>
  <si>
    <t>Wareham</t>
  </si>
  <si>
    <t>Dunoon</t>
  </si>
  <si>
    <t>Cowes</t>
  </si>
  <si>
    <t>Cradley Heath</t>
  </si>
  <si>
    <t>Cranbrook</t>
  </si>
  <si>
    <t>Dunblane</t>
  </si>
  <si>
    <t>Dunbar</t>
  </si>
  <si>
    <t>Littlehampton</t>
  </si>
  <si>
    <t>Welland</t>
  </si>
  <si>
    <t>Cranfield</t>
  </si>
  <si>
    <t>Dumfriesshire</t>
  </si>
  <si>
    <t>Wells</t>
  </si>
  <si>
    <t>Wells-next-the-Sea</t>
  </si>
  <si>
    <t>Welwyn</t>
  </si>
  <si>
    <t>Lomdon</t>
  </si>
  <si>
    <t>Dumbarton</t>
  </si>
  <si>
    <t>Dudley</t>
  </si>
  <si>
    <t>West Drayton</t>
  </si>
  <si>
    <t>West Glamorgan</t>
  </si>
  <si>
    <t>West Hoathly</t>
  </si>
  <si>
    <t>West Kilbride</t>
  </si>
  <si>
    <t>West Linton</t>
  </si>
  <si>
    <t>West Lothian</t>
  </si>
  <si>
    <t>Cranham</t>
  </si>
  <si>
    <t>Londob</t>
  </si>
  <si>
    <t>West Molesey</t>
  </si>
  <si>
    <t>Driffield</t>
  </si>
  <si>
    <t>West Wickham</t>
  </si>
  <si>
    <t>Insch</t>
  </si>
  <si>
    <t>DOWNPATRICK</t>
  </si>
  <si>
    <t>Craven Arms</t>
  </si>
  <si>
    <t>Londonderry</t>
  </si>
  <si>
    <t>Crediton</t>
  </si>
  <si>
    <t>Crewkerne</t>
  </si>
  <si>
    <t>Crickhowell</t>
  </si>
  <si>
    <t>Dolgellau</t>
  </si>
  <si>
    <t>Wheathampstead</t>
  </si>
  <si>
    <t>Whitchurch</t>
  </si>
  <si>
    <t>Whitley Bay</t>
  </si>
  <si>
    <t>Longfield</t>
  </si>
  <si>
    <t>Whyteleafe</t>
  </si>
  <si>
    <t>Wickford</t>
  </si>
  <si>
    <t>Wickham</t>
  </si>
  <si>
    <t>Widnes</t>
  </si>
  <si>
    <t>Dingwall</t>
  </si>
  <si>
    <t>Cromer</t>
  </si>
  <si>
    <t>Dinas Powys</t>
  </si>
  <si>
    <t>Didcot</t>
  </si>
  <si>
    <t>Wimbledon</t>
  </si>
  <si>
    <t>Crook</t>
  </si>
  <si>
    <t>Desford</t>
  </si>
  <si>
    <t>Windlesham</t>
  </si>
  <si>
    <t>Longniddry</t>
  </si>
  <si>
    <t>Winnersh</t>
  </si>
  <si>
    <t>Winscombe</t>
  </si>
  <si>
    <t>Derry</t>
  </si>
  <si>
    <t>Wisbech</t>
  </si>
  <si>
    <t>Crosby</t>
  </si>
  <si>
    <t>Denbighshire</t>
  </si>
  <si>
    <t>Woburn Sands</t>
  </si>
  <si>
    <t>Deeside</t>
  </si>
  <si>
    <t>Deddington</t>
  </si>
  <si>
    <t>Deal</t>
  </si>
  <si>
    <t>Woodbridge</t>
  </si>
  <si>
    <t>Woodford Green</t>
  </si>
  <si>
    <t>Woodstock</t>
  </si>
  <si>
    <t>Dawlish</t>
  </si>
  <si>
    <t>Worcestershire</t>
  </si>
  <si>
    <t>Crowthorne</t>
  </si>
  <si>
    <t>Cuffley, Potters Bar</t>
  </si>
  <si>
    <t>culham</t>
  </si>
  <si>
    <t>Cullompton</t>
  </si>
  <si>
    <t>Datchet</t>
  </si>
  <si>
    <t>Wylam</t>
  </si>
  <si>
    <t>Cumbernauld</t>
  </si>
  <si>
    <t>Cumnock</t>
  </si>
  <si>
    <t>Yateley</t>
  </si>
  <si>
    <t>Yattendon</t>
  </si>
  <si>
    <t>Yaxley</t>
  </si>
  <si>
    <t>Yeadon</t>
  </si>
  <si>
    <t>Yelverton</t>
  </si>
  <si>
    <t>Looe</t>
  </si>
  <si>
    <t>Dartmouth</t>
  </si>
  <si>
    <t>Lockerbie</t>
  </si>
  <si>
    <t>Total Result</t>
  </si>
  <si>
    <t>Firm Name</t>
  </si>
  <si>
    <t>613305</t>
  </si>
  <si>
    <t>467720</t>
  </si>
  <si>
    <t>656882</t>
  </si>
  <si>
    <t>615679</t>
  </si>
  <si>
    <t>714320</t>
  </si>
  <si>
    <t>565876</t>
  </si>
  <si>
    <t>586775</t>
  </si>
  <si>
    <t>603538</t>
  </si>
  <si>
    <t>439768</t>
  </si>
  <si>
    <t>557959</t>
  </si>
  <si>
    <t>208681</t>
  </si>
  <si>
    <t>479512</t>
  </si>
  <si>
    <t>732318</t>
  </si>
  <si>
    <t>517309</t>
  </si>
  <si>
    <t>590386</t>
  </si>
  <si>
    <t>526121</t>
  </si>
  <si>
    <t>766136</t>
  </si>
  <si>
    <t>924689</t>
  </si>
  <si>
    <t>1007217</t>
  </si>
  <si>
    <t>418618</t>
  </si>
  <si>
    <t>958869</t>
  </si>
  <si>
    <t>428590</t>
  </si>
  <si>
    <t>463491</t>
  </si>
  <si>
    <t>231492</t>
  </si>
  <si>
    <t>584606</t>
  </si>
  <si>
    <t>613250</t>
  </si>
  <si>
    <t>301368</t>
  </si>
  <si>
    <t>912675</t>
  </si>
  <si>
    <t>813553</t>
  </si>
  <si>
    <t>400275</t>
  </si>
  <si>
    <t>126350</t>
  </si>
  <si>
    <t>938409</t>
  </si>
  <si>
    <t>467705</t>
  </si>
  <si>
    <t>154371</t>
  </si>
  <si>
    <t>472446</t>
  </si>
  <si>
    <t>507921</t>
  </si>
  <si>
    <t>713784</t>
  </si>
  <si>
    <t>977929</t>
  </si>
  <si>
    <t>301672</t>
  </si>
  <si>
    <t>705062</t>
  </si>
  <si>
    <t>AB Investment Solutions Limited</t>
  </si>
  <si>
    <t>647091</t>
  </si>
  <si>
    <t>402725</t>
  </si>
  <si>
    <t>516109</t>
  </si>
  <si>
    <t>576165</t>
  </si>
  <si>
    <t>610239</t>
  </si>
  <si>
    <t>125177</t>
  </si>
  <si>
    <t>503326</t>
  </si>
  <si>
    <t>218668</t>
  </si>
  <si>
    <t>671601</t>
  </si>
  <si>
    <t>1008785</t>
  </si>
  <si>
    <t>542909</t>
  </si>
  <si>
    <t>993978</t>
  </si>
  <si>
    <t>435970</t>
  </si>
  <si>
    <t>144519</t>
  </si>
  <si>
    <t>401135</t>
  </si>
  <si>
    <t>568273</t>
  </si>
  <si>
    <t>527557</t>
  </si>
  <si>
    <t>828966</t>
  </si>
  <si>
    <t>786358</t>
  </si>
  <si>
    <t>223009</t>
  </si>
  <si>
    <t>475285</t>
  </si>
  <si>
    <t>150188</t>
  </si>
  <si>
    <t>613111</t>
  </si>
  <si>
    <t>647122</t>
  </si>
  <si>
    <t>226033</t>
  </si>
  <si>
    <t>432722</t>
  </si>
  <si>
    <t>453134</t>
  </si>
  <si>
    <t>513673</t>
  </si>
  <si>
    <t>630996</t>
  </si>
  <si>
    <t>214536</t>
  </si>
  <si>
    <t>486131</t>
  </si>
  <si>
    <t>435135</t>
  </si>
  <si>
    <t>787051</t>
  </si>
  <si>
    <t>609189</t>
  </si>
  <si>
    <t>301860</t>
  </si>
  <si>
    <t>193065</t>
  </si>
  <si>
    <t>125581</t>
  </si>
  <si>
    <t>624196</t>
  </si>
  <si>
    <t>223282</t>
  </si>
  <si>
    <t>464072</t>
  </si>
  <si>
    <t>774649</t>
  </si>
  <si>
    <t>450163</t>
  </si>
  <si>
    <t>218745</t>
  </si>
  <si>
    <t>599264</t>
  </si>
  <si>
    <t>978795</t>
  </si>
  <si>
    <t>915729</t>
  </si>
  <si>
    <t>487416</t>
  </si>
  <si>
    <t>713053</t>
  </si>
  <si>
    <t>610011</t>
  </si>
  <si>
    <t>712976</t>
  </si>
  <si>
    <t>494917</t>
  </si>
  <si>
    <t>402746</t>
  </si>
  <si>
    <t>222123</t>
  </si>
  <si>
    <t>191962</t>
  </si>
  <si>
    <t>588163</t>
  </si>
  <si>
    <t>754112</t>
  </si>
  <si>
    <t>629635</t>
  </si>
  <si>
    <t>976076</t>
  </si>
  <si>
    <t>569871</t>
  </si>
  <si>
    <t>680893</t>
  </si>
  <si>
    <t>195786</t>
  </si>
  <si>
    <t>494241</t>
  </si>
  <si>
    <t>429914</t>
  </si>
  <si>
    <t>506551</t>
  </si>
  <si>
    <t>936681</t>
  </si>
  <si>
    <t>430987</t>
  </si>
  <si>
    <t>671153</t>
  </si>
  <si>
    <t>671527</t>
  </si>
  <si>
    <t>779172</t>
  </si>
  <si>
    <t>624582</t>
  </si>
  <si>
    <t>190181</t>
  </si>
  <si>
    <t>809690</t>
  </si>
  <si>
    <t>414369</t>
  </si>
  <si>
    <t>724303</t>
  </si>
  <si>
    <t>457234</t>
  </si>
  <si>
    <t>922993</t>
  </si>
  <si>
    <t>590340</t>
  </si>
  <si>
    <t>949987</t>
  </si>
  <si>
    <t>719403</t>
  </si>
  <si>
    <t>515410</t>
  </si>
  <si>
    <t>173259</t>
  </si>
  <si>
    <t>216704</t>
  </si>
  <si>
    <t>518701</t>
  </si>
  <si>
    <t>936948</t>
  </si>
  <si>
    <t>602944</t>
  </si>
  <si>
    <t>607283</t>
  </si>
  <si>
    <t>496257</t>
  </si>
  <si>
    <t>507244</t>
  </si>
  <si>
    <t>192664</t>
  </si>
  <si>
    <t>915784</t>
  </si>
  <si>
    <t>400276</t>
  </si>
  <si>
    <t>192807</t>
  </si>
  <si>
    <t>748172</t>
  </si>
  <si>
    <t>189652</t>
  </si>
  <si>
    <t>155593</t>
  </si>
  <si>
    <t>607609</t>
  </si>
  <si>
    <t>AJD FINANCIAL SERVICES LTD.</t>
  </si>
  <si>
    <t>945863</t>
  </si>
  <si>
    <t>709533</t>
  </si>
  <si>
    <t>947611</t>
  </si>
  <si>
    <t>176477</t>
  </si>
  <si>
    <t>846158</t>
  </si>
  <si>
    <t>Website</t>
  </si>
  <si>
    <t>https://www.folwealth.com/</t>
  </si>
  <si>
    <t>https://www.1fsltd.co.uk/</t>
  </si>
  <si>
    <t>https://www.121fs.com/</t>
  </si>
  <si>
    <t>https://www.121-advice.com/</t>
  </si>
  <si>
    <t>https://www.360-financial.co.uk/</t>
  </si>
  <si>
    <t>https://www.336fm.co.uk/</t>
  </si>
  <si>
    <t>https://www.360fm.co.uk/</t>
  </si>
  <si>
    <t>https://www.3rfinancialservices.com/</t>
  </si>
  <si>
    <t>https://www.3-sfinancial.com/</t>
  </si>
  <si>
    <t>https://www.4-shires.com/</t>
  </si>
  <si>
    <t>https://www.4sq.biz/</t>
  </si>
  <si>
    <t>No website listed</t>
  </si>
  <si>
    <t>https://www.42wealth.com/</t>
  </si>
  <si>
    <t>https://www.44financial.co.uk/</t>
  </si>
  <si>
    <t>https://www.4waysfinancialsolutions.co.uk/</t>
  </si>
  <si>
    <t>https://www.52finance.net/</t>
  </si>
  <si>
    <t>https://www.56wealth.com/</t>
  </si>
  <si>
    <t>https://www.75point3.com/</t>
  </si>
  <si>
    <t>https://www.8fp.co.uk/</t>
  </si>
  <si>
    <t>https://www.aethomson.com/</t>
  </si>
  <si>
    <t>https://www.afinance.co.uk/</t>
  </si>
  <si>
    <t>https://www.ruthvenassociates.co.uk/</t>
  </si>
  <si>
    <t>https://www.aewealth.uk/</t>
  </si>
  <si>
    <t>https://www.amwealth.co.uk/</t>
  </si>
  <si>
    <t>https://www.ajbwealth.co.uk/</t>
  </si>
  <si>
    <t>https://www.ardconsultancy.co.uk/</t>
  </si>
  <si>
    <t>https://www.a1mortgages.co.uk/</t>
  </si>
  <si>
    <t>https://www.aaffinancial.co.uk/</t>
  </si>
  <si>
    <t>https://www.atawny.co.uk/</t>
  </si>
  <si>
    <t>https://www.alphabetapartners.co.uk/</t>
  </si>
  <si>
    <t>https://www.abvision.co.uk/</t>
  </si>
  <si>
    <t>https://www.aaltd.co.uk/</t>
  </si>
  <si>
    <t>https://www.abacusassurance.co.uk/</t>
  </si>
  <si>
    <t>https://www.abacusfinancialoptions.co.uk/</t>
  </si>
  <si>
    <t>https://www.abacusmml.co.uk/</t>
  </si>
  <si>
    <t>https://www.abacuswealthplanning.com/</t>
  </si>
  <si>
    <t>https://www.abbeyfinancialservicesni.com/</t>
  </si>
  <si>
    <t>https://www.abbeyifa.com/</t>
  </si>
  <si>
    <t>https://www.bradyfinancialplanning.com/</t>
  </si>
  <si>
    <t>https://www.ablemoney.biz/</t>
  </si>
  <si>
    <t>https://www.aberdeenpersonal.com/</t>
  </si>
  <si>
    <t>https://www.afmanagement.co.uk/</t>
  </si>
  <si>
    <t>https://www.ariaprivateclients.com/</t>
  </si>
  <si>
    <t>https://www.absolutesense.co.uk/</t>
  </si>
  <si>
    <t>https://www.accalon.co.uk/</t>
  </si>
  <si>
    <t>https://www.accendomarkets.com/</t>
  </si>
  <si>
    <t>https://www.accredofinancialservices.com/</t>
  </si>
  <si>
    <t>https://www.accrueinvest.co.uk/</t>
  </si>
  <si>
    <t>https://www.accudo.co.uk/</t>
  </si>
  <si>
    <t>https://www.aceadvisers.co.uk/</t>
  </si>
  <si>
    <t>https://www.achievefp.com/</t>
  </si>
  <si>
    <t>https://www.awmw.co.uk/</t>
  </si>
  <si>
    <t>https://www.abfim.com/</t>
  </si>
  <si>
    <t>https://www.a2ofs.co.uk/</t>
  </si>
  <si>
    <t>https://www.acornmain.co.uk/</t>
  </si>
  <si>
    <t>https://www.activefinancialpartners.co.uk/</t>
  </si>
  <si>
    <t>https://www.activefinancialplanners.co.uk/</t>
  </si>
  <si>
    <t>https://www.morgan-williams.co.uk/</t>
  </si>
  <si>
    <t>https://www.activuswealth.co.uk/</t>
  </si>
  <si>
    <t>https://www.acuityfinancial.co.uk/</t>
  </si>
  <si>
    <t>https://www.acumenafs.com/</t>
  </si>
  <si>
    <t>https://www.acumenfinancial.co.uk/</t>
  </si>
  <si>
    <t>https://www.acumenfp.com/</t>
  </si>
  <si>
    <t>https://www.acumenifasolutions.co.uk/</t>
  </si>
  <si>
    <t>https://www.acumenpensionsandinvestments.co.uk/</t>
  </si>
  <si>
    <t>https://www.acumensa-wealth.com/</t>
  </si>
  <si>
    <t>https://www.starrfinancialplanning.com/</t>
  </si>
  <si>
    <t>https://www.adanac.biz/</t>
  </si>
  <si>
    <t>https://www.adaurum.com/</t>
  </si>
  <si>
    <t>https://www.adcasltd.com/</t>
  </si>
  <si>
    <t>https://www.adcockfinancial.co.uk/</t>
  </si>
  <si>
    <t>https://www.addwealth.co.uk/</t>
  </si>
  <si>
    <t>https://www.adelpfs.co.uk/</t>
  </si>
  <si>
    <t>https://www.adirafinancialservicesltd.co.uk/</t>
  </si>
  <si>
    <t>https://www.tbassetmanagement.co.uk/</t>
  </si>
  <si>
    <t>https://www.aswealthmgt.co.uk/</t>
  </si>
  <si>
    <t>https://www.advanceinvestments.com/</t>
  </si>
  <si>
    <t>https://www.advancewealth.co.uk/</t>
  </si>
  <si>
    <t>https://www.advancedasset.co.uk/</t>
  </si>
  <si>
    <t>https://www.airplimited.co.uk/</t>
  </si>
  <si>
    <t>https://www.advantagewealthmanagement.co.uk/</t>
  </si>
  <si>
    <t>https://www.rubyfinancial.co.uk/</t>
  </si>
  <si>
    <t>https://www.advicemattersfinancialplanning.com/</t>
  </si>
  <si>
    <t>https://www.moneywaysuk.com/</t>
  </si>
  <si>
    <t>https://www.aeon-ifa.co.uk/</t>
  </si>
  <si>
    <t>https://www.ifa-affinity.co.uk/</t>
  </si>
  <si>
    <t>https://www.affinityfp.com/</t>
  </si>
  <si>
    <t>https://www.affinitygfs.com/</t>
  </si>
  <si>
    <t>https://www.affluentfp.co.uk/</t>
  </si>
  <si>
    <t>https://www.afhwm.co.uk/</t>
  </si>
  <si>
    <t>https://www.afwm.co.uk/</t>
  </si>
  <si>
    <t>https://www.agilityfinancial.co.uk/</t>
  </si>
  <si>
    <t>https://www.aglwealth.com/</t>
  </si>
  <si>
    <t>https://www.kingswood-group.com/</t>
  </si>
  <si>
    <t>https://www.7fp.co.uk/</t>
  </si>
  <si>
    <t>https://www.ainsdalefinance.co.uk/</t>
  </si>
  <si>
    <t>https://www.afsl.info/</t>
  </si>
  <si>
    <t>https://www.aisagroup.org/</t>
  </si>
  <si>
    <t>https://www.akcifa.com/</t>
  </si>
  <si>
    <t>https://www.akfp.net/</t>
  </si>
  <si>
    <t>457607</t>
  </si>
  <si>
    <t>628181</t>
  </si>
  <si>
    <t>ALAN DONALD &amp; COMPANY LTD</t>
  </si>
  <si>
    <t>https://www.alandonald.co.uk/</t>
  </si>
  <si>
    <t>799828</t>
  </si>
  <si>
    <t>https://www.aefsl.co.uk/</t>
  </si>
  <si>
    <t>441911</t>
  </si>
  <si>
    <t>https://www.tonnerjohnsrattiltd.co.uk/</t>
  </si>
  <si>
    <t>114423</t>
  </si>
  <si>
    <t>https://www.alansteel.com/</t>
  </si>
  <si>
    <t>181769</t>
  </si>
  <si>
    <t>https://www.ifadirect.co.uk/</t>
  </si>
  <si>
    <t>624670</t>
  </si>
  <si>
    <t>488822</t>
  </si>
  <si>
    <t>https://www.albertesharp.com/</t>
  </si>
  <si>
    <t>148300</t>
  </si>
  <si>
    <t>https://www.albertgoodman.co.uk/</t>
  </si>
  <si>
    <t>617926</t>
  </si>
  <si>
    <t>https://www.alchemyfinancial.co.uk/</t>
  </si>
  <si>
    <t>430475</t>
  </si>
  <si>
    <t>684887</t>
  </si>
  <si>
    <t>https://www.alexjamesifa.com/</t>
  </si>
  <si>
    <t>817090</t>
  </si>
  <si>
    <t>https://www.abc-ifa.com/</t>
  </si>
  <si>
    <t>225566</t>
  </si>
  <si>
    <t>https://www.abg.net/</t>
  </si>
  <si>
    <t>491660</t>
  </si>
  <si>
    <t>https://www.alexandercameron.co.uk/</t>
  </si>
  <si>
    <t>605325</t>
  </si>
  <si>
    <t>https://www.alexanderjamesfinancial.co.uk/</t>
  </si>
  <si>
    <t>917560</t>
  </si>
  <si>
    <t>944965</t>
  </si>
  <si>
    <t>https://www.alingtonruthin.com/</t>
  </si>
  <si>
    <t>755733</t>
  </si>
  <si>
    <t>https://www.ashingtonfinancial.co.uk/</t>
  </si>
  <si>
    <t>924279</t>
  </si>
  <si>
    <t>403017</t>
  </si>
  <si>
    <t>https://www.alka.co.uk/</t>
  </si>
  <si>
    <t>1008239</t>
  </si>
  <si>
    <t>https://www.allaspectsfinancial.co.uk/</t>
  </si>
  <si>
    <t>440049</t>
  </si>
  <si>
    <t>458009</t>
  </si>
  <si>
    <t>https://www.alliedfs.co.uk/</t>
  </si>
  <si>
    <t>808678</t>
  </si>
  <si>
    <t>https://www.allisonsfinancial.com/</t>
  </si>
  <si>
    <t>564185</t>
  </si>
  <si>
    <t>711124</t>
  </si>
  <si>
    <t>546200</t>
  </si>
  <si>
    <t>519747</t>
  </si>
  <si>
    <t>https://www.alphaifa.com/</t>
  </si>
  <si>
    <t>149828</t>
  </si>
  <si>
    <t>950859</t>
  </si>
  <si>
    <t>https://www.altiorassetmanagement.co.uk/</t>
  </si>
  <si>
    <t>769033</t>
  </si>
  <si>
    <t>https://www.altorwealth.com/</t>
  </si>
  <si>
    <t>147392</t>
  </si>
  <si>
    <t>https://www.altorfer.co.uk/</t>
  </si>
  <si>
    <t>528062</t>
  </si>
  <si>
    <t>https://www.alwaysindependent.co.uk/</t>
  </si>
  <si>
    <t>527367</t>
  </si>
  <si>
    <t>796391</t>
  </si>
  <si>
    <t>https://www.ammfs.co.uk/</t>
  </si>
  <si>
    <t>445480</t>
  </si>
  <si>
    <t>https://www.amaipp.com/</t>
  </si>
  <si>
    <t>150115</t>
  </si>
  <si>
    <t>486909</t>
  </si>
  <si>
    <t>706535</t>
  </si>
  <si>
    <t>https://www.amas.co.uk/</t>
  </si>
  <si>
    <t>795042</t>
  </si>
  <si>
    <t>401162</t>
  </si>
  <si>
    <t>https://www.amberwealth.co.uk/</t>
  </si>
  <si>
    <t>680116</t>
  </si>
  <si>
    <t>623925</t>
  </si>
  <si>
    <t>https://www.amethyst-ifa.com/</t>
  </si>
  <si>
    <t>224443</t>
  </si>
  <si>
    <t>https://www.amherstfm.co.uk/</t>
  </si>
  <si>
    <t>599277</t>
  </si>
  <si>
    <t>165172</t>
  </si>
  <si>
    <t>https://www.amrinvest.co.uk/</t>
  </si>
  <si>
    <t>947426</t>
  </si>
  <si>
    <t>https://www.amswm.co.uk/</t>
  </si>
  <si>
    <t>797619</t>
  </si>
  <si>
    <t>https://www.anandassociates.com/</t>
  </si>
  <si>
    <t>831581</t>
  </si>
  <si>
    <t>https://www.anculo.co.uk/</t>
  </si>
  <si>
    <t>578626</t>
  </si>
  <si>
    <t>ANDERS BAYLEY SCOTT LTD</t>
  </si>
  <si>
    <t>https://www.andersbayleyscott.co.uk/</t>
  </si>
  <si>
    <t>509620</t>
  </si>
  <si>
    <t>220500</t>
  </si>
  <si>
    <t>416880</t>
  </si>
  <si>
    <t>https://www.andersonsinclair.co.uk/</t>
  </si>
  <si>
    <t>552925</t>
  </si>
  <si>
    <t>https://www.andersonstrathernam.co.uk/</t>
  </si>
  <si>
    <t>231131</t>
  </si>
  <si>
    <t>754546</t>
  </si>
  <si>
    <t>715670</t>
  </si>
  <si>
    <t>134905</t>
  </si>
  <si>
    <t>https://www.fixmypension.com/</t>
  </si>
  <si>
    <t>627978</t>
  </si>
  <si>
    <t>https://www.wise-invest.co.uk/</t>
  </si>
  <si>
    <t>658163</t>
  </si>
  <si>
    <t>749927</t>
  </si>
  <si>
    <t>609376</t>
  </si>
  <si>
    <t>507951</t>
  </si>
  <si>
    <t>973832</t>
  </si>
  <si>
    <t>627644</t>
  </si>
  <si>
    <t>486877</t>
  </si>
  <si>
    <t>https://www.andrewheptinstall-ifa.co.uk/</t>
  </si>
  <si>
    <t>473863</t>
  </si>
  <si>
    <t>https://www.andrew-hill-ltd.co.uk/</t>
  </si>
  <si>
    <t>584076</t>
  </si>
  <si>
    <t>830372</t>
  </si>
  <si>
    <t>189368</t>
  </si>
  <si>
    <t>https://www.intouchinvestments.co.uk/</t>
  </si>
  <si>
    <t>914010</t>
  </si>
  <si>
    <t>712259</t>
  </si>
  <si>
    <t>496729</t>
  </si>
  <si>
    <t>https://www.angellmallinder.co.uk/</t>
  </si>
  <si>
    <t>605658</t>
  </si>
  <si>
    <t>307774</t>
  </si>
  <si>
    <t>https://www.angloifa.com/</t>
  </si>
  <si>
    <t>587094</t>
  </si>
  <si>
    <t>https://www.annandalefinancial.co.uk/</t>
  </si>
  <si>
    <t>820272</t>
  </si>
  <si>
    <t>https://www.annettsandorchard.co.uk/</t>
  </si>
  <si>
    <t>487361</t>
  </si>
  <si>
    <t>https://www.anning.co.uk/</t>
  </si>
  <si>
    <t>424984</t>
  </si>
  <si>
    <t>577360</t>
  </si>
  <si>
    <t>https://www.ansteeco.co.uk/</t>
  </si>
  <si>
    <t>766016</t>
  </si>
  <si>
    <t>303713</t>
  </si>
  <si>
    <t>https://www.activeinsurance.co.uk/</t>
  </si>
  <si>
    <t>607543</t>
  </si>
  <si>
    <t>https://www.antonineim.co.uk/</t>
  </si>
  <si>
    <t>425959</t>
  </si>
  <si>
    <t>https://www.ransomifa.co.uk/</t>
  </si>
  <si>
    <t>523254</t>
  </si>
  <si>
    <t>https://www.pembrokefinancial.co.uk/</t>
  </si>
  <si>
    <t>544995</t>
  </si>
  <si>
    <t>https://www.apcfinancial.co.uk/</t>
  </si>
  <si>
    <t>507964</t>
  </si>
  <si>
    <t>https://www.apexcb.com/</t>
  </si>
  <si>
    <t>980861</t>
  </si>
  <si>
    <t>https://www.apgwealth.co.uk/</t>
  </si>
  <si>
    <t>503713</t>
  </si>
  <si>
    <t>https://www.apogeewealth.co.uk/</t>
  </si>
  <si>
    <t>470611</t>
  </si>
  <si>
    <t>https://www.apolloifa.co.uk/</t>
  </si>
  <si>
    <t>466149</t>
  </si>
  <si>
    <t>https://www.appletonfox.co.uk/</t>
  </si>
  <si>
    <t>602237</t>
  </si>
  <si>
    <t>https://www.afhwm.co.uk/nantwich</t>
  </si>
  <si>
    <t>543022</t>
  </si>
  <si>
    <t>https://www.approachablefinance.co.uk/</t>
  </si>
  <si>
    <t>630120</t>
  </si>
  <si>
    <t>https://www.aptuswealth.co.uk/</t>
  </si>
  <si>
    <t>757039</t>
  </si>
  <si>
    <t>605083</t>
  </si>
  <si>
    <t>https://www.aquafinancial.co.uk/</t>
  </si>
  <si>
    <t>578609</t>
  </si>
  <si>
    <t>987996</t>
  </si>
  <si>
    <t>https://www.arborfieldwealth.com/</t>
  </si>
  <si>
    <t>937373</t>
  </si>
  <si>
    <t>https://www.arborheath.co.uk/</t>
  </si>
  <si>
    <t>419666</t>
  </si>
  <si>
    <t>https://www.arceden.com/</t>
  </si>
  <si>
    <t>650075</t>
  </si>
  <si>
    <t>https://www.archersonline.co.uk/</t>
  </si>
  <si>
    <t>208500</t>
  </si>
  <si>
    <t>https://www.ardenassociates.co.uk/</t>
  </si>
  <si>
    <t>589721</t>
  </si>
  <si>
    <t>https://www.ardmorefinancial.co.uk/</t>
  </si>
  <si>
    <t>624277</t>
  </si>
  <si>
    <t>https://www.argentis.co.uk/</t>
  </si>
  <si>
    <t>419331</t>
  </si>
  <si>
    <t>531287</t>
  </si>
  <si>
    <t>https://www.ascotlloyd.co.uk/</t>
  </si>
  <si>
    <t>185561</t>
  </si>
  <si>
    <t>https://www.argyleconsulting.co.uk/</t>
  </si>
  <si>
    <t>571252</t>
  </si>
  <si>
    <t>https://www.a-bconsultants.co.uk/</t>
  </si>
  <si>
    <t>663026</t>
  </si>
  <si>
    <t>https://www.argyllfinancial.co.uk/</t>
  </si>
  <si>
    <t>974264</t>
  </si>
  <si>
    <t>544532</t>
  </si>
  <si>
    <t>https://www.arianfp.co.uk/</t>
  </si>
  <si>
    <t>430979</t>
  </si>
  <si>
    <t>https://www.arkfp.co.uk/</t>
  </si>
  <si>
    <t>778807</t>
  </si>
  <si>
    <t>https://www.arkinson-ifa.co.uk/</t>
  </si>
  <si>
    <t>542122</t>
  </si>
  <si>
    <t>https://www.armstrongwatson.co.uk/</t>
  </si>
  <si>
    <t>563379</t>
  </si>
  <si>
    <t>https://www.arnoldifa.com/</t>
  </si>
  <si>
    <t>569888</t>
  </si>
  <si>
    <t>https://www.coynelearmonth.co.uk/</t>
  </si>
  <si>
    <t>424079</t>
  </si>
  <si>
    <t>750804</t>
  </si>
  <si>
    <t>https://www.arquitis.co.uk/</t>
  </si>
  <si>
    <t>760570</t>
  </si>
  <si>
    <t>https://www.arthurdodds.co.uk/</t>
  </si>
  <si>
    <t>677055</t>
  </si>
  <si>
    <t>465838</t>
  </si>
  <si>
    <t>https://www.arundelwealth.co.uk/</t>
  </si>
  <si>
    <t>551744</t>
  </si>
  <si>
    <t>https://www.ascotwm.com/</t>
  </si>
  <si>
    <t>938401</t>
  </si>
  <si>
    <t>https://www.ashleylawstneots.co.uk/</t>
  </si>
  <si>
    <t>491656</t>
  </si>
  <si>
    <t>https://www.ashleighcourt.com/</t>
  </si>
  <si>
    <t>607133</t>
  </si>
  <si>
    <t>616449</t>
  </si>
  <si>
    <t>402969</t>
  </si>
  <si>
    <t>ASHTON MORTGAGE &amp; FINANCIAL SOLUTIONS LIMITED</t>
  </si>
  <si>
    <t>https://www.amfsltd.co.uk/</t>
  </si>
  <si>
    <t>502319</t>
  </si>
  <si>
    <t>https://www.aspect-financial.com/</t>
  </si>
  <si>
    <t>467126</t>
  </si>
  <si>
    <t>https://www.aspenfs.co.uk/</t>
  </si>
  <si>
    <t>211183</t>
  </si>
  <si>
    <t>843370</t>
  </si>
  <si>
    <t>514965</t>
  </si>
  <si>
    <t>https://www.hfmcwealth.com/</t>
  </si>
  <si>
    <t>922435</t>
  </si>
  <si>
    <t>https://www.aspirationalfp.co.uk/</t>
  </si>
  <si>
    <t>475826</t>
  </si>
  <si>
    <t>https://www.aspiremortgagesfinancialservices.com/</t>
  </si>
  <si>
    <t>717892</t>
  </si>
  <si>
    <t>456262</t>
  </si>
  <si>
    <t>https://www.aspireifa.co.uk/</t>
  </si>
  <si>
    <t>719086</t>
  </si>
  <si>
    <t>https://www.aspleyfinancialplanning.co.uk/</t>
  </si>
  <si>
    <t>196680</t>
  </si>
  <si>
    <t>https://www.aimifa.com/</t>
  </si>
  <si>
    <t>226032</t>
  </si>
  <si>
    <t>https://www.awmifa.co.uk/</t>
  </si>
  <si>
    <t>602045</t>
  </si>
  <si>
    <t>https://www.alaf.biz/</t>
  </si>
  <si>
    <t>144168</t>
  </si>
  <si>
    <t>https://www.associatedlife.co.uk/</t>
  </si>
  <si>
    <t>840938</t>
  </si>
  <si>
    <t>430727</t>
  </si>
  <si>
    <t>https://www.astusfp.co.uk/</t>
  </si>
  <si>
    <t>437966</t>
  </si>
  <si>
    <t>https://www.astutefp.com/</t>
  </si>
  <si>
    <t>811049</t>
  </si>
  <si>
    <t>https://www.astutefin.co.uk/</t>
  </si>
  <si>
    <t>425291</t>
  </si>
  <si>
    <t>586071</t>
  </si>
  <si>
    <t>531465</t>
  </si>
  <si>
    <t>https://www.astuteprivatewealth.co.uk/</t>
  </si>
  <si>
    <t>982479</t>
  </si>
  <si>
    <t>https://www.astutewealthplanning.com/</t>
  </si>
  <si>
    <t>737323</t>
  </si>
  <si>
    <t>688100</t>
  </si>
  <si>
    <t>https://www.athenafp.co.uk/</t>
  </si>
  <si>
    <t>627636</t>
  </si>
  <si>
    <t>https://www.athenawealthplanning.co.uk/</t>
  </si>
  <si>
    <t>184046</t>
  </si>
  <si>
    <t>https://www.atkinsbland.co.uk/</t>
  </si>
  <si>
    <t>915934</t>
  </si>
  <si>
    <t>https://www.atkinsonfs.co.uk/</t>
  </si>
  <si>
    <t>764562</t>
  </si>
  <si>
    <t>https://www.atlanticmarkets.co.uk/</t>
  </si>
  <si>
    <t>439996</t>
  </si>
  <si>
    <t>https://www.atlasplanning.co.uk/</t>
  </si>
  <si>
    <t>535786</t>
  </si>
  <si>
    <t>https://www.attainwealthmanagement.co.uk/</t>
  </si>
  <si>
    <t>440753</t>
  </si>
  <si>
    <t>https://www.benefitsuk.com/</t>
  </si>
  <si>
    <t>455895</t>
  </si>
  <si>
    <t>https://www.aubreycm.co.uk/</t>
  </si>
  <si>
    <t>971768</t>
  </si>
  <si>
    <t>https://www.auctusadvisors.co.uk/</t>
  </si>
  <si>
    <t>955306</t>
  </si>
  <si>
    <t>https://www.audleywealth.com/</t>
  </si>
  <si>
    <t>559364</t>
  </si>
  <si>
    <t>121212</t>
  </si>
  <si>
    <t>https://www.aureafp.co.uk/</t>
  </si>
  <si>
    <t>800234</t>
  </si>
  <si>
    <t>516196</t>
  </si>
  <si>
    <t>https://www.austinchapel.co.uk/</t>
  </si>
  <si>
    <t>628867</t>
  </si>
  <si>
    <t>https://www.austynsmith.com/</t>
  </si>
  <si>
    <t>649674</t>
  </si>
  <si>
    <t>https://www.autonomyfp.co.uk/</t>
  </si>
  <si>
    <t>182032</t>
  </si>
  <si>
    <t>https://www.avtrinity.com/</t>
  </si>
  <si>
    <t>453956</t>
  </si>
  <si>
    <t>609098</t>
  </si>
  <si>
    <t>https://www.avistafp.co.uk/</t>
  </si>
  <si>
    <t>925093</t>
  </si>
  <si>
    <t>https://www.avocawealth.com/</t>
  </si>
  <si>
    <t>209423</t>
  </si>
  <si>
    <t>439187</t>
  </si>
  <si>
    <t>532109</t>
  </si>
  <si>
    <t>https://www.awfm.co.uk/</t>
  </si>
  <si>
    <t>455338</t>
  </si>
  <si>
    <t>226351</t>
  </si>
  <si>
    <t>https://www.axxisfinancial.co.uk/</t>
  </si>
  <si>
    <t>492377</t>
  </si>
  <si>
    <t>983074</t>
  </si>
  <si>
    <t>https://www.afsltd.co.uk/</t>
  </si>
  <si>
    <t>510121</t>
  </si>
  <si>
    <t>Azets Milne Craig</t>
  </si>
  <si>
    <t>https://www.azets.co.uk/</t>
  </si>
  <si>
    <t>449016</t>
  </si>
  <si>
    <t>https://www.azetswealthmanagement.co.uk/</t>
  </si>
  <si>
    <t>958141</t>
  </si>
  <si>
    <t>https://www.azimuthfin.co.uk/</t>
  </si>
  <si>
    <t>458272</t>
  </si>
  <si>
    <t>https://www.bandmharrison.co.uk/</t>
  </si>
  <si>
    <t>126243</t>
  </si>
  <si>
    <t>495727</t>
  </si>
  <si>
    <t>441834</t>
  </si>
  <si>
    <t>672490</t>
  </si>
  <si>
    <t>https://www.murrayfinancialplanning.co.uk/</t>
  </si>
  <si>
    <t>925667</t>
  </si>
  <si>
    <t>https://www.b3wealth.co.uk/</t>
  </si>
  <si>
    <t>126319</t>
  </si>
  <si>
    <t>https://www.backhouseifs.co.uk/</t>
  </si>
  <si>
    <t>522193</t>
  </si>
  <si>
    <t>https://www.baggette.co.uk/</t>
  </si>
  <si>
    <t>823706</t>
  </si>
  <si>
    <t>https://www.baileycookfp.co.uk/</t>
  </si>
  <si>
    <t>410508</t>
  </si>
  <si>
    <t>https://www.baileyfinancial.co.uk/</t>
  </si>
  <si>
    <t>188992</t>
  </si>
  <si>
    <t>https://www.bakerdavies.com/</t>
  </si>
  <si>
    <t>457112</t>
  </si>
  <si>
    <t>509758</t>
  </si>
  <si>
    <t>https://www.bgyifa.com/</t>
  </si>
  <si>
    <t>455883</t>
  </si>
  <si>
    <t>303315</t>
  </si>
  <si>
    <t>https://www.qfinancial.co.uk/</t>
  </si>
  <si>
    <t>592856</t>
  </si>
  <si>
    <t>225350</t>
  </si>
  <si>
    <t>https://www.bankhouse-ifa.com/</t>
  </si>
  <si>
    <t>169628</t>
  </si>
  <si>
    <t>https://www.bankofscotland.co.uk/</t>
  </si>
  <si>
    <t>797019</t>
  </si>
  <si>
    <t>https://www.banyardifa.co.uk/</t>
  </si>
  <si>
    <t>154950</t>
  </si>
  <si>
    <t>https://www.bifal.co.uk/</t>
  </si>
  <si>
    <t>719536</t>
  </si>
  <si>
    <t>https://www.barker-fs.co.uk/</t>
  </si>
  <si>
    <t>913374</t>
  </si>
  <si>
    <t>432949</t>
  </si>
  <si>
    <t>517310</t>
  </si>
  <si>
    <t>https://www.barkermaule.co.uk/</t>
  </si>
  <si>
    <t>722670</t>
  </si>
  <si>
    <t>https://www.barkerowen.co.uk/</t>
  </si>
  <si>
    <t>502830</t>
  </si>
  <si>
    <t>https://www.barkersutcliffe.co.uk/</t>
  </si>
  <si>
    <t>446240</t>
  </si>
  <si>
    <t>930300</t>
  </si>
  <si>
    <t>https://www.baronandgrant.com/</t>
  </si>
  <si>
    <t>138881</t>
  </si>
  <si>
    <t>564043</t>
  </si>
  <si>
    <t>https://www.unbiasedifa.co.uk/</t>
  </si>
  <si>
    <t>155099</t>
  </si>
  <si>
    <t>https://www.amberriver.com/midlands</t>
  </si>
  <si>
    <t>460779</t>
  </si>
  <si>
    <t>https://www.barryfentonifa.co.uk/</t>
  </si>
  <si>
    <t>213159</t>
  </si>
  <si>
    <t>https://www.bafleming.co.uk/</t>
  </si>
  <si>
    <t>799367</t>
  </si>
  <si>
    <t>https://www.bennettwealthplanning.com/</t>
  </si>
  <si>
    <t>588626</t>
  </si>
  <si>
    <t>https://www.barwells-wealth.co.uk/</t>
  </si>
  <si>
    <t>694856</t>
  </si>
  <si>
    <t>https://www.bastionfinancialplanning.co.uk/</t>
  </si>
  <si>
    <t>462900</t>
  </si>
  <si>
    <t>https://www.bateman-group.co.uk/</t>
  </si>
  <si>
    <t>581082</t>
  </si>
  <si>
    <t>944080</t>
  </si>
  <si>
    <t>https://www.batesindependent.co.uk/</t>
  </si>
  <si>
    <t>943846</t>
  </si>
  <si>
    <t>471166</t>
  </si>
  <si>
    <t>BBI INDEPENDENT FINANCIAL ADVISERS LIMITED</t>
  </si>
  <si>
    <t>https://www.bbi-ifa.co.uk/</t>
  </si>
  <si>
    <t>922221</t>
  </si>
  <si>
    <t>https://www.bbtgroup.co.uk/</t>
  </si>
  <si>
    <t>499460</t>
  </si>
  <si>
    <t>https://www.bdhsterling.com/</t>
  </si>
  <si>
    <t>143911</t>
  </si>
  <si>
    <t>https://www.beachifa.co.uk/</t>
  </si>
  <si>
    <t>526604</t>
  </si>
  <si>
    <t>https://www.beaconwm.co.uk/</t>
  </si>
  <si>
    <t>566890</t>
  </si>
  <si>
    <t>https://www.beaconifa.co.uk/</t>
  </si>
  <si>
    <t>207508</t>
  </si>
  <si>
    <t>https://www.beardmoreifa.co.uk/</t>
  </si>
  <si>
    <t>583233</t>
  </si>
  <si>
    <t>https://www.beaufortfinancial.co.uk/</t>
  </si>
  <si>
    <t>987842</t>
  </si>
  <si>
    <t>https://www.beaufortwmltd.co.uk/</t>
  </si>
  <si>
    <t>772710</t>
  </si>
  <si>
    <t>https://www.beaumontwealth.co.uk/</t>
  </si>
  <si>
    <t>138104</t>
  </si>
  <si>
    <t>https://www.beckettinvest.com/</t>
  </si>
  <si>
    <t>409051</t>
  </si>
  <si>
    <t>https://www.beckettsfs.co.uk/</t>
  </si>
  <si>
    <t>408228</t>
  </si>
  <si>
    <t>606578</t>
  </si>
  <si>
    <t>https://www.bedewealth.co.uk/</t>
  </si>
  <si>
    <t>948359</t>
  </si>
  <si>
    <t>705566</t>
  </si>
  <si>
    <t>https://www.beechwoodfm.co.uk/</t>
  </si>
  <si>
    <t>677641</t>
  </si>
  <si>
    <t>https://www.beechwoodfs.co.uk/</t>
  </si>
  <si>
    <t>471152</t>
  </si>
  <si>
    <t>https://www.begleybrown.co.uk/</t>
  </si>
  <si>
    <t>503408</t>
  </si>
  <si>
    <t>410497</t>
  </si>
  <si>
    <t>https://www.belgraveifa.co.uk/</t>
  </si>
  <si>
    <t>520796</t>
  </si>
  <si>
    <t>https://www.bellfinancialplanning.co.uk/</t>
  </si>
  <si>
    <t>706520</t>
  </si>
  <si>
    <t>https://www.bellsimpson.co.uk/</t>
  </si>
  <si>
    <t>579302</t>
  </si>
  <si>
    <t>959222</t>
  </si>
  <si>
    <t>409714</t>
  </si>
  <si>
    <t>https://www.belmayne-ifa.com/</t>
  </si>
  <si>
    <t>941420</t>
  </si>
  <si>
    <t>https://www.belmorefp.uk/</t>
  </si>
  <si>
    <t>594003</t>
  </si>
  <si>
    <t>https://www.belperifs.co.uk/</t>
  </si>
  <si>
    <t>553929</t>
  </si>
  <si>
    <t>https://www.belyn.co.uk/</t>
  </si>
  <si>
    <t>843556</t>
  </si>
  <si>
    <t>https://www.otwm.co.uk/</t>
  </si>
  <si>
    <t>797692</t>
  </si>
  <si>
    <t>514387</t>
  </si>
  <si>
    <t>https://www.bentleygrove.co.uk/</t>
  </si>
  <si>
    <t>146733</t>
  </si>
  <si>
    <t>https://www.bentleyifa.com/</t>
  </si>
  <si>
    <t>800509</t>
  </si>
  <si>
    <t>711243</t>
  </si>
  <si>
    <t>https://www.bergdaviesassociates.co.uk/</t>
  </si>
  <si>
    <t>196689</t>
  </si>
  <si>
    <t>https://www.blrfc.com/</t>
  </si>
  <si>
    <t>826120</t>
  </si>
  <si>
    <t>https://www.berkshireifa.com/</t>
  </si>
  <si>
    <t>921484</t>
  </si>
  <si>
    <t>BERRY FINANCIAL PLANNING LIMITED</t>
  </si>
  <si>
    <t>https://www.berryfinancialplanning.co.uk/</t>
  </si>
  <si>
    <t>719170</t>
  </si>
  <si>
    <t>795258</t>
  </si>
  <si>
    <t>https://www.bespokefinancialplan.co.uk/</t>
  </si>
  <si>
    <t>610625</t>
  </si>
  <si>
    <t>971573</t>
  </si>
  <si>
    <t>https://www.bespokewealth.co.uk/</t>
  </si>
  <si>
    <t>747633</t>
  </si>
  <si>
    <t>616019</t>
  </si>
  <si>
    <t>https://www.bespoke-advice.com/</t>
  </si>
  <si>
    <t>507870</t>
  </si>
  <si>
    <t>https://www.best4advice.com/</t>
  </si>
  <si>
    <t>607662</t>
  </si>
  <si>
    <t>223112</t>
  </si>
  <si>
    <t>https://www.bestpractice.co.uk/</t>
  </si>
  <si>
    <t>615229</t>
  </si>
  <si>
    <t>https://www.bestpricefs.co.uk/</t>
  </si>
  <si>
    <t>418807</t>
  </si>
  <si>
    <t>https://www.hillgrafford.co.uk/</t>
  </si>
  <si>
    <t>930699</t>
  </si>
  <si>
    <t>https://www.unavita.co.uk/</t>
  </si>
  <si>
    <t>149161</t>
  </si>
  <si>
    <t>145831</t>
  </si>
  <si>
    <t>https://www.beyondfinance.org.uk/</t>
  </si>
  <si>
    <t>413664</t>
  </si>
  <si>
    <t>https://www.burtonfinancialservices.co.uk/</t>
  </si>
  <si>
    <t>223337</t>
  </si>
  <si>
    <t>https://www.bhavikshahifa.wordpress.com/</t>
  </si>
  <si>
    <t>446399</t>
  </si>
  <si>
    <t>https://www.bigmoreassociates.com/</t>
  </si>
  <si>
    <t>185748</t>
  </si>
  <si>
    <t>https://www.bigmorebenefits.com/</t>
  </si>
  <si>
    <t>114617</t>
  </si>
  <si>
    <t>https://www.birchwoodinvestment.com/</t>
  </si>
  <si>
    <t>592052</t>
  </si>
  <si>
    <t>https://www.birdstewart.co.uk/</t>
  </si>
  <si>
    <t>126698</t>
  </si>
  <si>
    <t>623940</t>
  </si>
  <si>
    <t>https://www.bjfmltd.co.uk/</t>
  </si>
  <si>
    <t>588625</t>
  </si>
  <si>
    <t>512436</t>
  </si>
  <si>
    <t>627465</t>
  </si>
  <si>
    <t>https://www.blackfs.co.uk/</t>
  </si>
  <si>
    <t>533116</t>
  </si>
  <si>
    <t>466128</t>
  </si>
  <si>
    <t>https://www.blackswanfinancialmanagement.co.uk/</t>
  </si>
  <si>
    <t>738512</t>
  </si>
  <si>
    <t>https://www.blackadderswm.co.uk/</t>
  </si>
  <si>
    <t>788252</t>
  </si>
  <si>
    <t>https://www.blackbearfinancialgroup.co.uk/</t>
  </si>
  <si>
    <t>153860</t>
  </si>
  <si>
    <t>https://www.blackfinch.com/</t>
  </si>
  <si>
    <t>936085</t>
  </si>
  <si>
    <t>https://www.blacksquareadvisory.com/</t>
  </si>
  <si>
    <t>615364</t>
  </si>
  <si>
    <t>https://www.blackstarfinance.co.uk/</t>
  </si>
  <si>
    <t>630530</t>
  </si>
  <si>
    <t>951050</t>
  </si>
  <si>
    <t>188611</t>
  </si>
  <si>
    <t>https://www.blacktowerfm.com/</t>
  </si>
  <si>
    <t>843625</t>
  </si>
  <si>
    <t>810027</t>
  </si>
  <si>
    <t>https://www.blakesfinancial.com/</t>
  </si>
  <si>
    <t>1016977</t>
  </si>
  <si>
    <t>Blanco Wealth Management Limited</t>
  </si>
  <si>
    <t>https://www.blancowealthmanagment.co.uk/</t>
  </si>
  <si>
    <t>143694</t>
  </si>
  <si>
    <t>947792</t>
  </si>
  <si>
    <t>https://www.blaxsellfinancial.co.uk/</t>
  </si>
  <si>
    <t>831380</t>
  </si>
  <si>
    <t>625295</t>
  </si>
  <si>
    <t>https://www.blithehouse.co.uk/</t>
  </si>
  <si>
    <t>769848</t>
  </si>
  <si>
    <t>https://www.bloomfieldfinancial.co.uk/</t>
  </si>
  <si>
    <t>796721</t>
  </si>
  <si>
    <t>BLU Family Office Limited</t>
  </si>
  <si>
    <t>537435</t>
  </si>
  <si>
    <t>789201</t>
  </si>
  <si>
    <t>https://www.bluefoxwealth.co.uk/</t>
  </si>
  <si>
    <t>456458</t>
  </si>
  <si>
    <t>https://www.blueoceanfp.co.uk/</t>
  </si>
  <si>
    <t>770728</t>
  </si>
  <si>
    <t>https://www.bluepebblemoney.co.uk/</t>
  </si>
  <si>
    <t>487904</t>
  </si>
  <si>
    <t>https://www.blueriverwealth.com/</t>
  </si>
  <si>
    <t>120982</t>
  </si>
  <si>
    <t>750928</t>
  </si>
  <si>
    <t>211720</t>
  </si>
  <si>
    <t>https://www.blueskyfp.co.uk/</t>
  </si>
  <si>
    <t>566257</t>
  </si>
  <si>
    <t>990457</t>
  </si>
  <si>
    <t>https://www.bluebellfinancialmanagement.co.uk/</t>
  </si>
  <si>
    <t>478785</t>
  </si>
  <si>
    <t>https://www.blueberryfinancial.co.uk/</t>
  </si>
  <si>
    <t>626661</t>
  </si>
  <si>
    <t>https://www.blueberrymortgages.co.uk/</t>
  </si>
  <si>
    <t>580520</t>
  </si>
  <si>
    <t>729419</t>
  </si>
  <si>
    <t>https://www.bluegrove.co.uk/</t>
  </si>
  <si>
    <t>749888</t>
  </si>
  <si>
    <t>https://www.wealthatbluesky.com/</t>
  </si>
  <si>
    <t>446963</t>
  </si>
  <si>
    <t>713801</t>
  </si>
  <si>
    <t>https://www.bluespherewealth.com/</t>
  </si>
  <si>
    <t>966977</t>
  </si>
  <si>
    <t>479421</t>
  </si>
  <si>
    <t>https://www.bluestoneifa.co.uk/</t>
  </si>
  <si>
    <t>514224</t>
  </si>
  <si>
    <t>https://www.bluetrust.co.uk/</t>
  </si>
  <si>
    <t>982544</t>
  </si>
  <si>
    <t>https://www.blythwealth.co.uk/</t>
  </si>
  <si>
    <t>973495</t>
  </si>
  <si>
    <t>https://www.blyth-richmond.co.uk/</t>
  </si>
  <si>
    <t>844194</t>
  </si>
  <si>
    <t>https://www.bmlfs.co.uk/</t>
  </si>
  <si>
    <t>929810</t>
  </si>
  <si>
    <t>https://www.bmsgwealth.co.uk/</t>
  </si>
  <si>
    <t>585700</t>
  </si>
  <si>
    <t>439777</t>
  </si>
  <si>
    <t>197176</t>
  </si>
  <si>
    <t>https://www.bolerwisemanfsl.com/</t>
  </si>
  <si>
    <t>553200</t>
  </si>
  <si>
    <t>https://www.bolsover-render.co.uk/</t>
  </si>
  <si>
    <t>400119</t>
  </si>
  <si>
    <t>https://www.bond-financial.com/</t>
  </si>
  <si>
    <t>774566</t>
  </si>
  <si>
    <t>https://www.bonumwealth.co.uk/</t>
  </si>
  <si>
    <t>231370</t>
  </si>
  <si>
    <t>https://www.boothfp.com/</t>
  </si>
  <si>
    <t>511417</t>
  </si>
  <si>
    <t>https://www.borderfinance.co.uk/</t>
  </si>
  <si>
    <t>772349</t>
  </si>
  <si>
    <t>401226</t>
  </si>
  <si>
    <t>https://www.trinitybridge.com/</t>
  </si>
  <si>
    <t>968637</t>
  </si>
  <si>
    <t>https://www.bountyfp.co.uk/</t>
  </si>
  <si>
    <t>229328</t>
  </si>
  <si>
    <t>https://www.bourletconsulting.com/</t>
  </si>
  <si>
    <t>502077</t>
  </si>
  <si>
    <t>https://www.bourneifa.co.uk/</t>
  </si>
  <si>
    <t>126756</t>
  </si>
  <si>
    <t>913761</t>
  </si>
  <si>
    <t>582919</t>
  </si>
  <si>
    <t>https://www.bowdenfinancial.com/</t>
  </si>
  <si>
    <t>815777</t>
  </si>
  <si>
    <t>451607</t>
  </si>
  <si>
    <t>https://www.bowerhomefinance.co.uk/</t>
  </si>
  <si>
    <t>966018</t>
  </si>
  <si>
    <t>476417</t>
  </si>
  <si>
    <t>625939</t>
  </si>
  <si>
    <t>402614</t>
  </si>
  <si>
    <t>https://www.ajhird.com/</t>
  </si>
  <si>
    <t>789902</t>
  </si>
  <si>
    <t>448416</t>
  </si>
  <si>
    <t>https://www.bramptonfinancialmanagement.co.uk/</t>
  </si>
  <si>
    <t>718072</t>
  </si>
  <si>
    <t>https://www.brandaneifa.com/</t>
  </si>
  <si>
    <t>148204</t>
  </si>
  <si>
    <t>https://www.amberriver.com/</t>
  </si>
  <si>
    <t>116358</t>
  </si>
  <si>
    <t>https://www.brbwm.co.uk/</t>
  </si>
  <si>
    <t>525901</t>
  </si>
  <si>
    <t>647058</t>
  </si>
  <si>
    <t>https://www.bafinancialservices.co.uk/</t>
  </si>
  <si>
    <t>706681</t>
  </si>
  <si>
    <t>122499</t>
  </si>
  <si>
    <t>https://www.brigroup.co.uk/</t>
  </si>
  <si>
    <t>563900</t>
  </si>
  <si>
    <t>133473</t>
  </si>
  <si>
    <t>https://www.hyfi.co.uk/</t>
  </si>
  <si>
    <t>708033</t>
  </si>
  <si>
    <t>540721</t>
  </si>
  <si>
    <t>https://www.brianmellorfs.co.uk/</t>
  </si>
  <si>
    <t>211978</t>
  </si>
  <si>
    <t>https://www.fosterdenovo.com/</t>
  </si>
  <si>
    <t>607256</t>
  </si>
  <si>
    <t>218281</t>
  </si>
  <si>
    <t>608975</t>
  </si>
  <si>
    <t>514128</t>
  </si>
  <si>
    <t>663048</t>
  </si>
  <si>
    <t>455100</t>
  </si>
  <si>
    <t>710850</t>
  </si>
  <si>
    <t>583343</t>
  </si>
  <si>
    <t>https://www.brightonfinancial.co.uk/</t>
  </si>
  <si>
    <t>489357</t>
  </si>
  <si>
    <t>https://www.brilliancefp.com/</t>
  </si>
  <si>
    <t>602001</t>
  </si>
  <si>
    <t>https://www.brimmond.co.uk/</t>
  </si>
  <si>
    <t>588420</t>
  </si>
  <si>
    <t>https://www.britannicplace.co.uk/</t>
  </si>
  <si>
    <t>507994</t>
  </si>
  <si>
    <t>815602</t>
  </si>
  <si>
    <t>https://www.broadgatewealth.co.uk/</t>
  </si>
  <si>
    <t>958621</t>
  </si>
  <si>
    <t>https://www.broadlandconsultants.com/</t>
  </si>
  <si>
    <t>231686</t>
  </si>
  <si>
    <t>928771</t>
  </si>
  <si>
    <t>172189</t>
  </si>
  <si>
    <t>https://www.broadwayfp.co.uk/</t>
  </si>
  <si>
    <t>462518</t>
  </si>
  <si>
    <t>https://www.bromige.co.uk/</t>
  </si>
  <si>
    <t>191617</t>
  </si>
  <si>
    <t>751572</t>
  </si>
  <si>
    <t>https://www.brookmansandberkeley.co.uk/</t>
  </si>
  <si>
    <t>807947</t>
  </si>
  <si>
    <t>https://www.brooksfinancial.co.uk/</t>
  </si>
  <si>
    <t>179752</t>
  </si>
  <si>
    <t>https://www.brooksonfinancial.co.uk/</t>
  </si>
  <si>
    <t>968578</t>
  </si>
  <si>
    <t>Brookway Financial Ltd</t>
  </si>
  <si>
    <t>https://www.brookway.co.uk/</t>
  </si>
  <si>
    <t>424217</t>
  </si>
  <si>
    <t>https://www.broomconsultants.com/</t>
  </si>
  <si>
    <t>428648</t>
  </si>
  <si>
    <t>575242</t>
  </si>
  <si>
    <t>https://www.browningfinancial.co.uk/</t>
  </si>
  <si>
    <t>607455</t>
  </si>
  <si>
    <t>https://www.browningfinancialplanning.co.uk/</t>
  </si>
  <si>
    <t>533418</t>
  </si>
  <si>
    <t>533831</t>
  </si>
  <si>
    <t>https://www.brunsdonfinancial.co.uk/</t>
  </si>
  <si>
    <t>618199</t>
  </si>
  <si>
    <t>https://www.brunswickim.com/</t>
  </si>
  <si>
    <t>746672</t>
  </si>
  <si>
    <t>438187</t>
  </si>
  <si>
    <t>https://www.friendlywealth.co.uk/</t>
  </si>
  <si>
    <t>950421</t>
  </si>
  <si>
    <t>https://www.buchanan.ltd/</t>
  </si>
  <si>
    <t>797420</t>
  </si>
  <si>
    <t>https://www.buckwealthmanagement.co.uk/</t>
  </si>
  <si>
    <t>440573</t>
  </si>
  <si>
    <t>815891</t>
  </si>
  <si>
    <t>https://www.bullinger.co.uk/</t>
  </si>
  <si>
    <t>521077</t>
  </si>
  <si>
    <t>https://www.burfieldfp.co.uk/</t>
  </si>
  <si>
    <t>160493</t>
  </si>
  <si>
    <t>https://www.burgessandlee.co.uk/</t>
  </si>
  <si>
    <t>582541</t>
  </si>
  <si>
    <t>784347</t>
  </si>
  <si>
    <t>https://www.burnettfp.co.uk/</t>
  </si>
  <si>
    <t>946176</t>
  </si>
  <si>
    <t>231631</t>
  </si>
  <si>
    <t>https://www.bsandb.co.uk/</t>
  </si>
  <si>
    <t>425865</t>
  </si>
  <si>
    <t>https://www.bpinvestment.com/</t>
  </si>
  <si>
    <t>845514</t>
  </si>
  <si>
    <t>https://www.butchermoody.com/</t>
  </si>
  <si>
    <t>442229</t>
  </si>
  <si>
    <t>https://www.butlertoll.co.uk/</t>
  </si>
  <si>
    <t>945907</t>
  </si>
  <si>
    <t>https://www.butterflyfinancialplanning.co.uk/</t>
  </si>
  <si>
    <t>931450</t>
  </si>
  <si>
    <t>117954</t>
  </si>
  <si>
    <t>https://www.bvmoney.org.uk/</t>
  </si>
  <si>
    <t>223173</t>
  </si>
  <si>
    <t>964558</t>
  </si>
  <si>
    <t>https://www.cafinancialservices.co.uk/</t>
  </si>
  <si>
    <t>715797</t>
  </si>
  <si>
    <t>690631</t>
  </si>
  <si>
    <t>958360</t>
  </si>
  <si>
    <t>https://www.csfinancialplanning.co.uk/</t>
  </si>
  <si>
    <t>627954</t>
  </si>
  <si>
    <t>121020</t>
  </si>
  <si>
    <t>225495</t>
  </si>
  <si>
    <t>https://www.acclaimed-financial.co.uk/</t>
  </si>
  <si>
    <t>990743</t>
  </si>
  <si>
    <t>https://www.cactusfp.co.uk/</t>
  </si>
  <si>
    <t>740111</t>
  </si>
  <si>
    <t>829694</t>
  </si>
  <si>
    <t>https://www.cairnfm.co.uk/</t>
  </si>
  <si>
    <t>142665</t>
  </si>
  <si>
    <t>https://www.cairn.money/</t>
  </si>
  <si>
    <t>913262</t>
  </si>
  <si>
    <t>https://www.calainvestments.co.uk/</t>
  </si>
  <si>
    <t>125693</t>
  </si>
  <si>
    <t>587613</t>
  </si>
  <si>
    <t>https://www.calcuthandsangsterfs.co.uk/</t>
  </si>
  <si>
    <t>497107</t>
  </si>
  <si>
    <t>https://www.calebfinancial.co.uk/</t>
  </si>
  <si>
    <t>214037</t>
  </si>
  <si>
    <t>https://www.calam.co.uk/</t>
  </si>
  <si>
    <t>828162</t>
  </si>
  <si>
    <t>https://www.caledonianfm.co.uk/</t>
  </si>
  <si>
    <t>660389</t>
  </si>
  <si>
    <t>https://www.trusthouze.co.uk/</t>
  </si>
  <si>
    <t>211875</t>
  </si>
  <si>
    <t>1007023</t>
  </si>
  <si>
    <t>https://www.callabas.com/</t>
  </si>
  <si>
    <t>116734</t>
  </si>
  <si>
    <t>https://www.csbfa.co.uk/</t>
  </si>
  <si>
    <t>702710</t>
  </si>
  <si>
    <t>https://www.calliduswm.co.uk/</t>
  </si>
  <si>
    <t>958604</t>
  </si>
  <si>
    <t>https://www.caltonwm.com/</t>
  </si>
  <si>
    <t>719208</t>
  </si>
  <si>
    <t>457945</t>
  </si>
  <si>
    <t>https://www.calvergroom.co.uk/</t>
  </si>
  <si>
    <t>225183</t>
  </si>
  <si>
    <t>158976</t>
  </si>
  <si>
    <t>951210</t>
  </si>
  <si>
    <t>https://www.cambridgefinancialservices.co.uk/</t>
  </si>
  <si>
    <t>626291</t>
  </si>
  <si>
    <t>https://www.cambridgeifa.com/</t>
  </si>
  <si>
    <t>438883</t>
  </si>
  <si>
    <t>https://www.camlimited.co.uk/</t>
  </si>
  <si>
    <t>772454</t>
  </si>
  <si>
    <t>https://www.crfp.co.uk/</t>
  </si>
  <si>
    <t>183041</t>
  </si>
  <si>
    <t>778445</t>
  </si>
  <si>
    <t>602550</t>
  </si>
  <si>
    <t>https://www.campbell-financial.co.uk/</t>
  </si>
  <si>
    <t>789217</t>
  </si>
  <si>
    <t>https://www.amberriver.com/cm</t>
  </si>
  <si>
    <t>794406</t>
  </si>
  <si>
    <t>https://www.cafinancial.co.uk/</t>
  </si>
  <si>
    <t>916127</t>
  </si>
  <si>
    <t>https://www.campbellfs.com/</t>
  </si>
  <si>
    <t>493873</t>
  </si>
  <si>
    <t>https://www.campbellmackie.co.uk/</t>
  </si>
  <si>
    <t>170068</t>
  </si>
  <si>
    <t>https://www.campbellmunro.co.uk/</t>
  </si>
  <si>
    <t>125931</t>
  </si>
  <si>
    <t>https://www.campbellthomson.co.uk/</t>
  </si>
  <si>
    <t>189000</t>
  </si>
  <si>
    <t>https://www.camptonfs.co.uk/</t>
  </si>
  <si>
    <t>630986</t>
  </si>
  <si>
    <t>https://www.candidfinancialadvice.com/</t>
  </si>
  <si>
    <t>719377</t>
  </si>
  <si>
    <t>https://www.candidfp.com/</t>
  </si>
  <si>
    <t>939118</t>
  </si>
  <si>
    <t>https://www.ccfp.co.uk/</t>
  </si>
  <si>
    <t>105795</t>
  </si>
  <si>
    <t>https://www.cansdales.co.uk/</t>
  </si>
  <si>
    <t>927062</t>
  </si>
  <si>
    <t>449269</t>
  </si>
  <si>
    <t>CANTAB ASSET MANAGEMENT LTD</t>
  </si>
  <si>
    <t>https://www.cantabam.com/</t>
  </si>
  <si>
    <t>431003</t>
  </si>
  <si>
    <t>https://www.canterholland.com/</t>
  </si>
  <si>
    <t>840213</t>
  </si>
  <si>
    <t>https://www.cantiumwm.co.uk/</t>
  </si>
  <si>
    <t>121412</t>
  </si>
  <si>
    <t>753074</t>
  </si>
  <si>
    <t>760840</t>
  </si>
  <si>
    <t>https://www.capitalfinancialmarkets.co.uk/</t>
  </si>
  <si>
    <t>440408</t>
  </si>
  <si>
    <t>https://www.capitalifc.com/</t>
  </si>
  <si>
    <t>435939</t>
  </si>
  <si>
    <t>https://www.capitalmanagers.co.uk/</t>
  </si>
  <si>
    <t>176498</t>
  </si>
  <si>
    <t>766659</t>
  </si>
  <si>
    <t>529775</t>
  </si>
  <si>
    <t>https://www.caplebanks.co.uk/</t>
  </si>
  <si>
    <t>536900</t>
  </si>
  <si>
    <t>https://www.carbonfinancial.co.uk/</t>
  </si>
  <si>
    <t>978705</t>
  </si>
  <si>
    <t>https://www.cardinalwealth.co.uk/</t>
  </si>
  <si>
    <t>126015</t>
  </si>
  <si>
    <t>https://www.careyandjohnston.com/</t>
  </si>
  <si>
    <t>453710</t>
  </si>
  <si>
    <t>Carl Hope</t>
  </si>
  <si>
    <t>https://www.dhfm.co.uk/</t>
  </si>
  <si>
    <t>133693</t>
  </si>
  <si>
    <t>https://www.carlton.org.uk/</t>
  </si>
  <si>
    <t>800081</t>
  </si>
  <si>
    <t>https://www.carltonsmithfinancial.com/</t>
  </si>
  <si>
    <t>185606</t>
  </si>
  <si>
    <t>309709</t>
  </si>
  <si>
    <t>https://www.carlton-sturman.co.uk/</t>
  </si>
  <si>
    <t>512448</t>
  </si>
  <si>
    <t>489484</t>
  </si>
  <si>
    <t>481332</t>
  </si>
  <si>
    <t>https://www.carpenterjohn.co.uk/</t>
  </si>
  <si>
    <t>189740</t>
  </si>
  <si>
    <t>https://www.carpenter-rees.co.uk/</t>
  </si>
  <si>
    <t>511609</t>
  </si>
  <si>
    <t>671513</t>
  </si>
  <si>
    <t>https://www.carronfs.co.uk/</t>
  </si>
  <si>
    <t>457006</t>
  </si>
  <si>
    <t>https://www.carterdawes.com/</t>
  </si>
  <si>
    <t>120822</t>
  </si>
  <si>
    <t>https://www.carterpearl.co.uk/</t>
  </si>
  <si>
    <t>607200</t>
  </si>
  <si>
    <t>Cartwright Financial Solutions Ltd</t>
  </si>
  <si>
    <t>https://www.cartwright.co.uk/</t>
  </si>
  <si>
    <t>828424</t>
  </si>
  <si>
    <t>105662</t>
  </si>
  <si>
    <t>458970</t>
  </si>
  <si>
    <t>https://www.castellcyf.co.uk/</t>
  </si>
  <si>
    <t>727583</t>
  </si>
  <si>
    <t>461356</t>
  </si>
  <si>
    <t>https://www.castlefinancial.co.uk/</t>
  </si>
  <si>
    <t>845589</t>
  </si>
  <si>
    <t>https://www.castlefs.co.uk/</t>
  </si>
  <si>
    <t>228199</t>
  </si>
  <si>
    <t>https://www.castlefs.com/</t>
  </si>
  <si>
    <t>125913</t>
  </si>
  <si>
    <t>https://www.castlesundborn.co.uk/</t>
  </si>
  <si>
    <t>625914</t>
  </si>
  <si>
    <t>https://www.castle-bank.co.uk/</t>
  </si>
  <si>
    <t>624445</t>
  </si>
  <si>
    <t>https://www.castlebayinvestments.com/</t>
  </si>
  <si>
    <t>432488</t>
  </si>
  <si>
    <t>https://www.castlefield.com/</t>
  </si>
  <si>
    <t>169777</t>
  </si>
  <si>
    <t>https://www.casfin.co.uk/</t>
  </si>
  <si>
    <t>845715</t>
  </si>
  <si>
    <t>https://www.castra.uk/</t>
  </si>
  <si>
    <t>441172</t>
  </si>
  <si>
    <t>231910</t>
  </si>
  <si>
    <t>https://www.cathedral-ifa.co.uk/</t>
  </si>
  <si>
    <t>624596</t>
  </si>
  <si>
    <t>781273</t>
  </si>
  <si>
    <t>985143</t>
  </si>
  <si>
    <t>https://www.cbfp.co.uk/</t>
  </si>
  <si>
    <t>550126</t>
  </si>
  <si>
    <t>https://www.cdcwm.com/</t>
  </si>
  <si>
    <t>225607</t>
  </si>
  <si>
    <t>809204</t>
  </si>
  <si>
    <t>134344</t>
  </si>
  <si>
    <t>475828</t>
  </si>
  <si>
    <t>967904</t>
  </si>
  <si>
    <t>https://www.centricity-wm.com/</t>
  </si>
  <si>
    <t>518617</t>
  </si>
  <si>
    <t>https://www.centurionfp.co.uk/</t>
  </si>
  <si>
    <t>509905</t>
  </si>
  <si>
    <t>https://www.centurioncfp.co.uk/</t>
  </si>
  <si>
    <t>474899</t>
  </si>
  <si>
    <t>https://www.centuryfp.co.uk/</t>
  </si>
  <si>
    <t>610000</t>
  </si>
  <si>
    <t>https://www.certus-fp.com/</t>
  </si>
  <si>
    <t>629538</t>
  </si>
  <si>
    <t>https://www.cervellofp.co.uk/</t>
  </si>
  <si>
    <t>115045</t>
  </si>
  <si>
    <t>https://www.cestrianifa.co.uk/</t>
  </si>
  <si>
    <t>571695</t>
  </si>
  <si>
    <t>https://www.cfpml.com/</t>
  </si>
  <si>
    <t>403170</t>
  </si>
  <si>
    <t>https://www.shackletonadvisers.co.uk/</t>
  </si>
  <si>
    <t>515454</t>
  </si>
  <si>
    <t>Chaldon Fox Associates Limited</t>
  </si>
  <si>
    <t>717296</t>
  </si>
  <si>
    <t>125116</t>
  </si>
  <si>
    <t>221653</t>
  </si>
  <si>
    <t>504255</t>
  </si>
  <si>
    <t>530155</t>
  </si>
  <si>
    <t>https://www.thechamberlaingroup.com/</t>
  </si>
  <si>
    <t>183524</t>
  </si>
  <si>
    <t>https://www.chamberlyns.co.uk/</t>
  </si>
  <si>
    <t>448379</t>
  </si>
  <si>
    <t>https://www.championfinancial.biz/</t>
  </si>
  <si>
    <t>450927</t>
  </si>
  <si>
    <t>587655</t>
  </si>
  <si>
    <t>440232</t>
  </si>
  <si>
    <t>https://www.chandlerking.co.uk/</t>
  </si>
  <si>
    <t>158927</t>
  </si>
  <si>
    <t>https://www.chantlerkent.co.uk/</t>
  </si>
  <si>
    <t>913373</t>
  </si>
  <si>
    <t>https://www.chapterhousewealthmanagement.co.uk/</t>
  </si>
  <si>
    <t>714940</t>
  </si>
  <si>
    <t>https://www.chapterwealth.com/</t>
  </si>
  <si>
    <t>402899</t>
  </si>
  <si>
    <t>https://www.chaptersfinancial.com/</t>
  </si>
  <si>
    <t>955830</t>
  </si>
  <si>
    <t>515015</t>
  </si>
  <si>
    <t>https://www.cdfp-ifa.co.uk/</t>
  </si>
  <si>
    <t>135205</t>
  </si>
  <si>
    <t>https://www.charlesjames.com/</t>
  </si>
  <si>
    <t>792123</t>
  </si>
  <si>
    <t>145844</t>
  </si>
  <si>
    <t>https://www.charlesroyle.co.uk/</t>
  </si>
  <si>
    <t>402322</t>
  </si>
  <si>
    <t>771182</t>
  </si>
  <si>
    <t>995869</t>
  </si>
  <si>
    <t>https://www.charltonwealth.com/</t>
  </si>
  <si>
    <t>226338</t>
  </si>
  <si>
    <t>https://www.charlwoodifa.com/</t>
  </si>
  <si>
    <t>572955</t>
  </si>
  <si>
    <t>418613</t>
  </si>
  <si>
    <t>https://www.charterconsultancy.co.uk/</t>
  </si>
  <si>
    <t>940511</t>
  </si>
  <si>
    <t>733735</t>
  </si>
  <si>
    <t>https://www.charteredwealthmanagement.co.uk/</t>
  </si>
  <si>
    <t>431577</t>
  </si>
  <si>
    <t>940788</t>
  </si>
  <si>
    <t>https://www.charterhouse.financial/</t>
  </si>
  <si>
    <t>449128</t>
  </si>
  <si>
    <t>https://www.charterhousefp.com/</t>
  </si>
  <si>
    <t>300320</t>
  </si>
  <si>
    <t>https://www.charterman.com/</t>
  </si>
  <si>
    <t>114952</t>
  </si>
  <si>
    <t>https://www.charteris.co.uk/</t>
  </si>
  <si>
    <t>189602</t>
  </si>
  <si>
    <t>https://www.chartwellfs.com/</t>
  </si>
  <si>
    <t>520200</t>
  </si>
  <si>
    <t>https://www.chaseam.co.uk/</t>
  </si>
  <si>
    <t>195271</t>
  </si>
  <si>
    <t>https://www.chasebuckingham.com/</t>
  </si>
  <si>
    <t>973065</t>
  </si>
  <si>
    <t>https://www.chasefm.co.uk/</t>
  </si>
  <si>
    <t>458357</t>
  </si>
  <si>
    <t>227808</t>
  </si>
  <si>
    <t>766148</t>
  </si>
  <si>
    <t>https://www.chattertons.com/</t>
  </si>
  <si>
    <t>825467</t>
  </si>
  <si>
    <t>https://www.chawtoninvestors.co.uk/</t>
  </si>
  <si>
    <t>490575</t>
  </si>
  <si>
    <t>514951</t>
  </si>
  <si>
    <t>https://www.cheethamjackson.com/</t>
  </si>
  <si>
    <t>430755</t>
  </si>
  <si>
    <t>https://www.chelwoodfinancial.com/</t>
  </si>
  <si>
    <t>624548</t>
  </si>
  <si>
    <t>https://www.cherwellfs.com/</t>
  </si>
  <si>
    <t>407875</t>
  </si>
  <si>
    <t>726620</t>
  </si>
  <si>
    <t>https://www.chesterrose.co.uk/</t>
  </si>
  <si>
    <t>126368</t>
  </si>
  <si>
    <t>https://www.chestertonhouse.co.uk/</t>
  </si>
  <si>
    <t>195024</t>
  </si>
  <si>
    <t>https://www.chetwoodwm.co.uk/</t>
  </si>
  <si>
    <t>478268</t>
  </si>
  <si>
    <t>https://www.cheveningfinancial.com/</t>
  </si>
  <si>
    <t>618208</t>
  </si>
  <si>
    <t>514493</t>
  </si>
  <si>
    <t>https://www.chilternconsultancyltd.com/</t>
  </si>
  <si>
    <t>605767</t>
  </si>
  <si>
    <t>https://www.chilternfinancial.co.uk/</t>
  </si>
  <si>
    <t>456753</t>
  </si>
  <si>
    <t>https://www.chilvester.co.uk/</t>
  </si>
  <si>
    <t>512486</t>
  </si>
  <si>
    <t>798366</t>
  </si>
  <si>
    <t>https://www.christiandean.co.uk/</t>
  </si>
  <si>
    <t>465861</t>
  </si>
  <si>
    <t>https://www.christiandouglassgroup.com/</t>
  </si>
  <si>
    <t>192380</t>
  </si>
  <si>
    <t>https://www.christiefp.com/</t>
  </si>
  <si>
    <t>735704</t>
  </si>
  <si>
    <t>453733</t>
  </si>
  <si>
    <t>418791</t>
  </si>
  <si>
    <t>https://www.christmas-fp.myifa.net/</t>
  </si>
  <si>
    <t>845117</t>
  </si>
  <si>
    <t>https://www.cjjwml.com/</t>
  </si>
  <si>
    <t>921339</t>
  </si>
  <si>
    <t>https://www.christopherjones.co.uk/</t>
  </si>
  <si>
    <t>135693</t>
  </si>
  <si>
    <t>https://www.cmifa.com/</t>
  </si>
  <si>
    <t>528678</t>
  </si>
  <si>
    <t>401833</t>
  </si>
  <si>
    <t>https://www.cdnlifesolutions.com/</t>
  </si>
  <si>
    <t>301880</t>
  </si>
  <si>
    <t>590965</t>
  </si>
  <si>
    <t>https://www.chrysalisfp.com/</t>
  </si>
  <si>
    <t>572611</t>
  </si>
  <si>
    <t>https://www.churchfinancialservices.co.uk/</t>
  </si>
  <si>
    <t>190548</t>
  </si>
  <si>
    <t>https://www.ch-investments.co.uk/</t>
  </si>
  <si>
    <t>536899</t>
  </si>
  <si>
    <t>https://www.churchgates.co.uk/</t>
  </si>
  <si>
    <t>182363</t>
  </si>
  <si>
    <t>https://www.churchillinvestments.co.uk/</t>
  </si>
  <si>
    <t>160494</t>
  </si>
  <si>
    <t>https://www.churchsfp.co.uk/</t>
  </si>
  <si>
    <t>587577</t>
  </si>
  <si>
    <t>148759</t>
  </si>
  <si>
    <t>https://www.circlefinancial.co.uk/</t>
  </si>
  <si>
    <t>109987</t>
  </si>
  <si>
    <t>https://www.cirencester-friendly.co.uk/</t>
  </si>
  <si>
    <t>154182</t>
  </si>
  <si>
    <t>133462</t>
  </si>
  <si>
    <t>482324</t>
  </si>
  <si>
    <t>440633</t>
  </si>
  <si>
    <t>https://www.cityfinancialplanning.co.uk/</t>
  </si>
  <si>
    <t>443586</t>
  </si>
  <si>
    <t>773857</t>
  </si>
  <si>
    <t>197286</t>
  </si>
  <si>
    <t>231683</t>
  </si>
  <si>
    <t>717863</t>
  </si>
  <si>
    <t>https://www.cjafinancial.co.uk/</t>
  </si>
  <si>
    <t>207474</t>
  </si>
  <si>
    <t>https://www.clairvilleyork.co.uk/</t>
  </si>
  <si>
    <t>957006</t>
  </si>
  <si>
    <t>540286</t>
  </si>
  <si>
    <t>https://www.clarendonfp.co.uk/</t>
  </si>
  <si>
    <t>584493</t>
  </si>
  <si>
    <t>518813</t>
  </si>
  <si>
    <t>https://www.clarionwealth.co.uk/</t>
  </si>
  <si>
    <t>734968</t>
  </si>
  <si>
    <t>https://www.claritaswm.co.uk/</t>
  </si>
  <si>
    <t>453293</t>
  </si>
  <si>
    <t>Clarity Independent Financial Advisers Ltd</t>
  </si>
  <si>
    <t>https://www.clarityifa.com/</t>
  </si>
  <si>
    <t>921536</t>
  </si>
  <si>
    <t>185468</t>
  </si>
  <si>
    <t>https://www.clarityglobal.com/</t>
  </si>
  <si>
    <t>575252</t>
  </si>
  <si>
    <t>https://www.claritywm.co.uk/</t>
  </si>
  <si>
    <t>1007171</t>
  </si>
  <si>
    <t>Clarity Wealth Services Limited</t>
  </si>
  <si>
    <t>https://www.claritywealthservices.co.uk/</t>
  </si>
  <si>
    <t>522309</t>
  </si>
  <si>
    <t>468541</t>
  </si>
  <si>
    <t>https://www.ifacp.co.uk/</t>
  </si>
  <si>
    <t>795641</t>
  </si>
  <si>
    <t>https://www.clarkefinancialplanning.co.uk/</t>
  </si>
  <si>
    <t>752596</t>
  </si>
  <si>
    <t>https://www.claybridge-fp.co.uk/</t>
  </si>
  <si>
    <t>433784</t>
  </si>
  <si>
    <t>https://www.claydenassociates.co.uk/</t>
  </si>
  <si>
    <t>220963</t>
  </si>
  <si>
    <t>462810</t>
  </si>
  <si>
    <t>https://www.clearfinancialadvice.co.uk/</t>
  </si>
  <si>
    <t>708582</t>
  </si>
  <si>
    <t>https://www.clearfs.info/</t>
  </si>
  <si>
    <t>945007</t>
  </si>
  <si>
    <t>https://www.clearfuturefp.co.uk/</t>
  </si>
  <si>
    <t>447235</t>
  </si>
  <si>
    <t>https://www.clearifa.com/</t>
  </si>
  <si>
    <t>429206</t>
  </si>
  <si>
    <t>https://www.clearsolutionsifa.co.uk/</t>
  </si>
  <si>
    <t>561927</t>
  </si>
  <si>
    <t>https://www.clearvisionfp.co.uk/</t>
  </si>
  <si>
    <t>681734</t>
  </si>
  <si>
    <t>https://www.clearwealthmanagement.co.uk/</t>
  </si>
  <si>
    <t>471974</t>
  </si>
  <si>
    <t>https://www.clearwaterwealth.co.uk/</t>
  </si>
  <si>
    <t>409895</t>
  </si>
  <si>
    <t>952233</t>
  </si>
  <si>
    <t>https://www.clevedenparkwealth.co.uk/</t>
  </si>
  <si>
    <t>762912</t>
  </si>
  <si>
    <t>712643</t>
  </si>
  <si>
    <t>https://www.clickery.co.uk/</t>
  </si>
  <si>
    <t>611536</t>
  </si>
  <si>
    <t>https://www.cliffordosborne.co.uk/</t>
  </si>
  <si>
    <t>583348</t>
  </si>
  <si>
    <t>300939</t>
  </si>
  <si>
    <t>119329</t>
  </si>
  <si>
    <t>222562</t>
  </si>
  <si>
    <t>https://www.clydebankfinancial.co.uk/</t>
  </si>
  <si>
    <t>121873</t>
  </si>
  <si>
    <t>https://www.virginmoneyukplc.com/</t>
  </si>
  <si>
    <t>457661</t>
  </si>
  <si>
    <t>826849</t>
  </si>
  <si>
    <t>https://www.cmisifa.co.uk/</t>
  </si>
  <si>
    <t>717535</t>
  </si>
  <si>
    <t>https://www.cnfp.co.uk/</t>
  </si>
  <si>
    <t>732532</t>
  </si>
  <si>
    <t>949808</t>
  </si>
  <si>
    <t>https://www.cornwallfinancialadviser.co.uk/</t>
  </si>
  <si>
    <t>515404</t>
  </si>
  <si>
    <t>208672</t>
  </si>
  <si>
    <t>800434</t>
  </si>
  <si>
    <t>https://www.cobaltwealth.co.uk/</t>
  </si>
  <si>
    <t>451060</t>
  </si>
  <si>
    <t>447549</t>
  </si>
  <si>
    <t>https://www.codexcapitalpartners.com/</t>
  </si>
  <si>
    <t>300657</t>
  </si>
  <si>
    <t>https://www.coffeybrooks.com/</t>
  </si>
  <si>
    <t>624006</t>
  </si>
  <si>
    <t>https://www.coldreywm.co.uk/</t>
  </si>
  <si>
    <t>997314</t>
  </si>
  <si>
    <t>977595</t>
  </si>
  <si>
    <t>https://www.capitalfs.co.uk/</t>
  </si>
  <si>
    <t>823869</t>
  </si>
  <si>
    <t>https://www.finchwealth.com/</t>
  </si>
  <si>
    <t>442050</t>
  </si>
  <si>
    <t>https://www.collingbourne.com/</t>
  </si>
  <si>
    <t>833813</t>
  </si>
  <si>
    <t>https://www.cometwealth.uk/</t>
  </si>
  <si>
    <t>524428</t>
  </si>
  <si>
    <t>946945</t>
  </si>
  <si>
    <t>785885</t>
  </si>
  <si>
    <t>230443</t>
  </si>
  <si>
    <t>https://www.completefinancialservices.co.uk/</t>
  </si>
  <si>
    <t>755303</t>
  </si>
  <si>
    <t>https://www.completefsnw.co.uk/</t>
  </si>
  <si>
    <t>401315</t>
  </si>
  <si>
    <t>https://www.complete-financial-solutions.co.uk/</t>
  </si>
  <si>
    <t>608988</t>
  </si>
  <si>
    <t>https://www.cfp-uk.com/</t>
  </si>
  <si>
    <t>588428</t>
  </si>
  <si>
    <t>https://www.completemoneycare.co.uk/</t>
  </si>
  <si>
    <t>708736</t>
  </si>
  <si>
    <t>https://www.completewealthsolutions.co.uk/</t>
  </si>
  <si>
    <t>602295</t>
  </si>
  <si>
    <t>https://www.comprehensivefinancial.co.uk/</t>
  </si>
  <si>
    <t>424919</t>
  </si>
  <si>
    <t>468797</t>
  </si>
  <si>
    <t>https://www.conceptfp.com/</t>
  </si>
  <si>
    <t>196679</t>
  </si>
  <si>
    <t>https://www.concerva.co.uk/</t>
  </si>
  <si>
    <t>748895</t>
  </si>
  <si>
    <t>https://www.condieswealth.co.uk/</t>
  </si>
  <si>
    <t>471417</t>
  </si>
  <si>
    <t>https://www.confiarfinance.co.uk/</t>
  </si>
  <si>
    <t>521330</t>
  </si>
  <si>
    <t>https://www.tridentfp.co.uk/</t>
  </si>
  <si>
    <t>942824</t>
  </si>
  <si>
    <t>https://www.conrad-james.co.uk/</t>
  </si>
  <si>
    <t>912266</t>
  </si>
  <si>
    <t>https://www.cnsq.co.uk/</t>
  </si>
  <si>
    <t>196475</t>
  </si>
  <si>
    <t>https://www.consiliumfp.co.uk/</t>
  </si>
  <si>
    <t>812753</t>
  </si>
  <si>
    <t>https://www.consiliumfs.co.uk/</t>
  </si>
  <si>
    <t>729441</t>
  </si>
  <si>
    <t>823017</t>
  </si>
  <si>
    <t>https://www.consolidarewealth.co.uk/</t>
  </si>
  <si>
    <t>400603</t>
  </si>
  <si>
    <t>https://www.consolidatedfinancialmanagement.com/</t>
  </si>
  <si>
    <t>936766</t>
  </si>
  <si>
    <t>https://www.stream.co/</t>
  </si>
  <si>
    <t>624085</t>
  </si>
  <si>
    <t>https://www.consulofp.co.uk/</t>
  </si>
  <si>
    <t>465484</t>
  </si>
  <si>
    <t>593433</t>
  </si>
  <si>
    <t>https://www.cooperassurance.co.uk/</t>
  </si>
  <si>
    <t>913052</t>
  </si>
  <si>
    <t>723906</t>
  </si>
  <si>
    <t>https://www.coopermaverickllp.com/</t>
  </si>
  <si>
    <t>439839</t>
  </si>
  <si>
    <t>https://www.cmp-wm.co.uk/</t>
  </si>
  <si>
    <t>790065</t>
  </si>
  <si>
    <t>https://www.copperhousefinancial.co.uk/</t>
  </si>
  <si>
    <t>429142</t>
  </si>
  <si>
    <t>https://www.corbelpartners.co.uk/</t>
  </si>
  <si>
    <t>471184</t>
  </si>
  <si>
    <t>533859</t>
  </si>
  <si>
    <t>793798</t>
  </si>
  <si>
    <t>460889</t>
  </si>
  <si>
    <t>https://www.corfieldswm.co.uk/</t>
  </si>
  <si>
    <t>593550</t>
  </si>
  <si>
    <t>https://www.sloanandco.com/</t>
  </si>
  <si>
    <t>458870</t>
  </si>
  <si>
    <t>https://www.corinberryassociates.com/</t>
  </si>
  <si>
    <t>823906</t>
  </si>
  <si>
    <t>https://www.omnygroup.co.uk/</t>
  </si>
  <si>
    <t>977687</t>
  </si>
  <si>
    <t>https://www.cornerstonecfp.co.uk/</t>
  </si>
  <si>
    <t>596144</t>
  </si>
  <si>
    <t>https://www.cfislive.co.uk/</t>
  </si>
  <si>
    <t>401059</t>
  </si>
  <si>
    <t>741551</t>
  </si>
  <si>
    <t>916184</t>
  </si>
  <si>
    <t>https://www.cortexwm.com/</t>
  </si>
  <si>
    <t>221379</t>
  </si>
  <si>
    <t>604634</t>
  </si>
  <si>
    <t>https://www.cotswoldifs.co.uk/</t>
  </si>
  <si>
    <t>542700</t>
  </si>
  <si>
    <t>https://www.countyassociates.co.uk/</t>
  </si>
  <si>
    <t>124995</t>
  </si>
  <si>
    <t>https://www.courtiers.co.uk/</t>
  </si>
  <si>
    <t>809017</t>
  </si>
  <si>
    <t>https://www.courtlandswealth.co.uk/</t>
  </si>
  <si>
    <t>463179</t>
  </si>
  <si>
    <t>https://www.courtneyhavers.co.uk/</t>
  </si>
  <si>
    <t>960167</t>
  </si>
  <si>
    <t>https://www.trigpointfp.com/</t>
  </si>
  <si>
    <t>126072</t>
  </si>
  <si>
    <t>232170</t>
  </si>
  <si>
    <t>https://www.covingtons.co.uk/</t>
  </si>
  <si>
    <t>968942</t>
  </si>
  <si>
    <t>COZENS &amp; BIRD FINANCIAL SERVICES LTD</t>
  </si>
  <si>
    <t>579506</t>
  </si>
  <si>
    <t>https://www.cpngroup.co.uk/</t>
  </si>
  <si>
    <t>472777</t>
  </si>
  <si>
    <t>https://www.cprfinancial.co.uk/</t>
  </si>
  <si>
    <t>626364</t>
  </si>
  <si>
    <t>CRADLE OVERSEAS PENSIONS LIMITED</t>
  </si>
  <si>
    <t>707505</t>
  </si>
  <si>
    <t>609086</t>
  </si>
  <si>
    <t>972849</t>
  </si>
  <si>
    <t>778738</t>
  </si>
  <si>
    <t>https://www.craiglyonfinancial.co.uk/</t>
  </si>
  <si>
    <t>803413</t>
  </si>
  <si>
    <t>https://www.cranbournefinancial.co.uk/</t>
  </si>
  <si>
    <t>708668</t>
  </si>
  <si>
    <t>https://www.cranwelljames.co.uk/</t>
  </si>
  <si>
    <t>817188</t>
  </si>
  <si>
    <t>https://www.craufurdhalewealth.co.uk/</t>
  </si>
  <si>
    <t>135202</t>
  </si>
  <si>
    <t>https://www.cravenstreetwealth.com/</t>
  </si>
  <si>
    <t>629436</t>
  </si>
  <si>
    <t>454893</t>
  </si>
  <si>
    <t>590290</t>
  </si>
  <si>
    <t>https://www.creativewm.co.uk/</t>
  </si>
  <si>
    <t>795051</t>
  </si>
  <si>
    <t>https://www.credencis.co.uk/</t>
  </si>
  <si>
    <t>516653</t>
  </si>
  <si>
    <t>https://www.cc-wm.co.uk/</t>
  </si>
  <si>
    <t>846348</t>
  </si>
  <si>
    <t>https://www.cpamc.co.uk/</t>
  </si>
  <si>
    <t>717351</t>
  </si>
  <si>
    <t>429588</t>
  </si>
  <si>
    <t>https://www.crocuswealth.co.uk/</t>
  </si>
  <si>
    <t>731020</t>
  </si>
  <si>
    <t>https://www.croftandoakes.co.uk/</t>
  </si>
  <si>
    <t>622407</t>
  </si>
  <si>
    <t>https://www.croftonfinancialplanning.co.uk/</t>
  </si>
  <si>
    <t>185323</t>
  </si>
  <si>
    <t>https://www.crowe.com/uk/crowefinancialplanning</t>
  </si>
  <si>
    <t>429227</t>
  </si>
  <si>
    <t>459515</t>
  </si>
  <si>
    <t>https://www.crownwealthmanagement.co.uk/</t>
  </si>
  <si>
    <t>424022</t>
  </si>
  <si>
    <t>https://www.crownhouseifas.co.uk/</t>
  </si>
  <si>
    <t>474097</t>
  </si>
  <si>
    <t>https://www.crs-consultants.com/</t>
  </si>
  <si>
    <t>760219</t>
  </si>
  <si>
    <t>622200</t>
  </si>
  <si>
    <t>https://www.crystalfs.co.uk/</t>
  </si>
  <si>
    <t>597343</t>
  </si>
  <si>
    <t>https://www.csfin.co.uk/</t>
  </si>
  <si>
    <t>830853</t>
  </si>
  <si>
    <t>https://www.csmanagers.com/</t>
  </si>
  <si>
    <t>844964</t>
  </si>
  <si>
    <t>https://www.cswealth.co.uk/</t>
  </si>
  <si>
    <t>927752</t>
  </si>
  <si>
    <t>942693</t>
  </si>
  <si>
    <t>977586</t>
  </si>
  <si>
    <t>224355</t>
  </si>
  <si>
    <t>https://www.cullenwealth.co.uk/</t>
  </si>
  <si>
    <t>726090</t>
  </si>
  <si>
    <t>https://www.cullimoredutton.co.uk/</t>
  </si>
  <si>
    <t>600931</t>
  </si>
  <si>
    <t>https://www.culverhouse-fp.co.uk/</t>
  </si>
  <si>
    <t>430771</t>
  </si>
  <si>
    <t>https://www.cumminsifa.com/</t>
  </si>
  <si>
    <t>194925</t>
  </si>
  <si>
    <t>https://www.curoadvisers.com/</t>
  </si>
  <si>
    <t>194539</t>
  </si>
  <si>
    <t>https://www.cuttingandcarter.co.uk/</t>
  </si>
  <si>
    <t>761091</t>
  </si>
  <si>
    <t>https://www.dna.investments/</t>
  </si>
  <si>
    <t>126267</t>
  </si>
  <si>
    <t>https://www.dacalder.com/</t>
  </si>
  <si>
    <t>209530</t>
  </si>
  <si>
    <t>https://www.amberriverdbwood.com/</t>
  </si>
  <si>
    <t>927912</t>
  </si>
  <si>
    <t>195353</t>
  </si>
  <si>
    <t>https://www.dcpi.co.uk/</t>
  </si>
  <si>
    <t>523247</t>
  </si>
  <si>
    <t>https://www.dgfs.biz/</t>
  </si>
  <si>
    <t>485886</t>
  </si>
  <si>
    <t>https://www.dmcager.com/</t>
  </si>
  <si>
    <t>623871</t>
  </si>
  <si>
    <t>https://www.dokanefinancialservices.co.uk/</t>
  </si>
  <si>
    <t>934787</t>
  </si>
  <si>
    <t>https://www.dscottfinancial.co.uk/</t>
  </si>
  <si>
    <t>800837</t>
  </si>
  <si>
    <t>496562</t>
  </si>
  <si>
    <t>https://www.d2financialsolutions.com/</t>
  </si>
  <si>
    <t>586519</t>
  </si>
  <si>
    <t>https://www.masonsifa.co.uk/</t>
  </si>
  <si>
    <t>828483</t>
  </si>
  <si>
    <t>603653</t>
  </si>
  <si>
    <t>https://www.dalbeath.co.uk/</t>
  </si>
  <si>
    <t>436063</t>
  </si>
  <si>
    <t>606555</t>
  </si>
  <si>
    <t>https://www.dandelionfinancial.co.uk/</t>
  </si>
  <si>
    <t>921294</t>
  </si>
  <si>
    <t>https://www.danielassociates.co.uk/</t>
  </si>
  <si>
    <t>842070</t>
  </si>
  <si>
    <t>https://www.dmgfinancial.co.uk/</t>
  </si>
  <si>
    <t>951048</t>
  </si>
  <si>
    <t>https://www.harvana.co.uk/</t>
  </si>
  <si>
    <t>781685</t>
  </si>
  <si>
    <t>https://www.danielhydefs.co.uk/</t>
  </si>
  <si>
    <t>609264</t>
  </si>
  <si>
    <t>https://www.danumfs.com/</t>
  </si>
  <si>
    <t>474566</t>
  </si>
  <si>
    <t>DARNELLS WEALTH MANAGEMENT LIMITED</t>
  </si>
  <si>
    <t>449211</t>
  </si>
  <si>
    <t>913372</t>
  </si>
  <si>
    <t>987892</t>
  </si>
  <si>
    <t>https://www.darscowealth.co.uk/</t>
  </si>
  <si>
    <t>789271</t>
  </si>
  <si>
    <t>https://www.dartwealthmanagement.com/</t>
  </si>
  <si>
    <t>717593</t>
  </si>
  <si>
    <t>https://www.dartingtonwealth.co.uk/</t>
  </si>
  <si>
    <t>403464</t>
  </si>
  <si>
    <t>https://www.darwindirect.co.uk/</t>
  </si>
  <si>
    <t>446074</t>
  </si>
  <si>
    <t>https://www.dwmllp.com/</t>
  </si>
  <si>
    <t>472268</t>
  </si>
  <si>
    <t>https://www.davenportfinancial.co.uk/</t>
  </si>
  <si>
    <t>506138</t>
  </si>
  <si>
    <t>541529</t>
  </si>
  <si>
    <t>147395</t>
  </si>
  <si>
    <t>https://www.dcandp.co.uk/</t>
  </si>
  <si>
    <t>734887</t>
  </si>
  <si>
    <t>https://www.daviddouganfinancial.com/</t>
  </si>
  <si>
    <t>811500</t>
  </si>
  <si>
    <t>697420</t>
  </si>
  <si>
    <t>503848</t>
  </si>
  <si>
    <t>https://www.davidhesterwealthmanagement.co.uk/</t>
  </si>
  <si>
    <t>523126</t>
  </si>
  <si>
    <t>https://www.finman.co.uk/</t>
  </si>
  <si>
    <t>126263</t>
  </si>
  <si>
    <t>707853</t>
  </si>
  <si>
    <t>https://www.davidjeffreys.co.uk/</t>
  </si>
  <si>
    <t>714004</t>
  </si>
  <si>
    <t>228877</t>
  </si>
  <si>
    <t>https://www.dkfm.co.uk/</t>
  </si>
  <si>
    <t>428959</t>
  </si>
  <si>
    <t>590157</t>
  </si>
  <si>
    <t>https://www.melvilleifa.co.uk/</t>
  </si>
  <si>
    <t>823964</t>
  </si>
  <si>
    <t>527438</t>
  </si>
  <si>
    <t>458258</t>
  </si>
  <si>
    <t>https://www.davidslowe.co.uk/</t>
  </si>
  <si>
    <t>221278</t>
  </si>
  <si>
    <t>https://www.dmbsmith.co.uk/</t>
  </si>
  <si>
    <t>222303</t>
  </si>
  <si>
    <t>441196</t>
  </si>
  <si>
    <t>806587</t>
  </si>
  <si>
    <t>https://www.vancefm.co.uk/</t>
  </si>
  <si>
    <t>922829</t>
  </si>
  <si>
    <t>466658</t>
  </si>
  <si>
    <t>225286</t>
  </si>
  <si>
    <t>https://www.damgoodpensions.com/</t>
  </si>
  <si>
    <t>737351</t>
  </si>
  <si>
    <t>https://www.dwmfinancial.com/</t>
  </si>
  <si>
    <t>224407</t>
  </si>
  <si>
    <t>479453</t>
  </si>
  <si>
    <t>118068</t>
  </si>
  <si>
    <t>https://www.daviescraddock.co.uk/</t>
  </si>
  <si>
    <t>429088</t>
  </si>
  <si>
    <t>https://www.daviesfinancial.net/</t>
  </si>
  <si>
    <t>687472</t>
  </si>
  <si>
    <t>https://www.davisonsmith.com/</t>
  </si>
  <si>
    <t>468821</t>
  </si>
  <si>
    <t>https://www.dbl-am.com/</t>
  </si>
  <si>
    <t>459583</t>
  </si>
  <si>
    <t>https://www.crossfm.co.uk/</t>
  </si>
  <si>
    <t>830759</t>
  </si>
  <si>
    <t>https://www.deenfinancialsolutions.com/</t>
  </si>
  <si>
    <t>190203</t>
  </si>
  <si>
    <t>https://www.deepbluefinancial.com/</t>
  </si>
  <si>
    <t>138197</t>
  </si>
  <si>
    <t>https://www.deltafinancial.co.uk/</t>
  </si>
  <si>
    <t>460974</t>
  </si>
  <si>
    <t>https://www.thedemelzagroup.co.uk/</t>
  </si>
  <si>
    <t>114360</t>
  </si>
  <si>
    <t>https://www.dennehywealth.co.uk/</t>
  </si>
  <si>
    <t>194538</t>
  </si>
  <si>
    <t>https://www.dentonswealth.co.uk/</t>
  </si>
  <si>
    <t>461094</t>
  </si>
  <si>
    <t>153248</t>
  </si>
  <si>
    <t>https://www.cleverdic.co.uk/</t>
  </si>
  <si>
    <t>460028</t>
  </si>
  <si>
    <t>943519</t>
  </si>
  <si>
    <t>929626</t>
  </si>
  <si>
    <t>712189</t>
  </si>
  <si>
    <t>https://www.desirewm.com/</t>
  </si>
  <si>
    <t>954615</t>
  </si>
  <si>
    <t>https://www.dywealth.co.uk/</t>
  </si>
  <si>
    <t>630275</t>
  </si>
  <si>
    <t>https://www.dmontague.co.uk/</t>
  </si>
  <si>
    <t>604931</t>
  </si>
  <si>
    <t>918826</t>
  </si>
  <si>
    <t>837552</t>
  </si>
  <si>
    <t>https://www.dharmeafp.co.uk/</t>
  </si>
  <si>
    <t>569713</t>
  </si>
  <si>
    <t>https://www.wynchwood.com/</t>
  </si>
  <si>
    <t>707292</t>
  </si>
  <si>
    <t>https://www.dhwfs.co.uk/</t>
  </si>
  <si>
    <t>300815</t>
  </si>
  <si>
    <t>https://www.dianaatkinson.co.uk/</t>
  </si>
  <si>
    <t>489359</t>
  </si>
  <si>
    <t>813853</t>
  </si>
  <si>
    <t>524458</t>
  </si>
  <si>
    <t>702579</t>
  </si>
  <si>
    <t>https://www.digneygrantfp.com/</t>
  </si>
  <si>
    <t>709682</t>
  </si>
  <si>
    <t>https://www.diligentwealthplanning.com/</t>
  </si>
  <si>
    <t>971191</t>
  </si>
  <si>
    <t>https://www.directfp.co.uk/</t>
  </si>
  <si>
    <t>765903</t>
  </si>
  <si>
    <t>https://www.directwealthmanagement.co.uk/</t>
  </si>
  <si>
    <t>590752</t>
  </si>
  <si>
    <t>225553</t>
  </si>
  <si>
    <t>762816</t>
  </si>
  <si>
    <t>https://www.diversefinancialplanning.co.uk/</t>
  </si>
  <si>
    <t>459749</t>
  </si>
  <si>
    <t>https://www.dca-fp.co.uk/</t>
  </si>
  <si>
    <t>1006120</t>
  </si>
  <si>
    <t>https://www.dixonfinancial.co.uk/</t>
  </si>
  <si>
    <t>403708</t>
  </si>
  <si>
    <t>https://www.axlefinance.com/</t>
  </si>
  <si>
    <t>758771</t>
  </si>
  <si>
    <t>https://www.face2faceadvice.co.uk/</t>
  </si>
  <si>
    <t>713439</t>
  </si>
  <si>
    <t>https://www.dmhwealth.co.uk/</t>
  </si>
  <si>
    <t>232027</t>
  </si>
  <si>
    <t>583599</t>
  </si>
  <si>
    <t>https://www.dmlfp.com/</t>
  </si>
  <si>
    <t>141933</t>
  </si>
  <si>
    <t>https://www.dobsonandhodge.co.uk/</t>
  </si>
  <si>
    <t>460842</t>
  </si>
  <si>
    <t>https://www.dolsolutions.co.uk/</t>
  </si>
  <si>
    <t>778632</t>
  </si>
  <si>
    <t>https://www.dolphinfinancialltd.co.uk/</t>
  </si>
  <si>
    <t>488273</t>
  </si>
  <si>
    <t>https://www.dolphinwealthmanagement.co.uk/</t>
  </si>
  <si>
    <t>763604</t>
  </si>
  <si>
    <t>https://www.dominionfm.co.uk/</t>
  </si>
  <si>
    <t>914115</t>
  </si>
  <si>
    <t>https://www.donnamalone.co.uk/</t>
  </si>
  <si>
    <t>513993</t>
  </si>
  <si>
    <t>515373</t>
  </si>
  <si>
    <t>581642</t>
  </si>
  <si>
    <t>804805</t>
  </si>
  <si>
    <t>183101</t>
  </si>
  <si>
    <t>211075</t>
  </si>
  <si>
    <t>https://www.dragonim.com/</t>
  </si>
  <si>
    <t>445657</t>
  </si>
  <si>
    <t>https://www.poolhouseadvisers.co.uk/</t>
  </si>
  <si>
    <t>697398</t>
  </si>
  <si>
    <t>795384</t>
  </si>
  <si>
    <t>https://www.leithmortgagecentre.co.uk/</t>
  </si>
  <si>
    <t>697452</t>
  </si>
  <si>
    <t>https://www.dsnfinancial.com/</t>
  </si>
  <si>
    <t>300856</t>
  </si>
  <si>
    <t>https://www.dtbinvestments.co.uk/</t>
  </si>
  <si>
    <t>125247</t>
  </si>
  <si>
    <t>https://www.dtefinancialplanning.com/</t>
  </si>
  <si>
    <t>629938</t>
  </si>
  <si>
    <t>https://www.dukegodley.co.uk/</t>
  </si>
  <si>
    <t>462646</t>
  </si>
  <si>
    <t>https://www.dukesfinancialplanning.co.uk/</t>
  </si>
  <si>
    <t>577595</t>
  </si>
  <si>
    <t>https://www.dukesifa.co.uk/</t>
  </si>
  <si>
    <t>226615</t>
  </si>
  <si>
    <t>https://www.dunhamsfinancial.co.uk/</t>
  </si>
  <si>
    <t>921450</t>
  </si>
  <si>
    <t>https://www.doddwealthcare.co.uk/</t>
  </si>
  <si>
    <t>837818</t>
  </si>
  <si>
    <t>567851</t>
  </si>
  <si>
    <t>https://www.ecfsltd.co.uk/</t>
  </si>
  <si>
    <t>116355</t>
  </si>
  <si>
    <t>825768</t>
  </si>
  <si>
    <t>219600</t>
  </si>
  <si>
    <t>816029</t>
  </si>
  <si>
    <t>https://www.eadon.co/</t>
  </si>
  <si>
    <t>952886</t>
  </si>
  <si>
    <t>https://www.easternfinancialconsultants.co.uk/</t>
  </si>
  <si>
    <t>446389</t>
  </si>
  <si>
    <t>https://www.eastmillsltd.co.uk/</t>
  </si>
  <si>
    <t>188860</t>
  </si>
  <si>
    <t>https://www.eastwoodfinancial.co.uk/</t>
  </si>
  <si>
    <t>514308</t>
  </si>
  <si>
    <t>https://www.eastwood-ifa.co.uk/</t>
  </si>
  <si>
    <t>455121</t>
  </si>
  <si>
    <t>707424</t>
  </si>
  <si>
    <t>https://www.edwardbond.co.uk/</t>
  </si>
  <si>
    <t>921376</t>
  </si>
  <si>
    <t>https://www.ebcam.co.uk/</t>
  </si>
  <si>
    <t>126123</t>
  </si>
  <si>
    <t>https://www.ecclesiastical.com/</t>
  </si>
  <si>
    <t>624544</t>
  </si>
  <si>
    <t>943133</t>
  </si>
  <si>
    <t>https://www.echowealth.co.uk/</t>
  </si>
  <si>
    <t>924983</t>
  </si>
  <si>
    <t>737344</t>
  </si>
  <si>
    <t>812332</t>
  </si>
  <si>
    <t>https://www.edale.co/</t>
  </si>
  <si>
    <t>479792</t>
  </si>
  <si>
    <t>https://www.eden-ifa.com/</t>
  </si>
  <si>
    <t>963406</t>
  </si>
  <si>
    <t>726352</t>
  </si>
  <si>
    <t>https://www.edgmoor.co.uk/</t>
  </si>
  <si>
    <t>222325</t>
  </si>
  <si>
    <t>https://www.edinburghwealthmanagement.co.uk/</t>
  </si>
  <si>
    <t>436338</t>
  </si>
  <si>
    <t>https://www.edmansifa.com/</t>
  </si>
  <si>
    <t>541818</t>
  </si>
  <si>
    <t>https://www.edwardchappell.co.uk/</t>
  </si>
  <si>
    <t>723966</t>
  </si>
  <si>
    <t>624398</t>
  </si>
  <si>
    <t>https://www.edwardpaul.co.uk/</t>
  </si>
  <si>
    <t>479203</t>
  </si>
  <si>
    <t>https://www.edwardtjames.co.uk/</t>
  </si>
  <si>
    <t>918425</t>
  </si>
  <si>
    <t>https://www.edwardsassociates.co.uk/</t>
  </si>
  <si>
    <t>401581</t>
  </si>
  <si>
    <t>603598</t>
  </si>
  <si>
    <t>221354</t>
  </si>
  <si>
    <t>https://www.eldonfinancial.co.uk/</t>
  </si>
  <si>
    <t>457670</t>
  </si>
  <si>
    <t>https://www.elementhintonltd.co.uk/</t>
  </si>
  <si>
    <t>659833</t>
  </si>
  <si>
    <t>832767</t>
  </si>
  <si>
    <t>https://www.elementaryinvestments.co.uk/</t>
  </si>
  <si>
    <t>656426</t>
  </si>
  <si>
    <t>https://www.elgassetmanagement.com/</t>
  </si>
  <si>
    <t>804808</t>
  </si>
  <si>
    <t>https://www.elitefinancialadvice.co.uk/</t>
  </si>
  <si>
    <t>711851</t>
  </si>
  <si>
    <t>496442</t>
  </si>
  <si>
    <t>609361</t>
  </si>
  <si>
    <t>https://www.smarterfinancialplanning.co.uk/</t>
  </si>
  <si>
    <t>611045</t>
  </si>
  <si>
    <t>https://www.ellacottswealth.co.uk/</t>
  </si>
  <si>
    <t>125196</t>
  </si>
  <si>
    <t>https://www.beacon.ifa.co.uk/</t>
  </si>
  <si>
    <t>631117</t>
  </si>
  <si>
    <t>511619</t>
  </si>
  <si>
    <t>https://www.elmtreeifa.co.uk/</t>
  </si>
  <si>
    <t>400536</t>
  </si>
  <si>
    <t>https://www.elmfieldfp.co.uk/</t>
  </si>
  <si>
    <t>655999</t>
  </si>
  <si>
    <t>https://www.elmhamfinancial.co.uk/</t>
  </si>
  <si>
    <t>666873</t>
  </si>
  <si>
    <t>https://www.elysiumwealth.co.uk/</t>
  </si>
  <si>
    <t>936711</t>
  </si>
  <si>
    <t>773427</t>
  </si>
  <si>
    <t>229380</t>
  </si>
  <si>
    <t>https://www.ebsfs.co.uk/</t>
  </si>
  <si>
    <t>573661</t>
  </si>
  <si>
    <t>https://www.ebplimited.com/</t>
  </si>
  <si>
    <t>221076</t>
  </si>
  <si>
    <t>430604</t>
  </si>
  <si>
    <t>https://www.encompassfm.co.uk/</t>
  </si>
  <si>
    <t>542984</t>
  </si>
  <si>
    <t>https://www.encompass-fs.co.uk/</t>
  </si>
  <si>
    <t>942618</t>
  </si>
  <si>
    <t>https://www.engagewm.co.uk/</t>
  </si>
  <si>
    <t>922010</t>
  </si>
  <si>
    <t>https://www.erfp.co.uk/</t>
  </si>
  <si>
    <t>719064</t>
  </si>
  <si>
    <t>https://www.enigmawm.co.uk/</t>
  </si>
  <si>
    <t>951685</t>
  </si>
  <si>
    <t>556365</t>
  </si>
  <si>
    <t>526157</t>
  </si>
  <si>
    <t>https://www.efsuk.co.uk/</t>
  </si>
  <si>
    <t>936831</t>
  </si>
  <si>
    <t>https://www.entrewealth.co.uk/</t>
  </si>
  <si>
    <t>652945</t>
  </si>
  <si>
    <t>https://www.epwealthmanagement.com/</t>
  </si>
  <si>
    <t>1015577</t>
  </si>
  <si>
    <t>EPM Financial Services Limited</t>
  </si>
  <si>
    <t>https://www.epmfs.co.uk/</t>
  </si>
  <si>
    <t>303543</t>
  </si>
  <si>
    <t>https://www.epsilononline.net/</t>
  </si>
  <si>
    <t>756672</t>
  </si>
  <si>
    <t>452261</t>
  </si>
  <si>
    <t>https://www.equilibrium.co.uk/</t>
  </si>
  <si>
    <t>776977</t>
  </si>
  <si>
    <t>605154</t>
  </si>
  <si>
    <t>713216</t>
  </si>
  <si>
    <t>995133</t>
  </si>
  <si>
    <t>https://www.headsupwealth.co.uk/</t>
  </si>
  <si>
    <t>481871</t>
  </si>
  <si>
    <t>https://www.eriswell.com/</t>
  </si>
  <si>
    <t>197438</t>
  </si>
  <si>
    <t>https://www.erminfosse.co.uk/</t>
  </si>
  <si>
    <t>587242</t>
  </si>
  <si>
    <t>https://www.esjfinancial.co.uk/</t>
  </si>
  <si>
    <t>413974</t>
  </si>
  <si>
    <t>https://www.espiene.com/</t>
  </si>
  <si>
    <t>149177</t>
  </si>
  <si>
    <t>https://www.efmgroup.co.uk/</t>
  </si>
  <si>
    <t>453773</t>
  </si>
  <si>
    <t>https://www.essexfp.com/</t>
  </si>
  <si>
    <t>519228</t>
  </si>
  <si>
    <t>565554</t>
  </si>
  <si>
    <t>https://www.estatefinancialplanning.org/</t>
  </si>
  <si>
    <t>222906</t>
  </si>
  <si>
    <t>https://www.estateplans.co.uk/</t>
  </si>
  <si>
    <t>615479</t>
  </si>
  <si>
    <t>923809</t>
  </si>
  <si>
    <t>https://www.ethicaladviser.co.uk/</t>
  </si>
  <si>
    <t>552583</t>
  </si>
  <si>
    <t>https://www.ethicalfutures.co.uk/</t>
  </si>
  <si>
    <t>828050</t>
  </si>
  <si>
    <t>https://www.ethicalinvestments-sw.co.uk/</t>
  </si>
  <si>
    <t>821691</t>
  </si>
  <si>
    <t>https://www.ethicalmarketplace.co.uk/</t>
  </si>
  <si>
    <t>114526</t>
  </si>
  <si>
    <t>934844</t>
  </si>
  <si>
    <t>https://www.evacapital.co.uk/</t>
  </si>
  <si>
    <t>434317</t>
  </si>
  <si>
    <t>https://www.evansash.co.uk/</t>
  </si>
  <si>
    <t>527253</t>
  </si>
  <si>
    <t>120973</t>
  </si>
  <si>
    <t>456568</t>
  </si>
  <si>
    <t>https://www.everardifa.co.uk/</t>
  </si>
  <si>
    <t>443209</t>
  </si>
  <si>
    <t>https://www.everlongwealth.co.uk/</t>
  </si>
  <si>
    <t>591218</t>
  </si>
  <si>
    <t>529665</t>
  </si>
  <si>
    <t>https://www.evolvewealth.co.uk/</t>
  </si>
  <si>
    <t>463940</t>
  </si>
  <si>
    <t>154311</t>
  </si>
  <si>
    <t>134459</t>
  </si>
  <si>
    <t>https://www.ebsuk.com/</t>
  </si>
  <si>
    <t>430887</t>
  </si>
  <si>
    <t>727691</t>
  </si>
  <si>
    <t>822396</t>
  </si>
  <si>
    <t>https://www.ewsfinancialadvisers.co.uk/</t>
  </si>
  <si>
    <t>401295</t>
  </si>
  <si>
    <t>914522</t>
  </si>
  <si>
    <t>https://www.expertifp.com/</t>
  </si>
  <si>
    <t>746548</t>
  </si>
  <si>
    <t>https://www.expertpensionsadvice.com/</t>
  </si>
  <si>
    <t>114341</t>
  </si>
  <si>
    <t>https://www.fhmanning.co.uk/</t>
  </si>
  <si>
    <t>675510</t>
  </si>
  <si>
    <t>195084</t>
  </si>
  <si>
    <t>https://www.fp-consulting.co.uk/</t>
  </si>
  <si>
    <t>920993</t>
  </si>
  <si>
    <t>https://www.firstfinancialservices.co.uk/</t>
  </si>
  <si>
    <t>705758</t>
  </si>
  <si>
    <t>https://www.f3wealth.com/</t>
  </si>
  <si>
    <t>424574</t>
  </si>
  <si>
    <t>https://www.face2facefinancial.co.uk/</t>
  </si>
  <si>
    <t>439288</t>
  </si>
  <si>
    <t>https://www.mkcwealth.co.uk/</t>
  </si>
  <si>
    <t>502537</t>
  </si>
  <si>
    <t>627664</t>
  </si>
  <si>
    <t>925160</t>
  </si>
  <si>
    <t>475973</t>
  </si>
  <si>
    <t>https://www.fairstone.co.uk/</t>
  </si>
  <si>
    <t>457558</t>
  </si>
  <si>
    <t>https://www.fairstone.co.uk/private-wealth</t>
  </si>
  <si>
    <t>188596</t>
  </si>
  <si>
    <t>470707</t>
  </si>
  <si>
    <t>737373</t>
  </si>
  <si>
    <t>https://www.fairway-ifa.co.uk/</t>
  </si>
  <si>
    <t>219670</t>
  </si>
  <si>
    <t>953556</t>
  </si>
  <si>
    <t>https://www.falconfp.com/</t>
  </si>
  <si>
    <t>402324</t>
  </si>
  <si>
    <t>708406</t>
  </si>
  <si>
    <t>225111</t>
  </si>
  <si>
    <t>https://www.3fs.co.uk/</t>
  </si>
  <si>
    <t>602846</t>
  </si>
  <si>
    <t>431269</t>
  </si>
  <si>
    <t>415909</t>
  </si>
  <si>
    <t>FARADAY FINANCIAL PLANNING LIMITED</t>
  </si>
  <si>
    <t>https://www.faradayfinancial.co.uk/</t>
  </si>
  <si>
    <t>469662</t>
  </si>
  <si>
    <t>461601</t>
  </si>
  <si>
    <t>https://www.farleyandthompson.co.uk/</t>
  </si>
  <si>
    <t>541587</t>
  </si>
  <si>
    <t>https://www.ffpgroup.co.uk/</t>
  </si>
  <si>
    <t>531632</t>
  </si>
  <si>
    <t>https://www.fbwealth.co.uk/</t>
  </si>
  <si>
    <t>231408</t>
  </si>
  <si>
    <t>490071</t>
  </si>
  <si>
    <t>https://www.feastnoble.com/</t>
  </si>
  <si>
    <t>799741</t>
  </si>
  <si>
    <t>135263</t>
  </si>
  <si>
    <t>830134</t>
  </si>
  <si>
    <t>https://www.fenshaw-ifa.com/</t>
  </si>
  <si>
    <t>606773</t>
  </si>
  <si>
    <t>https://www.fwml.co.uk/</t>
  </si>
  <si>
    <t>767654</t>
  </si>
  <si>
    <t>https://www.fernfinancial.co.uk/</t>
  </si>
  <si>
    <t>810836</t>
  </si>
  <si>
    <t>https://www.financialfreedomsooner.co.uk/</t>
  </si>
  <si>
    <t>428814</t>
  </si>
  <si>
    <t>https://www.fhoenix.com/</t>
  </si>
  <si>
    <t>825734</t>
  </si>
  <si>
    <t>https://www.fibonaccifinance.co.uk/</t>
  </si>
  <si>
    <t>719732</t>
  </si>
  <si>
    <t>188615</t>
  </si>
  <si>
    <t>https://www.fidelius.co.uk/</t>
  </si>
  <si>
    <t>812808</t>
  </si>
  <si>
    <t>https://www.fidesfinancial.co.uk/</t>
  </si>
  <si>
    <t>503671</t>
  </si>
  <si>
    <t>997398</t>
  </si>
  <si>
    <t>https://www.fieldhamlin.co.uk/</t>
  </si>
  <si>
    <t>464968</t>
  </si>
  <si>
    <t>213148</t>
  </si>
  <si>
    <t>https://www.slipaczek.com/</t>
  </si>
  <si>
    <t>402190</t>
  </si>
  <si>
    <t>https://www.finance21.co.uk/</t>
  </si>
  <si>
    <t>306352</t>
  </si>
  <si>
    <t>122169</t>
  </si>
  <si>
    <t>https://www.fidelity.co.uk/</t>
  </si>
  <si>
    <t>147876</t>
  </si>
  <si>
    <t>https://www.financial-advice.co.uk/</t>
  </si>
  <si>
    <t>413317</t>
  </si>
  <si>
    <t>https://www.face-uk.com/</t>
  </si>
  <si>
    <t>148190</t>
  </si>
  <si>
    <t>https://www.financialaffairs.co.uk/</t>
  </si>
  <si>
    <t>606614</t>
  </si>
  <si>
    <t>502969</t>
  </si>
  <si>
    <t>https://www.financial-aims.com/</t>
  </si>
  <si>
    <t>542220</t>
  </si>
  <si>
    <t>https://www.financialaspirations.com/</t>
  </si>
  <si>
    <t>977366</t>
  </si>
  <si>
    <t>https://www.financialcaresolutions.co.uk/</t>
  </si>
  <si>
    <t>844316</t>
  </si>
  <si>
    <t>536994</t>
  </si>
  <si>
    <t>https://www.financial-design.co.uk/</t>
  </si>
  <si>
    <t>502399</t>
  </si>
  <si>
    <t>https://www.financialdimensions.co.uk/</t>
  </si>
  <si>
    <t>414391</t>
  </si>
  <si>
    <t>425430</t>
  </si>
  <si>
    <t>https://www.financialescape.co.uk/</t>
  </si>
  <si>
    <t>434724</t>
  </si>
  <si>
    <t>https://www.financialforesight.co.uk/</t>
  </si>
  <si>
    <t>753489</t>
  </si>
  <si>
    <t>https://www.financialfortress.co.uk/</t>
  </si>
  <si>
    <t>843450</t>
  </si>
  <si>
    <t>https://www.financialframework.co.uk/</t>
  </si>
  <si>
    <t>627917</t>
  </si>
  <si>
    <t>429859</t>
  </si>
  <si>
    <t>https://www.financialindependentsolutions.co.uk/</t>
  </si>
  <si>
    <t>125710</t>
  </si>
  <si>
    <t>928946</t>
  </si>
  <si>
    <t>554912</t>
  </si>
  <si>
    <t>https://www.fpa-advice.co.uk/</t>
  </si>
  <si>
    <t>620075</t>
  </si>
  <si>
    <t>https://www.fpconcepts.co.uk/</t>
  </si>
  <si>
    <t>460457</t>
  </si>
  <si>
    <t>https://www.finplan.co.uk/</t>
  </si>
  <si>
    <t>467035</t>
  </si>
  <si>
    <t>https://www.fpoptions.co.uk/</t>
  </si>
  <si>
    <t>301132</t>
  </si>
  <si>
    <t>https://www.fpp-ifa.co.uk/</t>
  </si>
  <si>
    <t>480455</t>
  </si>
  <si>
    <t>https://www.fpsifa.co.uk/</t>
  </si>
  <si>
    <t>649186</t>
  </si>
  <si>
    <t>https://www.financialprivateclients.ltd.uk/</t>
  </si>
  <si>
    <t>517098</t>
  </si>
  <si>
    <t>https://www.fpni.co.uk/</t>
  </si>
  <si>
    <t>432431</t>
  </si>
  <si>
    <t>https://www.financialprofiles.co.uk/</t>
  </si>
  <si>
    <t>160497</t>
  </si>
  <si>
    <t>https://www.financialriskmanagement.org.uk/</t>
  </si>
  <si>
    <t>489234</t>
  </si>
  <si>
    <t>514624</t>
  </si>
  <si>
    <t>https://www.financialsolutionsni.com/</t>
  </si>
  <si>
    <t>485883</t>
  </si>
  <si>
    <t>https://www.financialsc.co.uk/</t>
  </si>
  <si>
    <t>445938</t>
  </si>
  <si>
    <t>616324</t>
  </si>
  <si>
    <t>953633</t>
  </si>
  <si>
    <t>https://www.financial-succession.co.uk/</t>
  </si>
  <si>
    <t>815222</t>
  </si>
  <si>
    <t>527915</t>
  </si>
  <si>
    <t>https://www.financialtherapeutics.co.uk/</t>
  </si>
  <si>
    <t>515359</t>
  </si>
  <si>
    <t>588431</t>
  </si>
  <si>
    <t>489834</t>
  </si>
  <si>
    <t>510117</t>
  </si>
  <si>
    <t>https://www.findpeaceofmind.co.uk/</t>
  </si>
  <si>
    <t>114543</t>
  </si>
  <si>
    <t>https://www.finesco.com/</t>
  </si>
  <si>
    <t>195522</t>
  </si>
  <si>
    <t>https://www.finli.co.uk/</t>
  </si>
  <si>
    <t>586744</t>
  </si>
  <si>
    <t>142752</t>
  </si>
  <si>
    <t>195080</t>
  </si>
  <si>
    <t>564038</t>
  </si>
  <si>
    <t>https://www.finli.co.uk/thamesvalley</t>
  </si>
  <si>
    <t>522649</t>
  </si>
  <si>
    <t>https://www.finsgate.com/</t>
  </si>
  <si>
    <t>585390</t>
  </si>
  <si>
    <t>https://www.firmusfs.co.uk/</t>
  </si>
  <si>
    <t>841810</t>
  </si>
  <si>
    <t>499727</t>
  </si>
  <si>
    <t>940694</t>
  </si>
  <si>
    <t>624577</t>
  </si>
  <si>
    <t>https://www.firstcallfinancialadvice.co.uk/</t>
  </si>
  <si>
    <t>482323</t>
  </si>
  <si>
    <t>190780</t>
  </si>
  <si>
    <t>479175</t>
  </si>
  <si>
    <t>https://www.firstservicefinancial.co.uk/</t>
  </si>
  <si>
    <t>742575</t>
  </si>
  <si>
    <t>672416</t>
  </si>
  <si>
    <t>https://www.fisherbrown.ifa-web.co.uk/</t>
  </si>
  <si>
    <t>309463</t>
  </si>
  <si>
    <t>https://www.ifaco.co.uk/</t>
  </si>
  <si>
    <t>608563</t>
  </si>
  <si>
    <t>401398</t>
  </si>
  <si>
    <t>https://www.fitzallan.com/</t>
  </si>
  <si>
    <t>583351</t>
  </si>
  <si>
    <t>https://www.fivepointconsulting.co.uk/</t>
  </si>
  <si>
    <t>608678</t>
  </si>
  <si>
    <t>https://www.fivewaysfp.co.uk/</t>
  </si>
  <si>
    <t>221294</t>
  </si>
  <si>
    <t>https://www.flagshipfinancial.co.uk/</t>
  </si>
  <si>
    <t>790252</t>
  </si>
  <si>
    <t>https://www.flcap.co.uk/</t>
  </si>
  <si>
    <t>428489</t>
  </si>
  <si>
    <t>https://www.flemingfs.co.uk/</t>
  </si>
  <si>
    <t>593858</t>
  </si>
  <si>
    <t>456034</t>
  </si>
  <si>
    <t>https://www.fletcherfs.com/</t>
  </si>
  <si>
    <t>453813</t>
  </si>
  <si>
    <t>144946</t>
  </si>
  <si>
    <t>https://www.fletcherinvestments.org.uk/</t>
  </si>
  <si>
    <t>672022</t>
  </si>
  <si>
    <t>https://www.fcadvice.co.uk/</t>
  </si>
  <si>
    <t>463221</t>
  </si>
  <si>
    <t>https://www.fms-sevenoaks.co.uk/</t>
  </si>
  <si>
    <t>587645</t>
  </si>
  <si>
    <t>https://www.focusfp.co.uk/</t>
  </si>
  <si>
    <t>567842</t>
  </si>
  <si>
    <t>https://www.davinakirbysolicitors.co.uk/</t>
  </si>
  <si>
    <t>631108</t>
  </si>
  <si>
    <t>https://www.focusedfinancial.co.uk/</t>
  </si>
  <si>
    <t>197271</t>
  </si>
  <si>
    <t>431009</t>
  </si>
  <si>
    <t>https://www.foinaven-ifa.co.uk/</t>
  </si>
  <si>
    <t>125904</t>
  </si>
  <si>
    <t>https://www.footman-sherwin.co.uk/</t>
  </si>
  <si>
    <t>838234</t>
  </si>
  <si>
    <t>https://www.spentwell.co.uk/</t>
  </si>
  <si>
    <t>916120</t>
  </si>
  <si>
    <t>https://www.forecastfp.co.uk/</t>
  </si>
  <si>
    <t>810623</t>
  </si>
  <si>
    <t>512100</t>
  </si>
  <si>
    <t>977186</t>
  </si>
  <si>
    <t>https://www.forguefinancialservices.co.uk/</t>
  </si>
  <si>
    <t>748565</t>
  </si>
  <si>
    <t>https://www.forrestfinancialmanagement.co.uk/</t>
  </si>
  <si>
    <t>476495</t>
  </si>
  <si>
    <t>https://www.forrester-hyde.co.uk/</t>
  </si>
  <si>
    <t>425743</t>
  </si>
  <si>
    <t>https://www.ffp.org.uk/</t>
  </si>
  <si>
    <t>973301</t>
  </si>
  <si>
    <t>811535</t>
  </si>
  <si>
    <t>474740</t>
  </si>
  <si>
    <t>419881</t>
  </si>
  <si>
    <t>https://www.fortitudefp.co.uk/</t>
  </si>
  <si>
    <t>836163</t>
  </si>
  <si>
    <t>https://www.fortressfinancial.co.uk/</t>
  </si>
  <si>
    <t>572891</t>
  </si>
  <si>
    <t>https://www.forward-plan.co.uk/</t>
  </si>
  <si>
    <t>820175</t>
  </si>
  <si>
    <t>475657</t>
  </si>
  <si>
    <t>https://www.fourseasonsfp.co.uk/</t>
  </si>
  <si>
    <t>446579</t>
  </si>
  <si>
    <t>FOX &amp; CO. FINANCIAL MANAGEMENT LIMITED</t>
  </si>
  <si>
    <t>https://www.foxandco.com/</t>
  </si>
  <si>
    <t>500906</t>
  </si>
  <si>
    <t>732724</t>
  </si>
  <si>
    <t>https://www.foxbrookwm.co.uk/</t>
  </si>
  <si>
    <t>625105</t>
  </si>
  <si>
    <t>https://www.foxgroveassociates.co.uk/</t>
  </si>
  <si>
    <t>1005338</t>
  </si>
  <si>
    <t>https://www.foylefinancial.co.uk/</t>
  </si>
  <si>
    <t>196444</t>
  </si>
  <si>
    <t>https://www.fpcfinancial.co.uk/</t>
  </si>
  <si>
    <t>713421</t>
  </si>
  <si>
    <t>https://www.fpgonline.co.uk/</t>
  </si>
  <si>
    <t>914109</t>
  </si>
  <si>
    <t>https://www.framlingwealth.co.uk/</t>
  </si>
  <si>
    <t>300190</t>
  </si>
  <si>
    <t>138941</t>
  </si>
  <si>
    <t>https://www.corrigans.co.uk/</t>
  </si>
  <si>
    <t>466832</t>
  </si>
  <si>
    <t>170969</t>
  </si>
  <si>
    <t>FRASER SPY FINANCIAL SERVICES LIMITED</t>
  </si>
  <si>
    <t>https://www.fraserspy.co.uk/</t>
  </si>
  <si>
    <t>714664</t>
  </si>
  <si>
    <t>924298</t>
  </si>
  <si>
    <t>https://www.freedom-financial.co.uk/</t>
  </si>
  <si>
    <t>760506</t>
  </si>
  <si>
    <t>522048</t>
  </si>
  <si>
    <t>https://www.pinnacle-wealth.co.uk/</t>
  </si>
  <si>
    <t>145186</t>
  </si>
  <si>
    <t>https://www.frenkeltopping.co.uk/</t>
  </si>
  <si>
    <t>587569</t>
  </si>
  <si>
    <t>https://www.fp-fp.co.uk/</t>
  </si>
  <si>
    <t>836096</t>
  </si>
  <si>
    <t>https://www.fruitionfs.co.uk/</t>
  </si>
  <si>
    <t>481803</t>
  </si>
  <si>
    <t>https://www.ff-p.co.uk/</t>
  </si>
  <si>
    <t>587643</t>
  </si>
  <si>
    <t>https://www.isaacswealthandbenefits.co.uk/</t>
  </si>
  <si>
    <t>844153</t>
  </si>
  <si>
    <t>https://www.fsswap.co.uk/</t>
  </si>
  <si>
    <t>612493</t>
  </si>
  <si>
    <t>515272</t>
  </si>
  <si>
    <t>https://www.futurafs.com/</t>
  </si>
  <si>
    <t>414752</t>
  </si>
  <si>
    <t>https://www.famllp.com/</t>
  </si>
  <si>
    <t>690603</t>
  </si>
  <si>
    <t>https://www.futuredirections.co.uk/</t>
  </si>
  <si>
    <t>716526</t>
  </si>
  <si>
    <t>https://www.futurefp.com/</t>
  </si>
  <si>
    <t>148549</t>
  </si>
  <si>
    <t>https://www.futureplanetcapital.com/</t>
  </si>
  <si>
    <t>705061</t>
  </si>
  <si>
    <t>https://www.futureplanningwm.co.uk/</t>
  </si>
  <si>
    <t>736240</t>
  </si>
  <si>
    <t>https://www.futurestartfinancialplanning.com/</t>
  </si>
  <si>
    <t>403433</t>
  </si>
  <si>
    <t>577323</t>
  </si>
  <si>
    <t>https://www.futurity-fs.com/</t>
  </si>
  <si>
    <t>401758</t>
  </si>
  <si>
    <t>516222</t>
  </si>
  <si>
    <t>608121</t>
  </si>
  <si>
    <t>125099</t>
  </si>
  <si>
    <t>517598</t>
  </si>
  <si>
    <t>https://www.gahicksassociates.co.uk/</t>
  </si>
  <si>
    <t>475453</t>
  </si>
  <si>
    <t>431387</t>
  </si>
  <si>
    <t>https://www.you-asset.co.uk/</t>
  </si>
  <si>
    <t>487176</t>
  </si>
  <si>
    <t>https://www.gallium.co.uk/</t>
  </si>
  <si>
    <t>732088</t>
  </si>
  <si>
    <t>https://www.gardnerfinancialmanagement.co.uk/</t>
  </si>
  <si>
    <t>941828</t>
  </si>
  <si>
    <t>https://www.garwoodwealthmanagement.co.uk/</t>
  </si>
  <si>
    <t>767863</t>
  </si>
  <si>
    <t>https://www.southdevonfinancialplanning.co.uk/</t>
  </si>
  <si>
    <t>750294</t>
  </si>
  <si>
    <t>https://www.gaudium-associates.co.uk/</t>
  </si>
  <si>
    <t>706656</t>
  </si>
  <si>
    <t>https://www.absolomdurrant.com/</t>
  </si>
  <si>
    <t>629940</t>
  </si>
  <si>
    <t>https://www.gcifs.co.uk/</t>
  </si>
  <si>
    <t>229310</t>
  </si>
  <si>
    <t>https://www.ghis.co.uk/</t>
  </si>
  <si>
    <t>593265</t>
  </si>
  <si>
    <t>https://www.gbim.co.uk/</t>
  </si>
  <si>
    <t>565732</t>
  </si>
  <si>
    <t>https://www.gdafinancialpartners.com/</t>
  </si>
  <si>
    <t>138207</t>
  </si>
  <si>
    <t>455935</t>
  </si>
  <si>
    <t>https://www.gee7.co.uk/</t>
  </si>
  <si>
    <t>229947</t>
  </si>
  <si>
    <t>https://www.geeson-financial.co.uk/</t>
  </si>
  <si>
    <t>949148</t>
  </si>
  <si>
    <t>https://www.gemfs.co.uk/</t>
  </si>
  <si>
    <t>465096</t>
  </si>
  <si>
    <t>https://www.gemmells.co.uk/</t>
  </si>
  <si>
    <t>973710</t>
  </si>
  <si>
    <t>402695</t>
  </si>
  <si>
    <t>685841</t>
  </si>
  <si>
    <t>https://www.generationwealth.co.uk/</t>
  </si>
  <si>
    <t>219945</t>
  </si>
  <si>
    <t>https://www.generatewealth.co.uk/</t>
  </si>
  <si>
    <t>807865</t>
  </si>
  <si>
    <t>474850</t>
  </si>
  <si>
    <t>191334</t>
  </si>
  <si>
    <t>529322</t>
  </si>
  <si>
    <t>https://www.rowlandindependent.co.uk/</t>
  </si>
  <si>
    <t>610186</t>
  </si>
  <si>
    <t>497625</t>
  </si>
  <si>
    <t>https://www.georgeide.co.uk/</t>
  </si>
  <si>
    <t>778812</t>
  </si>
  <si>
    <t>https://www.georgetownwealthmanagement.co.uk/</t>
  </si>
  <si>
    <t>577935</t>
  </si>
  <si>
    <t>502589</t>
  </si>
  <si>
    <t>134813</t>
  </si>
  <si>
    <t>195615</t>
  </si>
  <si>
    <t>232552</t>
  </si>
  <si>
    <t>669491</t>
  </si>
  <si>
    <t>https://www.gibbonsassociates.co.uk/</t>
  </si>
  <si>
    <t>942906</t>
  </si>
  <si>
    <t>https://www.theprogenygroup.com/</t>
  </si>
  <si>
    <t>531794</t>
  </si>
  <si>
    <t>https://www.gibsonfp.com/</t>
  </si>
  <si>
    <t>590038</t>
  </si>
  <si>
    <t>https://www.gideonkasler.com/</t>
  </si>
  <si>
    <t>797828</t>
  </si>
  <si>
    <t>https://www.gilmarfinancial.co.uk/</t>
  </si>
  <si>
    <t>305375</t>
  </si>
  <si>
    <t>https://www.gileswarren.co.uk/</t>
  </si>
  <si>
    <t>709493</t>
  </si>
  <si>
    <t>1015743</t>
  </si>
  <si>
    <t>https://www.gilikerflynn.co.uk/</t>
  </si>
  <si>
    <t>802394</t>
  </si>
  <si>
    <t>https://www.gillandgreen.co.uk/</t>
  </si>
  <si>
    <t>523237</t>
  </si>
  <si>
    <t>https://www.gfsmontrose.com/</t>
  </si>
  <si>
    <t>441680</t>
  </si>
  <si>
    <t>https://www.gillinsurance.co.uk/</t>
  </si>
  <si>
    <t>197121</t>
  </si>
  <si>
    <t>609295</t>
  </si>
  <si>
    <t>https://www.gillinghamsifa.co.uk/</t>
  </si>
  <si>
    <t>123475</t>
  </si>
  <si>
    <t>https://www.girlings.com/</t>
  </si>
  <si>
    <t>786254</t>
  </si>
  <si>
    <t>531577</t>
  </si>
  <si>
    <t>https://www.glamorgan121.com/</t>
  </si>
  <si>
    <t>652714</t>
  </si>
  <si>
    <t>449614</t>
  </si>
  <si>
    <t>186440</t>
  </si>
  <si>
    <t>https://www.globeifa.co.uk/</t>
  </si>
  <si>
    <t>300261</t>
  </si>
  <si>
    <t>https://www.globecompanies.co.uk/</t>
  </si>
  <si>
    <t>511386</t>
  </si>
  <si>
    <t>https://www.glynneathfinancialservices.co.uk/</t>
  </si>
  <si>
    <t>228579</t>
  </si>
  <si>
    <t>https://www.gm2.co.uk/</t>
  </si>
  <si>
    <t>738159</t>
  </si>
  <si>
    <t>https://www.gmbportfolio.co.uk/</t>
  </si>
  <si>
    <t>457963</t>
  </si>
  <si>
    <t>815310</t>
  </si>
  <si>
    <t>GNOSCO FINANCIAL PLANNING LTD</t>
  </si>
  <si>
    <t>https://www.gnoscofp.com/</t>
  </si>
  <si>
    <t>125376</t>
  </si>
  <si>
    <t>https://www.goddardperry.com/</t>
  </si>
  <si>
    <t>525915</t>
  </si>
  <si>
    <t>https://www.goddardfry.co.uk/</t>
  </si>
  <si>
    <t>832613</t>
  </si>
  <si>
    <t>810649</t>
  </si>
  <si>
    <t>401757</t>
  </si>
  <si>
    <t>https://www.goldengateifa.co.uk/</t>
  </si>
  <si>
    <t>783726</t>
  </si>
  <si>
    <t>https://www.goldenoakwealthmanagement.co.uk/</t>
  </si>
  <si>
    <t>506317</t>
  </si>
  <si>
    <t>https://www.goldsmithinvest.co.uk/</t>
  </si>
  <si>
    <t>149766</t>
  </si>
  <si>
    <t>https://www.goldstarwealthuk.co.uk/</t>
  </si>
  <si>
    <t>670062</t>
  </si>
  <si>
    <t>https://www.goldstonewealth.co.uk/</t>
  </si>
  <si>
    <t>916452</t>
  </si>
  <si>
    <t>https://www.21stc.co.uk/</t>
  </si>
  <si>
    <t>975586</t>
  </si>
  <si>
    <t>https://www.goodgreenmoney.co.uk/</t>
  </si>
  <si>
    <t>953471</t>
  </si>
  <si>
    <t>https://www.goodwin-financial.co.uk/</t>
  </si>
  <si>
    <t>650302</t>
  </si>
  <si>
    <t>176016</t>
  </si>
  <si>
    <t>924839</t>
  </si>
  <si>
    <t>https://www.gosfordfs.co.uk/</t>
  </si>
  <si>
    <t>770143</t>
  </si>
  <si>
    <t>GP Wealth Limited</t>
  </si>
  <si>
    <t>806366</t>
  </si>
  <si>
    <t>https://www.gqiltd.co.uk/</t>
  </si>
  <si>
    <t>413443</t>
  </si>
  <si>
    <t>https://www.gracechurchfs.co.uk/</t>
  </si>
  <si>
    <t>952537</t>
  </si>
  <si>
    <t>https://www.graemebeattie.co.uk/</t>
  </si>
  <si>
    <t>987175</t>
  </si>
  <si>
    <t>https://www.graftonwm.co.uk/</t>
  </si>
  <si>
    <t>459178</t>
  </si>
  <si>
    <t>154309</t>
  </si>
  <si>
    <t>https://www.grahamcarter.co.uk/</t>
  </si>
  <si>
    <t>162024</t>
  </si>
  <si>
    <t>596063</t>
  </si>
  <si>
    <t>https://www.grange-ifa.co.uk/</t>
  </si>
  <si>
    <t>623155</t>
  </si>
  <si>
    <t>https://www.grangewealth.co.uk/</t>
  </si>
  <si>
    <t>434807</t>
  </si>
  <si>
    <t>https://www.gwfm.co.uk/</t>
  </si>
  <si>
    <t>734432</t>
  </si>
  <si>
    <t>https://www.granitefp.co.uk/</t>
  </si>
  <si>
    <t>767639</t>
  </si>
  <si>
    <t>https://www.granitefinancialsolutions.co.uk/</t>
  </si>
  <si>
    <t>654779</t>
  </si>
  <si>
    <t>966976</t>
  </si>
  <si>
    <t>https://www.gratitudefp.co.uk/</t>
  </si>
  <si>
    <t>431032</t>
  </si>
  <si>
    <t>https://www.greatbritishfinance.com/</t>
  </si>
  <si>
    <t>100825</t>
  </si>
  <si>
    <t>523308</t>
  </si>
  <si>
    <t>https://www.iangreen.com/</t>
  </si>
  <si>
    <t>604178</t>
  </si>
  <si>
    <t>https://www.greenfp.co.uk/</t>
  </si>
  <si>
    <t>714847</t>
  </si>
  <si>
    <t>https://www.green-rose.co.uk/</t>
  </si>
  <si>
    <t>184758</t>
  </si>
  <si>
    <t>https://www.greenefinancialservices.co.uk/</t>
  </si>
  <si>
    <t>152689</t>
  </si>
  <si>
    <t>https://www.greenfields.biz/</t>
  </si>
  <si>
    <t>624574</t>
  </si>
  <si>
    <t>810955</t>
  </si>
  <si>
    <t>https://www.greenlandfinancialplanning.co.uk/</t>
  </si>
  <si>
    <t>927943</t>
  </si>
  <si>
    <t>https://www.greenspacesfp.com/</t>
  </si>
  <si>
    <t>956993</t>
  </si>
  <si>
    <t>https://www.greentreewealth.co.uk/</t>
  </si>
  <si>
    <t>518096</t>
  </si>
  <si>
    <t>https://www.greenwoodfinancialplanning.co.uk/</t>
  </si>
  <si>
    <t>501819</t>
  </si>
  <si>
    <t>402045</t>
  </si>
  <si>
    <t>810943</t>
  </si>
  <si>
    <t>https://www.grendonifs.co.uk/</t>
  </si>
  <si>
    <t>429764</t>
  </si>
  <si>
    <t>https://www.greshamfinancial.co.uk/</t>
  </si>
  <si>
    <t>515473</t>
  </si>
  <si>
    <t>187991</t>
  </si>
  <si>
    <t>429232</t>
  </si>
  <si>
    <t>https://www.greysmere-ifa.co.uk/</t>
  </si>
  <si>
    <t>403259</t>
  </si>
  <si>
    <t>https://www.griersondickens.co.uk/</t>
  </si>
  <si>
    <t>436189</t>
  </si>
  <si>
    <t>618478</t>
  </si>
  <si>
    <t>https://www.griffinwealth.co.uk/</t>
  </si>
  <si>
    <t>118099</t>
  </si>
  <si>
    <t>https://www.griffinsfinancial.co.uk/</t>
  </si>
  <si>
    <t>491169</t>
  </si>
  <si>
    <t>https://www.grindleypotter.co.uk/</t>
  </si>
  <si>
    <t>446700</t>
  </si>
  <si>
    <t>https://www.gbfinancial.co.uk/</t>
  </si>
  <si>
    <t>528798</t>
  </si>
  <si>
    <t>952209</t>
  </si>
  <si>
    <t>https://www.grosvenorcorlettbird.co.uk/</t>
  </si>
  <si>
    <t>472247</t>
  </si>
  <si>
    <t>https://www.grosvenorwealthmanagement.co.uk/</t>
  </si>
  <si>
    <t>465051</t>
  </si>
  <si>
    <t>https://www.grove-pensions.co.uk/</t>
  </si>
  <si>
    <t>778816</t>
  </si>
  <si>
    <t>198023</t>
  </si>
  <si>
    <t>https://www.grsfinancial.co.uk/</t>
  </si>
  <si>
    <t>428551</t>
  </si>
  <si>
    <t>https://www.gsfinancialservices.co.uk/</t>
  </si>
  <si>
    <t>460572</t>
  </si>
  <si>
    <t>https://www.gsigroup.co.uk/</t>
  </si>
  <si>
    <t>579330</t>
  </si>
  <si>
    <t>https://www.browncliftsanger.co.uk/</t>
  </si>
  <si>
    <t>717312</t>
  </si>
  <si>
    <t>138895</t>
  </si>
  <si>
    <t>793617</t>
  </si>
  <si>
    <t>737512</t>
  </si>
  <si>
    <t>https://www.gwmam.co.uk/</t>
  </si>
  <si>
    <t>197342</t>
  </si>
  <si>
    <t>https://www.hcifs.co.uk/</t>
  </si>
  <si>
    <t>434722</t>
  </si>
  <si>
    <t>https://www.hvfp.co.uk/</t>
  </si>
  <si>
    <t>133893</t>
  </si>
  <si>
    <t>462886</t>
  </si>
  <si>
    <t>https://www.hlfinancial.co.uk/</t>
  </si>
  <si>
    <t>441352</t>
  </si>
  <si>
    <t>https://www.hagleyfinancial.co.uk/</t>
  </si>
  <si>
    <t>805570</t>
  </si>
  <si>
    <t>https://www.halcyonfinancialplanning.co.uk/</t>
  </si>
  <si>
    <t>464549</t>
  </si>
  <si>
    <t>948417</t>
  </si>
  <si>
    <t>https://www.halcyonwealth.co.uk/</t>
  </si>
  <si>
    <t>578320</t>
  </si>
  <si>
    <t>https://www.haldonfinancial.co.uk/</t>
  </si>
  <si>
    <t>816033</t>
  </si>
  <si>
    <t>https://www.halenwealth.co.uk/</t>
  </si>
  <si>
    <t>618207</t>
  </si>
  <si>
    <t>https://www.danbarsolicitors.co.uk/</t>
  </si>
  <si>
    <t>468452</t>
  </si>
  <si>
    <t>844345</t>
  </si>
  <si>
    <t>https://www.hfgni.co.uk/</t>
  </si>
  <si>
    <t>469024</t>
  </si>
  <si>
    <t>180344</t>
  </si>
  <si>
    <t>146853</t>
  </si>
  <si>
    <t>https://www.haloinvest.co.uk/</t>
  </si>
  <si>
    <t>400359</t>
  </si>
  <si>
    <t>https://www.haltoninsurance.co.uk/</t>
  </si>
  <si>
    <t>816564</t>
  </si>
  <si>
    <t>786139</t>
  </si>
  <si>
    <t>https://www.hambrookfp.com/</t>
  </si>
  <si>
    <t>230734</t>
  </si>
  <si>
    <t>485546</t>
  </si>
  <si>
    <t>https://www.hamilton-financial.co.uk/</t>
  </si>
  <si>
    <t>934368</t>
  </si>
  <si>
    <t>https://www.hammondfp.co.uk/</t>
  </si>
  <si>
    <t>194710</t>
  </si>
  <si>
    <t>https://www.hammondraggett.co.uk/</t>
  </si>
  <si>
    <t>425911</t>
  </si>
  <si>
    <t>https://www.hampshirehill.co.uk/</t>
  </si>
  <si>
    <t>429957</t>
  </si>
  <si>
    <t>757991</t>
  </si>
  <si>
    <t>https://www.hanburywealth.co.uk/</t>
  </si>
  <si>
    <t>410619</t>
  </si>
  <si>
    <t>https://www.handheldinvestments.com/</t>
  </si>
  <si>
    <t>697491</t>
  </si>
  <si>
    <t>https://www.hankleyfp.com/</t>
  </si>
  <si>
    <t>433207</t>
  </si>
  <si>
    <t>454044</t>
  </si>
  <si>
    <t>182082</t>
  </si>
  <si>
    <t>482388</t>
  </si>
  <si>
    <t>https://www.hansfordbell.co.uk/</t>
  </si>
  <si>
    <t>626323</t>
  </si>
  <si>
    <t>https://www.harbourfinancial.co.uk/</t>
  </si>
  <si>
    <t>754580</t>
  </si>
  <si>
    <t>671347</t>
  </si>
  <si>
    <t>555911</t>
  </si>
  <si>
    <t>https://www.hardingfinancial.co.uk/</t>
  </si>
  <si>
    <t>131250</t>
  </si>
  <si>
    <t>https://www.hardingroberts.co.uk/</t>
  </si>
  <si>
    <t>500547</t>
  </si>
  <si>
    <t>https://www.hardmanhamilton.tppowered.com/</t>
  </si>
  <si>
    <t>468445</t>
  </si>
  <si>
    <t>408302</t>
  </si>
  <si>
    <t>147308</t>
  </si>
  <si>
    <t>https://www.harneyifa.co.uk/</t>
  </si>
  <si>
    <t>738074</t>
  </si>
  <si>
    <t>207527</t>
  </si>
  <si>
    <t>441521</t>
  </si>
  <si>
    <t>https://www.harrisonbrown.co.uk/</t>
  </si>
  <si>
    <t>605195</t>
  </si>
  <si>
    <t>https://www.htfinancialservices.co.uk/</t>
  </si>
  <si>
    <t>425881</t>
  </si>
  <si>
    <t>https://www.harrymoore.co.uk/</t>
  </si>
  <si>
    <t>593740</t>
  </si>
  <si>
    <t>https://www.harteywm.co.uk/</t>
  </si>
  <si>
    <t>924765</t>
  </si>
  <si>
    <t>https://www.hartleyross.com/</t>
  </si>
  <si>
    <t>672213</t>
  </si>
  <si>
    <t>https://www.meliorwealth.com/</t>
  </si>
  <si>
    <t>809192</t>
  </si>
  <si>
    <t>470730</t>
  </si>
  <si>
    <t>924826</t>
  </si>
  <si>
    <t>https://www.hatherfinancial.co.uk/</t>
  </si>
  <si>
    <t>442847</t>
  </si>
  <si>
    <t>https://www.havenifa.co.uk/</t>
  </si>
  <si>
    <t>989644</t>
  </si>
  <si>
    <t>https://www.haverfords.co.uk/</t>
  </si>
  <si>
    <t>793995</t>
  </si>
  <si>
    <t>731359</t>
  </si>
  <si>
    <t>https://www.hawthornfs.co.uk/</t>
  </si>
  <si>
    <t>608396</t>
  </si>
  <si>
    <t>711070</t>
  </si>
  <si>
    <t>https://www.hkifa.co.uk/</t>
  </si>
  <si>
    <t>539931</t>
  </si>
  <si>
    <t>https://www.haywardmanning.com/</t>
  </si>
  <si>
    <t>648084</t>
  </si>
  <si>
    <t>https://www.haywoodfp.co.uk/</t>
  </si>
  <si>
    <t>513178</t>
  </si>
  <si>
    <t>https://www.hmjfinancialservices.co.uk/</t>
  </si>
  <si>
    <t>223530</t>
  </si>
  <si>
    <t>https://www.hazlewoods.co.uk/</t>
  </si>
  <si>
    <t>189816</t>
  </si>
  <si>
    <t>https://www.hbdobbin.com/</t>
  </si>
  <si>
    <t>592756</t>
  </si>
  <si>
    <t>https://www.hcwm.co.uk/</t>
  </si>
  <si>
    <t>500654</t>
  </si>
  <si>
    <t>400529</t>
  </si>
  <si>
    <t>216219</t>
  </si>
  <si>
    <t>527443</t>
  </si>
  <si>
    <t>https://www.headleyfs.com/</t>
  </si>
  <si>
    <t>401101</t>
  </si>
  <si>
    <t>https://www.headstartfinancialplanning.co.uk/</t>
  </si>
  <si>
    <t>841266</t>
  </si>
  <si>
    <t>https://www.headwaywealth.com/</t>
  </si>
  <si>
    <t>720807</t>
  </si>
  <si>
    <t>458349</t>
  </si>
  <si>
    <t>https://www.hearndenassociates.co.uk/</t>
  </si>
  <si>
    <t>489680</t>
  </si>
  <si>
    <t>https://www.heathcrawfordfs.co.uk/</t>
  </si>
  <si>
    <t>616407</t>
  </si>
  <si>
    <t>https://www.heathermacqueen.co.uk/</t>
  </si>
  <si>
    <t>831039</t>
  </si>
  <si>
    <t>471207</t>
  </si>
  <si>
    <t>181210</t>
  </si>
  <si>
    <t>https://www.hedleyasset.co.uk/</t>
  </si>
  <si>
    <t>647062</t>
  </si>
  <si>
    <t>https://www.hemispherefinancial.co.uk/</t>
  </si>
  <si>
    <t>226263</t>
  </si>
  <si>
    <t>192409</t>
  </si>
  <si>
    <t>https://www.hlfp.co.uk/</t>
  </si>
  <si>
    <t>1015489</t>
  </si>
  <si>
    <t>Henry Davies Wealth Management Ltd</t>
  </si>
  <si>
    <t>https://www.henrydavieswm.co.uk/</t>
  </si>
  <si>
    <t>811723</t>
  </si>
  <si>
    <t>469175</t>
  </si>
  <si>
    <t>https://www.hensoncrisp.com/</t>
  </si>
  <si>
    <t>528384</t>
  </si>
  <si>
    <t>https://www.herbertandwebster.co.uk/</t>
  </si>
  <si>
    <t>479204</t>
  </si>
  <si>
    <t>179810</t>
  </si>
  <si>
    <t>https://www.herbertscott.co.uk/</t>
  </si>
  <si>
    <t>961398</t>
  </si>
  <si>
    <t>409112</t>
  </si>
  <si>
    <t>https://www.hpimc.co.uk/</t>
  </si>
  <si>
    <t>302275</t>
  </si>
  <si>
    <t>788285</t>
  </si>
  <si>
    <t>624976</t>
  </si>
  <si>
    <t>https://www.heritage-ifc.com/</t>
  </si>
  <si>
    <t>678847</t>
  </si>
  <si>
    <t>https://www.heritagews.co.uk/</t>
  </si>
  <si>
    <t>595005</t>
  </si>
  <si>
    <t>927830</t>
  </si>
  <si>
    <t>430426</t>
  </si>
  <si>
    <t>https://www.hestiawealth.co.uk/</t>
  </si>
  <si>
    <t>100747</t>
  </si>
  <si>
    <t>814844</t>
  </si>
  <si>
    <t>https://www.hfwealth.co.uk/</t>
  </si>
  <si>
    <t>630333</t>
  </si>
  <si>
    <t>https://www.hflfinancial.com/</t>
  </si>
  <si>
    <t>146717</t>
  </si>
  <si>
    <t>427640</t>
  </si>
  <si>
    <t>125051</t>
  </si>
  <si>
    <t>1014374</t>
  </si>
  <si>
    <t>HG IFA Limited</t>
  </si>
  <si>
    <t>https://www.hgifa.org.uk/</t>
  </si>
  <si>
    <t>191436</t>
  </si>
  <si>
    <t>https://www.hhpg.net/</t>
  </si>
  <si>
    <t>133776</t>
  </si>
  <si>
    <t>552875</t>
  </si>
  <si>
    <t>https://www.hicksandmcnish.org/</t>
  </si>
  <si>
    <t>757113</t>
  </si>
  <si>
    <t>https://www.hpfp.co.uk/</t>
  </si>
  <si>
    <t>727212</t>
  </si>
  <si>
    <t>135717</t>
  </si>
  <si>
    <t>https://www.highwood.co.uk/</t>
  </si>
  <si>
    <t>968293</t>
  </si>
  <si>
    <t>https://www.hilbornehouse.com/</t>
  </si>
  <si>
    <t>467779</t>
  </si>
  <si>
    <t>https://www.hillfinancialservices.co.uk/</t>
  </si>
  <si>
    <t>300999</t>
  </si>
  <si>
    <t>https://www.hillsfinancialplanning.co.uk/</t>
  </si>
  <si>
    <t>787803</t>
  </si>
  <si>
    <t>https://www.hilltopfinance.co.uk/</t>
  </si>
  <si>
    <t>442063</t>
  </si>
  <si>
    <t>https://www.hiltonwfs.co.uk/</t>
  </si>
  <si>
    <t>209848</t>
  </si>
  <si>
    <t>https://www.hkwm.co.uk/</t>
  </si>
  <si>
    <t>705589</t>
  </si>
  <si>
    <t>409034</t>
  </si>
  <si>
    <t>https://www.harperlees.co.uk/</t>
  </si>
  <si>
    <t>198059</t>
  </si>
  <si>
    <t>710286</t>
  </si>
  <si>
    <t>https://www.hodsonsfinancialservices.co.uk/</t>
  </si>
  <si>
    <t>458283</t>
  </si>
  <si>
    <t>728707</t>
  </si>
  <si>
    <t>https://www.holcombefinancialservices.co.uk/</t>
  </si>
  <si>
    <t>716367</t>
  </si>
  <si>
    <t>https://www.holisticfinance.co.uk/</t>
  </si>
  <si>
    <t>827075</t>
  </si>
  <si>
    <t>https://www.blueskymortgages.co.uk/</t>
  </si>
  <si>
    <t>118720</t>
  </si>
  <si>
    <t>https://www.hollandinsurancebrokers.com/</t>
  </si>
  <si>
    <t>793885</t>
  </si>
  <si>
    <t>650965</t>
  </si>
  <si>
    <t>426166</t>
  </si>
  <si>
    <t>192637</t>
  </si>
  <si>
    <t>https://www.holyroodam.co.uk/</t>
  </si>
  <si>
    <t>135250</t>
  </si>
  <si>
    <t>https://www.homeandfinance.org/</t>
  </si>
  <si>
    <t>181055</t>
  </si>
  <si>
    <t>https://www.homecountiesfs.co.uk/</t>
  </si>
  <si>
    <t>457010</t>
  </si>
  <si>
    <t>https://www.hfcifa.co.uk/</t>
  </si>
  <si>
    <t>402226</t>
  </si>
  <si>
    <t>146719</t>
  </si>
  <si>
    <t>https://www.homecroftwealth.co.uk/</t>
  </si>
  <si>
    <t>498583</t>
  </si>
  <si>
    <t>https://www.homer-co.co.uk/</t>
  </si>
  <si>
    <t>977663</t>
  </si>
  <si>
    <t>https://www.honestwealth.co.uk/</t>
  </si>
  <si>
    <t>654530</t>
  </si>
  <si>
    <t>https://www.hoodfinancialplanning.com/</t>
  </si>
  <si>
    <t>711305</t>
  </si>
  <si>
    <t>191350</t>
  </si>
  <si>
    <t>https://www.hopwoodash.com/</t>
  </si>
  <si>
    <t>225007</t>
  </si>
  <si>
    <t>https://www.horburyfinancial.co.uk/</t>
  </si>
  <si>
    <t>628979</t>
  </si>
  <si>
    <t>https://www.horizonwealth.co.uk/</t>
  </si>
  <si>
    <t>515774</t>
  </si>
  <si>
    <t>HORLOCK HOLDCROFT FINANCIAL CONSULTANTS LIMITED</t>
  </si>
  <si>
    <t>https://www.horlockholdcroft.co.uk/</t>
  </si>
  <si>
    <t>488660</t>
  </si>
  <si>
    <t>792223</t>
  </si>
  <si>
    <t>436295</t>
  </si>
  <si>
    <t>454052</t>
  </si>
  <si>
    <t>https://www.investmentcompanion.com/</t>
  </si>
  <si>
    <t>138206</t>
  </si>
  <si>
    <t>525679</t>
  </si>
  <si>
    <t>https://www.howardwealth.com/</t>
  </si>
  <si>
    <t>809401</t>
  </si>
  <si>
    <t>https://www.howarthfinancial.co.uk/</t>
  </si>
  <si>
    <t>131690</t>
  </si>
  <si>
    <t>https://www.howemaxted.co.uk/</t>
  </si>
  <si>
    <t>841219</t>
  </si>
  <si>
    <t>https://www.hrh-ifa.co.uk/</t>
  </si>
  <si>
    <t>826793</t>
  </si>
  <si>
    <t>https://www.hoxtonwealthglobal.co.uk/</t>
  </si>
  <si>
    <t>586130</t>
  </si>
  <si>
    <t>433927</t>
  </si>
  <si>
    <t>https://www.hoyl.co.uk/</t>
  </si>
  <si>
    <t>650100</t>
  </si>
  <si>
    <t>https://www.hpfsuk.com/</t>
  </si>
  <si>
    <t>475945</t>
  </si>
  <si>
    <t>https://www.hpz3.co.uk/</t>
  </si>
  <si>
    <t>754841</t>
  </si>
  <si>
    <t>https://www.hrindependent.co.uk/</t>
  </si>
  <si>
    <t>455713</t>
  </si>
  <si>
    <t>https://www.hubfinancialsolutions.co.uk/</t>
  </si>
  <si>
    <t>592690</t>
  </si>
  <si>
    <t>https://www.hubertchild.co.uk/</t>
  </si>
  <si>
    <t>458042</t>
  </si>
  <si>
    <t>182142</t>
  </si>
  <si>
    <t>https://www.hughescarne.co.uk/</t>
  </si>
  <si>
    <t>444484</t>
  </si>
  <si>
    <t>https://www.humphriesifa.co.uk/</t>
  </si>
  <si>
    <t>450369</t>
  </si>
  <si>
    <t>https://www.hhda.co.uk/</t>
  </si>
  <si>
    <t>218805</t>
  </si>
  <si>
    <t>https://www.huntermills.com/</t>
  </si>
  <si>
    <t>448150</t>
  </si>
  <si>
    <t>https://www.unbiased-advice.co.uk/</t>
  </si>
  <si>
    <t>430294</t>
  </si>
  <si>
    <t>https://www.huwdavies.co.uk/</t>
  </si>
  <si>
    <t>921826</t>
  </si>
  <si>
    <t>https://www.huwwatts-ifp.co.uk/</t>
  </si>
  <si>
    <t>134190</t>
  </si>
  <si>
    <t>994212</t>
  </si>
  <si>
    <t>https://www.hwifm.co.uk/</t>
  </si>
  <si>
    <t>627056</t>
  </si>
  <si>
    <t>https://www.hwwaconsulting.co.uk/</t>
  </si>
  <si>
    <t>178759</t>
  </si>
  <si>
    <t>https://www.hynesdavis.co.uk/</t>
  </si>
  <si>
    <t>231328</t>
  </si>
  <si>
    <t>https://www.ifmackinnon.co.uk/</t>
  </si>
  <si>
    <t>140180</t>
  </si>
  <si>
    <t>553307</t>
  </si>
  <si>
    <t>https://www.i-planning.co.uk/</t>
  </si>
  <si>
    <t>229704</t>
  </si>
  <si>
    <t>https://www.idbondifs.co.uk/</t>
  </si>
  <si>
    <t>786411</t>
  </si>
  <si>
    <t>https://www.iacfinancialplanning.co.uk/</t>
  </si>
  <si>
    <t>150626</t>
  </si>
  <si>
    <t>624638</t>
  </si>
  <si>
    <t>https://www.iamfinancial.co.uk/</t>
  </si>
  <si>
    <t>458414</t>
  </si>
  <si>
    <t>https://www.ianblessed.co.uk/</t>
  </si>
  <si>
    <t>501953</t>
  </si>
  <si>
    <t>912555</t>
  </si>
  <si>
    <t>600539</t>
  </si>
  <si>
    <t>https://www.ianharrison-ifa.co.uk/</t>
  </si>
  <si>
    <t>630542</t>
  </si>
  <si>
    <t>https://www.iankingfp.co.uk/</t>
  </si>
  <si>
    <t>930918</t>
  </si>
  <si>
    <t>549963</t>
  </si>
  <si>
    <t>https://www.professional-partners.co.uk/</t>
  </si>
  <si>
    <t>658107</t>
  </si>
  <si>
    <t>https://www.icfinancialplanning.co.uk/</t>
  </si>
  <si>
    <t>209535</t>
  </si>
  <si>
    <t>https://www.idealfinancialmanagement.co.uk/</t>
  </si>
  <si>
    <t>622803</t>
  </si>
  <si>
    <t>https://www.idealfinancialsolutions.co.uk/</t>
  </si>
  <si>
    <t>584237</t>
  </si>
  <si>
    <t>https://www.iepfinancial.co.uk/</t>
  </si>
  <si>
    <t>485877</t>
  </si>
  <si>
    <t>https://www.ifaconsultants.co.uk/</t>
  </si>
  <si>
    <t>144197</t>
  </si>
  <si>
    <t>https://www.ifpc.co.uk/</t>
  </si>
  <si>
    <t>409209</t>
  </si>
  <si>
    <t>828270</t>
  </si>
  <si>
    <t>https://www.iftwm.com/</t>
  </si>
  <si>
    <t>692645</t>
  </si>
  <si>
    <t>https://www.iibfs.co.uk/</t>
  </si>
  <si>
    <t>529020</t>
  </si>
  <si>
    <t>526994</t>
  </si>
  <si>
    <t>https://www.ilmfinancial.co.uk/</t>
  </si>
  <si>
    <t>449388</t>
  </si>
  <si>
    <t>https://www.imcfs.co.uk/</t>
  </si>
  <si>
    <t>436239</t>
  </si>
  <si>
    <t>https://www.independentis.co.uk/</t>
  </si>
  <si>
    <t>969159</t>
  </si>
  <si>
    <t>https://www.harmonicfp.com/</t>
  </si>
  <si>
    <t>605987</t>
  </si>
  <si>
    <t>497616</t>
  </si>
  <si>
    <t>229886</t>
  </si>
  <si>
    <t>https://www.imperialhousegroup.co.uk/</t>
  </si>
  <si>
    <t>844892</t>
  </si>
  <si>
    <t>https://www.imperialfinancial.co.uk/</t>
  </si>
  <si>
    <t>668701</t>
  </si>
  <si>
    <t>https://www.imswealth.co.uk/</t>
  </si>
  <si>
    <t>221594</t>
  </si>
  <si>
    <t>https://www.infocusifa.com/</t>
  </si>
  <si>
    <t>438928</t>
  </si>
  <si>
    <t>https://www.incisivews.com/</t>
  </si>
  <si>
    <t>616668</t>
  </si>
  <si>
    <t>https://www.independenceassured.com/</t>
  </si>
  <si>
    <t>223376</t>
  </si>
  <si>
    <t>https://www.ukassetmanager.com/</t>
  </si>
  <si>
    <t>524535</t>
  </si>
  <si>
    <t>522390</t>
  </si>
  <si>
    <t>401223</t>
  </si>
  <si>
    <t>https://www.ifa4u.co.uk/</t>
  </si>
  <si>
    <t>207470</t>
  </si>
  <si>
    <t>652973</t>
  </si>
  <si>
    <t>https://www.ifabonline.net/</t>
  </si>
  <si>
    <t>523569</t>
  </si>
  <si>
    <t>604988</t>
  </si>
  <si>
    <t>447461</t>
  </si>
  <si>
    <t>468116</t>
  </si>
  <si>
    <t>941692</t>
  </si>
  <si>
    <t>518498</t>
  </si>
  <si>
    <t>402458</t>
  </si>
  <si>
    <t>302553</t>
  </si>
  <si>
    <t>https://www.independentfirst.com/</t>
  </si>
  <si>
    <t>212923</t>
  </si>
  <si>
    <t>https://www.iialtd.co.uk/</t>
  </si>
  <si>
    <t>589566</t>
  </si>
  <si>
    <t>https://www.independent121.co.uk/</t>
  </si>
  <si>
    <t>440552</t>
  </si>
  <si>
    <t>https://www.theoptionsgroup.co.uk/</t>
  </si>
  <si>
    <t>402334</t>
  </si>
  <si>
    <t>460510</t>
  </si>
  <si>
    <t>489840</t>
  </si>
  <si>
    <t>138903</t>
  </si>
  <si>
    <t>https://www.iwmcltd.co.uk/</t>
  </si>
  <si>
    <t>434382</t>
  </si>
  <si>
    <t>https://www.indigoadvice.co.uk/</t>
  </si>
  <si>
    <t>597048</t>
  </si>
  <si>
    <t>https://www.cre8wm.co.uk/</t>
  </si>
  <si>
    <t>562252</t>
  </si>
  <si>
    <t>https://www.infinityfp.co.uk/</t>
  </si>
  <si>
    <t>304902</t>
  </si>
  <si>
    <t>136258</t>
  </si>
  <si>
    <t>https://www.infomedchoice-sw.co.uk/</t>
  </si>
  <si>
    <t>171077</t>
  </si>
  <si>
    <t>https://www.icfp.co.uk/</t>
  </si>
  <si>
    <t>547641</t>
  </si>
  <si>
    <t>https://www.informedifa.co.uk/</t>
  </si>
  <si>
    <t>595509</t>
  </si>
  <si>
    <t>782609</t>
  </si>
  <si>
    <t>https://www.iwm.ltd/</t>
  </si>
  <si>
    <t>460094</t>
  </si>
  <si>
    <t>https://www.ingardifm.co.uk/</t>
  </si>
  <si>
    <t>949555</t>
  </si>
  <si>
    <t>https://www.ifascotland.co.uk/</t>
  </si>
  <si>
    <t>609071</t>
  </si>
  <si>
    <t>https://www.theinkgroup.co.uk/</t>
  </si>
  <si>
    <t>211626</t>
  </si>
  <si>
    <t>587233</t>
  </si>
  <si>
    <t>749371</t>
  </si>
  <si>
    <t>431522</t>
  </si>
  <si>
    <t>612749</t>
  </si>
  <si>
    <t>492444</t>
  </si>
  <si>
    <t>https://www.integratedfs.co.uk/</t>
  </si>
  <si>
    <t>563705</t>
  </si>
  <si>
    <t>https://www.iwm-group.com/</t>
  </si>
  <si>
    <t>663308</t>
  </si>
  <si>
    <t>https://www.integrityasset.uk/</t>
  </si>
  <si>
    <t>449517</t>
  </si>
  <si>
    <t>https://www.aabwealth.uk/</t>
  </si>
  <si>
    <t>670687</t>
  </si>
  <si>
    <t>https://www.integrityfp.co.uk/</t>
  </si>
  <si>
    <t>520362</t>
  </si>
  <si>
    <t>https://www.integritypi.co.uk/</t>
  </si>
  <si>
    <t>706509</t>
  </si>
  <si>
    <t>https://www.integritywp.co.uk/</t>
  </si>
  <si>
    <t>190546</t>
  </si>
  <si>
    <t>669729</t>
  </si>
  <si>
    <t>https://www.i-fa.org.uk/</t>
  </si>
  <si>
    <t>186250</t>
  </si>
  <si>
    <t>https://www.intelligentpensions.com/</t>
  </si>
  <si>
    <t>141282</t>
  </si>
  <si>
    <t>https://www.ii.co.uk/</t>
  </si>
  <si>
    <t>556964</t>
  </si>
  <si>
    <t>https://www.interactivewealth.co.uk/</t>
  </si>
  <si>
    <t>927711</t>
  </si>
  <si>
    <t>562377</t>
  </si>
  <si>
    <t>954704</t>
  </si>
  <si>
    <t>469547</t>
  </si>
  <si>
    <t>https://www.investsouthwest.co.uk/</t>
  </si>
  <si>
    <t>154918</t>
  </si>
  <si>
    <t>https://www.investacc.co.uk/</t>
  </si>
  <si>
    <t>197493</t>
  </si>
  <si>
    <t>https://www.investaxlimited.co.uk/</t>
  </si>
  <si>
    <t>462359</t>
  </si>
  <si>
    <t>991182</t>
  </si>
  <si>
    <t>https://www.investingideas.co.uk/</t>
  </si>
  <si>
    <t>542186</t>
  </si>
  <si>
    <t>https://www.ifsp-llp.co.uk/</t>
  </si>
  <si>
    <t>462734</t>
  </si>
  <si>
    <t>504345</t>
  </si>
  <si>
    <t>209529</t>
  </si>
  <si>
    <t>https://www.wilcoxyoung.co.uk/</t>
  </si>
  <si>
    <t>430317</t>
  </si>
  <si>
    <t>https://www.investmentforlife.co.uk/</t>
  </si>
  <si>
    <t>501839</t>
  </si>
  <si>
    <t>230151</t>
  </si>
  <si>
    <t>806141</t>
  </si>
  <si>
    <t>586846</t>
  </si>
  <si>
    <t>https://www.investwisegroup.com/</t>
  </si>
  <si>
    <t>587095</t>
  </si>
  <si>
    <t>https://www.invicta-group.co.uk/</t>
  </si>
  <si>
    <t>949773</t>
  </si>
  <si>
    <t>https://www.invictafs.co.uk/</t>
  </si>
  <si>
    <t>751579</t>
  </si>
  <si>
    <t>https://www.iolairefinancial.co.uk/</t>
  </si>
  <si>
    <t>475464</t>
  </si>
  <si>
    <t>949651</t>
  </si>
  <si>
    <t>https://www.ipensionswealth.co.uk/</t>
  </si>
  <si>
    <t>575247</t>
  </si>
  <si>
    <t>586078</t>
  </si>
  <si>
    <t>https://www.iq-fa.co.uk/</t>
  </si>
  <si>
    <t>913319</t>
  </si>
  <si>
    <t>https://www.iridiumcf.com/</t>
  </si>
  <si>
    <t>620330</t>
  </si>
  <si>
    <t>https://www.net-worthntwrk.com/</t>
  </si>
  <si>
    <t>799333</t>
  </si>
  <si>
    <t>https://www.irwellwealthmanagement.co.uk/</t>
  </si>
  <si>
    <t>702709</t>
  </si>
  <si>
    <t>https://www.isifa.co.uk/</t>
  </si>
  <si>
    <t>525147</t>
  </si>
  <si>
    <t>https://www.isaco.co.uk/</t>
  </si>
  <si>
    <t>708839</t>
  </si>
  <si>
    <t>https://www.isfs.co.uk/</t>
  </si>
  <si>
    <t>460880</t>
  </si>
  <si>
    <t>207297</t>
  </si>
  <si>
    <t>https://www.isisfp.co.uk/</t>
  </si>
  <si>
    <t>770385</t>
  </si>
  <si>
    <t>458913</t>
  </si>
  <si>
    <t>114997</t>
  </si>
  <si>
    <t>https://www.ivorjones.co.uk/</t>
  </si>
  <si>
    <t>441359</t>
  </si>
  <si>
    <t>975357</t>
  </si>
  <si>
    <t>582104</t>
  </si>
  <si>
    <t>https://www.lowco.uk/</t>
  </si>
  <si>
    <t>616661</t>
  </si>
  <si>
    <t>230606</t>
  </si>
  <si>
    <t>513644</t>
  </si>
  <si>
    <t>https://www.jmwifa.co.uk/</t>
  </si>
  <si>
    <t>624888</t>
  </si>
  <si>
    <t>121551</t>
  </si>
  <si>
    <t>116320</t>
  </si>
  <si>
    <t>125062</t>
  </si>
  <si>
    <t>https://www.jrpritchard.co.uk/</t>
  </si>
  <si>
    <t>121712</t>
  </si>
  <si>
    <t>134430</t>
  </si>
  <si>
    <t>https://www.jacksoninsurance.co.uk/</t>
  </si>
  <si>
    <t>502476</t>
  </si>
  <si>
    <t>https://www.jjfsltd.com/</t>
  </si>
  <si>
    <t>196503</t>
  </si>
  <si>
    <t>408280</t>
  </si>
  <si>
    <t>https://www.jamesandassociates.co.uk/</t>
  </si>
  <si>
    <t>531539</t>
  </si>
  <si>
    <t>https://www.jandjadvisers.co.uk/</t>
  </si>
  <si>
    <t>430385</t>
  </si>
  <si>
    <t>https://www.andersonbarrconsultants.co.uk/</t>
  </si>
  <si>
    <t>672429</t>
  </si>
  <si>
    <t>525929</t>
  </si>
  <si>
    <t>796617</t>
  </si>
  <si>
    <t>https://www.jameshair.co.uk/</t>
  </si>
  <si>
    <t>607982</t>
  </si>
  <si>
    <t>458363</t>
  </si>
  <si>
    <t>https://www.jmurray.co.uk/</t>
  </si>
  <si>
    <t>599287</t>
  </si>
  <si>
    <t>813845</t>
  </si>
  <si>
    <t>https://www.jamessharp.co.uk/</t>
  </si>
  <si>
    <t>671493</t>
  </si>
  <si>
    <t>https://www.goldenyearsmortgages.co.uk/</t>
  </si>
  <si>
    <t>487359</t>
  </si>
  <si>
    <t>https://www.financialplanninglimited.co.uk/</t>
  </si>
  <si>
    <t>505532</t>
  </si>
  <si>
    <t>https://www.jyagroup.co.uk/</t>
  </si>
  <si>
    <t>943567</t>
  </si>
  <si>
    <t>422773</t>
  </si>
  <si>
    <t>https://www.jamiesonchristie.com/</t>
  </si>
  <si>
    <t>402391</t>
  </si>
  <si>
    <t>https://www.jan-cash.co.uk/</t>
  </si>
  <si>
    <t>725129</t>
  </si>
  <si>
    <t>https://www.oliff.info/</t>
  </si>
  <si>
    <t>832988</t>
  </si>
  <si>
    <t>212859</t>
  </si>
  <si>
    <t>https://www.janesmithfinancial.com/</t>
  </si>
  <si>
    <t>529609</t>
  </si>
  <si>
    <t>https://www.janusconsultancy.com/</t>
  </si>
  <si>
    <t>480864</t>
  </si>
  <si>
    <t>https://www.plan.co.uk/</t>
  </si>
  <si>
    <t>921503</t>
  </si>
  <si>
    <t>https://www.jbfinancialadviceltd.co.uk/</t>
  </si>
  <si>
    <t>118513</t>
  </si>
  <si>
    <t>https://www.jbwm.co.uk/</t>
  </si>
  <si>
    <t>585728</t>
  </si>
  <si>
    <t>https://www.roxburgh-group.co.uk/</t>
  </si>
  <si>
    <t>610812</t>
  </si>
  <si>
    <t>https://www.jchim.co.uk/</t>
  </si>
  <si>
    <t>605775</t>
  </si>
  <si>
    <t>831172</t>
  </si>
  <si>
    <t>https://www.jdlwealth.co.uk/</t>
  </si>
  <si>
    <t>707560</t>
  </si>
  <si>
    <t>https://www.jdwwealthmanagement.co.uk/</t>
  </si>
  <si>
    <t>930071</t>
  </si>
  <si>
    <t>https://www.jemfinancial.co.uk/</t>
  </si>
  <si>
    <t>548051</t>
  </si>
  <si>
    <t>https://www.jenkinsfinancial.co.uk/</t>
  </si>
  <si>
    <t>842769</t>
  </si>
  <si>
    <t>820516</t>
  </si>
  <si>
    <t>681433</t>
  </si>
  <si>
    <t>524896</t>
  </si>
  <si>
    <t>134276</t>
  </si>
  <si>
    <t>https://www.jestons.co.uk/</t>
  </si>
  <si>
    <t>402532</t>
  </si>
  <si>
    <t>https://www.jpltd.co.uk/</t>
  </si>
  <si>
    <t>479668</t>
  </si>
  <si>
    <t>https://www.jfpfinancialservices.co.uk/</t>
  </si>
  <si>
    <t>977384</t>
  </si>
  <si>
    <t>601039</t>
  </si>
  <si>
    <t>736855</t>
  </si>
  <si>
    <t>https://www.jigsaw-fp.co.uk/</t>
  </si>
  <si>
    <t>610900</t>
  </si>
  <si>
    <t>https://www.jkfs.com/</t>
  </si>
  <si>
    <t>441083</t>
  </si>
  <si>
    <t>JLS ASSOCIATES INDEPENDENT FINANCIAL ADVISERS LIMITED</t>
  </si>
  <si>
    <t>https://www.jls-associates.co.uk/</t>
  </si>
  <si>
    <t>826117</t>
  </si>
  <si>
    <t>629716</t>
  </si>
  <si>
    <t>599891</t>
  </si>
  <si>
    <t>https://www.jmcfs.com/</t>
  </si>
  <si>
    <t>709091</t>
  </si>
  <si>
    <t>713637</t>
  </si>
  <si>
    <t>745384</t>
  </si>
  <si>
    <t>400453</t>
  </si>
  <si>
    <t>915090</t>
  </si>
  <si>
    <t>607940</t>
  </si>
  <si>
    <t>310658</t>
  </si>
  <si>
    <t>https://www.johnwhippy.co.uk/</t>
  </si>
  <si>
    <t>462157</t>
  </si>
  <si>
    <t>https://www.johnfachiri.com/</t>
  </si>
  <si>
    <t>618509</t>
  </si>
  <si>
    <t>116018</t>
  </si>
  <si>
    <t>https://www.jjfs.com/</t>
  </si>
  <si>
    <t>527402</t>
  </si>
  <si>
    <t>757953</t>
  </si>
  <si>
    <t>https://www.johnmitchellfa.co.uk/</t>
  </si>
  <si>
    <t>519488</t>
  </si>
  <si>
    <t>925053</t>
  </si>
  <si>
    <t>624561</t>
  </si>
  <si>
    <t>https://www.chobhamwm.com/</t>
  </si>
  <si>
    <t>113038</t>
  </si>
  <si>
    <t>https://www.roddicks.co.uk/</t>
  </si>
  <si>
    <t>669544</t>
  </si>
  <si>
    <t>https://www.jrfsl.co.uk/</t>
  </si>
  <si>
    <t>717987</t>
  </si>
  <si>
    <t>827693</t>
  </si>
  <si>
    <t>https://www.thinqviser.com/</t>
  </si>
  <si>
    <t>114390</t>
  </si>
  <si>
    <t>https://www.johnwhittenbury.co.uk/</t>
  </si>
  <si>
    <t>810879</t>
  </si>
  <si>
    <t>https://www.jyfs.co.uk/</t>
  </si>
  <si>
    <t>176487</t>
  </si>
  <si>
    <t>https://www.johnsongibbs.co.uk/</t>
  </si>
  <si>
    <t>131706</t>
  </si>
  <si>
    <t>https://www.amberriver.com/jf</t>
  </si>
  <si>
    <t>963983</t>
  </si>
  <si>
    <t>https://www.johnstone.uk.net/</t>
  </si>
  <si>
    <t>794390</t>
  </si>
  <si>
    <t>408054</t>
  </si>
  <si>
    <t>https://www.jonathanblakemoney.co.uk/</t>
  </si>
  <si>
    <t>189846</t>
  </si>
  <si>
    <t>https://www.informeddecisions.info/</t>
  </si>
  <si>
    <t>458630</t>
  </si>
  <si>
    <t>https://www.jonathandaviswm.com/</t>
  </si>
  <si>
    <t>118803</t>
  </si>
  <si>
    <t>482616</t>
  </si>
  <si>
    <t>https://www.clearfinance.net/</t>
  </si>
  <si>
    <t>210208</t>
  </si>
  <si>
    <t>484324</t>
  </si>
  <si>
    <t>https://www.joslinrhodes.co.uk/</t>
  </si>
  <si>
    <t>587254</t>
  </si>
  <si>
    <t>https://www.jpafinancialservicesltd.co.uk/</t>
  </si>
  <si>
    <t>720238</t>
  </si>
  <si>
    <t>https://www.jpbfinancialplanning.co.uk/</t>
  </si>
  <si>
    <t>453251</t>
  </si>
  <si>
    <t>https://www.jpmasset.co.uk/</t>
  </si>
  <si>
    <t>445837</t>
  </si>
  <si>
    <t>https://www.jpm-group.co.uk/</t>
  </si>
  <si>
    <t>525567</t>
  </si>
  <si>
    <t>https://www.loughtons.co.uk/</t>
  </si>
  <si>
    <t>627757</t>
  </si>
  <si>
    <t>422520</t>
  </si>
  <si>
    <t>979562</t>
  </si>
  <si>
    <t>153566</t>
  </si>
  <si>
    <t>https://www.julianharris.net/</t>
  </si>
  <si>
    <t>465681</t>
  </si>
  <si>
    <t>https://www.juppcastle.co.uk/</t>
  </si>
  <si>
    <t>739938</t>
  </si>
  <si>
    <t>https://www.justfinancialgroup.co.uk/</t>
  </si>
  <si>
    <t>431390</t>
  </si>
  <si>
    <t>https://www.jis.org.uk/</t>
  </si>
  <si>
    <t>912049</t>
  </si>
  <si>
    <t>649801</t>
  </si>
  <si>
    <t>https://www.jwcfinancialsolutions.co.uk/</t>
  </si>
  <si>
    <t>197492</t>
  </si>
  <si>
    <t>231578</t>
  </si>
  <si>
    <t>https://www.kmfinancial.net/</t>
  </si>
  <si>
    <t>564603</t>
  </si>
  <si>
    <t>116769</t>
  </si>
  <si>
    <t>https://www.kgjinsurance.com/</t>
  </si>
  <si>
    <t>618158</t>
  </si>
  <si>
    <t>136178</t>
  </si>
  <si>
    <t>579414</t>
  </si>
  <si>
    <t>https://www.kalkine.co.uk/</t>
  </si>
  <si>
    <t>546263</t>
  </si>
  <si>
    <t>590782</t>
  </si>
  <si>
    <t>715396</t>
  </si>
  <si>
    <t>517588</t>
  </si>
  <si>
    <t>943119</t>
  </si>
  <si>
    <t>https://www.katetalbotfp.com/</t>
  </si>
  <si>
    <t>613261</t>
  </si>
  <si>
    <t>1009438</t>
  </si>
  <si>
    <t>610015</t>
  </si>
  <si>
    <t>https://www.kcmwm.co.uk/</t>
  </si>
  <si>
    <t>509886</t>
  </si>
  <si>
    <t>https://www.kdw.co.uk/</t>
  </si>
  <si>
    <t>492448</t>
  </si>
  <si>
    <t>https://www.keightleypattisonifa.co.uk/</t>
  </si>
  <si>
    <t>149780</t>
  </si>
  <si>
    <t>Keith George Lilley</t>
  </si>
  <si>
    <t>221540</t>
  </si>
  <si>
    <t>136684</t>
  </si>
  <si>
    <t>https://www.montgomeryassociates.co.uk/</t>
  </si>
  <si>
    <t>758811</t>
  </si>
  <si>
    <t>799794</t>
  </si>
  <si>
    <t>https://www.stockdale-co.com/</t>
  </si>
  <si>
    <t>143312</t>
  </si>
  <si>
    <t>https://www.kelland.co.uk/</t>
  </si>
  <si>
    <t>164912</t>
  </si>
  <si>
    <t>https://www.kfms.co.uk/</t>
  </si>
  <si>
    <t>185507</t>
  </si>
  <si>
    <t>https://www.ksisltd.co.uk/</t>
  </si>
  <si>
    <t>568257</t>
  </si>
  <si>
    <t>https://www.kelvinfp.com/</t>
  </si>
  <si>
    <t>707389</t>
  </si>
  <si>
    <t>550350</t>
  </si>
  <si>
    <t>https://www.kennairn.co.uk/</t>
  </si>
  <si>
    <t>229879</t>
  </si>
  <si>
    <t>https://www.kenleyfm.co.uk/</t>
  </si>
  <si>
    <t>670689</t>
  </si>
  <si>
    <t>https://www.kennetfinancialservices.co.uk/</t>
  </si>
  <si>
    <t>400533</t>
  </si>
  <si>
    <t>https://www.ifa-kap.co.uk/</t>
  </si>
  <si>
    <t>484860</t>
  </si>
  <si>
    <t>https://www.burtonlaw.co.uk/</t>
  </si>
  <si>
    <t>779041</t>
  </si>
  <si>
    <t>https://www.kentinsuranceservices.co.uk/</t>
  </si>
  <si>
    <t>125434</t>
  </si>
  <si>
    <t>https://www.kentsoper.com/</t>
  </si>
  <si>
    <t>533507</t>
  </si>
  <si>
    <t>https://www.kenyonclarke.co.uk/</t>
  </si>
  <si>
    <t>942872</t>
  </si>
  <si>
    <t>https://www.kernowfinancialplanning.co.uk/</t>
  </si>
  <si>
    <t>163133</t>
  </si>
  <si>
    <t>578323</t>
  </si>
  <si>
    <t>https://www.kevinbarnesfp.com/</t>
  </si>
  <si>
    <t>753701</t>
  </si>
  <si>
    <t>https://www.kevinbensteadifa.com/</t>
  </si>
  <si>
    <t>190077</t>
  </si>
  <si>
    <t>https://www.provest.co.uk/</t>
  </si>
  <si>
    <t>224806</t>
  </si>
  <si>
    <t>https://www.gatesfinancialservices.co.uk/</t>
  </si>
  <si>
    <t>488210</t>
  </si>
  <si>
    <t>https://www.key2financialsolutions.co.uk/</t>
  </si>
  <si>
    <t>602080</t>
  </si>
  <si>
    <t>https://www.gibbonsandkey.co.uk/</t>
  </si>
  <si>
    <t>571405</t>
  </si>
  <si>
    <t>https://www.keylinefs.com/</t>
  </si>
  <si>
    <t>101180</t>
  </si>
  <si>
    <t>https://www.keymerhaslam.co.uk/</t>
  </si>
  <si>
    <t>501917</t>
  </si>
  <si>
    <t>https://www.keystoneltd.co.uk/</t>
  </si>
  <si>
    <t>136129</t>
  </si>
  <si>
    <t>https://www.keyte.co/</t>
  </si>
  <si>
    <t>647157</t>
  </si>
  <si>
    <t>https://www.kfponline.co.uk/</t>
  </si>
  <si>
    <t>144667</t>
  </si>
  <si>
    <t>https://www.kieronbassett.com/</t>
  </si>
  <si>
    <t>522660</t>
  </si>
  <si>
    <t>513177</t>
  </si>
  <si>
    <t>https://www.kbwm.co.uk/</t>
  </si>
  <si>
    <t>146892</t>
  </si>
  <si>
    <t>https://www.kimberleyfinancial.co.uk/</t>
  </si>
  <si>
    <t>964256</t>
  </si>
  <si>
    <t>https://www.kimboltonfp.co.uk/</t>
  </si>
  <si>
    <t>954553</t>
  </si>
  <si>
    <t>https://www.kpi.co.uk/</t>
  </si>
  <si>
    <t>598525</t>
  </si>
  <si>
    <t>https://www.kingdomfs.com/</t>
  </si>
  <si>
    <t>587620</t>
  </si>
  <si>
    <t>https://www.kims-ltd.co.uk/</t>
  </si>
  <si>
    <t>226749</t>
  </si>
  <si>
    <t>https://www.kingfisherfinance.co.uk/</t>
  </si>
  <si>
    <t>562475</t>
  </si>
  <si>
    <t>https://www.kingfisherifa.co.uk/</t>
  </si>
  <si>
    <t>232518</t>
  </si>
  <si>
    <t>https://www.kingfurness.co.uk/</t>
  </si>
  <si>
    <t>613020</t>
  </si>
  <si>
    <t>https://www.kcfp.co.uk/</t>
  </si>
  <si>
    <t>400269</t>
  </si>
  <si>
    <t>https://www.kpfm.co.uk/</t>
  </si>
  <si>
    <t>745085</t>
  </si>
  <si>
    <t>https://www.kingsbridgewealth.co.uk/</t>
  </si>
  <si>
    <t>798518</t>
  </si>
  <si>
    <t>https://www.kingsleyfinancialconsulting.co.uk/</t>
  </si>
  <si>
    <t>952121</t>
  </si>
  <si>
    <t>https://www.kingston-ifs.com/</t>
  </si>
  <si>
    <t>209429</t>
  </si>
  <si>
    <t>https://www.kingston-solutions.com/</t>
  </si>
  <si>
    <t>714745</t>
  </si>
  <si>
    <t>https://www.kingstonsfinancial.com/</t>
  </si>
  <si>
    <t>455859</t>
  </si>
  <si>
    <t>453814</t>
  </si>
  <si>
    <t>https://www.kingswoodlawifa.com/</t>
  </si>
  <si>
    <t>572308</t>
  </si>
  <si>
    <t>https://www.kingswoodwealth.com/</t>
  </si>
  <si>
    <t>531538</t>
  </si>
  <si>
    <t>https://www.kirkrice.co.uk/</t>
  </si>
  <si>
    <t>137559</t>
  </si>
  <si>
    <t>227844</t>
  </si>
  <si>
    <t>710272</t>
  </si>
  <si>
    <t>https://www.klofinancialservices.com/</t>
  </si>
  <si>
    <t>530637</t>
  </si>
  <si>
    <t>803600</t>
  </si>
  <si>
    <t>https://www.kmdpwm.co.uk/</t>
  </si>
  <si>
    <t>422752</t>
  </si>
  <si>
    <t>610230</t>
  </si>
  <si>
    <t>226353</t>
  </si>
  <si>
    <t>https://www.kmlfs.co.uk/</t>
  </si>
  <si>
    <t>227737</t>
  </si>
  <si>
    <t>481386</t>
  </si>
  <si>
    <t>https://www.kngfinancial.co.uk/</t>
  </si>
  <si>
    <t>563896</t>
  </si>
  <si>
    <t>609061</t>
  </si>
  <si>
    <t>456629</t>
  </si>
  <si>
    <t>https://www.krdfa.com/</t>
  </si>
  <si>
    <t>209562</t>
  </si>
  <si>
    <t>509765</t>
  </si>
  <si>
    <t>https://www.kuberawealth.co.uk/</t>
  </si>
  <si>
    <t>436910</t>
  </si>
  <si>
    <t>https://www.kudosifa.com/</t>
  </si>
  <si>
    <t>624553</t>
  </si>
  <si>
    <t>401022</t>
  </si>
  <si>
    <t>https://www.kyleconsulting.co.uk/</t>
  </si>
  <si>
    <t>930489</t>
  </si>
  <si>
    <t>https://www.kyleinsurance.co.uk/</t>
  </si>
  <si>
    <t>115020</t>
  </si>
  <si>
    <t>https://www.lacomp.co.uk/</t>
  </si>
  <si>
    <t>731610</t>
  </si>
  <si>
    <t>https://www.lairgatefinancial.co.uk/</t>
  </si>
  <si>
    <t>225044</t>
  </si>
  <si>
    <t>https://www.laithwaiteifa.co.uk/</t>
  </si>
  <si>
    <t>472648</t>
  </si>
  <si>
    <t>https://www.atmorchardinvestments.co.uk/</t>
  </si>
  <si>
    <t>599259</t>
  </si>
  <si>
    <t>https://www.lamontpridmorewealth.co.uk/</t>
  </si>
  <si>
    <t>448911</t>
  </si>
  <si>
    <t>https://www.lancashirefsltd.co.uk/</t>
  </si>
  <si>
    <t>533498</t>
  </si>
  <si>
    <t>https://www.lancettifa.co.uk/</t>
  </si>
  <si>
    <t>225538</t>
  </si>
  <si>
    <t>https://www.landmarkifa.co.uk/</t>
  </si>
  <si>
    <t>438355</t>
  </si>
  <si>
    <t>https://www.lane.fm/</t>
  </si>
  <si>
    <t>593301</t>
  </si>
  <si>
    <t>https://www.langfinancial.co.uk/</t>
  </si>
  <si>
    <t>739528</t>
  </si>
  <si>
    <t>485835</t>
  </si>
  <si>
    <t>988218</t>
  </si>
  <si>
    <t>https://www.lannfinance.co.uk/</t>
  </si>
  <si>
    <t>472086</t>
  </si>
  <si>
    <t>615332</t>
  </si>
  <si>
    <t>https://www.larcomesfs.co.uk/</t>
  </si>
  <si>
    <t>657947</t>
  </si>
  <si>
    <t>https://www.laterlifeasset.co.uk/</t>
  </si>
  <si>
    <t>924987</t>
  </si>
  <si>
    <t>https://www.laterlifematters.co.uk/</t>
  </si>
  <si>
    <t>145070</t>
  </si>
  <si>
    <t>https://www.lathamindependentfinance.co.uk/</t>
  </si>
  <si>
    <t>616915</t>
  </si>
  <si>
    <t>748243</t>
  </si>
  <si>
    <t>231749</t>
  </si>
  <si>
    <t>https://www.laurelcourt.co.uk/</t>
  </si>
  <si>
    <t>457227</t>
  </si>
  <si>
    <t>https://www.laurenceanthony.co.uk/</t>
  </si>
  <si>
    <t>153989</t>
  </si>
  <si>
    <t>https://www.laverwealth.co.uk/</t>
  </si>
  <si>
    <t>615491</t>
  </si>
  <si>
    <t>https://www.lawlerdavis.co.uk/</t>
  </si>
  <si>
    <t>131526</t>
  </si>
  <si>
    <t>https://www.dj-lawrence.co.uk/</t>
  </si>
  <si>
    <t>400805</t>
  </si>
  <si>
    <t>https://www.mikelawsonandfern.co.uk/</t>
  </si>
  <si>
    <t>134721</t>
  </si>
  <si>
    <t>https://www.lawson-ifa.co.uk/</t>
  </si>
  <si>
    <t>231580</t>
  </si>
  <si>
    <t>https://www.lawtonandtaylor.co.uk/</t>
  </si>
  <si>
    <t>672287</t>
  </si>
  <si>
    <t>https://www.lbfa.co.uk/</t>
  </si>
  <si>
    <t>227651</t>
  </si>
  <si>
    <t>https://www.lcmfamily.co.uk/</t>
  </si>
  <si>
    <t>402291</t>
  </si>
  <si>
    <t>https://www.leabold.co.uk/</t>
  </si>
  <si>
    <t>972596</t>
  </si>
  <si>
    <t>647006</t>
  </si>
  <si>
    <t>716741</t>
  </si>
  <si>
    <t>607803</t>
  </si>
  <si>
    <t>596277</t>
  </si>
  <si>
    <t>662544</t>
  </si>
  <si>
    <t>https://www.leeburnfinancial.com/</t>
  </si>
  <si>
    <t>532919</t>
  </si>
  <si>
    <t>https://www.legacycks.com/</t>
  </si>
  <si>
    <t>536470</t>
  </si>
  <si>
    <t>https://www.legacyfinancialsolutions.co.uk/</t>
  </si>
  <si>
    <t>457377</t>
  </si>
  <si>
    <t>764713</t>
  </si>
  <si>
    <t>https://www.levenwealth.co.uk/</t>
  </si>
  <si>
    <t>143646</t>
  </si>
  <si>
    <t>https://www.lewisinvestment.co.uk/</t>
  </si>
  <si>
    <t>431767</t>
  </si>
  <si>
    <t>https://www.lewischristopher.co.uk/</t>
  </si>
  <si>
    <t>945968</t>
  </si>
  <si>
    <t>440099</t>
  </si>
  <si>
    <t>https://www.lexingtonwealth.co.uk/</t>
  </si>
  <si>
    <t>491905</t>
  </si>
  <si>
    <t>460692</t>
  </si>
  <si>
    <t>684341</t>
  </si>
  <si>
    <t>https://www.libertaswm.co.uk/</t>
  </si>
  <si>
    <t>602954</t>
  </si>
  <si>
    <t>472792</t>
  </si>
  <si>
    <t>https://www.liberty-partnership.co.uk/</t>
  </si>
  <si>
    <t>452312</t>
  </si>
  <si>
    <t>https://www.librafinancialplanning.co.uk/</t>
  </si>
  <si>
    <t>600504</t>
  </si>
  <si>
    <t>834602</t>
  </si>
  <si>
    <t>https://www.lifefs.com/</t>
  </si>
  <si>
    <t>963468</t>
  </si>
  <si>
    <t>https://www.lifeplanning.ltd/</t>
  </si>
  <si>
    <t>531619</t>
  </si>
  <si>
    <t>https://www.lifeplanfm.co.uk/</t>
  </si>
  <si>
    <t>191440</t>
  </si>
  <si>
    <t>https://www.lifeplanningsolutions.co.uk/</t>
  </si>
  <si>
    <t>486138</t>
  </si>
  <si>
    <t>https://www.lifestages.co.uk/</t>
  </si>
  <si>
    <t>541659</t>
  </si>
  <si>
    <t>417404</t>
  </si>
  <si>
    <t>https://www.lifestylefc.co.uk/</t>
  </si>
  <si>
    <t>830075</t>
  </si>
  <si>
    <t>https://www.lifestylefs.co.uk/</t>
  </si>
  <si>
    <t>831668</t>
  </si>
  <si>
    <t>792684</t>
  </si>
  <si>
    <t>https://www.lifestylewealthmanagement.co.uk/</t>
  </si>
  <si>
    <t>300718</t>
  </si>
  <si>
    <t>https://www.lifetimefinancialadvisers.co.uk/</t>
  </si>
  <si>
    <t>402915</t>
  </si>
  <si>
    <t>225795</t>
  </si>
  <si>
    <t>https://www.lifetime-fm.com/</t>
  </si>
  <si>
    <t>588153</t>
  </si>
  <si>
    <t>https://www.lifetimefs.co.uk/</t>
  </si>
  <si>
    <t>779040</t>
  </si>
  <si>
    <t>https://www.lifetime-ifa.co.uk/</t>
  </si>
  <si>
    <t>126714</t>
  </si>
  <si>
    <t>https://www.lifewingconsultants.co.uk/</t>
  </si>
  <si>
    <t>576749</t>
  </si>
  <si>
    <t>https://www.lightcason.co.uk/</t>
  </si>
  <si>
    <t>419415</t>
  </si>
  <si>
    <t>https://www.lightblueuk.com/</t>
  </si>
  <si>
    <t>195199</t>
  </si>
  <si>
    <t>https://www.quilter.com/</t>
  </si>
  <si>
    <t>779098</t>
  </si>
  <si>
    <t>https://www.lighthousefp.co.uk/</t>
  </si>
  <si>
    <t>468942</t>
  </si>
  <si>
    <t>https://www.lincolnfinancialservices.co.uk/</t>
  </si>
  <si>
    <t>472637</t>
  </si>
  <si>
    <t>https://www.lincolnshireifa.co.uk/</t>
  </si>
  <si>
    <t>518176</t>
  </si>
  <si>
    <t>https://www.lindleyfinancial.co.uk/</t>
  </si>
  <si>
    <t>601284</t>
  </si>
  <si>
    <t>https://www.lindsaylockett.co.uk/</t>
  </si>
  <si>
    <t>939397</t>
  </si>
  <si>
    <t>https://www.linearfm.com/</t>
  </si>
  <si>
    <t>192209</t>
  </si>
  <si>
    <t>768337</t>
  </si>
  <si>
    <t>https://www.lionmede.co.uk/</t>
  </si>
  <si>
    <t>186890</t>
  </si>
  <si>
    <t>https://www.lv.com/</t>
  </si>
  <si>
    <t>714672</t>
  </si>
  <si>
    <t>548625</t>
  </si>
  <si>
    <t>https://www.lloydfp.co.uk/</t>
  </si>
  <si>
    <t>125340</t>
  </si>
  <si>
    <t>https://www.lloydwhyte.com/</t>
  </si>
  <si>
    <t>812732</t>
  </si>
  <si>
    <t>https://www.lloydosullivan.co.uk/</t>
  </si>
  <si>
    <t>446499</t>
  </si>
  <si>
    <t>https://www.lloydsifp.com/</t>
  </si>
  <si>
    <t>513210</t>
  </si>
  <si>
    <t>https://www.lmjfm.co.uk/</t>
  </si>
  <si>
    <t>458612</t>
  </si>
  <si>
    <t>https://www.lockhartconsultancy.co.uk/</t>
  </si>
  <si>
    <t>229554</t>
  </si>
  <si>
    <t>https://www.lodgefinancial.co.uk/</t>
  </si>
  <si>
    <t>627030</t>
  </si>
  <si>
    <t>https://www.logicfinancialservices.co.uk/</t>
  </si>
  <si>
    <t>435878</t>
  </si>
  <si>
    <t>https://www.logic-wp.com/</t>
  </si>
  <si>
    <t>136916</t>
  </si>
  <si>
    <t>488153</t>
  </si>
  <si>
    <t>https://www.lomondwealth.com/</t>
  </si>
  <si>
    <t>708307</t>
  </si>
  <si>
    <t>https://www.londonbridgecapital.com/</t>
  </si>
  <si>
    <t>146522</t>
  </si>
  <si>
    <t>966139</t>
  </si>
  <si>
    <t>https://www.londonfinancialconsultants.co.uk/</t>
  </si>
  <si>
    <t>479827</t>
  </si>
  <si>
    <t>978338</t>
  </si>
  <si>
    <t>https://www.longrowwealth.com/</t>
  </si>
  <si>
    <t>512084</t>
  </si>
  <si>
    <t>https://www.longbon.com/</t>
  </si>
  <si>
    <t>924828</t>
  </si>
  <si>
    <t>https://www.longhurst.co.uk/</t>
  </si>
  <si>
    <t>189974</t>
  </si>
  <si>
    <t>225488</t>
  </si>
  <si>
    <t>https://www.lonsdaleservices.co.uk/</t>
  </si>
  <si>
    <t>402303</t>
  </si>
  <si>
    <t>542556</t>
  </si>
  <si>
    <t>186675</t>
  </si>
  <si>
    <t>https://www.lotusifa.co.uk/</t>
  </si>
  <si>
    <t>202359</t>
  </si>
  <si>
    <t>https://www.lowlandfinancial.co.uk/</t>
  </si>
  <si>
    <t>484682</t>
  </si>
  <si>
    <t>https://www.lrconnections.co.uk/</t>
  </si>
  <si>
    <t>624188</t>
  </si>
  <si>
    <t>783716</t>
  </si>
  <si>
    <t>https://www.lucuswealth.com/</t>
  </si>
  <si>
    <t>232236</t>
  </si>
  <si>
    <t>https://www.ludco.co.uk/</t>
  </si>
  <si>
    <t>485301</t>
  </si>
  <si>
    <t>https://www.lumenfinancialplanning.com/</t>
  </si>
  <si>
    <t>775068</t>
  </si>
  <si>
    <t>https://www.luminwealth.co.uk/</t>
  </si>
  <si>
    <t>580185</t>
  </si>
  <si>
    <t>486803</t>
  </si>
  <si>
    <t>https://www.lumleybaxter.co.uk/</t>
  </si>
  <si>
    <t>724401</t>
  </si>
  <si>
    <t>458204</t>
  </si>
  <si>
    <t>121418</t>
  </si>
  <si>
    <t>https://www.lycetts.co.uk/</t>
  </si>
  <si>
    <t>436040</t>
  </si>
  <si>
    <t>https://www.lynasvokes.co.uk/</t>
  </si>
  <si>
    <t>946172</t>
  </si>
  <si>
    <t>https://www.lynchwealthmanagement.co.uk/</t>
  </si>
  <si>
    <t>618025</t>
  </si>
  <si>
    <t>https://www.lyncombeconsultants.co.uk/</t>
  </si>
  <si>
    <t>154621</t>
  </si>
  <si>
    <t>https://www.lyndhurstfm.co.uk/</t>
  </si>
  <si>
    <t>469399</t>
  </si>
  <si>
    <t>https://www.financialadvisercheshire.co.uk/</t>
  </si>
  <si>
    <t>912872</t>
  </si>
  <si>
    <t>431048</t>
  </si>
  <si>
    <t>https://www.mandmgroup.co.uk/</t>
  </si>
  <si>
    <t>609072</t>
  </si>
  <si>
    <t>915191</t>
  </si>
  <si>
    <t>https://www.mbfp.co.uk/</t>
  </si>
  <si>
    <t>789181</t>
  </si>
  <si>
    <t>https://www.mbsmith.co.uk/</t>
  </si>
  <si>
    <t>432177</t>
  </si>
  <si>
    <t>217383</t>
  </si>
  <si>
    <t>https://www.mgshaw.co.uk/</t>
  </si>
  <si>
    <t>528909</t>
  </si>
  <si>
    <t>440064</t>
  </si>
  <si>
    <t>440000</t>
  </si>
  <si>
    <t>https://www.mreynoldsfinancialsolutions.co.uk/</t>
  </si>
  <si>
    <t>459776</t>
  </si>
  <si>
    <t>524733</t>
  </si>
  <si>
    <t>https://www.macarthurdenton.com/</t>
  </si>
  <si>
    <t>812252</t>
  </si>
  <si>
    <t>131459</t>
  </si>
  <si>
    <t>https://www.macbethscottinvestments.co.uk/</t>
  </si>
  <si>
    <t>610911</t>
  </si>
  <si>
    <t>734905</t>
  </si>
  <si>
    <t>844878</t>
  </si>
  <si>
    <t>https://www.mackenzie-fp.co.uk/</t>
  </si>
  <si>
    <t>627831</t>
  </si>
  <si>
    <t>https://www.mtassetmanagement.co.uk/</t>
  </si>
  <si>
    <t>462387</t>
  </si>
  <si>
    <t>1004385</t>
  </si>
  <si>
    <t>https://www.mackenziewebb.co.uk/</t>
  </si>
  <si>
    <t>844368</t>
  </si>
  <si>
    <t>224035</t>
  </si>
  <si>
    <t>https://www.mackrill-ifa.co.uk/</t>
  </si>
  <si>
    <t>439179</t>
  </si>
  <si>
    <t>https://www.maclemanwealth.co.uk/</t>
  </si>
  <si>
    <t>571299</t>
  </si>
  <si>
    <t>https://www.macfp.co.uk/</t>
  </si>
  <si>
    <t>745621</t>
  </si>
  <si>
    <t>144104</t>
  </si>
  <si>
    <t>191022</t>
  </si>
  <si>
    <t>https://www.maguswealth.co.uk/</t>
  </si>
  <si>
    <t>222981</t>
  </si>
  <si>
    <t>https://www.maherbrownsword.co.uk/</t>
  </si>
  <si>
    <t>601481</t>
  </si>
  <si>
    <t>222287</t>
  </si>
  <si>
    <t>https://www.makemsons.com/</t>
  </si>
  <si>
    <t>984285</t>
  </si>
  <si>
    <t>https://www.malbury.co.uk/</t>
  </si>
  <si>
    <t>125435</t>
  </si>
  <si>
    <t>767090</t>
  </si>
  <si>
    <t>https://www.mamuciumcapital.co.uk/</t>
  </si>
  <si>
    <t>460190</t>
  </si>
  <si>
    <t>506602</t>
  </si>
  <si>
    <t>923347</t>
  </si>
  <si>
    <t>https://www.manfieldwealth.co.uk/</t>
  </si>
  <si>
    <t>954352</t>
  </si>
  <si>
    <t>https://www.manguwealth.com/</t>
  </si>
  <si>
    <t>458361</t>
  </si>
  <si>
    <t>https://www.manningandco.co.uk/</t>
  </si>
  <si>
    <t>131243</t>
  </si>
  <si>
    <t>https://www.manorbrokers.co.uk/</t>
  </si>
  <si>
    <t>301023</t>
  </si>
  <si>
    <t>MANOR HOUSE FINANCIAL SERVICES LTD.</t>
  </si>
  <si>
    <t>https://www.msgifa.co.uk/</t>
  </si>
  <si>
    <t>148040</t>
  </si>
  <si>
    <t>934686</t>
  </si>
  <si>
    <t>https://www.mapifs.co.uk/</t>
  </si>
  <si>
    <t>979950</t>
  </si>
  <si>
    <t>591449</t>
  </si>
  <si>
    <t>https://www.mapswealth.co.uk/</t>
  </si>
  <si>
    <t>191786</t>
  </si>
  <si>
    <t>500709</t>
  </si>
  <si>
    <t>https://www.marchwoodifa.co.uk/</t>
  </si>
  <si>
    <t>137849</t>
  </si>
  <si>
    <t>221308</t>
  </si>
  <si>
    <t>https://www.mb-asset.co.uk/</t>
  </si>
  <si>
    <t>469658</t>
  </si>
  <si>
    <t>https://www.mrbgroup.co.uk/</t>
  </si>
  <si>
    <t>131520</t>
  </si>
  <si>
    <t>518551</t>
  </si>
  <si>
    <t>923398</t>
  </si>
  <si>
    <t>598311</t>
  </si>
  <si>
    <t>623160</t>
  </si>
  <si>
    <t>629592</t>
  </si>
  <si>
    <t>https://www.markdeanwealth.com/</t>
  </si>
  <si>
    <t>552440</t>
  </si>
  <si>
    <t>https://www.markjmorsley.com/</t>
  </si>
  <si>
    <t>746390</t>
  </si>
  <si>
    <t>563294</t>
  </si>
  <si>
    <t>714162</t>
  </si>
  <si>
    <t>https://www.marqueem.co.uk/</t>
  </si>
  <si>
    <t>781168</t>
  </si>
  <si>
    <t>https://www.marshallpfp.co.uk/</t>
  </si>
  <si>
    <t>231230</t>
  </si>
  <si>
    <t>https://www.marshwoodfs.co.uk/</t>
  </si>
  <si>
    <t>400992</t>
  </si>
  <si>
    <t>464997</t>
  </si>
  <si>
    <t>https://www.mafsltd.co.uk/</t>
  </si>
  <si>
    <t>954208</t>
  </si>
  <si>
    <t>https://www.morganescott.co.uk/</t>
  </si>
  <si>
    <t>721501</t>
  </si>
  <si>
    <t>959700</t>
  </si>
  <si>
    <t>209724</t>
  </si>
  <si>
    <t>https://www.dentalfinancialassociates.co.uk/</t>
  </si>
  <si>
    <t>679623</t>
  </si>
  <si>
    <t>979818</t>
  </si>
  <si>
    <t>624568</t>
  </si>
  <si>
    <t>https://www.mrifs.com/</t>
  </si>
  <si>
    <t>769483</t>
  </si>
  <si>
    <t>https://www.martin-redmanpartners.co.uk/</t>
  </si>
  <si>
    <t>945723</t>
  </si>
  <si>
    <t>https://www.martletsifa.com/</t>
  </si>
  <si>
    <t>135225</t>
  </si>
  <si>
    <t>475683</t>
  </si>
  <si>
    <t>679903</t>
  </si>
  <si>
    <t>https://www.matwhitefs.co.uk/</t>
  </si>
  <si>
    <t>696226</t>
  </si>
  <si>
    <t>https://www.matherandmurray.co.uk/</t>
  </si>
  <si>
    <t>137195</t>
  </si>
  <si>
    <t>https://www.mathewscomfort.co.uk/</t>
  </si>
  <si>
    <t>781320</t>
  </si>
  <si>
    <t>474060</t>
  </si>
  <si>
    <t>176478</t>
  </si>
  <si>
    <t>https://www.mgpeb.co.uk/</t>
  </si>
  <si>
    <t>114428</t>
  </si>
  <si>
    <t>https://www.maunby.com/</t>
  </si>
  <si>
    <t>432334</t>
  </si>
  <si>
    <t>628296</t>
  </si>
  <si>
    <t>191568</t>
  </si>
  <si>
    <t>https://www.mayfairindependent.co.uk/</t>
  </si>
  <si>
    <t>825023</t>
  </si>
  <si>
    <t>https://www.mayfairprivatewealth.co.uk/</t>
  </si>
  <si>
    <t>176527</t>
  </si>
  <si>
    <t>602199</t>
  </si>
  <si>
    <t>https://www.mayfieldim.co.uk/</t>
  </si>
  <si>
    <t>628835</t>
  </si>
  <si>
    <t>https://www.premfp.com/</t>
  </si>
  <si>
    <t>579397</t>
  </si>
  <si>
    <t>620434</t>
  </si>
  <si>
    <t>196849</t>
  </si>
  <si>
    <t>https://www.mc3inv.com/</t>
  </si>
  <si>
    <t>226391</t>
  </si>
  <si>
    <t>https://www.mcarthursmith.co.uk/</t>
  </si>
  <si>
    <t>468805</t>
  </si>
  <si>
    <t>https://www.mcbfinancial.co.uk/</t>
  </si>
  <si>
    <t>758941</t>
  </si>
  <si>
    <t>522395</t>
  </si>
  <si>
    <t>189166</t>
  </si>
  <si>
    <t>1007218</t>
  </si>
  <si>
    <t>https://www.mfpartners.co.uk/</t>
  </si>
  <si>
    <t>229325</t>
  </si>
  <si>
    <t>600400</t>
  </si>
  <si>
    <t>469955</t>
  </si>
  <si>
    <t>https://www.mchardyprivatewealth.co.uk/</t>
  </si>
  <si>
    <t>121926</t>
  </si>
  <si>
    <t>521875</t>
  </si>
  <si>
    <t>https://www.mclarencapital.co.uk/</t>
  </si>
  <si>
    <t>775263</t>
  </si>
  <si>
    <t>https://www.mclarenwealthmanagement.com/</t>
  </si>
  <si>
    <t>820559</t>
  </si>
  <si>
    <t>https://www.mclayjames.co.uk/</t>
  </si>
  <si>
    <t>534742</t>
  </si>
  <si>
    <t>706248</t>
  </si>
  <si>
    <t>https://www.mcm-financial.com/</t>
  </si>
  <si>
    <t>210738</t>
  </si>
  <si>
    <t>https://www.mcminvestmenthouse.co.uk/</t>
  </si>
  <si>
    <t>113475</t>
  </si>
  <si>
    <t>842242</t>
  </si>
  <si>
    <t>823733</t>
  </si>
  <si>
    <t>https://www.mdmwealth.co.uk/</t>
  </si>
  <si>
    <t>663159</t>
  </si>
  <si>
    <t>542145</t>
  </si>
  <si>
    <t>465557</t>
  </si>
  <si>
    <t>https://www.mearnscompany.com/</t>
  </si>
  <si>
    <t>484988</t>
  </si>
  <si>
    <t>https://www.med-ex.co.uk/</t>
  </si>
  <si>
    <t>165731</t>
  </si>
  <si>
    <t>468636</t>
  </si>
  <si>
    <t>https://www.medicalandfinancial.com/</t>
  </si>
  <si>
    <t>485852</t>
  </si>
  <si>
    <t>625541</t>
  </si>
  <si>
    <t>https://www.medicaldentalfps.co.uk/</t>
  </si>
  <si>
    <t>660573</t>
  </si>
  <si>
    <t>https://www.medicalandgeneral.co.uk/</t>
  </si>
  <si>
    <t>522008</t>
  </si>
  <si>
    <t>https://www.medicalassurancebureau.co.uk/</t>
  </si>
  <si>
    <t>210142</t>
  </si>
  <si>
    <t>592931</t>
  </si>
  <si>
    <t>https://www.medinvest.co.uk/</t>
  </si>
  <si>
    <t>131216</t>
  </si>
  <si>
    <t>https://www.medicswealth.com/</t>
  </si>
  <si>
    <t>958173</t>
  </si>
  <si>
    <t>134677</t>
  </si>
  <si>
    <t>https://www.meldonandco.uk/</t>
  </si>
  <si>
    <t>936168</t>
  </si>
  <si>
    <t>https://www.mendyandwattfa.co.uk/</t>
  </si>
  <si>
    <t>956681</t>
  </si>
  <si>
    <t>708813</t>
  </si>
  <si>
    <t>https://www.merchantfs.com/</t>
  </si>
  <si>
    <t>455415</t>
  </si>
  <si>
    <t>https://www.mercurywealth.co.uk/</t>
  </si>
  <si>
    <t>815307</t>
  </si>
  <si>
    <t>https://www.meridenfp.co.uk/</t>
  </si>
  <si>
    <t>506278</t>
  </si>
  <si>
    <t>https://www.meridianc.com/</t>
  </si>
  <si>
    <t>844410</t>
  </si>
  <si>
    <t>615644</t>
  </si>
  <si>
    <t>https://www.meridianfp.co.uk/</t>
  </si>
  <si>
    <t>600895</t>
  </si>
  <si>
    <t>https://www.meridianwealth.co.uk/</t>
  </si>
  <si>
    <t>487612</t>
  </si>
  <si>
    <t>https://www.meritfinancialservices.co.uk/</t>
  </si>
  <si>
    <t>220125</t>
  </si>
  <si>
    <t>https://www.merlinfs.co.uk/</t>
  </si>
  <si>
    <t>440915</t>
  </si>
  <si>
    <t>https://www.metcalfmoat.co.uk/</t>
  </si>
  <si>
    <t>928795</t>
  </si>
  <si>
    <t>https://www.methodam.co.uk/</t>
  </si>
  <si>
    <t>599292</t>
  </si>
  <si>
    <t>https://www.metiswealth.co.uk/</t>
  </si>
  <si>
    <t>453131</t>
  </si>
  <si>
    <t>https://www.mfs-limited.co.uk/</t>
  </si>
  <si>
    <t>931067</t>
  </si>
  <si>
    <t>https://www.mgassetplanningltd.uk/</t>
  </si>
  <si>
    <t>188581</t>
  </si>
  <si>
    <t>150126</t>
  </si>
  <si>
    <t>946617</t>
  </si>
  <si>
    <t>525431</t>
  </si>
  <si>
    <t>https://www.mvb.tppowered.com/</t>
  </si>
  <si>
    <t>179077</t>
  </si>
  <si>
    <t>621436</t>
  </si>
  <si>
    <t>https://www.sherrardfm.com/</t>
  </si>
  <si>
    <t>625333</t>
  </si>
  <si>
    <t>459794</t>
  </si>
  <si>
    <t>925203</t>
  </si>
  <si>
    <t>https://www.whitehallfinancialservices.co.uk/</t>
  </si>
  <si>
    <t>564504</t>
  </si>
  <si>
    <t>https://www.foxfinancialmanagement.co.uk/</t>
  </si>
  <si>
    <t>590933</t>
  </si>
  <si>
    <t>528010</t>
  </si>
  <si>
    <t>713035</t>
  </si>
  <si>
    <t>https://www.westcountryfinancial.co.uk/</t>
  </si>
  <si>
    <t>559393</t>
  </si>
  <si>
    <t>711711</t>
  </si>
  <si>
    <t>https://www.mjrfinancialservices.co.uk/</t>
  </si>
  <si>
    <t>112064</t>
  </si>
  <si>
    <t>917171</t>
  </si>
  <si>
    <t>144745</t>
  </si>
  <si>
    <t>https://www.michaelphilips.co.uk/</t>
  </si>
  <si>
    <t>608375</t>
  </si>
  <si>
    <t>https://www.brightfinancialplanning.co.uk/</t>
  </si>
  <si>
    <t>926629</t>
  </si>
  <si>
    <t>https://www.michaelreedwealthmanagement.co.uk/</t>
  </si>
  <si>
    <t>606600</t>
  </si>
  <si>
    <t>560722</t>
  </si>
  <si>
    <t>https://www.michelleprocter.com/</t>
  </si>
  <si>
    <t>188586</t>
  </si>
  <si>
    <t>https://www.moaiwealth.co.uk/</t>
  </si>
  <si>
    <t>610287</t>
  </si>
  <si>
    <t>https://www.midandwest.co.uk/</t>
  </si>
  <si>
    <t>476116</t>
  </si>
  <si>
    <t>131541</t>
  </si>
  <si>
    <t>917942</t>
  </si>
  <si>
    <t>https://www.midasportal.co.uk/</t>
  </si>
  <si>
    <t>436840</t>
  </si>
  <si>
    <t>403595</t>
  </si>
  <si>
    <t>441299</t>
  </si>
  <si>
    <t>https://www.mfa-ifa.co.uk/</t>
  </si>
  <si>
    <t>207503</t>
  </si>
  <si>
    <t>https://www.midvalefs.co.uk/</t>
  </si>
  <si>
    <t>134665</t>
  </si>
  <si>
    <t>939415</t>
  </si>
  <si>
    <t>646955</t>
  </si>
  <si>
    <t>https://www.moaifa.co.uk/</t>
  </si>
  <si>
    <t>610634</t>
  </si>
  <si>
    <t>https://www.mikesmithifa.co.uk/</t>
  </si>
  <si>
    <t>596914</t>
  </si>
  <si>
    <t>https://www.milfordjames.co.uk/</t>
  </si>
  <si>
    <t>479172</t>
  </si>
  <si>
    <t>https://www.milkstone.co.uk/</t>
  </si>
  <si>
    <t>611399</t>
  </si>
  <si>
    <t>574686</t>
  </si>
  <si>
    <t>https://www.millcroftwm.co.uk/</t>
  </si>
  <si>
    <t>426121</t>
  </si>
  <si>
    <t>https://www.millengriffiths.com/</t>
  </si>
  <si>
    <t>914746</t>
  </si>
  <si>
    <t>https://www.millennial-wm.co.uk/</t>
  </si>
  <si>
    <t>648950</t>
  </si>
  <si>
    <t>Miller Associates Ltd</t>
  </si>
  <si>
    <t>https://www.millerassociates.co.uk/</t>
  </si>
  <si>
    <t>569612</t>
  </si>
  <si>
    <t>945625</t>
  </si>
  <si>
    <t>https://www.milliganfinancialplanning.co.uk/</t>
  </si>
  <si>
    <t>919164</t>
  </si>
  <si>
    <t>https://www.millwardwealth.com/</t>
  </si>
  <si>
    <t>587243</t>
  </si>
  <si>
    <t>https://www.milo-ifa.co.uk/</t>
  </si>
  <si>
    <t>126457</t>
  </si>
  <si>
    <t>491145</t>
  </si>
  <si>
    <t>https://www.milton-ifa.co.uk/</t>
  </si>
  <si>
    <t>814001</t>
  </si>
  <si>
    <t>https://www.mkfa.co.uk/</t>
  </si>
  <si>
    <t>222122</t>
  </si>
  <si>
    <t>https://www.minsterfinancial.co.uk/</t>
  </si>
  <si>
    <t>955889</t>
  </si>
  <si>
    <t>https://www.missionfinancial.co.uk/</t>
  </si>
  <si>
    <t>224475</t>
  </si>
  <si>
    <t>913317</t>
  </si>
  <si>
    <t>https://www.mitfiscal.co.uk/</t>
  </si>
  <si>
    <t>460046</t>
  </si>
  <si>
    <t>458602</t>
  </si>
  <si>
    <t>https://www.mitchellgriffin.co.uk/</t>
  </si>
  <si>
    <t>121003</t>
  </si>
  <si>
    <t>MITCHELL PROCKTER (FINANCIAL SERVICES) LIMITED</t>
  </si>
  <si>
    <t>https://www.mitchellprockter.co.uk/</t>
  </si>
  <si>
    <t>912818</t>
  </si>
  <si>
    <t>https://www.miworldwm.com/</t>
  </si>
  <si>
    <t>528810</t>
  </si>
  <si>
    <t>840964</t>
  </si>
  <si>
    <t>https://www.mjsfinancialmanagement.co.uk/</t>
  </si>
  <si>
    <t>604534</t>
  </si>
  <si>
    <t>https://www.mkmfinancialmanagement.co.uk/</t>
  </si>
  <si>
    <t>537809</t>
  </si>
  <si>
    <t>https://www.mlfinancialassociates.co.uk/</t>
  </si>
  <si>
    <t>803565</t>
  </si>
  <si>
    <t>https://www.mlawealthmanagement.co.uk/</t>
  </si>
  <si>
    <t>413308</t>
  </si>
  <si>
    <t>https://www.mlpwealth.co.uk/</t>
  </si>
  <si>
    <t>148496</t>
  </si>
  <si>
    <t>https://www.mmwealth.co.uk/</t>
  </si>
  <si>
    <t>577269</t>
  </si>
  <si>
    <t>https://www.mmlfinancial.co.uk/</t>
  </si>
  <si>
    <t>440481</t>
  </si>
  <si>
    <t>https://www.mmrfinancialplanning.co.uk/</t>
  </si>
  <si>
    <t>528180</t>
  </si>
  <si>
    <t>https://www.mnconsultancyltd.co.uk/</t>
  </si>
  <si>
    <t>965916</t>
  </si>
  <si>
    <t>https://www.modulusfp.com/</t>
  </si>
  <si>
    <t>198060</t>
  </si>
  <si>
    <t>https://www.moffatts.com/</t>
  </si>
  <si>
    <t>613008</t>
  </si>
  <si>
    <t>482410</t>
  </si>
  <si>
    <t>590335</t>
  </si>
  <si>
    <t>https://www.monsols.co.uk/</t>
  </si>
  <si>
    <t>489927</t>
  </si>
  <si>
    <t>715880</t>
  </si>
  <si>
    <t>462095</t>
  </si>
  <si>
    <t>789248</t>
  </si>
  <si>
    <t>925725</t>
  </si>
  <si>
    <t>599247</t>
  </si>
  <si>
    <t>507382</t>
  </si>
  <si>
    <t>425451</t>
  </si>
  <si>
    <t>https://www.money-minder.com/</t>
  </si>
  <si>
    <t>946656</t>
  </si>
  <si>
    <t>https://www.moneyprinciples.co.uk/</t>
  </si>
  <si>
    <t>551407</t>
  </si>
  <si>
    <t>https://www.moneyology.co.uk/</t>
  </si>
  <si>
    <t>106043</t>
  </si>
  <si>
    <t>https://www.moneyscience.co.uk/</t>
  </si>
  <si>
    <t>437381</t>
  </si>
  <si>
    <t>189146</t>
  </si>
  <si>
    <t>https://www.moneyweb-ifa.com/</t>
  </si>
  <si>
    <t>787607</t>
  </si>
  <si>
    <t>https://www.mcfsltd.co.uk/</t>
  </si>
  <si>
    <t>820474</t>
  </si>
  <si>
    <t>181199</t>
  </si>
  <si>
    <t>https://www.montfort-intl.com/</t>
  </si>
  <si>
    <t>586392</t>
  </si>
  <si>
    <t>https://www.montgomerycharles.co.uk/</t>
  </si>
  <si>
    <t>494466</t>
  </si>
  <si>
    <t>https://www.moorlandsfinancial.co.uk/</t>
  </si>
  <si>
    <t>572521</t>
  </si>
  <si>
    <t>https://www.morethanmortgages.co.uk/</t>
  </si>
  <si>
    <t>728136</t>
  </si>
  <si>
    <t>https://www.morewealthplanning.co.uk/</t>
  </si>
  <si>
    <t>110992</t>
  </si>
  <si>
    <t>522125</t>
  </si>
  <si>
    <t>159488</t>
  </si>
  <si>
    <t>https://www.mfgl.com/</t>
  </si>
  <si>
    <t>104961</t>
  </si>
  <si>
    <t>https://www.morrisowen.com/</t>
  </si>
  <si>
    <t>688217</t>
  </si>
  <si>
    <t>https://www.morris-shapland.co.uk/</t>
  </si>
  <si>
    <t>446202</t>
  </si>
  <si>
    <t>https://www.pearsonia.co.uk/</t>
  </si>
  <si>
    <t>454273</t>
  </si>
  <si>
    <t>https://www.mpillp.co.uk/</t>
  </si>
  <si>
    <t>445967</t>
  </si>
  <si>
    <t>https://www.mortgages-etc.co.uk/</t>
  </si>
  <si>
    <t>302979</t>
  </si>
  <si>
    <t>https://www.newstartgroup.co.uk/</t>
  </si>
  <si>
    <t>428563</t>
  </si>
  <si>
    <t>https://www.mfmac.com/</t>
  </si>
  <si>
    <t>501593</t>
  </si>
  <si>
    <t>https://www.tmfg.co.uk/</t>
  </si>
  <si>
    <t>191667</t>
  </si>
  <si>
    <t>https://www.mwalimited.com/</t>
  </si>
  <si>
    <t>581080</t>
  </si>
  <si>
    <t>https://www.mosaacfinancial.uk/</t>
  </si>
  <si>
    <t>543311</t>
  </si>
  <si>
    <t>https://www.moscropsfp.co.uk/</t>
  </si>
  <si>
    <t>792126</t>
  </si>
  <si>
    <t>https://www.mottram-fs.co.uk/</t>
  </si>
  <si>
    <t>434931</t>
  </si>
  <si>
    <t>https://www.mpafm.co.uk/</t>
  </si>
  <si>
    <t>815638</t>
  </si>
  <si>
    <t>https://www.mpa-ifa.co.uk/</t>
  </si>
  <si>
    <t>941765</t>
  </si>
  <si>
    <t>https://www.mpfswealthmanagement.co.uk/</t>
  </si>
  <si>
    <t>949588</t>
  </si>
  <si>
    <t>https://www.mpifinancial.co.uk/</t>
  </si>
  <si>
    <t>466162</t>
  </si>
  <si>
    <t>https://www.mpiservices.co.uk/</t>
  </si>
  <si>
    <t>439529</t>
  </si>
  <si>
    <t>481553</t>
  </si>
  <si>
    <t>546170</t>
  </si>
  <si>
    <t>https://www.tru-ifa.co.uk/</t>
  </si>
  <si>
    <t>539464</t>
  </si>
  <si>
    <t>https://www.peakfinancialplanning.co.uk/</t>
  </si>
  <si>
    <t>173050</t>
  </si>
  <si>
    <t>534831</t>
  </si>
  <si>
    <t>196271</t>
  </si>
  <si>
    <t>https://www.lawrencemiller.co.uk/</t>
  </si>
  <si>
    <t>454705</t>
  </si>
  <si>
    <t>https://www.integrity365.co.uk/</t>
  </si>
  <si>
    <t>720102</t>
  </si>
  <si>
    <t>207536</t>
  </si>
  <si>
    <t>https://www.msmindependent.co.uk/</t>
  </si>
  <si>
    <t>424062</t>
  </si>
  <si>
    <t>186867</t>
  </si>
  <si>
    <t>459871</t>
  </si>
  <si>
    <t>976846</t>
  </si>
  <si>
    <t>193213</t>
  </si>
  <si>
    <t>https://www.murphysawers.co.uk/</t>
  </si>
  <si>
    <t>747648</t>
  </si>
  <si>
    <t>https://www.murphywealth.co.uk/</t>
  </si>
  <si>
    <t>194133</t>
  </si>
  <si>
    <t>446500</t>
  </si>
  <si>
    <t>https://www.murraysmith.com/</t>
  </si>
  <si>
    <t>302865</t>
  </si>
  <si>
    <t>https://www.murraypaterson.co.uk/</t>
  </si>
  <si>
    <t>456836</t>
  </si>
  <si>
    <t>https://www.mcgarrie-vahey.co.uk/</t>
  </si>
  <si>
    <t>460399</t>
  </si>
  <si>
    <t>https://www.mwafinancialadvice.co.uk/</t>
  </si>
  <si>
    <t>973440</t>
  </si>
  <si>
    <t>https://www.mwcgroup.ch/</t>
  </si>
  <si>
    <t>465610</t>
  </si>
  <si>
    <t>https://www.financial.wrightandlord.com/</t>
  </si>
  <si>
    <t>505247</t>
  </si>
  <si>
    <t>https://www.mfpwealthmanagement.co.uk/</t>
  </si>
  <si>
    <t>579999</t>
  </si>
  <si>
    <t>https://www.mypensionexpert.com/</t>
  </si>
  <si>
    <t>223802</t>
  </si>
  <si>
    <t>https://www.mdgifa.com/</t>
  </si>
  <si>
    <t>593291</t>
  </si>
  <si>
    <t>https://www.myers-group.co.uk/</t>
  </si>
  <si>
    <t>516359</t>
  </si>
  <si>
    <t>837211</t>
  </si>
  <si>
    <t>https://www.n2-am.com/</t>
  </si>
  <si>
    <t>182101</t>
  </si>
  <si>
    <t>629454</t>
  </si>
  <si>
    <t>https://www.sg-fs.com/</t>
  </si>
  <si>
    <t>106078</t>
  </si>
  <si>
    <t>https://www.nationwide.co.uk/</t>
  </si>
  <si>
    <t>586271</t>
  </si>
  <si>
    <t>https://www.nationwideindependentconsultants.co.uk/</t>
  </si>
  <si>
    <t>806626</t>
  </si>
  <si>
    <t>223936</t>
  </si>
  <si>
    <t>https://www.nblfm.com/</t>
  </si>
  <si>
    <t>587827</t>
  </si>
  <si>
    <t>450659</t>
  </si>
  <si>
    <t>191772</t>
  </si>
  <si>
    <t>977136</t>
  </si>
  <si>
    <t>https://www.needfp.co.uk/</t>
  </si>
  <si>
    <t>580832</t>
  </si>
  <si>
    <t>948260</t>
  </si>
  <si>
    <t>https://www.neliganfinancial.co.uk/</t>
  </si>
  <si>
    <t>121535</t>
  </si>
  <si>
    <t>https://www.nestegg.co.uk/</t>
  </si>
  <si>
    <t>592783</t>
  </si>
  <si>
    <t>https://www.chasedevere.co.uk/</t>
  </si>
  <si>
    <t>460421</t>
  </si>
  <si>
    <t>https://www.newleafdistribution.co.uk/</t>
  </si>
  <si>
    <t>440850</t>
  </si>
  <si>
    <t>470102</t>
  </si>
  <si>
    <t>https://www.newvision-ifa.co.uk/</t>
  </si>
  <si>
    <t>916537</t>
  </si>
  <si>
    <t>https://www.newworldfg.com/</t>
  </si>
  <si>
    <t>950744</t>
  </si>
  <si>
    <t>https://www.newarkwealth.co.uk/</t>
  </si>
  <si>
    <t>456286</t>
  </si>
  <si>
    <t>https://www.newcoz.co.uk/</t>
  </si>
  <si>
    <t>452685</t>
  </si>
  <si>
    <t>https://www.nmandp.co.uk/</t>
  </si>
  <si>
    <t>225367</t>
  </si>
  <si>
    <t>551202</t>
  </si>
  <si>
    <t>413888</t>
  </si>
  <si>
    <t>https://www.newtonbarr.co.uk/</t>
  </si>
  <si>
    <t>912906</t>
  </si>
  <si>
    <t>https://www.nextchapterfp.co.uk/</t>
  </si>
  <si>
    <t>596090</t>
  </si>
  <si>
    <t>https://www.nexuswp.co.uk/</t>
  </si>
  <si>
    <t>773429</t>
  </si>
  <si>
    <t>790186</t>
  </si>
  <si>
    <t>https://www.thompsonlittle.co.uk/</t>
  </si>
  <si>
    <t>520487</t>
  </si>
  <si>
    <t>https://www.impactfinancialplanning.co.uk/</t>
  </si>
  <si>
    <t>765724</t>
  </si>
  <si>
    <t>742054</t>
  </si>
  <si>
    <t>https://www.nicholsonsca.co.uk/</t>
  </si>
  <si>
    <t>624969</t>
  </si>
  <si>
    <t>186855</t>
  </si>
  <si>
    <t>https://www.reynoldsco.co.uk/</t>
  </si>
  <si>
    <t>617019</t>
  </si>
  <si>
    <t>https://www.nigeljbarker.com/</t>
  </si>
  <si>
    <t>794181</t>
  </si>
  <si>
    <t>https://www.nightingaleswm.co.uk/</t>
  </si>
  <si>
    <t>1002299</t>
  </si>
  <si>
    <t>554067</t>
  </si>
  <si>
    <t>NIVEN FINANCIAL LTD.</t>
  </si>
  <si>
    <t>https://www.nivenfinancial.co.uk/</t>
  </si>
  <si>
    <t>552630</t>
  </si>
  <si>
    <t>https://www.nkfm.co.uk/</t>
  </si>
  <si>
    <t>115187</t>
  </si>
  <si>
    <t>https://www.norfolkandsuffolk.co.uk/</t>
  </si>
  <si>
    <t>713442</t>
  </si>
  <si>
    <t>https://www.northcapital.co.uk/</t>
  </si>
  <si>
    <t>681264</t>
  </si>
  <si>
    <t>446522</t>
  </si>
  <si>
    <t>https://www.nlfm.co.uk/</t>
  </si>
  <si>
    <t>711046</t>
  </si>
  <si>
    <t>626603</t>
  </si>
  <si>
    <t>https://www.nsifa.co.uk/</t>
  </si>
  <si>
    <t>1015077</t>
  </si>
  <si>
    <t>Northcrest Financial Planning Ltd</t>
  </si>
  <si>
    <t>461408</t>
  </si>
  <si>
    <t>https://www.northernstarifa.co.uk/</t>
  </si>
  <si>
    <t>409087</t>
  </si>
  <si>
    <t>563908</t>
  </si>
  <si>
    <t>https://www.bg-lawyers.co.uk/</t>
  </si>
  <si>
    <t>754511</t>
  </si>
  <si>
    <t>https://www.northwoodwm.co.uk/</t>
  </si>
  <si>
    <t>800783</t>
  </si>
  <si>
    <t>147535</t>
  </si>
  <si>
    <t>626360</t>
  </si>
  <si>
    <t>569226</t>
  </si>
  <si>
    <t>https://www.molyneuxfp.co.uk/</t>
  </si>
  <si>
    <t>681730</t>
  </si>
  <si>
    <t>https://www.novuswealth.co.uk/</t>
  </si>
  <si>
    <t>176557</t>
  </si>
  <si>
    <t>https://www.nsurefinancial.co.uk/</t>
  </si>
  <si>
    <t>844903</t>
  </si>
  <si>
    <t>https://www.nucleuswealthplanning.co.uk/</t>
  </si>
  <si>
    <t>454297</t>
  </si>
  <si>
    <t>430877</t>
  </si>
  <si>
    <t>https://www.o2associates.com/</t>
  </si>
  <si>
    <t>439104</t>
  </si>
  <si>
    <t>https://www.oakcounty.co.uk/</t>
  </si>
  <si>
    <t>602622</t>
  </si>
  <si>
    <t>https://www.oakifa.com/</t>
  </si>
  <si>
    <t>785589</t>
  </si>
  <si>
    <t>https://www.oakfour.co.uk/</t>
  </si>
  <si>
    <t>141025</t>
  </si>
  <si>
    <t>504207</t>
  </si>
  <si>
    <t>https://www.oakbankfs.com/</t>
  </si>
  <si>
    <t>228222</t>
  </si>
  <si>
    <t>423327</t>
  </si>
  <si>
    <t>223774</t>
  </si>
  <si>
    <t>https://www.oakfieldfslimited.co.uk/</t>
  </si>
  <si>
    <t>576731</t>
  </si>
  <si>
    <t>995291</t>
  </si>
  <si>
    <t>https://www.oakhurst-ifa.co.uk/</t>
  </si>
  <si>
    <t>458146</t>
  </si>
  <si>
    <t>492241</t>
  </si>
  <si>
    <t>https://www.oakwoodassetmanagement.co.uk/</t>
  </si>
  <si>
    <t>724878</t>
  </si>
  <si>
    <t>676461</t>
  </si>
  <si>
    <t>660574</t>
  </si>
  <si>
    <t>https://www.oakwood-fs.co.uk/</t>
  </si>
  <si>
    <t>229355</t>
  </si>
  <si>
    <t>https://www.oakworthfp.co.uk/</t>
  </si>
  <si>
    <t>827991</t>
  </si>
  <si>
    <t>750260</t>
  </si>
  <si>
    <t>https://www.obrienfp.co.uk/</t>
  </si>
  <si>
    <t>509756</t>
  </si>
  <si>
    <t>440770</t>
  </si>
  <si>
    <t>OCTAVE FINANCIAL PLANNING LIMITED</t>
  </si>
  <si>
    <t>https://www.octavefinancial.co.uk/</t>
  </si>
  <si>
    <t>967142</t>
  </si>
  <si>
    <t>https://www.om.uk/</t>
  </si>
  <si>
    <t>482693</t>
  </si>
  <si>
    <t>https://www.olivewealth.co.uk/</t>
  </si>
  <si>
    <t>760922</t>
  </si>
  <si>
    <t>963900</t>
  </si>
  <si>
    <t>https://www.oliverfp.co.uk/</t>
  </si>
  <si>
    <t>979804</t>
  </si>
  <si>
    <t>https://www.oliverwealth.co.uk/</t>
  </si>
  <si>
    <t>737468</t>
  </si>
  <si>
    <t>https://www.omni-financial.co.uk/</t>
  </si>
  <si>
    <t>210765</t>
  </si>
  <si>
    <t>https://www.omniumwealth.com/</t>
  </si>
  <si>
    <t>672406</t>
  </si>
  <si>
    <t>https://www.oneandallfs.co.uk/</t>
  </si>
  <si>
    <t>611058</t>
  </si>
  <si>
    <t>https://www.onefinancialadviser.com/</t>
  </si>
  <si>
    <t>517067</t>
  </si>
  <si>
    <t>https://www.onelifewealth.co.uk/</t>
  </si>
  <si>
    <t>844501</t>
  </si>
  <si>
    <t>https://www.one2onefinancialadvice.co.uk/</t>
  </si>
  <si>
    <t>717860</t>
  </si>
  <si>
    <t>https://www.onelifeplanning.co.uk/</t>
  </si>
  <si>
    <t>708789</t>
  </si>
  <si>
    <t>https://www.onelifewealthadvice.co.uk/</t>
  </si>
  <si>
    <t>592094</t>
  </si>
  <si>
    <t>502281</t>
  </si>
  <si>
    <t>https://www.kffinancial.co.uk/</t>
  </si>
  <si>
    <t>605092</t>
  </si>
  <si>
    <t>https://www.ontrakfp.co.uk/</t>
  </si>
  <si>
    <t>551184</t>
  </si>
  <si>
    <t>676331</t>
  </si>
  <si>
    <t>408285</t>
  </si>
  <si>
    <t>https://www.theopenworkpartnership.com/</t>
  </si>
  <si>
    <t>763693</t>
  </si>
  <si>
    <t>https://www.opesifas.co.uk/</t>
  </si>
  <si>
    <t>463108</t>
  </si>
  <si>
    <t>https://www.optimalplanning.co.uk/</t>
  </si>
  <si>
    <t>407900</t>
  </si>
  <si>
    <t>https://www.optimumfinancial.co.uk/</t>
  </si>
  <si>
    <t>116336</t>
  </si>
  <si>
    <t>430239</t>
  </si>
  <si>
    <t>https://www.optimumifa.com/</t>
  </si>
  <si>
    <t>941150</t>
  </si>
  <si>
    <t>https://www.o-im.co.uk/</t>
  </si>
  <si>
    <t>958151</t>
  </si>
  <si>
    <t>https://www.oraclefa.co.uk/</t>
  </si>
  <si>
    <t>493035</t>
  </si>
  <si>
    <t>229317</t>
  </si>
  <si>
    <t>https://www.orchardfinancial.co.uk/</t>
  </si>
  <si>
    <t>433181</t>
  </si>
  <si>
    <t>https://www.orchardhouse.co.uk/</t>
  </si>
  <si>
    <t>608126</t>
  </si>
  <si>
    <t>https://www.orchardifa.com/</t>
  </si>
  <si>
    <t>192666</t>
  </si>
  <si>
    <t>https://www.origenfs.co.uk/</t>
  </si>
  <si>
    <t>431033</t>
  </si>
  <si>
    <t>197149</t>
  </si>
  <si>
    <t>https://www.okdfs.co.uk/</t>
  </si>
  <si>
    <t>747664</t>
  </si>
  <si>
    <t>https://www.mortgagekey.co.uk/</t>
  </si>
  <si>
    <t>922494</t>
  </si>
  <si>
    <t>https://www.ospreywealth.co.uk/</t>
  </si>
  <si>
    <t>434743</t>
  </si>
  <si>
    <t>https://www.ifa-lothians.com/</t>
  </si>
  <si>
    <t>593699</t>
  </si>
  <si>
    <t>https://www.otterfinancial.co.uk/</t>
  </si>
  <si>
    <t>100556</t>
  </si>
  <si>
    <t>https://www.ouryclark.com/</t>
  </si>
  <si>
    <t>714833</t>
  </si>
  <si>
    <t>https://www.outhwaiteandchavda.com/</t>
  </si>
  <si>
    <t>564990</t>
  </si>
  <si>
    <t>https://www.ovalfinancialmanagement.co.uk/</t>
  </si>
  <si>
    <t>146808</t>
  </si>
  <si>
    <t>966979</t>
  </si>
  <si>
    <t>564525</t>
  </si>
  <si>
    <t>484308</t>
  </si>
  <si>
    <t>https://www.oysterwealth.co.uk/</t>
  </si>
  <si>
    <t>401741</t>
  </si>
  <si>
    <t>https://www.paam.co.uk/</t>
  </si>
  <si>
    <t>229821</t>
  </si>
  <si>
    <t>528682</t>
  </si>
  <si>
    <t>911629</t>
  </si>
  <si>
    <t>https://www.kwlwealth.com/</t>
  </si>
  <si>
    <t>487297</t>
  </si>
  <si>
    <t>https://www.pkpartnership.co.uk/</t>
  </si>
  <si>
    <t>772846</t>
  </si>
  <si>
    <t>https://www.pmfo.global/</t>
  </si>
  <si>
    <t>496107</t>
  </si>
  <si>
    <t>https://www.pndales.co.uk/</t>
  </si>
  <si>
    <t>191811</t>
  </si>
  <si>
    <t>https://www.pw-fm.co.uk/</t>
  </si>
  <si>
    <t>126673</t>
  </si>
  <si>
    <t>https://www.pwwpl.com/</t>
  </si>
  <si>
    <t>131560</t>
  </si>
  <si>
    <t>https://www.srinivasan.co.uk/</t>
  </si>
  <si>
    <t>124974</t>
  </si>
  <si>
    <t>121225</t>
  </si>
  <si>
    <t>https://www.pjhutchinson.co.uk/</t>
  </si>
  <si>
    <t>136095</t>
  </si>
  <si>
    <t>https://www.pjmcilroy.com/</t>
  </si>
  <si>
    <t>137694</t>
  </si>
  <si>
    <t>430531</t>
  </si>
  <si>
    <t>https://www.padstone-fm.co.uk/</t>
  </si>
  <si>
    <t>923726</t>
  </si>
  <si>
    <t>https://www.pafhereford.co.uk/</t>
  </si>
  <si>
    <t>403031</t>
  </si>
  <si>
    <t>188645</t>
  </si>
  <si>
    <t>470648</t>
  </si>
  <si>
    <t>https://www.palmfc.com/</t>
  </si>
  <si>
    <t>705785</t>
  </si>
  <si>
    <t>https://www.panoramicwealth.co.uk/</t>
  </si>
  <si>
    <t>440589</t>
  </si>
  <si>
    <t>https://www.paragon-ifa.co.uk/</t>
  </si>
  <si>
    <t>429458</t>
  </si>
  <si>
    <t>967228</t>
  </si>
  <si>
    <t>https://www.pltac.co.uk/</t>
  </si>
  <si>
    <t>618272</t>
  </si>
  <si>
    <t>https://www.paretofp.co.uk/</t>
  </si>
  <si>
    <t>514480</t>
  </si>
  <si>
    <t>https://www.parkhall.co.uk/</t>
  </si>
  <si>
    <t>926354</t>
  </si>
  <si>
    <t>710277</t>
  </si>
  <si>
    <t>https://www.parklandsifa.co.uk/</t>
  </si>
  <si>
    <t>650237</t>
  </si>
  <si>
    <t>https://www.parlettfinancial.co.uk/</t>
  </si>
  <si>
    <t>668243</t>
  </si>
  <si>
    <t>https://www.broadwaysolicitors.com/</t>
  </si>
  <si>
    <t>471575</t>
  </si>
  <si>
    <t>570102</t>
  </si>
  <si>
    <t>https://www.partridgefinancial.co.uk/</t>
  </si>
  <si>
    <t>148029</t>
  </si>
  <si>
    <t>https://www.pmw.co.uk/</t>
  </si>
  <si>
    <t>401850</t>
  </si>
  <si>
    <t>https://www.patersonfp.co.uk/</t>
  </si>
  <si>
    <t>517403</t>
  </si>
  <si>
    <t>https://www.patonwealthmanagement.co.uk/</t>
  </si>
  <si>
    <t>629519</t>
  </si>
  <si>
    <t>https://www.annewray.co.uk/</t>
  </si>
  <si>
    <t>647059</t>
  </si>
  <si>
    <t>706119</t>
  </si>
  <si>
    <t>https://www.paultunefinancialservices.co.uk/</t>
  </si>
  <si>
    <t>921915</t>
  </si>
  <si>
    <t>https://www.paulformanfs.co.uk/</t>
  </si>
  <si>
    <t>125652</t>
  </si>
  <si>
    <t>https://www.paulhipkiss.co.uk/</t>
  </si>
  <si>
    <t>607322</t>
  </si>
  <si>
    <t>https://www.box-financial-planning.co.uk/</t>
  </si>
  <si>
    <t>181142</t>
  </si>
  <si>
    <t>485918</t>
  </si>
  <si>
    <t>https://www.paulmcallen.co.uk/</t>
  </si>
  <si>
    <t>604181</t>
  </si>
  <si>
    <t>https://www.paulmurrayinvestments.co.uk/</t>
  </si>
  <si>
    <t>410555</t>
  </si>
  <si>
    <t>551393</t>
  </si>
  <si>
    <t>524635</t>
  </si>
  <si>
    <t>https://www.ptfs.tppowered.com/</t>
  </si>
  <si>
    <t>514841</t>
  </si>
  <si>
    <t>551275</t>
  </si>
  <si>
    <t>https://www.pwfinancialservices.co.uk/</t>
  </si>
  <si>
    <t>554442</t>
  </si>
  <si>
    <t>830471</t>
  </si>
  <si>
    <t>https://www.paulyoungifa.co.uk/</t>
  </si>
  <si>
    <t>463257</t>
  </si>
  <si>
    <t>https://www.paveygroupfs.co.uk/</t>
  </si>
  <si>
    <t>624550</t>
  </si>
  <si>
    <t>https://www.pbsfinancial.co.uk/</t>
  </si>
  <si>
    <t>793760</t>
  </si>
  <si>
    <t>450607</t>
  </si>
  <si>
    <t>https://www.pfm-ltd.com/</t>
  </si>
  <si>
    <t>482276</t>
  </si>
  <si>
    <t>917832</t>
  </si>
  <si>
    <t>https://www.pearsonlegal.co.uk/</t>
  </si>
  <si>
    <t>224273</t>
  </si>
  <si>
    <t>https://www.ptwm.co.uk/</t>
  </si>
  <si>
    <t>446163</t>
  </si>
  <si>
    <t>https://www.pegasuspp.co.uk/</t>
  </si>
  <si>
    <t>305811</t>
  </si>
  <si>
    <t>https://www.pembroke.uk.net/</t>
  </si>
  <si>
    <t>187835</t>
  </si>
  <si>
    <t>228341</t>
  </si>
  <si>
    <t>504162</t>
  </si>
  <si>
    <t>114943</t>
  </si>
  <si>
    <t>https://www.penmor.co.uk/</t>
  </si>
  <si>
    <t>944220</t>
  </si>
  <si>
    <t>https://www.penninesifa.com/</t>
  </si>
  <si>
    <t>530681</t>
  </si>
  <si>
    <t>https://www.pennymatters.co.uk/</t>
  </si>
  <si>
    <t>707141</t>
  </si>
  <si>
    <t>https://www.pennywisefs.co.uk/</t>
  </si>
  <si>
    <t>231629</t>
  </si>
  <si>
    <t>https://www.pense.co.uk/</t>
  </si>
  <si>
    <t>161531</t>
  </si>
  <si>
    <t>948483</t>
  </si>
  <si>
    <t>713438</t>
  </si>
  <si>
    <t>https://www.pipplanning.co.uk/</t>
  </si>
  <si>
    <t>592550</t>
  </si>
  <si>
    <t>739922</t>
  </si>
  <si>
    <t>https://www.pensionworks.co.uk/</t>
  </si>
  <si>
    <t>754665</t>
  </si>
  <si>
    <t>https://www.pensionhelp.co.uk/</t>
  </si>
  <si>
    <t>494480</t>
  </si>
  <si>
    <t>https://www.pensionsandannuities.co.uk/</t>
  </si>
  <si>
    <t>622446</t>
  </si>
  <si>
    <t>https://www.pandbifa.co.uk/</t>
  </si>
  <si>
    <t>534666</t>
  </si>
  <si>
    <t>https://www.perceptiveplanning.co.uk/</t>
  </si>
  <si>
    <t>402393</t>
  </si>
  <si>
    <t>https://www.perennial-financial.co.uk/</t>
  </si>
  <si>
    <t>972986</t>
  </si>
  <si>
    <t>729282</t>
  </si>
  <si>
    <t>165237</t>
  </si>
  <si>
    <t>https://www.perrettandco.com/</t>
  </si>
  <si>
    <t>224386</t>
  </si>
  <si>
    <t>https://www.perrinsfp.co.uk/</t>
  </si>
  <si>
    <t>193138</t>
  </si>
  <si>
    <t>407373</t>
  </si>
  <si>
    <t>771586</t>
  </si>
  <si>
    <t>134672</t>
  </si>
  <si>
    <t>184595</t>
  </si>
  <si>
    <t>https://www.pfp.co.uk/</t>
  </si>
  <si>
    <t>431908</t>
  </si>
  <si>
    <t>188635</t>
  </si>
  <si>
    <t>223377</t>
  </si>
  <si>
    <t>Perspective (Central &amp; East) Limited</t>
  </si>
  <si>
    <t>https://www.pfgl.co.uk/pcel</t>
  </si>
  <si>
    <t>475332</t>
  </si>
  <si>
    <t>https://www.pfgl.co.uk/hnh</t>
  </si>
  <si>
    <t>694976</t>
  </si>
  <si>
    <t>229808</t>
  </si>
  <si>
    <t>225376</t>
  </si>
  <si>
    <t>https://www.pfgl.co.uk/oxon</t>
  </si>
  <si>
    <t>440557</t>
  </si>
  <si>
    <t>https://www.pfgl.co.uk/southwest</t>
  </si>
  <si>
    <t>441181</t>
  </si>
  <si>
    <t>https://www.pfgl.co.uk/west</t>
  </si>
  <si>
    <t>520403</t>
  </si>
  <si>
    <t>158879</t>
  </si>
  <si>
    <t>https://www.petergay.co.uk/</t>
  </si>
  <si>
    <t>121492</t>
  </si>
  <si>
    <t>https://www.peterguyltd.co.uk/</t>
  </si>
  <si>
    <t>976855</t>
  </si>
  <si>
    <t>147534</t>
  </si>
  <si>
    <t>615773</t>
  </si>
  <si>
    <t>171805</t>
  </si>
  <si>
    <t>163292</t>
  </si>
  <si>
    <t>Peter Meadway</t>
  </si>
  <si>
    <t>https://www.stableinvestment.co.uk/</t>
  </si>
  <si>
    <t>483710</t>
  </si>
  <si>
    <t>527248</t>
  </si>
  <si>
    <t>222564</t>
  </si>
  <si>
    <t>https://www.peterrichardsfinancial.com/</t>
  </si>
  <si>
    <t>524256</t>
  </si>
  <si>
    <t>912035</t>
  </si>
  <si>
    <t>150161</t>
  </si>
  <si>
    <t>Peter Vaughan Jones</t>
  </si>
  <si>
    <t>755327</t>
  </si>
  <si>
    <t>599231</t>
  </si>
  <si>
    <t>983232</t>
  </si>
  <si>
    <t>https://www.petra.financial/</t>
  </si>
  <si>
    <t>627955</t>
  </si>
  <si>
    <t>https://www.grandestevensint.co.uk/</t>
  </si>
  <si>
    <t>213724</t>
  </si>
  <si>
    <t>https://www.pfmassociates.co.uk/</t>
  </si>
  <si>
    <t>486353</t>
  </si>
  <si>
    <t>415898</t>
  </si>
  <si>
    <t>178798</t>
  </si>
  <si>
    <t>138169</t>
  </si>
  <si>
    <t>https://www.pharon.co.uk/</t>
  </si>
  <si>
    <t>631218</t>
  </si>
  <si>
    <t>https://www.philandersonfinancial.co.uk/</t>
  </si>
  <si>
    <t>802286</t>
  </si>
  <si>
    <t>https://www.pgfmoney.com/</t>
  </si>
  <si>
    <t>507306</t>
  </si>
  <si>
    <t>430324</t>
  </si>
  <si>
    <t>https://www.pjfsltd.co.uk/</t>
  </si>
  <si>
    <t>616277</t>
  </si>
  <si>
    <t>147666</t>
  </si>
  <si>
    <t>138916</t>
  </si>
  <si>
    <t>https://www.philip-evans.co.uk/</t>
  </si>
  <si>
    <t>485423</t>
  </si>
  <si>
    <t>181768</t>
  </si>
  <si>
    <t>https://www.miltonpj.net/</t>
  </si>
  <si>
    <t>531018</t>
  </si>
  <si>
    <t>125073</t>
  </si>
  <si>
    <t>459628</t>
  </si>
  <si>
    <t>113831</t>
  </si>
  <si>
    <t>125041</t>
  </si>
  <si>
    <t>https://www.philiptenglish.com/</t>
  </si>
  <si>
    <t>600827</t>
  </si>
  <si>
    <t>https://www.philippagee.co.uk/</t>
  </si>
  <si>
    <t>469998</t>
  </si>
  <si>
    <t>https://www.pbatesfs.co.uk/</t>
  </si>
  <si>
    <t>529028</t>
  </si>
  <si>
    <t>https://www.phillipsfp.co.uk/</t>
  </si>
  <si>
    <t>929868</t>
  </si>
  <si>
    <t>https://www.philpottfinancial.com/</t>
  </si>
  <si>
    <t>844879</t>
  </si>
  <si>
    <t>231135</t>
  </si>
  <si>
    <t>https://www.phoenixfp-ltd.co.uk/</t>
  </si>
  <si>
    <t>586375</t>
  </si>
  <si>
    <t>190353</t>
  </si>
  <si>
    <t>https://www.phoenix-wm.co.uk/</t>
  </si>
  <si>
    <t>302581</t>
  </si>
  <si>
    <t>https://www.phoenixwealthsolutions.com/</t>
  </si>
  <si>
    <t>186419</t>
  </si>
  <si>
    <t>974429</t>
  </si>
  <si>
    <t>https://www.piccadillywealth.com/</t>
  </si>
  <si>
    <t>533565</t>
  </si>
  <si>
    <t>https://www.cia-online.net/</t>
  </si>
  <si>
    <t>440472</t>
  </si>
  <si>
    <t>https://www.pigottsinvestments.co.uk/</t>
  </si>
  <si>
    <t>784239</t>
  </si>
  <si>
    <t>652114</t>
  </si>
  <si>
    <t>https://www.pilling.co.uk/</t>
  </si>
  <si>
    <t>625337</t>
  </si>
  <si>
    <t>https://www.pillingfinancial.co.uk/</t>
  </si>
  <si>
    <t>611434</t>
  </si>
  <si>
    <t>https://www.pinewoodpm.com/</t>
  </si>
  <si>
    <t>493625</t>
  </si>
  <si>
    <t>https://www.pinnaclefp.co.uk/</t>
  </si>
  <si>
    <t>578031</t>
  </si>
  <si>
    <t>562516</t>
  </si>
  <si>
    <t>442673</t>
  </si>
  <si>
    <t>813547</t>
  </si>
  <si>
    <t>https://www.pjlfinancialservices.co.uk/</t>
  </si>
  <si>
    <t>223145</t>
  </si>
  <si>
    <t>https://www.pkgroup.co.uk/</t>
  </si>
  <si>
    <t>669243</t>
  </si>
  <si>
    <t>671389</t>
  </si>
  <si>
    <t>https://www.plainspeakingifa.co.uk/</t>
  </si>
  <si>
    <t>625144</t>
  </si>
  <si>
    <t>790603</t>
  </si>
  <si>
    <t>https://www.plan-to-retire.co.uk/</t>
  </si>
  <si>
    <t>697369</t>
  </si>
  <si>
    <t>833492</t>
  </si>
  <si>
    <t>https://www.planhappy.co.uk/</t>
  </si>
  <si>
    <t>709492</t>
  </si>
  <si>
    <t>https://www.planitfs.co.uk/</t>
  </si>
  <si>
    <t>440803</t>
  </si>
  <si>
    <t>https://www.plantech.co.uk/</t>
  </si>
  <si>
    <t>628911</t>
  </si>
  <si>
    <t>827778</t>
  </si>
  <si>
    <t>789503</t>
  </si>
  <si>
    <t>672250</t>
  </si>
  <si>
    <t>https://www.platinum-ifa.co.uk/</t>
  </si>
  <si>
    <t>511140</t>
  </si>
  <si>
    <t>https://www.platinumfsl.com/</t>
  </si>
  <si>
    <t>401283</t>
  </si>
  <si>
    <t>https://www.platinumifs.co.uk/</t>
  </si>
  <si>
    <t>763280</t>
  </si>
  <si>
    <t>https://www.pwifa.com/</t>
  </si>
  <si>
    <t>488254</t>
  </si>
  <si>
    <t>https://www.plsfinancial.co.uk/</t>
  </si>
  <si>
    <t>149715</t>
  </si>
  <si>
    <t>582336</t>
  </si>
  <si>
    <t>https://www.plutowealth.co.uk/</t>
  </si>
  <si>
    <t>459324</t>
  </si>
  <si>
    <t>https://www.pmm.co.uk/</t>
  </si>
  <si>
    <t>829204</t>
  </si>
  <si>
    <t>930257</t>
  </si>
  <si>
    <t>https://www.poisefp.co.uk/</t>
  </si>
  <si>
    <t>214036</t>
  </si>
  <si>
    <t>435238</t>
  </si>
  <si>
    <t>https://www.polygonfinancial.co.uk/</t>
  </si>
  <si>
    <t>303560</t>
  </si>
  <si>
    <t>807084</t>
  </si>
  <si>
    <t>582149</t>
  </si>
  <si>
    <t>https://www.portalfp.co.uk/</t>
  </si>
  <si>
    <t>506044</t>
  </si>
  <si>
    <t>https://www.pfpadviser.co.uk/</t>
  </si>
  <si>
    <t>951388</t>
  </si>
  <si>
    <t>https://www.portersfinancial.co.uk/</t>
  </si>
  <si>
    <t>917079</t>
  </si>
  <si>
    <t>https://www.portland-fp.co.uk/</t>
  </si>
  <si>
    <t>685037</t>
  </si>
  <si>
    <t>https://www.portlandsquareifa.co.uk/</t>
  </si>
  <si>
    <t>789185</t>
  </si>
  <si>
    <t>https://www.portuswealth.co.uk/</t>
  </si>
  <si>
    <t>481182</t>
  </si>
  <si>
    <t>https://www.pwcltd.co.uk/</t>
  </si>
  <si>
    <t>1011414</t>
  </si>
  <si>
    <t>Positive Wealth Limited</t>
  </si>
  <si>
    <t>https://www.positivewealth.co.uk/</t>
  </si>
  <si>
    <t>774450</t>
  </si>
  <si>
    <t>https://www.postcardplanning.co.uk/</t>
  </si>
  <si>
    <t>793871</t>
  </si>
  <si>
    <t>https://www.powellfinancialplanning.co.uk/</t>
  </si>
  <si>
    <t>125949</t>
  </si>
  <si>
    <t>https://www.power-robbins.co.uk/</t>
  </si>
  <si>
    <t>598247</t>
  </si>
  <si>
    <t>https://www.pp-wealth.com/</t>
  </si>
  <si>
    <t>536929</t>
  </si>
  <si>
    <t>758751</t>
  </si>
  <si>
    <t>https://www.flowifp.co.uk/</t>
  </si>
  <si>
    <t>189921</t>
  </si>
  <si>
    <t>189446</t>
  </si>
  <si>
    <t>490515</t>
  </si>
  <si>
    <t>https://www.pfp-ltd.com/</t>
  </si>
  <si>
    <t>186697</t>
  </si>
  <si>
    <t>587647</t>
  </si>
  <si>
    <t>https://www.pims-uk.com/</t>
  </si>
  <si>
    <t>482631</t>
  </si>
  <si>
    <t>https://www.pptconsultancy.co.uk/</t>
  </si>
  <si>
    <t>228969</t>
  </si>
  <si>
    <t>https://www.premierplusltd.co.uk/</t>
  </si>
  <si>
    <t>566936</t>
  </si>
  <si>
    <t>https://www.pfepwealth.com/</t>
  </si>
  <si>
    <t>413455</t>
  </si>
  <si>
    <t>912100</t>
  </si>
  <si>
    <t>971689</t>
  </si>
  <si>
    <t>786673</t>
  </si>
  <si>
    <t>https://www.prestigefinancialplanners.co.uk/</t>
  </si>
  <si>
    <t>589099</t>
  </si>
  <si>
    <t>https://www.prestige-ifa.co.uk/</t>
  </si>
  <si>
    <t>114975</t>
  </si>
  <si>
    <t>https://www.prestwood.info/</t>
  </si>
  <si>
    <t>424784</t>
  </si>
  <si>
    <t>https://www.priceferguson.com/</t>
  </si>
  <si>
    <t>603651</t>
  </si>
  <si>
    <t>https://www.primaryfinancial.co.uk/</t>
  </si>
  <si>
    <t>459612</t>
  </si>
  <si>
    <t>https://www.primaverafp.com/</t>
  </si>
  <si>
    <t>767879</t>
  </si>
  <si>
    <t>https://www.financialadvisorsuk.org/</t>
  </si>
  <si>
    <t>1014663</t>
  </si>
  <si>
    <t>Principle Financial Planning Limited</t>
  </si>
  <si>
    <t>https://www.principlefp.co.uk/</t>
  </si>
  <si>
    <t>982589</t>
  </si>
  <si>
    <t>https://www.principled.eco/</t>
  </si>
  <si>
    <t>540335</t>
  </si>
  <si>
    <t>https://www.priorityfinancial.co.uk/</t>
  </si>
  <si>
    <t>507387</t>
  </si>
  <si>
    <t>https://www.priscum.com/</t>
  </si>
  <si>
    <t>630623</t>
  </si>
  <si>
    <t>426165</t>
  </si>
  <si>
    <t>https://www.prismadvice.co.uk/</t>
  </si>
  <si>
    <t>426567</t>
  </si>
  <si>
    <t>131446</t>
  </si>
  <si>
    <t>https://www.prismaticwealth.co.uk/</t>
  </si>
  <si>
    <t>605728</t>
  </si>
  <si>
    <t>650696</t>
  </si>
  <si>
    <t>https://www.private-office.co.uk/</t>
  </si>
  <si>
    <t>578635</t>
  </si>
  <si>
    <t>478111</t>
  </si>
  <si>
    <t>https://www.profmltd.co.uk/</t>
  </si>
  <si>
    <t>430725</t>
  </si>
  <si>
    <t>https://www.professionalandmedical.co.uk/</t>
  </si>
  <si>
    <t>931135</t>
  </si>
  <si>
    <t>229752</t>
  </si>
  <si>
    <t>https://www.pfccornwall.com/</t>
  </si>
  <si>
    <t>402130</t>
  </si>
  <si>
    <t>https://www.pfccumbria.co.uk/</t>
  </si>
  <si>
    <t>734532</t>
  </si>
  <si>
    <t>804844</t>
  </si>
  <si>
    <t>845508</t>
  </si>
  <si>
    <t>216642</t>
  </si>
  <si>
    <t>628902</t>
  </si>
  <si>
    <t>https://www.personalmm.co.uk/</t>
  </si>
  <si>
    <t>208951</t>
  </si>
  <si>
    <t>615676</t>
  </si>
  <si>
    <t>https://www.professionalwealthplanning.co.uk/</t>
  </si>
  <si>
    <t>190252</t>
  </si>
  <si>
    <t>https://www.progressive-fp.co.uk/</t>
  </si>
  <si>
    <t>590518</t>
  </si>
  <si>
    <t>https://www.pfsolutions.co.uk/</t>
  </si>
  <si>
    <t>460655</t>
  </si>
  <si>
    <t>https://www.progressive-llp.com/</t>
  </si>
  <si>
    <t>476681</t>
  </si>
  <si>
    <t>https://www.project-financial.co.uk/</t>
  </si>
  <si>
    <t>572159</t>
  </si>
  <si>
    <t>453007</t>
  </si>
  <si>
    <t>https://www.prospercapital.co.uk/</t>
  </si>
  <si>
    <t>587653</t>
  </si>
  <si>
    <t>https://www.prosperfinancialsolutions.com/</t>
  </si>
  <si>
    <t>429940</t>
  </si>
  <si>
    <t>https://www.prosper-ifa.co.uk/</t>
  </si>
  <si>
    <t>223586</t>
  </si>
  <si>
    <t>https://www.prosperis.co.uk/</t>
  </si>
  <si>
    <t>772483</t>
  </si>
  <si>
    <t>https://www.prosperityifa.com/</t>
  </si>
  <si>
    <t>1006940</t>
  </si>
  <si>
    <t>https://www.prosperity-ifa.co.uk/</t>
  </si>
  <si>
    <t>791934</t>
  </si>
  <si>
    <t>https://www.prosperitylifeplanning.co.uk/</t>
  </si>
  <si>
    <t>516829</t>
  </si>
  <si>
    <t>https://www.prosperitymedical.co.uk/</t>
  </si>
  <si>
    <t>460696</t>
  </si>
  <si>
    <t>562574</t>
  </si>
  <si>
    <t>https://www.pro-sport1.co.uk/</t>
  </si>
  <si>
    <t>446589</t>
  </si>
  <si>
    <t>https://www.pfgl.co.uk/prosserknowles</t>
  </si>
  <si>
    <t>469073</t>
  </si>
  <si>
    <t>https://www.protect-invest.co.uk/</t>
  </si>
  <si>
    <t>222993</t>
  </si>
  <si>
    <t>https://www.pil.uk.com/</t>
  </si>
  <si>
    <t>400263</t>
  </si>
  <si>
    <t>https://www.protocolmoney.com/</t>
  </si>
  <si>
    <t>612476</t>
  </si>
  <si>
    <t>553610</t>
  </si>
  <si>
    <t>https://www.hgfinancialplanning.co.uk/</t>
  </si>
  <si>
    <t>485690</t>
  </si>
  <si>
    <t>https://www.provisio.co.uk/</t>
  </si>
  <si>
    <t>707566</t>
  </si>
  <si>
    <t>https://www.prudentltd.co.uk/</t>
  </si>
  <si>
    <t>511176</t>
  </si>
  <si>
    <t>https://www.ppmfinancialplanning.com/</t>
  </si>
  <si>
    <t>982592</t>
  </si>
  <si>
    <t>581393</t>
  </si>
  <si>
    <t>https://www.pspwm.co.uk/</t>
  </si>
  <si>
    <t>478840</t>
  </si>
  <si>
    <t>950060</t>
  </si>
  <si>
    <t>https://www.puravidafp.com/</t>
  </si>
  <si>
    <t>944768</t>
  </si>
  <si>
    <t>713979</t>
  </si>
  <si>
    <t>https://www.purewealthltd.com/</t>
  </si>
  <si>
    <t>572655</t>
  </si>
  <si>
    <t>https://www.purplepatch-ifa.co.uk/</t>
  </si>
  <si>
    <t>830101</t>
  </si>
  <si>
    <t>https://www.puzzlefs.co.uk/</t>
  </si>
  <si>
    <t>985418</t>
  </si>
  <si>
    <t>https://www.pyrfordfp.com/</t>
  </si>
  <si>
    <t>606610</t>
  </si>
  <si>
    <t>https://www.qcfm.co.uk/</t>
  </si>
  <si>
    <t>469909</t>
  </si>
  <si>
    <t>https://www.qedwm.com/</t>
  </si>
  <si>
    <t>598086</t>
  </si>
  <si>
    <t>https://www.qhfs.co.uk/</t>
  </si>
  <si>
    <t>162408</t>
  </si>
  <si>
    <t>https://www.qifinancialsolutions.co.uk/</t>
  </si>
  <si>
    <t>596081</t>
  </si>
  <si>
    <t>https://www.qmpf.co.uk/</t>
  </si>
  <si>
    <t>584985</t>
  </si>
  <si>
    <t>https://www.quadrillion-wml.co.uk/</t>
  </si>
  <si>
    <t>533908</t>
  </si>
  <si>
    <t>https://www.quantockanalytical.co.uk/</t>
  </si>
  <si>
    <t>760805</t>
  </si>
  <si>
    <t>https://www.qwplanning.co.uk/</t>
  </si>
  <si>
    <t>502242</t>
  </si>
  <si>
    <t>https://www.quartet-im.com/</t>
  </si>
  <si>
    <t>629971</t>
  </si>
  <si>
    <t>https://www.quaysgroup.com/</t>
  </si>
  <si>
    <t>459631</t>
  </si>
  <si>
    <t>526101</t>
  </si>
  <si>
    <t>709538</t>
  </si>
  <si>
    <t>https://www.quinnfs.co.uk/</t>
  </si>
  <si>
    <t>647463</t>
  </si>
  <si>
    <t>https://www.qurofs.uk/</t>
  </si>
  <si>
    <t>222066</t>
  </si>
  <si>
    <t>https://www.randgfinancial.co.uk/</t>
  </si>
  <si>
    <t>608143</t>
  </si>
  <si>
    <t>747766</t>
  </si>
  <si>
    <t>https://www.rdwm.co.uk/</t>
  </si>
  <si>
    <t>457386</t>
  </si>
  <si>
    <t>740030</t>
  </si>
  <si>
    <t>https://www.tayloredfp.co.uk/</t>
  </si>
  <si>
    <t>501867</t>
  </si>
  <si>
    <t>827417</t>
  </si>
  <si>
    <t>126112</t>
  </si>
  <si>
    <t>https://www.cowensgroup.co.uk/personal</t>
  </si>
  <si>
    <t>224864</t>
  </si>
  <si>
    <t>116306</t>
  </si>
  <si>
    <t>401304</t>
  </si>
  <si>
    <t>1016479</t>
  </si>
  <si>
    <t>Rachel Storey</t>
  </si>
  <si>
    <t>624554</t>
  </si>
  <si>
    <t>https://www.radcliffecooper.co.uk/</t>
  </si>
  <si>
    <t>192396</t>
  </si>
  <si>
    <t>136529</t>
  </si>
  <si>
    <t>https://www.rainbourne.co.uk/</t>
  </si>
  <si>
    <t>778343</t>
  </si>
  <si>
    <t>https://www.rcons.co.uk/</t>
  </si>
  <si>
    <t>627944</t>
  </si>
  <si>
    <t>https://www.rigbyfinancial.co.uk/</t>
  </si>
  <si>
    <t>763183</t>
  </si>
  <si>
    <t>https://www.rainsfordfp.com/</t>
  </si>
  <si>
    <t>610182</t>
  </si>
  <si>
    <t>596100</t>
  </si>
  <si>
    <t>525407</t>
  </si>
  <si>
    <t>https://www.rapportfp.co.uk/</t>
  </si>
  <si>
    <t>197346</t>
  </si>
  <si>
    <t>https://www.rapportfsltd.co.uk/</t>
  </si>
  <si>
    <t>227440</t>
  </si>
  <si>
    <t>609277</t>
  </si>
  <si>
    <t>https://www.ravenscroftuk.com/</t>
  </si>
  <si>
    <t>469077</t>
  </si>
  <si>
    <t>https://www.ravenstone.uk.com/</t>
  </si>
  <si>
    <t>207506</t>
  </si>
  <si>
    <t>https://www.ravenstoneifa.co.uk/</t>
  </si>
  <si>
    <t>457658</t>
  </si>
  <si>
    <t>https://www.rbsassociates.co.uk/</t>
  </si>
  <si>
    <t>771172</t>
  </si>
  <si>
    <t>164691</t>
  </si>
  <si>
    <t>https://www.rdsfinancial.co.uk/</t>
  </si>
  <si>
    <t>472781</t>
  </si>
  <si>
    <t>https://www.financialadviceleamington.co.uk/</t>
  </si>
  <si>
    <t>925064</t>
  </si>
  <si>
    <t>https://www.rmi-ifa.co.uk/</t>
  </si>
  <si>
    <t>810652</t>
  </si>
  <si>
    <t>https://www.reallifefinancialplanning.co.uk/</t>
  </si>
  <si>
    <t>677777</t>
  </si>
  <si>
    <t>https://www.redcirclefp.co.uk/</t>
  </si>
  <si>
    <t>302540</t>
  </si>
  <si>
    <t>https://www.reddotgroup.co.uk/</t>
  </si>
  <si>
    <t>933688</t>
  </si>
  <si>
    <t>https://www.redifa.co.uk/</t>
  </si>
  <si>
    <t>800111</t>
  </si>
  <si>
    <t>https://www.redkitewm.co.uk/</t>
  </si>
  <si>
    <t>948639</t>
  </si>
  <si>
    <t>https://www.redstarwealth.co.uk/</t>
  </si>
  <si>
    <t>970608</t>
  </si>
  <si>
    <t>https://www.reddwealth.com/</t>
  </si>
  <si>
    <t>313585</t>
  </si>
  <si>
    <t>https://www.redfield.co.uk/</t>
  </si>
  <si>
    <t>929508</t>
  </si>
  <si>
    <t>923697</t>
  </si>
  <si>
    <t>https://www.redpathfinancialplanning.com/</t>
  </si>
  <si>
    <t>410550</t>
  </si>
  <si>
    <t>https://www.redswanpensions.co.uk/</t>
  </si>
  <si>
    <t>657538</t>
  </si>
  <si>
    <t>https://www.redwood-ebs.co.uk/</t>
  </si>
  <si>
    <t>590071</t>
  </si>
  <si>
    <t>https://www.reedfinancialplanning.co.uk/</t>
  </si>
  <si>
    <t>714652</t>
  </si>
  <si>
    <t>451784</t>
  </si>
  <si>
    <t>https://www.reef-financial.co.uk/</t>
  </si>
  <si>
    <t>148187</t>
  </si>
  <si>
    <t>https://www.reesastleyifa.co.uk/</t>
  </si>
  <si>
    <t>506821</t>
  </si>
  <si>
    <t>429424</t>
  </si>
  <si>
    <t>https://www.regencyfc.com/</t>
  </si>
  <si>
    <t>413890</t>
  </si>
  <si>
    <t>https://www.regentia.co.uk/</t>
  </si>
  <si>
    <t>933488</t>
  </si>
  <si>
    <t>https://www.renaissancefinancial.co.uk/</t>
  </si>
  <si>
    <t>149541</t>
  </si>
  <si>
    <t>https://www.researchindependent.co.uk/</t>
  </si>
  <si>
    <t>708063</t>
  </si>
  <si>
    <t>954596</t>
  </si>
  <si>
    <t>https://www.resolutefp.co.uk/</t>
  </si>
  <si>
    <t>401320</t>
  </si>
  <si>
    <t>https://www.rpuk.co.uk/</t>
  </si>
  <si>
    <t>483817</t>
  </si>
  <si>
    <t>https://www.retirementsolutions.co.uk/</t>
  </si>
  <si>
    <t>668210</t>
  </si>
  <si>
    <t>https://www.reynoldswealth.co.uk/</t>
  </si>
  <si>
    <t>680804</t>
  </si>
  <si>
    <t>697885</t>
  </si>
  <si>
    <t>793506</t>
  </si>
  <si>
    <t>588419</t>
  </si>
  <si>
    <t>666823</t>
  </si>
  <si>
    <t>706237</t>
  </si>
  <si>
    <t>https://www.ribblewealth.com/</t>
  </si>
  <si>
    <t>513803</t>
  </si>
  <si>
    <t>https://www.ricewhatmoughcrozier.co.uk/</t>
  </si>
  <si>
    <t>222626</t>
  </si>
  <si>
    <t>https://www.richardbamber.co.uk/</t>
  </si>
  <si>
    <t>145558</t>
  </si>
  <si>
    <t>437861</t>
  </si>
  <si>
    <t>807261</t>
  </si>
  <si>
    <t>https://www.crowoodfs.co.uk/</t>
  </si>
  <si>
    <t>153640</t>
  </si>
  <si>
    <t>https://www.jacobs-pensions.co.uk/</t>
  </si>
  <si>
    <t>116686</t>
  </si>
  <si>
    <t>https://www.keeninsurance.co.uk/</t>
  </si>
  <si>
    <t>922923</t>
  </si>
  <si>
    <t>https://www.richardsfinancial.co.uk/</t>
  </si>
  <si>
    <t>809956</t>
  </si>
  <si>
    <t>https://www.richardsonassociatesifa.co.uk/</t>
  </si>
  <si>
    <t>760118</t>
  </si>
  <si>
    <t>https://www.rpwifa.co.uk/</t>
  </si>
  <si>
    <t>141816</t>
  </si>
  <si>
    <t>https://www.richardsons-fs.co.uk/</t>
  </si>
  <si>
    <t>144885</t>
  </si>
  <si>
    <t>https://www.richmondhousewm.co.uk/</t>
  </si>
  <si>
    <t>955612</t>
  </si>
  <si>
    <t>402270</t>
  </si>
  <si>
    <t>150485</t>
  </si>
  <si>
    <t>https://www.rickardlazenby.co.uk/</t>
  </si>
  <si>
    <t>228585</t>
  </si>
  <si>
    <t>https://www.rgl-ifa.co.uk/</t>
  </si>
  <si>
    <t>486259</t>
  </si>
  <si>
    <t>https://www.rfmltd.co.uk/</t>
  </si>
  <si>
    <t>622187</t>
  </si>
  <si>
    <t>Rite Wealth Ltd</t>
  </si>
  <si>
    <t>https://www.ritewealth.co.uk/</t>
  </si>
  <si>
    <t>992948</t>
  </si>
  <si>
    <t>https://www.riverglenifa.co.uk/</t>
  </si>
  <si>
    <t>455480</t>
  </si>
  <si>
    <t>https://www.riverparkifa.com/</t>
  </si>
  <si>
    <t>632101</t>
  </si>
  <si>
    <t>https://www.riverpeakwealth.com/</t>
  </si>
  <si>
    <t>568521</t>
  </si>
  <si>
    <t>149231</t>
  </si>
  <si>
    <t>https://www.rixonsfinancial.co.uk/</t>
  </si>
  <si>
    <t>996181</t>
  </si>
  <si>
    <t>https://www.rj-am.co.uk/</t>
  </si>
  <si>
    <t>456729</t>
  </si>
  <si>
    <t>602814</t>
  </si>
  <si>
    <t>https://www.davenportthomas.co.uk/</t>
  </si>
  <si>
    <t>488850</t>
  </si>
  <si>
    <t>https://www.rmbfm.co.uk/</t>
  </si>
  <si>
    <t>534520</t>
  </si>
  <si>
    <t>https://www.rmpfinancial.co.uk/</t>
  </si>
  <si>
    <t>912092</t>
  </si>
  <si>
    <t>197422</t>
  </si>
  <si>
    <t>https://www.rns-ifa.co.uk/</t>
  </si>
  <si>
    <t>670813</t>
  </si>
  <si>
    <t>https://www.angellfs.co.uk/</t>
  </si>
  <si>
    <t>578337</t>
  </si>
  <si>
    <t>https://www.harpendenifa.com/</t>
  </si>
  <si>
    <t>583019</t>
  </si>
  <si>
    <t>https://www.robcovetry.tppowered.com/</t>
  </si>
  <si>
    <t>440201</t>
  </si>
  <si>
    <t>135447</t>
  </si>
  <si>
    <t>https://www.rgharvie.com/</t>
  </si>
  <si>
    <t>631829</t>
  </si>
  <si>
    <t>https://www.vanguardlawsolicitors.co.uk/</t>
  </si>
  <si>
    <t>230693</t>
  </si>
  <si>
    <t>https://www.robertmillercapital.com/</t>
  </si>
  <si>
    <t>938967</t>
  </si>
  <si>
    <t>800013</t>
  </si>
  <si>
    <t>https://www.robert-moreland.co.uk/</t>
  </si>
  <si>
    <t>196806</t>
  </si>
  <si>
    <t>https://www.robertmorrowfs.co.uk/</t>
  </si>
  <si>
    <t>926756</t>
  </si>
  <si>
    <t>532928</t>
  </si>
  <si>
    <t>192598</t>
  </si>
  <si>
    <t>https://www.financialadvice.net/</t>
  </si>
  <si>
    <t>737641</t>
  </si>
  <si>
    <t>https://www.robertskeen.co.uk/</t>
  </si>
  <si>
    <t>462209</t>
  </si>
  <si>
    <t>597189</t>
  </si>
  <si>
    <t>https://www.robinsonco.co.uk/</t>
  </si>
  <si>
    <t>987190</t>
  </si>
  <si>
    <t>980382</t>
  </si>
  <si>
    <t>https://www.robinsonrosewealth.co.uk/</t>
  </si>
  <si>
    <t>461656</t>
  </si>
  <si>
    <t>https://www.rsnyc.co.uk/</t>
  </si>
  <si>
    <t>731380</t>
  </si>
  <si>
    <t>https://www.robsonifa.co.uk/</t>
  </si>
  <si>
    <t>217853</t>
  </si>
  <si>
    <t>https://www.thorntons-wealth.co.uk/</t>
  </si>
  <si>
    <t>750001</t>
  </si>
  <si>
    <t>549935</t>
  </si>
  <si>
    <t>593766</t>
  </si>
  <si>
    <t>https://www.rockwoodfs.co.uk/</t>
  </si>
  <si>
    <t>429757</t>
  </si>
  <si>
    <t>628929</t>
  </si>
  <si>
    <t>149922</t>
  </si>
  <si>
    <t>https://www.rthltd.co.uk/</t>
  </si>
  <si>
    <t>450550</t>
  </si>
  <si>
    <t>https://www.romillyifa.com/</t>
  </si>
  <si>
    <t>998007</t>
  </si>
  <si>
    <t>https://www.rootes.co.uk/</t>
  </si>
  <si>
    <t>196269</t>
  </si>
  <si>
    <t>https://www.rosan-ifa.com/</t>
  </si>
  <si>
    <t>714305</t>
  </si>
  <si>
    <t>https://www.roseandnorth.com/</t>
  </si>
  <si>
    <t>503943</t>
  </si>
  <si>
    <t>535515</t>
  </si>
  <si>
    <t>540034</t>
  </si>
  <si>
    <t>https://www.rosemount-ifa.co.uk/</t>
  </si>
  <si>
    <t>621420</t>
  </si>
  <si>
    <t>https://www.ross-bell.co.uk/</t>
  </si>
  <si>
    <t>793399</t>
  </si>
  <si>
    <t>https://www.rossiehouse.com/</t>
  </si>
  <si>
    <t>118396</t>
  </si>
  <si>
    <t>795885</t>
  </si>
  <si>
    <t>https://www.rothesaybennett.co.uk/</t>
  </si>
  <si>
    <t>310129</t>
  </si>
  <si>
    <t>750933</t>
  </si>
  <si>
    <t>https://www.routledgefinancial.co.uk/</t>
  </si>
  <si>
    <t>207491</t>
  </si>
  <si>
    <t>https://www.rowanbank-ltd.co.uk/</t>
  </si>
  <si>
    <t>610519</t>
  </si>
  <si>
    <t>148191</t>
  </si>
  <si>
    <t>https://www.rowlands-hames.co.uk/</t>
  </si>
  <si>
    <t>457305</t>
  </si>
  <si>
    <t>https://www.roxborough.uk.com/</t>
  </si>
  <si>
    <t>190539</t>
  </si>
  <si>
    <t>https://www.rpgcfp.co.uk/</t>
  </si>
  <si>
    <t>670054</t>
  </si>
  <si>
    <t>842765</t>
  </si>
  <si>
    <t>https://www.rubyredfp.co.uk/</t>
  </si>
  <si>
    <t>940607</t>
  </si>
  <si>
    <t>https://www.scholesindependentsolutions.co.uk/</t>
  </si>
  <si>
    <t>948449</t>
  </si>
  <si>
    <t>529125</t>
  </si>
  <si>
    <t>671726</t>
  </si>
  <si>
    <t>https://www.rutlandindependent.co.uk/</t>
  </si>
  <si>
    <t>929577</t>
  </si>
  <si>
    <t>https://www.rwcltd.co.uk/</t>
  </si>
  <si>
    <t>936903</t>
  </si>
  <si>
    <t>789887</t>
  </si>
  <si>
    <t>https://www.sdgreenway.co.uk/</t>
  </si>
  <si>
    <t>430498</t>
  </si>
  <si>
    <t>119136</t>
  </si>
  <si>
    <t>549836</t>
  </si>
  <si>
    <t>https://www.sw-fm.co.uk/</t>
  </si>
  <si>
    <t>798272</t>
  </si>
  <si>
    <t>501695</t>
  </si>
  <si>
    <t>440698</t>
  </si>
  <si>
    <t>https://www.southernfs.co.uk/</t>
  </si>
  <si>
    <t>590261</t>
  </si>
  <si>
    <t>https://www.snrbruntpartnership.co.uk/</t>
  </si>
  <si>
    <t>401372</t>
  </si>
  <si>
    <t>https://www.s4financial.co.uk/</t>
  </si>
  <si>
    <t>974610</t>
  </si>
  <si>
    <t>718005</t>
  </si>
  <si>
    <t>https://www.roxboro.co.uk/</t>
  </si>
  <si>
    <t>116461</t>
  </si>
  <si>
    <t>https://www.salisbury.co.uk/</t>
  </si>
  <si>
    <t>722703</t>
  </si>
  <si>
    <t>https://www.saltus.co.uk/</t>
  </si>
  <si>
    <t>554381</t>
  </si>
  <si>
    <t>Saltus Partnership Limited</t>
  </si>
  <si>
    <t>449607</t>
  </si>
  <si>
    <t>SALTUS WEALTH PARTNERSHIP LIMITED</t>
  </si>
  <si>
    <t>https://www.abacusadvisers.co.uk/</t>
  </si>
  <si>
    <t>604523</t>
  </si>
  <si>
    <t>225327</t>
  </si>
  <si>
    <t>Samuel L. Lamptey T/A The Dorchester Finance</t>
  </si>
  <si>
    <t>133733</t>
  </si>
  <si>
    <t>Samuel Magill McDowell</t>
  </si>
  <si>
    <t>501806</t>
  </si>
  <si>
    <t>https://www.sanctomerricks.co.uk/</t>
  </si>
  <si>
    <t>790551</t>
  </si>
  <si>
    <t>594431</t>
  </si>
  <si>
    <t>562360</t>
  </si>
  <si>
    <t>https://www.sandersonfp.co.uk/</t>
  </si>
  <si>
    <t>423980</t>
  </si>
  <si>
    <t>https://www.s-ebs.co.uk/</t>
  </si>
  <si>
    <t>459004</t>
  </si>
  <si>
    <t>581304</t>
  </si>
  <si>
    <t>https://www.sandringham.co.uk/</t>
  </si>
  <si>
    <t>602997</t>
  </si>
  <si>
    <t>515432</t>
  </si>
  <si>
    <t>https://www.sandycrosswealth.co.uk/</t>
  </si>
  <si>
    <t>585145</t>
  </si>
  <si>
    <t>https://www.santorinifinancialplanning.co.uk/</t>
  </si>
  <si>
    <t>618162</t>
  </si>
  <si>
    <t>789577</t>
  </si>
  <si>
    <t>https://www.saulsburyifp.co.uk/</t>
  </si>
  <si>
    <t>144940</t>
  </si>
  <si>
    <t>562795</t>
  </si>
  <si>
    <t>SAVVY WEALTH MANAGEMENT LTD</t>
  </si>
  <si>
    <t>210326</t>
  </si>
  <si>
    <t>https://www.saxonfinancialadvice.co.uk/</t>
  </si>
  <si>
    <t>454719</t>
  </si>
  <si>
    <t>https://www.sbnwm.com/</t>
  </si>
  <si>
    <t>126176</t>
  </si>
  <si>
    <t>608960</t>
  </si>
  <si>
    <t>606279</t>
  </si>
  <si>
    <t>https://www.scotiawm.co.uk/</t>
  </si>
  <si>
    <t>213848</t>
  </si>
  <si>
    <t>521369</t>
  </si>
  <si>
    <t>https://www.scottfinancial.co.uk/</t>
  </si>
  <si>
    <t>181655</t>
  </si>
  <si>
    <t>https://www.scottishwidows.co.uk/</t>
  </si>
  <si>
    <t>118361</t>
  </si>
  <si>
    <t>987288</t>
  </si>
  <si>
    <t>https://www.wolfrockfp.co.uk/</t>
  </si>
  <si>
    <t>116337</t>
  </si>
  <si>
    <t>400853</t>
  </si>
  <si>
    <t>452204</t>
  </si>
  <si>
    <t>https://www.seanmccabe.co.uk/</t>
  </si>
  <si>
    <t>967655</t>
  </si>
  <si>
    <t>518402</t>
  </si>
  <si>
    <t>228570</t>
  </si>
  <si>
    <t>https://www.security-financial.co.uk/</t>
  </si>
  <si>
    <t>587712</t>
  </si>
  <si>
    <t>https://www.sedulowealth.co.uk/</t>
  </si>
  <si>
    <t>916873</t>
  </si>
  <si>
    <t>https://www.seedfp.co.uk/</t>
  </si>
  <si>
    <t>409085</t>
  </si>
  <si>
    <t>417502</t>
  </si>
  <si>
    <t>136758</t>
  </si>
  <si>
    <t>https://www.selfadvice.com/</t>
  </si>
  <si>
    <t>527953</t>
  </si>
  <si>
    <t>583361</t>
  </si>
  <si>
    <t>https://www.senecapartners.co.uk/</t>
  </si>
  <si>
    <t>465124</t>
  </si>
  <si>
    <t>https://www.sense-network.co.uk/</t>
  </si>
  <si>
    <t>786005</t>
  </si>
  <si>
    <t>https://www.sentientwealth.com/</t>
  </si>
  <si>
    <t>628846</t>
  </si>
  <si>
    <t>https://www.sentryfinancial.co.uk/</t>
  </si>
  <si>
    <t>628230</t>
  </si>
  <si>
    <t>https://www.sequoiacircle.com/</t>
  </si>
  <si>
    <t>606102</t>
  </si>
  <si>
    <t>452299</t>
  </si>
  <si>
    <t>https://www.serenityfp.com/</t>
  </si>
  <si>
    <t>823801</t>
  </si>
  <si>
    <t>https://www.servinifp.co.uk/</t>
  </si>
  <si>
    <t>125128</t>
  </si>
  <si>
    <t>672972</t>
  </si>
  <si>
    <t>https://www.sevenbridgesim.co.uk/</t>
  </si>
  <si>
    <t>192411</t>
  </si>
  <si>
    <t>https://www.7sw.co.uk/</t>
  </si>
  <si>
    <t>575394</t>
  </si>
  <si>
    <t>https://www.severn-financial.co.uk/</t>
  </si>
  <si>
    <t>785187</t>
  </si>
  <si>
    <t>https://www.fieldsfp.com/</t>
  </si>
  <si>
    <t>621884</t>
  </si>
  <si>
    <t>948167</t>
  </si>
  <si>
    <t>https://www.sgmfinancialmanagement.co.uk/</t>
  </si>
  <si>
    <t>931393</t>
  </si>
  <si>
    <t>552510</t>
  </si>
  <si>
    <t>https://www.shacklocks.co.uk/</t>
  </si>
  <si>
    <t>514240</t>
  </si>
  <si>
    <t>433429</t>
  </si>
  <si>
    <t>521904</t>
  </si>
  <si>
    <t>https://www.shapepensions.co.uk/</t>
  </si>
  <si>
    <t>582380</t>
  </si>
  <si>
    <t>491916</t>
  </si>
  <si>
    <t>228614</t>
  </si>
  <si>
    <t>https://www.shaunstartfinancialplanning.co.uk/</t>
  </si>
  <si>
    <t>958848</t>
  </si>
  <si>
    <t>https://www.shepherd4advice.co.uk/</t>
  </si>
  <si>
    <t>188309</t>
  </si>
  <si>
    <t>584106</t>
  </si>
  <si>
    <t>https://www.sheratonfp.co.uk/</t>
  </si>
  <si>
    <t>768336</t>
  </si>
  <si>
    <t>164685</t>
  </si>
  <si>
    <t>926565</t>
  </si>
  <si>
    <t>579963</t>
  </si>
  <si>
    <t>403014</t>
  </si>
  <si>
    <t>https://www.shorefinancial.co.uk/</t>
  </si>
  <si>
    <t>491901</t>
  </si>
  <si>
    <t>https://www.shorestone.co.uk/</t>
  </si>
  <si>
    <t>607476</t>
  </si>
  <si>
    <t>230687</t>
  </si>
  <si>
    <t>https://www.sicapital.co.uk/</t>
  </si>
  <si>
    <t>794323</t>
  </si>
  <si>
    <t>952089</t>
  </si>
  <si>
    <t>https://www.moresignificant.co.uk/</t>
  </si>
  <si>
    <t>815599</t>
  </si>
  <si>
    <t>https://www.simfin.co.uk/</t>
  </si>
  <si>
    <t>947126</t>
  </si>
  <si>
    <t>https://www.responsiblewealth.co.uk/</t>
  </si>
  <si>
    <t>470952</t>
  </si>
  <si>
    <t>163117</t>
  </si>
  <si>
    <t>https://www.cityconfidential.co.uk/</t>
  </si>
  <si>
    <t>520525</t>
  </si>
  <si>
    <t>472650</t>
  </si>
  <si>
    <t>568281</t>
  </si>
  <si>
    <t>https://www.karande.co.uk/</t>
  </si>
  <si>
    <t>506064</t>
  </si>
  <si>
    <t>624799</t>
  </si>
  <si>
    <t>https://www.cornerstoneifa.co.uk/</t>
  </si>
  <si>
    <t>912826</t>
  </si>
  <si>
    <t>417383</t>
  </si>
  <si>
    <t>https://www.henleyretirement.com/</t>
  </si>
  <si>
    <t>551734</t>
  </si>
  <si>
    <t>456653</t>
  </si>
  <si>
    <t>https://www.simplefinancialadvice.co.uk/</t>
  </si>
  <si>
    <t>617941</t>
  </si>
  <si>
    <t>https://www.simplefp.co.uk/</t>
  </si>
  <si>
    <t>442075</t>
  </si>
  <si>
    <t>https://www.simplefinancial.co.uk/</t>
  </si>
  <si>
    <t>511977</t>
  </si>
  <si>
    <t>572119</t>
  </si>
  <si>
    <t>804598</t>
  </si>
  <si>
    <t>https://www.simplyadvice.co.uk/</t>
  </si>
  <si>
    <t>511220</t>
  </si>
  <si>
    <t>https://www.simplyethical.com/</t>
  </si>
  <si>
    <t>711969</t>
  </si>
  <si>
    <t>https://www.simplyifa.com/</t>
  </si>
  <si>
    <t>935827</t>
  </si>
  <si>
    <t>212874</t>
  </si>
  <si>
    <t>472031</t>
  </si>
  <si>
    <t>https://www.simpsonfs.co.uk/</t>
  </si>
  <si>
    <t>599404</t>
  </si>
  <si>
    <t>224131</t>
  </si>
  <si>
    <t>429307</t>
  </si>
  <si>
    <t>https://www.simpsonsofbrighton.co.uk/</t>
  </si>
  <si>
    <t>464703</t>
  </si>
  <si>
    <t>https://www.spfsl.co.uk/</t>
  </si>
  <si>
    <t>1007274</t>
  </si>
  <si>
    <t>https://www.adsumusfs.co.uk/</t>
  </si>
  <si>
    <t>920310</t>
  </si>
  <si>
    <t>624510</t>
  </si>
  <si>
    <t>https://www.sirrusfp.com/</t>
  </si>
  <si>
    <t>983414</t>
  </si>
  <si>
    <t>https://www.sixqfinancialplanning.co.uk/</t>
  </si>
  <si>
    <t>650923</t>
  </si>
  <si>
    <t>https://www.sjfinancialadvice.co.uk/</t>
  </si>
  <si>
    <t>153706</t>
  </si>
  <si>
    <t>https://www.skipton.co.uk/</t>
  </si>
  <si>
    <t>100013</t>
  </si>
  <si>
    <t>1008246</t>
  </si>
  <si>
    <t>Sky Blue Wealth Management Ltd</t>
  </si>
  <si>
    <t>https://www.sbwm.uk/</t>
  </si>
  <si>
    <t>978184</t>
  </si>
  <si>
    <t>738070</t>
  </si>
  <si>
    <t>https://www.skyboundfp.co.uk/</t>
  </si>
  <si>
    <t>770375</t>
  </si>
  <si>
    <t>https://www.slaiyburn.co.uk/</t>
  </si>
  <si>
    <t>528286</t>
  </si>
  <si>
    <t>https://www.slaterfinancial.co.uk/</t>
  </si>
  <si>
    <t>563973</t>
  </si>
  <si>
    <t>https://www.slgfinancialsolutions.co.uk/</t>
  </si>
  <si>
    <t>484300</t>
  </si>
  <si>
    <t>https://www.smartfinancial.co.uk/</t>
  </si>
  <si>
    <t>478255</t>
  </si>
  <si>
    <t>https://www.smbwealth.co.uk/</t>
  </si>
  <si>
    <t>773901</t>
  </si>
  <si>
    <t>417734</t>
  </si>
  <si>
    <t>993733</t>
  </si>
  <si>
    <t>https://www.smithandcocfp.co.uk/</t>
  </si>
  <si>
    <t>912090</t>
  </si>
  <si>
    <t>https://www.smithandwardle.co.uk/</t>
  </si>
  <si>
    <t>715058</t>
  </si>
  <si>
    <t>454361</t>
  </si>
  <si>
    <t>https://www.smithweale.co.uk/</t>
  </si>
  <si>
    <t>231014</t>
  </si>
  <si>
    <t>https://www.snfinancial.co.uk/</t>
  </si>
  <si>
    <t>425418</t>
  </si>
  <si>
    <t>190062</t>
  </si>
  <si>
    <t>https://www.solomonsifa.co.uk/</t>
  </si>
  <si>
    <t>585549</t>
  </si>
  <si>
    <t>https://www.swmltd.co.uk/</t>
  </si>
  <si>
    <t>936859</t>
  </si>
  <si>
    <t>https://www.somersetwm.co.uk/</t>
  </si>
  <si>
    <t>145264</t>
  </si>
  <si>
    <t>https://www.somervillefs.co.uk/</t>
  </si>
  <si>
    <t>765178</t>
  </si>
  <si>
    <t>https://www.somniumfp.co.uk/</t>
  </si>
  <si>
    <t>588466</t>
  </si>
  <si>
    <t>https://www.sorbus.com/</t>
  </si>
  <si>
    <t>432748</t>
  </si>
  <si>
    <t>486790</t>
  </si>
  <si>
    <t>https://www.sound-financialadvice.co.uk/</t>
  </si>
  <si>
    <t>222594</t>
  </si>
  <si>
    <t>https://www.soundfp.co.uk/</t>
  </si>
  <si>
    <t>654689</t>
  </si>
  <si>
    <t>https://www.shfs.co.uk/</t>
  </si>
  <si>
    <t>705150</t>
  </si>
  <si>
    <t>730591</t>
  </si>
  <si>
    <t>480202</t>
  </si>
  <si>
    <t>https://www.sovfs.co.uk/</t>
  </si>
  <si>
    <t>599883</t>
  </si>
  <si>
    <t>171137</t>
  </si>
  <si>
    <t>https://www.spfm.co.uk/</t>
  </si>
  <si>
    <t>480111</t>
  </si>
  <si>
    <t>https://www.spearfinancial.co.uk/</t>
  </si>
  <si>
    <t>716700</t>
  </si>
  <si>
    <t>https://www.spectrumadvice.co.uk/</t>
  </si>
  <si>
    <t>548024</t>
  </si>
  <si>
    <t>917152</t>
  </si>
  <si>
    <t>https://www.spencermaynardwm.co.uk/</t>
  </si>
  <si>
    <t>917358</t>
  </si>
  <si>
    <t>672212</t>
  </si>
  <si>
    <t>732303</t>
  </si>
  <si>
    <t>429148</t>
  </si>
  <si>
    <t>https://www.spratt-financial-services-ltd.co.uk/</t>
  </si>
  <si>
    <t>707844</t>
  </si>
  <si>
    <t>430562</t>
  </si>
  <si>
    <t>https://www.srcfinancial.com/</t>
  </si>
  <si>
    <t>565076</t>
  </si>
  <si>
    <t>https://www.srgfinancial.com/</t>
  </si>
  <si>
    <t>787161</t>
  </si>
  <si>
    <t>https://www.srumanagement.co.uk/</t>
  </si>
  <si>
    <t>587640</t>
  </si>
  <si>
    <t>786343</t>
  </si>
  <si>
    <t>https://www.stannescapital.com/</t>
  </si>
  <si>
    <t>516577</t>
  </si>
  <si>
    <t>https://www.stgeorgesfs.co.uk/</t>
  </si>
  <si>
    <t>441074</t>
  </si>
  <si>
    <t>537904</t>
  </si>
  <si>
    <t>https://www.smpartners.co.uk/</t>
  </si>
  <si>
    <t>954710</t>
  </si>
  <si>
    <t>932482</t>
  </si>
  <si>
    <t>https://www.stpaulsfinancial.co.uk/</t>
  </si>
  <si>
    <t>941258</t>
  </si>
  <si>
    <t>https://www.stcolumbfinancialservices.co.uk/</t>
  </si>
  <si>
    <t>195351</t>
  </si>
  <si>
    <t>992297</t>
  </si>
  <si>
    <t>https://www.stanbridge-wealth.co.uk/</t>
  </si>
  <si>
    <t>439567</t>
  </si>
  <si>
    <t>https://www.standardlife.co.uk/</t>
  </si>
  <si>
    <t>213326</t>
  </si>
  <si>
    <t>https://www.starfp.co.uk/</t>
  </si>
  <si>
    <t>592631</t>
  </si>
  <si>
    <t>846691</t>
  </si>
  <si>
    <t>https://www.suwealth.co.uk/</t>
  </si>
  <si>
    <t>956372</t>
  </si>
  <si>
    <t>https://www.startfp.co.uk/</t>
  </si>
  <si>
    <t>401761</t>
  </si>
  <si>
    <t>https://www.statehousefinancial.uk/</t>
  </si>
  <si>
    <t>403458</t>
  </si>
  <si>
    <t>https://www.stegglesandco.com/</t>
  </si>
  <si>
    <t>942874</t>
  </si>
  <si>
    <t>https://www.stemfinancial.co.uk/</t>
  </si>
  <si>
    <t>524966</t>
  </si>
  <si>
    <t>https://www.sbsfp.co.uk/</t>
  </si>
  <si>
    <t>451293</t>
  </si>
  <si>
    <t>713294</t>
  </si>
  <si>
    <t>758548</t>
  </si>
  <si>
    <t>139034</t>
  </si>
  <si>
    <t>193137</t>
  </si>
  <si>
    <t>504022</t>
  </si>
  <si>
    <t>https://www.fairtrade-ifa.co.uk/</t>
  </si>
  <si>
    <t>550716</t>
  </si>
  <si>
    <t>496377</t>
  </si>
  <si>
    <t>https://www.stephentrowbridge.ifa-web.co.uk/</t>
  </si>
  <si>
    <t>419684</t>
  </si>
  <si>
    <t>191340</t>
  </si>
  <si>
    <t>715787</t>
  </si>
  <si>
    <t>919575</t>
  </si>
  <si>
    <t>589048</t>
  </si>
  <si>
    <t>576846</t>
  </si>
  <si>
    <t>627725</t>
  </si>
  <si>
    <t>https://www.sterling-a-m.com/</t>
  </si>
  <si>
    <t>409749</t>
  </si>
  <si>
    <t>https://www.sterlingfs.org/</t>
  </si>
  <si>
    <t>469508</t>
  </si>
  <si>
    <t>https://www.sterling-ind.com/</t>
  </si>
  <si>
    <t>599275</t>
  </si>
  <si>
    <t>719241</t>
  </si>
  <si>
    <t>https://www.sterlingscott.co.uk/</t>
  </si>
  <si>
    <t>220603</t>
  </si>
  <si>
    <t>231905</t>
  </si>
  <si>
    <t>https://www.swimltd.co.uk/</t>
  </si>
  <si>
    <t>484213</t>
  </si>
  <si>
    <t>464940</t>
  </si>
  <si>
    <t>https://www.ajlife.co.uk/</t>
  </si>
  <si>
    <t>460236</t>
  </si>
  <si>
    <t>997666</t>
  </si>
  <si>
    <t>https://www.sbcfinancial.co.uk/</t>
  </si>
  <si>
    <t>449592</t>
  </si>
  <si>
    <t>607613</t>
  </si>
  <si>
    <t>https://www.smawm.co.uk/</t>
  </si>
  <si>
    <t>538166</t>
  </si>
  <si>
    <t>794403</t>
  </si>
  <si>
    <t>783494</t>
  </si>
  <si>
    <t>https://www.stewartassetmanagement.co.uk/</t>
  </si>
  <si>
    <t>441394</t>
  </si>
  <si>
    <t>https://www.stewartifa.co.uk/</t>
  </si>
  <si>
    <t>227218</t>
  </si>
  <si>
    <t>https://www.stewartinvestmentplanning.co.uk/</t>
  </si>
  <si>
    <t>830065</t>
  </si>
  <si>
    <t>942822</t>
  </si>
  <si>
    <t>232169</t>
  </si>
  <si>
    <t>https://www.stilesfinancial.co.uk/</t>
  </si>
  <si>
    <t>424180</t>
  </si>
  <si>
    <t>413234</t>
  </si>
  <si>
    <t>https://www.stirling-house.com/</t>
  </si>
  <si>
    <t>302104</t>
  </si>
  <si>
    <t>606549</t>
  </si>
  <si>
    <t>https://www.stonehillfinancial.co.uk/</t>
  </si>
  <si>
    <t>454859</t>
  </si>
  <si>
    <t>224999</t>
  </si>
  <si>
    <t>492124</t>
  </si>
  <si>
    <t>https://www.stonewaterwm.com/</t>
  </si>
  <si>
    <t>149889</t>
  </si>
  <si>
    <t>https://www.stonewoodfinancialplanning.com/</t>
  </si>
  <si>
    <t>533119</t>
  </si>
  <si>
    <t>777463</t>
  </si>
  <si>
    <t>https://www.storrswealthplanning.co.uk/</t>
  </si>
  <si>
    <t>931893</t>
  </si>
  <si>
    <t>https://www.stoverfp.co.uk/</t>
  </si>
  <si>
    <t>616403</t>
  </si>
  <si>
    <t>https://www.strataifa.co.uk/</t>
  </si>
  <si>
    <t>819330</t>
  </si>
  <si>
    <t>https://www.stratagemfp.co.uk/</t>
  </si>
  <si>
    <t>195081</t>
  </si>
  <si>
    <t>https://www.strategicassetmanagers.co.uk/</t>
  </si>
  <si>
    <t>470092</t>
  </si>
  <si>
    <t>413227</t>
  </si>
  <si>
    <t>https://www.strategicifa.co.uk/</t>
  </si>
  <si>
    <t>181703</t>
  </si>
  <si>
    <t>509804</t>
  </si>
  <si>
    <t>https://www.srsifa.co.uk/</t>
  </si>
  <si>
    <t>525733</t>
  </si>
  <si>
    <t>https://www.ssfs.co.uk/</t>
  </si>
  <si>
    <t>497938</t>
  </si>
  <si>
    <t>https://www.svwm.co.uk/</t>
  </si>
  <si>
    <t>784088</t>
  </si>
  <si>
    <t>400531</t>
  </si>
  <si>
    <t>https://www.strathayr.co.uk/</t>
  </si>
  <si>
    <t>616202</t>
  </si>
  <si>
    <t>845274</t>
  </si>
  <si>
    <t>https://www.strattonwm.co.uk/</t>
  </si>
  <si>
    <t>227838</t>
  </si>
  <si>
    <t>116445</t>
  </si>
  <si>
    <t>https://www.sfcplc.co.uk/</t>
  </si>
  <si>
    <t>435492</t>
  </si>
  <si>
    <t>https://www.struanfm.co.uk/</t>
  </si>
  <si>
    <t>440742</t>
  </si>
  <si>
    <t>STRUCTURED FINANCIAL PLANNING LTD.</t>
  </si>
  <si>
    <t>https://www.sfp-ifa.co.uk/</t>
  </si>
  <si>
    <t>114640</t>
  </si>
  <si>
    <t>705772</t>
  </si>
  <si>
    <t>470835</t>
  </si>
  <si>
    <t>https://www.smifs.org.uk/</t>
  </si>
  <si>
    <t>116140</t>
  </si>
  <si>
    <t>630999</t>
  </si>
  <si>
    <t>https://www.studio61wealthmanagement.co.uk/</t>
  </si>
  <si>
    <t>190659</t>
  </si>
  <si>
    <t>https://www.sturdyedwards.co.uk/</t>
  </si>
  <si>
    <t>512604</t>
  </si>
  <si>
    <t>STYLE INSURANCE AND MORTGAGE SERVICES LIMITED</t>
  </si>
  <si>
    <t>583115</t>
  </si>
  <si>
    <t>313234</t>
  </si>
  <si>
    <t>605085</t>
  </si>
  <si>
    <t>446821</t>
  </si>
  <si>
    <t>590083</t>
  </si>
  <si>
    <t>1015874</t>
  </si>
  <si>
    <t>Sunlaw Financial Planning Ltd</t>
  </si>
  <si>
    <t>468093</t>
  </si>
  <si>
    <t>SUPA 9 LIMITED</t>
  </si>
  <si>
    <t>144732</t>
  </si>
  <si>
    <t>https://www.supremewm.co.uk/</t>
  </si>
  <si>
    <t>787019</t>
  </si>
  <si>
    <t>https://www.surreydowns-fs.co.uk/</t>
  </si>
  <si>
    <t>914187</t>
  </si>
  <si>
    <t>https://www.surreyhillsfm.co.uk/</t>
  </si>
  <si>
    <t>833211</t>
  </si>
  <si>
    <t>https://www.surreywealth.co.uk/</t>
  </si>
  <si>
    <t>959557</t>
  </si>
  <si>
    <t>https://www.scrfinancial.co.uk/</t>
  </si>
  <si>
    <t>207490</t>
  </si>
  <si>
    <t>https://www.sussexifa.com/</t>
  </si>
  <si>
    <t>950809</t>
  </si>
  <si>
    <t>587707</t>
  </si>
  <si>
    <t>https://www.sutherlandifa.com/</t>
  </si>
  <si>
    <t>400072</t>
  </si>
  <si>
    <t>455848</t>
  </si>
  <si>
    <t>https://www.suttonsifa.co.uk/</t>
  </si>
  <si>
    <t>222033</t>
  </si>
  <si>
    <t>https://www.swlaw.co.uk/</t>
  </si>
  <si>
    <t>442051</t>
  </si>
  <si>
    <t>https://www.si-financial.co.uk/</t>
  </si>
  <si>
    <t>428377</t>
  </si>
  <si>
    <t>https://www.symphony.uk.net/</t>
  </si>
  <si>
    <t>312416</t>
  </si>
  <si>
    <t>https://www.sfpl.co.uk/</t>
  </si>
  <si>
    <t>672780</t>
  </si>
  <si>
    <t>https://www.tmfinancialplanningltd.co.uk/</t>
  </si>
  <si>
    <t>154750</t>
  </si>
  <si>
    <t>191246</t>
  </si>
  <si>
    <t>940374</t>
  </si>
  <si>
    <t>140448</t>
  </si>
  <si>
    <t>463965</t>
  </si>
  <si>
    <t>938844</t>
  </si>
  <si>
    <t>https://www.tw-tm.co.uk/index.php</t>
  </si>
  <si>
    <t>150458</t>
  </si>
  <si>
    <t>https://www.talisifa.com/</t>
  </si>
  <si>
    <t>912037</t>
  </si>
  <si>
    <t>https://www.tallowfp.com/</t>
  </si>
  <si>
    <t>218265</t>
  </si>
  <si>
    <t>https://www.talonassociates.co.uk/</t>
  </si>
  <si>
    <t>726448</t>
  </si>
  <si>
    <t>484938</t>
  </si>
  <si>
    <t>https://www.tandyfinancialservices.co.uk/</t>
  </si>
  <si>
    <t>767888</t>
  </si>
  <si>
    <t>https://www.tarranandco.co.uk/</t>
  </si>
  <si>
    <t>516955</t>
  </si>
  <si>
    <t>136169</t>
  </si>
  <si>
    <t>https://www.tavistock.org.uk/</t>
  </si>
  <si>
    <t>230342</t>
  </si>
  <si>
    <t>https://www.tavistockinvestments.com/</t>
  </si>
  <si>
    <t>210782</t>
  </si>
  <si>
    <t>448774</t>
  </si>
  <si>
    <t>622534</t>
  </si>
  <si>
    <t>https://www.taylorcobby.co.uk/</t>
  </si>
  <si>
    <t>583300</t>
  </si>
  <si>
    <t>https://www.taylormoney.com/</t>
  </si>
  <si>
    <t>550013</t>
  </si>
  <si>
    <t>https://www.taylorwatsonfm.com/</t>
  </si>
  <si>
    <t>142521</t>
  </si>
  <si>
    <t>https://www.taylorwithers.co.uk/</t>
  </si>
  <si>
    <t>535867</t>
  </si>
  <si>
    <t>229461</t>
  </si>
  <si>
    <t>609364</t>
  </si>
  <si>
    <t>514205</t>
  </si>
  <si>
    <t>229893</t>
  </si>
  <si>
    <t>https://www.second-sight.com/</t>
  </si>
  <si>
    <t>211314</t>
  </si>
  <si>
    <t>https://www.teeslaw.com/</t>
  </si>
  <si>
    <t>625913</t>
  </si>
  <si>
    <t>https://www.teessidefinancial.com/</t>
  </si>
  <si>
    <t>143390</t>
  </si>
  <si>
    <t>https://www.titanpi.co.uk/</t>
  </si>
  <si>
    <t>740108</t>
  </si>
  <si>
    <t>https://www.tempest-associates.co.uk/</t>
  </si>
  <si>
    <t>401740</t>
  </si>
  <si>
    <t>https://www.templebar.co.uk/</t>
  </si>
  <si>
    <t>753975</t>
  </si>
  <si>
    <t>https://www.templegray.co.uk/</t>
  </si>
  <si>
    <t>600514</t>
  </si>
  <si>
    <t>650936</t>
  </si>
  <si>
    <t>137013</t>
  </si>
  <si>
    <t>https://www.midwayprofessions.couk/</t>
  </si>
  <si>
    <t>667433</t>
  </si>
  <si>
    <t>https://www.tfp-fp.com/</t>
  </si>
  <si>
    <t>609980</t>
  </si>
  <si>
    <t>https://www.thamesidefp.com/</t>
  </si>
  <si>
    <t>496300</t>
  </si>
  <si>
    <t>403248</t>
  </si>
  <si>
    <t>952637</t>
  </si>
  <si>
    <t>195273</t>
  </si>
  <si>
    <t>https://www.bwifa.co.uk/</t>
  </si>
  <si>
    <t>447546</t>
  </si>
  <si>
    <t>134778</t>
  </si>
  <si>
    <t>https://www.cfgfinancialadvisors.co.uk/</t>
  </si>
  <si>
    <t>121885</t>
  </si>
  <si>
    <t>https://www.co-operativebank.co.uk/</t>
  </si>
  <si>
    <t>941826</t>
  </si>
  <si>
    <t>https://www.davidhewittifa.com/</t>
  </si>
  <si>
    <t>442875</t>
  </si>
  <si>
    <t>https://www.tdpl.biz/</t>
  </si>
  <si>
    <t>186996</t>
  </si>
  <si>
    <t>https://www.ethicalmoney.org/</t>
  </si>
  <si>
    <t>192557</t>
  </si>
  <si>
    <t>https://www.the-ethical-partnership.co.uk/</t>
  </si>
  <si>
    <t>724852</t>
  </si>
  <si>
    <t>193711</t>
  </si>
  <si>
    <t>https://www.ficbrookfields.co.uk/</t>
  </si>
  <si>
    <t>567504</t>
  </si>
  <si>
    <t>https://www.financial-partnership.co.uk/</t>
  </si>
  <si>
    <t>487312</t>
  </si>
  <si>
    <t>436500</t>
  </si>
  <si>
    <t>149979</t>
  </si>
  <si>
    <t>207708</t>
  </si>
  <si>
    <t>143190</t>
  </si>
  <si>
    <t>https://www.henleylifeandpensions.com/</t>
  </si>
  <si>
    <t>226779</t>
  </si>
  <si>
    <t>https://www.iabltd.co.uk/</t>
  </si>
  <si>
    <t>209525</t>
  </si>
  <si>
    <t>https://www.iamcompany.co.uk/</t>
  </si>
  <si>
    <t>509016</t>
  </si>
  <si>
    <t>https://www.informedfinancialplanning.co.uk/</t>
  </si>
  <si>
    <t>232445</t>
  </si>
  <si>
    <t>192743</t>
  </si>
  <si>
    <t>https://www.adassociates.co.uk/</t>
  </si>
  <si>
    <t>110058</t>
  </si>
  <si>
    <t>https://www.kensingtonfriendly.com/</t>
  </si>
  <si>
    <t>193086</t>
  </si>
  <si>
    <t>https://www.lifeandpensionsnetwork.co.uk/</t>
  </si>
  <si>
    <t>629324</t>
  </si>
  <si>
    <t>745901</t>
  </si>
  <si>
    <t>https://www.tmplimited.co.uk/</t>
  </si>
  <si>
    <t>504571</t>
  </si>
  <si>
    <t>https://www.savvyfp.co.uk/</t>
  </si>
  <si>
    <t>117664</t>
  </si>
  <si>
    <t>https://www.nfumutual.co.uk/</t>
  </si>
  <si>
    <t>192638</t>
  </si>
  <si>
    <t>https://www.inpartnership.net/</t>
  </si>
  <si>
    <t>615504</t>
  </si>
  <si>
    <t>827270</t>
  </si>
  <si>
    <t>https://www.thepath.co.uk/</t>
  </si>
  <si>
    <t>709479</t>
  </si>
  <si>
    <t>https://www.pension-drawdown.co.uk/</t>
  </si>
  <si>
    <t>725689</t>
  </si>
  <si>
    <t>https://www.thepensionsadviser.co.uk/</t>
  </si>
  <si>
    <t>627747</t>
  </si>
  <si>
    <t>https://www.pentagonpartnership.co.uk/</t>
  </si>
  <si>
    <t>209446</t>
  </si>
  <si>
    <t>https://www.premierpartnership.co.uk/</t>
  </si>
  <si>
    <t>771963</t>
  </si>
  <si>
    <t>114724</t>
  </si>
  <si>
    <t>https://www.rbs.co.uk/</t>
  </si>
  <si>
    <t>224139</t>
  </si>
  <si>
    <t>https://www.safeinsuranceagency.com/</t>
  </si>
  <si>
    <t>959221</t>
  </si>
  <si>
    <t>https://www.se7en.me.uk/</t>
  </si>
  <si>
    <t>945057</t>
  </si>
  <si>
    <t>https://www.stonegatewealth.co.uk/</t>
  </si>
  <si>
    <t>432009</t>
  </si>
  <si>
    <t>519014</t>
  </si>
  <si>
    <t>479780</t>
  </si>
  <si>
    <t>https://www.tfmllp.co.uk/</t>
  </si>
  <si>
    <t>610170</t>
  </si>
  <si>
    <t>https://www.thewealthcarepartnership.co.uk/</t>
  </si>
  <si>
    <t>443827</t>
  </si>
  <si>
    <t>https://www.wealth-group.co.uk/</t>
  </si>
  <si>
    <t>467903</t>
  </si>
  <si>
    <t>https://www.wmgcares.com/</t>
  </si>
  <si>
    <t>220234</t>
  </si>
  <si>
    <t>190859</t>
  </si>
  <si>
    <t>926034</t>
  </si>
  <si>
    <t>145280</t>
  </si>
  <si>
    <t>https://www.theisensecurities.com/</t>
  </si>
  <si>
    <t>533556</t>
  </si>
  <si>
    <t>114354</t>
  </si>
  <si>
    <t>https://www.thesisam.com/</t>
  </si>
  <si>
    <t>943190</t>
  </si>
  <si>
    <t>484813</t>
  </si>
  <si>
    <t>https://www.thinking-finance.co.uk/</t>
  </si>
  <si>
    <t>438796</t>
  </si>
  <si>
    <t>https://www.thomasandgentry.co.uk/</t>
  </si>
  <si>
    <t>479335</t>
  </si>
  <si>
    <t>https://www.thomasandthomasfinance.co.uk/</t>
  </si>
  <si>
    <t>415656</t>
  </si>
  <si>
    <t>475009</t>
  </si>
  <si>
    <t>526095</t>
  </si>
  <si>
    <t>450497</t>
  </si>
  <si>
    <t>https://www.thomascarroll.co.uk/</t>
  </si>
  <si>
    <t>416226</t>
  </si>
  <si>
    <t>https://www.tamac.com/</t>
  </si>
  <si>
    <t>136254</t>
  </si>
  <si>
    <t>https://www.thompsonandrichardson.co.uk/</t>
  </si>
  <si>
    <t>814454</t>
  </si>
  <si>
    <t>https://www.thompsoncavendishltd.com/</t>
  </si>
  <si>
    <t>415562</t>
  </si>
  <si>
    <t>https://www.themodernifa.co.uk/</t>
  </si>
  <si>
    <t>104673</t>
  </si>
  <si>
    <t>https://www.thomsoncooper.com/</t>
  </si>
  <si>
    <t>722559</t>
  </si>
  <si>
    <t>https://www.thomsonwealth.co.uk/</t>
  </si>
  <si>
    <t>574676</t>
  </si>
  <si>
    <t>613500</t>
  </si>
  <si>
    <t>https://www.drumnor.co.uk/</t>
  </si>
  <si>
    <t>222411</t>
  </si>
  <si>
    <t>145005</t>
  </si>
  <si>
    <t>https://www.three-counties.co.uk/</t>
  </si>
  <si>
    <t>827982</t>
  </si>
  <si>
    <t>https://www.throgmortoncm.co.uk/</t>
  </si>
  <si>
    <t>431157</t>
  </si>
  <si>
    <t>https://www.throgmortonltd.co.uk/</t>
  </si>
  <si>
    <t>752684</t>
  </si>
  <si>
    <t>https://www.throgmortonwm.co.uk/</t>
  </si>
  <si>
    <t>125772</t>
  </si>
  <si>
    <t>https://www.thurlowe-clarke.co.uk/</t>
  </si>
  <si>
    <t>218103</t>
  </si>
  <si>
    <t>513637</t>
  </si>
  <si>
    <t>https://www.timefinancialmanagement.co.uk/</t>
  </si>
  <si>
    <t>596827</t>
  </si>
  <si>
    <t>https://www.timelinewealth.com/</t>
  </si>
  <si>
    <t>1007121</t>
  </si>
  <si>
    <t>Timely Wealth Management Ltd</t>
  </si>
  <si>
    <t>https://www.timelywm.com/</t>
  </si>
  <si>
    <t>137325</t>
  </si>
  <si>
    <t>https://www.timminswhittaker.co.uk/</t>
  </si>
  <si>
    <t>496126</t>
  </si>
  <si>
    <t>https://www.morlandpotter.co.uk/</t>
  </si>
  <si>
    <t>440982</t>
  </si>
  <si>
    <t>https://www.timjpollitt.co.uk/</t>
  </si>
  <si>
    <t>509803</t>
  </si>
  <si>
    <t>https://www.tisco.co.uk/</t>
  </si>
  <si>
    <t>226354</t>
  </si>
  <si>
    <t>https://www.tkwhite.co.uk/</t>
  </si>
  <si>
    <t>604979</t>
  </si>
  <si>
    <t>227780</t>
  </si>
  <si>
    <t>195581</t>
  </si>
  <si>
    <t>https://www.tms-capital.com/</t>
  </si>
  <si>
    <t>760687</t>
  </si>
  <si>
    <t>https://www.toddingtonifa.co.uk/</t>
  </si>
  <si>
    <t>739532</t>
  </si>
  <si>
    <t>941061</t>
  </si>
  <si>
    <t>https://www.tonyrevans.co.uk/</t>
  </si>
  <si>
    <t>458559</t>
  </si>
  <si>
    <t>https://www.tonyrogersifa.com/</t>
  </si>
  <si>
    <t>717555</t>
  </si>
  <si>
    <t>https://www.tonytylerfinancialservices.co.uk/</t>
  </si>
  <si>
    <t>122336</t>
  </si>
  <si>
    <t>183210</t>
  </si>
  <si>
    <t>https://www.torevellpartners.co.uk/</t>
  </si>
  <si>
    <t>618460</t>
  </si>
  <si>
    <t>https://www.torphin.co.uk/</t>
  </si>
  <si>
    <t>432886</t>
  </si>
  <si>
    <t>https://www.wtwco.com/</t>
  </si>
  <si>
    <t>947091</t>
  </si>
  <si>
    <t>527161</t>
  </si>
  <si>
    <t>https://www.tandc.org.uk/</t>
  </si>
  <si>
    <t>431113</t>
  </si>
  <si>
    <t>994538</t>
  </si>
  <si>
    <t>https://www.townendswealth.co.uk/</t>
  </si>
  <si>
    <t>466675</t>
  </si>
  <si>
    <t>https://www.tozer-insurance.co.uk/</t>
  </si>
  <si>
    <t>606559</t>
  </si>
  <si>
    <t>https://www.tpdwealth.co.uk/</t>
  </si>
  <si>
    <t>835577</t>
  </si>
  <si>
    <t>460024</t>
  </si>
  <si>
    <t>518150</t>
  </si>
  <si>
    <t>https://www.travisyates.com/</t>
  </si>
  <si>
    <t>452494</t>
  </si>
  <si>
    <t>627974</t>
  </si>
  <si>
    <t>https://www.trentriver.co.uk/</t>
  </si>
  <si>
    <t>218325</t>
  </si>
  <si>
    <t>https://www.trenthaminvest.co.uk/</t>
  </si>
  <si>
    <t>430792</t>
  </si>
  <si>
    <t>118176</t>
  </si>
  <si>
    <t>521913</t>
  </si>
  <si>
    <t>843149</t>
  </si>
  <si>
    <t>https://www.trilogyfp.co.uk/</t>
  </si>
  <si>
    <t>605914</t>
  </si>
  <si>
    <t>486512</t>
  </si>
  <si>
    <t>482278</t>
  </si>
  <si>
    <t>513655</t>
  </si>
  <si>
    <t>https://www.trulyifa.co.uk/</t>
  </si>
  <si>
    <t>789403</t>
  </si>
  <si>
    <t>https://www.truscottwm.co.uk/</t>
  </si>
  <si>
    <t>610236</t>
  </si>
  <si>
    <t>425729</t>
  </si>
  <si>
    <t>https://www.trustmatters.co.uk/</t>
  </si>
  <si>
    <t>744938</t>
  </si>
  <si>
    <t>225179</t>
  </si>
  <si>
    <t>https://www.trustedadvisor.co.uk/</t>
  </si>
  <si>
    <t>815352</t>
  </si>
  <si>
    <t>https://www.trustedfinancialplanning.co.uk/</t>
  </si>
  <si>
    <t>726208</t>
  </si>
  <si>
    <t>https://www.trustedplanning.co.uk/</t>
  </si>
  <si>
    <t>196681</t>
  </si>
  <si>
    <t>https://www.trustlaw-ifa.co.uk/</t>
  </si>
  <si>
    <t>196946</t>
  </si>
  <si>
    <t>https://www.key-wealth.com/</t>
  </si>
  <si>
    <t>947911</t>
  </si>
  <si>
    <t>459623</t>
  </si>
  <si>
    <t>https://www.t-fo.co.uk/</t>
  </si>
  <si>
    <t>112720</t>
  </si>
  <si>
    <t>https://www.turpinbarkerarmstrong.co.uk/</t>
  </si>
  <si>
    <t>506203</t>
  </si>
  <si>
    <t>766665</t>
  </si>
  <si>
    <t>223678</t>
  </si>
  <si>
    <t>464138</t>
  </si>
  <si>
    <t>https://www.twismo.co.uk/</t>
  </si>
  <si>
    <t>1001528</t>
  </si>
  <si>
    <t>https://www.2shires.uk/</t>
  </si>
  <si>
    <t>563343</t>
  </si>
  <si>
    <t>https://www.twpwealth.com/</t>
  </si>
  <si>
    <t>606307</t>
  </si>
  <si>
    <t>230900</t>
  </si>
  <si>
    <t>440577</t>
  </si>
  <si>
    <t>https://www.unavida.co.uk/</t>
  </si>
  <si>
    <t>231993</t>
  </si>
  <si>
    <t>https://www.stjohnshouse.uk/</t>
  </si>
  <si>
    <t>622476</t>
  </si>
  <si>
    <t>https://www.unbiasedfp.co.uk/</t>
  </si>
  <si>
    <t>594440</t>
  </si>
  <si>
    <t>https://www.uniqfamilywealth.co.uk/</t>
  </si>
  <si>
    <t>809231</t>
  </si>
  <si>
    <t>https://www.unityconsultants.org/</t>
  </si>
  <si>
    <t>603185</t>
  </si>
  <si>
    <t>774324</t>
  </si>
  <si>
    <t>https://www.unitywealthmanagement.co.uk/</t>
  </si>
  <si>
    <t>403154</t>
  </si>
  <si>
    <t>https://www.universal-finance.co.uk/</t>
  </si>
  <si>
    <t>913719</t>
  </si>
  <si>
    <t>https://www.universefa.co.uk/</t>
  </si>
  <si>
    <t>575246</t>
  </si>
  <si>
    <t>https://www.urquhartasset.com/</t>
  </si>
  <si>
    <t>816718</t>
  </si>
  <si>
    <t>https://www.utopiawealth.co.uk/</t>
  </si>
  <si>
    <t>415900</t>
  </si>
  <si>
    <t>https://www.valeam.co.uk/</t>
  </si>
  <si>
    <t>491461</t>
  </si>
  <si>
    <t>https://www.valeifa.com/</t>
  </si>
  <si>
    <t>486776</t>
  </si>
  <si>
    <t>https://www.v2vfp.co.uk/</t>
  </si>
  <si>
    <t>714199</t>
  </si>
  <si>
    <t>https://www.vdmassociates.co.uk/</t>
  </si>
  <si>
    <t>833851</t>
  </si>
  <si>
    <t>790419</t>
  </si>
  <si>
    <t>953492</t>
  </si>
  <si>
    <t>https://www.velariumwealth.com/</t>
  </si>
  <si>
    <t>122451</t>
  </si>
  <si>
    <t>https://www.vencap.com/</t>
  </si>
  <si>
    <t>231418</t>
  </si>
  <si>
    <t>https://www.vennwatson.com/</t>
  </si>
  <si>
    <t>172974</t>
  </si>
  <si>
    <t>958446</t>
  </si>
  <si>
    <t>https://www.venturefinancial.co.uk/</t>
  </si>
  <si>
    <t>928401</t>
  </si>
  <si>
    <t>https://www.verdantfp.co.uk/</t>
  </si>
  <si>
    <t>713714</t>
  </si>
  <si>
    <t>https://www.verityfinancial.co.uk/</t>
  </si>
  <si>
    <t>618523</t>
  </si>
  <si>
    <t>https://www.veritywm.co.uk/</t>
  </si>
  <si>
    <t>576184</t>
  </si>
  <si>
    <t>https://www.vpwm.co.uk/</t>
  </si>
  <si>
    <t>628982</t>
  </si>
  <si>
    <t>525771</t>
  </si>
  <si>
    <t>https://www.verusfp.co.uk/</t>
  </si>
  <si>
    <t>567852</t>
  </si>
  <si>
    <t>https://www.vestawealth.co.uk/</t>
  </si>
  <si>
    <t>401049</t>
  </si>
  <si>
    <t>https://www.victoriaprivateinvestment.com/</t>
  </si>
  <si>
    <t>424343</t>
  </si>
  <si>
    <t>770606</t>
  </si>
  <si>
    <t>https://www.vincowealth.co.uk/</t>
  </si>
  <si>
    <t>930109</t>
  </si>
  <si>
    <t>https://www.virtuplanning.co.uk/</t>
  </si>
  <si>
    <t>478519</t>
  </si>
  <si>
    <t>610521</t>
  </si>
  <si>
    <t>https://www.visionfs.co.uk/</t>
  </si>
  <si>
    <t>551169</t>
  </si>
  <si>
    <t>https://www.visionifas.co.uk/</t>
  </si>
  <si>
    <t>487395</t>
  </si>
  <si>
    <t>https://www.visionifp.co.uk/</t>
  </si>
  <si>
    <t>987228</t>
  </si>
  <si>
    <t>https://www.vitafp.co.uk/</t>
  </si>
  <si>
    <t>628609</t>
  </si>
  <si>
    <t>999207</t>
  </si>
  <si>
    <t>https://www.vividwealth.co.uk/</t>
  </si>
  <si>
    <t>401041</t>
  </si>
  <si>
    <t>https://www.vwmwealth.com/</t>
  </si>
  <si>
    <t>146480</t>
  </si>
  <si>
    <t>https://www.wbbaxter.co.uk/</t>
  </si>
  <si>
    <t>952534</t>
  </si>
  <si>
    <t>https://www.wwealth.co.uk/</t>
  </si>
  <si>
    <t>439620</t>
  </si>
  <si>
    <t>https://www.blackdownfinancial.co.uk/</t>
  </si>
  <si>
    <t>548056</t>
  </si>
  <si>
    <t>403360</t>
  </si>
  <si>
    <t>746535</t>
  </si>
  <si>
    <t>https://www.wakeupyourwealth.com/</t>
  </si>
  <si>
    <t>491834</t>
  </si>
  <si>
    <t>https://www.waldencapital.co.uk/</t>
  </si>
  <si>
    <t>480909</t>
  </si>
  <si>
    <t>https://www.walfordandphelps.co.uk/</t>
  </si>
  <si>
    <t>142825</t>
  </si>
  <si>
    <t>104753</t>
  </si>
  <si>
    <t>https://www.walkerdunnett.co.uk/</t>
  </si>
  <si>
    <t>625309</t>
  </si>
  <si>
    <t>226348</t>
  </si>
  <si>
    <t>https://www.wallacenichols.co.uk/</t>
  </si>
  <si>
    <t>964188</t>
  </si>
  <si>
    <t>459771</t>
  </si>
  <si>
    <t>https://www.johnsoncrilly.co.uk/</t>
  </si>
  <si>
    <t>126671</t>
  </si>
  <si>
    <t>221867</t>
  </si>
  <si>
    <t>739963</t>
  </si>
  <si>
    <t>https://www.wardourinvestments.com/</t>
  </si>
  <si>
    <t>623847</t>
  </si>
  <si>
    <t>464973</t>
  </si>
  <si>
    <t>https://www.warnergoodman.co.uk/</t>
  </si>
  <si>
    <t>572605</t>
  </si>
  <si>
    <t>300899</t>
  </si>
  <si>
    <t>https://www.warrenifa.co.uk/</t>
  </si>
  <si>
    <t>153446</t>
  </si>
  <si>
    <t>https://www.warrenifa.com/</t>
  </si>
  <si>
    <t>590162</t>
  </si>
  <si>
    <t>476454</t>
  </si>
  <si>
    <t>467173</t>
  </si>
  <si>
    <t>https://www.wifs.co.uk/</t>
  </si>
  <si>
    <t>945304</t>
  </si>
  <si>
    <t>https://www.watchornfs.co.uk/</t>
  </si>
  <si>
    <t>138276</t>
  </si>
  <si>
    <t>https://www.waterfordinvestments.co.uk/</t>
  </si>
  <si>
    <t>828533</t>
  </si>
  <si>
    <t>https://www.wwm.ltd/</t>
  </si>
  <si>
    <t>454764</t>
  </si>
  <si>
    <t>https://www.watersidewealth.co.uk/</t>
  </si>
  <si>
    <t>959118</t>
  </si>
  <si>
    <t>https://www.watsonfinancialplanning.co.uk/</t>
  </si>
  <si>
    <t>210094</t>
  </si>
  <si>
    <t>https://www.watsonfrench.co.uk/</t>
  </si>
  <si>
    <t>433008</t>
  </si>
  <si>
    <t>https://www.watsonmooreifa.com/</t>
  </si>
  <si>
    <t>806354</t>
  </si>
  <si>
    <t>https://www.watsonwoodfp.co.uk/</t>
  </si>
  <si>
    <t>705072</t>
  </si>
  <si>
    <t>https://www.wattfinancialplanning.co.uk/</t>
  </si>
  <si>
    <t>612757</t>
  </si>
  <si>
    <t>529061</t>
  </si>
  <si>
    <t>700077</t>
  </si>
  <si>
    <t>573420</t>
  </si>
  <si>
    <t>457930</t>
  </si>
  <si>
    <t>https://www.pfgl.co.uk/wealth-experts</t>
  </si>
  <si>
    <t>779806</t>
  </si>
  <si>
    <t>https://www.wealth-generation.com/</t>
  </si>
  <si>
    <t>513250</t>
  </si>
  <si>
    <t>300635</t>
  </si>
  <si>
    <t>https://www.wealth-matters.co.uk/</t>
  </si>
  <si>
    <t>563909</t>
  </si>
  <si>
    <t>https://www.wealthofadvice.co.uk/</t>
  </si>
  <si>
    <t>804990</t>
  </si>
  <si>
    <t>468059</t>
  </si>
  <si>
    <t>596641</t>
  </si>
  <si>
    <t>https://www.wealthwizards.com/</t>
  </si>
  <si>
    <t>207647</t>
  </si>
  <si>
    <t>https://www.wealthcare.co.uk/</t>
  </si>
  <si>
    <t>629975</t>
  </si>
  <si>
    <t>https://www.wealthcareifa.uk/</t>
  </si>
  <si>
    <t>921103</t>
  </si>
  <si>
    <t>https://www.aabwealthflow.uk/</t>
  </si>
  <si>
    <t>684319</t>
  </si>
  <si>
    <t>766509</t>
  </si>
  <si>
    <t>https://www.wealthmax.co.uk/</t>
  </si>
  <si>
    <t>938243</t>
  </si>
  <si>
    <t>https://www.wealthway.com/</t>
  </si>
  <si>
    <t>516797</t>
  </si>
  <si>
    <t>https://www.wealthwise.co.uk/</t>
  </si>
  <si>
    <t>401507</t>
  </si>
  <si>
    <t>937742</t>
  </si>
  <si>
    <t>https://www.wealthwisefs.co.uk/</t>
  </si>
  <si>
    <t>204571</t>
  </si>
  <si>
    <t>https://www.weatherbys.bank/</t>
  </si>
  <si>
    <t>697372</t>
  </si>
  <si>
    <t>https://www.welbyassociates.co.uk/</t>
  </si>
  <si>
    <t>911599</t>
  </si>
  <si>
    <t>https://www.weldons.co.uk/</t>
  </si>
  <si>
    <t>717874</t>
  </si>
  <si>
    <t>https://www.wellington-wealth.com/</t>
  </si>
  <si>
    <t>570863</t>
  </si>
  <si>
    <t>https://www.wellsfinancial.co.uk/</t>
  </si>
  <si>
    <t>731027</t>
  </si>
  <si>
    <t>https://www.wellsgibson.uk/</t>
  </si>
  <si>
    <t>504210</t>
  </si>
  <si>
    <t>479708</t>
  </si>
  <si>
    <t>https://www.wendoverfinancial.co.uk/</t>
  </si>
  <si>
    <t>828198</t>
  </si>
  <si>
    <t>https://www.wensonsfinancial.com/</t>
  </si>
  <si>
    <t>430299</t>
  </si>
  <si>
    <t>https://www.wessexfinancial.co.uk/</t>
  </si>
  <si>
    <t>400509</t>
  </si>
  <si>
    <t>https://www.wessexim.co.uk/</t>
  </si>
  <si>
    <t>807518</t>
  </si>
  <si>
    <t>https://www.westendfml.co.uk/</t>
  </si>
  <si>
    <t>136778</t>
  </si>
  <si>
    <t>705843</t>
  </si>
  <si>
    <t>https://www.wmwm.org.uk/</t>
  </si>
  <si>
    <t>402246</t>
  </si>
  <si>
    <t>https://www.wrpfs.com/</t>
  </si>
  <si>
    <t>593747</t>
  </si>
  <si>
    <t>480405</t>
  </si>
  <si>
    <t>https://www.westernfinancialplanning.co.uk/</t>
  </si>
  <si>
    <t>146499</t>
  </si>
  <si>
    <t>https://www.wmm.co.uk/</t>
  </si>
  <si>
    <t>147608</t>
  </si>
  <si>
    <t>430680</t>
  </si>
  <si>
    <t>https://www.westward-fm.com/</t>
  </si>
  <si>
    <t>555567</t>
  </si>
  <si>
    <t>https://www.weybrook.co.uk/</t>
  </si>
  <si>
    <t>191531</t>
  </si>
  <si>
    <t>https://www.wingatebs.com/</t>
  </si>
  <si>
    <t>751017</t>
  </si>
  <si>
    <t>https://www.crowdrating.co.uk/</t>
  </si>
  <si>
    <t>564770</t>
  </si>
  <si>
    <t>https://www.wheblefs.co.uk/</t>
  </si>
  <si>
    <t>403308</t>
  </si>
  <si>
    <t>https://www.wheelerwicks.co.uk/</t>
  </si>
  <si>
    <t>121356</t>
  </si>
  <si>
    <t>https://www.whiteknightgroup.co.uk/</t>
  </si>
  <si>
    <t>952823</t>
  </si>
  <si>
    <t>https://www.whitebeamfinancial.co.uk/</t>
  </si>
  <si>
    <t>400804</t>
  </si>
  <si>
    <t>437887</t>
  </si>
  <si>
    <t>953469</t>
  </si>
  <si>
    <t>463538</t>
  </si>
  <si>
    <t>https://www.whitehillfm.co.uk/</t>
  </si>
  <si>
    <t>1011921</t>
  </si>
  <si>
    <t>Whitehouse Money Ltd</t>
  </si>
  <si>
    <t>https://www.whitehousemoney.co.uk/</t>
  </si>
  <si>
    <t>149309</t>
  </si>
  <si>
    <t>Whiteleaf Financial Limited</t>
  </si>
  <si>
    <t>932404</t>
  </si>
  <si>
    <t>625340</t>
  </si>
  <si>
    <t>https://www.whitewellfinancialplanning.co.uk/</t>
  </si>
  <si>
    <t>118162</t>
  </si>
  <si>
    <t>https://www.whitings.co.uk/</t>
  </si>
  <si>
    <t>435190</t>
  </si>
  <si>
    <t>https://www.whitingswm.co.uk/</t>
  </si>
  <si>
    <t>627428</t>
  </si>
  <si>
    <t>https://www.whitmanfry.co.uk/</t>
  </si>
  <si>
    <t>409239</t>
  </si>
  <si>
    <t>https://www.whittakerfs.com/</t>
  </si>
  <si>
    <t>811803</t>
  </si>
  <si>
    <t>223496</t>
  </si>
  <si>
    <t>https://www.whytesharp.co.uk/</t>
  </si>
  <si>
    <t>672288</t>
  </si>
  <si>
    <t>https://www.wilcoxfp.co.uk/</t>
  </si>
  <si>
    <t>179387</t>
  </si>
  <si>
    <t>https://www.wildandcompany.ltd.uk/</t>
  </si>
  <si>
    <t>102577</t>
  </si>
  <si>
    <t>312045</t>
  </si>
  <si>
    <t>834207</t>
  </si>
  <si>
    <t>678996</t>
  </si>
  <si>
    <t>https://www.fryerglass.co.uk/</t>
  </si>
  <si>
    <t>470448</t>
  </si>
  <si>
    <t>226154</t>
  </si>
  <si>
    <t>https://www.howardsifa.co.uk/</t>
  </si>
  <si>
    <t>917125</t>
  </si>
  <si>
    <t>https://www.williamhighbourne.com/</t>
  </si>
  <si>
    <t>965267</t>
  </si>
  <si>
    <t>https://www.customerfirstfinancialservices.co.uk/</t>
  </si>
  <si>
    <t>590250</t>
  </si>
  <si>
    <t>https://www.billwhiteifa.co.uk/</t>
  </si>
  <si>
    <t>972179</t>
  </si>
  <si>
    <t>https://www.wfw.co.uk/</t>
  </si>
  <si>
    <t>623873</t>
  </si>
  <si>
    <t>https://www.williamsfinancial.co.uk/</t>
  </si>
  <si>
    <t>577482</t>
  </si>
  <si>
    <t>https://www.willowfinancial.co.uk/</t>
  </si>
  <si>
    <t>223962</t>
  </si>
  <si>
    <t>593803</t>
  </si>
  <si>
    <t>https://www.wgcfp.co.uk/</t>
  </si>
  <si>
    <t>757816</t>
  </si>
  <si>
    <t>https://www.willu.co.uk/</t>
  </si>
  <si>
    <t>546072</t>
  </si>
  <si>
    <t>497245</t>
  </si>
  <si>
    <t>110053</t>
  </si>
  <si>
    <t>https://www.wiltshirefriendly.com/</t>
  </si>
  <si>
    <t>498988</t>
  </si>
  <si>
    <t>https://www.wisifa.co.uk/</t>
  </si>
  <si>
    <t>462530</t>
  </si>
  <si>
    <t>https://www.windmillfs.co.uk/</t>
  </si>
  <si>
    <t>804133</t>
  </si>
  <si>
    <t>https://www.windsorfinancial.co.uk/</t>
  </si>
  <si>
    <t>844756</t>
  </si>
  <si>
    <t>478923</t>
  </si>
  <si>
    <t>https://www.wingatefp.com/</t>
  </si>
  <si>
    <t>615735</t>
  </si>
  <si>
    <t>https://www.winshawcs.com/</t>
  </si>
  <si>
    <t>475700</t>
  </si>
  <si>
    <t>https://www.wirralfs.co.uk/</t>
  </si>
  <si>
    <t>824411</t>
  </si>
  <si>
    <t>https://www.wismortgages.co.uk/</t>
  </si>
  <si>
    <t>439092</t>
  </si>
  <si>
    <t>https://www.wisdomconsulting.co.uk/</t>
  </si>
  <si>
    <t>230553</t>
  </si>
  <si>
    <t>https://www.wiseinvestment.co.uk/</t>
  </si>
  <si>
    <t>528681</t>
  </si>
  <si>
    <t>https://www.wiser-wealth.com/</t>
  </si>
  <si>
    <t>761954</t>
  </si>
  <si>
    <t>471109</t>
  </si>
  <si>
    <t>131596</t>
  </si>
  <si>
    <t>938688</t>
  </si>
  <si>
    <t>https://www.woodkirkbride-ifa.com/</t>
  </si>
  <si>
    <t>651145</t>
  </si>
  <si>
    <t>785754</t>
  </si>
  <si>
    <t>https://www.advieswealth.com/</t>
  </si>
  <si>
    <t>918191</t>
  </si>
  <si>
    <t>https://www.woodsidefp.co.uk/</t>
  </si>
  <si>
    <t>935116</t>
  </si>
  <si>
    <t>https://www.woodwardfinancials.co.uk/</t>
  </si>
  <si>
    <t>515361</t>
  </si>
  <si>
    <t>440668</t>
  </si>
  <si>
    <t>https://www.wwfp.net/</t>
  </si>
  <si>
    <t>438932</t>
  </si>
  <si>
    <t>https://www.wfmltd.com/</t>
  </si>
  <si>
    <t>231170</t>
  </si>
  <si>
    <t>https://www.wjm.co.uk/</t>
  </si>
  <si>
    <t>400566</t>
  </si>
  <si>
    <t>https://www.wtbfinancial.co.uk/</t>
  </si>
  <si>
    <t>450371</t>
  </si>
  <si>
    <t>https://www.addingvalue4u.com/</t>
  </si>
  <si>
    <t>604584</t>
  </si>
  <si>
    <t>442856</t>
  </si>
  <si>
    <t>400473</t>
  </si>
  <si>
    <t>705110</t>
  </si>
  <si>
    <t>https://www.x2wm.co.uk/</t>
  </si>
  <si>
    <t>912036</t>
  </si>
  <si>
    <t>188812</t>
  </si>
  <si>
    <t>744163</t>
  </si>
  <si>
    <t>https://www.yellow-bear.co.uk/</t>
  </si>
  <si>
    <t>807276</t>
  </si>
  <si>
    <t>https://www.yellowstoneadvisory.com/</t>
  </si>
  <si>
    <t>810056</t>
  </si>
  <si>
    <t>756100</t>
  </si>
  <si>
    <t>https://www.chadwickfinancial.uk.com/</t>
  </si>
  <si>
    <t>707510</t>
  </si>
  <si>
    <t>https://www.yourfinancematters.co.uk/</t>
  </si>
  <si>
    <t>916202</t>
  </si>
  <si>
    <t>https://www.yfym.co.uk/</t>
  </si>
  <si>
    <t>710026</t>
  </si>
  <si>
    <t>https://www.zenitham.co.uk/</t>
  </si>
  <si>
    <t>224621</t>
  </si>
  <si>
    <t>https://www.zeuscapital.co.uk/</t>
  </si>
  <si>
    <t>752191</t>
  </si>
  <si>
    <t>https://www.zingafs.com/</t>
  </si>
  <si>
    <t>938269</t>
  </si>
  <si>
    <t>https://www.plan100.co.uk/</t>
  </si>
  <si>
    <t>Column1</t>
  </si>
  <si>
    <t>InitialFee</t>
  </si>
  <si>
    <t>OngoingFee (plus Platform fee)</t>
  </si>
  <si>
    <t>PDF_initial fee</t>
  </si>
  <si>
    <t>PDF ongoing fee</t>
  </si>
  <si>
    <t>Column2</t>
  </si>
  <si>
    <t>Fee plus product annual cost</t>
  </si>
  <si>
    <t>Comments and back up</t>
  </si>
  <si>
    <t>Net Asset/Total Assets</t>
  </si>
  <si>
    <t>Network</t>
  </si>
  <si>
    <t>Fixed Fee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</si>
  <si>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</si>
  <si>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</si>
  <si>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</si>
  <si>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</si>
  <si>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</si>
  <si>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</si>
  <si>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</si>
  <si>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</si>
  <si>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</si>
  <si>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</si>
  <si>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</si>
  <si>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</si>
  <si>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</si>
  <si>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</si>
  <si>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</si>
  <si>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</si>
  <si>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</si>
  <si>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</si>
  <si>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</si>
  <si>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</si>
  <si>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</si>
  <si>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</si>
  <si>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</si>
  <si>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</si>
  <si>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</si>
  <si>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</si>
  <si>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</si>
  <si>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</si>
  <si>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</si>
  <si>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</si>
  <si>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</si>
  <si>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</si>
  <si>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</si>
  <si>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</si>
  <si>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</si>
  <si>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</si>
  <si>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</si>
  <si>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</si>
  <si>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</si>
  <si>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</si>
  <si>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</si>
  <si>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</si>
  <si>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</si>
  <si>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</si>
  <si>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</si>
  <si>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</si>
  <si>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</si>
  <si>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</si>
  <si>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</si>
  <si>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</si>
  <si>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</si>
  <si>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</si>
  <si>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</si>
  <si>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</si>
  <si>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</si>
  <si>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</si>
  <si>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</si>
  <si>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</si>
  <si>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</si>
  <si>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</si>
  <si>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</si>
  <si>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</si>
  <si>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</si>
  <si>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</si>
  <si>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</si>
  <si>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</si>
  <si>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</si>
  <si>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</si>
  <si>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</si>
  <si>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</si>
  <si>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</si>
  <si>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</si>
  <si>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</si>
  <si>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</si>
  <si>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</si>
  <si>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</si>
  <si>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</si>
  <si>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</si>
  <si>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</si>
  <si>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</si>
  <si>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</si>
  <si>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</si>
  <si>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</si>
  <si>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</si>
  <si>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</si>
  <si>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</si>
  <si>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</si>
  <si>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</si>
  <si>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</si>
  <si>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</si>
  <si>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</si>
  <si>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</si>
  <si>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</si>
  <si>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</si>
  <si>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</si>
  <si>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</si>
  <si>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</si>
  <si>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</si>
  <si>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</si>
  <si>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</si>
  <si>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</si>
  <si>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</si>
  <si>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</si>
  <si>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</si>
  <si>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</si>
  <si>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</si>
  <si>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</si>
  <si>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</si>
  <si>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</si>
  <si>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</si>
  <si>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</si>
  <si>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</si>
  <si>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</si>
  <si>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</si>
  <si>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</si>
  <si>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</si>
  <si>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</si>
  <si>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</si>
  <si>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</si>
  <si>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</si>
  <si>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</si>
  <si>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</si>
  <si>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</si>
  <si>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</si>
  <si>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</si>
  <si>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</si>
  <si>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</si>
  <si>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</si>
  <si>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</si>
  <si>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</si>
  <si>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</si>
  <si>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</si>
  <si>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</si>
  <si>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</si>
  <si>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</si>
  <si>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</si>
  <si>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</si>
  <si>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</si>
  <si>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</si>
  <si>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</si>
  <si>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</si>
  <si>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</si>
  <si>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</si>
  <si>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</si>
  <si>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</si>
  <si>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</si>
  <si>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</si>
  <si>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</si>
  <si>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</si>
  <si>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</si>
  <si>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</si>
  <si>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</si>
  <si>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</si>
  <si>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</si>
  <si>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</si>
  <si>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</si>
  <si>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</si>
  <si>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</si>
  <si>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</si>
  <si>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</si>
  <si>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</si>
  <si>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</si>
  <si>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</si>
  <si>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</si>
  <si>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</si>
  <si>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</si>
  <si>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</si>
  <si>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</si>
  <si>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</si>
  <si>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</si>
  <si>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</si>
  <si>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</si>
  <si>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</si>
  <si>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</si>
  <si>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</si>
  <si>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</si>
  <si>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</si>
  <si>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</si>
  <si>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</si>
  <si>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</si>
  <si>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</si>
  <si>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</si>
  <si>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</si>
  <si>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</si>
  <si>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</si>
  <si>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</si>
  <si>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</si>
  <si>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</si>
  <si>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</si>
  <si>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</si>
  <si>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</si>
  <si>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</si>
  <si>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</si>
  <si>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</si>
  <si>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</si>
  <si>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</si>
  <si>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</si>
  <si>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</si>
  <si>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</si>
  <si>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</si>
  <si>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</si>
  <si>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</si>
  <si>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</si>
  <si>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</si>
  <si>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</si>
  <si>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</si>
  <si>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</si>
  <si>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</si>
  <si>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</si>
  <si>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</si>
  <si>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</si>
  <si>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</si>
  <si>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</si>
  <si>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</si>
  <si>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</si>
  <si>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</si>
  <si>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</si>
  <si>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</si>
  <si>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</si>
  <si>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</si>
  <si>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</si>
  <si>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</si>
  <si>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</si>
  <si>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</si>
  <si>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</si>
  <si>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</si>
  <si>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</si>
  <si>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</si>
  <si>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</si>
  <si>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</si>
  <si>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</si>
  <si>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</si>
  <si>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</si>
  <si>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</si>
  <si>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</si>
  <si>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</si>
  <si>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</si>
  <si>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</si>
  <si>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</si>
  <si>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</si>
  <si>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</si>
  <si>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</si>
  <si>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</si>
  <si>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</si>
  <si>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</si>
  <si>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</si>
  <si>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</si>
  <si>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</si>
  <si>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</si>
  <si>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</si>
  <si>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</si>
  <si>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</si>
  <si>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</si>
  <si>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</si>
  <si>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</si>
  <si>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</si>
  <si>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</si>
  <si>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</si>
  <si>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</si>
  <si>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</si>
  <si>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</si>
  <si>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</si>
  <si>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</si>
  <si>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</si>
  <si>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</si>
  <si>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</si>
  <si>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</si>
  <si>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</si>
  <si>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</si>
  <si>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</si>
  <si>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</si>
  <si>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</si>
  <si>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</si>
  <si>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</si>
  <si>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</si>
  <si>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</si>
  <si>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</si>
  <si>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</si>
  <si>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</si>
  <si>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</si>
  <si>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</si>
  <si>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</si>
  <si>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</si>
  <si>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</si>
  <si>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</si>
  <si>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</si>
  <si>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</si>
  <si>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</si>
  <si>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</si>
  <si>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</si>
  <si>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</si>
  <si>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</si>
  <si>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</si>
  <si>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</si>
  <si>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</si>
  <si>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</si>
  <si>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</si>
  <si>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</si>
  <si>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</si>
  <si>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</si>
  <si>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</si>
  <si>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</si>
  <si>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</si>
  <si>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</si>
  <si>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</si>
  <si>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</si>
  <si>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</si>
  <si>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</si>
  <si>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</si>
  <si>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</si>
  <si>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</si>
  <si>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</si>
  <si>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</si>
  <si>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</si>
  <si>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</si>
  <si>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</si>
  <si>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</si>
  <si>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</si>
  <si>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</si>
  <si>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</si>
  <si>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</si>
  <si>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</si>
  <si>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</si>
  <si>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</si>
  <si>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</si>
  <si>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</si>
  <si>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</si>
  <si>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</si>
  <si>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</si>
  <si>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</si>
  <si>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</si>
  <si>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</si>
  <si>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</si>
  <si>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</si>
  <si>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</si>
  <si>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</si>
  <si>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</si>
  <si>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</si>
  <si>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</si>
  <si>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</si>
  <si>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</si>
  <si>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</si>
  <si>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</si>
  <si>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</si>
  <si>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</si>
  <si>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</si>
  <si>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</si>
  <si>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</si>
  <si>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</si>
  <si>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</si>
  <si>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</si>
  <si>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</si>
  <si>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</si>
  <si>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</si>
  <si>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</si>
  <si>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</si>
  <si>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</si>
  <si>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</si>
  <si>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</si>
  <si>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</si>
  <si>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</si>
  <si>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</si>
  <si>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</si>
  <si>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</si>
  <si>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</si>
  <si>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</si>
  <si>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</si>
  <si>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</si>
  <si>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</si>
  <si>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</si>
  <si>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</si>
  <si>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</si>
  <si>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</si>
  <si>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</si>
  <si>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</si>
  <si>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</si>
  <si>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</si>
  <si>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</si>
  <si>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</si>
  <si>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</si>
  <si>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</si>
  <si>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</si>
  <si>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</si>
  <si>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</si>
  <si>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</si>
  <si>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</si>
  <si>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</si>
  <si>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</si>
  <si>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</si>
  <si>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</si>
  <si>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</si>
  <si>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</si>
  <si>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</si>
  <si>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</si>
  <si>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</si>
  <si>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</si>
  <si>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</si>
  <si>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</si>
  <si>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</si>
  <si>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</si>
  <si>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</si>
  <si>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</si>
  <si>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</si>
  <si>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</si>
  <si>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</si>
  <si>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</si>
  <si>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</si>
  <si>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</si>
  <si>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</si>
  <si>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</si>
  <si>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</si>
  <si>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</si>
  <si>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</si>
  <si>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</si>
  <si>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</si>
  <si>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</si>
  <si>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</si>
  <si>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</si>
  <si>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</si>
  <si>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</si>
  <si>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</si>
  <si>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</si>
  <si>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</si>
  <si>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</si>
  <si>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</si>
  <si>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</si>
  <si>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</si>
  <si>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</si>
  <si>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</si>
  <si>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</si>
  <si>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</si>
  <si>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</si>
  <si>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</si>
  <si>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</si>
  <si>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</si>
  <si>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</si>
  <si>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</si>
  <si>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</si>
  <si>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</si>
  <si>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</si>
  <si>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</si>
  <si>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</si>
  <si>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</si>
  <si>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</si>
  <si>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</si>
  <si>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</si>
  <si>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</si>
  <si>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</si>
  <si>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</si>
  <si>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</si>
  <si>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</si>
  <si>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</si>
  <si>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</si>
  <si>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</si>
  <si>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</si>
  <si>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</si>
  <si>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</si>
  <si>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</si>
  <si>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</si>
  <si>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</si>
  <si>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</si>
  <si>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</si>
  <si>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</si>
  <si>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</si>
  <si>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</si>
  <si>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</si>
  <si>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</si>
  <si>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</si>
  <si>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</si>
  <si>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</si>
  <si>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</si>
  <si>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</si>
  <si>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</si>
  <si>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</si>
  <si>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</si>
  <si>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</si>
  <si>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</si>
  <si>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</si>
  <si>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</si>
  <si>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</si>
  <si>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</si>
  <si>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</si>
  <si>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</si>
  <si>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</si>
  <si>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</si>
  <si>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</si>
  <si>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</si>
  <si>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</si>
  <si>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</si>
  <si>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</si>
  <si>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</si>
  <si>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</si>
  <si>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</si>
  <si>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</si>
  <si>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</si>
  <si>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</si>
  <si>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</si>
  <si>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</si>
  <si>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</si>
  <si>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</si>
  <si>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</si>
  <si>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</si>
  <si>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</si>
  <si>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</si>
  <si>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</si>
  <si>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</si>
  <si>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</si>
  <si>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</si>
  <si>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</si>
  <si>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</si>
  <si>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</si>
  <si>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</si>
  <si>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</si>
  <si>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</si>
  <si>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</si>
  <si>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</si>
  <si>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</si>
  <si>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</si>
  <si>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</si>
  <si>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</si>
  <si>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</si>
  <si>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</si>
  <si>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</si>
  <si>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</si>
  <si>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</si>
  <si>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</si>
  <si>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</si>
  <si>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</si>
  <si>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</si>
  <si>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</si>
  <si>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</si>
  <si>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</si>
  <si>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</si>
  <si>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</si>
  <si>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</si>
  <si>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</si>
  <si>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</si>
  <si>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</si>
  <si>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</si>
  <si>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</si>
  <si>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</si>
  <si>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</si>
  <si>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</si>
  <si>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</si>
  <si>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</si>
  <si>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</si>
  <si>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</si>
  <si>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</si>
  <si>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</si>
  <si>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</si>
  <si>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</si>
  <si>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</si>
  <si>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</si>
  <si>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</si>
  <si>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</si>
  <si>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</si>
  <si>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</si>
  <si>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</si>
  <si>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</si>
  <si>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</si>
  <si>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</si>
  <si>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</si>
  <si>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</si>
  <si>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</si>
  <si>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</si>
  <si>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</si>
  <si>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</si>
  <si>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</si>
  <si>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</si>
  <si>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</si>
  <si>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</si>
  <si>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</si>
  <si>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</si>
  <si>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</si>
  <si>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</si>
  <si>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</si>
  <si>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</si>
  <si>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</si>
  <si>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</si>
  <si>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</si>
  <si>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</si>
  <si>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</si>
  <si>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</si>
  <si>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</si>
  <si>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</si>
  <si>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</si>
  <si>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</si>
  <si>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</si>
  <si>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</si>
  <si>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</si>
  <si>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</si>
  <si>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</si>
  <si>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</si>
  <si>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</si>
  <si>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</si>
  <si>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</si>
  <si>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</si>
  <si>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</si>
  <si>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</si>
  <si>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</si>
  <si>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</si>
  <si>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</si>
  <si>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</si>
  <si>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</si>
  <si>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</si>
  <si>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</si>
  <si>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</si>
  <si>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</si>
  <si>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</si>
  <si>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</si>
  <si>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</si>
  <si>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</si>
  <si>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</si>
  <si>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</si>
  <si>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</si>
  <si>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</si>
  <si>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</si>
  <si>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</si>
  <si>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</si>
  <si>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</si>
  <si>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</si>
  <si>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</si>
  <si>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</si>
  <si>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</si>
  <si>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</si>
  <si>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</si>
  <si>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</si>
  <si>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</si>
  <si>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</si>
  <si>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</si>
  <si>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</si>
  <si>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</si>
  <si>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</si>
  <si>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</si>
  <si>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</si>
  <si>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</si>
  <si>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</si>
  <si>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</si>
  <si>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</si>
  <si>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</si>
  <si>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</si>
  <si>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</si>
  <si>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</si>
  <si>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</si>
  <si>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</si>
  <si>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</si>
  <si>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</si>
  <si>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</si>
  <si>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</si>
  <si>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</si>
  <si>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</si>
  <si>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</si>
  <si>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</si>
  <si>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</si>
  <si>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</si>
  <si>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</si>
  <si>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</si>
  <si>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</si>
  <si>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</si>
  <si>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</si>
  <si>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</si>
  <si>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</si>
  <si>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</si>
  <si>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</si>
  <si>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</si>
  <si>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</si>
  <si>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</si>
  <si>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</si>
  <si>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</si>
  <si>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</si>
  <si>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</si>
  <si>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</si>
  <si>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</si>
  <si>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</si>
  <si>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</si>
  <si>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</si>
  <si>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</si>
  <si>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</si>
  <si>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</si>
  <si>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</si>
  <si>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</si>
  <si>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</si>
  <si>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</si>
  <si>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</si>
  <si>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</si>
  <si>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</si>
  <si>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</si>
  <si>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</si>
  <si>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</si>
  <si>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</si>
  <si>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</si>
  <si>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</si>
  <si>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</si>
  <si>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</si>
  <si>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</si>
  <si>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</si>
  <si>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</si>
  <si>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</si>
  <si>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</si>
  <si>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</si>
  <si>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</si>
  <si>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</si>
  <si>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</si>
  <si>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</si>
  <si>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</si>
  <si>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</si>
  <si>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</si>
  <si>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</si>
  <si>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</si>
  <si>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</si>
  <si>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</si>
  <si>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</si>
  <si>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</si>
  <si>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</si>
  <si>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</si>
  <si>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</si>
  <si>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</si>
  <si>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</si>
  <si>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</si>
  <si>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</si>
  <si>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</si>
  <si>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</si>
  <si>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</si>
  <si>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</si>
  <si>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</si>
  <si>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</si>
  <si>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</si>
  <si>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</si>
  <si>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</si>
  <si>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</si>
  <si>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</si>
  <si>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</si>
  <si>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</si>
  <si>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</si>
  <si>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</si>
  <si>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</si>
  <si>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</si>
  <si>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</si>
  <si>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</si>
  <si>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</si>
  <si>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</si>
  <si>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</si>
  <si>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</si>
  <si>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</si>
  <si>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</si>
  <si>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</si>
  <si>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</si>
  <si>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</si>
  <si>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</si>
  <si>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</si>
  <si>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</si>
  <si>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</si>
  <si>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</si>
  <si>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</si>
  <si>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</si>
  <si>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</si>
  <si>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</si>
  <si>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</si>
  <si>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</si>
  <si>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</si>
  <si>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</si>
  <si>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</si>
  <si>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</si>
  <si>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</si>
  <si>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</si>
  <si>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</si>
  <si>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</si>
  <si>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</si>
  <si>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</si>
  <si>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</si>
  <si>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</si>
  <si>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</si>
  <si>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</si>
  <si>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</si>
  <si>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</si>
  <si>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</si>
  <si>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</si>
  <si>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</si>
  <si>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</si>
  <si>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</si>
  <si>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</si>
  <si>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</si>
  <si>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</si>
  <si>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</si>
  <si>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</si>
  <si>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</si>
  <si>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</si>
  <si>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</si>
  <si>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</si>
  <si>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</si>
  <si>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</si>
  <si>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</si>
  <si>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</si>
  <si>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</si>
  <si>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</si>
  <si>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</si>
  <si>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</si>
  <si>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</si>
  <si>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</si>
  <si>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</si>
  <si>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</si>
  <si>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</si>
  <si>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</si>
  <si>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</si>
  <si>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</si>
  <si>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</si>
  <si>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</si>
  <si>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</si>
  <si>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</si>
  <si>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</si>
  <si>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</si>
  <si>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</si>
  <si>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</si>
  <si>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</si>
  <si>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</si>
  <si>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</si>
  <si>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</si>
  <si>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</si>
  <si>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</si>
  <si>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</si>
  <si>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</si>
  <si>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</si>
  <si>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</si>
  <si>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</si>
  <si>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</si>
  <si>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</si>
  <si>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</si>
  <si>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</si>
  <si>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</si>
  <si>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</si>
  <si>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</si>
  <si>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</si>
  <si>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</si>
  <si>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</si>
  <si>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</si>
  <si>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</si>
  <si>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</si>
  <si>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</si>
  <si>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</si>
  <si>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</si>
  <si>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</si>
  <si>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</si>
  <si>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</si>
  <si>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</si>
  <si>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</si>
  <si>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</si>
  <si>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</si>
  <si>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</si>
  <si>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</si>
  <si>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</si>
  <si>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</si>
  <si>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</si>
  <si>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</si>
  <si>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</si>
  <si>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</si>
  <si>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</si>
  <si>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</si>
  <si>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</si>
  <si>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</si>
  <si>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</si>
  <si>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</si>
  <si>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</si>
  <si>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</si>
  <si>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</si>
  <si>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</si>
  <si>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</si>
  <si>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</si>
  <si>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</si>
  <si>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</si>
  <si>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</si>
  <si>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</si>
  <si>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</si>
  <si>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</si>
  <si>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</si>
  <si>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</si>
  <si>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</si>
  <si>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</si>
  <si>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</si>
  <si>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</si>
  <si>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</si>
  <si>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</si>
  <si>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</si>
  <si>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</si>
  <si>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</si>
  <si>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</si>
  <si>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</si>
  <si>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</si>
  <si>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</si>
  <si>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</si>
  <si>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</si>
  <si>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</si>
  <si>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</si>
  <si>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</si>
  <si>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</si>
  <si>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</si>
  <si>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</si>
  <si>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</si>
  <si>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</si>
  <si>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</si>
  <si>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</si>
  <si>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</si>
  <si>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</si>
  <si>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</si>
  <si>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</si>
  <si>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</si>
  <si>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</si>
  <si>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</si>
  <si>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</si>
  <si>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</si>
  <si>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</si>
  <si>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</si>
  <si>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</si>
  <si>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</si>
  <si>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</si>
  <si>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</si>
  <si>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</si>
  <si>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</si>
  <si>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</si>
  <si>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</si>
  <si>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</si>
  <si>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</si>
  <si>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</si>
  <si>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</si>
  <si>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</si>
  <si>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</si>
  <si>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</si>
  <si>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</si>
  <si>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</si>
  <si>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</si>
  <si>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</si>
  <si>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</si>
  <si>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</si>
  <si>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</si>
  <si>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</si>
  <si>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</si>
  <si>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</si>
  <si>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</si>
  <si>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</si>
  <si>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</si>
  <si>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</si>
  <si>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</si>
  <si>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</si>
  <si>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</si>
  <si>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</si>
  <si>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</si>
  <si>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</si>
  <si>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</si>
  <si>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</si>
  <si>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</si>
  <si>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</si>
  <si>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</si>
  <si>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</si>
  <si>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</si>
  <si>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</si>
  <si>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</si>
  <si>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</si>
  <si>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</si>
  <si>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</si>
  <si>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</si>
  <si>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</si>
  <si>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</si>
  <si>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</si>
  <si>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</si>
  <si>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</si>
  <si>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</si>
  <si>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</si>
  <si>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</si>
  <si>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</si>
  <si>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</si>
  <si>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</si>
  <si>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</si>
  <si>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</si>
  <si>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</si>
  <si>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</si>
  <si>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</si>
  <si>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</si>
  <si>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</si>
  <si>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</si>
  <si>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</si>
  <si>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</si>
  <si>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</si>
  <si>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</si>
  <si>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</si>
  <si>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</si>
  <si>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</si>
  <si>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</si>
  <si>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</si>
  <si>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</si>
  <si>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</si>
  <si>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</si>
  <si>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</si>
  <si>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</si>
  <si>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</si>
  <si>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</si>
  <si>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</si>
  <si>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</si>
  <si>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</si>
  <si>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</si>
  <si>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</si>
  <si>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</si>
  <si>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</si>
  <si>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</si>
  <si>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</si>
  <si>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</si>
  <si>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</si>
  <si>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</si>
  <si>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</si>
  <si>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</si>
  <si>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</si>
  <si>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</si>
  <si>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</si>
  <si>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</si>
  <si>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</si>
  <si>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</si>
  <si>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</si>
  <si>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</si>
  <si>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</si>
  <si>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</si>
  <si>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</si>
  <si>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</si>
  <si>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</si>
  <si>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</si>
  <si>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</si>
  <si>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</si>
  <si>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</si>
  <si>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</si>
  <si>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</si>
  <si>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</si>
  <si>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</si>
  <si>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</si>
  <si>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</si>
  <si>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</si>
  <si>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</si>
  <si>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</si>
  <si>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</si>
  <si>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</si>
  <si>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</si>
  <si>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</si>
  <si>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</si>
  <si>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</si>
  <si>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</si>
  <si>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</si>
  <si>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</si>
  <si>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</si>
  <si>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</si>
  <si>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</si>
  <si>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</si>
  <si>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</si>
  <si>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</si>
  <si>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</si>
  <si>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</si>
  <si>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</si>
  <si>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</si>
  <si>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</si>
  <si>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</si>
  <si>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</si>
  <si>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</si>
  <si>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</si>
  <si>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</si>
  <si>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</si>
  <si>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</si>
  <si>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</si>
  <si>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</si>
  <si>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</si>
  <si>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</si>
  <si>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</si>
  <si>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</si>
  <si>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</si>
  <si>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</si>
  <si>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</si>
  <si>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</si>
  <si>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</si>
  <si>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</si>
  <si>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</si>
  <si>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</si>
  <si>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</si>
  <si>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</si>
  <si>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</si>
  <si>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</si>
  <si>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</si>
  <si>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</si>
  <si>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</si>
  <si>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</si>
  <si>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</si>
  <si>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</si>
  <si>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</si>
  <si>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</si>
  <si>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</si>
  <si>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</si>
  <si>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</si>
  <si>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</si>
  <si>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</si>
  <si>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</si>
  <si>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</si>
  <si>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</si>
  <si>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</si>
  <si>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</si>
  <si>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</si>
  <si>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</si>
  <si>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</si>
  <si>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</si>
  <si>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</si>
  <si>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</si>
  <si>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</si>
  <si>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</si>
  <si>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</si>
  <si>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</si>
  <si>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</si>
  <si>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</si>
  <si>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</si>
  <si>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</si>
  <si>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</si>
  <si>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</si>
  <si>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</si>
  <si>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</si>
  <si>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</si>
  <si>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</si>
  <si>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</si>
  <si>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</si>
  <si>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</si>
  <si>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</si>
  <si>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</si>
  <si>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</si>
  <si>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</si>
  <si>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</si>
  <si>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</si>
  <si>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</si>
  <si>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</si>
  <si>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</si>
  <si>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</si>
  <si>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</si>
  <si>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</si>
  <si>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</si>
  <si>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</si>
  <si>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</si>
  <si>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</si>
  <si>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</si>
  <si>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</si>
  <si>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</si>
  <si>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</si>
  <si>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</si>
  <si>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</si>
  <si>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</si>
  <si>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</si>
  <si>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</si>
  <si>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</si>
  <si>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</si>
  <si>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</si>
  <si>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</si>
  <si>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</si>
  <si>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</si>
  <si>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</si>
  <si>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</si>
  <si>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</si>
  <si>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</si>
  <si>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</si>
  <si>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</si>
  <si>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</si>
  <si>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</si>
  <si>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</si>
  <si>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</si>
  <si>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</si>
  <si>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</si>
  <si>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</si>
  <si>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</si>
  <si>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</si>
  <si>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</si>
  <si>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</si>
  <si>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</si>
  <si>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</si>
  <si>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</si>
  <si>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</si>
  <si>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</si>
  <si>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</si>
  <si>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</si>
  <si>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</si>
  <si>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</si>
  <si>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</si>
  <si>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</si>
  <si>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</si>
  <si>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</si>
  <si>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</si>
  <si>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</si>
  <si>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</si>
  <si>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</si>
  <si>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</si>
  <si>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</si>
  <si>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</si>
  <si>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</si>
  <si>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</si>
  <si>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</si>
  <si>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</si>
  <si>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</si>
  <si>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</si>
  <si>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</si>
  <si>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</si>
  <si>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</si>
  <si>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</si>
  <si>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</si>
  <si>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</si>
  <si>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</si>
  <si>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</si>
  <si>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</si>
  <si>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</si>
  <si>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</si>
  <si>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</si>
  <si>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</si>
  <si>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</si>
  <si>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</si>
  <si>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</si>
  <si>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</si>
  <si>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</si>
  <si>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</si>
  <si>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</si>
  <si>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</si>
  <si>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</si>
  <si>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</si>
  <si>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</si>
  <si>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</si>
  <si>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</si>
  <si>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</si>
  <si>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</si>
  <si>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</si>
  <si>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</si>
  <si>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</si>
  <si>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</si>
  <si>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</si>
  <si>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</si>
  <si>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</si>
  <si>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</si>
  <si>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</si>
  <si>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</si>
  <si>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</si>
  <si>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</si>
  <si>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</si>
  <si>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</si>
  <si>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</si>
  <si>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</si>
  <si>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</si>
  <si>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</si>
  <si>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</si>
  <si>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</si>
  <si>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</si>
  <si>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</si>
  <si>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</si>
  <si>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</si>
  <si>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</si>
  <si>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</si>
  <si>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</si>
  <si>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</si>
  <si>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</si>
  <si>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</si>
  <si>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</si>
  <si>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</si>
  <si>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</si>
  <si>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</si>
  <si>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</si>
  <si>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</si>
  <si>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</si>
  <si>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</si>
  <si>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</si>
  <si>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</si>
  <si>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</si>
  <si>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</si>
  <si>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</si>
  <si>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</si>
  <si>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</si>
  <si>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</si>
  <si>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</si>
  <si>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</si>
  <si>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</si>
  <si>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</si>
  <si>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</si>
  <si>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</si>
  <si>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</si>
  <si>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</si>
  <si>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</si>
  <si>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</si>
  <si>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</si>
  <si>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</si>
  <si>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</si>
  <si>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</si>
  <si>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</si>
  <si>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</si>
  <si>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</si>
  <si>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</si>
  <si>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</si>
  <si>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</si>
  <si>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</si>
  <si>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</si>
  <si>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</si>
  <si>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</si>
  <si>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</si>
  <si>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</si>
  <si>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</si>
  <si>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</si>
  <si>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</si>
  <si>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</si>
  <si>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</si>
  <si>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</si>
  <si>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</si>
  <si>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</si>
  <si>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</si>
  <si>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</si>
  <si>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</si>
  <si>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</si>
  <si>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</si>
  <si>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</si>
  <si>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</si>
  <si>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</si>
  <si>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</si>
  <si>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</si>
  <si>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</si>
  <si>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</si>
  <si>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</si>
  <si>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</si>
  <si>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</si>
  <si>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</si>
  <si>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</si>
  <si>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</si>
  <si>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</si>
  <si>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</si>
  <si>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</si>
  <si>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</si>
  <si>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</si>
  <si>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</si>
  <si>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</si>
  <si>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</si>
  <si>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</si>
  <si>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</si>
  <si>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</si>
  <si>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</si>
  <si>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</si>
  <si>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</si>
  <si>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</si>
  <si>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</si>
  <si>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</si>
  <si>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</si>
  <si>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</si>
  <si>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</si>
  <si>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</si>
  <si>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</si>
  <si>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</si>
  <si>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</si>
  <si>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</si>
  <si>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</si>
  <si>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</si>
  <si>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</si>
  <si>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</si>
  <si>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</si>
  <si>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</si>
  <si>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</si>
  <si>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</si>
  <si>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</si>
  <si>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</si>
  <si>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</si>
  <si>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</si>
  <si>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</si>
  <si>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</si>
  <si>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</si>
  <si>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</si>
  <si>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</si>
  <si>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</si>
  <si>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</si>
  <si>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</si>
  <si>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</si>
  <si>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</si>
  <si>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</si>
  <si>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</si>
  <si>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</si>
  <si>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</si>
  <si>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</si>
  <si>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</si>
  <si>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</si>
  <si>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</si>
  <si>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</si>
  <si>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</si>
  <si>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</si>
  <si>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</si>
  <si>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</si>
  <si>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</si>
  <si>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</si>
  <si>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</si>
  <si>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</si>
  <si>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</si>
  <si>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</si>
  <si>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</si>
  <si>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</si>
  <si>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</si>
  <si>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</si>
  <si>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</si>
  <si>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</si>
  <si>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</si>
  <si>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</si>
  <si>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</si>
  <si>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</si>
  <si>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</si>
  <si>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</si>
  <si>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</si>
  <si>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</si>
  <si>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</si>
  <si>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</si>
  <si>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</si>
  <si>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</si>
  <si>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</si>
  <si>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</si>
  <si>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</si>
  <si>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</si>
  <si>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</si>
  <si>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</si>
  <si>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</si>
  <si>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</si>
  <si>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</si>
  <si>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</si>
  <si>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</si>
  <si>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</si>
  <si>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</si>
  <si>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</si>
  <si>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</si>
  <si>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</si>
  <si>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</si>
  <si>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</si>
  <si>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</si>
  <si>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</si>
  <si>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</si>
  <si>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</si>
  <si>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</si>
  <si>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</si>
  <si>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</si>
  <si>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</si>
  <si>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</si>
  <si>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</si>
  <si>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</si>
  <si>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</si>
  <si>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</si>
  <si>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</si>
  <si>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</si>
  <si>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</si>
  <si>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</si>
  <si>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</si>
  <si>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</si>
  <si>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</si>
  <si>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</si>
  <si>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</si>
  <si>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</si>
  <si>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</si>
  <si>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</si>
  <si>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</si>
  <si>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</si>
  <si>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</si>
  <si>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</si>
  <si>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</si>
  <si>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</si>
  <si>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</si>
  <si>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</si>
  <si>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</si>
  <si>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</si>
  <si>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</si>
  <si>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</si>
  <si>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</si>
  <si>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</si>
  <si>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</si>
  <si>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</si>
  <si>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</si>
  <si>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</si>
  <si>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</si>
  <si>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</si>
  <si>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</si>
  <si>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</si>
  <si>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</si>
  <si>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</si>
  <si>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</si>
  <si>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</si>
  <si>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</si>
  <si>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</si>
  <si>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</si>
  <si>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</si>
  <si>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</si>
  <si>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</si>
  <si>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</si>
  <si>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</si>
  <si>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</si>
  <si>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</si>
  <si>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</si>
  <si>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</si>
  <si>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</si>
  <si>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</si>
  <si>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</si>
  <si>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</si>
  <si>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</si>
  <si>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</si>
  <si>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</si>
  <si>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</si>
  <si>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</si>
  <si>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</si>
  <si>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</si>
  <si>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</si>
  <si>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</si>
  <si>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</si>
  <si>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</si>
  <si>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</si>
  <si>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</si>
  <si>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</si>
  <si>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</si>
  <si>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</si>
  <si>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</si>
  <si>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</si>
  <si>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</si>
  <si>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</si>
  <si>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</si>
  <si>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</si>
  <si>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</si>
  <si>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</si>
  <si>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</si>
  <si>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</si>
  <si>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</si>
  <si>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</si>
  <si>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</si>
  <si>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</si>
  <si>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</si>
  <si>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</si>
  <si>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</si>
  <si>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</si>
  <si>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</si>
  <si>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</si>
  <si>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</si>
  <si>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</si>
  <si>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</si>
  <si>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</si>
  <si>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</si>
  <si>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</si>
  <si>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</si>
  <si>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</si>
  <si>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</si>
  <si>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</si>
  <si>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</si>
  <si>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</si>
  <si>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</si>
  <si>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</si>
  <si>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</si>
  <si>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</si>
  <si>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</si>
  <si>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</si>
  <si>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</si>
  <si>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</si>
  <si>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</si>
  <si>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</si>
  <si>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</si>
  <si>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</si>
  <si>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</si>
  <si>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</si>
  <si>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</si>
  <si>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</si>
  <si>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</si>
  <si>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</si>
  <si>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</si>
  <si>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</si>
  <si>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</si>
  <si>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</si>
  <si>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</si>
  <si>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</si>
  <si>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</si>
  <si>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</si>
  <si>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</si>
  <si>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</si>
  <si>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</si>
  <si>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</si>
  <si>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</si>
  <si>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</si>
  <si>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</si>
  <si>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</si>
  <si>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</si>
  <si>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</si>
  <si>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</si>
  <si>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</si>
  <si>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</si>
  <si>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</si>
  <si>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</si>
  <si>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</si>
  <si>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</si>
  <si>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</si>
  <si>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</si>
  <si>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</si>
  <si>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</si>
  <si>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</si>
  <si>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</si>
  <si>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</si>
  <si>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</si>
  <si>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</si>
  <si>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</si>
  <si>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</si>
  <si>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</si>
  <si>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</si>
  <si>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</si>
  <si>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</si>
  <si>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</si>
  <si>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</si>
  <si>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</si>
  <si>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</si>
  <si>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</si>
  <si>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</si>
  <si>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</si>
  <si>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</si>
  <si>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</si>
  <si>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</si>
  <si>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</si>
  <si>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</si>
  <si>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</si>
  <si>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</si>
  <si>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</si>
  <si>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</si>
  <si>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</si>
  <si>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</si>
  <si>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</si>
  <si>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</si>
  <si>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</si>
  <si>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</si>
  <si>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</si>
  <si>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</si>
  <si>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</si>
  <si>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</si>
  <si>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</si>
  <si>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</si>
  <si>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</si>
  <si>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</si>
  <si>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</si>
  <si>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</si>
  <si>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</si>
  <si>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</si>
  <si>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</si>
  <si>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</si>
  <si>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</si>
  <si>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</si>
  <si>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</si>
  <si>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</si>
  <si>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</si>
  <si>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</si>
  <si>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</si>
  <si>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</si>
  <si>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</si>
  <si>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</si>
  <si>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</si>
  <si>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</si>
  <si>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</si>
  <si>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</si>
  <si>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</si>
  <si>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</si>
  <si>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</si>
  <si>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</si>
  <si>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</si>
  <si>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</si>
  <si>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</si>
  <si>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</si>
  <si>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</si>
  <si>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</si>
  <si>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</si>
  <si>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</si>
  <si>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</si>
  <si>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</si>
  <si>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</si>
  <si>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</si>
  <si>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</si>
  <si>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</si>
  <si>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</si>
  <si>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</si>
  <si>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</si>
  <si>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</si>
  <si>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</si>
  <si>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</si>
  <si>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</si>
  <si>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</si>
  <si>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</si>
  <si>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</si>
  <si>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</si>
  <si>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</si>
  <si>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</si>
  <si>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</si>
  <si>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</si>
  <si>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</si>
  <si>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</si>
  <si>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</si>
  <si>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</si>
  <si>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</si>
  <si>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</si>
  <si>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</si>
  <si>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</si>
  <si>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</si>
  <si>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</si>
  <si>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</si>
  <si>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</si>
  <si>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</si>
  <si>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</si>
  <si>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</si>
  <si>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</si>
  <si>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</si>
  <si>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</si>
  <si>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</si>
  <si>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</si>
  <si>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</si>
  <si>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</si>
  <si>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</si>
  <si>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</si>
  <si>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</si>
  <si>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</si>
  <si>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</si>
  <si>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</si>
  <si>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</si>
  <si>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</si>
  <si>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</si>
  <si>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</si>
  <si>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</si>
  <si>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</si>
  <si>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</si>
  <si>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</si>
  <si>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</si>
  <si>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</si>
  <si>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</si>
  <si>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</si>
  <si>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</si>
  <si>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</si>
  <si>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</si>
  <si>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</si>
  <si>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</si>
  <si>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</si>
  <si>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</si>
  <si>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</si>
  <si>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</si>
  <si>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</si>
  <si>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</si>
  <si>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</si>
  <si>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</si>
  <si>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</si>
  <si>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</si>
  <si>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</si>
  <si>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</si>
  <si>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</si>
  <si>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</si>
  <si>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</si>
  <si>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</si>
  <si>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</si>
  <si>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</si>
  <si>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</si>
  <si>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</si>
  <si>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</si>
  <si>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</si>
  <si>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</si>
  <si>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</si>
  <si>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</si>
  <si>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</si>
  <si>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</si>
  <si>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</si>
  <si>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</si>
  <si>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</si>
  <si>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</si>
  <si>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</si>
  <si>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</si>
  <si>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</si>
  <si>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</si>
  <si>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</si>
  <si>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</si>
  <si>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</si>
  <si>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</si>
  <si>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</si>
  <si>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</si>
  <si>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</si>
  <si>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</si>
  <si>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</si>
  <si>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</si>
  <si>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</si>
  <si>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</si>
  <si>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</si>
  <si>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</si>
  <si>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</si>
  <si>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</si>
  <si>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</si>
  <si>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</si>
  <si>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</si>
  <si>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</si>
  <si>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</si>
  <si>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</si>
  <si>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</si>
  <si>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</si>
  <si>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</si>
  <si>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</si>
  <si>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</si>
  <si>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</si>
  <si>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</si>
  <si>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</si>
  <si>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</si>
  <si>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</si>
  <si>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</si>
  <si>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</si>
  <si>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</si>
  <si>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</si>
  <si>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</si>
  <si>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</si>
  <si>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</si>
  <si>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</si>
  <si>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</si>
  <si>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</si>
  <si>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</si>
  <si>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</si>
  <si>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</si>
  <si>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</si>
  <si>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</si>
  <si>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</si>
  <si>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</si>
  <si>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</si>
  <si>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</si>
  <si>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</si>
  <si>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</si>
  <si>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</si>
  <si>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</si>
  <si>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</si>
  <si>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</si>
  <si>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</si>
  <si>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</si>
  <si>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</si>
  <si>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</si>
  <si>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</si>
  <si>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</si>
  <si>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</si>
  <si>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</si>
  <si>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</si>
  <si>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</si>
  <si>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</si>
  <si>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</si>
  <si>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</si>
  <si>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</si>
  <si>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</si>
  <si>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</si>
  <si>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</si>
  <si>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</si>
  <si>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</si>
  <si>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</si>
  <si>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</si>
  <si>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</si>
  <si>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</si>
  <si>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</si>
  <si>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</si>
  <si>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</si>
  <si>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</si>
  <si>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</si>
  <si>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</si>
  <si>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</si>
  <si>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</si>
  <si>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</si>
  <si>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</si>
  <si>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</si>
  <si>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</si>
  <si>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</si>
  <si>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</si>
  <si>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</si>
  <si>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</si>
  <si>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</si>
  <si>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</si>
  <si>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</si>
  <si>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</si>
  <si>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</si>
  <si>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</si>
  <si>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</si>
  <si>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</si>
  <si>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</si>
  <si>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</si>
  <si>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</si>
  <si>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</si>
  <si>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</si>
  <si>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</si>
  <si>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</si>
  <si>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</si>
  <si>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</si>
  <si>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</si>
  <si>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</si>
  <si>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</si>
  <si>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</si>
  <si>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</si>
  <si>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</si>
  <si>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</si>
  <si>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</si>
  <si>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</si>
  <si>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</si>
  <si>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</si>
  <si>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</si>
  <si>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</si>
  <si>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</si>
  <si>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</si>
  <si>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</si>
  <si>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</si>
  <si>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</si>
  <si>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</si>
  <si>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</si>
  <si>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</si>
  <si>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</si>
  <si>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</si>
  <si>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</si>
  <si>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</si>
  <si>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</si>
  <si>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</si>
  <si>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</si>
  <si>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</si>
  <si>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</si>
  <si>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</si>
  <si>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</si>
  <si>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</si>
  <si>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</si>
  <si>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</si>
  <si>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</si>
  <si>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</si>
  <si>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</si>
  <si>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</si>
  <si>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</si>
  <si>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</si>
  <si>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</si>
  <si>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</si>
  <si>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</si>
  <si>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</si>
  <si>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</si>
  <si>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</si>
  <si>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</si>
  <si>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</si>
  <si>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</si>
  <si>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</si>
  <si>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</si>
  <si>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</si>
  <si>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</si>
  <si>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</si>
  <si>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</si>
  <si>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</si>
  <si>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</si>
  <si>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</si>
  <si>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</si>
  <si>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</si>
  <si>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</si>
  <si>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</si>
  <si>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</si>
  <si>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</si>
  <si>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</si>
  <si>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</si>
  <si>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</si>
  <si>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</si>
  <si>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</si>
  <si>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</si>
  <si>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</si>
  <si>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</si>
  <si>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</si>
  <si>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</si>
  <si>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</si>
  <si>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</si>
  <si>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</si>
  <si>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</si>
  <si>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</si>
  <si>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</si>
  <si>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</si>
  <si>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</si>
  <si>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</si>
  <si>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</si>
  <si>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</si>
  <si>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</si>
  <si>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</si>
  <si>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</si>
  <si>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</si>
  <si>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</si>
  <si>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</si>
  <si>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</si>
  <si>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</si>
  <si>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</si>
  <si>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</si>
  <si>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</si>
  <si>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</si>
  <si>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</si>
  <si>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</si>
  <si>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</si>
  <si>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</si>
  <si>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</si>
  <si>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</si>
  <si>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</si>
  <si>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</si>
  <si>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</si>
  <si>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</si>
  <si>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</si>
  <si>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</si>
  <si>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</si>
  <si>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</si>
  <si>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</si>
  <si>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</si>
  <si>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</si>
  <si>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</si>
  <si>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</si>
  <si>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</si>
  <si>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</si>
  <si>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</si>
  <si>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</si>
  <si>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</si>
  <si>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</si>
  <si>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</si>
  <si>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</si>
  <si>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</si>
  <si>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</si>
  <si>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</si>
  <si>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</si>
  <si>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</si>
  <si>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</si>
  <si>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</si>
  <si>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</si>
  <si>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</si>
  <si>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</si>
  <si>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</si>
  <si>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</si>
  <si>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</si>
  <si>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</si>
  <si>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</si>
  <si>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</si>
  <si>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</si>
  <si>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</si>
  <si>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</si>
  <si>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</si>
  <si>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</si>
  <si>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</si>
  <si>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</si>
  <si>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</si>
  <si>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</si>
  <si>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</si>
  <si>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</si>
  <si>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</si>
  <si>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</si>
  <si>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</si>
  <si>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</si>
  <si>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</si>
  <si>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</si>
  <si>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</si>
  <si>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</si>
  <si>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</si>
  <si>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</si>
  <si>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</si>
  <si>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</si>
  <si>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</si>
  <si>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</si>
  <si>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</si>
  <si>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</si>
  <si>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</si>
  <si>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</si>
  <si>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</si>
  <si>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</si>
  <si>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</si>
  <si>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</si>
  <si>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</si>
  <si>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</si>
  <si>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</si>
  <si>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</si>
  <si>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</si>
  <si>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</si>
  <si>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</si>
  <si>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</si>
  <si>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</si>
  <si>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</si>
  <si>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</si>
  <si>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</si>
  <si>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</si>
  <si>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</si>
  <si>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</si>
  <si>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</si>
  <si>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</si>
  <si>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</si>
  <si>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</si>
  <si>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</si>
  <si>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</si>
  <si>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</si>
  <si>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</si>
  <si>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</si>
  <si>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</si>
  <si>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</si>
  <si>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</si>
  <si>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</si>
  <si>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</si>
  <si>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</si>
  <si>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</si>
  <si>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</si>
  <si>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</si>
  <si>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</si>
  <si>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</si>
  <si>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</si>
  <si>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</si>
  <si>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</si>
  <si>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</si>
  <si>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</si>
  <si>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</si>
  <si>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</si>
  <si>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</si>
  <si>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</si>
  <si>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</si>
  <si>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</si>
  <si>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</si>
  <si>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</si>
  <si>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</si>
  <si>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</si>
  <si>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</si>
  <si>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</si>
  <si>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</si>
  <si>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</si>
  <si>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</si>
  <si>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</si>
  <si>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</si>
  <si>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</si>
  <si>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</si>
  <si>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</si>
  <si>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</si>
  <si>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</si>
  <si>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</si>
  <si>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</si>
  <si>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</si>
  <si>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</si>
  <si>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</si>
  <si>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</si>
  <si>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</si>
  <si>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</si>
  <si>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</si>
  <si>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</si>
  <si>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</si>
  <si>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</si>
  <si>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</si>
  <si>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</si>
  <si>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</si>
  <si>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</si>
  <si>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</si>
  <si>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</si>
  <si>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</si>
  <si>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</si>
  <si>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</si>
  <si>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</si>
  <si>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</si>
  <si>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</si>
  <si>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</si>
  <si>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</si>
  <si>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</si>
  <si>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</si>
  <si>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</si>
  <si>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</si>
  <si>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</si>
  <si>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</si>
  <si>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</si>
  <si>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</si>
  <si>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</si>
  <si>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</si>
  <si>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</si>
  <si>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</si>
  <si>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</si>
  <si>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</si>
  <si>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</si>
  <si>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</si>
  <si>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</si>
  <si>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</si>
  <si>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</si>
  <si>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</si>
  <si>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</si>
  <si>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</si>
  <si>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</si>
  <si>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</si>
  <si>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</si>
  <si>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</si>
  <si>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</si>
  <si>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</si>
  <si>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</si>
  <si>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</si>
  <si>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</si>
  <si>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</si>
  <si>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</si>
  <si>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</si>
  <si>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</si>
  <si>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</si>
  <si>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</si>
  <si>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</si>
  <si>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</si>
  <si>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</si>
  <si>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</si>
  <si>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</si>
  <si>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</si>
  <si>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</si>
  <si>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</si>
  <si>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</si>
  <si>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</si>
  <si>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</si>
  <si>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</si>
  <si>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</si>
  <si>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</si>
  <si>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</si>
  <si>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</si>
  <si>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</si>
  <si>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</si>
  <si>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</si>
  <si>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</si>
  <si>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</si>
  <si>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</si>
  <si>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</si>
  <si>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</si>
  <si>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</si>
  <si>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</si>
  <si>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</si>
  <si>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</si>
  <si>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</si>
  <si>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</si>
  <si>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</si>
  <si>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</si>
  <si>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</si>
  <si>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</si>
  <si>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</si>
  <si>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</si>
  <si>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</si>
  <si>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</si>
  <si>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</si>
  <si>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</si>
  <si>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</si>
  <si>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</si>
  <si>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</si>
  <si>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</si>
  <si>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</si>
  <si>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</si>
  <si>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</si>
  <si>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</si>
  <si>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</si>
  <si>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</si>
  <si>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</si>
  <si>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</si>
  <si>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</si>
  <si>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</si>
  <si>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</si>
  <si>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</si>
  <si>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</si>
  <si>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</si>
  <si>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</si>
  <si>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</si>
  <si>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</si>
  <si>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</si>
  <si>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</si>
  <si>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</si>
  <si>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</si>
  <si>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</si>
  <si>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</si>
  <si>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</si>
  <si>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</si>
  <si>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</si>
  <si>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</si>
  <si>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</si>
  <si>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</si>
  <si>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</si>
  <si>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</si>
  <si>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</si>
  <si>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</si>
  <si>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</si>
  <si>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</si>
  <si>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</si>
  <si>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</si>
  <si>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</si>
  <si>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</si>
  <si>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</si>
  <si>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</si>
  <si>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</si>
  <si>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</si>
  <si>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</si>
  <si>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</si>
  <si>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</si>
  <si>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</si>
  <si>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</si>
  <si>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</si>
  <si>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</si>
  <si>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</si>
  <si>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</si>
  <si>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</si>
  <si>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</si>
  <si>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</si>
  <si>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</si>
  <si>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</si>
  <si>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</si>
  <si>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</si>
  <si>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</si>
  <si>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</si>
  <si>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</si>
  <si>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</si>
  <si>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</si>
  <si>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</si>
  <si>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</si>
  <si>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</si>
  <si>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</si>
  <si>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</si>
  <si>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</si>
  <si>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</si>
  <si>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</si>
  <si>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</si>
  <si>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</si>
  <si>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</si>
  <si>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</si>
  <si>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</si>
  <si>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</si>
  <si>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</si>
  <si>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</si>
  <si>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</si>
  <si>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</si>
  <si>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</si>
  <si>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</si>
  <si>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</si>
  <si>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</si>
  <si>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</si>
  <si>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</si>
  <si>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</si>
  <si>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</si>
  <si>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</si>
  <si>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</si>
  <si>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</si>
  <si>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</si>
  <si>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</si>
  <si>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</si>
  <si>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</si>
  <si>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</si>
  <si>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</si>
  <si>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</si>
  <si>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</si>
  <si>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</si>
  <si>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</si>
  <si>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</si>
  <si>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</si>
  <si>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</si>
  <si>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</si>
  <si>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</si>
  <si>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</si>
  <si>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</si>
  <si>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</si>
  <si>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</si>
  <si>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</si>
  <si>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</si>
  <si>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</si>
  <si>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</si>
  <si>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</si>
  <si>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</si>
  <si>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</si>
  <si>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</si>
  <si>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</si>
  <si>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</si>
  <si>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</si>
  <si>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</si>
  <si>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</si>
  <si>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</si>
  <si>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</si>
  <si>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</si>
  <si>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</si>
  <si>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</si>
  <si>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</si>
  <si>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</si>
  <si>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</si>
  <si>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</si>
  <si>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</si>
  <si>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</si>
  <si>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</si>
  <si>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</si>
  <si>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</si>
  <si>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</si>
  <si>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</si>
  <si>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</si>
  <si>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</si>
  <si>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</si>
  <si>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</si>
  <si>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</si>
  <si>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</si>
  <si>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</si>
  <si>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</si>
  <si>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</si>
  <si>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</si>
  <si>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</si>
  <si>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</si>
  <si>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</si>
  <si>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</si>
  <si>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</si>
  <si>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</si>
  <si>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</si>
  <si>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</si>
  <si>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</si>
  <si>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</si>
  <si>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</si>
  <si>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</si>
  <si>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</si>
  <si>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</si>
  <si>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</si>
  <si>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</si>
  <si>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</si>
  <si>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</si>
  <si>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</si>
  <si>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</si>
  <si>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</si>
  <si>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</si>
  <si>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</si>
  <si>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</si>
  <si>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</si>
  <si>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</si>
  <si>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</si>
  <si>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</si>
  <si>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</si>
  <si>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</si>
  <si>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</si>
  <si>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</si>
  <si>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</si>
  <si>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</si>
  <si>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</si>
  <si>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</si>
  <si>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</si>
  <si>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</si>
  <si>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</si>
  <si>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</si>
  <si>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</si>
  <si>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</si>
  <si>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</si>
  <si>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</si>
  <si>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</si>
  <si>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</si>
  <si>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</si>
  <si>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</si>
  <si>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</si>
  <si>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</si>
  <si>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</si>
  <si>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</si>
  <si>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</si>
  <si>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</si>
  <si>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</si>
  <si>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</si>
  <si>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</si>
  <si>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</si>
  <si>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</si>
  <si>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</si>
  <si>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</si>
  <si>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</si>
  <si>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</si>
  <si>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</si>
  <si>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</si>
  <si>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</si>
  <si>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</si>
  <si>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</si>
  <si>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</si>
  <si>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</si>
  <si>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</si>
  <si>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</si>
  <si>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</si>
  <si>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</si>
  <si>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</si>
  <si>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</si>
  <si>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</si>
  <si>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</si>
  <si>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</si>
  <si>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</si>
  <si>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</si>
  <si>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</si>
  <si>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</si>
  <si>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</si>
  <si>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</si>
  <si>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</si>
  <si>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</si>
  <si>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</si>
  <si>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</si>
  <si>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</si>
  <si>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</si>
  <si>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</si>
  <si>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</si>
  <si>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</si>
  <si>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</si>
  <si>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</si>
  <si>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</si>
  <si>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</si>
  <si>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</si>
  <si>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</si>
  <si>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</si>
  <si>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</si>
  <si>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</si>
  <si>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</si>
  <si>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</si>
  <si>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</si>
  <si>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</si>
  <si>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</si>
  <si>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</si>
  <si>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</si>
  <si>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</si>
  <si>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</si>
  <si>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</si>
  <si>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</si>
  <si>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</si>
  <si>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</si>
  <si>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</si>
  <si>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</si>
  <si>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</si>
  <si>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</si>
  <si>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</si>
  <si>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</si>
  <si>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</si>
  <si>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</si>
  <si>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</si>
  <si>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</si>
  <si>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</si>
  <si>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</si>
  <si>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</si>
  <si>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</si>
  <si>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</si>
  <si>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</si>
  <si>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</si>
  <si>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</si>
  <si>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</si>
  <si>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</si>
  <si>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</si>
  <si>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</si>
  <si>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</si>
  <si>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</si>
  <si>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</si>
  <si>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</si>
  <si>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</si>
  <si>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</si>
  <si>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</si>
  <si>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</si>
  <si>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</si>
  <si>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</si>
  <si>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</si>
  <si>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</si>
  <si>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</si>
  <si>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</si>
  <si>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</si>
  <si>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</si>
  <si>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</si>
  <si>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</si>
  <si>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</si>
  <si>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</si>
  <si>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</si>
  <si>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</si>
  <si>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</si>
  <si>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</si>
  <si>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</si>
  <si>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</si>
  <si>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</si>
  <si>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</si>
  <si>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</si>
  <si>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</si>
  <si>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</si>
  <si>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</si>
  <si>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</si>
  <si>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</si>
  <si>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</si>
  <si>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</si>
  <si>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</si>
  <si>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</si>
  <si>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</si>
  <si>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</si>
  <si>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</si>
  <si>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</si>
  <si>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</si>
  <si>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</si>
  <si>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</si>
  <si>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</si>
  <si>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</si>
  <si>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</si>
  <si>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</si>
  <si>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</si>
  <si>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</si>
  <si>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</si>
  <si>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</si>
  <si>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</si>
  <si>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</si>
  <si>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</si>
  <si>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</si>
  <si>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</si>
  <si>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</si>
  <si>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</si>
  <si>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</si>
  <si>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</si>
  <si>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</si>
  <si>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</si>
  <si>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</si>
  <si>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</si>
  <si>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</si>
  <si>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</si>
  <si>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</si>
  <si>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</si>
  <si>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</si>
  <si>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</si>
  <si>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</si>
  <si>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</si>
  <si>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</si>
  <si>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</si>
  <si>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</si>
  <si>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</si>
  <si>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</si>
  <si>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</si>
  <si>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</si>
  <si>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</si>
  <si>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</si>
  <si>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</si>
  <si>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</si>
  <si>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</si>
  <si>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</si>
  <si>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</si>
  <si>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</si>
  <si>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</si>
  <si>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</si>
  <si>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</si>
  <si>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</si>
  <si>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</si>
  <si>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</si>
  <si>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</si>
  <si>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</si>
  <si>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</si>
  <si>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</si>
  <si>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</si>
  <si>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</si>
  <si>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</si>
  <si>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</si>
  <si>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</si>
  <si>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</si>
  <si>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</si>
  <si>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</si>
  <si>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</si>
  <si>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</si>
  <si>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</si>
  <si>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</si>
  <si>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</si>
  <si>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</si>
  <si>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</si>
  <si>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</si>
  <si>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</si>
  <si>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</si>
  <si>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</si>
  <si>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</si>
  <si>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</si>
  <si>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</si>
  <si>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</si>
  <si>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</si>
  <si>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</si>
  <si>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</si>
  <si>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</si>
  <si>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</si>
  <si>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</si>
  <si>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</si>
  <si>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</si>
  <si>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</si>
  <si>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</si>
  <si>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</si>
  <si>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</si>
  <si>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</si>
  <si>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</si>
  <si>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</si>
  <si>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</si>
  <si>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</si>
  <si>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</si>
  <si>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</si>
  <si>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</si>
  <si>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</si>
  <si>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</si>
  <si>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</si>
  <si>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</si>
  <si>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</si>
  <si>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</si>
  <si>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</si>
  <si>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</si>
  <si>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</si>
  <si>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</si>
  <si>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</si>
  <si>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</si>
  <si>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</si>
  <si>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</si>
  <si>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</si>
  <si>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</si>
  <si>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</si>
  <si>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</si>
  <si>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</si>
  <si>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</si>
  <si>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</si>
  <si>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</si>
  <si>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</si>
  <si>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</si>
  <si>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</si>
  <si>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</si>
  <si>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</si>
  <si>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</si>
  <si>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</si>
  <si>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</si>
  <si>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</si>
  <si>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</si>
  <si>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</si>
  <si>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</si>
  <si>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</si>
  <si>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</si>
  <si>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</si>
  <si>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</si>
  <si>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</si>
  <si>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</si>
  <si>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</si>
  <si>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</si>
  <si>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</si>
  <si>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</si>
  <si>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</si>
  <si>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</si>
  <si>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</si>
  <si>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</si>
  <si>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</si>
  <si>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</si>
  <si>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</si>
  <si>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</si>
  <si>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</si>
  <si>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</si>
  <si>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</si>
  <si>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</si>
  <si>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</si>
  <si>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</si>
  <si>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</si>
  <si>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</si>
  <si>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</si>
  <si>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</si>
  <si>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</si>
  <si>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</si>
  <si>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</si>
  <si>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</si>
  <si>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</si>
  <si>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</si>
  <si>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</si>
  <si>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</si>
  <si>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</si>
  <si>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</si>
  <si>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</si>
  <si>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</si>
  <si>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</si>
  <si>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</si>
  <si>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</si>
  <si>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</si>
  <si>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</si>
  <si>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</si>
  <si>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</si>
  <si>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</si>
  <si>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</si>
  <si>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</si>
  <si>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</si>
  <si>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</si>
  <si>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</si>
  <si>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</si>
  <si>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</si>
  <si>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</si>
  <si>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</si>
  <si>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</si>
  <si>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</si>
  <si>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</si>
  <si>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</si>
  <si>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</si>
  <si>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</si>
  <si>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</si>
  <si>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</si>
  <si>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</si>
  <si>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</si>
  <si>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</si>
  <si>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</si>
  <si>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</si>
  <si>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</si>
  <si>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</si>
  <si>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</si>
  <si>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</si>
  <si>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</si>
  <si>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</si>
  <si>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</si>
  <si>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</si>
  <si>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</si>
  <si>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</si>
  <si>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</si>
  <si>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</si>
  <si>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</si>
  <si>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</si>
  <si>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</si>
  <si>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</si>
  <si>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</si>
  <si>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</si>
  <si>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</si>
  <si>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</si>
  <si>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</si>
  <si>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</si>
  <si>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</si>
  <si>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</si>
  <si>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</si>
  <si>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</si>
  <si>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</si>
  <si>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</si>
  <si>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</si>
  <si>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</si>
  <si>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</si>
  <si>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</si>
  <si>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</si>
  <si>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</si>
  <si>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</si>
  <si>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</si>
  <si>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</si>
  <si>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</si>
  <si>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</si>
  <si>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</si>
  <si>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</si>
  <si>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</si>
  <si>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</si>
  <si>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</si>
  <si>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</si>
  <si>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</si>
  <si>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</si>
  <si>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</si>
  <si>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</si>
  <si>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</si>
  <si>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</si>
  <si>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</si>
  <si>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</si>
  <si>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</si>
  <si>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</si>
  <si>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</si>
  <si>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</si>
  <si>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</si>
  <si>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</si>
  <si>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</si>
  <si>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</si>
  <si>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</si>
  <si>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</si>
  <si>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</si>
  <si>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</si>
  <si>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</si>
  <si>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</si>
  <si>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</si>
  <si>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</si>
  <si>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</si>
  <si>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</si>
  <si>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</si>
  <si>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</si>
  <si>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</si>
  <si>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</si>
  <si>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</si>
  <si>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</si>
  <si>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</si>
  <si>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</si>
  <si>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</si>
  <si>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</si>
  <si>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</si>
  <si>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</si>
  <si>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</si>
  <si>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</si>
  <si>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</si>
  <si>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</si>
  <si>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</si>
  <si>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</si>
  <si>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</si>
  <si>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</si>
  <si>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</si>
  <si>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</si>
  <si>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</si>
  <si>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</si>
  <si>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</si>
  <si>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</si>
  <si>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</si>
  <si>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</si>
  <si>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</si>
  <si>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</si>
  <si>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</si>
  <si>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</si>
  <si>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</si>
  <si>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</si>
  <si>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</si>
  <si>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</si>
  <si>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</si>
  <si>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</si>
  <si>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</si>
  <si>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</si>
  <si>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</si>
  <si>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</si>
  <si>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</si>
  <si>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</si>
  <si>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</si>
  <si>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</si>
  <si>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</si>
  <si>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</si>
  <si>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</si>
  <si>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</si>
  <si>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</si>
  <si>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</si>
  <si>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</si>
  <si>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</si>
  <si>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</si>
  <si>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</si>
  <si>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</si>
  <si>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</si>
  <si>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</si>
  <si>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</si>
  <si>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</si>
  <si>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</si>
  <si>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</si>
  <si>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</si>
  <si>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</si>
  <si>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</si>
  <si>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</si>
  <si>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</si>
  <si>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</si>
  <si>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</si>
  <si>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</si>
  <si>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</si>
  <si>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</si>
  <si>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</si>
  <si>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</si>
  <si>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</si>
  <si>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</si>
  <si>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</si>
  <si>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</si>
  <si>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</si>
  <si>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</si>
  <si>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</si>
  <si>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</si>
  <si>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</si>
  <si>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</si>
  <si>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</si>
  <si>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</si>
  <si>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</si>
  <si>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</si>
  <si>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</si>
  <si>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</si>
  <si>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</si>
  <si>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</si>
  <si>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</si>
  <si>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</si>
  <si>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</si>
  <si>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</si>
  <si>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</si>
  <si>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</si>
  <si>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</si>
  <si>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</si>
  <si>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</si>
  <si>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</si>
  <si>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</si>
  <si>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</si>
  <si>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</si>
  <si>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</si>
  <si>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</si>
  <si>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</si>
  <si>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</si>
  <si>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</si>
  <si>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</si>
  <si>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</si>
  <si>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</si>
  <si>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</si>
  <si>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</si>
  <si>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</si>
  <si>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</si>
  <si>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</si>
  <si>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</si>
  <si>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</si>
  <si>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</si>
  <si>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</si>
  <si>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</si>
  <si>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</si>
  <si>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</si>
  <si>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</si>
  <si>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</si>
  <si>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</si>
  <si>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</si>
  <si>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</si>
  <si>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</si>
  <si>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</si>
  <si>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</si>
  <si>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</si>
  <si>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</si>
  <si>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</si>
  <si>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</si>
  <si>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</si>
  <si>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</si>
  <si>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</si>
  <si>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</si>
  <si>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</si>
  <si>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</si>
  <si>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</si>
  <si>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</si>
  <si>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</si>
  <si>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</si>
  <si>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</si>
  <si>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</si>
  <si>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</si>
  <si>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</si>
  <si>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</si>
  <si>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</si>
  <si>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</si>
  <si>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</si>
  <si>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</si>
  <si>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</si>
  <si>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</si>
  <si>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</si>
  <si>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</si>
  <si>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</si>
  <si>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</si>
  <si>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</si>
  <si>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</si>
  <si>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</si>
  <si>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</si>
  <si>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</si>
  <si>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</si>
  <si>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</si>
  <si>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</si>
  <si>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</si>
  <si>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</si>
  <si>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</si>
  <si>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</si>
  <si>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</si>
  <si>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</si>
  <si>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</si>
  <si>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</si>
  <si>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</si>
  <si>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</si>
  <si>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</si>
  <si>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</si>
  <si>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</si>
  <si>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</si>
  <si>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</si>
  <si>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</si>
  <si>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</si>
  <si>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</si>
  <si>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</si>
  <si>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</si>
  <si>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</si>
  <si>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</si>
  <si>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</si>
  <si>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</si>
  <si>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</si>
  <si>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</si>
  <si>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</si>
  <si>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</si>
  <si>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</si>
  <si>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</si>
  <si>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</si>
  <si>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</si>
  <si>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</si>
  <si>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</si>
  <si>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</si>
  <si>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</si>
  <si>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</si>
  <si>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</si>
  <si>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</si>
  <si>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</si>
  <si>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</si>
  <si>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</si>
  <si>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</si>
  <si>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</si>
  <si>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</si>
  <si>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</si>
  <si>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</si>
  <si>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</si>
  <si>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</si>
  <si>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</si>
  <si>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</si>
  <si>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</si>
  <si>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</si>
  <si>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</si>
  <si>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</si>
  <si>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</si>
  <si>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</si>
  <si>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</si>
  <si>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</si>
  <si>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</si>
  <si>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</si>
  <si>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</si>
  <si>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</si>
  <si>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</si>
  <si>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</si>
  <si>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</si>
  <si>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</si>
  <si>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</si>
  <si>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</si>
  <si>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</si>
  <si>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</si>
  <si>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</si>
  <si>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</si>
  <si>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</si>
  <si>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</si>
  <si>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</si>
  <si>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</si>
  <si>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</si>
  <si>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</si>
  <si>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</si>
  <si>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</si>
  <si>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</si>
  <si>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</si>
  <si>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</si>
  <si>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</si>
  <si>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</si>
  <si>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</si>
  <si>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</si>
  <si>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</si>
  <si>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</si>
  <si>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</si>
  <si>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</si>
  <si>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</si>
  <si>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</si>
  <si>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</si>
  <si>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</si>
  <si>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</si>
  <si>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</si>
  <si>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</si>
  <si>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</si>
  <si>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</si>
  <si>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</si>
  <si>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</si>
  <si>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</si>
  <si>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</si>
  <si>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</si>
  <si>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</si>
  <si>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</si>
  <si>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</si>
  <si>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</si>
  <si>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</si>
  <si>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</si>
  <si>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</si>
  <si>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</si>
  <si>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</si>
  <si>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</si>
  <si>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</si>
  <si>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</si>
  <si>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</si>
  <si>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</si>
  <si>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</si>
  <si>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</si>
  <si>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</si>
  <si>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</si>
  <si>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</si>
  <si>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</si>
  <si>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</si>
  <si>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</si>
  <si>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</si>
  <si>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</si>
  <si>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</si>
  <si>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</si>
  <si>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</si>
  <si>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</si>
  <si>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</si>
  <si>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</si>
  <si>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</si>
  <si>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</si>
  <si>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</si>
  <si>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</si>
  <si>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</si>
  <si>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</si>
  <si>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</si>
  <si>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</si>
  <si>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</si>
  <si>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</si>
  <si>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</si>
  <si>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</si>
  <si>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</si>
  <si>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</si>
  <si>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</si>
  <si>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</si>
  <si>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</si>
  <si>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</si>
  <si>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</si>
  <si>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</si>
  <si>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</si>
  <si>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</si>
  <si>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</si>
  <si>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</si>
  <si>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</si>
  <si>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</si>
  <si>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</si>
  <si>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</si>
  <si>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</si>
  <si>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</si>
  <si>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</si>
  <si>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</si>
  <si>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</si>
  <si>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</si>
  <si>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</si>
  <si>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</si>
  <si>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</si>
  <si>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</si>
  <si>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</si>
  <si>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</si>
  <si>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</si>
  <si>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</si>
  <si>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</si>
  <si>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</si>
  <si>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</si>
  <si>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</si>
  <si>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</si>
  <si>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</si>
  <si>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</si>
  <si>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</si>
  <si>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</si>
  <si>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</si>
  <si>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</si>
  <si>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</si>
  <si>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</si>
  <si>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</si>
  <si>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</si>
  <si>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</si>
  <si>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</si>
  <si>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</si>
  <si>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</si>
  <si>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</si>
  <si>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</si>
  <si>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</si>
  <si>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</si>
  <si>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</si>
  <si>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</si>
  <si>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</si>
  <si>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</si>
  <si>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</si>
  <si>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</si>
  <si>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</si>
  <si>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</si>
  <si>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</si>
  <si>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</si>
  <si>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</si>
  <si>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</si>
  <si>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</si>
  <si>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</si>
  <si>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</si>
  <si>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</si>
  <si>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</si>
  <si>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</si>
  <si>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</si>
  <si>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</si>
  <si>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</si>
  <si>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</si>
  <si>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</si>
  <si>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</si>
  <si>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</si>
  <si>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</si>
  <si>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</si>
  <si>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</si>
  <si>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</si>
  <si>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</si>
  <si>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</si>
  <si>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</si>
  <si>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</si>
  <si>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</si>
  <si>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</si>
  <si>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</si>
  <si>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</si>
  <si>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</si>
  <si>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</si>
  <si>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</si>
  <si>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</si>
  <si>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</si>
  <si>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</si>
  <si>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</si>
  <si>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</si>
  <si>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</si>
  <si>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</si>
  <si>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</si>
  <si>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</si>
  <si>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</si>
  <si>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</si>
  <si>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</si>
  <si>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</si>
  <si>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</si>
  <si>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</si>
  <si>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</si>
  <si>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</si>
  <si>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</si>
  <si>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</si>
  <si>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</si>
  <si>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</si>
  <si>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</si>
  <si>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</si>
  <si>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</si>
  <si>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</si>
  <si>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</si>
  <si>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</si>
  <si>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</si>
  <si>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</si>
  <si>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</si>
  <si>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</si>
  <si>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</si>
  <si>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</si>
  <si>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</si>
  <si>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</si>
  <si>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</si>
  <si>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</si>
  <si>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</si>
  <si>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</si>
  <si>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</si>
  <si>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</si>
  <si>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</si>
  <si>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</si>
  <si>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</si>
  <si>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</si>
  <si>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</si>
  <si>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</si>
  <si>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</si>
  <si>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</si>
  <si>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</si>
  <si>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</si>
  <si>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</si>
  <si>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</si>
  <si>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</si>
  <si>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</si>
  <si>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</si>
  <si>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</si>
  <si>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</si>
  <si>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</si>
  <si>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</si>
  <si>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</si>
  <si>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</si>
  <si>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</si>
  <si>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</si>
  <si>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</si>
  <si>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</si>
  <si>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</si>
  <si>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</si>
  <si>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</si>
  <si>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</si>
  <si>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</si>
  <si>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</si>
  <si>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</si>
  <si>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</si>
  <si>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</si>
  <si>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</si>
  <si>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</si>
  <si>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</si>
  <si>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</si>
  <si>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</si>
  <si>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</si>
  <si>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</si>
  <si>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</si>
  <si>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</si>
  <si>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</si>
  <si>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</si>
  <si>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</si>
  <si>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</si>
  <si>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</si>
  <si>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</si>
  <si>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</si>
  <si>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</si>
  <si>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</si>
  <si>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</si>
  <si>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</si>
  <si>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</si>
  <si>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</si>
  <si>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</si>
  <si>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</si>
  <si>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</si>
  <si>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</si>
  <si>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</si>
  <si>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</si>
  <si>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</si>
  <si>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</si>
  <si>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</si>
  <si>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</si>
  <si>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</si>
  <si>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</si>
  <si>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</si>
  <si>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</si>
  <si>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</si>
  <si>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</si>
  <si>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</si>
  <si>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</si>
  <si>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</si>
  <si>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</si>
  <si>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</si>
  <si>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</si>
  <si>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</si>
  <si>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</si>
  <si>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</si>
  <si>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</si>
  <si>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</si>
  <si>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</si>
  <si>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</si>
  <si>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</si>
  <si>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</si>
  <si>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</si>
  <si>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</si>
  <si>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</si>
  <si>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</si>
  <si>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</si>
  <si>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</si>
  <si>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</si>
  <si>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</si>
  <si>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</si>
  <si>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</si>
  <si>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</si>
  <si>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</si>
  <si>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</si>
  <si>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</si>
  <si>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</si>
  <si>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</si>
  <si>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</si>
  <si>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</si>
  <si>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</si>
  <si>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</si>
  <si>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</si>
  <si>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</si>
  <si>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</si>
  <si>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</si>
  <si>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</si>
  <si>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</si>
  <si>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</si>
  <si>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</si>
  <si>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</si>
  <si>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</si>
  <si>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</si>
  <si>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</si>
  <si>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</si>
  <si>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</si>
  <si>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</si>
  <si>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</si>
  <si>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</si>
  <si>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</si>
  <si>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</si>
  <si>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</si>
  <si>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</si>
  <si>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</si>
  <si>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</si>
  <si>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</si>
  <si>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</si>
  <si>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</si>
  <si>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</si>
  <si>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</si>
  <si>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</si>
  <si>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</si>
  <si>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</si>
  <si>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</si>
  <si>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</si>
  <si>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</si>
  <si>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</si>
  <si>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</si>
  <si>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</si>
  <si>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</si>
  <si>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</si>
  <si>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</si>
  <si>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</si>
  <si>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</si>
  <si>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</si>
  <si>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</si>
  <si>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</si>
  <si>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</si>
  <si>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</si>
  <si>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</si>
  <si>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</si>
  <si>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</si>
  <si>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</si>
  <si>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</si>
  <si>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</si>
  <si>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</si>
  <si>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</si>
  <si>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</si>
  <si>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</si>
  <si>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</si>
  <si>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</si>
  <si>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</si>
  <si>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</si>
  <si>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</si>
  <si>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</si>
  <si>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</si>
  <si>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</si>
  <si>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</si>
  <si>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</si>
  <si>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</si>
  <si>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</si>
  <si>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</si>
  <si>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</si>
  <si>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</si>
  <si>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</si>
  <si>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</si>
  <si>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</si>
  <si>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</si>
  <si>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</si>
  <si>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</si>
  <si>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</si>
  <si>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</si>
  <si>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</si>
  <si>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</si>
  <si>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</si>
  <si>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</si>
  <si>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</si>
  <si>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</si>
  <si>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</si>
  <si>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</si>
  <si>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</si>
  <si>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</si>
  <si>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</si>
  <si>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</si>
  <si>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</si>
  <si>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</si>
  <si>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</si>
  <si>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</si>
  <si>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</si>
  <si>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</si>
  <si>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</si>
  <si>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</si>
  <si>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</si>
  <si>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</si>
  <si>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</si>
  <si>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</si>
  <si>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</si>
  <si>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</si>
  <si>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</si>
  <si>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</si>
  <si>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</si>
  <si>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</si>
  <si>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</si>
  <si>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</si>
  <si>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</si>
  <si>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</si>
  <si>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</si>
  <si>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</si>
  <si>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</si>
  <si>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</si>
  <si>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</si>
  <si>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</si>
  <si>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</si>
  <si>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</si>
  <si>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</si>
  <si>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</si>
  <si>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</si>
  <si>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</si>
  <si>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</si>
  <si>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</si>
  <si>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</si>
  <si>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</si>
  <si>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</si>
  <si>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</si>
  <si>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</si>
  <si>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</si>
  <si>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</si>
  <si>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</si>
  <si>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</si>
  <si>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</si>
  <si>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</si>
  <si>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</si>
  <si>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</si>
  <si>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</si>
  <si>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</si>
  <si>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</si>
  <si>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</si>
  <si>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</si>
  <si>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</si>
  <si>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</si>
  <si>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</si>
  <si>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</si>
  <si>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</si>
  <si>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</si>
  <si>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</si>
  <si>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</si>
  <si>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</si>
  <si>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</si>
  <si>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</si>
  <si>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</si>
  <si>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</si>
  <si>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</si>
  <si>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</si>
  <si>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</si>
  <si>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</si>
  <si>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</si>
  <si>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</si>
  <si>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</si>
  <si>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</si>
  <si>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</si>
  <si>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</si>
  <si>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</si>
  <si>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</si>
  <si>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</si>
  <si>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</si>
  <si>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</si>
  <si>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</si>
  <si>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</si>
  <si>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</si>
  <si>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</si>
  <si>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</si>
  <si>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</si>
  <si>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</si>
  <si>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</si>
  <si>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</si>
  <si>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</si>
  <si>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</si>
  <si>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</si>
  <si>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</si>
  <si>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</si>
  <si>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</si>
  <si>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</si>
  <si>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</si>
  <si>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</si>
  <si>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</si>
  <si>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</si>
  <si>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</si>
  <si>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</si>
  <si>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</si>
  <si>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</si>
  <si>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</si>
  <si>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</si>
  <si>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</si>
  <si>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</si>
  <si>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</si>
  <si>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</si>
  <si>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</si>
  <si>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</si>
  <si>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</si>
  <si>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</si>
  <si>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</si>
  <si>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</si>
  <si>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</si>
  <si>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</si>
  <si>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</si>
  <si>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</si>
  <si>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</si>
  <si>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</si>
  <si>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</si>
  <si>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</si>
  <si>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</si>
  <si>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</si>
  <si>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</si>
  <si>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</si>
  <si>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</si>
  <si>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</si>
  <si>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</si>
  <si>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</si>
  <si>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</si>
  <si>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</si>
  <si>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</si>
  <si>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</si>
  <si>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</si>
  <si>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</si>
  <si>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</si>
  <si>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</si>
  <si>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</si>
  <si>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</si>
  <si>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</si>
  <si>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</si>
  <si>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</si>
  <si>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</si>
  <si>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</si>
  <si>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</si>
  <si>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</si>
  <si>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</si>
  <si>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</si>
  <si>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</si>
  <si>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</si>
  <si>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</si>
  <si>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</si>
  <si>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</si>
  <si>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</si>
  <si>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</si>
  <si>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</si>
  <si>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</si>
  <si>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</si>
  <si>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</si>
  <si>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</si>
  <si>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</si>
  <si>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</si>
  <si>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</si>
  <si>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</si>
  <si>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</si>
  <si>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</si>
  <si>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</si>
  <si>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</si>
  <si>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</si>
  <si>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</si>
  <si>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</si>
  <si>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</si>
  <si>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</si>
  <si>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</si>
  <si>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</si>
  <si>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</si>
  <si>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</si>
  <si>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</si>
  <si>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</si>
  <si>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</si>
  <si>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</si>
  <si>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</si>
  <si>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</si>
  <si>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</si>
  <si>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</si>
  <si>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</si>
  <si>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</si>
  <si>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</si>
  <si>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</si>
  <si>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</si>
  <si>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</si>
  <si>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</si>
  <si>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</si>
  <si>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</si>
  <si>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</si>
  <si>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</si>
  <si>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</si>
  <si>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</si>
  <si>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</si>
  <si>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</si>
  <si>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</si>
  <si>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</si>
  <si>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</si>
  <si>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</si>
  <si>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</si>
  <si>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</si>
  <si>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</si>
  <si>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</si>
  <si>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</si>
  <si>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</si>
  <si>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</si>
  <si>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</si>
  <si>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</si>
  <si>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</si>
  <si>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</si>
  <si>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</si>
  <si>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</si>
  <si>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</si>
  <si>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</si>
  <si>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</si>
  <si>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</si>
  <si>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</si>
  <si>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</si>
  <si>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</si>
  <si>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</si>
  <si>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</si>
  <si>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</si>
  <si>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</si>
  <si>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</si>
  <si>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</si>
  <si>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</si>
  <si>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</si>
  <si>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</si>
  <si>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</si>
  <si>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</si>
  <si>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</si>
  <si>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</si>
  <si>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</si>
  <si>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</si>
  <si>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</si>
  <si>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</si>
  <si>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</si>
  <si>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</si>
  <si>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</si>
  <si>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</si>
  <si>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</si>
  <si>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</si>
  <si>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</si>
  <si>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</si>
  <si>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</si>
  <si>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</si>
  <si>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</si>
  <si>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</si>
  <si>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</si>
  <si>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</si>
  <si>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</si>
  <si>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</si>
  <si>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</si>
  <si>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</si>
  <si>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</si>
  <si>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</si>
  <si>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</si>
  <si>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</si>
  <si>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</si>
  <si>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</si>
  <si>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</si>
  <si>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</si>
  <si>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</si>
  <si>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</si>
  <si>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</si>
  <si>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</si>
  <si>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</si>
  <si>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</si>
  <si>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</si>
  <si>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</si>
  <si>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</si>
  <si>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</si>
  <si>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</si>
  <si>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</si>
  <si>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</si>
  <si>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</si>
  <si>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</si>
  <si>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</si>
  <si>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</si>
  <si>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</si>
  <si>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</si>
  <si>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</si>
  <si>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</si>
  <si>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</si>
  <si>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</si>
  <si>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</si>
  <si>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</si>
  <si>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</si>
  <si>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</si>
  <si>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</si>
  <si>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</si>
  <si>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</si>
  <si>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</si>
  <si>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</si>
  <si>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</si>
  <si>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</si>
  <si>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</si>
  <si>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</si>
  <si>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</si>
  <si>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</si>
  <si>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</si>
  <si>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</si>
  <si>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</si>
  <si>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</si>
  <si>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</si>
  <si>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</si>
  <si>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</si>
  <si>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</si>
  <si>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</si>
  <si>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</si>
  <si>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</si>
  <si>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</si>
  <si>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</si>
  <si>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</si>
  <si>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</si>
  <si>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</si>
  <si>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</si>
  <si>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</si>
  <si>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</si>
  <si>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</si>
  <si>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</si>
  <si>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</si>
  <si>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</si>
  <si>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</si>
  <si>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</si>
  <si>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</si>
  <si>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</si>
  <si>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</si>
  <si>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</si>
  <si>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</si>
  <si>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</si>
  <si>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</si>
  <si>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</si>
  <si>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</si>
  <si>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</si>
  <si>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</si>
  <si>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</si>
  <si>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</si>
  <si>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</si>
  <si>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</si>
  <si>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</si>
  <si>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</si>
  <si>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</si>
  <si>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</si>
  <si>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</si>
  <si>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</si>
  <si>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</si>
  <si>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</si>
  <si>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</si>
  <si>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</si>
  <si>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</si>
  <si>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</si>
  <si>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</si>
  <si>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</si>
  <si>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</si>
  <si>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</si>
  <si>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</si>
  <si>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</si>
  <si>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</si>
  <si>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</si>
  <si>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</si>
  <si>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</si>
  <si>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</si>
  <si>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</si>
  <si>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</si>
  <si>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</si>
  <si>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</si>
  <si>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</si>
  <si>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</si>
  <si>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</si>
  <si>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</si>
  <si>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</si>
  <si>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</si>
  <si>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</si>
  <si>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</si>
  <si>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</si>
  <si>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</si>
  <si>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</si>
  <si>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</si>
  <si>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</si>
  <si>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</si>
  <si>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</si>
  <si>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</si>
  <si>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</si>
  <si>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</si>
  <si>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</si>
  <si>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</si>
  <si>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</si>
  <si>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</si>
  <si>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</si>
  <si>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</si>
  <si>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</si>
  <si>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</si>
  <si>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</si>
  <si>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</si>
  <si>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</si>
  <si>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</si>
  <si>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</si>
  <si>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</si>
  <si>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</si>
  <si>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</si>
  <si>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</si>
  <si>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</si>
  <si>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</si>
  <si>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</si>
  <si>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</si>
  <si>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</si>
  <si>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</si>
  <si>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</si>
  <si>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</si>
  <si>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</si>
  <si>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</si>
  <si>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</si>
  <si>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</si>
  <si>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</si>
  <si>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</si>
  <si>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</si>
  <si>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</si>
  <si>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</si>
  <si>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</si>
  <si>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</si>
  <si>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</si>
  <si>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</si>
  <si>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</si>
  <si>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</si>
  <si>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</si>
  <si>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</si>
  <si>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</si>
  <si>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</si>
  <si>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</si>
  <si>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</si>
  <si>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</si>
  <si>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</si>
  <si>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</si>
  <si>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</si>
  <si>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</si>
  <si>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</si>
  <si>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</si>
  <si>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</si>
  <si>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</si>
  <si>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</si>
  <si>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</si>
  <si>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</si>
  <si>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</si>
  <si>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</si>
  <si>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</si>
  <si>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</si>
  <si>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</si>
  <si>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</si>
  <si>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</si>
  <si>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</si>
  <si>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</si>
  <si>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</si>
  <si>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</si>
  <si>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</si>
  <si>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</si>
  <si>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</si>
  <si>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</si>
  <si>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</si>
  <si>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</si>
  <si>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</si>
  <si>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</si>
  <si>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</si>
  <si>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</si>
  <si>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</si>
  <si>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</si>
  <si>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</si>
  <si>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</si>
  <si>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</si>
  <si>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</si>
  <si>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</si>
  <si>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</si>
  <si>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</si>
  <si>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</si>
  <si>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</si>
  <si>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</si>
  <si>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</si>
  <si>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</si>
  <si>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</si>
  <si>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</si>
  <si>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</si>
  <si>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</si>
  <si>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</si>
  <si>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</si>
  <si>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</si>
  <si>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</si>
  <si>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</si>
  <si>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</si>
  <si>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</si>
  <si>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</si>
  <si>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</si>
  <si>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</si>
  <si>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</si>
  <si>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</si>
  <si>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</si>
  <si>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</si>
  <si>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</si>
  <si>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</si>
  <si>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</si>
  <si>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</si>
  <si>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</si>
  <si>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</si>
  <si>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</si>
  <si>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</si>
  <si>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</si>
  <si>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</si>
  <si>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</si>
  <si>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</si>
  <si>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</si>
  <si>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</si>
  <si>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</si>
  <si>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</si>
  <si>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</si>
  <si>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</si>
  <si>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</si>
  <si>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</si>
  <si>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</si>
  <si>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</si>
  <si>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</si>
  <si>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</si>
  <si>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</si>
  <si>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</si>
  <si>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</si>
  <si>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</si>
  <si>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</si>
  <si>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</si>
  <si>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</si>
  <si>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</si>
  <si>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</si>
  <si>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</si>
  <si>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</si>
  <si>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</si>
  <si>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</si>
  <si>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</si>
  <si>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</si>
  <si>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</si>
  <si>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</si>
  <si>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</si>
  <si>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</si>
  <si>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</si>
  <si>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</si>
  <si>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</si>
  <si>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</si>
  <si>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</si>
  <si>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</si>
  <si>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</si>
  <si>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</si>
  <si>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</si>
  <si>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</si>
  <si>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</si>
  <si>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</si>
  <si>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</si>
  <si>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</si>
  <si>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</si>
  <si>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</si>
  <si>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</si>
  <si>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</si>
  <si>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</si>
  <si>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</si>
  <si>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</si>
  <si>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</si>
  <si>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</si>
  <si>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</si>
  <si>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</si>
  <si>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</si>
  <si>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</si>
  <si>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</si>
  <si>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</si>
  <si>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</si>
  <si>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</si>
  <si>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</si>
  <si>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</si>
  <si>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</si>
  <si>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</si>
  <si>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</si>
  <si>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</si>
  <si>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</si>
  <si>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</si>
  <si>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</si>
  <si>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</si>
  <si>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</si>
  <si>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</si>
  <si>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</si>
  <si>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</si>
  <si>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</si>
  <si>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</si>
  <si>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</si>
  <si>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</si>
  <si>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</si>
  <si>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</si>
  <si>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</si>
  <si>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</si>
  <si>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</si>
  <si>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</si>
  <si>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</si>
  <si>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</si>
  <si>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</si>
  <si>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</si>
  <si>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</si>
  <si>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</si>
  <si>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</si>
  <si>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</si>
  <si>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</si>
  <si>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</si>
  <si>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</si>
  <si>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</si>
  <si>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</si>
  <si>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</si>
  <si>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</si>
  <si>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</si>
  <si>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</si>
  <si>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</si>
  <si>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</si>
  <si>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</si>
  <si>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</si>
  <si>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</si>
  <si>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</si>
  <si>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</si>
  <si>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</si>
  <si>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</si>
  <si>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</si>
  <si>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</si>
  <si>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</si>
  <si>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</si>
  <si>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</si>
  <si>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</si>
  <si>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</si>
  <si>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</si>
  <si>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</si>
  <si>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</si>
  <si>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</si>
  <si>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</si>
  <si>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</si>
  <si>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</si>
  <si>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</si>
  <si>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</si>
  <si>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</si>
  <si>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</si>
  <si>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</si>
  <si>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</si>
  <si>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</si>
  <si>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</si>
  <si>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</si>
  <si>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</si>
  <si>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</si>
  <si>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</si>
  <si>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</si>
  <si>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</si>
  <si>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</si>
  <si>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</si>
  <si>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</si>
  <si>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</si>
  <si>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</si>
  <si>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</si>
  <si>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</si>
  <si>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</si>
  <si>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</si>
  <si>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</si>
  <si>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</si>
  <si>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</si>
  <si>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</si>
  <si>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</si>
  <si>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</si>
  <si>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</si>
  <si>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</si>
  <si>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</si>
  <si>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</si>
  <si>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</si>
  <si>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</si>
  <si>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</si>
  <si>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</si>
  <si>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</si>
  <si>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</si>
  <si>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</si>
  <si>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</si>
  <si>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</si>
  <si>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</si>
  <si>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</si>
  <si>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</si>
  <si>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</si>
  <si>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</si>
  <si>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</si>
  <si>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</si>
  <si>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</si>
  <si>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</si>
  <si>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</si>
  <si>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</si>
  <si>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</si>
  <si>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</si>
  <si>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</si>
  <si>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</si>
  <si>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</si>
  <si>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</si>
  <si>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</si>
  <si>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</si>
  <si>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</si>
  <si>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</si>
  <si>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</si>
  <si>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</si>
  <si>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</si>
  <si>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</si>
  <si>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</si>
  <si>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</si>
  <si>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</si>
  <si>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</si>
  <si>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</si>
  <si>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</si>
  <si>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</si>
  <si>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</si>
  <si>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</si>
  <si>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</si>
  <si>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</si>
  <si>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</si>
  <si>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</si>
  <si>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</si>
  <si>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</si>
  <si>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</si>
  <si>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</si>
  <si>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</si>
  <si>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</si>
  <si>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</si>
  <si>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</si>
  <si>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</si>
  <si>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</si>
  <si>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</si>
  <si>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</si>
  <si>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</si>
  <si>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</si>
  <si>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</si>
  <si>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</si>
  <si>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</si>
  <si>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</si>
  <si>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</si>
  <si>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</si>
  <si>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</si>
  <si>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</si>
  <si>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</si>
  <si>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</si>
  <si>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</si>
  <si>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</si>
  <si>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</si>
  <si>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</si>
  <si>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</si>
  <si>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</si>
  <si>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</si>
  <si>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</si>
  <si>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</si>
  <si>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</si>
  <si>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</si>
  <si>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</si>
  <si>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</si>
  <si>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</si>
  <si>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</si>
  <si>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</si>
  <si>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</si>
  <si>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</si>
  <si>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</si>
  <si>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</si>
  <si>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</si>
  <si>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</si>
  <si>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</si>
  <si>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</si>
  <si>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</si>
  <si>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</si>
  <si>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</si>
  <si>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</si>
  <si>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</si>
  <si>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</si>
  <si>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</si>
  <si>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</si>
  <si>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</si>
  <si>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</si>
  <si>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</si>
  <si>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</si>
  <si>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</si>
  <si>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</si>
  <si>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</si>
  <si>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</si>
  <si>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</si>
  <si>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</si>
  <si>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</si>
  <si>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</si>
  <si>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</si>
  <si>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</si>
  <si>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</si>
  <si>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</si>
  <si>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</si>
  <si>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</si>
  <si>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</si>
  <si>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</si>
  <si>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</si>
  <si>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</si>
  <si>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</si>
  <si>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</si>
  <si>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</si>
  <si>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</si>
  <si>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</si>
  <si>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</si>
  <si>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</si>
  <si>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</si>
  <si>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</si>
  <si>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</si>
  <si>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</si>
  <si>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</si>
  <si>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</si>
  <si>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</si>
  <si>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</si>
  <si>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</si>
  <si>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</si>
  <si>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</si>
  <si>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</si>
  <si>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</si>
  <si>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</si>
  <si>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</si>
  <si>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</si>
  <si>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</si>
  <si>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</si>
  <si>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</si>
  <si>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</si>
  <si>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</si>
  <si>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</si>
  <si>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</si>
  <si>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</si>
  <si>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</si>
  <si>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</si>
  <si>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</si>
  <si>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</si>
  <si>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</si>
  <si>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</si>
  <si>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</si>
  <si>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</si>
  <si>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</si>
  <si>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</si>
  <si>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</si>
  <si>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</si>
  <si>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</si>
  <si>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</si>
  <si>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</si>
  <si>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</si>
  <si>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</si>
  <si>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</si>
  <si>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</si>
  <si>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</si>
  <si>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</si>
  <si>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</si>
  <si>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</si>
  <si>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</si>
  <si>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</si>
  <si>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</si>
  <si>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</si>
  <si>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</si>
  <si>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</si>
  <si>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</si>
  <si>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</si>
  <si>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</si>
  <si>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</si>
  <si>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</si>
  <si>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</si>
  <si>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</si>
  <si>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</si>
  <si>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</si>
  <si>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</si>
  <si>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</si>
  <si>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</si>
  <si>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</si>
  <si>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</si>
  <si>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</si>
  <si>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</si>
  <si>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</si>
  <si>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</si>
  <si>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</si>
  <si>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</si>
  <si>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</si>
  <si>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</si>
  <si>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</si>
  <si>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</si>
  <si>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</si>
  <si>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</si>
  <si>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</si>
  <si>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</si>
  <si>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</si>
  <si>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</si>
  <si>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</si>
  <si>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</si>
  <si>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</si>
  <si>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</si>
  <si>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</si>
  <si>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</si>
  <si>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</si>
  <si>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</si>
  <si>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</si>
  <si>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</si>
  <si>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</si>
  <si>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</si>
  <si>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</si>
  <si>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</si>
  <si>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</si>
  <si>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</si>
  <si>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</si>
  <si>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</si>
  <si>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</si>
  <si>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</si>
  <si>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</si>
  <si>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</si>
  <si>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</si>
  <si>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</si>
  <si>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</si>
  <si>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</si>
  <si>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</si>
  <si>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</si>
  <si>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</si>
  <si>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</si>
  <si>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</si>
  <si>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</si>
  <si>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</si>
  <si>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</si>
  <si>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</si>
  <si>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</si>
  <si>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</si>
  <si>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</si>
  <si>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</si>
  <si>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</si>
  <si>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</si>
  <si>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</si>
  <si>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</si>
  <si>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</si>
  <si>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</si>
  <si>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</si>
  <si>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</si>
  <si>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</si>
  <si>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</si>
  <si>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</si>
  <si>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</si>
  <si>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</si>
  <si>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</si>
  <si>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</si>
  <si>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</si>
  <si>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</si>
  <si>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</si>
  <si>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</si>
  <si>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</si>
  <si>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</si>
  <si>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</si>
  <si>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</si>
  <si>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</si>
  <si>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</si>
  <si>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</si>
  <si>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</si>
  <si>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</si>
  <si>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</si>
  <si>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</si>
  <si>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</si>
  <si>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</si>
  <si>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</si>
  <si>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</si>
  <si>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</si>
  <si>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</si>
  <si>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</si>
  <si>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</si>
  <si>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</si>
  <si>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</si>
  <si>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</si>
  <si>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</si>
  <si>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</si>
  <si>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</si>
  <si>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</si>
  <si>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</si>
  <si>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</si>
  <si>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</si>
  <si>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</si>
  <si>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</si>
  <si>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</si>
  <si>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</si>
  <si>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</si>
  <si>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</si>
  <si>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</si>
  <si>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</si>
  <si>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</si>
  <si>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</si>
  <si>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</si>
  <si>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</si>
  <si>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</si>
  <si>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</si>
  <si>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</si>
  <si>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</si>
  <si>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</si>
  <si>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</si>
  <si>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</si>
  <si>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</si>
  <si>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</si>
  <si>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</si>
  <si>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</si>
  <si>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</si>
  <si>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</si>
  <si>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</si>
  <si>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</si>
  <si>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</si>
  <si>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</si>
  <si>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</si>
  <si>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</si>
  <si>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</si>
  <si>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</si>
  <si>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</si>
  <si>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</si>
  <si>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</si>
  <si>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</si>
  <si>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</si>
  <si>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</si>
  <si>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</si>
  <si>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</si>
  <si>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</si>
  <si>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</si>
  <si>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</si>
  <si>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</si>
  <si>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</si>
  <si>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</si>
  <si>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</si>
  <si>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</si>
  <si>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</si>
  <si>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</si>
  <si>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</si>
  <si>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</si>
  <si>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</si>
  <si>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</si>
  <si>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</si>
  <si>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</si>
  <si>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</si>
  <si>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</si>
  <si>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</si>
  <si>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</si>
  <si>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</si>
  <si>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</si>
  <si>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</si>
  <si>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</si>
  <si>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</si>
  <si>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</si>
  <si>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</si>
  <si>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</si>
  <si>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</si>
  <si>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</si>
  <si>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</si>
  <si>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</si>
  <si>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</si>
  <si>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</si>
  <si>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</si>
  <si>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</si>
  <si>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</si>
  <si>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</si>
  <si>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</si>
  <si>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</si>
  <si>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</si>
  <si>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</si>
  <si>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</si>
  <si>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</si>
  <si>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</si>
  <si>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</si>
  <si>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</si>
  <si>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</si>
  <si>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</si>
  <si>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</si>
  <si>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</si>
  <si>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</si>
  <si>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</si>
  <si>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</si>
  <si>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</si>
  <si>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</si>
  <si>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</si>
  <si>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</si>
  <si>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</si>
  <si>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</si>
  <si>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</si>
  <si>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</si>
  <si>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</si>
  <si>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</si>
  <si>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</si>
  <si>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</si>
  <si>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</si>
  <si>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</si>
  <si>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</si>
  <si>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</si>
  <si>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</si>
  <si>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</si>
  <si>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</si>
  <si>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</si>
  <si>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</si>
  <si>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</si>
  <si>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</si>
  <si>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</si>
  <si>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</si>
  <si>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</si>
  <si>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</si>
  <si>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</si>
  <si>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</si>
  <si>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</si>
  <si>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</si>
  <si>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</si>
  <si>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</si>
  <si>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</si>
  <si>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</si>
  <si>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</si>
  <si>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</si>
  <si>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</si>
  <si>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</si>
  <si>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</si>
  <si>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</si>
  <si>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</si>
  <si>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</si>
  <si>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</si>
  <si>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</si>
  <si>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</si>
  <si>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</si>
  <si>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</si>
  <si>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</si>
  <si>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</si>
  <si>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</si>
  <si>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</si>
  <si>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</si>
  <si>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</si>
  <si>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</si>
  <si>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</si>
  <si>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</si>
  <si>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</si>
  <si>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</si>
  <si>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</si>
  <si>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</si>
  <si>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</si>
  <si>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</si>
  <si>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</si>
  <si>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</si>
  <si>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</si>
  <si>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</si>
  <si>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</si>
  <si>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</si>
  <si>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</si>
  <si>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</si>
  <si>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</si>
  <si>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</si>
  <si>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</si>
  <si>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</si>
  <si>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</si>
  <si>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</si>
  <si>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</si>
  <si>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</si>
  <si>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</si>
  <si>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</si>
  <si>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</si>
  <si>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</si>
  <si>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</si>
  <si>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</si>
  <si>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</si>
  <si>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</si>
  <si>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</si>
  <si>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</si>
  <si>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</si>
  <si>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</si>
  <si>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</si>
  <si>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</si>
  <si>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</si>
  <si>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</si>
  <si>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</si>
  <si>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</si>
  <si>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</si>
  <si>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</si>
  <si>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</si>
  <si>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</si>
  <si>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</si>
  <si>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</si>
  <si>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</si>
  <si>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</si>
  <si>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</si>
  <si>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</si>
  <si>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</si>
  <si>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</si>
  <si>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</si>
  <si>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</si>
  <si>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</si>
  <si>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</si>
  <si>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</si>
  <si>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</si>
  <si>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</si>
  <si>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</si>
  <si>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</si>
  <si>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</si>
  <si>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</si>
  <si>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</si>
  <si>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</si>
  <si>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</si>
  <si>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</si>
  <si>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</si>
  <si>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</si>
  <si>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</si>
  <si>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</si>
  <si>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</si>
  <si>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</si>
  <si>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</si>
  <si>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</si>
  <si>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</si>
  <si>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</si>
  <si>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</si>
  <si>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</si>
  <si>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</si>
  <si>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</si>
  <si>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</si>
  <si>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</si>
  <si>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</si>
  <si>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</si>
  <si>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</si>
  <si>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</si>
  <si>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</si>
  <si>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</si>
  <si>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</si>
  <si>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</si>
  <si>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</si>
  <si>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</si>
  <si>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</si>
  <si>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</si>
  <si>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</si>
  <si>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</si>
  <si>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</si>
  <si>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</si>
  <si>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</si>
  <si>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</si>
  <si>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</si>
  <si>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</si>
  <si>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</si>
  <si>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</si>
  <si>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</si>
  <si>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</si>
  <si>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</si>
  <si>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</si>
  <si>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</si>
  <si>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</si>
  <si>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</si>
  <si>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</si>
  <si>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</si>
  <si>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</si>
  <si>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</si>
  <si>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</si>
  <si>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</si>
  <si>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</si>
  <si>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</si>
  <si>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</si>
  <si>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</si>
  <si>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</si>
  <si>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</si>
  <si>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</si>
  <si>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</si>
  <si>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</si>
  <si>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</si>
  <si>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</si>
  <si>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</si>
  <si>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</si>
  <si>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</si>
  <si>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</si>
  <si>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</si>
  <si>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</si>
  <si>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</si>
  <si>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</si>
  <si>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</si>
  <si>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</si>
  <si>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</si>
  <si>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</si>
  <si>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</si>
  <si>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</si>
  <si>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</si>
  <si>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</si>
  <si>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</si>
  <si>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</si>
  <si>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</si>
  <si>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</si>
  <si>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</si>
  <si>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</si>
  <si>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</si>
  <si>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</si>
  <si>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</si>
  <si>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</si>
  <si>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</si>
  <si>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</si>
  <si>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</si>
  <si>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</si>
  <si>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</si>
  <si>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</si>
  <si>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</si>
  <si>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</si>
  <si>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</si>
  <si>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</si>
  <si>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</si>
  <si>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</si>
  <si>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</si>
  <si>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</si>
  <si>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</si>
  <si>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</si>
  <si>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</si>
  <si>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</si>
  <si>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</si>
  <si>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</si>
  <si>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</si>
  <si>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</si>
  <si>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</si>
  <si>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</si>
  <si>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</si>
  <si>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</si>
  <si>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</si>
  <si>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</si>
  <si>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</si>
  <si>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</si>
  <si>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</si>
  <si>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</si>
  <si>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</si>
  <si>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</si>
  <si>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</si>
  <si>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</si>
  <si>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</si>
  <si>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</si>
  <si>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</si>
  <si>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</si>
  <si>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</si>
  <si>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</si>
  <si>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</si>
  <si>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</si>
  <si>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</si>
  <si>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</si>
  <si>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</si>
  <si>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</si>
  <si>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</si>
  <si>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</si>
  <si>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</si>
  <si>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</si>
  <si>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</si>
  <si>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</si>
  <si>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</si>
  <si>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</si>
  <si>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</si>
  <si>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</si>
  <si>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</si>
  <si>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</si>
  <si>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</si>
  <si>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</si>
  <si>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</si>
  <si>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</si>
  <si>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</si>
  <si>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</si>
  <si>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</si>
  <si>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</si>
  <si>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</si>
  <si>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</si>
  <si>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</si>
  <si>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</si>
  <si>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</si>
  <si>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</si>
  <si>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</si>
  <si>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</si>
  <si>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</si>
  <si>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</si>
  <si>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</si>
  <si>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</si>
  <si>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</si>
  <si>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</si>
  <si>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</si>
  <si>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</si>
  <si>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</si>
  <si>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</si>
  <si>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</si>
  <si>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</si>
  <si>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</si>
  <si>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</si>
  <si>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</si>
  <si>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</si>
  <si>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</si>
  <si>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</si>
  <si>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</si>
  <si>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</si>
  <si>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</si>
  <si>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</si>
  <si>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</si>
  <si>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</si>
  <si>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</si>
  <si>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</si>
  <si>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</si>
  <si>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</si>
  <si>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</si>
  <si>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</si>
  <si>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</si>
  <si>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</si>
  <si>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</si>
  <si>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</si>
  <si>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</si>
  <si>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</si>
  <si>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</si>
  <si>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</si>
  <si>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</si>
  <si>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</si>
  <si>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</si>
  <si>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</si>
  <si>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</si>
  <si>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</si>
  <si>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</si>
  <si>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</si>
  <si>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</si>
  <si>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</si>
  <si>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</si>
  <si>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</si>
  <si>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</si>
  <si>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</si>
  <si>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</si>
  <si>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</si>
  <si>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</si>
  <si>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</si>
  <si>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</si>
  <si>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</si>
  <si>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</si>
  <si>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</si>
  <si>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</si>
  <si>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</si>
  <si>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</si>
  <si>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</si>
  <si>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</si>
  <si>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</si>
  <si>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</si>
  <si>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</si>
  <si>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</si>
  <si>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</si>
  <si>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</si>
  <si>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</si>
  <si>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</si>
  <si>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</si>
  <si>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</si>
  <si>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</si>
  <si>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</si>
  <si>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</si>
  <si>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</si>
  <si>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</si>
  <si>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</si>
  <si>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</si>
  <si>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</si>
  <si>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</si>
  <si>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</si>
  <si>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</si>
  <si>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</si>
  <si>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</si>
  <si>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</si>
  <si>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</si>
  <si>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</si>
  <si>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</si>
  <si>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</si>
  <si>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</si>
  <si>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</si>
  <si>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</si>
  <si>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</si>
  <si>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</si>
  <si>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</si>
  <si>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</si>
  <si>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</si>
  <si>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</si>
  <si>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</si>
  <si>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</si>
  <si>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</si>
  <si>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</si>
  <si>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</si>
  <si>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</si>
  <si>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</si>
  <si>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</si>
  <si>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</si>
  <si>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</si>
  <si>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</si>
  <si>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</si>
  <si>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</si>
  <si>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</si>
  <si>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</si>
  <si>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</si>
  <si>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</si>
  <si>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</si>
  <si>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</si>
  <si>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</si>
  <si>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</si>
  <si>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</si>
  <si>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</si>
  <si>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</si>
  <si>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</si>
  <si>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</si>
  <si>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</si>
  <si>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</si>
  <si>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</si>
  <si>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</si>
  <si>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</si>
  <si>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</si>
  <si>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</si>
  <si>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</si>
  <si>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</si>
  <si>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</si>
  <si>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</si>
  <si>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</si>
  <si>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</si>
  <si>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</si>
  <si>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</si>
  <si>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</si>
  <si>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</si>
  <si>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</si>
  <si>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</si>
  <si>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</si>
  <si>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</si>
  <si>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</si>
  <si>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</si>
  <si>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</si>
  <si>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</si>
  <si>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</si>
  <si>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</si>
  <si>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</si>
  <si>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</si>
  <si>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</si>
  <si>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</si>
  <si>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</si>
  <si>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</si>
  <si>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</si>
  <si>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</si>
  <si>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</si>
  <si>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</si>
  <si>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</si>
  <si>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</si>
  <si>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</si>
  <si>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</si>
  <si>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</si>
  <si>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</si>
  <si>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</si>
  <si>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</si>
  <si>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</si>
  <si>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</si>
  <si>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</si>
  <si>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</si>
  <si>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</si>
  <si>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</si>
  <si>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</si>
  <si>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</si>
  <si>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</si>
  <si>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</si>
  <si>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</si>
  <si>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</si>
  <si>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</si>
  <si>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</si>
  <si>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</si>
  <si>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</si>
  <si>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</si>
  <si>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</si>
  <si>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</si>
  <si>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</si>
  <si>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</si>
  <si>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</si>
  <si>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</si>
  <si>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</si>
  <si>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</si>
  <si>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</si>
  <si>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</si>
  <si>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</si>
  <si>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</si>
  <si>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</si>
  <si>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</si>
  <si>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</si>
  <si>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</si>
  <si>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</si>
  <si>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</si>
  <si>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</si>
  <si>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</si>
  <si>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</si>
  <si>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</si>
  <si>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</si>
  <si>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</si>
  <si>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</si>
  <si>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</si>
  <si>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</si>
  <si>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</si>
  <si>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</si>
  <si>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</si>
  <si>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</si>
  <si>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</si>
  <si>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</si>
  <si>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</si>
  <si>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</si>
  <si>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</si>
  <si>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</si>
  <si>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</si>
  <si>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</si>
  <si>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</si>
  <si>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</si>
  <si>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</si>
  <si>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</si>
  <si>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</si>
  <si>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</si>
  <si>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</si>
  <si>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</si>
  <si>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</si>
  <si>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</si>
  <si>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</si>
  <si>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</si>
  <si>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</si>
  <si>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</si>
  <si>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</si>
  <si>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</si>
  <si>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</si>
  <si>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</si>
  <si>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</si>
  <si>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</si>
  <si>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</si>
  <si>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</si>
  <si>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</si>
  <si>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</si>
  <si>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</si>
  <si>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</si>
  <si>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</si>
  <si>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</si>
  <si>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</si>
  <si>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</si>
  <si>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</si>
  <si>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</si>
  <si>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</si>
  <si>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</si>
  <si>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</si>
  <si>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</si>
  <si>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</si>
  <si>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</si>
  <si>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</si>
  <si>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</si>
  <si>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</si>
  <si>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</si>
  <si>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</si>
  <si>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</si>
  <si>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</si>
  <si>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</si>
  <si>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</si>
  <si>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</si>
  <si>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</si>
  <si>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</si>
  <si>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</si>
  <si>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</si>
  <si>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</si>
  <si>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</si>
  <si>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</si>
  <si>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</si>
  <si>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</si>
  <si>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</si>
  <si>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</si>
  <si>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</si>
  <si>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</si>
  <si>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</si>
  <si>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</si>
  <si>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</si>
  <si>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</si>
  <si>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</si>
  <si>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</si>
  <si>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</si>
  <si>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</si>
  <si>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</si>
  <si>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</si>
  <si>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</si>
  <si>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</si>
  <si>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</si>
  <si>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</si>
  <si>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</si>
  <si>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</si>
  <si>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</si>
  <si>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</si>
  <si>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</si>
  <si>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</si>
  <si>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</si>
  <si>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</si>
  <si>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</si>
  <si>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</si>
  <si>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</si>
  <si>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</si>
  <si>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</si>
  <si>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</si>
  <si>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</si>
  <si>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</si>
  <si>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</si>
  <si>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</si>
  <si>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</si>
  <si>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</si>
  <si>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</si>
  <si>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</si>
  <si>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</si>
  <si>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</si>
  <si>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</si>
  <si>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</si>
  <si>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</si>
  <si>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</si>
  <si>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</si>
  <si>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</si>
  <si>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</si>
  <si>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</si>
  <si>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</si>
  <si>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</si>
  <si>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</si>
  <si>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</si>
  <si>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</si>
  <si>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</si>
  <si>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</si>
  <si>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</si>
  <si>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</si>
  <si>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</si>
  <si>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</si>
  <si>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</si>
  <si>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</si>
  <si>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</si>
  <si>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</si>
  <si>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</si>
  <si>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</si>
  <si>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</si>
  <si>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</si>
  <si>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</si>
  <si>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</si>
  <si>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</si>
  <si>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</si>
  <si>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</si>
  <si>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</si>
  <si>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</si>
  <si>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</si>
  <si>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</si>
  <si>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</si>
  <si>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</si>
  <si>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</si>
  <si>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</si>
  <si>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</si>
  <si>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</si>
  <si>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</si>
  <si>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</si>
  <si>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</si>
  <si>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</si>
  <si>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</si>
  <si>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</si>
  <si>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</si>
  <si>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</si>
  <si>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</si>
  <si>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</si>
  <si>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</si>
  <si>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</si>
  <si>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</si>
  <si>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</si>
  <si>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</si>
  <si>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</si>
  <si>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</si>
  <si>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</si>
  <si>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</si>
  <si>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</si>
  <si>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</si>
  <si>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</si>
  <si>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</si>
  <si>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</si>
  <si>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</si>
  <si>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</si>
  <si>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</si>
  <si>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</si>
  <si>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</si>
  <si>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</si>
  <si>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</si>
  <si>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</si>
  <si>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</si>
  <si>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</si>
  <si>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</si>
  <si>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</si>
  <si>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</si>
  <si>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</si>
  <si>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</si>
  <si>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</si>
  <si>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</si>
  <si>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</si>
  <si>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</si>
  <si>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</si>
  <si>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</si>
  <si>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</si>
  <si>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</si>
  <si>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</si>
  <si>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</si>
  <si>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</si>
  <si>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</si>
  <si>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</si>
  <si>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</si>
  <si>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</si>
  <si>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</si>
  <si>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</si>
  <si>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</si>
  <si>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</si>
  <si>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</si>
  <si>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</si>
  <si>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</si>
  <si>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</si>
  <si>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</si>
  <si>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</si>
  <si>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</si>
  <si>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</si>
  <si>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</si>
  <si>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</si>
  <si>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</si>
  <si>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</si>
  <si>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</si>
  <si>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</si>
  <si>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</si>
  <si>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</si>
  <si>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</si>
  <si>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</si>
  <si>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</si>
  <si>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</si>
  <si>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</si>
  <si>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</si>
  <si>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</si>
  <si>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</si>
  <si>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</si>
  <si>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</si>
  <si>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</si>
  <si>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</si>
  <si>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</si>
  <si>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</si>
  <si>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</si>
  <si>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</si>
  <si>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</si>
  <si>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</si>
  <si>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</si>
  <si>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</si>
  <si>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</si>
  <si>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</si>
  <si>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</si>
  <si>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</si>
  <si>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</si>
  <si>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</si>
  <si>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</si>
  <si>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</si>
  <si>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</si>
  <si>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</si>
  <si>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</si>
  <si>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</si>
  <si>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</si>
  <si>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</si>
  <si>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</si>
  <si>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</si>
  <si>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</si>
  <si>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</si>
  <si>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</si>
  <si>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</si>
  <si>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</si>
  <si>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</si>
  <si>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</si>
  <si>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</si>
  <si>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</si>
  <si>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</si>
  <si>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</si>
  <si>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</si>
  <si>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</si>
  <si>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</si>
  <si>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</si>
  <si>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</si>
  <si>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</si>
  <si>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</si>
  <si>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</si>
  <si>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</si>
  <si>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</si>
  <si>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</si>
  <si>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</si>
  <si>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</si>
  <si>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</si>
  <si>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</si>
  <si>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</si>
  <si>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</si>
  <si>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</si>
  <si>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</si>
  <si>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</si>
  <si>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</si>
  <si>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</si>
  <si>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</si>
  <si>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</si>
  <si>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</si>
  <si>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</si>
  <si>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</si>
  <si>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</si>
  <si>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</si>
  <si>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</si>
  <si>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</si>
  <si>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</si>
  <si>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</si>
  <si>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</si>
  <si>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</si>
  <si>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</si>
  <si>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</si>
  <si>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</si>
  <si>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</si>
  <si>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</si>
  <si>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</si>
  <si>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</si>
  <si>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</si>
  <si>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</si>
  <si>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</si>
  <si>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</si>
  <si>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</si>
  <si>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</si>
  <si>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</si>
  <si>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</si>
  <si>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</si>
  <si>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</si>
  <si>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</si>
  <si>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</si>
  <si>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</si>
  <si>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</si>
  <si>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</si>
  <si>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</si>
  <si>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</si>
  <si>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</si>
  <si>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</si>
  <si>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</si>
  <si>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</si>
  <si>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</si>
  <si>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</si>
  <si>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</si>
  <si>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</si>
  <si>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</si>
  <si>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</si>
  <si>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</si>
  <si>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</si>
  <si>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</si>
  <si>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</si>
  <si>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</si>
  <si>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</si>
  <si>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</si>
  <si>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</si>
  <si>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</si>
  <si>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</si>
  <si>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</si>
  <si>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</si>
  <si>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</si>
  <si>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</si>
  <si>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</si>
  <si>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</si>
  <si>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</si>
  <si>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</si>
  <si>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</si>
  <si>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</si>
  <si>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</si>
  <si>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</si>
  <si>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</si>
  <si>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</si>
  <si>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</si>
  <si>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</si>
  <si>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</si>
  <si>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</si>
  <si>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</si>
  <si>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</si>
  <si>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</si>
  <si>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</si>
  <si>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</si>
  <si>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</si>
  <si>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</si>
  <si>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</si>
  <si>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</si>
  <si>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</si>
  <si>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</si>
  <si>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</si>
  <si>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</si>
  <si>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</si>
  <si>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</si>
  <si>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</si>
  <si>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</si>
  <si>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</si>
  <si>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</si>
  <si>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</si>
  <si>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</si>
  <si>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</si>
  <si>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</si>
  <si>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</si>
  <si>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</si>
  <si>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</si>
  <si>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</si>
  <si>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</si>
  <si>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</si>
  <si>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</si>
  <si>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</si>
  <si>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</si>
  <si>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</si>
  <si>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</si>
  <si>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</si>
  <si>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</si>
  <si>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</si>
  <si>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</si>
  <si>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</si>
  <si>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</si>
  <si>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</si>
  <si>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</si>
  <si>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</si>
  <si>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</si>
  <si>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</si>
  <si>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</si>
  <si>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</si>
  <si>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</si>
  <si>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</si>
  <si>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</si>
  <si>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</si>
  <si>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</si>
  <si>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</si>
  <si>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</si>
  <si>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</si>
  <si>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</si>
  <si>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</si>
  <si>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</si>
  <si>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</si>
  <si>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</si>
  <si>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</si>
  <si>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</si>
  <si>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</si>
  <si>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</si>
  <si>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</si>
  <si>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</si>
  <si>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</si>
  <si>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</si>
  <si>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</si>
  <si>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</si>
  <si>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</si>
  <si>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</si>
  <si>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</si>
  <si>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</si>
  <si>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</si>
  <si>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</si>
  <si>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</si>
  <si>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</si>
  <si>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</si>
  <si>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</si>
  <si>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</si>
  <si>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</si>
  <si>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</si>
  <si>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</si>
  <si>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</si>
  <si>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</si>
  <si>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</si>
  <si>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</si>
  <si>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</si>
  <si>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</si>
  <si>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</si>
  <si>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</si>
  <si>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</si>
  <si>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</si>
  <si>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</si>
  <si>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</si>
  <si>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</si>
  <si>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</si>
  <si>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</si>
  <si>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</si>
  <si>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</si>
  <si>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</si>
  <si>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</si>
  <si>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</si>
  <si>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</si>
  <si>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</si>
  <si>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</si>
  <si>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</si>
  <si>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</si>
  <si>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</si>
  <si>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</si>
  <si>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</si>
  <si>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</si>
  <si>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</si>
  <si>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</si>
  <si>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</si>
  <si>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</si>
  <si>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</si>
  <si>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</si>
  <si>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</si>
  <si>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</si>
  <si>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</si>
  <si>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</si>
  <si>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</si>
  <si>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</si>
  <si>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</si>
  <si>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</si>
  <si>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</si>
  <si>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</si>
  <si>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</si>
  <si>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</si>
  <si>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</si>
  <si>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</si>
  <si>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</si>
  <si>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</si>
  <si>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</si>
  <si>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</si>
  <si>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</si>
  <si>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</si>
  <si>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</si>
  <si>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</si>
  <si>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</si>
  <si>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</si>
  <si>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</si>
  <si>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</si>
  <si>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</si>
  <si>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</si>
  <si>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</si>
  <si>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</si>
  <si>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</si>
  <si>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</si>
  <si>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</si>
  <si>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</si>
  <si>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</si>
  <si>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</si>
  <si>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</si>
  <si>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</si>
  <si>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</si>
  <si>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</si>
  <si>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</si>
  <si>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</si>
  <si>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</si>
  <si>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</si>
  <si>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</si>
  <si>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</si>
  <si>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</si>
  <si>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</si>
  <si>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</si>
  <si>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</si>
  <si>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</si>
  <si>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</si>
  <si>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</si>
  <si>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</si>
  <si>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</si>
  <si>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</si>
  <si>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</si>
  <si>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</si>
  <si>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</si>
  <si>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</si>
  <si>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</si>
  <si>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</si>
  <si>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</si>
  <si>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</si>
  <si>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</si>
  <si>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</si>
  <si>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</si>
  <si>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</si>
  <si>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</si>
  <si>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</si>
  <si>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</si>
  <si>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</si>
  <si>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</si>
  <si>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</si>
  <si>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</si>
  <si>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</si>
  <si>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</si>
  <si>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</si>
  <si>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</si>
  <si>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</si>
  <si>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</si>
  <si>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</si>
  <si>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</si>
  <si>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</si>
  <si>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</si>
  <si>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</si>
  <si>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</si>
  <si>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</si>
  <si>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</si>
  <si>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</si>
  <si>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</si>
  <si>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</si>
  <si>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</si>
  <si>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</si>
  <si>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</si>
  <si>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</si>
  <si>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</si>
  <si>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</si>
  <si>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</si>
  <si>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</si>
  <si>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</si>
  <si>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</si>
  <si>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</si>
  <si>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</si>
  <si>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</si>
  <si>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</si>
  <si>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</si>
  <si>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</si>
  <si>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</si>
  <si>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</si>
  <si>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</si>
  <si>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</si>
  <si>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</si>
  <si>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</si>
  <si>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</si>
  <si>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</si>
  <si>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</si>
  <si>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</si>
  <si>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</si>
  <si>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</si>
  <si>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</si>
  <si>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</si>
  <si>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</si>
  <si>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</si>
  <si>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</si>
  <si>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</si>
  <si>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</si>
  <si>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</si>
  <si>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</si>
  <si>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</si>
  <si>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</si>
  <si>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</si>
  <si>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</si>
  <si>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</si>
  <si>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</si>
  <si>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</si>
  <si>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</si>
  <si>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</si>
  <si>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</si>
  <si>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</si>
  <si>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</si>
  <si>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</si>
  <si>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</si>
  <si>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</si>
  <si>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</si>
  <si>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</si>
  <si>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</si>
  <si>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</si>
  <si>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</si>
  <si>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</si>
  <si>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</si>
  <si>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</si>
  <si>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</si>
  <si>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</si>
  <si>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</si>
  <si>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</si>
  <si>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</si>
  <si>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</si>
  <si>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</si>
  <si>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</si>
  <si>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</si>
  <si>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</si>
  <si>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</si>
  <si>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</si>
  <si>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</si>
  <si>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</si>
  <si>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</si>
  <si>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</si>
  <si>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</si>
  <si>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</si>
  <si>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</si>
  <si>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</si>
  <si>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</si>
  <si>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</si>
  <si>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</si>
  <si>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</si>
  <si>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</si>
  <si>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</si>
  <si>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</si>
  <si>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</si>
  <si>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</si>
  <si>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</si>
  <si>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</si>
  <si>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</si>
  <si>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</si>
  <si>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</si>
  <si>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</si>
  <si>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</si>
  <si>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</si>
  <si>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</si>
  <si>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</si>
  <si>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</si>
  <si>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</si>
  <si>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</si>
  <si>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</si>
  <si>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</si>
  <si>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</si>
  <si>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</si>
  <si>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</si>
  <si>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</si>
  <si>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</si>
  <si>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</si>
  <si>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</si>
  <si>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</si>
  <si>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</si>
  <si>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</si>
  <si>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</si>
  <si>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</si>
  <si>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</si>
  <si>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</si>
  <si>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</si>
  <si>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</si>
  <si>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</si>
  <si>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</si>
  <si>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</si>
  <si>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</si>
  <si>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</si>
  <si>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</si>
  <si>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</si>
  <si>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</si>
  <si>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</si>
  <si>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</si>
  <si>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</si>
  <si>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</si>
  <si>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</si>
  <si>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</si>
  <si>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</si>
  <si>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</si>
  <si>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</si>
  <si>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</si>
  <si>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</si>
  <si>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</si>
  <si>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</si>
  <si>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</si>
  <si>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</si>
  <si>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</si>
  <si>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</si>
  <si>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</si>
  <si>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</si>
  <si>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</si>
  <si>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</si>
  <si>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</si>
  <si>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</si>
  <si>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</si>
  <si>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</si>
  <si>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</si>
  <si>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</si>
  <si>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</si>
  <si>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</si>
  <si>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</si>
  <si>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</si>
  <si>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</si>
  <si>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</si>
  <si>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</si>
  <si>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</si>
  <si>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</si>
  <si>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</si>
  <si>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</si>
  <si>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</si>
  <si>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</si>
  <si>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</si>
  <si>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</si>
  <si>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</si>
  <si>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</si>
  <si>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</si>
  <si>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</si>
  <si>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</si>
  <si>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</si>
  <si>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</si>
  <si>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</si>
  <si>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</si>
  <si>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</si>
  <si>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</si>
  <si>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</si>
  <si>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</si>
  <si>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</si>
  <si>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</si>
  <si>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</si>
  <si>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</si>
  <si>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</si>
  <si>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</si>
  <si>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</si>
  <si>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</si>
  <si>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</si>
  <si>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</si>
  <si>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</si>
  <si>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</si>
  <si>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</si>
  <si>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</si>
  <si>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</si>
  <si>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</si>
  <si>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</si>
  <si>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</si>
  <si>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</si>
  <si>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</si>
  <si>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</si>
  <si>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</si>
  <si>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</si>
  <si>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</si>
  <si>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</si>
  <si>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</si>
  <si>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</si>
  <si>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</si>
  <si>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</si>
  <si>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</si>
  <si>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</si>
  <si>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</si>
  <si>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</si>
  <si>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</si>
  <si>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</si>
  <si>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</si>
  <si>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</si>
  <si>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</si>
  <si>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</si>
  <si>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</si>
  <si>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</si>
  <si>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</si>
  <si>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</si>
  <si>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</si>
  <si>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</si>
  <si>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</si>
  <si>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</si>
  <si>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</si>
  <si>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</si>
  <si>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</si>
  <si>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</si>
  <si>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</si>
  <si>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</si>
  <si>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</si>
  <si>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</si>
  <si>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</si>
  <si>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</si>
  <si>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</si>
  <si>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</si>
  <si>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</si>
  <si>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</si>
  <si>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</si>
  <si>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</si>
  <si>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</si>
  <si>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</si>
  <si>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</si>
  <si>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</si>
  <si>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</si>
  <si>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</si>
  <si>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</si>
  <si>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</si>
  <si>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</si>
  <si>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</si>
  <si>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</si>
  <si>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</si>
  <si>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</si>
  <si>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</si>
  <si>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</si>
  <si>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</si>
  <si>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</si>
  <si>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</si>
  <si>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</si>
  <si>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</si>
  <si>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</si>
  <si>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</si>
  <si>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</si>
  <si>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</si>
  <si>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</si>
  <si>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</si>
  <si>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</si>
  <si>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</si>
  <si>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</si>
  <si>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</si>
  <si>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</si>
  <si>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</si>
  <si>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</si>
  <si>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</si>
  <si>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</si>
  <si>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</si>
  <si>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</si>
  <si>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</si>
  <si>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</si>
  <si>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</si>
  <si>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</si>
  <si>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</si>
  <si>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</si>
  <si>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</si>
  <si>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</si>
  <si>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</si>
  <si>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</si>
  <si>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</si>
  <si>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</si>
  <si>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</si>
  <si>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</si>
  <si>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</si>
  <si>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</si>
  <si>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</si>
  <si>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</si>
  <si>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</si>
  <si>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</si>
  <si>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</si>
  <si>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</si>
  <si>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</si>
  <si>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</si>
  <si>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</si>
  <si>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</si>
  <si>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</si>
  <si>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</si>
  <si>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</si>
  <si>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</si>
  <si>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</si>
  <si>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</si>
  <si>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</si>
  <si>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</si>
  <si>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</si>
  <si>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</si>
  <si>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</si>
  <si>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</si>
  <si>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</si>
  <si>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</si>
  <si>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</si>
  <si>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</si>
  <si>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</si>
  <si>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</si>
  <si>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</si>
  <si>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</si>
  <si>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</si>
  <si>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</si>
  <si>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</si>
  <si>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</si>
  <si>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</si>
  <si>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</si>
  <si>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</si>
  <si>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</si>
  <si>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</si>
  <si>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</si>
  <si>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</si>
  <si>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</si>
  <si>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</si>
  <si>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</si>
  <si>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</si>
  <si>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</si>
  <si>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</si>
  <si>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</si>
  <si>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</si>
  <si>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</si>
  <si>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</si>
  <si>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</si>
  <si>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</si>
  <si>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</si>
  <si>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</si>
  <si>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</si>
  <si>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</si>
  <si>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</si>
  <si>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</si>
  <si>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</si>
  <si>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</si>
  <si>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</si>
  <si>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</si>
  <si>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</si>
  <si>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</si>
  <si>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</si>
  <si>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</si>
  <si>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</si>
  <si>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</si>
  <si>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</si>
  <si>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</si>
  <si>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</si>
  <si>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</si>
  <si>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</si>
  <si>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</si>
  <si>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</si>
  <si>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</si>
  <si>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</si>
  <si>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</si>
  <si>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</si>
  <si>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</si>
  <si>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</si>
  <si>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</si>
  <si>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</si>
  <si>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</si>
  <si>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</si>
  <si>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</si>
  <si>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</si>
  <si>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</si>
  <si>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</si>
  <si>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</si>
  <si>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</si>
  <si>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</si>
  <si>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</si>
  <si>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</si>
  <si>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</si>
  <si>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</si>
  <si>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</si>
  <si>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</si>
  <si>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</si>
  <si>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</si>
  <si>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</si>
  <si>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</si>
  <si>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</si>
  <si>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</si>
  <si>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</si>
  <si>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</si>
  <si>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</si>
  <si>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</si>
  <si>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</si>
  <si>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</si>
  <si>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</si>
  <si>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</si>
  <si>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</si>
  <si>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</si>
  <si>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</si>
  <si>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</si>
  <si>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</si>
  <si>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</si>
  <si>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</si>
  <si>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</si>
  <si>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</si>
  <si>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</si>
  <si>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</si>
  <si>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</si>
  <si>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</si>
  <si>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</si>
  <si>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</si>
  <si>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</si>
  <si>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</si>
  <si>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</si>
  <si>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</si>
  <si>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</si>
  <si>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</si>
  <si>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</si>
  <si>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</si>
  <si>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</si>
  <si>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</si>
  <si>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</si>
  <si>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</si>
  <si>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</si>
  <si>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</si>
  <si>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</si>
  <si>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</si>
  <si>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</si>
  <si>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</si>
  <si>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</si>
  <si>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</si>
  <si>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</si>
  <si>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</si>
  <si>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</si>
  <si>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</si>
  <si>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</si>
  <si>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</si>
  <si>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</si>
  <si>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</si>
  <si>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</si>
  <si>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</si>
  <si>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</si>
  <si>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</si>
  <si>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</si>
  <si>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</si>
  <si>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</si>
  <si>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</si>
  <si>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</si>
  <si>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</si>
  <si>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</si>
  <si>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</si>
  <si>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</si>
  <si>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</si>
  <si>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</si>
  <si>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</si>
  <si>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</si>
  <si>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</si>
  <si>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</si>
  <si>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</si>
  <si>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</si>
  <si>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</si>
  <si>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</si>
  <si>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</si>
  <si>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</si>
  <si>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</si>
  <si>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</si>
  <si>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</si>
  <si>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</si>
  <si>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</si>
  <si>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</si>
  <si>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</si>
  <si>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</si>
  <si>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</si>
  <si>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</si>
  <si>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</si>
  <si>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</si>
  <si>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</si>
  <si>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</si>
  <si>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</si>
  <si>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</si>
  <si>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</si>
  <si>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</si>
  <si>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</si>
  <si>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</si>
  <si>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</si>
  <si>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</si>
  <si>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</si>
  <si>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</si>
  <si>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</si>
  <si>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</si>
  <si>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</si>
  <si>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</si>
  <si>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</si>
  <si>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</si>
  <si>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</si>
  <si>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</si>
  <si>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</si>
  <si>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</si>
  <si>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</si>
  <si>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</si>
  <si>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</si>
  <si>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</si>
  <si>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</si>
  <si>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</si>
  <si>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</si>
  <si>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</si>
  <si>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</si>
  <si>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</si>
  <si>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</si>
  <si>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</si>
  <si>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</si>
  <si>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</si>
  <si>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</si>
  <si>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</si>
  <si>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</si>
  <si>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</si>
  <si>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</si>
  <si>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</si>
  <si>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</si>
  <si>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</si>
  <si>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</si>
  <si>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</si>
  <si>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</si>
  <si>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</si>
  <si>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</si>
  <si>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</si>
  <si>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</si>
  <si>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</si>
  <si>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</si>
  <si>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</si>
  <si>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</si>
  <si>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</si>
  <si>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</si>
  <si>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</si>
  <si>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</si>
  <si>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</si>
  <si>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</si>
  <si>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</si>
  <si>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</si>
  <si>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</si>
  <si>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</si>
  <si>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</si>
  <si>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</si>
  <si>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</si>
  <si>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</si>
  <si>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</si>
  <si>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</si>
  <si>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</si>
  <si>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</si>
  <si>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</si>
  <si>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</si>
  <si>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</si>
  <si>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</si>
  <si>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</si>
  <si>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</si>
  <si>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</si>
  <si>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</si>
  <si>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</si>
  <si>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</si>
  <si>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</si>
  <si>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</si>
  <si>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</si>
  <si>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</si>
  <si>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</si>
  <si>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</si>
  <si>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</si>
  <si>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</si>
  <si>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</si>
  <si>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</si>
  <si>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</si>
  <si>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</si>
  <si>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</si>
  <si>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</si>
  <si>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</si>
  <si>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</si>
  <si>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</si>
  <si>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</si>
  <si>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</si>
  <si>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</si>
  <si>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</si>
  <si>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</si>
  <si>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</si>
  <si>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</si>
  <si>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</si>
  <si>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</si>
  <si>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</si>
  <si>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</si>
  <si>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</si>
  <si>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</si>
  <si>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</si>
  <si>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</si>
  <si>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</si>
  <si>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</si>
  <si>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</si>
  <si>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</si>
  <si>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</si>
  <si>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</si>
  <si>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</si>
  <si>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</si>
  <si>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</si>
  <si>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</si>
  <si>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</si>
  <si>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</si>
  <si>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</si>
  <si>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</si>
  <si>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</si>
  <si>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</si>
  <si>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</si>
  <si>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</si>
  <si>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</si>
  <si>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</si>
  <si>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</si>
  <si>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</si>
  <si>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</si>
  <si>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</si>
  <si>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</si>
  <si>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</si>
  <si>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</si>
  <si>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</si>
  <si>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</si>
  <si>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</si>
  <si>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</si>
  <si>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</si>
  <si>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</si>
  <si>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</si>
  <si>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</si>
  <si>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</si>
  <si>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</si>
  <si>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</si>
  <si>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</si>
  <si>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</si>
  <si>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</si>
  <si>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</si>
  <si>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</si>
  <si>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</si>
  <si>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</si>
  <si>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</si>
  <si>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</si>
  <si>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</si>
  <si>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</si>
  <si>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</si>
  <si>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</si>
  <si>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</si>
  <si>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</si>
  <si>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</si>
  <si>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</si>
  <si>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</si>
  <si>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</si>
  <si>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</si>
  <si>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</si>
  <si>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</si>
  <si>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</si>
  <si>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</si>
  <si>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</si>
  <si>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</si>
  <si>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</si>
  <si>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</si>
  <si>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</si>
  <si>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</si>
  <si>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</si>
  <si>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</si>
  <si>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</si>
  <si>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</si>
  <si>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</si>
  <si>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</si>
  <si>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</si>
  <si>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</si>
  <si>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</si>
  <si>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</si>
  <si>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</si>
  <si>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</si>
  <si>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</si>
  <si>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</si>
  <si>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</si>
  <si>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</si>
  <si>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</si>
  <si>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</si>
  <si>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</si>
  <si>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</si>
  <si>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</si>
  <si>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</si>
  <si>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</si>
  <si>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</si>
  <si>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</si>
  <si>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</si>
  <si>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</si>
  <si>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</si>
  <si>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</si>
  <si>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</si>
  <si>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</si>
  <si>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</si>
  <si>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</si>
  <si>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</si>
  <si>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</si>
  <si>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</si>
  <si>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</si>
  <si>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</si>
  <si>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</si>
  <si>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</si>
  <si>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</si>
  <si>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</si>
  <si>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</si>
  <si>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</si>
  <si>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</si>
  <si>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</si>
  <si>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</si>
  <si>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</si>
  <si>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</si>
  <si>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</si>
  <si>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</si>
  <si>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</si>
  <si>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</si>
  <si>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</si>
  <si>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</si>
  <si>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</si>
  <si>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</si>
  <si>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</si>
  <si>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</si>
  <si>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</si>
  <si>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</si>
  <si>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</si>
  <si>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</si>
  <si>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</si>
  <si>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</si>
  <si>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</si>
  <si>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</si>
  <si>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</si>
  <si>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</si>
  <si>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</si>
  <si>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</si>
  <si>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</si>
  <si>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</si>
  <si>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</si>
  <si>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</si>
  <si>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</si>
  <si>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</si>
  <si>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</si>
  <si>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</si>
  <si>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</si>
  <si>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</si>
  <si>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</si>
  <si>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</si>
  <si>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</si>
  <si>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</si>
  <si>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</si>
  <si>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</si>
  <si>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</si>
  <si>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</si>
  <si>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</si>
  <si>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</si>
  <si>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</si>
  <si>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</si>
  <si>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</si>
  <si>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</si>
  <si>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</si>
  <si>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</si>
  <si>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</si>
  <si>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</si>
  <si>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</si>
  <si>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</si>
  <si>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</si>
  <si>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</si>
  <si>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</si>
  <si>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</si>
  <si>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</si>
  <si>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</si>
  <si>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</si>
  <si>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</si>
  <si>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</si>
  <si>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</si>
  <si>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</si>
  <si>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</si>
  <si>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</si>
  <si>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</si>
  <si>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</si>
  <si>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</si>
  <si>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</si>
  <si>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</si>
  <si>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</si>
  <si>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</si>
  <si>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</si>
  <si>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</si>
  <si>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</si>
  <si>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</si>
  <si>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</si>
  <si>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</si>
  <si>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</si>
  <si>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</si>
  <si>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</si>
  <si>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</si>
  <si>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</si>
  <si>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</si>
  <si>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</si>
  <si>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</si>
  <si>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</si>
  <si>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</si>
  <si>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</si>
  <si>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</si>
  <si>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</si>
  <si>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</si>
  <si>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</si>
  <si>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</si>
  <si>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</si>
  <si>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</si>
  <si>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</si>
  <si>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</si>
  <si>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</si>
  <si>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</si>
  <si>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</si>
  <si>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</si>
  <si>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</si>
  <si>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</si>
  <si>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</si>
  <si>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</si>
  <si>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</si>
  <si>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</si>
  <si>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</si>
  <si>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</si>
  <si>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</si>
  <si>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</si>
  <si>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</si>
  <si>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</si>
  <si>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</si>
  <si>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</si>
  <si>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</si>
  <si>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</si>
  <si>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</si>
  <si>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</si>
  <si>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</si>
  <si>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</si>
  <si>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</si>
  <si>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</si>
  <si>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</si>
  <si>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</si>
  <si>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</si>
  <si>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</si>
  <si>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</si>
  <si>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</si>
  <si>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</si>
  <si>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</si>
  <si>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</si>
  <si>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</si>
  <si>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</si>
  <si>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</si>
  <si>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</si>
  <si>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</si>
  <si>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</si>
  <si>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</si>
  <si>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</si>
  <si>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</si>
  <si>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</si>
  <si>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</si>
  <si>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</si>
  <si>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</si>
  <si>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</si>
  <si>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</si>
  <si>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</si>
  <si>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</si>
  <si>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</si>
  <si>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</si>
  <si>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</si>
  <si>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</si>
  <si>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</si>
  <si>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</si>
  <si>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</si>
  <si>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</si>
  <si>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</si>
  <si>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</si>
  <si>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</si>
  <si>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</si>
  <si>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</si>
  <si>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</si>
  <si>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</si>
  <si>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</si>
  <si>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</si>
  <si>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</si>
  <si>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</si>
  <si>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</si>
  <si>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</si>
  <si>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</si>
  <si>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</si>
  <si>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</si>
  <si>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</si>
  <si>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</si>
  <si>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</si>
  <si>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</si>
  <si>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</si>
  <si>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</si>
  <si>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</si>
  <si>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</si>
  <si>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</si>
  <si>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</si>
  <si>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</si>
  <si>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</si>
  <si>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</si>
  <si>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</si>
  <si>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</si>
  <si>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</si>
  <si>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</si>
  <si>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</si>
  <si>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</si>
  <si>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</si>
  <si>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</si>
  <si>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</si>
  <si>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</si>
  <si>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</si>
  <si>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</si>
  <si>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</si>
  <si>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</si>
  <si>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</si>
  <si>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</si>
  <si>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</si>
  <si>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</si>
  <si>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</si>
  <si>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</si>
  <si>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</si>
  <si>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</si>
  <si>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</si>
  <si>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</si>
  <si>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</si>
  <si>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</si>
  <si>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</si>
  <si>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</si>
  <si>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</si>
  <si>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</si>
  <si>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</si>
  <si>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</si>
  <si>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</si>
  <si>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</si>
  <si>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</si>
  <si>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</si>
  <si>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</si>
  <si>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</si>
  <si>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</si>
  <si>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</si>
  <si>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</si>
  <si>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</si>
  <si>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</si>
  <si>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</si>
  <si>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</si>
  <si>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</si>
  <si>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</si>
  <si>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</si>
  <si>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</si>
  <si>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</si>
  <si>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</si>
  <si>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</si>
  <si>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</si>
  <si>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</si>
  <si>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</si>
  <si>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</si>
  <si>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</si>
  <si>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</si>
  <si>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</si>
  <si>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</si>
  <si>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</si>
  <si>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</si>
  <si>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</si>
  <si>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</si>
  <si>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</si>
  <si>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</si>
  <si>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</si>
  <si>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</si>
  <si>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</si>
  <si>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</si>
  <si>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</si>
  <si>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</si>
  <si>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</si>
  <si>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</si>
  <si>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</si>
  <si>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</si>
  <si>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</si>
  <si>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</si>
  <si>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</si>
  <si>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</si>
  <si>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</si>
  <si>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</si>
  <si>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</si>
  <si>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</si>
  <si>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</si>
  <si>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</si>
  <si>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</si>
  <si>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</si>
  <si>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</si>
  <si>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</si>
  <si>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</si>
  <si>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</si>
  <si>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</si>
  <si>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</si>
  <si>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</si>
  <si>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</si>
  <si>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</si>
  <si>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</si>
  <si>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</si>
  <si>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</si>
  <si>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</si>
  <si>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</si>
  <si>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</si>
  <si>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</si>
  <si>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</si>
  <si>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</si>
  <si>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</si>
  <si>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</si>
  <si>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</si>
  <si>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</si>
  <si>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</si>
  <si>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</si>
  <si>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</si>
  <si>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</si>
  <si>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</si>
  <si>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</si>
  <si>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</si>
  <si>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</si>
  <si>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</si>
  <si>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</si>
  <si>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</si>
  <si>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</si>
  <si>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</si>
  <si>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</si>
  <si>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</si>
  <si>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</si>
  <si>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</si>
  <si>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</si>
  <si>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</si>
  <si>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</si>
  <si>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</si>
  <si>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</si>
  <si>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</si>
  <si>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</si>
  <si>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</si>
  <si>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</si>
  <si>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</si>
  <si>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</si>
  <si>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</si>
  <si>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</si>
  <si>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</si>
  <si>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</si>
  <si>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</si>
  <si>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</si>
  <si>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</si>
  <si>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</si>
  <si>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</si>
  <si>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</si>
  <si>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</si>
  <si>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</si>
  <si>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</si>
  <si>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</si>
  <si>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</si>
  <si>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</si>
  <si>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</si>
  <si>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</si>
  <si>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</si>
  <si>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</si>
  <si>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</si>
  <si>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</si>
  <si>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</si>
  <si>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</si>
  <si>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</si>
  <si>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</si>
  <si>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</si>
  <si>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</si>
  <si>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</si>
  <si>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</si>
  <si>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</si>
  <si>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</si>
  <si>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</si>
  <si>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</si>
  <si>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</si>
  <si>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</si>
  <si>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</si>
  <si>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</si>
  <si>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</si>
  <si>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</si>
  <si>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</si>
  <si>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</si>
  <si>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</si>
  <si>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</si>
  <si>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</si>
  <si>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</si>
  <si>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</si>
  <si>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</si>
  <si>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</si>
  <si>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</si>
  <si>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</si>
  <si>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</si>
  <si>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</si>
  <si>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</si>
  <si>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</si>
  <si>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</si>
  <si>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</si>
  <si>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</si>
  <si>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</si>
  <si>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</si>
  <si>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</si>
  <si>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</si>
  <si>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</si>
  <si>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</si>
  <si>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</si>
  <si>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</si>
  <si>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</si>
  <si>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</si>
  <si>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</si>
  <si>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</si>
  <si>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</si>
  <si>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</si>
  <si>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</si>
  <si>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</si>
  <si>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</si>
  <si>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</si>
  <si>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</si>
  <si>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</si>
  <si>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</si>
  <si>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</si>
  <si>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</si>
  <si>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</si>
  <si>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</si>
  <si>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</si>
  <si>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</si>
  <si>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</si>
  <si>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</si>
  <si>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</si>
  <si>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</si>
  <si>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</si>
  <si>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</si>
  <si>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</si>
  <si>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</si>
  <si>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</si>
  <si>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</si>
  <si>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</si>
  <si>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</si>
  <si>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</si>
  <si>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</si>
  <si>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</si>
  <si>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</si>
  <si>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</si>
  <si>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</si>
  <si>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</si>
  <si>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</si>
  <si>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</si>
  <si>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</si>
  <si>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</si>
  <si>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</si>
  <si>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</si>
  <si>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</si>
  <si>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</si>
  <si>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</si>
  <si>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</si>
  <si>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</si>
  <si>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</si>
  <si>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</si>
  <si>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</si>
  <si>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</si>
  <si>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</si>
  <si>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</si>
  <si>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</si>
  <si>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</si>
  <si>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</si>
  <si>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</si>
  <si>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</si>
  <si>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</si>
  <si>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</si>
  <si>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</si>
  <si>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</si>
  <si>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</si>
  <si>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</si>
  <si>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</si>
  <si>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</si>
  <si>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</si>
  <si>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</si>
  <si>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</si>
  <si>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</si>
  <si>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</si>
  <si>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</si>
  <si>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</si>
  <si>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</si>
  <si>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</si>
  <si>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</si>
  <si>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</si>
  <si>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</si>
  <si>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</si>
  <si>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</si>
  <si>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</si>
  <si>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</si>
  <si>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</si>
  <si>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</si>
  <si>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</si>
  <si>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</si>
  <si>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</si>
  <si>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</si>
  <si>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</si>
  <si>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</si>
  <si>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</si>
  <si>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</si>
  <si>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</si>
  <si>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</si>
  <si>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</si>
  <si>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</si>
  <si>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</si>
  <si>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</si>
  <si>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</si>
  <si>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</si>
  <si>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</si>
  <si>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</si>
  <si>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</si>
  <si>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</si>
  <si>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</si>
  <si>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</si>
  <si>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</si>
  <si>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</si>
  <si>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</si>
  <si>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</si>
  <si>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</si>
  <si>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</si>
  <si>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</si>
  <si>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</si>
  <si>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</si>
  <si>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</si>
  <si>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</si>
  <si>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</si>
  <si>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</si>
  <si>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</si>
  <si>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</si>
  <si>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</si>
  <si>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</si>
  <si>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</si>
  <si>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</si>
  <si>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</si>
  <si>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</si>
  <si>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</si>
  <si>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</si>
  <si>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</si>
  <si>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</si>
  <si>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</si>
  <si>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</si>
  <si>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</si>
  <si>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</si>
  <si>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</si>
  <si>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</si>
  <si>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</si>
  <si>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</si>
  <si>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</si>
  <si>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</si>
  <si>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</si>
  <si>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</si>
  <si>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</si>
  <si>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</si>
  <si>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</si>
  <si>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</si>
  <si>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</si>
  <si>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</si>
  <si>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</si>
  <si>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</si>
  <si>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</si>
  <si>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</si>
  <si>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</si>
  <si>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</si>
  <si>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</si>
  <si>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</si>
  <si>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</si>
  <si>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</si>
  <si>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</si>
  <si>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</si>
  <si>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</si>
  <si>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</si>
  <si>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</si>
  <si>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</si>
  <si>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</si>
  <si>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</si>
  <si>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</si>
  <si>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</si>
  <si>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</si>
  <si>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</si>
  <si>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</si>
  <si>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</si>
  <si>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</si>
  <si>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</si>
  <si>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</si>
  <si>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</si>
  <si>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</si>
  <si>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</si>
  <si>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</si>
  <si>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</si>
  <si>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</si>
  <si>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</si>
  <si>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</si>
  <si>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</si>
  <si>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</si>
  <si>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</si>
  <si>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</si>
  <si>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</si>
  <si>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</si>
  <si>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</si>
  <si>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</si>
  <si>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</si>
  <si>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</si>
  <si>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</si>
  <si>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</si>
  <si>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</si>
  <si>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</si>
  <si>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</si>
  <si>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</si>
  <si>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</si>
  <si>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</si>
  <si>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</si>
  <si>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</si>
  <si>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</si>
  <si>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</si>
  <si>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</si>
  <si>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</si>
  <si>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</si>
  <si>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</si>
  <si>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</si>
  <si>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</si>
  <si>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</si>
  <si>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</si>
  <si>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</si>
  <si>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</si>
  <si>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</si>
  <si>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</si>
  <si>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</si>
  <si>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</si>
  <si>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</si>
  <si>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</si>
  <si>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</si>
  <si>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</si>
  <si>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</si>
  <si>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</si>
  <si>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</si>
  <si>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</si>
  <si>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</si>
  <si>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</si>
  <si>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</si>
  <si>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</si>
  <si>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</si>
  <si>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</si>
  <si>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</si>
  <si>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</si>
  <si>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</si>
  <si>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</si>
  <si>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</si>
  <si>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</si>
  <si>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</si>
  <si>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</si>
  <si>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</si>
  <si>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</si>
  <si>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</si>
  <si>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</si>
  <si>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</si>
  <si>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</si>
  <si>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</si>
  <si>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</si>
  <si>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</si>
  <si>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</si>
  <si>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</si>
  <si>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</si>
  <si>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</si>
  <si>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</si>
  <si>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</si>
  <si>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</si>
  <si>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</si>
  <si>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</si>
  <si>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</si>
  <si>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</si>
  <si>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</si>
  <si>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</si>
  <si>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</si>
  <si>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</si>
  <si>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</si>
  <si>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</si>
  <si>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</si>
  <si>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</si>
  <si>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</si>
  <si>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</si>
  <si>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</si>
  <si>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</si>
  <si>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</si>
  <si>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</si>
  <si>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</si>
  <si>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</si>
  <si>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</si>
  <si>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</si>
  <si>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</si>
  <si>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</si>
  <si>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</si>
  <si>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</si>
  <si>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</si>
  <si>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</si>
  <si>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</si>
  <si>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</si>
  <si>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</si>
  <si>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</si>
  <si>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</si>
  <si>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</si>
  <si>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</si>
  <si>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</si>
  <si>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</si>
  <si>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</si>
  <si>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</si>
  <si>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</si>
  <si>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</si>
  <si>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</si>
  <si>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</si>
  <si>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</si>
  <si>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</si>
  <si>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</si>
  <si>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</si>
  <si>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</si>
  <si>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</si>
  <si>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</si>
  <si>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</si>
  <si>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</si>
  <si>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</si>
  <si>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</si>
  <si>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</si>
  <si>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</si>
  <si>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</si>
  <si>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</si>
  <si>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</si>
  <si>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</si>
  <si>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</si>
  <si>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</si>
  <si>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</si>
  <si>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</si>
  <si>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</si>
  <si>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</si>
  <si>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</si>
  <si>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</si>
  <si>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</si>
  <si>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</si>
  <si>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</si>
  <si>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</si>
  <si>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</si>
  <si>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</si>
  <si>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</si>
  <si>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</si>
  <si>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</si>
  <si>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</si>
  <si>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</si>
  <si>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</si>
  <si>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</si>
  <si>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</si>
  <si>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</si>
  <si>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</si>
  <si>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</si>
  <si>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</si>
  <si>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</si>
  <si>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</si>
  <si>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</si>
  <si>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</si>
  <si>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</si>
  <si>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</si>
  <si>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</si>
  <si>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</si>
  <si>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</si>
  <si>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</si>
  <si>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</si>
  <si>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</si>
  <si>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</si>
  <si>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</si>
  <si>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</si>
  <si>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</si>
  <si>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</si>
  <si>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</si>
  <si>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</si>
  <si>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</si>
  <si>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</si>
  <si>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</si>
  <si>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</si>
  <si>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</si>
  <si>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</si>
  <si>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</si>
  <si>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</si>
  <si>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</si>
  <si>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</si>
  <si>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</si>
  <si>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</si>
  <si>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</si>
  <si>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</si>
  <si>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</si>
  <si>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</si>
  <si>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</si>
  <si>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</si>
  <si>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</si>
  <si>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</si>
  <si>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</si>
  <si>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</si>
  <si>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</si>
  <si>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</si>
  <si>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</si>
  <si>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</si>
  <si>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</si>
  <si>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</si>
  <si>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</si>
  <si>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</si>
  <si>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</si>
  <si>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</si>
  <si>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</si>
  <si>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</si>
  <si>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</si>
  <si>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</si>
  <si>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</si>
  <si>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</si>
  <si>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</si>
  <si>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</si>
  <si>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</si>
  <si>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</si>
  <si>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</si>
  <si>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</si>
  <si>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</si>
  <si>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</si>
  <si>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</si>
  <si>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</si>
  <si>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</si>
  <si>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</si>
  <si>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</si>
  <si>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</si>
  <si>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</si>
  <si>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</si>
  <si>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</si>
  <si>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</si>
  <si>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</si>
  <si>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</si>
  <si>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</si>
  <si>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</si>
  <si>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</si>
  <si>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</si>
  <si>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</si>
  <si>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</si>
  <si>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</si>
  <si>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</si>
  <si>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</si>
  <si>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</si>
  <si>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</si>
  <si>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</si>
  <si>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</si>
  <si>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</si>
  <si>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</si>
  <si>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</si>
  <si>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</si>
  <si>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</si>
  <si>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</si>
  <si>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</si>
  <si>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</si>
  <si>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</si>
  <si>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</si>
  <si>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</si>
  <si>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</si>
  <si>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</si>
  <si>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</si>
  <si>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</si>
  <si>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</si>
  <si>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</si>
  <si>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</si>
  <si>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</si>
  <si>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</si>
  <si>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</si>
  <si>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</si>
  <si>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</si>
  <si>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</si>
  <si>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</si>
  <si>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</si>
  <si>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</si>
  <si>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</si>
  <si>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</si>
  <si>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</si>
  <si>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</si>
  <si>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</si>
  <si>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</si>
  <si>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</si>
  <si>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</si>
  <si>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</si>
  <si>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</si>
  <si>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</si>
  <si>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</si>
  <si>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</si>
  <si>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</si>
  <si>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</si>
  <si>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</si>
  <si>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</si>
  <si>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</si>
  <si>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</si>
  <si>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</si>
  <si>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</si>
  <si>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</si>
  <si>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</si>
  <si>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</si>
  <si>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</si>
  <si>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</si>
  <si>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</si>
  <si>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</si>
  <si>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</si>
  <si>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</si>
  <si>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</si>
  <si>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</si>
  <si>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</si>
  <si>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</si>
  <si>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</si>
  <si>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</si>
  <si>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</si>
  <si>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</si>
  <si>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</si>
  <si>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</si>
  <si>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</si>
  <si>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</si>
  <si>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</si>
  <si>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</si>
  <si>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</si>
  <si>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</si>
  <si>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</si>
  <si>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</si>
  <si>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</si>
  <si>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</si>
  <si>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</si>
  <si>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</si>
  <si>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</si>
  <si>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</si>
  <si>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</si>
  <si>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</si>
  <si>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</si>
  <si>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</si>
  <si>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</si>
  <si>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</si>
  <si>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</si>
  <si>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</si>
  <si>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</si>
  <si>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</si>
  <si>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</si>
  <si>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</si>
  <si>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</si>
  <si>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</si>
  <si>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</si>
  <si>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</si>
  <si>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</si>
  <si>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</si>
  <si>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</si>
  <si>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</si>
  <si>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</si>
  <si>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</si>
  <si>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</si>
  <si>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</si>
  <si>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</si>
  <si>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</si>
  <si>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</si>
  <si>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</si>
  <si>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</si>
  <si>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</si>
  <si>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</si>
  <si>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</si>
  <si>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</si>
  <si>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</si>
  <si>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</si>
  <si>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</si>
  <si>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</si>
  <si>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</si>
  <si>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</si>
  <si>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</si>
  <si>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</si>
  <si>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</si>
  <si>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</si>
  <si>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</si>
  <si>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</si>
  <si>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</si>
  <si>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</si>
  <si>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</si>
  <si>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</si>
  <si>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</si>
  <si>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</si>
  <si>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</si>
  <si>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</si>
  <si>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</si>
  <si>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</si>
  <si>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</si>
  <si>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</si>
  <si>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</si>
  <si>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</si>
  <si>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</si>
  <si>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</si>
  <si>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</si>
  <si>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</si>
  <si>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</si>
  <si>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</si>
  <si>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</si>
  <si>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</si>
  <si>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</si>
  <si>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</si>
  <si>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</si>
  <si>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</si>
  <si>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</si>
  <si>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</si>
  <si>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</si>
  <si>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</si>
  <si>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</si>
  <si>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</si>
  <si>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</si>
  <si>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</si>
  <si>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</si>
  <si>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</si>
  <si>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</si>
  <si>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</si>
  <si>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</si>
  <si>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</si>
  <si>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</si>
  <si>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</si>
  <si>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</si>
  <si>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</si>
  <si>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</si>
  <si>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</si>
  <si>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</si>
  <si>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</si>
  <si>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</si>
  <si>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</si>
  <si>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</si>
  <si>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</si>
  <si>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</si>
  <si>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</si>
  <si>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</si>
  <si>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</si>
  <si>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</si>
  <si>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</si>
  <si>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</si>
  <si>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</si>
  <si>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</si>
  <si>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</si>
  <si>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</si>
  <si>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</si>
  <si>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</si>
  <si>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</si>
  <si>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</si>
  <si>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</si>
  <si>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</si>
  <si>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</si>
  <si>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</si>
  <si>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</si>
  <si>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</si>
  <si>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</si>
  <si>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</si>
  <si>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</si>
  <si>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</si>
  <si>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</si>
  <si>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</si>
  <si>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</si>
  <si>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</si>
  <si>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</si>
  <si>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</si>
  <si>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</si>
  <si>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</si>
  <si>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</si>
  <si>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</si>
  <si>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</si>
  <si>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</si>
  <si>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</si>
  <si>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</si>
  <si>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</si>
  <si>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</si>
  <si>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</si>
  <si>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</si>
  <si>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</si>
  <si>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</si>
  <si>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</si>
  <si>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</si>
  <si>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</si>
  <si>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</si>
  <si>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</si>
  <si>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</si>
  <si>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</si>
  <si>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</si>
  <si>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</si>
  <si>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</si>
  <si>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</si>
  <si>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</si>
  <si>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</si>
  <si>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</si>
  <si>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</si>
  <si>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</si>
  <si>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</si>
  <si>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</si>
  <si>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</si>
  <si>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</si>
  <si>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</si>
  <si>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</si>
  <si>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</si>
  <si>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</si>
  <si>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</si>
  <si>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</si>
  <si>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</si>
  <si>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</si>
  <si>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</si>
  <si>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</si>
  <si>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</si>
  <si>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</si>
  <si>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</si>
  <si>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</si>
  <si>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</si>
  <si>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</si>
  <si>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</si>
  <si>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</si>
  <si>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</si>
  <si>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</si>
  <si>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</si>
  <si>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</si>
  <si>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</si>
  <si>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</si>
  <si>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</si>
  <si>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</si>
  <si>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</si>
  <si>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</si>
  <si>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</si>
  <si>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</si>
  <si>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</si>
  <si>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</si>
  <si>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</si>
  <si>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</si>
  <si>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</si>
  <si>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</si>
  <si>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</si>
  <si>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</si>
  <si>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</si>
  <si>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</si>
  <si>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</si>
  <si>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</si>
  <si>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</si>
  <si>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</si>
  <si>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</si>
  <si>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</si>
  <si>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</si>
  <si>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</si>
  <si>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</si>
  <si>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</si>
  <si>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</si>
  <si>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</si>
  <si>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</si>
  <si>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</si>
  <si>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</si>
  <si>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</si>
  <si>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</si>
  <si>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</si>
  <si>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</si>
  <si>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</si>
  <si>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</si>
  <si>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</si>
  <si>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</si>
  <si>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</si>
  <si>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</si>
  <si>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</si>
  <si>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</si>
  <si>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</si>
  <si>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</si>
  <si>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</si>
  <si>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</si>
  <si>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</si>
  <si>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</si>
  <si>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</si>
  <si>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</si>
  <si>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</si>
  <si>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</si>
  <si>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</si>
  <si>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</si>
  <si>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</si>
  <si>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</si>
  <si>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</si>
  <si>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</si>
  <si>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</si>
  <si>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</si>
  <si>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</si>
  <si>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</si>
  <si>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</si>
  <si>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</si>
  <si>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</si>
  <si>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</si>
  <si>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</si>
  <si>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</si>
  <si>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</si>
  <si>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</si>
  <si>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</si>
  <si>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</si>
  <si>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</si>
  <si>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</si>
  <si>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</si>
  <si>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</si>
  <si>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</si>
  <si>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</si>
  <si>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</si>
  <si>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</si>
  <si>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</si>
  <si>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</si>
  <si>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</si>
  <si>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</si>
  <si>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</si>
  <si>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</si>
  <si>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</si>
  <si>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</si>
  <si>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</si>
  <si>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</si>
  <si>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</si>
  <si>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</si>
  <si>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</si>
  <si>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</si>
  <si>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</si>
  <si>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</si>
  <si>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</si>
  <si>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</si>
  <si>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</si>
  <si>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</si>
  <si>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</si>
  <si>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</si>
  <si>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</si>
  <si>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</si>
  <si>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</si>
  <si>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</si>
  <si>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</si>
  <si>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</si>
  <si>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</si>
  <si>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</si>
  <si>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</si>
  <si>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</si>
  <si>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</si>
  <si>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</si>
  <si>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</si>
  <si>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</si>
  <si>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</si>
  <si>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</si>
  <si>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</si>
  <si>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</si>
  <si>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</si>
  <si>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</si>
  <si>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</si>
  <si>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</si>
  <si>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</si>
  <si>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</si>
  <si>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</si>
  <si>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</si>
  <si>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</si>
  <si>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</si>
  <si>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</si>
  <si>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</si>
  <si>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</si>
  <si>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</si>
  <si>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</si>
  <si>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</si>
  <si>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</si>
  <si>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</si>
  <si>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</si>
  <si>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</si>
  <si>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</si>
  <si>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</si>
  <si>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</si>
  <si>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</si>
  <si>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</si>
  <si>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</si>
  <si>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</si>
  <si>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</si>
  <si>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</si>
  <si>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</si>
  <si>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</si>
  <si>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</si>
  <si>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</si>
  <si>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</si>
  <si>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</si>
  <si>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</si>
  <si>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</si>
  <si>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</si>
  <si>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</si>
  <si>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</si>
  <si>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</si>
  <si>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</si>
  <si>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</si>
  <si>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</si>
  <si>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</si>
  <si>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</si>
  <si>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</si>
  <si>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</si>
  <si>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</si>
  <si>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</si>
  <si>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</si>
  <si>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</si>
  <si>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</si>
  <si>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</si>
  <si>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</si>
  <si>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</si>
  <si>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</si>
  <si>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</si>
  <si>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</si>
  <si>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</si>
  <si>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</si>
  <si>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</si>
  <si>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</si>
  <si>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</si>
  <si>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</si>
  <si>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</si>
  <si>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</si>
  <si>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</si>
  <si>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</si>
  <si>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</si>
  <si>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</si>
  <si>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</si>
  <si>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</si>
  <si>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</si>
  <si>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</si>
  <si>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</si>
  <si>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</si>
  <si>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</si>
  <si>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</si>
  <si>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</si>
  <si>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</si>
  <si>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</si>
  <si>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</si>
  <si>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</si>
  <si>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</si>
  <si>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</si>
  <si>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</si>
  <si>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</si>
  <si>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</si>
  <si>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</si>
  <si>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</si>
  <si>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</si>
  <si>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</si>
  <si>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</si>
  <si>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</si>
  <si>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</si>
  <si>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</si>
  <si>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</si>
  <si>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</si>
  <si>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</si>
  <si>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</si>
  <si>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</si>
  <si>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</si>
  <si>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</si>
  <si>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</si>
  <si>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</si>
  <si>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</si>
  <si>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</si>
  <si>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</si>
  <si>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</si>
  <si>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</si>
  <si>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</si>
  <si>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</si>
  <si>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</si>
  <si>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</si>
  <si>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</si>
  <si>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</si>
  <si>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</si>
  <si>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</si>
  <si>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</si>
  <si>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</si>
  <si>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</si>
  <si>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</si>
  <si>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</si>
  <si>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</si>
  <si>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</si>
  <si>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</si>
  <si>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</si>
  <si>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</si>
  <si>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</si>
  <si>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</si>
  <si>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</si>
  <si>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</si>
  <si>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</si>
  <si>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</si>
  <si>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</si>
  <si>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</si>
  <si>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</si>
  <si>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</si>
  <si>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</si>
  <si>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</si>
  <si>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</si>
  <si>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</si>
  <si>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</si>
  <si>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</si>
  <si>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</si>
  <si>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</si>
  <si>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</si>
  <si>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</si>
  <si>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</si>
  <si>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</si>
  <si>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</si>
  <si>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</si>
  <si>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</si>
  <si>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</si>
  <si>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</si>
  <si>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</si>
  <si>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</si>
  <si>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</si>
  <si>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</si>
  <si>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</si>
  <si>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</si>
  <si>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</si>
  <si>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</si>
  <si>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</si>
  <si>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</si>
  <si>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</si>
  <si>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</si>
  <si>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</si>
  <si>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</si>
  <si>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</si>
  <si>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</si>
  <si>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</si>
  <si>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</si>
  <si>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</si>
  <si>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</si>
  <si>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</si>
  <si>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</si>
  <si>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</si>
  <si>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</si>
  <si>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</si>
  <si>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</si>
  <si>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</si>
  <si>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</si>
  <si>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</si>
  <si>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</si>
  <si>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</si>
  <si>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</si>
  <si>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</si>
  <si>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</si>
  <si>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</si>
  <si>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</si>
  <si>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</si>
  <si>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</si>
  <si>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</si>
  <si>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</si>
  <si>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</si>
  <si>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</si>
  <si>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</si>
  <si>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</si>
  <si>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</si>
  <si>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</si>
  <si>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</si>
  <si>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</si>
  <si>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</si>
  <si>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</si>
  <si>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</si>
  <si>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</si>
  <si>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</si>
  <si>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</si>
  <si>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</si>
  <si>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</si>
  <si>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</si>
  <si>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</si>
  <si>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</si>
  <si>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</si>
  <si>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</si>
  <si>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</si>
  <si>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</si>
  <si>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</si>
  <si>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</si>
  <si>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</si>
  <si>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</si>
  <si>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</si>
  <si>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</si>
  <si>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</si>
  <si>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</si>
  <si>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</si>
  <si>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</si>
  <si>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</si>
  <si>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</si>
  <si>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</si>
  <si>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</si>
  <si>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</si>
  <si>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</si>
  <si>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</si>
  <si>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</si>
  <si>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</si>
  <si>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</si>
  <si>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</si>
  <si>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</si>
  <si>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</si>
  <si>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</si>
  <si>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</si>
  <si>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</si>
  <si>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</si>
  <si>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</si>
  <si>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</si>
  <si>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</si>
  <si>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</si>
  <si>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</si>
  <si>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</si>
  <si>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</si>
  <si>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</si>
  <si>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</si>
  <si>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</si>
  <si>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</si>
  <si>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</si>
  <si>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</si>
  <si>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</si>
  <si>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</si>
  <si>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</si>
  <si>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</si>
  <si>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</si>
  <si>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</si>
  <si>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</si>
  <si>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</si>
  <si>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</si>
  <si>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</si>
  <si>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</si>
  <si>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</si>
  <si>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</si>
  <si>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</si>
  <si>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</si>
  <si>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</si>
  <si>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</si>
  <si>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</si>
  <si>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</si>
  <si>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</si>
  <si>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</si>
  <si>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</si>
  <si>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</si>
  <si>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</si>
  <si>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</si>
  <si>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</si>
  <si>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</si>
  <si>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</si>
  <si>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</si>
  <si>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</si>
  <si>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</si>
  <si>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</si>
  <si>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</si>
  <si>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</si>
  <si>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</si>
  <si>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</si>
  <si>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</si>
  <si>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</si>
  <si>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</si>
  <si>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</si>
  <si>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</si>
  <si>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</si>
  <si>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</si>
  <si>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</si>
  <si>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</si>
  <si>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</si>
  <si>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</si>
  <si>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</si>
  <si>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</si>
  <si>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</si>
  <si>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</si>
  <si>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</si>
  <si>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</si>
  <si>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</si>
  <si>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</si>
  <si>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</si>
  <si>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</si>
  <si>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</si>
  <si>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</si>
  <si>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</si>
  <si>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</si>
  <si>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</si>
  <si>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</si>
  <si>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</si>
  <si>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</si>
  <si>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</si>
  <si>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</si>
  <si>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</si>
  <si>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</si>
  <si>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</si>
  <si>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</si>
  <si>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</si>
  <si>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</si>
  <si>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</si>
  <si>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</si>
  <si>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</si>
  <si>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</si>
  <si>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</si>
  <si>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</si>
  <si>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</si>
  <si>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</si>
  <si>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</si>
  <si>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</si>
  <si>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</si>
  <si>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</si>
  <si>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</si>
  <si>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</si>
  <si>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</si>
  <si>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</si>
  <si>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</si>
  <si>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</si>
  <si>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</si>
  <si>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</si>
  <si>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</si>
  <si>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</si>
  <si>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</si>
  <si>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</si>
  <si>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</si>
  <si>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</si>
  <si>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</si>
  <si>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</si>
  <si>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</si>
  <si>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</si>
  <si>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</si>
  <si>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</si>
  <si>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</si>
  <si>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</si>
  <si>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</si>
  <si>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</si>
  <si>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</si>
  <si>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</si>
  <si>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</si>
  <si>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</si>
  <si>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</si>
  <si>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</si>
  <si>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</si>
  <si>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</si>
  <si>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</si>
  <si>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</si>
  <si>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</si>
  <si>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</si>
  <si>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</si>
  <si>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</si>
  <si>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</si>
  <si>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</si>
  <si>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</si>
  <si>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</si>
  <si>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</si>
  <si>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</si>
  <si>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</si>
  <si>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</si>
  <si>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</si>
  <si>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</si>
  <si>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</si>
  <si>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</si>
  <si>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</si>
  <si>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</si>
  <si>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</si>
  <si>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</si>
  <si>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</si>
  <si>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</si>
  <si>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</si>
  <si>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</si>
  <si>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</si>
  <si>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</si>
  <si>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</si>
  <si>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</si>
  <si>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</si>
  <si>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</si>
  <si>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</si>
  <si>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</si>
  <si>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</si>
  <si>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</si>
  <si>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</si>
  <si>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</si>
  <si>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</si>
  <si>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</si>
  <si>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</si>
  <si>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</si>
  <si>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</si>
  <si>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</si>
  <si>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</si>
  <si>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</si>
  <si>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</si>
  <si>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</si>
  <si>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</si>
  <si>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</si>
  <si>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</si>
  <si>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</si>
  <si>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</si>
  <si>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</si>
  <si>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</si>
  <si>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</si>
  <si>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</si>
  <si>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</si>
  <si>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</si>
  <si>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</si>
  <si>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</si>
  <si>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</si>
  <si>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</si>
  <si>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</si>
  <si>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</si>
  <si>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</si>
  <si>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</si>
  <si>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</si>
  <si>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</si>
  <si>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</si>
  <si>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</si>
  <si>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</si>
  <si>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</si>
  <si>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</si>
  <si>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</si>
  <si>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</si>
  <si>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</si>
  <si>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</si>
  <si>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</si>
  <si>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</si>
  <si>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</si>
  <si>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</si>
  <si>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</si>
  <si>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</si>
  <si>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</si>
  <si>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</si>
  <si>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</si>
  <si>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</si>
  <si>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</si>
  <si>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</si>
  <si>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</si>
  <si>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</si>
  <si>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</si>
  <si>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</si>
  <si>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</si>
  <si>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</si>
  <si>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</si>
  <si>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</si>
  <si>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</si>
  <si>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</si>
  <si>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</si>
  <si>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</si>
  <si>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</si>
  <si>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</si>
  <si>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</si>
  <si>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</si>
  <si>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</si>
  <si>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</si>
  <si>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</si>
  <si>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</si>
  <si>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</si>
  <si>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</si>
  <si>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</si>
  <si>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</si>
  <si>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</si>
  <si>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</si>
  <si>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</si>
  <si>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</si>
  <si>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</si>
  <si>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</si>
  <si>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</si>
  <si>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</si>
  <si>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</si>
  <si>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</si>
  <si>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</si>
  <si>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</si>
  <si>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</si>
  <si>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</si>
  <si>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</si>
  <si>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</si>
  <si>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</si>
  <si>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</si>
  <si>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</si>
  <si>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</si>
  <si>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</si>
  <si>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</si>
  <si>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</si>
  <si>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</si>
  <si>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</si>
  <si>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</si>
  <si>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</si>
  <si>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</si>
  <si>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</si>
  <si>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</si>
  <si>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</si>
  <si>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</si>
  <si>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</si>
  <si>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</si>
  <si>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</si>
  <si>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</si>
  <si>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</si>
  <si>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</si>
  <si>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</si>
  <si>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</si>
  <si>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</si>
  <si>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</si>
  <si>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</si>
  <si>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</si>
  <si>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</si>
  <si>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</si>
  <si>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</si>
  <si>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</si>
  <si>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</si>
  <si>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</si>
  <si>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</si>
  <si>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</si>
  <si>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</si>
  <si>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</si>
  <si>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</si>
  <si>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</si>
  <si>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</si>
  <si>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</si>
  <si>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</si>
  <si>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</si>
  <si>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</si>
  <si>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</si>
  <si>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</si>
  <si>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</si>
  <si>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</si>
  <si>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</si>
  <si>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</si>
  <si>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</si>
  <si>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</si>
  <si>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</si>
  <si>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</si>
  <si>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</si>
  <si>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</si>
  <si>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</si>
  <si>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</si>
  <si>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</si>
  <si>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</si>
  <si>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</si>
  <si>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</si>
  <si>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</si>
  <si>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</si>
  <si>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</si>
  <si>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</si>
  <si>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</si>
  <si>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</si>
  <si>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</si>
  <si>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</si>
  <si>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</si>
  <si>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</si>
  <si>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</si>
  <si>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</si>
  <si>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</si>
  <si>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</si>
  <si>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</si>
  <si>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</si>
  <si>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</si>
  <si>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</si>
  <si>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</si>
  <si>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</si>
  <si>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</si>
  <si>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</si>
  <si>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</si>
  <si>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</si>
  <si>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</si>
  <si>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</si>
  <si>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</si>
  <si>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</si>
  <si>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</si>
  <si>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</si>
  <si>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</si>
  <si>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</si>
  <si>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</si>
  <si>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</si>
  <si>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</si>
  <si>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</si>
  <si>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</si>
  <si>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</si>
  <si>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</si>
  <si>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</si>
  <si>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</si>
  <si>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</si>
  <si>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</si>
  <si>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</si>
  <si>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</si>
  <si>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</si>
  <si>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</si>
  <si>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</si>
  <si>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</si>
  <si>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</si>
  <si>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</si>
  <si>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</si>
  <si>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</si>
  <si>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</si>
  <si>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</si>
  <si>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</si>
  <si>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</si>
  <si>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</si>
  <si>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</si>
  <si>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</si>
  <si>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</si>
  <si>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</si>
  <si>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</si>
  <si>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</si>
  <si>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</si>
  <si>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</si>
  <si>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</si>
  <si>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</si>
  <si>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</si>
  <si>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</si>
  <si>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</si>
  <si>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</si>
  <si>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</si>
  <si>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</si>
  <si>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</si>
  <si>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</si>
  <si>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</si>
  <si>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</si>
  <si>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</si>
  <si>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</si>
  <si>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</si>
  <si>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</si>
  <si>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</si>
  <si>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</si>
  <si>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</si>
  <si>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</si>
  <si>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</si>
  <si>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</si>
  <si>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</si>
  <si>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</si>
  <si>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</si>
  <si>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</si>
  <si>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</si>
  <si>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</si>
  <si>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</si>
  <si>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</si>
  <si>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</si>
  <si>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</si>
  <si>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</si>
  <si>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</si>
  <si>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</si>
  <si>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</si>
  <si>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</si>
  <si>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</si>
  <si>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</si>
  <si>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</si>
  <si>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</si>
  <si>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</si>
  <si>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</si>
  <si>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</si>
  <si>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</si>
  <si>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</si>
  <si>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</si>
  <si>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</si>
  <si>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</si>
  <si>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</si>
  <si>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</si>
  <si>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</si>
  <si>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</si>
  <si>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</si>
  <si>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</si>
  <si>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</si>
  <si>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</si>
  <si>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</si>
  <si>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</si>
  <si>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</si>
  <si>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</si>
  <si>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</si>
  <si>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</si>
  <si>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</si>
  <si>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</si>
  <si>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</si>
  <si>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</si>
  <si>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</si>
  <si>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</si>
  <si>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</si>
  <si>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</si>
  <si>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</si>
  <si>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</si>
  <si>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</si>
  <si>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</si>
  <si>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</si>
  <si>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</si>
  <si>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</si>
  <si>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</si>
  <si>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</si>
  <si>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</si>
  <si>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</si>
  <si>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</si>
  <si>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</si>
  <si>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</si>
  <si>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</si>
  <si>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</si>
  <si>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</si>
  <si>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</si>
  <si>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</si>
  <si>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</si>
  <si>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</si>
  <si>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</si>
  <si>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</si>
  <si>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</si>
  <si>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</si>
  <si>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</si>
  <si>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</si>
  <si>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</si>
  <si>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</si>
  <si>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</si>
  <si>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</si>
  <si>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</si>
  <si>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</si>
  <si>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</si>
  <si>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</si>
  <si>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</si>
  <si>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</si>
  <si>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</si>
  <si>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</si>
  <si>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</si>
  <si>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</si>
  <si>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</si>
  <si>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</si>
  <si>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</si>
  <si>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</si>
  <si>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</si>
  <si>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</si>
  <si>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</si>
  <si>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</si>
  <si>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</si>
  <si>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</si>
  <si>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</si>
  <si>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</si>
  <si>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</si>
  <si>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</si>
  <si>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</si>
  <si>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</si>
  <si>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</si>
  <si>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</si>
  <si>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</si>
  <si>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</si>
  <si>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</si>
  <si>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</si>
  <si>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</si>
  <si>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</si>
  <si>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</si>
  <si>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</si>
  <si>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</si>
  <si>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</si>
  <si>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</si>
  <si>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</si>
  <si>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</si>
  <si>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</si>
  <si>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</si>
  <si>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</si>
  <si>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</si>
  <si>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</si>
  <si>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</si>
  <si>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</si>
  <si>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</si>
  <si>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</si>
  <si>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</si>
  <si>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</si>
  <si>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</si>
  <si>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</si>
  <si>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</si>
  <si>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</si>
  <si>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</si>
  <si>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</si>
  <si>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</si>
  <si>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</si>
  <si>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</si>
  <si>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</si>
  <si>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</si>
  <si>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</si>
  <si>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</si>
  <si>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</si>
  <si>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</si>
  <si>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</si>
  <si>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</si>
  <si>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</si>
  <si>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</si>
  <si>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</si>
  <si>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</si>
  <si>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</si>
  <si>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</si>
  <si>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</si>
  <si>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</si>
  <si>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</si>
  <si>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</si>
  <si>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</si>
  <si>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</si>
  <si>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</si>
  <si>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</si>
  <si>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</si>
  <si>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</si>
  <si>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</si>
  <si>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</si>
  <si>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</si>
  <si>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</si>
  <si>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</si>
  <si>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</si>
  <si>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</si>
  <si>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</si>
  <si>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</si>
  <si>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</si>
  <si>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</si>
  <si>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</si>
  <si>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</si>
  <si>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</si>
  <si>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</si>
  <si>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</si>
  <si>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</si>
  <si>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</si>
  <si>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</si>
  <si>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</si>
  <si>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</si>
  <si>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</si>
  <si>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</si>
  <si>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</si>
  <si>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</si>
  <si>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</si>
  <si>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</si>
  <si>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</si>
  <si>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</si>
  <si>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</si>
  <si>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</si>
  <si>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</si>
  <si>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</si>
  <si>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</si>
  <si>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</si>
  <si>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</si>
  <si>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</si>
  <si>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</si>
  <si>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</si>
  <si>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</si>
  <si>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</si>
  <si>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</si>
  <si>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</si>
  <si>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</si>
  <si>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</si>
  <si>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</si>
  <si>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</si>
  <si>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</si>
  <si>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</si>
  <si>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</si>
  <si>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</si>
  <si>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</si>
  <si>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</si>
  <si>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</si>
  <si>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</si>
  <si>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</si>
  <si>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</si>
  <si>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</si>
  <si>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</si>
  <si>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</si>
  <si>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</si>
  <si>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</si>
  <si>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</si>
  <si>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</si>
  <si>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</si>
  <si>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</si>
  <si>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</si>
  <si>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</si>
  <si>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</si>
  <si>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</si>
  <si>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</si>
  <si>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</si>
  <si>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</si>
  <si>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</si>
  <si>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</si>
  <si>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</si>
  <si>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</si>
  <si>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</si>
  <si>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</si>
  <si>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</si>
  <si>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</si>
  <si>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</si>
  <si>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</si>
  <si>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</si>
  <si>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</si>
  <si>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</si>
  <si>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</si>
  <si>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</si>
  <si>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</si>
  <si>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</si>
  <si>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</si>
  <si>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</si>
  <si>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</si>
  <si>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</si>
  <si>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</si>
  <si>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</si>
  <si>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</si>
  <si>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</si>
  <si>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</si>
  <si>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</si>
  <si>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</si>
  <si>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</si>
  <si>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</si>
  <si>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</si>
  <si>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</si>
  <si>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</si>
  <si>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</si>
  <si>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</si>
  <si>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</si>
  <si>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</si>
  <si>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</si>
  <si>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</si>
  <si>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</si>
  <si>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</si>
  <si>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</si>
  <si>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</si>
  <si>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</si>
  <si>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</si>
  <si>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</si>
  <si>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</si>
  <si>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</si>
  <si>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</si>
  <si>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</si>
  <si>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</si>
  <si>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</si>
  <si>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</si>
  <si>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</si>
  <si>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</si>
  <si>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</si>
  <si>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</si>
  <si>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</si>
  <si>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</si>
  <si>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</si>
  <si>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</si>
  <si>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</si>
  <si>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</si>
  <si>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</si>
  <si>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</si>
  <si>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</si>
  <si>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</si>
  <si>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</si>
  <si>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</si>
  <si>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</si>
  <si>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</si>
  <si>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</si>
  <si>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</si>
  <si>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</si>
  <si>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</si>
  <si>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</si>
  <si>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</si>
  <si>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</si>
  <si>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</si>
  <si>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</si>
  <si>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</si>
  <si>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</si>
  <si>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</si>
  <si>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</si>
  <si>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</si>
  <si>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</si>
  <si>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</si>
  <si>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</si>
  <si>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</si>
  <si>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</si>
  <si>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</si>
  <si>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</si>
  <si>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</si>
  <si>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</si>
  <si>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</si>
  <si>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</si>
  <si>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</si>
  <si>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</si>
  <si>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</si>
  <si>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</si>
  <si>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</si>
  <si>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</si>
  <si>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</si>
  <si>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</si>
  <si>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</si>
  <si>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</si>
  <si>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</si>
  <si>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</si>
  <si>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</si>
  <si>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</si>
  <si>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</si>
  <si>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</si>
  <si>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</si>
  <si>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</si>
  <si>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</si>
  <si>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</si>
  <si>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</si>
  <si>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</si>
  <si>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</si>
  <si>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</si>
  <si>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</si>
  <si>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</si>
  <si>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</si>
  <si>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</si>
  <si>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</si>
  <si>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</si>
  <si>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</si>
  <si>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</si>
  <si>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</si>
  <si>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</si>
  <si>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</si>
  <si>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</si>
  <si>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</si>
  <si>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</si>
  <si>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</si>
  <si>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</si>
  <si>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</si>
  <si>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</si>
  <si>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</si>
  <si>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</si>
  <si>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</si>
  <si>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</si>
  <si>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</si>
  <si>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</si>
  <si>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</si>
  <si>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</si>
  <si>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</si>
  <si>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</si>
  <si>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</si>
  <si>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</si>
  <si>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</si>
  <si>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</si>
  <si>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</si>
  <si>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</si>
  <si>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</si>
  <si>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</si>
  <si>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</si>
  <si>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</si>
  <si>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</si>
  <si>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</si>
  <si>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</si>
  <si>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</si>
  <si>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</si>
  <si>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</si>
  <si>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</si>
  <si>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</si>
  <si>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</si>
  <si>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</si>
  <si>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</si>
  <si>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</si>
  <si>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</si>
  <si>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</si>
  <si>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</si>
  <si>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</si>
  <si>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</si>
  <si>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</si>
  <si>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</si>
  <si>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</si>
  <si>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</si>
  <si>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</si>
  <si>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</si>
  <si>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</si>
  <si>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</si>
  <si>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</si>
  <si>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</si>
  <si>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</si>
  <si>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</si>
  <si>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</si>
  <si>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</si>
  <si>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</si>
  <si>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</si>
  <si>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</si>
  <si>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</si>
  <si>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</si>
  <si>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</si>
  <si>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</si>
  <si>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</si>
  <si>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</si>
  <si>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</si>
  <si>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</si>
  <si>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</si>
  <si>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</si>
  <si>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</si>
  <si>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</si>
  <si>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</si>
  <si>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</si>
  <si>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</si>
  <si>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</si>
  <si>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</si>
  <si>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</si>
  <si>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</si>
  <si>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</si>
  <si>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</si>
  <si>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</si>
  <si>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</si>
  <si>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</si>
  <si>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</si>
  <si>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</si>
  <si>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</si>
  <si>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</si>
  <si>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</si>
  <si>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</si>
  <si>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</si>
  <si>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</si>
  <si>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</si>
  <si>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</si>
  <si>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</si>
  <si>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</si>
  <si>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</si>
  <si>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</si>
  <si>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</si>
  <si>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</si>
  <si>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</si>
  <si>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</si>
  <si>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</si>
  <si>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</si>
  <si>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</si>
  <si>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</si>
  <si>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</si>
  <si>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</si>
  <si>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</si>
  <si>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</si>
  <si>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</si>
  <si>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</si>
  <si>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</si>
  <si>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</si>
  <si>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</si>
  <si>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</si>
  <si>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</si>
  <si>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</si>
  <si>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</si>
  <si>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</si>
  <si>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</si>
  <si>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</si>
  <si>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</si>
  <si>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</si>
  <si>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</si>
  <si>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</si>
  <si>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</si>
  <si>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</si>
  <si>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</si>
  <si>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</si>
  <si>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</si>
  <si>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</si>
  <si>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</si>
  <si>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</si>
  <si>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</si>
  <si>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</si>
  <si>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</si>
  <si>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</si>
  <si>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</si>
  <si>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</si>
  <si>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</si>
  <si>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</si>
  <si>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</si>
  <si>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</si>
  <si>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</si>
  <si>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</si>
  <si>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</si>
  <si>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</si>
  <si>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</si>
  <si>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</si>
  <si>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</si>
  <si>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</si>
  <si>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</si>
  <si>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</si>
  <si>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</si>
  <si>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</si>
  <si>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</si>
  <si>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</si>
  <si>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</si>
  <si>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</si>
  <si>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</si>
  <si>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</si>
  <si>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</si>
  <si>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</si>
  <si>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</si>
  <si>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</si>
  <si>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</si>
  <si>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</si>
  <si>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</si>
  <si>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</si>
  <si>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</si>
  <si>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</si>
  <si>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</si>
  <si>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</si>
  <si>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</si>
  <si>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</si>
  <si>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</si>
  <si>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</si>
  <si>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</si>
  <si>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</si>
  <si>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</si>
  <si>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</si>
  <si>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</si>
  <si>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</si>
  <si>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</si>
  <si>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</si>
  <si>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</si>
  <si>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</si>
  <si>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</si>
  <si>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</si>
  <si>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</si>
  <si>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</si>
  <si>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</si>
  <si>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</si>
  <si>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</si>
  <si>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</si>
  <si>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</si>
  <si>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</si>
  <si>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</si>
  <si>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</si>
  <si>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</si>
  <si>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</si>
  <si>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</si>
  <si>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</si>
  <si>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</si>
  <si>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</si>
  <si>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</si>
  <si>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</si>
  <si>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</si>
  <si>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</si>
  <si>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</si>
  <si>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</si>
  <si>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</si>
  <si>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</si>
  <si>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</si>
  <si>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</si>
  <si>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</si>
  <si>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</si>
  <si>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</si>
  <si>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</si>
  <si>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</si>
  <si>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</si>
  <si>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</si>
  <si>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</si>
  <si>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</si>
  <si>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</si>
  <si>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</si>
  <si>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</si>
  <si>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</si>
  <si>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</si>
  <si>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</si>
  <si>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</si>
  <si>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</si>
  <si>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</si>
  <si>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</si>
  <si>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</si>
  <si>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</si>
  <si>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</si>
  <si>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</si>
  <si>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</si>
  <si>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</si>
  <si>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</si>
  <si>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</si>
  <si>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</si>
  <si>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</si>
  <si>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</si>
  <si>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</si>
  <si>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</si>
  <si>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</si>
  <si>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</si>
  <si>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</si>
  <si>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</si>
  <si>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</si>
  <si>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</si>
  <si>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</si>
  <si>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</si>
  <si>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</si>
  <si>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</si>
  <si>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</si>
  <si>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</si>
  <si>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</si>
  <si>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</si>
  <si>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</si>
  <si>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</si>
  <si>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</si>
  <si>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</si>
  <si>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</si>
  <si>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</si>
  <si>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</si>
  <si>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</si>
  <si>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</si>
  <si>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</si>
  <si>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</si>
  <si>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</si>
  <si>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</si>
  <si>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</si>
  <si>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</si>
  <si>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</si>
  <si>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</si>
  <si>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</si>
  <si>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</si>
  <si>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</si>
  <si>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</si>
  <si>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</si>
  <si>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</si>
  <si>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</si>
  <si>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</si>
  <si>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</si>
  <si>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</si>
  <si>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</si>
  <si>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</si>
  <si>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</si>
  <si>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</si>
  <si>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</si>
  <si>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</si>
  <si>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</si>
  <si>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</si>
  <si>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</si>
  <si>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</si>
  <si>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</si>
  <si>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</si>
  <si>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</si>
  <si>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</si>
  <si>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</si>
  <si>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</si>
  <si>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</si>
  <si>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</si>
  <si>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</si>
  <si>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</si>
  <si>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</si>
  <si>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</si>
  <si>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</si>
  <si>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</si>
  <si>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</si>
  <si>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</si>
  <si>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</si>
  <si>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</si>
  <si>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</si>
  <si>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</si>
  <si>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</si>
  <si>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</si>
  <si>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</si>
  <si>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</si>
  <si>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</si>
  <si>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</si>
  <si>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</si>
  <si>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</si>
  <si>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</si>
  <si>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</si>
  <si>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</si>
  <si>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</si>
  <si>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</si>
  <si>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</si>
  <si>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</si>
  <si>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</si>
  <si>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</si>
  <si>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</si>
  <si>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</si>
  <si>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</si>
  <si>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</si>
  <si>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</si>
  <si>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</si>
  <si>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</si>
  <si>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</si>
  <si>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</si>
  <si>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</si>
  <si>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</si>
  <si>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</si>
  <si>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</si>
  <si>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</si>
  <si>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</si>
  <si>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</si>
  <si>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</si>
  <si>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</si>
  <si>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</si>
  <si>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</si>
  <si>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</si>
  <si>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</si>
  <si>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</si>
  <si>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</si>
  <si>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</si>
  <si>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</si>
  <si>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</si>
  <si>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</si>
  <si>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</si>
  <si>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</si>
  <si>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</si>
  <si>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</si>
  <si>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</si>
  <si>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</si>
  <si>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</si>
  <si>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</si>
  <si>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</si>
  <si>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</si>
  <si>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</si>
  <si>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</si>
  <si>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</si>
  <si>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</si>
  <si>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</si>
  <si>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</si>
  <si>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</si>
  <si>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</si>
  <si>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</si>
  <si>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</si>
  <si>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</si>
  <si>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</si>
  <si>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</si>
  <si>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</si>
  <si>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</si>
  <si>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</si>
  <si>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</si>
  <si>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</si>
  <si>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</si>
  <si>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</si>
  <si>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</si>
  <si>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</si>
  <si>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</si>
  <si>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</si>
  <si>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</si>
  <si>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</si>
  <si>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</si>
  <si>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</si>
  <si>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</si>
  <si>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</si>
  <si>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</si>
  <si>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</si>
  <si>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</si>
  <si>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</si>
  <si>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</si>
  <si>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</si>
  <si>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</si>
  <si>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</si>
  <si>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</si>
  <si>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</si>
  <si>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</si>
  <si>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</si>
  <si>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</si>
  <si>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</si>
  <si>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</si>
  <si>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</si>
  <si>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</si>
  <si>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</si>
  <si>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</si>
  <si>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</si>
  <si>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</si>
  <si>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</si>
  <si>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</si>
  <si>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</si>
  <si>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</si>
  <si>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</si>
  <si>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</si>
  <si>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</si>
  <si>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</si>
  <si>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</si>
  <si>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</si>
  <si>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</si>
  <si>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</si>
  <si>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</si>
  <si>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</si>
  <si>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</si>
  <si>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</si>
  <si>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</si>
  <si>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</si>
  <si>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</si>
  <si>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</si>
  <si>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</si>
  <si>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</si>
  <si>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</si>
  <si>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</si>
  <si>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</si>
  <si>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</si>
  <si>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</si>
  <si>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</si>
  <si>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</si>
  <si>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</si>
  <si>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</si>
  <si>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</si>
  <si>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</si>
  <si>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</si>
  <si>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</si>
  <si>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</si>
  <si>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</si>
  <si>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</si>
  <si>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</si>
  <si>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</si>
  <si>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</si>
  <si>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</si>
  <si>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</si>
  <si>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</si>
  <si>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</si>
  <si>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</si>
  <si>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</si>
  <si>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</si>
  <si>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</si>
  <si>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</si>
  <si>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</si>
  <si>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</si>
  <si>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</si>
  <si>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</si>
  <si>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</si>
  <si>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</si>
  <si>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</si>
  <si>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</si>
  <si>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</si>
  <si>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</si>
  <si>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</si>
  <si>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</si>
  <si>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</si>
  <si>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</si>
  <si>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</si>
  <si>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</si>
  <si>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</si>
  <si>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</si>
  <si>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</si>
  <si>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</si>
  <si>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</si>
  <si>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</si>
  <si>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</si>
  <si>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</si>
  <si>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</si>
  <si>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</si>
  <si>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</si>
  <si>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</si>
  <si>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</si>
  <si>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</si>
  <si>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</si>
  <si>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</si>
  <si>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</si>
  <si>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</si>
  <si>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</si>
  <si>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</si>
  <si>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</si>
  <si>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</si>
  <si>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</si>
  <si>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</si>
  <si>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</si>
  <si>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</si>
  <si>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</si>
  <si>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</si>
  <si>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</si>
  <si>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</si>
  <si>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</si>
  <si>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</si>
  <si>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</si>
  <si>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</si>
  <si>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</si>
  <si>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</si>
  <si>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</si>
  <si>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</si>
  <si>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</si>
  <si>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</si>
  <si>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</si>
  <si>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</si>
  <si>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</si>
  <si>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</si>
  <si>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</si>
  <si>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</si>
  <si>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</si>
  <si>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</si>
  <si>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</si>
  <si>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</si>
  <si>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</si>
  <si>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</si>
  <si>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</si>
  <si>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</si>
  <si>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</si>
  <si>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</si>
  <si>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</si>
  <si>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</si>
  <si>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</si>
  <si>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</si>
  <si>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</si>
  <si>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</si>
  <si>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</si>
  <si>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</si>
  <si>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</si>
  <si>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</si>
  <si>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</si>
  <si>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</si>
  <si>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</si>
  <si>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</si>
  <si>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</si>
  <si>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</si>
  <si>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</si>
  <si>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</si>
  <si>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</si>
  <si>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</si>
  <si>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</si>
  <si>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</si>
  <si>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</si>
  <si>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</si>
  <si>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</si>
  <si>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</si>
  <si>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</si>
  <si>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</si>
  <si>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</si>
  <si>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</si>
  <si>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</si>
  <si>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</si>
  <si>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</si>
  <si>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</si>
  <si>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</si>
  <si>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</si>
  <si>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</si>
  <si>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</si>
  <si>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</si>
  <si>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</si>
  <si>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</si>
  <si>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</si>
  <si>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</si>
  <si>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</si>
  <si>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</si>
  <si>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</si>
  <si>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</si>
  <si>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</si>
  <si>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</si>
  <si>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</si>
  <si>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</si>
  <si>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</si>
  <si>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</si>
  <si>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</si>
  <si>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</si>
  <si>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</si>
  <si>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</si>
  <si>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</si>
  <si>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</si>
  <si>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</si>
  <si>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</si>
  <si>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</si>
  <si>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</si>
  <si>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</si>
  <si>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</si>
  <si>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</si>
  <si>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</si>
  <si>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</si>
  <si>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</si>
  <si>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</si>
  <si>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</si>
  <si>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</si>
  <si>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</si>
  <si>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</si>
  <si>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</si>
  <si>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</si>
  <si>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</si>
  <si>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</si>
  <si>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</si>
  <si>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</si>
  <si>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</si>
  <si>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</si>
  <si>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</si>
  <si>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</si>
  <si>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</si>
  <si>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</si>
  <si>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</si>
  <si>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</si>
  <si>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</si>
  <si>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</si>
  <si>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</si>
  <si>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</si>
  <si>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</si>
  <si>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</si>
  <si>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</si>
  <si>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</si>
  <si>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</si>
  <si>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</si>
  <si>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</si>
  <si>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</si>
  <si>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</si>
  <si>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</si>
  <si>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</si>
  <si>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</si>
  <si>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</si>
  <si>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</si>
  <si>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</si>
  <si>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</si>
  <si>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</si>
  <si>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</si>
  <si>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</si>
  <si>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</si>
  <si>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</si>
  <si>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</si>
  <si>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</si>
  <si>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</si>
  <si>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</si>
  <si>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</si>
  <si>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</si>
  <si>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</si>
  <si>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</si>
  <si>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</si>
  <si>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</si>
  <si>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</si>
  <si>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</si>
  <si>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</si>
  <si>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</si>
  <si>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</si>
  <si>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</si>
  <si>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</si>
  <si>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</si>
  <si>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</si>
  <si>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</si>
  <si>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</si>
  <si>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</si>
  <si>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</si>
  <si>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</si>
  <si>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</si>
  <si>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</si>
  <si>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</si>
  <si>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</si>
  <si>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</si>
  <si>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</si>
  <si>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</si>
  <si>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</si>
  <si>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</si>
  <si>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</si>
  <si>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</si>
  <si>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</si>
  <si>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</si>
  <si>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</si>
  <si>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</si>
  <si>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</si>
  <si>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</si>
  <si>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</si>
  <si>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</si>
  <si>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</si>
  <si>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</si>
  <si>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</si>
  <si>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</si>
  <si>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</si>
  <si>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</si>
  <si>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</si>
  <si>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</si>
  <si>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</si>
  <si>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</si>
  <si>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</si>
  <si>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</si>
  <si>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</si>
  <si>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</si>
  <si>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</si>
  <si>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</si>
  <si>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</si>
  <si>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</si>
  <si>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</si>
  <si>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</si>
  <si>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</si>
  <si>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</si>
  <si>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</si>
  <si>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</si>
  <si>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</si>
  <si>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</si>
  <si>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</si>
  <si>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</si>
  <si>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</si>
  <si>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</si>
  <si>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</si>
  <si>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</si>
  <si>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</si>
  <si>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</si>
  <si>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</si>
  <si>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</si>
  <si>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</si>
  <si>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</si>
  <si>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</si>
  <si>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</si>
  <si>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</si>
  <si>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</si>
  <si>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</si>
  <si>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</si>
  <si>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</si>
  <si>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</si>
  <si>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</si>
  <si>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</si>
  <si>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</si>
  <si>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</si>
  <si>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</si>
  <si>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</si>
  <si>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</si>
  <si>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</si>
  <si>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</si>
  <si>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</si>
  <si>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</si>
  <si>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</si>
  <si>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</si>
  <si>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</si>
  <si>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</si>
  <si>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</si>
  <si>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</si>
  <si>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</si>
  <si>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</si>
  <si>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</si>
  <si>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</si>
  <si>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</si>
  <si>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</si>
  <si>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</si>
  <si>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</si>
  <si>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</si>
  <si>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</si>
  <si>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</si>
  <si>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</si>
  <si>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</si>
  <si>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</si>
  <si>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</si>
  <si>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</si>
  <si>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</si>
  <si>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</si>
  <si>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</si>
  <si>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</si>
  <si>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</si>
  <si>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</si>
  <si>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</si>
  <si>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</si>
  <si>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</si>
  <si>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</si>
  <si>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</si>
  <si>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</si>
  <si>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</si>
  <si>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</si>
  <si>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</si>
  <si>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</si>
  <si>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</si>
  <si>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</si>
  <si>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</si>
  <si>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</si>
  <si>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</si>
  <si>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</si>
  <si>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</si>
  <si>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</si>
  <si>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</si>
  <si>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</si>
  <si>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</si>
  <si>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</si>
  <si>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</si>
  <si>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</si>
  <si>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</si>
  <si>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</si>
  <si>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</si>
  <si>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</si>
  <si>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</si>
  <si>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</si>
  <si>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</si>
  <si>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</si>
  <si>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</si>
  <si>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</si>
  <si>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</si>
  <si>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</si>
  <si>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</si>
  <si>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</si>
  <si>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</si>
  <si>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</si>
  <si>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</si>
  <si>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</si>
  <si>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</si>
  <si>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</si>
  <si>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</si>
  <si>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</si>
  <si>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</si>
  <si>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</si>
  <si>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</si>
  <si>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</si>
  <si>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</si>
  <si>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</si>
  <si>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</si>
  <si>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</si>
  <si>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</si>
  <si>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</si>
  <si>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</si>
  <si>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</si>
  <si>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</si>
  <si>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</si>
  <si>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</si>
  <si>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</si>
  <si>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</si>
  <si>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</si>
  <si>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</si>
  <si>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</si>
  <si>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</si>
  <si>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</si>
  <si>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</si>
  <si>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</si>
  <si>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</si>
  <si>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</si>
  <si>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</si>
  <si>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</si>
  <si>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</si>
  <si>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</si>
  <si>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</si>
  <si>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</si>
  <si>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</si>
  <si>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</si>
  <si>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</si>
  <si>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</si>
  <si>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</si>
  <si>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</si>
  <si>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</si>
  <si>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</si>
  <si>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</si>
  <si>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</si>
  <si>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</si>
  <si>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</si>
  <si>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</si>
  <si>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</si>
  <si>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</si>
  <si>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</si>
  <si>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</si>
  <si>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</si>
  <si>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</si>
  <si>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</si>
  <si>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</si>
  <si>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</si>
  <si>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</si>
  <si>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</si>
  <si>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</si>
  <si>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</si>
  <si>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</si>
  <si>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</si>
  <si>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</si>
  <si>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</si>
  <si>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</si>
  <si>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</si>
  <si>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</si>
  <si>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</si>
  <si>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</si>
  <si>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</si>
  <si>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</si>
  <si>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</si>
  <si>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</si>
  <si>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</si>
  <si>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</si>
  <si>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</si>
  <si>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</si>
  <si>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</si>
  <si>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</si>
  <si>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</si>
  <si>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</si>
  <si>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</si>
  <si>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</si>
  <si>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</si>
  <si>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</si>
  <si>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</si>
  <si>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</si>
  <si>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</si>
  <si>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</si>
  <si>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</si>
  <si>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</si>
  <si>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</si>
  <si>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</si>
  <si>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</si>
  <si>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</si>
  <si>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</si>
  <si>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</si>
  <si>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</si>
  <si>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</si>
  <si>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</si>
  <si>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</si>
  <si>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</si>
  <si>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</si>
  <si>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</si>
  <si>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</si>
  <si>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</si>
  <si>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</si>
  <si>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</si>
  <si>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</si>
  <si>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</si>
  <si>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</si>
  <si>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</si>
  <si>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</si>
  <si>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</si>
  <si>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</si>
  <si>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</si>
  <si>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</si>
  <si>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</si>
  <si>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</si>
  <si>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</si>
  <si>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</si>
  <si>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</si>
  <si>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</si>
  <si>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</si>
  <si>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</si>
  <si>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</si>
  <si>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</si>
  <si>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</si>
  <si>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</si>
  <si>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</si>
  <si>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</si>
  <si>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</si>
  <si>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</si>
  <si>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</si>
  <si>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</si>
  <si>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</si>
  <si>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</si>
  <si>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</si>
  <si>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</si>
  <si>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</si>
  <si>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</si>
  <si>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</si>
  <si>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</si>
  <si>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</si>
  <si>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</si>
  <si>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</si>
  <si>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</si>
  <si>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</si>
  <si>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</si>
  <si>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</si>
  <si>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</si>
  <si>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</si>
  <si>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</si>
  <si>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</si>
  <si>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</si>
  <si>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</si>
  <si>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</si>
  <si>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</si>
  <si>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</si>
  <si>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</si>
  <si>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</si>
  <si>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</si>
  <si>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</si>
  <si>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</si>
  <si>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</si>
  <si>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</si>
  <si>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</si>
  <si>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</si>
  <si>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</si>
  <si>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</si>
  <si>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</si>
  <si>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</si>
  <si>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</si>
  <si>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</si>
  <si>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</si>
  <si>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</si>
  <si>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</si>
  <si>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</si>
  <si>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</si>
  <si>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</si>
  <si>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</si>
  <si>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</si>
  <si>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</si>
  <si>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</si>
  <si>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</si>
  <si>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</si>
  <si>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</si>
  <si>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</si>
  <si>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</si>
  <si>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</si>
  <si>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</si>
  <si>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</si>
  <si>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</si>
  <si>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</si>
  <si>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</si>
  <si>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</si>
  <si>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</si>
  <si>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</si>
  <si>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</si>
  <si>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</si>
  <si>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</si>
  <si>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</si>
  <si>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</si>
  <si>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</si>
  <si>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</si>
  <si>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</si>
  <si>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</si>
  <si>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</si>
  <si>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</si>
  <si>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</si>
  <si>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</si>
  <si>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</si>
  <si>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</si>
  <si>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</si>
  <si>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</si>
  <si>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</si>
  <si>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</si>
  <si>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</si>
  <si>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</si>
  <si>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</si>
  <si>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</si>
  <si>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</si>
  <si>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</si>
  <si>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</si>
  <si>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</si>
  <si>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</si>
  <si>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</si>
  <si>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</si>
  <si>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</si>
  <si>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</si>
  <si>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</si>
  <si>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</si>
  <si>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</si>
  <si>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</si>
  <si>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</si>
  <si>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</si>
  <si>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</si>
  <si>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</si>
  <si>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</si>
  <si>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</si>
  <si>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</si>
  <si>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</si>
  <si>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</si>
  <si>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</si>
  <si>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</si>
  <si>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</si>
  <si>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</si>
  <si>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</si>
  <si>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</si>
  <si>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</si>
  <si>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</si>
  <si>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</si>
  <si>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</si>
  <si>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</si>
  <si>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</si>
  <si>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</si>
  <si>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</si>
  <si>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</si>
  <si>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</si>
  <si>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</si>
  <si>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</si>
  <si>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</si>
  <si>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</si>
  <si>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</si>
  <si>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</si>
  <si>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</si>
  <si>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</si>
  <si>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</si>
  <si>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</si>
  <si>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</si>
  <si>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</si>
  <si>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</si>
  <si>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</si>
  <si>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</si>
  <si>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</si>
  <si>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</si>
  <si>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</si>
  <si>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</si>
  <si>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</si>
  <si>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</si>
  <si>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</si>
  <si>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</si>
  <si>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</si>
  <si>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</si>
  <si>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</si>
  <si>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</si>
  <si>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</si>
  <si>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</si>
  <si>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</si>
  <si>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</si>
  <si>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</si>
  <si>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</si>
  <si>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</si>
  <si>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</si>
  <si>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</si>
  <si>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</si>
  <si>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</si>
  <si>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</si>
  <si>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</si>
  <si>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</si>
  <si>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</si>
  <si>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</si>
  <si>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</si>
  <si>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</si>
  <si>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</si>
  <si>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</si>
  <si>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</si>
  <si>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</si>
  <si>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</si>
  <si>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</si>
  <si>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</si>
  <si>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</si>
  <si>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</si>
  <si>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</si>
  <si>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</si>
  <si>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</si>
  <si>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</si>
  <si>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</si>
  <si>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</si>
  <si>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</si>
  <si>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</si>
  <si>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</si>
  <si>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</si>
  <si>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</si>
  <si>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</si>
  <si>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</si>
  <si>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</si>
  <si>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</si>
  <si>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</si>
  <si>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</si>
  <si>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</si>
  <si>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</si>
  <si>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</si>
  <si>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</si>
  <si>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</si>
  <si>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</si>
  <si>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</si>
  <si>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</si>
  <si>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</si>
  <si>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</si>
  <si>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</si>
  <si>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</si>
  <si>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</si>
  <si>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</si>
  <si>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</si>
  <si>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</si>
  <si>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</si>
  <si>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</si>
  <si>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</si>
  <si>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</si>
  <si>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</si>
  <si>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</si>
  <si>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</si>
  <si>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</si>
  <si>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</si>
  <si>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</si>
  <si>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</si>
  <si>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</si>
  <si>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</si>
  <si>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</si>
  <si>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</si>
  <si>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</si>
  <si>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</si>
  <si>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</si>
  <si>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</si>
  <si>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</si>
  <si>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</si>
  <si>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</si>
  <si>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</si>
  <si>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</si>
  <si>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</si>
  <si>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</si>
  <si>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</si>
  <si>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</si>
  <si>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</si>
  <si>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</si>
  <si>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</si>
  <si>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</si>
  <si>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</si>
  <si>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</si>
  <si>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</si>
  <si>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</si>
  <si>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</si>
  <si>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</si>
  <si>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</si>
  <si>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</si>
  <si>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</si>
  <si>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</si>
  <si>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</si>
  <si>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</si>
  <si>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</si>
  <si>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</si>
  <si>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</si>
  <si>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</si>
  <si>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</si>
  <si>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</si>
  <si>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</si>
  <si>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</si>
  <si>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</si>
  <si>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</si>
  <si>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</si>
  <si>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</si>
  <si>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</si>
  <si>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</si>
  <si>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</si>
  <si>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</si>
  <si>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</si>
  <si>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</si>
  <si>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</si>
  <si>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</si>
  <si>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</si>
  <si>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</si>
  <si>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</si>
  <si>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</si>
  <si>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</si>
  <si>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</si>
  <si>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</si>
  <si>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</si>
  <si>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</si>
  <si>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</si>
  <si>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</si>
  <si>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</si>
  <si>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</si>
  <si>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</si>
  <si>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</si>
  <si>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</si>
  <si>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</si>
  <si>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</si>
  <si>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</si>
  <si>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</si>
  <si>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</si>
  <si>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</si>
  <si>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</si>
  <si>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</si>
  <si>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</si>
  <si>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</si>
  <si>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</si>
  <si>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</si>
  <si>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</si>
  <si>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</si>
  <si>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</si>
  <si>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</si>
  <si>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</si>
  <si>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</si>
  <si>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</si>
  <si>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</si>
  <si>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</si>
  <si>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</si>
  <si>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</si>
  <si>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</si>
  <si>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</si>
  <si>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</si>
  <si>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</si>
  <si>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</si>
  <si>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</si>
  <si>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</si>
  <si>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</si>
  <si>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</si>
  <si>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</si>
  <si>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</si>
  <si>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</si>
  <si>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</si>
  <si>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</si>
  <si>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</si>
  <si>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</si>
  <si>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</si>
  <si>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</si>
  <si>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</si>
  <si>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</si>
  <si>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</si>
  <si>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</si>
  <si>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</si>
  <si>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</si>
  <si>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</si>
  <si>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</si>
  <si>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</si>
  <si>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</si>
  <si>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</si>
  <si>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</si>
  <si>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</si>
  <si>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</si>
  <si>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</si>
  <si>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</si>
  <si>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</si>
  <si>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</si>
  <si>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</si>
  <si>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</si>
  <si>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</si>
  <si>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</si>
  <si>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</si>
  <si>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</si>
  <si>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</si>
  <si>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</si>
  <si>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</si>
  <si>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</si>
  <si>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</si>
  <si>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</si>
  <si>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</si>
  <si>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</si>
  <si>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</si>
  <si>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</si>
  <si>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</si>
  <si>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</si>
  <si>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</si>
  <si>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</si>
  <si>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</si>
  <si>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</si>
  <si>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</si>
  <si>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</si>
  <si>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</si>
  <si>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</si>
  <si>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</si>
  <si>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</si>
  <si>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</si>
  <si>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</si>
  <si>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</si>
  <si>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</si>
  <si>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</si>
  <si>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</si>
  <si>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</si>
  <si>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</si>
  <si>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</si>
  <si>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</si>
  <si>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</si>
  <si>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</si>
  <si>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</si>
  <si>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</si>
  <si>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</si>
  <si>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</si>
  <si>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</si>
  <si>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</si>
  <si>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</si>
  <si>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</si>
  <si>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</si>
  <si>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</si>
  <si>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</si>
  <si>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</si>
  <si>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</si>
  <si>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</si>
  <si>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</si>
  <si>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</si>
  <si>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</si>
  <si>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</si>
  <si>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</si>
  <si>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</si>
  <si>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</si>
  <si>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</si>
  <si>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</si>
  <si>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</si>
  <si>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</si>
  <si>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</si>
  <si>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</si>
  <si>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</si>
  <si>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</si>
  <si>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</si>
  <si>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</si>
  <si>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</si>
  <si>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</si>
  <si>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</si>
  <si>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</si>
  <si>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</si>
  <si>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</si>
  <si>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</si>
  <si>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</si>
  <si>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</si>
  <si>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</si>
  <si>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</si>
  <si>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</si>
  <si>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</si>
  <si>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</si>
  <si>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</si>
  <si>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</si>
  <si>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</si>
  <si>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</si>
  <si>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</si>
  <si>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</si>
  <si>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</si>
  <si>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</si>
  <si>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</si>
  <si>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</si>
  <si>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</si>
  <si>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</si>
  <si>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</si>
  <si>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</si>
  <si>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</si>
  <si>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</si>
  <si>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</si>
  <si>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</si>
  <si>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</si>
  <si>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</si>
  <si>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</si>
  <si>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</si>
  <si>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</si>
  <si>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</si>
  <si>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</si>
  <si>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</si>
  <si>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</si>
  <si>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</si>
  <si>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</si>
  <si>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</si>
  <si>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</si>
  <si>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</si>
  <si>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</si>
  <si>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</si>
  <si>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</si>
  <si>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</si>
  <si>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</si>
  <si>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</si>
  <si>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</si>
  <si>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</si>
  <si>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</si>
  <si>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</si>
  <si>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</si>
  <si>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</si>
  <si>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</si>
  <si>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</si>
  <si>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</si>
  <si>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</si>
  <si>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</si>
  <si>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</si>
  <si>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</si>
  <si>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</si>
  <si>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</si>
  <si>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</si>
  <si>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</si>
  <si>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</si>
  <si>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</si>
  <si>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</si>
  <si>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</si>
  <si>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</si>
  <si>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</si>
  <si>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</si>
  <si>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</si>
  <si>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</si>
  <si>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</si>
  <si>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</si>
  <si>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</si>
  <si>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</si>
  <si>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</si>
  <si>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</si>
  <si>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</si>
  <si>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</si>
  <si>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</si>
  <si>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</si>
  <si>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</si>
  <si>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</si>
  <si>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</si>
  <si>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</si>
  <si>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</si>
  <si>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</si>
  <si>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</si>
  <si>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</si>
  <si>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</si>
  <si>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</si>
  <si>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</si>
  <si>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</si>
  <si>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</si>
  <si>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</si>
  <si>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</si>
  <si>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</si>
  <si>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</si>
  <si>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</si>
  <si>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</si>
  <si>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</si>
  <si>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</si>
  <si>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</si>
  <si>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</si>
  <si>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</si>
  <si>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</si>
  <si>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</si>
  <si>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</si>
  <si>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</si>
  <si>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</si>
  <si>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</si>
  <si>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</si>
  <si>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</si>
  <si>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</si>
  <si>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</si>
  <si>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</si>
  <si>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</si>
  <si>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</si>
  <si>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</si>
  <si>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</si>
  <si>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</si>
  <si>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</si>
  <si>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</si>
  <si>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</si>
  <si>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</si>
  <si>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</si>
  <si>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</si>
  <si>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</si>
  <si>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</si>
  <si>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</si>
  <si>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</si>
  <si>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</si>
  <si>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</si>
  <si>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</si>
  <si>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</si>
  <si>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</si>
  <si>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</si>
  <si>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</si>
  <si>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</si>
  <si>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</si>
  <si>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</si>
  <si>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</si>
  <si>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</si>
  <si>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</si>
  <si>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</si>
  <si>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</si>
  <si>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</si>
  <si>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</si>
  <si>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</si>
  <si>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</si>
  <si>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</si>
  <si>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</si>
  <si>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</si>
  <si>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</si>
  <si>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</si>
  <si>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</si>
  <si>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</si>
  <si>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</si>
  <si>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</si>
  <si>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</si>
  <si>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</si>
  <si>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</si>
  <si>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</si>
  <si>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</si>
  <si>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</si>
  <si>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</si>
  <si>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</si>
  <si>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</si>
  <si>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</si>
  <si>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</si>
  <si>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</si>
  <si>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</si>
  <si>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</si>
  <si>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</si>
  <si>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</si>
  <si>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</si>
  <si>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</si>
  <si>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</si>
  <si>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</si>
  <si>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</si>
  <si>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</si>
  <si>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</si>
  <si>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</si>
  <si>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</si>
  <si>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</si>
  <si>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</si>
  <si>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</si>
  <si>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</si>
  <si>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</si>
  <si>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</si>
  <si>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</si>
  <si>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</si>
  <si>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</si>
  <si>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</si>
  <si>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</si>
  <si>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</si>
  <si>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</si>
  <si>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</si>
  <si>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</si>
  <si>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</si>
  <si>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</si>
  <si>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</si>
  <si>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</si>
  <si>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</si>
  <si>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</si>
  <si>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</si>
  <si>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</si>
  <si>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</si>
  <si>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</si>
  <si>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</si>
  <si>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</si>
  <si>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</si>
  <si>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</si>
  <si>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</si>
  <si>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</si>
  <si>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</si>
  <si>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</si>
  <si>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</si>
  <si>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</si>
  <si>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</si>
  <si>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</si>
  <si>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</si>
  <si>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</si>
  <si>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</si>
  <si>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</si>
  <si>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</si>
  <si>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</si>
  <si>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</si>
  <si>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</si>
  <si>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</si>
  <si>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</si>
  <si>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</si>
  <si>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</si>
  <si>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</si>
  <si>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</si>
  <si>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</si>
  <si>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</si>
  <si>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</si>
  <si>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</si>
  <si>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</si>
  <si>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</si>
  <si>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</si>
  <si>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</si>
  <si>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</si>
  <si>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</si>
  <si>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</si>
  <si>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</si>
  <si>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</si>
  <si>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</si>
  <si>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</si>
  <si>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</si>
  <si>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</si>
  <si>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</si>
  <si>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</si>
  <si>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</si>
  <si>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</si>
  <si>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</si>
  <si>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</si>
  <si>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</si>
  <si>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</si>
  <si>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</si>
  <si>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</si>
  <si>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</si>
  <si>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</si>
  <si>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</si>
  <si>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</si>
  <si>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</si>
  <si>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</si>
  <si>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</si>
  <si>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</si>
  <si>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</si>
  <si>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</si>
  <si>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</si>
  <si>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</si>
  <si>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</si>
  <si>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</si>
  <si>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</si>
  <si>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</si>
  <si>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</si>
  <si>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</si>
  <si>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</si>
  <si>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</si>
  <si>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</si>
  <si>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</si>
  <si>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</si>
  <si>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</si>
  <si>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</si>
  <si>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</si>
  <si>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</si>
  <si>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</si>
  <si>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</si>
  <si>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</si>
  <si>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</si>
  <si>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</si>
  <si>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</si>
  <si>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</si>
  <si>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</si>
  <si>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</si>
  <si>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</si>
  <si>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</si>
  <si>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</si>
  <si>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</si>
  <si>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</si>
  <si>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</si>
  <si>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</si>
  <si>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</si>
  <si>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</si>
  <si>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</si>
  <si>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</si>
  <si>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</si>
  <si>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</si>
  <si>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</si>
  <si>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</si>
  <si>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</si>
  <si>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</si>
  <si>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</si>
  <si>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</si>
  <si>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</si>
  <si>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</si>
  <si>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</si>
  <si>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</si>
  <si>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</si>
  <si>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</si>
  <si>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</si>
  <si>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</si>
  <si>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</si>
  <si>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</si>
  <si>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</si>
  <si>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</si>
  <si>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</si>
  <si>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</si>
  <si>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</si>
  <si>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</si>
  <si>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</si>
  <si>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</si>
  <si>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</si>
  <si>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</si>
  <si>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</si>
  <si>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</si>
  <si>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</si>
  <si>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</si>
  <si>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</si>
  <si>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</si>
  <si>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</si>
  <si>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</si>
  <si>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</si>
  <si>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</si>
  <si>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</si>
  <si>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</si>
  <si>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</si>
  <si>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</si>
  <si>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</si>
  <si>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</si>
  <si>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</si>
  <si>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</si>
  <si>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</si>
  <si>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</si>
  <si>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</si>
  <si>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</si>
  <si>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</si>
  <si>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</si>
  <si>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</si>
  <si>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</si>
  <si>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</si>
  <si>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</si>
  <si>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</si>
  <si>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</si>
  <si>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</si>
  <si>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</si>
  <si>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</si>
  <si>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</si>
  <si>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</si>
  <si>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</si>
  <si>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</si>
  <si>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</si>
  <si>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</si>
  <si>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</si>
  <si>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</si>
  <si>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</si>
  <si>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</si>
  <si>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</si>
  <si>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</si>
  <si>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</si>
  <si>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</si>
  <si>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</si>
  <si>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</si>
  <si>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</si>
  <si>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</si>
  <si>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</si>
  <si>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</si>
  <si>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</si>
  <si>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</si>
  <si>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</si>
  <si>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</si>
  <si>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</si>
  <si>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</si>
  <si>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</si>
  <si>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</si>
  <si>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</si>
  <si>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</si>
  <si>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</si>
  <si>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</si>
  <si>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</si>
  <si>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</si>
  <si>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</si>
  <si>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</si>
  <si>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</si>
  <si>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</si>
  <si>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</si>
  <si>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</si>
  <si>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</si>
  <si>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</si>
  <si>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</si>
  <si>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</si>
  <si>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</si>
  <si>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</si>
  <si>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</si>
  <si>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</si>
  <si>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</si>
  <si>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</si>
  <si>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</si>
  <si>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</si>
  <si>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</si>
  <si>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</si>
  <si>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</si>
  <si>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</si>
  <si>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</si>
  <si>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</si>
  <si>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</si>
  <si>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</si>
  <si>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</si>
  <si>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</si>
  <si>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</si>
  <si>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</si>
  <si>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</si>
  <si>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</si>
  <si>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</si>
  <si>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</si>
  <si>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</si>
  <si>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</si>
  <si>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</si>
  <si>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</si>
  <si>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</si>
  <si>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</si>
  <si>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</si>
  <si>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</si>
  <si>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</si>
  <si>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</si>
  <si>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</si>
  <si>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</si>
  <si>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</si>
  <si>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</si>
  <si>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</si>
  <si>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</si>
  <si>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</si>
  <si>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</si>
  <si>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</si>
  <si>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</si>
  <si>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</si>
  <si>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</si>
  <si>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</si>
  <si>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</si>
  <si>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</si>
  <si>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</si>
  <si>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</si>
  <si>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</si>
  <si>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</si>
  <si>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</si>
  <si>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</si>
  <si>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</si>
  <si>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</si>
  <si>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</si>
  <si>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</si>
  <si>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</si>
  <si>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</si>
  <si>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</si>
  <si>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</si>
  <si>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</si>
  <si>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</si>
  <si>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</si>
  <si>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</si>
  <si>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</si>
  <si>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</si>
  <si>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</si>
  <si>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</si>
  <si>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</si>
  <si>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</si>
  <si>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</si>
  <si>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</si>
  <si>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</si>
  <si>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</si>
  <si>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</si>
  <si>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</si>
  <si>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</si>
  <si>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</si>
  <si>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</si>
  <si>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</si>
  <si>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</si>
  <si>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</si>
  <si>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</si>
  <si>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</si>
  <si>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</si>
  <si>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</si>
  <si>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</si>
  <si>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</si>
  <si>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</si>
  <si>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</si>
  <si>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</si>
  <si>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</si>
  <si>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</si>
  <si>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</si>
  <si>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</si>
  <si>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</si>
  <si>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</si>
  <si>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</si>
  <si>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</si>
  <si>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</si>
  <si>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</si>
  <si>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</si>
  <si>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</si>
  <si>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</si>
  <si>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</si>
  <si>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</si>
  <si>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</si>
  <si>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</si>
  <si>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</si>
  <si>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</si>
  <si>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</si>
  <si>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</si>
  <si>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</si>
  <si>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</si>
  <si>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</si>
  <si>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</si>
  <si>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</si>
  <si>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</si>
  <si>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</si>
  <si>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</si>
  <si>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</si>
  <si>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</si>
  <si>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</si>
  <si>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</si>
  <si>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</si>
  <si>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</si>
  <si>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</si>
  <si>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</si>
  <si>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</si>
  <si>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</si>
  <si>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</si>
  <si>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</si>
  <si>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</si>
  <si>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</si>
  <si>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</si>
  <si>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</si>
  <si>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</si>
  <si>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</si>
  <si>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</si>
  <si>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</si>
  <si>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</si>
  <si>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</si>
  <si>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</si>
  <si>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</si>
  <si>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</si>
  <si>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</si>
  <si>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</si>
  <si>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</si>
  <si>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</si>
  <si>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</si>
  <si>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</si>
  <si>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</si>
  <si>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</si>
  <si>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</si>
  <si>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</si>
  <si>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</si>
  <si>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</si>
  <si>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</si>
  <si>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</si>
  <si>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</si>
  <si>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</si>
  <si>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</si>
  <si>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</si>
  <si>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</si>
  <si>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</si>
  <si>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</si>
  <si>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</si>
  <si>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</si>
  <si>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</si>
  <si>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</si>
  <si>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</si>
  <si>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</si>
  <si>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</si>
  <si>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</si>
  <si>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</si>
  <si>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</si>
  <si>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</si>
  <si>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</si>
  <si>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</si>
  <si>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</si>
  <si>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</si>
  <si>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</si>
  <si>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</si>
  <si>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</si>
  <si>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</si>
  <si>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</si>
  <si>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</si>
  <si>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</si>
  <si>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</si>
  <si>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</si>
  <si>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</si>
  <si>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</si>
  <si>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</si>
  <si>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</si>
  <si>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</si>
  <si>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</si>
  <si>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</si>
  <si>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</si>
  <si>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</si>
  <si>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</si>
  <si>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</si>
  <si>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</si>
  <si>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</si>
  <si>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</si>
  <si>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</si>
  <si>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</si>
  <si>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</si>
  <si>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</si>
  <si>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</si>
  <si>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</si>
  <si>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</si>
  <si>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</si>
  <si>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</si>
  <si>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</si>
  <si>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</si>
  <si>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</si>
  <si>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</si>
  <si>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</si>
  <si>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</si>
  <si>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</si>
  <si>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</si>
  <si>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</si>
  <si>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</si>
  <si>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</si>
  <si>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</si>
  <si>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</si>
  <si>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</si>
  <si>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</si>
  <si>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</si>
  <si>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</si>
  <si>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</si>
  <si>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</si>
  <si>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</si>
  <si>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</si>
  <si>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</si>
  <si>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</si>
  <si>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</si>
  <si>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</si>
  <si>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</si>
  <si>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</si>
  <si>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</si>
  <si>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</si>
  <si>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</si>
  <si>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</si>
  <si>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</si>
  <si>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</si>
  <si>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</si>
  <si>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</si>
  <si>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</si>
  <si>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</si>
  <si>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</si>
  <si>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</si>
  <si>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</si>
  <si>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</si>
  <si>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</si>
  <si>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</si>
  <si>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</si>
  <si>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</si>
  <si>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</si>
  <si>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</si>
  <si>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</si>
  <si>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</si>
  <si>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</si>
  <si>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</si>
  <si>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</si>
  <si>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</si>
  <si>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</si>
  <si>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</si>
  <si>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</si>
  <si>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</si>
  <si>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</si>
  <si>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</si>
  <si>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</si>
  <si>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</si>
  <si>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</si>
  <si>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</si>
  <si>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</si>
  <si>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</si>
  <si>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</si>
  <si>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</si>
  <si>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</si>
  <si>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</si>
  <si>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</si>
  <si>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</si>
  <si>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</si>
  <si>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</si>
  <si>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</si>
  <si>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</si>
  <si>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</si>
  <si>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</si>
  <si>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</si>
  <si>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</si>
  <si>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</si>
  <si>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</si>
  <si>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</si>
  <si>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</si>
  <si>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</si>
  <si>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</si>
  <si>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</si>
  <si>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</si>
  <si>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</si>
  <si>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</si>
  <si>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</si>
  <si>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</si>
  <si>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</si>
  <si>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</si>
  <si>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</si>
  <si>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</si>
  <si>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</si>
  <si>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</si>
  <si>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</si>
  <si>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</si>
  <si>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</si>
  <si>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</si>
  <si>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</si>
  <si>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</si>
  <si>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</si>
  <si>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</si>
  <si>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</si>
  <si>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</si>
  <si>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</si>
  <si>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</si>
  <si>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</si>
  <si>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</si>
  <si>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</si>
  <si>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</si>
  <si>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</si>
  <si>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</si>
  <si>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</si>
  <si>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</si>
  <si>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</si>
  <si>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</si>
  <si>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</si>
  <si>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</si>
  <si>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</si>
  <si>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</si>
  <si>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</si>
  <si>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</si>
  <si>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</si>
  <si>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</si>
  <si>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</si>
  <si>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</si>
  <si>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</si>
  <si>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</si>
  <si>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</si>
  <si>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</si>
  <si>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</si>
  <si>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</si>
  <si>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</si>
  <si>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</si>
  <si>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</si>
  <si>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</si>
  <si>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</si>
  <si>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</si>
  <si>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</si>
  <si>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</si>
  <si>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</si>
  <si>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</si>
  <si>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</si>
  <si>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</si>
  <si>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</si>
  <si>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</si>
  <si>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</si>
  <si>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</si>
  <si>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</si>
  <si>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</si>
  <si>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</si>
  <si>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</si>
  <si>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</si>
  <si>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</si>
  <si>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</si>
  <si>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</si>
  <si>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</si>
  <si>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</si>
  <si>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</si>
  <si>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</si>
  <si>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</si>
  <si>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</si>
  <si>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</si>
  <si>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</si>
  <si>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</si>
  <si>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</si>
  <si>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</si>
  <si>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</si>
  <si>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</si>
  <si>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</si>
  <si>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</si>
  <si>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</si>
  <si>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</si>
  <si>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</si>
  <si>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</si>
  <si>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</si>
  <si>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</si>
  <si>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</si>
  <si>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</si>
  <si>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</si>
  <si>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</si>
  <si>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</si>
  <si>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</si>
  <si>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</si>
  <si>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</si>
  <si>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</si>
  <si>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</si>
  <si>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</si>
  <si>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</si>
  <si>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</si>
  <si>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</si>
  <si>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</si>
  <si>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</si>
  <si>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</si>
  <si>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</si>
  <si>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</si>
  <si>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</si>
  <si>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</si>
  <si>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</si>
  <si>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</si>
  <si>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</si>
  <si>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</si>
  <si>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</si>
  <si>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</si>
  <si>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</si>
  <si>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</si>
  <si>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</si>
  <si>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</si>
  <si>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</si>
  <si>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</si>
  <si>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</si>
  <si>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</si>
  <si>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</si>
  <si>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</si>
  <si>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</si>
  <si>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</si>
  <si>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</si>
  <si>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</si>
  <si>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</si>
  <si>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</si>
  <si>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</si>
  <si>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</si>
  <si>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</si>
  <si>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</si>
  <si>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</si>
  <si>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</si>
  <si>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</si>
  <si>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</si>
  <si>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</si>
  <si>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</si>
  <si>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</si>
  <si>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</si>
  <si>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</si>
  <si>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</si>
  <si>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</si>
  <si>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</si>
  <si>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</si>
  <si>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</si>
  <si>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</si>
  <si>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</si>
  <si>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</si>
  <si>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</si>
  <si>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</si>
  <si>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</si>
  <si>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</si>
  <si>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</si>
  <si>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</si>
  <si>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</si>
  <si>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</si>
  <si>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</si>
  <si>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</si>
  <si>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</si>
  <si>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</si>
  <si>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</si>
  <si>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</si>
  <si>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</si>
  <si>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</si>
  <si>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</si>
  <si>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</si>
  <si>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</si>
  <si>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</si>
  <si>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</si>
  <si>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</si>
  <si>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</si>
  <si>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</si>
  <si>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</si>
  <si>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</si>
  <si>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</si>
  <si>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</si>
  <si>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</si>
  <si>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</si>
  <si>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</si>
  <si>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</si>
  <si>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</si>
  <si>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</si>
  <si>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</si>
  <si>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</si>
  <si>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</si>
  <si>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</si>
  <si>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</si>
  <si>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</si>
  <si>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</si>
  <si>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</si>
  <si>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</si>
  <si>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</si>
  <si>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</si>
  <si>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</si>
  <si>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</si>
  <si>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</si>
  <si>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</si>
  <si>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</si>
  <si>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</si>
  <si>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</si>
  <si>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</si>
  <si>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</si>
  <si>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</si>
  <si>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</si>
  <si>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</si>
  <si>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</si>
  <si>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</si>
  <si>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</si>
  <si>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</si>
  <si>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</si>
  <si>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</si>
  <si>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</si>
  <si>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</si>
  <si>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</si>
  <si>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</si>
  <si>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</si>
  <si>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</si>
  <si>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</si>
  <si>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</si>
  <si>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</si>
  <si>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</si>
  <si>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</si>
  <si>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</si>
  <si>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</si>
  <si>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</si>
  <si>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</si>
  <si>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</si>
  <si>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</si>
  <si>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</si>
  <si>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</si>
  <si>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</si>
  <si>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</si>
  <si>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</si>
  <si>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</si>
  <si>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</si>
  <si>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</si>
  <si>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</si>
  <si>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</si>
  <si>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</si>
  <si>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</si>
  <si>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</si>
  <si>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</si>
  <si>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</si>
  <si>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</si>
  <si>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</si>
  <si>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</si>
  <si>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</si>
  <si>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</si>
  <si>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</si>
  <si>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</si>
  <si>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</si>
  <si>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</si>
  <si>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</si>
  <si>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</si>
  <si>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</si>
  <si>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</si>
  <si>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</si>
  <si>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</si>
  <si>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</si>
  <si>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</si>
  <si>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</si>
  <si>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</si>
  <si>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</si>
  <si>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</si>
  <si>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</si>
  <si>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</si>
  <si>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</si>
  <si>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</si>
  <si>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</si>
  <si>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</si>
  <si>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</si>
  <si>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</si>
  <si>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</si>
  <si>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</si>
  <si>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</si>
  <si>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</si>
  <si>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</si>
  <si>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</si>
  <si>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</si>
  <si>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</si>
  <si>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</si>
  <si>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</si>
  <si>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</si>
  <si>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</si>
  <si>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</si>
  <si>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</si>
  <si>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</si>
  <si>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</si>
  <si>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</si>
  <si>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</si>
  <si>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</si>
  <si>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</si>
  <si>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</si>
  <si>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</si>
  <si>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</si>
  <si>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</si>
  <si>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</si>
  <si>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</si>
  <si>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</si>
  <si>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</si>
  <si>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</si>
  <si>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</si>
  <si>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</si>
  <si>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</si>
  <si>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</si>
  <si>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</si>
  <si>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</si>
  <si>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</si>
  <si>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</si>
  <si>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</si>
  <si>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</si>
  <si>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</si>
  <si>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</si>
  <si>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</si>
  <si>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</si>
  <si>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</si>
  <si>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</si>
  <si>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</si>
  <si>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</si>
  <si>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</si>
  <si>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</si>
  <si>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</si>
  <si>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</si>
  <si>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</si>
  <si>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</si>
  <si>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</si>
  <si>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</si>
  <si>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</si>
  <si>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</si>
  <si>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</si>
  <si>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</si>
  <si>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</si>
  <si>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</si>
  <si>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</si>
  <si>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</si>
  <si>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</si>
  <si>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</si>
  <si>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</si>
  <si>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</si>
  <si>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</si>
  <si>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</si>
  <si>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</si>
  <si>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</si>
  <si>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</si>
  <si>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</si>
  <si>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</si>
  <si>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</si>
  <si>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</si>
  <si>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</si>
  <si>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</si>
  <si>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</si>
  <si>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</si>
  <si>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</si>
  <si>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</si>
  <si>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</si>
  <si>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</si>
  <si>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</si>
  <si>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</si>
  <si>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</si>
  <si>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</si>
  <si>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</si>
  <si>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</si>
  <si>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</si>
  <si>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</si>
  <si>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</si>
  <si>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</si>
  <si>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</si>
  <si>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</si>
  <si>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</si>
  <si>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</si>
  <si>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</si>
  <si>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</si>
  <si>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</si>
  <si>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</si>
  <si>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</si>
  <si>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</si>
  <si>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</si>
  <si>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</si>
  <si>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</si>
  <si>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</si>
  <si>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</si>
  <si>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</si>
  <si>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</si>
  <si>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</si>
  <si>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</si>
  <si>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</si>
  <si>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</si>
  <si>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</si>
  <si>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</si>
  <si>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</si>
  <si>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</si>
  <si>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</si>
  <si>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</si>
  <si>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</si>
  <si>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</si>
  <si>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</si>
  <si>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</si>
  <si>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</si>
  <si>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</si>
  <si>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</si>
  <si>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</si>
  <si>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</si>
  <si>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</si>
  <si>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</si>
  <si>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</si>
  <si>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</si>
  <si>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</si>
  <si>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</si>
  <si>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</si>
  <si>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</si>
  <si>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</si>
  <si>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</si>
  <si>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</si>
  <si>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</si>
  <si>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</si>
  <si>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</si>
  <si>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</si>
  <si>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</si>
  <si>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</si>
  <si>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</si>
  <si>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</si>
  <si>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</si>
  <si>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</si>
  <si>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</si>
  <si>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</si>
  <si>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</si>
  <si>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</si>
  <si>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</si>
  <si>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</si>
  <si>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</si>
  <si>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</si>
  <si>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</si>
  <si>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</si>
  <si>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</si>
  <si>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</si>
  <si>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</si>
  <si>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</si>
  <si>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</si>
  <si>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</si>
  <si>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</si>
  <si>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</si>
  <si>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</si>
  <si>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</si>
  <si>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</si>
  <si>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</si>
  <si>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</si>
  <si>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</si>
  <si>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</si>
  <si>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</si>
  <si>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</si>
  <si>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</si>
  <si>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</si>
  <si>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</si>
  <si>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</si>
  <si>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</si>
  <si>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</si>
  <si>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</si>
  <si>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</si>
  <si>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</si>
  <si>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</si>
  <si>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</si>
  <si>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</si>
  <si>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</si>
  <si>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</si>
  <si>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</si>
  <si>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</si>
  <si>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</si>
  <si>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</si>
  <si>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</si>
  <si>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</si>
  <si>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</si>
  <si>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</si>
  <si>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</si>
  <si>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</si>
  <si>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</si>
  <si>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</si>
  <si>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</si>
  <si>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</si>
  <si>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</si>
  <si>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</si>
  <si>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</si>
  <si>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</si>
  <si>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</si>
  <si>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</si>
  <si>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</si>
  <si>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</si>
  <si>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</si>
  <si>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</si>
  <si>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</si>
  <si>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</si>
  <si>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</si>
  <si>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</si>
  <si>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</si>
  <si>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</si>
  <si>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</si>
  <si>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</si>
  <si>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</si>
  <si>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</si>
  <si>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</si>
  <si>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</si>
  <si>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</si>
  <si>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</si>
  <si>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</si>
  <si>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</si>
  <si>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</si>
  <si>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</si>
  <si>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</si>
  <si>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</si>
  <si>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</si>
  <si>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</si>
  <si>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</si>
  <si>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</si>
  <si>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</si>
  <si>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</si>
  <si>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</si>
  <si>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</si>
  <si>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</si>
  <si>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</si>
  <si>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</si>
  <si>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</si>
  <si>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</si>
  <si>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</si>
  <si>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</si>
  <si>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</si>
  <si>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</si>
  <si>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</si>
  <si>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</si>
  <si>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</si>
  <si>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</si>
  <si>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</si>
  <si>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</si>
  <si>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</si>
  <si>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</si>
  <si>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</si>
  <si>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</si>
  <si>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</si>
  <si>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</si>
  <si>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</si>
  <si>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</si>
  <si>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</si>
  <si>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</si>
  <si>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</si>
  <si>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</si>
  <si>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</si>
  <si>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</si>
  <si>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</si>
  <si>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</si>
  <si>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</si>
  <si>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</si>
  <si>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</si>
  <si>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</si>
  <si>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</si>
  <si>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</si>
  <si>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</si>
  <si>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</si>
  <si>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</si>
  <si>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</si>
  <si>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</si>
  <si>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</si>
  <si>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</si>
  <si>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</si>
  <si>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</si>
  <si>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</si>
  <si>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</si>
  <si>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</si>
  <si>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</si>
  <si>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</si>
  <si>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</si>
  <si>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</si>
  <si>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</si>
  <si>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</si>
  <si>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</si>
  <si>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</si>
  <si>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</si>
  <si>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</si>
  <si>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</si>
  <si>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</si>
  <si>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</si>
  <si>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</si>
  <si>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</si>
  <si>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</si>
  <si>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</si>
  <si>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</si>
  <si>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</si>
  <si>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</si>
  <si>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</si>
  <si>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</si>
  <si>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</si>
  <si>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</si>
  <si>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</si>
  <si>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</si>
  <si>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</si>
  <si>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</si>
  <si>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</si>
  <si>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</si>
  <si>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</si>
  <si>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</si>
  <si>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</si>
  <si>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</si>
  <si>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</si>
  <si>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</si>
  <si>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</si>
  <si>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</si>
  <si>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</si>
  <si>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</si>
  <si>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</si>
  <si>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</si>
  <si>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</si>
  <si>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</si>
  <si>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</si>
  <si>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</si>
  <si>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</si>
  <si>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</si>
  <si>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</si>
  <si>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</si>
  <si>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</si>
  <si>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</si>
  <si>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</si>
  <si>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</si>
  <si>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</si>
  <si>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</si>
  <si>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</si>
  <si>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</si>
  <si>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</si>
  <si>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</si>
  <si>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</si>
  <si>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</si>
  <si>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</si>
  <si>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</si>
  <si>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</si>
  <si>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</si>
  <si>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</si>
  <si>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</si>
  <si>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</si>
  <si>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</si>
  <si>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</si>
  <si>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</si>
  <si>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</si>
  <si>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</si>
  <si>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</si>
  <si>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</si>
  <si>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</si>
  <si>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</si>
  <si>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</si>
  <si>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</si>
  <si>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</si>
  <si>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</si>
  <si>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</si>
  <si>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</si>
  <si>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</si>
  <si>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</si>
  <si>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</si>
  <si>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</si>
  <si>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</si>
  <si>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</si>
  <si>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</si>
  <si>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</si>
  <si>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</si>
  <si>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</si>
  <si>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</si>
  <si>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</si>
  <si>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</si>
  <si>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</si>
  <si>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</si>
  <si>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</si>
  <si>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</si>
  <si>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</si>
  <si>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</si>
  <si>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</si>
  <si>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</si>
  <si>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</si>
  <si>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</si>
  <si>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</si>
  <si>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</si>
  <si>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</si>
  <si>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</si>
  <si>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</si>
  <si>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</si>
  <si>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</si>
  <si>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</si>
  <si>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</si>
  <si>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</si>
  <si>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</si>
  <si>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</si>
  <si>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</si>
  <si>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</si>
  <si>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</si>
  <si>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</si>
  <si>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</si>
  <si>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</si>
  <si>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</si>
  <si>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</si>
  <si>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</si>
  <si>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</si>
  <si>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</si>
  <si>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</si>
  <si>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</si>
  <si>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</si>
  <si>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</si>
  <si>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</si>
  <si>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</si>
  <si>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</si>
  <si>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</si>
  <si>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</si>
  <si>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</si>
  <si>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</si>
  <si>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</si>
  <si>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</si>
  <si>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</si>
  <si>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</si>
  <si>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</si>
  <si>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</si>
  <si>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</si>
  <si>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</si>
  <si>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</si>
  <si>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</si>
  <si>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</si>
  <si>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</si>
  <si>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</si>
  <si>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</si>
  <si>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</si>
  <si>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</si>
  <si>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</si>
  <si>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</si>
  <si>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</si>
  <si>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</si>
  <si>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</si>
  <si>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</si>
  <si>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</si>
  <si>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</si>
  <si>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</si>
  <si>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</si>
  <si>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</si>
  <si>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</si>
  <si>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</si>
  <si>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</si>
  <si>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</si>
  <si>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</si>
  <si>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</si>
  <si>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</si>
  <si>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</si>
  <si>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</si>
  <si>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</si>
  <si>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</si>
  <si>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</si>
  <si>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</si>
  <si>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</si>
  <si>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</si>
  <si>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</si>
  <si>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</si>
  <si>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</si>
  <si>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</si>
  <si>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</si>
  <si>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</si>
  <si>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</si>
  <si>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</si>
  <si>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</si>
  <si>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</si>
  <si>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</si>
  <si>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</si>
  <si>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</si>
  <si>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</si>
  <si>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</si>
  <si>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</si>
  <si>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</si>
  <si>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</si>
  <si>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</si>
  <si>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</si>
  <si>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</si>
  <si>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</si>
  <si>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</si>
  <si>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</si>
  <si>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</si>
  <si>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</si>
  <si>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</si>
  <si>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</si>
  <si>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</si>
  <si>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</si>
  <si>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</si>
  <si>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</si>
  <si>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</si>
  <si>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</si>
  <si>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</si>
  <si>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</si>
  <si>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</si>
  <si>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</si>
  <si>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</si>
  <si>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</si>
  <si>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</si>
  <si>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</si>
  <si>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</si>
  <si>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</si>
  <si>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</si>
  <si>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</si>
  <si>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</si>
  <si>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</si>
  <si>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</si>
  <si>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</si>
  <si>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</si>
  <si>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</si>
  <si>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</si>
  <si>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</si>
  <si>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</si>
  <si>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</si>
  <si>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</si>
  <si>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</si>
  <si>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</si>
  <si>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</si>
  <si>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</si>
  <si>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</si>
  <si>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</si>
  <si>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</si>
  <si>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</si>
  <si>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</si>
  <si>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</si>
  <si>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</si>
  <si>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</si>
  <si>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</si>
  <si>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</si>
  <si>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</si>
  <si>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</si>
  <si>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</si>
  <si>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</si>
  <si>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</si>
  <si>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</si>
  <si>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</si>
  <si>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</si>
  <si>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</si>
  <si>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</si>
  <si>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</si>
  <si>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</si>
  <si>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</si>
  <si>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</si>
  <si>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</si>
  <si>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</si>
  <si>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</si>
  <si>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</si>
  <si>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</si>
  <si>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</si>
  <si>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</si>
  <si>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</si>
  <si>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</si>
  <si>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</si>
  <si>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</si>
  <si>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</si>
  <si>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</si>
  <si>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</si>
  <si>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</si>
  <si>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</si>
  <si>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</si>
  <si>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</si>
  <si>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</si>
  <si>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</si>
  <si>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</si>
  <si>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</si>
  <si>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</si>
  <si>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</si>
  <si>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</si>
  <si>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</si>
  <si>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</si>
  <si>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</si>
  <si>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</si>
  <si>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</si>
  <si>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</si>
  <si>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</si>
  <si>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</si>
  <si>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</si>
  <si>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</si>
  <si>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</si>
  <si>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</si>
  <si>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</si>
  <si>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</si>
  <si>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</si>
  <si>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</si>
  <si>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</si>
  <si>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</si>
  <si>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</si>
  <si>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</si>
  <si>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</si>
  <si>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</si>
  <si>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</si>
  <si>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</si>
  <si>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</si>
  <si>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</si>
  <si>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</si>
  <si>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</si>
  <si>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</si>
  <si>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</si>
  <si>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</si>
  <si>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</si>
  <si>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</si>
  <si>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</si>
  <si>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</si>
  <si>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</si>
  <si>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</si>
  <si>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</si>
  <si>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</si>
  <si>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</si>
  <si>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</si>
  <si>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</si>
  <si>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</si>
  <si>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</si>
  <si>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</si>
  <si>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</si>
  <si>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</si>
  <si>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</si>
  <si>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</si>
  <si>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</si>
  <si>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</si>
  <si>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</si>
  <si>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</si>
  <si>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</si>
  <si>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</si>
  <si>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</si>
  <si>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</si>
  <si>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</si>
  <si>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</si>
  <si>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</si>
  <si>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</si>
  <si>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</si>
  <si>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</si>
  <si>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</si>
  <si>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</si>
  <si>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</si>
  <si>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</si>
  <si>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</si>
  <si>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</si>
  <si>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</si>
  <si>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</si>
  <si>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</si>
  <si>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</si>
  <si>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</si>
  <si>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</si>
  <si>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</si>
  <si>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</si>
  <si>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</si>
  <si>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</si>
  <si>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</si>
  <si>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</si>
  <si>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</si>
  <si>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</si>
  <si>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</si>
  <si>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</si>
  <si>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</si>
  <si>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</si>
  <si>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</si>
  <si>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</si>
  <si>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</si>
  <si>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</si>
  <si>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</si>
  <si>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</si>
  <si>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</si>
  <si>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</si>
  <si>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</si>
  <si>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</si>
  <si>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</si>
  <si>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</si>
  <si>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</si>
  <si>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</si>
  <si>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</si>
  <si>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</si>
  <si>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</si>
  <si>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</si>
  <si>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</si>
  <si>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</si>
  <si>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</si>
  <si>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</si>
  <si>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</si>
  <si>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</si>
  <si>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</si>
  <si>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</si>
  <si>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</si>
  <si>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</si>
  <si>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</si>
  <si>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</si>
  <si>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</si>
  <si>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</si>
  <si>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</si>
  <si>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</si>
  <si>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</si>
  <si>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</si>
  <si>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</si>
  <si>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</si>
  <si>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</si>
  <si>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</si>
  <si>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</si>
  <si>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</si>
  <si>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</si>
  <si>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</si>
  <si>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</si>
  <si>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</si>
  <si>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</si>
  <si>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</si>
  <si>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</si>
  <si>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</si>
  <si>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</si>
  <si>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</si>
  <si>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</si>
  <si>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</si>
  <si>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</si>
  <si>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</si>
  <si>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</si>
  <si>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</si>
  <si>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</si>
  <si>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</si>
  <si>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</si>
  <si>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</si>
  <si>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</si>
  <si>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</si>
  <si>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</si>
  <si>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</si>
  <si>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</si>
  <si>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</si>
  <si>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</si>
  <si>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</si>
  <si>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</si>
  <si>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</si>
  <si>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</si>
  <si>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</si>
  <si>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</si>
  <si>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</si>
  <si>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</si>
  <si>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</si>
  <si>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</si>
  <si>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</si>
  <si>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</si>
  <si>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</si>
  <si>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</si>
  <si>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</si>
  <si>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</si>
  <si>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</si>
  <si>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</si>
  <si>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</si>
  <si>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</si>
  <si>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</si>
  <si>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</si>
  <si>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</si>
  <si>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</si>
  <si>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</si>
  <si>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</si>
  <si>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</si>
  <si>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</si>
  <si>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</si>
  <si>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</si>
  <si>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</si>
  <si>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</si>
  <si>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</si>
  <si>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</si>
  <si>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</si>
  <si>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</si>
  <si>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</si>
  <si>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</si>
  <si>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</si>
  <si>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</si>
  <si>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</si>
  <si>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</si>
  <si>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</si>
  <si>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</si>
  <si>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</si>
  <si>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</si>
  <si>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</si>
  <si>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</si>
  <si>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</si>
  <si>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</si>
  <si>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</si>
  <si>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</si>
  <si>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</si>
  <si>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</si>
  <si>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</si>
  <si>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</si>
  <si>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</si>
  <si>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</si>
  <si>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</si>
  <si>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</si>
  <si>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</si>
  <si>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</si>
  <si>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</si>
  <si>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</si>
  <si>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</si>
  <si>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</si>
  <si>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</si>
  <si>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</si>
  <si>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</si>
  <si>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</si>
  <si>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</si>
  <si>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</si>
  <si>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</si>
  <si>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</si>
  <si>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</si>
  <si>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</si>
  <si>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</si>
  <si>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</si>
  <si>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</si>
  <si>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</si>
  <si>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</si>
  <si>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</si>
  <si>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</si>
  <si>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</si>
  <si>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</si>
  <si>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</si>
  <si>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</si>
  <si>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</si>
  <si>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</si>
  <si>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</si>
  <si>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</si>
  <si>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</si>
  <si>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</si>
  <si>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</si>
  <si>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</si>
  <si>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</si>
  <si>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</si>
  <si>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</si>
  <si>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</si>
  <si>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</si>
  <si>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</si>
  <si>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</si>
  <si>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</si>
  <si>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</si>
  <si>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</si>
  <si>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</si>
  <si>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</si>
  <si>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</si>
  <si>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</si>
  <si>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</si>
  <si>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</si>
  <si>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</si>
  <si>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</si>
  <si>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</si>
  <si>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</si>
  <si>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</si>
  <si>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</si>
  <si>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</si>
  <si>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</si>
  <si>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</si>
  <si>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</si>
  <si>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</si>
  <si>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</si>
  <si>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</si>
  <si>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</si>
  <si>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</si>
  <si>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</si>
  <si>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</si>
  <si>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</si>
  <si>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</si>
  <si>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</si>
  <si>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</si>
  <si>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</si>
  <si>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</si>
  <si>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</si>
  <si>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</si>
  <si>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</si>
  <si>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</si>
  <si>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</si>
  <si>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</si>
  <si>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</si>
  <si>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</si>
  <si>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</si>
  <si>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</si>
  <si>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</si>
  <si>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</si>
  <si>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</si>
  <si>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</si>
  <si>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</si>
  <si>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</si>
  <si>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</si>
  <si>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</si>
  <si>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</si>
  <si>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</si>
  <si>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</si>
  <si>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</si>
  <si>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</si>
  <si>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</si>
  <si>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</si>
  <si>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</si>
  <si>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</si>
  <si>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</si>
  <si>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</si>
  <si>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</si>
  <si>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</si>
  <si>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</si>
  <si>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</si>
  <si>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</si>
  <si>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</si>
  <si>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</si>
  <si>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</si>
  <si>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</si>
  <si>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</si>
  <si>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</si>
  <si>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</si>
  <si>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</si>
  <si>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</si>
  <si>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</si>
  <si>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</si>
  <si>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</si>
  <si>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</si>
  <si>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</si>
  <si>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</si>
  <si>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</si>
  <si>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</si>
  <si>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</si>
  <si>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</si>
  <si>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</si>
  <si>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</si>
  <si>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</si>
  <si>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</si>
  <si>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</si>
  <si>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</si>
  <si>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</si>
  <si>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</si>
  <si>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</si>
  <si>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</si>
  <si>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</si>
  <si>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</si>
  <si>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</si>
  <si>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</si>
  <si>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</si>
  <si>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</si>
  <si>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</si>
  <si>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</si>
  <si>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</si>
  <si>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</si>
  <si>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</si>
  <si>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</si>
  <si>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</si>
  <si>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</si>
  <si>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</si>
  <si>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</si>
  <si>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</si>
  <si>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</si>
  <si>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</si>
  <si>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</si>
  <si>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</si>
  <si>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</si>
  <si>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</si>
  <si>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</si>
  <si>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</si>
  <si>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</si>
  <si>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</si>
  <si>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</si>
  <si>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</si>
  <si>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</si>
  <si>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</si>
  <si>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</si>
  <si>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</si>
  <si>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</si>
  <si>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</si>
  <si>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</si>
  <si>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</si>
  <si>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</si>
  <si>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</si>
  <si>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</si>
  <si>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</si>
  <si>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</si>
  <si>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</si>
  <si>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</si>
  <si>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</si>
  <si>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</si>
  <si>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</si>
  <si>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</si>
  <si>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</si>
  <si>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</si>
  <si>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</si>
  <si>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</si>
  <si>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</si>
  <si>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</si>
  <si>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</si>
  <si>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</si>
  <si>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</si>
  <si>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</si>
  <si>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</si>
  <si>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</si>
  <si>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</si>
  <si>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</si>
  <si>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</si>
  <si>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</si>
  <si>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</si>
  <si>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</si>
  <si>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</si>
  <si>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</si>
  <si>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</si>
  <si>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</si>
  <si>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</si>
  <si>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</si>
  <si>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</si>
  <si>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</si>
  <si>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</si>
  <si>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</si>
  <si>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</si>
  <si>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</si>
  <si>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</si>
  <si>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</si>
  <si>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</si>
  <si>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</si>
  <si>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</si>
  <si>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</si>
  <si>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</si>
  <si>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</si>
  <si>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</si>
  <si>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</si>
  <si>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</si>
  <si>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</si>
  <si>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</si>
  <si>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</si>
  <si>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</si>
  <si>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</si>
  <si>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</si>
  <si>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</si>
  <si>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</si>
  <si>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</si>
  <si>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</si>
  <si>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</si>
  <si>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</si>
  <si>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</si>
  <si>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</si>
  <si>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</si>
  <si>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</si>
  <si>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</si>
  <si>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</si>
  <si>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</si>
  <si>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</si>
  <si>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</si>
  <si>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</si>
  <si>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</si>
  <si>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</si>
  <si>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</si>
  <si>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</si>
  <si>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</si>
  <si>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</si>
  <si>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</si>
  <si>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</si>
  <si>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</si>
  <si>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</si>
  <si>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</si>
  <si>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</si>
  <si>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</si>
  <si>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</si>
  <si>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</si>
  <si>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</si>
  <si>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</si>
  <si>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</si>
  <si>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</si>
  <si>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</si>
  <si>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</si>
  <si>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</si>
  <si>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</si>
  <si>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</si>
  <si>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</si>
  <si>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</si>
  <si>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</si>
  <si>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</si>
  <si>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</si>
  <si>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</si>
  <si>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</si>
  <si>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</si>
  <si>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</si>
  <si>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</si>
  <si>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</si>
  <si>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</si>
  <si>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</si>
  <si>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</si>
  <si>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</si>
  <si>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</si>
  <si>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</si>
  <si>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</si>
  <si>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</si>
  <si>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</si>
  <si>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</si>
  <si>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</si>
  <si>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</si>
  <si>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</si>
  <si>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</si>
  <si>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</si>
  <si>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</si>
  <si>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</si>
  <si>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</si>
  <si>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</si>
  <si>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</si>
  <si>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</si>
  <si>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</si>
  <si>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</si>
  <si>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</si>
  <si>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</si>
  <si>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</si>
  <si>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</si>
  <si>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</si>
  <si>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</si>
  <si>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</si>
  <si>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</si>
  <si>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</si>
  <si>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</si>
  <si>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</si>
  <si>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</si>
  <si>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</si>
  <si>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</si>
  <si>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</si>
  <si>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</si>
  <si>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</si>
  <si>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</si>
  <si>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</si>
  <si>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</si>
  <si>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</si>
  <si>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</si>
  <si>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</si>
  <si>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</si>
  <si>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</si>
  <si>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</si>
  <si>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</si>
  <si>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</si>
  <si>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</si>
  <si>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</si>
  <si>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</si>
  <si>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</si>
  <si>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</si>
  <si>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</si>
  <si>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</si>
  <si>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</si>
  <si>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</si>
  <si>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</si>
  <si>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</si>
  <si>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</si>
  <si>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</si>
  <si>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</si>
  <si>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</si>
  <si>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</si>
  <si>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</si>
  <si>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</si>
  <si>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</si>
  <si>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</si>
  <si>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</si>
  <si>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</si>
  <si>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</si>
  <si>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</si>
  <si>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</si>
  <si>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</si>
  <si>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</si>
  <si>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</si>
  <si>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</si>
  <si>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</si>
  <si>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</si>
  <si>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</si>
  <si>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</si>
  <si>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</si>
  <si>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</si>
  <si>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</si>
  <si>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</si>
  <si>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</si>
  <si>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</si>
  <si>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</si>
  <si>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</si>
  <si>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</si>
  <si>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</si>
  <si>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</si>
  <si>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</si>
  <si>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</si>
  <si>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</si>
  <si>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</si>
  <si>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</si>
  <si>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</si>
  <si>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</si>
  <si>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</si>
  <si>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</si>
  <si>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</si>
  <si>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</si>
  <si>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</si>
  <si>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</si>
  <si>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</si>
  <si>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</si>
  <si>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</si>
  <si>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</si>
  <si>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</si>
  <si>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</si>
  <si>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</si>
  <si>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</si>
  <si>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</si>
  <si>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</si>
  <si>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</si>
  <si>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</si>
  <si>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</si>
  <si>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</si>
  <si>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</si>
  <si>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</si>
  <si>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</si>
  <si>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</si>
  <si>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</si>
  <si>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</si>
  <si>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</si>
  <si>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</si>
  <si>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</si>
  <si>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</si>
  <si>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</si>
  <si>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</si>
  <si>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</si>
  <si>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</si>
  <si>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</si>
  <si>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</si>
  <si>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</si>
  <si>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</si>
  <si>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</si>
  <si>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</si>
  <si>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</si>
  <si>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</si>
  <si>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</si>
  <si>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</si>
  <si>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</si>
  <si>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</si>
  <si>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</si>
  <si>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</si>
  <si>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</si>
  <si>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</si>
  <si>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</si>
  <si>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</si>
  <si>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</si>
  <si>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</si>
  <si>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</si>
  <si>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</si>
  <si>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</si>
  <si>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</si>
  <si>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</si>
  <si>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</si>
  <si>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</si>
  <si>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</si>
  <si>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</si>
  <si>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</si>
  <si>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</si>
  <si>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</si>
  <si>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</si>
  <si>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</si>
  <si>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</si>
  <si>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</si>
  <si>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</si>
  <si>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</si>
  <si>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</si>
  <si>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</si>
  <si>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</si>
  <si>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</si>
  <si>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</si>
  <si>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</si>
  <si>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</si>
  <si>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</si>
  <si>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</si>
  <si>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</si>
  <si>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</si>
  <si>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</si>
  <si>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</si>
  <si>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</si>
  <si>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</si>
  <si>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</si>
  <si>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</si>
  <si>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</si>
  <si>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</si>
  <si>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</si>
  <si>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</si>
  <si>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</si>
  <si>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</si>
  <si>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</si>
  <si>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</si>
  <si>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</si>
  <si>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</si>
  <si>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</si>
  <si>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</si>
  <si>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</si>
  <si>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</si>
  <si>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</si>
  <si>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</si>
  <si>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</si>
  <si>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</si>
  <si>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</si>
  <si>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</si>
  <si>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</si>
  <si>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</si>
  <si>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</si>
  <si>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</si>
  <si>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</si>
  <si>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</si>
  <si>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</si>
  <si>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</si>
  <si>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</si>
  <si>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</si>
  <si>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</si>
  <si>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</si>
  <si>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</si>
  <si>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</si>
  <si>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</si>
  <si>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</si>
  <si>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</si>
  <si>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</si>
  <si>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</si>
  <si>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</si>
  <si>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</si>
  <si>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</si>
  <si>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</si>
  <si>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</si>
  <si>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</si>
  <si>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</si>
  <si>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</si>
  <si>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</si>
  <si>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</si>
  <si>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</si>
  <si>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</si>
  <si>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</si>
  <si>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</si>
  <si>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</si>
  <si>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</si>
  <si>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</si>
  <si>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</si>
  <si>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</si>
  <si>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</si>
  <si>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</si>
  <si>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</si>
  <si>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</si>
  <si>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</si>
  <si>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</si>
  <si>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</si>
  <si>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</si>
  <si>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</si>
  <si>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</si>
  <si>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</si>
  <si>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</si>
  <si>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</si>
  <si>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</si>
  <si>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</si>
  <si>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</si>
  <si>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</si>
  <si>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</si>
  <si>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</si>
  <si>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</si>
  <si>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</si>
  <si>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</si>
  <si>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</si>
  <si>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</si>
  <si>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</si>
  <si>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</si>
  <si>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</si>
  <si>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</si>
  <si>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</si>
  <si>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</si>
  <si>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</si>
  <si>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</si>
  <si>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</si>
  <si>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</si>
  <si>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</si>
  <si>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</si>
  <si>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</si>
  <si>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</si>
  <si>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</si>
  <si>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</si>
  <si>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</si>
  <si>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</si>
  <si>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</si>
  <si>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</si>
  <si>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</si>
  <si>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</si>
  <si>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</si>
  <si>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</si>
  <si>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</si>
  <si>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</si>
  <si>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</si>
  <si>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</si>
  <si>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</si>
  <si>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</si>
  <si>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</si>
  <si>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</si>
  <si>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</si>
  <si>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</si>
  <si>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</si>
  <si>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</si>
  <si>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</si>
  <si>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</si>
  <si>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</si>
  <si>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</si>
  <si>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</si>
  <si>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</si>
  <si>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</si>
  <si>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</si>
  <si>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</si>
  <si>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</si>
  <si>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</si>
  <si>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</si>
  <si>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</si>
  <si>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</si>
  <si>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</si>
  <si>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</si>
  <si>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</si>
  <si>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</si>
  <si>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</si>
  <si>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</si>
  <si>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</si>
  <si>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</si>
  <si>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</si>
  <si>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</si>
  <si>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</si>
  <si>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</si>
  <si>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</si>
  <si>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</si>
  <si>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</si>
  <si>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</si>
  <si>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</si>
  <si>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</si>
  <si>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</si>
  <si>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</si>
  <si>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</si>
  <si>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</si>
  <si>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</si>
  <si>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</si>
  <si>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</si>
  <si>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</si>
  <si>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</si>
  <si>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</si>
  <si>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</si>
  <si>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</si>
  <si>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</si>
  <si>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</si>
  <si>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</si>
  <si>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</si>
  <si>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</si>
  <si>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</si>
  <si>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</si>
  <si>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</si>
  <si>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</si>
  <si>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</si>
  <si>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</si>
  <si>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</si>
  <si>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</si>
  <si>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</si>
  <si>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</si>
  <si>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</si>
  <si>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</si>
  <si>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</si>
  <si>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</si>
  <si>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</si>
  <si>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</si>
  <si>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</si>
  <si>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</si>
  <si>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</si>
  <si>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</si>
  <si>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</si>
  <si>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</si>
  <si>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</si>
  <si>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</si>
  <si>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</si>
  <si>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</si>
  <si>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</si>
  <si>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</si>
  <si>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</si>
  <si>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</si>
  <si>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</si>
  <si>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</si>
  <si>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</si>
  <si>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</si>
  <si>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</si>
  <si>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</si>
  <si>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</si>
  <si>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</si>
  <si>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</si>
  <si>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</si>
  <si>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</si>
  <si>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</si>
  <si>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</si>
  <si>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</si>
  <si>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</si>
  <si>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</si>
  <si>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</si>
  <si>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</si>
  <si>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</si>
  <si>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</si>
  <si>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</si>
  <si>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</si>
  <si>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</si>
  <si>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</si>
  <si>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</si>
  <si>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</si>
  <si>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</si>
  <si>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</si>
  <si>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</si>
  <si>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</si>
  <si>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</si>
  <si>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</si>
  <si>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</si>
  <si>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</si>
  <si>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</si>
  <si>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</si>
  <si>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</si>
  <si>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</si>
  <si>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</si>
  <si>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</si>
  <si>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</si>
  <si>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</si>
  <si>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</si>
  <si>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</si>
  <si>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</si>
  <si>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</si>
  <si>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</si>
  <si>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</si>
  <si>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</si>
  <si>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</si>
  <si>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</si>
  <si>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</si>
  <si>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</si>
  <si>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</si>
  <si>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</si>
  <si>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</si>
  <si>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</si>
  <si>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</si>
  <si>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</si>
  <si>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</si>
  <si>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</si>
  <si>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</si>
  <si>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</si>
  <si>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</si>
  <si>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</si>
  <si>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</si>
  <si>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</si>
  <si>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</si>
  <si>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</si>
  <si>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</si>
  <si>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</si>
  <si>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</si>
  <si>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</si>
  <si>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</si>
  <si>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</si>
  <si>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</si>
  <si>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</si>
  <si>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</si>
  <si>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</si>
  <si>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</si>
  <si>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</si>
  <si>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</si>
  <si>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</si>
  <si>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</si>
  <si>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</si>
  <si>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</si>
  <si>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</si>
  <si>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</si>
  <si>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</si>
  <si>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</si>
  <si>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</si>
  <si>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</si>
  <si>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</si>
  <si>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</si>
  <si>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</si>
  <si>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</si>
  <si>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</si>
  <si>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</si>
  <si>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</si>
  <si>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</si>
  <si>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</si>
  <si>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</si>
  <si>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</si>
  <si>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</si>
  <si>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</si>
  <si>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</si>
  <si>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</si>
  <si>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</si>
  <si>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</si>
  <si>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</si>
  <si>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</si>
  <si>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</si>
  <si>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</si>
  <si>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</si>
  <si>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</si>
  <si>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</si>
  <si>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</si>
  <si>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</si>
  <si>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</si>
  <si>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</si>
  <si>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</si>
  <si>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</si>
  <si>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</si>
  <si>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</si>
  <si>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</si>
  <si>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</si>
  <si>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</si>
  <si>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</si>
  <si>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</si>
  <si>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</si>
  <si>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</si>
  <si>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</si>
  <si>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</si>
  <si>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</si>
  <si>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</si>
  <si>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</si>
  <si>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</si>
  <si>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</si>
  <si>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</si>
  <si>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</si>
  <si>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</si>
  <si>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</si>
  <si>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</si>
  <si>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</si>
  <si>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</si>
  <si>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</si>
  <si>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</si>
  <si>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</si>
  <si>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</si>
  <si>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</si>
  <si>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</si>
  <si>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</si>
  <si>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</si>
  <si>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</si>
  <si>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</si>
  <si>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</si>
  <si>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</si>
  <si>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</si>
  <si>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</si>
  <si>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</si>
  <si>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</si>
  <si>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</si>
  <si>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</si>
  <si>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</si>
  <si>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</si>
  <si>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</si>
  <si>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</si>
  <si>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</si>
  <si>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</si>
  <si>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</si>
  <si>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</si>
  <si>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</si>
  <si>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</si>
  <si>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</si>
  <si>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</si>
  <si>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</si>
  <si>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</si>
  <si>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</si>
  <si>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</si>
  <si>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</si>
  <si>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</si>
  <si>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</si>
  <si>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</si>
  <si>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</si>
  <si>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</si>
  <si>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</si>
  <si>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</si>
  <si>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</si>
  <si>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</si>
  <si>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</si>
  <si>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</si>
  <si>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</si>
  <si>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</si>
  <si>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</si>
  <si>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</si>
  <si>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</si>
  <si>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</si>
  <si>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</si>
  <si>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</si>
  <si>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</si>
  <si>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</si>
  <si>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</si>
  <si>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</si>
  <si>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</si>
  <si>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</si>
  <si>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</si>
  <si>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</si>
  <si>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</si>
  <si>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</si>
  <si>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</si>
  <si>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</si>
  <si>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</si>
  <si>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</si>
  <si>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</si>
  <si>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</si>
  <si>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</si>
  <si>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</si>
  <si>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</si>
  <si>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</si>
  <si>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</si>
  <si>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</si>
  <si>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</si>
  <si>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</si>
  <si>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</si>
  <si>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</si>
  <si>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</si>
  <si>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</si>
  <si>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</si>
  <si>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</si>
  <si>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</si>
  <si>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</si>
  <si>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</si>
  <si>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</si>
  <si>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</si>
  <si>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</si>
  <si>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</si>
  <si>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</si>
  <si>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</si>
  <si>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</si>
  <si>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</si>
  <si>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</si>
  <si>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</si>
  <si>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</si>
  <si>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</si>
  <si>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</si>
  <si>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</si>
  <si>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</si>
  <si>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</si>
  <si>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</si>
  <si>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</si>
  <si>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</si>
  <si>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</si>
  <si>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</si>
  <si>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</si>
  <si>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</si>
  <si>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</si>
  <si>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</si>
  <si>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</si>
  <si>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</si>
  <si>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</si>
  <si>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</si>
  <si>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</si>
  <si>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</si>
  <si>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</si>
  <si>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</si>
  <si>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</si>
  <si>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</si>
  <si>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</si>
  <si>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</si>
  <si>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</si>
  <si>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</si>
  <si>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</si>
  <si>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</si>
  <si>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</si>
  <si>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</si>
  <si>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</si>
  <si>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</si>
  <si>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</si>
  <si>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</si>
  <si>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</si>
  <si>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</si>
  <si>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</si>
  <si>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</si>
  <si>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</si>
  <si>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</si>
  <si>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</si>
  <si>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</si>
  <si>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</si>
  <si>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</si>
  <si>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</si>
  <si>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</si>
  <si>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</si>
  <si>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</si>
  <si>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</si>
  <si>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</si>
  <si>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</si>
  <si>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</si>
  <si>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</si>
  <si>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</si>
  <si>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</si>
  <si>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</si>
  <si>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</si>
  <si>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</si>
  <si>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</si>
  <si>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</si>
  <si>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</si>
  <si>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</si>
  <si>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</si>
  <si>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</si>
  <si>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</si>
  <si>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</si>
  <si>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</si>
  <si>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</si>
  <si>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</si>
  <si>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</si>
  <si>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</si>
  <si>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</si>
  <si>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</si>
  <si>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</si>
  <si>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</si>
  <si>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</si>
  <si>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</si>
  <si>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</si>
  <si>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</si>
  <si>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</si>
  <si>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</si>
  <si>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</si>
  <si>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</si>
  <si>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</si>
  <si>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</si>
  <si>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</si>
  <si>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</si>
  <si>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</si>
  <si>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</si>
  <si>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</si>
  <si>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</si>
  <si>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</si>
  <si>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</si>
  <si>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</si>
  <si>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</si>
  <si>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</si>
  <si>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</si>
  <si>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</si>
  <si>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</si>
  <si>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</si>
  <si>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</si>
  <si>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</si>
  <si>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</si>
  <si>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</si>
  <si>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</si>
  <si>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</si>
  <si>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</si>
  <si>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</si>
  <si>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</si>
  <si>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</si>
  <si>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</si>
  <si>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</si>
  <si>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</si>
  <si>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</si>
  <si>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</si>
  <si>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</si>
  <si>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</si>
  <si>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</si>
  <si>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</si>
  <si>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</si>
  <si>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</si>
  <si>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</si>
  <si>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</si>
  <si>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</si>
  <si>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</si>
  <si>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</si>
  <si>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</si>
  <si>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</si>
  <si>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</si>
  <si>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</si>
  <si>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</si>
  <si>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</si>
  <si>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</si>
  <si>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</si>
  <si>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</si>
  <si>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</si>
  <si>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</si>
  <si>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</si>
  <si>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</si>
  <si>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</si>
  <si>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</si>
  <si>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</si>
  <si>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</si>
  <si>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</si>
  <si>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</si>
  <si>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</si>
  <si>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</si>
  <si>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</si>
  <si>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</si>
  <si>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</si>
  <si>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</si>
  <si>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</si>
  <si>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</si>
  <si>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</si>
  <si>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</si>
  <si>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</si>
  <si>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</si>
  <si>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</si>
  <si>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</si>
  <si>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</si>
  <si>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</si>
  <si>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</si>
  <si>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</si>
  <si>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</si>
  <si>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</si>
  <si>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</si>
  <si>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</si>
  <si>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</si>
  <si>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</si>
  <si>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</si>
  <si>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</si>
  <si>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</si>
  <si>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</si>
  <si>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</si>
  <si>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</si>
  <si>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</si>
  <si>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</si>
  <si>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</si>
  <si>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</si>
  <si>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</si>
  <si>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</si>
  <si>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</si>
  <si>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</si>
  <si>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</si>
  <si>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</si>
  <si>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</si>
  <si>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</si>
  <si>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</si>
  <si>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</si>
  <si>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</si>
  <si>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</si>
  <si>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</si>
  <si>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</si>
  <si>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</si>
  <si>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</si>
  <si>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</si>
  <si>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</si>
  <si>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</si>
  <si>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</si>
  <si>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</si>
  <si>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</si>
  <si>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</si>
  <si>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</si>
  <si>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</si>
  <si>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</si>
  <si>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</si>
  <si>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</si>
  <si>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</si>
  <si>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</si>
  <si>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</si>
  <si>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</si>
  <si>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</si>
  <si>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</si>
  <si>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</si>
  <si>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</si>
  <si>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</si>
  <si>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</si>
  <si>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</si>
  <si>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</si>
  <si>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</si>
  <si>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</si>
  <si>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</si>
  <si>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</si>
  <si>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</si>
  <si>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</si>
  <si>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</si>
  <si>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</si>
  <si>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</si>
  <si>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</si>
  <si>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</si>
  <si>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</si>
  <si>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</si>
  <si>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</si>
  <si>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</si>
  <si>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</si>
  <si>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</si>
  <si>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</si>
  <si>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</si>
  <si>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</si>
  <si>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</si>
  <si>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</si>
  <si>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</si>
  <si>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</si>
  <si>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</si>
  <si>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</si>
  <si>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</si>
  <si>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</si>
  <si>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</si>
  <si>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</si>
  <si>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</si>
  <si>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</si>
  <si>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</si>
  <si>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</si>
  <si>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</si>
  <si>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</si>
  <si>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</si>
  <si>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</si>
  <si>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</si>
  <si>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</si>
  <si>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</si>
  <si>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</si>
  <si>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</si>
  <si>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</si>
  <si>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</si>
  <si>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</si>
  <si>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</si>
  <si>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</si>
  <si>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</si>
  <si>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</si>
  <si>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</si>
  <si>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</si>
  <si>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</si>
  <si>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</si>
  <si>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</si>
  <si>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</si>
  <si>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</si>
  <si>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</si>
  <si>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</si>
  <si>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</si>
  <si>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</si>
  <si>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</si>
  <si>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</si>
  <si>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</si>
  <si>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</si>
  <si>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</si>
  <si>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</si>
  <si>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</si>
  <si>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</si>
  <si>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</si>
  <si>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</si>
  <si>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</si>
  <si>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</si>
  <si>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</si>
  <si>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</si>
  <si>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</si>
  <si>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</si>
  <si>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</si>
  <si>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</si>
  <si>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</si>
  <si>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</si>
  <si>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</si>
  <si>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</si>
  <si>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</si>
  <si>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</si>
  <si>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</si>
  <si>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</si>
  <si>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</si>
  <si>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</si>
  <si>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</si>
  <si>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</si>
  <si>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</si>
  <si>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</si>
  <si>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</si>
  <si>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</si>
  <si>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</si>
  <si>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</si>
  <si>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</si>
  <si>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</si>
  <si>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</si>
  <si>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</si>
  <si>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</si>
  <si>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</si>
  <si>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</si>
  <si>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</si>
  <si>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</si>
  <si>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</si>
  <si>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</si>
  <si>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</si>
  <si>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</si>
  <si>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</si>
  <si>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</si>
  <si>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</si>
  <si>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</si>
  <si>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</si>
  <si>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</si>
  <si>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</si>
  <si>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</si>
  <si>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</si>
  <si>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</si>
  <si>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</si>
  <si>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</si>
  <si>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</si>
  <si>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</si>
  <si>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</si>
  <si>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</si>
  <si>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</si>
  <si>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</si>
  <si>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</si>
  <si>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</si>
  <si>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</si>
  <si>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</si>
  <si>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</si>
  <si>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</si>
  <si>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</si>
  <si>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</si>
  <si>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</si>
  <si>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</si>
  <si>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</si>
  <si>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</si>
  <si>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</si>
  <si>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</si>
  <si>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</si>
  <si>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</si>
  <si>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</si>
  <si>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</si>
  <si>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</si>
  <si>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</si>
  <si>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</si>
  <si>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</si>
  <si>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</si>
  <si>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</si>
  <si>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</si>
  <si>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</si>
  <si>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</si>
  <si>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</si>
  <si>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</si>
  <si>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</si>
  <si>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</si>
  <si>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</si>
  <si>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</si>
  <si>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</si>
  <si>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</si>
  <si>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</si>
  <si>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</si>
  <si>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</si>
  <si>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</si>
  <si>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</si>
  <si>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</si>
  <si>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</si>
  <si>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</si>
  <si>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</si>
  <si>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</si>
  <si>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</si>
  <si>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</si>
  <si>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</si>
  <si>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</si>
  <si>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</si>
  <si>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</si>
  <si>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</si>
  <si>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</si>
  <si>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</si>
  <si>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</si>
  <si>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</si>
  <si>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</si>
  <si>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</si>
  <si>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</si>
  <si>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</si>
  <si>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</si>
  <si>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</si>
  <si>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</si>
  <si>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</si>
  <si>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</si>
  <si>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</si>
  <si>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</si>
  <si>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</si>
  <si>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</si>
  <si>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</si>
  <si>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</si>
  <si>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</si>
  <si>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</si>
  <si>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</si>
  <si>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</si>
  <si>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</si>
  <si>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</si>
  <si>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</si>
  <si>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</si>
  <si>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</si>
  <si>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</si>
  <si>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</si>
  <si>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</si>
  <si>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</si>
  <si>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</si>
  <si>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</si>
  <si>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</si>
  <si>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</si>
  <si>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</si>
  <si>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</si>
  <si>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</si>
  <si>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</si>
  <si>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</si>
  <si>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</si>
  <si>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</si>
  <si>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</si>
  <si>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</si>
  <si>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</si>
  <si>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</si>
  <si>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</si>
  <si>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</si>
  <si>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</si>
  <si>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</si>
  <si>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</si>
  <si>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</si>
  <si>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</si>
  <si>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</si>
  <si>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</si>
  <si>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</si>
  <si>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</si>
  <si>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</si>
  <si>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</si>
  <si>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</si>
  <si>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</si>
  <si>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</si>
  <si>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</si>
  <si>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</si>
  <si>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</si>
  <si>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</si>
  <si>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</si>
  <si>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</si>
  <si>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</si>
  <si>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</si>
  <si>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</si>
  <si>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</si>
  <si>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</si>
  <si>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</si>
  <si>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</si>
  <si>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</si>
  <si>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</si>
  <si>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</si>
  <si>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</si>
  <si>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</si>
  <si>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</si>
  <si>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</si>
  <si>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</si>
  <si>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</si>
  <si>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</si>
  <si>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</si>
  <si>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</si>
  <si>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</si>
  <si>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</si>
  <si>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</si>
  <si>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</si>
  <si>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</si>
  <si>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</si>
  <si>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</si>
  <si>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</si>
  <si>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</si>
  <si>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</si>
  <si>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</si>
  <si>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</si>
  <si>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</si>
  <si>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</si>
  <si>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</si>
  <si>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</si>
  <si>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</si>
  <si>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</si>
  <si>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</si>
  <si>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</si>
  <si>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</si>
  <si>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</si>
  <si>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</si>
  <si>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</si>
  <si>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</si>
  <si>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</si>
  <si>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</si>
  <si>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</si>
  <si>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</si>
  <si>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</si>
  <si>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</si>
  <si>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</si>
  <si>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</si>
  <si>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</si>
  <si>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</si>
  <si>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</si>
  <si>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</si>
  <si>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</si>
  <si>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</si>
  <si>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</si>
  <si>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</si>
  <si>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</si>
  <si>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</si>
  <si>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</si>
  <si>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</si>
  <si>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</si>
  <si>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</si>
  <si>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</si>
  <si>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</si>
  <si>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</si>
  <si>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</si>
  <si>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</si>
  <si>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</si>
  <si>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</si>
  <si>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</si>
  <si>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</si>
  <si>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</si>
  <si>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</si>
  <si>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</si>
  <si>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</si>
  <si>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</si>
  <si>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</si>
  <si>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</si>
  <si>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</si>
  <si>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</si>
  <si>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</si>
  <si>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</si>
  <si>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</si>
  <si>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</si>
  <si>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</si>
  <si>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</si>
  <si>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</si>
  <si>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</si>
  <si>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</si>
  <si>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</si>
  <si>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</si>
  <si>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</si>
  <si>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</si>
  <si>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</si>
  <si>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</si>
  <si>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</si>
  <si>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</si>
  <si>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</si>
  <si>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</si>
  <si>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</si>
  <si>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</si>
  <si>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</si>
  <si>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</si>
  <si>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</si>
  <si>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</si>
  <si>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</si>
  <si>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</si>
  <si>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</si>
  <si>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</si>
  <si>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</si>
  <si>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</si>
  <si>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</si>
  <si>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</si>
  <si>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</si>
  <si>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</si>
  <si>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</si>
  <si>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</si>
  <si>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</si>
  <si>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</si>
  <si>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</si>
  <si>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</si>
  <si>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</si>
  <si>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</si>
  <si>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</si>
  <si>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</si>
  <si>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</si>
  <si>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</si>
  <si>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</si>
  <si>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</si>
  <si>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</si>
  <si>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</si>
  <si>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</si>
  <si>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</si>
  <si>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</si>
  <si>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</si>
  <si>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</si>
  <si>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</si>
  <si>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</si>
  <si>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</si>
  <si>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</si>
  <si>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</si>
  <si>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</si>
  <si>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</si>
  <si>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</si>
  <si>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</si>
  <si>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</si>
  <si>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</si>
  <si>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</si>
  <si>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</si>
  <si>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</si>
  <si>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</si>
  <si>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</si>
  <si>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</si>
  <si>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</si>
  <si>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</si>
  <si>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</si>
  <si>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</si>
  <si>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</si>
  <si>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</si>
  <si>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</si>
  <si>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</si>
  <si>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</si>
  <si>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</si>
  <si>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</si>
  <si>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</si>
  <si>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</si>
  <si>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</si>
  <si>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</si>
  <si>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</si>
  <si>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</si>
  <si>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</si>
  <si>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</si>
  <si>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</si>
  <si>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</si>
  <si>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</si>
  <si>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</si>
  <si>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</si>
  <si>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</si>
  <si>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</si>
  <si>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</si>
  <si>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</si>
  <si>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</si>
  <si>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</si>
  <si>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</si>
  <si>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</si>
  <si>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</si>
  <si>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</si>
  <si>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</si>
  <si>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</si>
  <si>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</si>
  <si>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</si>
  <si>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</si>
  <si>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</si>
  <si>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</si>
  <si>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</si>
  <si>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</si>
  <si>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</si>
  <si>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</si>
  <si>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</si>
  <si>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</si>
  <si>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</si>
  <si>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</si>
  <si>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</si>
  <si>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</si>
  <si>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</si>
  <si>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</si>
  <si>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</si>
  <si>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</si>
  <si>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</si>
  <si>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</si>
  <si>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</si>
  <si>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</si>
  <si>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</si>
  <si>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</si>
  <si>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</si>
  <si>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</si>
  <si>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</si>
  <si>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</si>
  <si>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</si>
  <si>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</si>
  <si>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</si>
  <si>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</si>
  <si>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</si>
  <si>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</si>
  <si>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</si>
  <si>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</si>
  <si>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</si>
  <si>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</si>
  <si>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</si>
  <si>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</si>
  <si>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</si>
  <si>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</si>
  <si>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</si>
  <si>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</si>
  <si>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</si>
  <si>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</si>
  <si>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</si>
  <si>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</si>
  <si>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</si>
  <si>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</si>
  <si>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</si>
  <si>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</si>
  <si>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</si>
  <si>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</si>
  <si>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</si>
  <si>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</si>
  <si>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</si>
  <si>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</si>
  <si>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</si>
  <si>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</si>
  <si>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</si>
  <si>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</si>
  <si>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</si>
  <si>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</si>
  <si>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</si>
  <si>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</si>
  <si>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</si>
  <si>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</si>
  <si>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</si>
  <si>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</si>
  <si>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</si>
  <si>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</si>
  <si>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</si>
  <si>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</si>
  <si>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</si>
  <si>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</si>
  <si>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</si>
  <si>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</si>
  <si>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</si>
  <si>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</si>
  <si>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</si>
  <si>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</si>
  <si>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</si>
  <si>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</si>
  <si>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</si>
  <si>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</si>
  <si>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</si>
  <si>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</si>
  <si>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</si>
  <si>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</si>
  <si>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</si>
  <si>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</si>
  <si>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</si>
  <si>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</si>
  <si>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</si>
  <si>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</si>
  <si>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</si>
  <si>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</si>
  <si>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</si>
  <si>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</si>
  <si>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</si>
  <si>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</si>
  <si>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</si>
  <si>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</si>
  <si>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</si>
  <si>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</si>
  <si>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</si>
  <si>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</si>
  <si>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</si>
  <si>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</si>
  <si>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</si>
  <si>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</si>
  <si>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</si>
  <si>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</si>
  <si>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</si>
  <si>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</si>
  <si>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</si>
  <si>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</si>
  <si>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</si>
  <si>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</si>
  <si>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</si>
  <si>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</si>
  <si>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</si>
  <si>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</si>
  <si>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</si>
  <si>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</si>
  <si>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</si>
  <si>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</si>
  <si>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</si>
  <si>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</si>
  <si>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</si>
  <si>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</si>
  <si>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</si>
  <si>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</si>
  <si>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</si>
  <si>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</si>
  <si>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</si>
  <si>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</si>
  <si>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</si>
  <si>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</si>
  <si>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</si>
  <si>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</si>
  <si>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</si>
  <si>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</si>
  <si>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</si>
  <si>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</si>
  <si>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</si>
  <si>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</si>
  <si>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</si>
  <si>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</si>
  <si>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</si>
  <si>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</si>
  <si>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</si>
  <si>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</si>
  <si>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</si>
  <si>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</si>
  <si>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</si>
  <si>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</si>
  <si>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</si>
  <si>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</si>
  <si>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</si>
  <si>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</si>
  <si>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</si>
  <si>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</si>
  <si>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</si>
  <si>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</si>
  <si>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</si>
  <si>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</si>
  <si>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</si>
  <si>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</si>
  <si>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</si>
  <si>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</si>
  <si>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</si>
  <si>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</si>
  <si>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</si>
  <si>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</si>
  <si>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</si>
  <si>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</si>
  <si>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</si>
  <si>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</si>
  <si>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</si>
  <si>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</si>
  <si>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</si>
  <si>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</si>
  <si>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</si>
  <si>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</si>
  <si>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</si>
  <si>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</si>
  <si>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</si>
  <si>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</si>
  <si>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</si>
  <si>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</si>
  <si>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</si>
  <si>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</si>
  <si>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</si>
  <si>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</si>
  <si>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</si>
  <si>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</si>
  <si>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</si>
  <si>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</si>
  <si>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</si>
  <si>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</si>
  <si>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</si>
  <si>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</si>
  <si>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</si>
  <si>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</si>
  <si>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</si>
  <si>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</si>
  <si>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</si>
  <si>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</si>
  <si>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</si>
  <si>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</si>
  <si>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</si>
  <si>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</si>
  <si>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</si>
  <si>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</si>
  <si>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</si>
  <si>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</si>
  <si>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</si>
  <si>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</si>
  <si>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</si>
  <si>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</si>
  <si>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</si>
  <si>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</si>
  <si>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</si>
  <si>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</si>
  <si>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</si>
  <si>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</si>
  <si>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</si>
  <si>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</si>
  <si>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</si>
  <si>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</si>
  <si>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</si>
  <si>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</si>
  <si>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</si>
  <si>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</si>
  <si>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</si>
  <si>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</si>
  <si>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</si>
  <si>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</si>
  <si>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</si>
  <si>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</si>
  <si>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</si>
  <si>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</si>
  <si>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</si>
  <si>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</si>
  <si>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</si>
  <si>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</si>
  <si>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</si>
  <si>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</si>
  <si>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</si>
  <si>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</si>
  <si>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</si>
  <si>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</si>
  <si>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</si>
  <si>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</si>
  <si>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</si>
  <si>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</si>
  <si>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</si>
  <si>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</si>
  <si>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</si>
  <si>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</si>
  <si>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</si>
  <si>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</si>
  <si>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</si>
  <si>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</si>
  <si>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</si>
  <si>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</si>
  <si>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</si>
  <si>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</si>
  <si>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</si>
  <si>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</si>
  <si>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</si>
  <si>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</si>
  <si>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</si>
  <si>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</si>
  <si>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</si>
  <si>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</si>
  <si>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</si>
  <si>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</si>
  <si>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</si>
  <si>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</si>
  <si>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</si>
  <si>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</si>
  <si>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</si>
  <si>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</si>
  <si>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</si>
  <si>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</si>
  <si>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</si>
  <si>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</si>
  <si>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</si>
  <si>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</si>
  <si>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</si>
  <si>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</si>
  <si>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</si>
  <si>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</si>
  <si>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</si>
  <si>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</si>
  <si>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</si>
  <si>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</si>
  <si>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</si>
  <si>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</si>
  <si>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</si>
  <si>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</si>
  <si>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</si>
  <si>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</si>
  <si>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</si>
  <si>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</si>
  <si>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</si>
  <si>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</si>
  <si>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</si>
  <si>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</si>
  <si>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</si>
  <si>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</si>
  <si>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</si>
  <si>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</si>
  <si>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</si>
  <si>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</si>
  <si>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</si>
  <si>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</si>
  <si>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</si>
  <si>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</si>
  <si>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</si>
  <si>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</si>
  <si>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</si>
  <si>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</si>
  <si>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</si>
  <si>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</si>
  <si>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</si>
  <si>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</si>
  <si>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</si>
  <si>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</si>
  <si>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</si>
  <si>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</si>
  <si>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</si>
  <si>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</si>
  <si>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</si>
  <si>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</si>
  <si>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</si>
  <si>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</si>
  <si>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</si>
  <si>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</si>
  <si>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</si>
  <si>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</si>
  <si>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</si>
  <si>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</si>
  <si>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</si>
  <si>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</si>
  <si>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</si>
  <si>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</si>
  <si>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</si>
  <si>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</si>
  <si>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</si>
  <si>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</si>
  <si>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</si>
  <si>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</si>
  <si>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</si>
  <si>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</si>
  <si>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</si>
  <si>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</si>
  <si>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</si>
  <si>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</si>
  <si>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</si>
  <si>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</si>
  <si>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</si>
  <si>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</si>
  <si>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</si>
  <si>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</si>
  <si>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</si>
  <si>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</si>
  <si>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</si>
  <si>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</si>
  <si>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</si>
  <si>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</si>
  <si>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</si>
  <si>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</si>
  <si>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</si>
  <si>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</si>
  <si>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</si>
  <si>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</si>
  <si>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</si>
  <si>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</si>
  <si>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</si>
  <si>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</si>
  <si>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</si>
  <si>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</si>
  <si>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</si>
  <si>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</si>
  <si>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</si>
  <si>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</si>
  <si>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</si>
  <si>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</si>
  <si>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</si>
  <si>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</si>
  <si>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</si>
  <si>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</si>
  <si>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</si>
  <si>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</si>
  <si>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</si>
  <si>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</si>
  <si>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</si>
  <si>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</si>
  <si>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</si>
  <si>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</si>
  <si>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</si>
  <si>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</si>
  <si>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</si>
  <si>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</si>
  <si>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</si>
  <si>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</si>
  <si>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</si>
  <si>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</si>
  <si>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</si>
  <si>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</si>
  <si>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</si>
  <si>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</si>
  <si>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</si>
  <si>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</si>
  <si>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</si>
  <si>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</si>
  <si>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</si>
  <si>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</si>
  <si>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</si>
  <si>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</si>
  <si>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</si>
  <si>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</si>
  <si>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</si>
  <si>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</si>
  <si>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</si>
  <si>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</si>
  <si>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</si>
  <si>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</si>
  <si>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</si>
  <si>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</si>
  <si>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</si>
  <si>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</si>
  <si>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</si>
  <si>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</si>
  <si>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</si>
  <si>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</si>
  <si>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</si>
  <si>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</si>
  <si>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</si>
  <si>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</si>
  <si>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</si>
  <si>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</si>
  <si>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</si>
  <si>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</si>
  <si>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</si>
  <si>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</si>
  <si>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</si>
  <si>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</si>
  <si>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</si>
  <si>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</si>
  <si>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</si>
  <si>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</si>
  <si>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</si>
  <si>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</si>
  <si>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</si>
  <si>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</si>
  <si>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</si>
  <si>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</si>
  <si>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</si>
  <si>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</si>
  <si>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</si>
  <si>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</si>
  <si>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</si>
  <si>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</si>
  <si>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</si>
  <si>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</si>
  <si>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</si>
  <si>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</si>
  <si>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</si>
  <si>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</si>
  <si>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</si>
  <si>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</si>
  <si>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</si>
  <si>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</si>
  <si>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</si>
  <si>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</si>
  <si>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</si>
  <si>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</si>
  <si>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</si>
  <si>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</si>
  <si>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</si>
  <si>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</si>
  <si>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</si>
  <si>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</si>
  <si>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</si>
  <si>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</si>
  <si>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</si>
  <si>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</si>
  <si>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</si>
  <si>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</si>
  <si>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</si>
  <si>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</si>
  <si>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</si>
  <si>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</si>
  <si>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</si>
  <si>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</si>
  <si>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</si>
  <si>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</si>
  <si>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</si>
  <si>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</si>
  <si>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</si>
  <si>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</si>
  <si>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</si>
  <si>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</si>
  <si>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</si>
  <si>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</si>
  <si>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</si>
  <si>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</si>
  <si>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</si>
  <si>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</si>
  <si>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</si>
  <si>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</si>
  <si>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</si>
  <si>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</si>
  <si>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</si>
  <si>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</si>
  <si>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</si>
  <si>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</si>
  <si>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</si>
  <si>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</si>
  <si>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</si>
  <si>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</si>
  <si>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</si>
  <si>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</si>
  <si>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</si>
  <si>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</si>
  <si>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</si>
  <si>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</si>
  <si>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</si>
  <si>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</si>
  <si>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</si>
  <si>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</si>
  <si>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</si>
  <si>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</si>
  <si>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</si>
  <si>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</si>
  <si>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</si>
  <si>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</si>
  <si>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</si>
  <si>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</si>
  <si>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</si>
  <si>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</si>
  <si>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</si>
  <si>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</si>
  <si>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</si>
  <si>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</si>
  <si>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</si>
  <si>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</si>
  <si>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</si>
  <si>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</si>
  <si>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</si>
  <si>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</si>
  <si>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</si>
  <si>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</si>
  <si>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</si>
  <si>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</si>
  <si>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</si>
  <si>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</si>
  <si>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</si>
  <si>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</si>
  <si>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</si>
  <si>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</si>
  <si>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</si>
  <si>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</si>
  <si>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</si>
  <si>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</si>
  <si>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</si>
  <si>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</si>
  <si>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</si>
  <si>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</si>
  <si>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</si>
  <si>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</si>
  <si>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</si>
  <si>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</si>
  <si>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</si>
  <si>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</si>
  <si>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</si>
  <si>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</si>
  <si>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</si>
  <si>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</si>
  <si>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</si>
  <si>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</si>
  <si>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</si>
  <si>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</si>
  <si>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</si>
  <si>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</si>
  <si>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</si>
  <si>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</si>
  <si>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</si>
  <si>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</si>
  <si>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</si>
  <si>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</si>
  <si>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</si>
  <si>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</si>
  <si>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</si>
  <si>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</si>
  <si>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</si>
  <si>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</si>
  <si>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</si>
  <si>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</si>
  <si>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</si>
  <si>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</si>
  <si>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</si>
  <si>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</si>
  <si>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</si>
  <si>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</si>
  <si>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</si>
  <si>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</si>
  <si>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</si>
  <si>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</si>
  <si>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</si>
  <si>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</si>
  <si>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</si>
  <si>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</si>
  <si>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</si>
  <si>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</si>
  <si>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</si>
  <si>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</si>
  <si>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</si>
  <si>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</si>
  <si>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</si>
  <si>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</si>
  <si>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</si>
  <si>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</si>
  <si>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</si>
  <si>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</si>
  <si>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</si>
  <si>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</si>
  <si>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</si>
  <si>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</si>
  <si>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</si>
  <si>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</si>
  <si>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</si>
  <si>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</si>
  <si>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</si>
  <si>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</si>
  <si>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</si>
  <si>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</si>
  <si>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</si>
  <si>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</si>
  <si>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</si>
  <si>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</si>
  <si>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</si>
  <si>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</si>
  <si>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</si>
  <si>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</si>
  <si>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</si>
  <si>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</si>
  <si>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</si>
  <si>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</si>
  <si>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</si>
  <si>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</si>
  <si>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</si>
  <si>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</si>
  <si>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</si>
  <si>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</si>
  <si>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</si>
  <si>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</si>
  <si>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</si>
  <si>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</si>
  <si>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</si>
  <si>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</si>
  <si>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</si>
  <si>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</si>
  <si>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</si>
  <si>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</si>
  <si>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</si>
  <si>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</si>
  <si>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</si>
  <si>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</si>
  <si>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</si>
  <si>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</si>
  <si>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</si>
  <si>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</si>
  <si>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</si>
  <si>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</si>
  <si>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</si>
  <si>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</si>
  <si>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</si>
  <si>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</si>
  <si>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</si>
  <si>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</si>
  <si>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</si>
  <si>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</si>
  <si>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</si>
  <si>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</si>
  <si>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</si>
  <si>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</si>
  <si>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</si>
  <si>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</si>
  <si>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</si>
  <si>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</si>
  <si>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</si>
  <si>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</si>
  <si>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</si>
  <si>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</si>
  <si>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</si>
  <si>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</si>
  <si>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</si>
  <si>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</si>
  <si>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</si>
  <si>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</si>
  <si>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</si>
  <si>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</si>
  <si>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</si>
  <si>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</si>
  <si>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</si>
  <si>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</si>
  <si>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</si>
  <si>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</si>
  <si>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</si>
  <si>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</si>
  <si>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</si>
  <si>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</si>
  <si>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</si>
  <si>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</si>
  <si>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</si>
  <si>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</si>
  <si>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</si>
  <si>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</si>
  <si>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</si>
  <si>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</si>
  <si>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</si>
  <si>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</si>
  <si>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</si>
  <si>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</si>
  <si>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</si>
  <si>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</si>
  <si>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</si>
  <si>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</si>
  <si>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</si>
  <si>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</si>
  <si>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</si>
  <si>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</si>
  <si>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</si>
  <si>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</si>
  <si>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</si>
  <si>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</si>
  <si>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</si>
  <si>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</si>
  <si>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</si>
  <si>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</si>
  <si>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</si>
  <si>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</si>
  <si>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</si>
  <si>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</si>
  <si>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</si>
  <si>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</si>
  <si>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</si>
  <si>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</si>
  <si>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</si>
  <si>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</si>
  <si>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</si>
  <si>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</si>
  <si>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</si>
  <si>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</si>
  <si>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</si>
  <si>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</si>
  <si>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</si>
  <si>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</si>
  <si>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</si>
  <si>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</si>
  <si>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</si>
  <si>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</si>
  <si>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</si>
  <si>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</si>
  <si>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</si>
  <si>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</si>
  <si>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</si>
  <si>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</si>
  <si>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</si>
  <si>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</si>
  <si>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</si>
  <si>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</si>
  <si>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</si>
  <si>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</si>
  <si>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</si>
  <si>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</si>
  <si>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</si>
  <si>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</si>
  <si>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</si>
  <si>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</si>
  <si>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</si>
  <si>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</si>
  <si>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</si>
  <si>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</si>
  <si>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</si>
  <si>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</si>
  <si>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</si>
  <si>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</si>
  <si>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</si>
  <si>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</si>
  <si>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</si>
  <si>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</si>
  <si>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</si>
  <si>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</si>
  <si>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</si>
  <si>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</si>
  <si>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</si>
  <si>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</si>
  <si>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</si>
  <si>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</si>
  <si>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</si>
  <si>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</si>
  <si>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</si>
  <si>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</si>
  <si>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</si>
  <si>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</si>
  <si>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</si>
  <si>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</si>
  <si>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</si>
  <si>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</si>
  <si>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</si>
  <si>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</si>
  <si>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</si>
  <si>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</si>
  <si>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</si>
  <si>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</si>
  <si>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</si>
  <si>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</si>
  <si>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</si>
  <si>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</si>
  <si>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</si>
  <si>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</si>
  <si>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</si>
  <si>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</si>
  <si>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</si>
  <si>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</si>
  <si>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</si>
  <si>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</si>
  <si>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</si>
  <si>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</si>
  <si>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</si>
  <si>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</si>
  <si>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</si>
  <si>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</si>
  <si>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</si>
  <si>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</si>
  <si>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</si>
  <si>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</si>
  <si>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</si>
  <si>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</si>
  <si>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</si>
  <si>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</si>
  <si>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</si>
  <si>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</si>
  <si>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</si>
  <si>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</si>
  <si>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</si>
  <si>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</si>
  <si>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</si>
  <si>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</si>
  <si>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</si>
  <si>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</si>
  <si>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</si>
  <si>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</si>
  <si>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</si>
  <si>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</si>
  <si>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</si>
  <si>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</si>
  <si>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</si>
  <si>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</si>
  <si>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</si>
  <si>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</si>
  <si>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</si>
  <si>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</si>
  <si>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</si>
  <si>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</si>
  <si>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</si>
  <si>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</si>
  <si>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</si>
  <si>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</si>
  <si>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</si>
  <si>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</si>
  <si>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</si>
  <si>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</si>
  <si>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</si>
  <si>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</si>
  <si>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</si>
  <si>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</si>
  <si>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</si>
  <si>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</si>
  <si>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</si>
  <si>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</si>
  <si>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</si>
  <si>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</si>
  <si>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</si>
  <si>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</si>
  <si>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</si>
  <si>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</si>
  <si>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</si>
  <si>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</si>
  <si>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</si>
  <si>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</si>
  <si>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</si>
  <si>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</si>
  <si>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</si>
  <si>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</si>
  <si>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</si>
  <si>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</si>
  <si>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</si>
  <si>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</si>
  <si>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</si>
  <si>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</si>
  <si>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</si>
  <si>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</si>
  <si>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</si>
  <si>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</si>
  <si>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</si>
  <si>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</si>
  <si>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</si>
  <si>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</si>
  <si>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</si>
  <si>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</si>
  <si>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</si>
  <si>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</si>
  <si>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</si>
  <si>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</si>
  <si>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</si>
  <si>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</si>
  <si>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</si>
  <si>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</si>
  <si>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</si>
  <si>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</si>
  <si>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</si>
  <si>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</si>
  <si>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</si>
  <si>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</si>
  <si>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</si>
  <si>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</si>
  <si>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</si>
  <si>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</si>
  <si>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</si>
  <si>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</si>
  <si>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</si>
  <si>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</si>
  <si>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</si>
  <si>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</si>
  <si>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</si>
  <si>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</si>
  <si>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</si>
  <si>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</si>
  <si>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</si>
  <si>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</si>
  <si>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</si>
  <si>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</si>
  <si>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</si>
  <si>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</si>
  <si>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</si>
  <si>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</si>
  <si>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</si>
  <si>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</si>
  <si>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</si>
  <si>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</si>
  <si>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</si>
  <si>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</si>
  <si>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</si>
  <si>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</si>
  <si>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</si>
  <si>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</si>
  <si>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</si>
  <si>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</si>
  <si>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</si>
  <si>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</si>
  <si>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</si>
  <si>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</si>
  <si>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</si>
  <si>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</si>
  <si>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</si>
  <si>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</si>
  <si>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</si>
  <si>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</si>
  <si>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</si>
  <si>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</si>
  <si>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</si>
  <si>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</si>
  <si>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</si>
  <si>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</si>
  <si>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</si>
  <si>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</si>
  <si>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</si>
  <si>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</si>
  <si>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</si>
  <si>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</si>
  <si>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</si>
  <si>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</si>
  <si>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</si>
  <si>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</si>
  <si>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</si>
  <si>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</si>
  <si>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</si>
  <si>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</si>
  <si>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</si>
  <si>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</si>
  <si>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</si>
  <si>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</si>
  <si>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</si>
  <si>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</si>
  <si>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</si>
  <si>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</si>
  <si>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</si>
  <si>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</si>
  <si>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</si>
  <si>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</si>
  <si>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</si>
  <si>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</si>
  <si>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</si>
  <si>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</si>
  <si>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</si>
  <si>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</si>
  <si>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</si>
  <si>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</si>
  <si>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</si>
  <si>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</si>
  <si>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</si>
  <si>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</si>
  <si>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</si>
  <si>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</si>
  <si>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</si>
  <si>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</si>
  <si>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</si>
  <si>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</si>
  <si>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</si>
  <si>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</si>
  <si>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</si>
  <si>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</si>
  <si>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</si>
  <si>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</si>
  <si>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</si>
  <si>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</si>
  <si>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</si>
  <si>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</si>
  <si>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</si>
  <si>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</si>
  <si>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</si>
  <si>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</si>
  <si>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</si>
  <si>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</si>
  <si>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</si>
  <si>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</si>
  <si>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</si>
  <si>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</si>
  <si>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</si>
  <si>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</si>
  <si>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</si>
  <si>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</si>
  <si>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</si>
  <si>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</si>
  <si>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</si>
  <si>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</si>
  <si>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</si>
  <si>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</si>
  <si>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</si>
  <si>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</si>
  <si>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</si>
  <si>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</si>
  <si>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</si>
  <si>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</si>
  <si>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</si>
  <si>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</si>
  <si>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</si>
  <si>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</si>
  <si>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</si>
  <si>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</si>
  <si>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</si>
  <si>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</si>
  <si>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</si>
  <si>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</si>
  <si>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</si>
  <si>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</si>
  <si>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</si>
  <si>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</si>
  <si>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</si>
  <si>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</si>
  <si>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</si>
  <si>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</si>
  <si>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</si>
  <si>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</si>
  <si>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</si>
  <si>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</si>
  <si>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</si>
  <si>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</si>
  <si>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</si>
  <si>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</si>
  <si>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</si>
  <si>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</si>
  <si>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</si>
  <si>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</si>
  <si>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</si>
  <si>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</si>
  <si>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</si>
  <si>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</si>
  <si>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</si>
  <si>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</si>
  <si>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</si>
  <si>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</si>
  <si>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</si>
  <si>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</si>
  <si>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</si>
  <si>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</si>
  <si>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</si>
  <si>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</si>
  <si>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</si>
  <si>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</si>
  <si>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</si>
  <si>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</si>
  <si>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</si>
  <si>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</si>
  <si>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</si>
  <si>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</si>
  <si>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</si>
  <si>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</si>
  <si>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</si>
  <si>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</si>
  <si>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</si>
  <si>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</si>
  <si>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</si>
  <si>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</si>
  <si>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</si>
  <si>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</si>
  <si>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</si>
  <si>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</si>
  <si>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</si>
  <si>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</si>
  <si>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</si>
  <si>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</si>
  <si>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</si>
  <si>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</si>
  <si>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</si>
  <si>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</si>
  <si>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</si>
  <si>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</si>
  <si>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</si>
  <si>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</si>
  <si>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</si>
  <si>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</si>
  <si>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</si>
  <si>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</si>
  <si>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</si>
  <si>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</si>
  <si>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</si>
  <si>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</si>
  <si>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</si>
  <si>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</si>
  <si>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</si>
  <si>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</si>
  <si>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</si>
  <si>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</si>
  <si>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</si>
  <si>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</si>
  <si>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</si>
  <si>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</si>
  <si>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</si>
  <si>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</si>
  <si>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</si>
  <si>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</si>
  <si>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</si>
  <si>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</si>
  <si>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</si>
  <si>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</si>
  <si>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</si>
  <si>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</si>
  <si>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</si>
  <si>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</si>
  <si>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</si>
  <si>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</si>
  <si>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</si>
  <si>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</si>
  <si>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</si>
  <si>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</si>
  <si>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</si>
  <si>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</si>
  <si>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</si>
  <si>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</si>
  <si>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</si>
  <si>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</si>
  <si>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</si>
  <si>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</si>
  <si>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</si>
  <si>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</si>
  <si>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</si>
  <si>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</si>
  <si>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</si>
  <si>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</si>
  <si>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</si>
  <si>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</si>
  <si>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</si>
  <si>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</si>
  <si>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</si>
  <si>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</si>
  <si>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</si>
  <si>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</si>
  <si>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</si>
  <si>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</si>
  <si>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</si>
  <si>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</si>
  <si>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</si>
  <si>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</si>
  <si>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</si>
  <si>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</si>
  <si>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</si>
  <si>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</si>
  <si>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</si>
  <si>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</si>
  <si>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</si>
  <si>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</si>
  <si>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</si>
  <si>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</si>
  <si>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</si>
  <si>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</si>
  <si>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</si>
  <si>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</si>
  <si>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</si>
  <si>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</si>
  <si>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</si>
  <si>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</si>
  <si>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</si>
  <si>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</si>
  <si>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</si>
  <si>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</si>
  <si>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</si>
  <si>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</si>
  <si>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</si>
  <si>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</si>
  <si>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</si>
  <si>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</si>
  <si>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</si>
  <si>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</si>
  <si>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</si>
  <si>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</si>
  <si>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</si>
  <si>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</si>
  <si>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</si>
  <si>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</si>
  <si>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</si>
  <si>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</si>
  <si>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</si>
  <si>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</si>
  <si>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</si>
  <si>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</si>
  <si>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</si>
  <si>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</si>
  <si>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</si>
  <si>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</si>
  <si>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</si>
  <si>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</si>
  <si>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</si>
  <si>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</si>
  <si>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</si>
  <si>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</si>
  <si>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</si>
  <si>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</si>
  <si>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</si>
  <si>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</si>
  <si>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</si>
  <si>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</si>
  <si>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</si>
  <si>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</si>
  <si>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</si>
  <si>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</si>
  <si>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</si>
  <si>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</si>
  <si>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</si>
  <si>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</si>
  <si>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</si>
  <si>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</si>
  <si>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</si>
  <si>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</si>
  <si>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</si>
  <si>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</si>
  <si>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</si>
  <si>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</si>
  <si>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</si>
  <si>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</si>
  <si>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</si>
  <si>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</si>
  <si>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</si>
  <si>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</si>
  <si>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</si>
  <si>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</si>
  <si>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</si>
  <si>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</si>
  <si>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</si>
  <si>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</si>
  <si>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</si>
  <si>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</si>
  <si>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</si>
  <si>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</si>
  <si>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</si>
  <si>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</si>
  <si>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</si>
  <si>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</si>
  <si>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</si>
  <si>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</si>
  <si>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</si>
  <si>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</si>
  <si>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</si>
  <si>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</si>
  <si>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</si>
  <si>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</si>
  <si>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</si>
  <si>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</si>
  <si>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</si>
  <si>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</si>
  <si>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</si>
  <si>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</si>
  <si>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</si>
  <si>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</si>
  <si>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</si>
  <si>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</si>
  <si>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</si>
  <si>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</si>
  <si>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</si>
  <si>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</si>
  <si>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</si>
  <si>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</si>
  <si>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</si>
  <si>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</si>
  <si>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</si>
  <si>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</si>
  <si>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</si>
  <si>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</si>
  <si>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</si>
  <si>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</si>
  <si>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</si>
  <si>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</si>
  <si>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</si>
  <si>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</si>
  <si>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</si>
  <si>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</si>
  <si>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</si>
  <si>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</si>
  <si>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</si>
  <si>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</si>
  <si>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</si>
  <si>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</si>
  <si>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</si>
  <si>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</si>
  <si>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</si>
  <si>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</si>
  <si>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</si>
  <si>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</si>
  <si>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</si>
  <si>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</si>
  <si>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</si>
  <si>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</si>
  <si>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</si>
  <si>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</si>
  <si>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</si>
  <si>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</si>
  <si>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</si>
  <si>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</si>
  <si>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</si>
  <si>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</si>
  <si>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</si>
  <si>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</si>
  <si>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</si>
  <si>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</si>
  <si>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</si>
  <si>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</si>
  <si>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</si>
  <si>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</si>
  <si>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</si>
  <si>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</si>
  <si>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</si>
  <si>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</si>
  <si>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</si>
  <si>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</si>
  <si>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</si>
  <si>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</si>
  <si>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</si>
  <si>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</si>
  <si>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</si>
  <si>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</si>
  <si>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</si>
  <si>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</si>
  <si>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</si>
  <si>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</si>
  <si>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</si>
  <si>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</si>
  <si>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</si>
  <si>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</si>
  <si>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</si>
  <si>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</si>
  <si>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</si>
  <si>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</si>
  <si>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</si>
  <si>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</si>
  <si>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</si>
  <si>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</si>
  <si>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</si>
  <si>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</si>
  <si>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</si>
  <si>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</si>
  <si>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</si>
  <si>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</si>
  <si>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</si>
  <si>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</si>
  <si>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</si>
  <si>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</si>
  <si>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</si>
  <si>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</si>
  <si>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</si>
  <si>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</si>
  <si>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</si>
  <si>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</si>
  <si>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</si>
  <si>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</si>
  <si>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</si>
  <si>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</si>
  <si>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</si>
  <si>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</si>
  <si>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</si>
  <si>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</si>
  <si>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</si>
  <si>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</si>
  <si>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</si>
  <si>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</si>
  <si>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</si>
  <si>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</si>
  <si>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</si>
  <si>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</si>
  <si>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</si>
  <si>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</si>
  <si>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</si>
  <si>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</si>
  <si>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</si>
  <si>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</si>
  <si>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</si>
  <si>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</si>
  <si>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</si>
  <si>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</si>
  <si>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</si>
  <si>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</si>
  <si>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</si>
  <si>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</si>
  <si>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</si>
  <si>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</si>
  <si>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</si>
  <si>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</si>
  <si>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</si>
  <si>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</si>
  <si>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</si>
  <si>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</si>
  <si>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</si>
  <si>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</si>
  <si>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</si>
  <si>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</si>
  <si>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</si>
  <si>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</si>
  <si>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</si>
  <si>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</si>
  <si>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</si>
  <si>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</si>
  <si>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</si>
  <si>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</si>
  <si>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</si>
  <si>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</si>
  <si>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</si>
  <si>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</si>
  <si>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</si>
  <si>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</si>
  <si>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</si>
  <si>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</si>
  <si>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</si>
  <si>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</si>
  <si>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</si>
  <si>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</si>
  <si>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</si>
  <si>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</si>
  <si>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</si>
  <si>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</si>
  <si>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</si>
  <si>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</si>
  <si>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</si>
  <si>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</si>
  <si>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</si>
  <si>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</si>
  <si>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</si>
  <si>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</si>
  <si>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</si>
  <si>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</si>
  <si>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</si>
  <si>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</si>
  <si>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</si>
  <si>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</si>
  <si>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</si>
  <si>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</si>
  <si>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</si>
  <si>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</si>
  <si>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</si>
  <si>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</si>
  <si>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</si>
  <si>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</si>
  <si>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</si>
  <si>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</si>
  <si>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</si>
  <si>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</si>
  <si>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</si>
  <si>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</si>
  <si>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</si>
  <si>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</si>
  <si>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</si>
  <si>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</si>
  <si>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</si>
  <si>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</si>
  <si>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</si>
  <si>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</si>
  <si>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</si>
  <si>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</si>
  <si>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</si>
  <si>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</si>
  <si>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</si>
  <si>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</si>
  <si>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</si>
  <si>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</si>
  <si>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</si>
  <si>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</si>
  <si>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</si>
  <si>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</si>
  <si>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</si>
  <si>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</si>
  <si>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</si>
  <si>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</si>
  <si>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</si>
  <si>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</si>
  <si>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</si>
  <si>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</si>
  <si>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</si>
  <si>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</si>
  <si>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</si>
  <si>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</si>
  <si>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</si>
  <si>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</si>
  <si>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</si>
  <si>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</si>
  <si>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</si>
  <si>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</si>
  <si>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</si>
  <si>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</si>
  <si>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</si>
  <si>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</si>
  <si>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</si>
  <si>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</si>
  <si>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</si>
  <si>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</si>
  <si>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</si>
  <si>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</si>
  <si>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</si>
  <si>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</si>
  <si>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</si>
  <si>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</si>
  <si>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</si>
  <si>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</si>
  <si>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</si>
  <si>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</si>
  <si>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</si>
  <si>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</si>
  <si>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</si>
  <si>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</si>
  <si>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</si>
  <si>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</si>
  <si>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</si>
  <si>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</si>
  <si>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</si>
  <si>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</si>
  <si>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</si>
  <si>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</si>
  <si>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</si>
  <si>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</si>
  <si>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</si>
  <si>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</si>
  <si>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</si>
  <si>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</si>
  <si>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</si>
  <si>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</si>
  <si>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</si>
  <si>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</si>
  <si>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</si>
  <si>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</si>
  <si>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</si>
  <si>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</si>
  <si>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</si>
  <si>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</si>
  <si>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</si>
  <si>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</si>
  <si>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</si>
  <si>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</si>
  <si>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</si>
  <si>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</si>
  <si>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</si>
  <si>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</si>
  <si>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</si>
  <si>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</si>
  <si>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</si>
  <si>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</si>
  <si>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</si>
  <si>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</si>
  <si>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</si>
  <si>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</si>
  <si>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</si>
  <si>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</si>
  <si>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</si>
  <si>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</si>
  <si>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</si>
  <si>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</si>
  <si>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</si>
  <si>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</si>
  <si>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</si>
  <si>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</si>
  <si>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</si>
  <si>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</si>
  <si>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</si>
  <si>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</si>
  <si>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</si>
  <si>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</si>
  <si>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</si>
  <si>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</si>
  <si>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</si>
  <si>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</si>
  <si>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</si>
  <si>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</si>
  <si>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</si>
  <si>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</si>
  <si>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</si>
  <si>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</si>
  <si>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</si>
  <si>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</si>
  <si>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</si>
  <si>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</si>
  <si>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</si>
  <si>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</si>
  <si>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</si>
  <si>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</si>
  <si>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</si>
  <si>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</si>
  <si>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</si>
  <si>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</si>
  <si>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</si>
  <si>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</si>
  <si>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</si>
  <si>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</si>
  <si>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</si>
  <si>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</si>
  <si>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</si>
  <si>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</si>
  <si>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</si>
  <si>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</si>
  <si>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</si>
  <si>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</si>
  <si>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</si>
  <si>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</si>
  <si>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</si>
  <si>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</si>
  <si>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</si>
  <si>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</si>
  <si>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</si>
  <si>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</si>
  <si>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</si>
  <si>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</si>
  <si>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</si>
  <si>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</si>
  <si>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</si>
  <si>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</si>
  <si>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</si>
  <si>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</si>
  <si>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</si>
  <si>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</si>
  <si>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</si>
  <si>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</si>
  <si>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</si>
  <si>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</si>
  <si>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</si>
  <si>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</si>
  <si>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</si>
  <si>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</si>
  <si>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</si>
  <si>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</si>
  <si>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</si>
  <si>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</si>
  <si>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</si>
  <si>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</si>
  <si>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</si>
  <si>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</si>
  <si>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</si>
  <si>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</si>
  <si>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</si>
  <si>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</si>
  <si>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</si>
  <si>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</si>
  <si>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</si>
  <si>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</si>
  <si>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</si>
  <si>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</si>
  <si>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</si>
  <si>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</si>
  <si>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</si>
  <si>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</si>
  <si>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</si>
  <si>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</si>
  <si>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</si>
  <si>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</si>
  <si>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</si>
  <si>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</si>
  <si>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</si>
  <si>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</si>
  <si>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</si>
  <si>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</si>
  <si>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</si>
  <si>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</si>
  <si>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</si>
  <si>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</si>
  <si>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</si>
  <si>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</si>
  <si>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</si>
  <si>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</si>
  <si>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</si>
  <si>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</si>
  <si>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</si>
  <si>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</si>
  <si>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</si>
  <si>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</si>
  <si>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</si>
  <si>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</si>
  <si>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</si>
  <si>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</si>
  <si>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</si>
  <si>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</si>
  <si>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</si>
  <si>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</si>
  <si>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</si>
  <si>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</si>
  <si>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</si>
  <si>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</si>
  <si>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</si>
  <si>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</si>
  <si>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</si>
  <si>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</si>
  <si>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</si>
  <si>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</si>
  <si>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</si>
  <si>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</si>
  <si>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</si>
  <si>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</si>
  <si>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</si>
  <si>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</si>
  <si>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</si>
  <si>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</si>
  <si>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</si>
  <si>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</si>
  <si>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</si>
  <si>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</si>
  <si>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</si>
  <si>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</si>
  <si>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</si>
  <si>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</si>
  <si>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</si>
  <si>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</si>
  <si>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</si>
  <si>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</si>
  <si>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</si>
  <si>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</si>
  <si>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</si>
  <si>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</si>
  <si>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</si>
  <si>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</si>
  <si>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</si>
  <si>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</si>
  <si>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</si>
  <si>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</si>
  <si>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</si>
  <si>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</si>
  <si>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</si>
  <si>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</si>
  <si>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</si>
  <si>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</si>
  <si>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</si>
  <si>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</si>
  <si>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</si>
  <si>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</si>
  <si>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</si>
  <si>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</si>
  <si>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</si>
  <si>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</si>
  <si>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</si>
  <si>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</si>
  <si>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</si>
  <si>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</si>
  <si>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</si>
  <si>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</si>
  <si>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</si>
  <si>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</si>
  <si>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</si>
  <si>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</si>
  <si>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</si>
  <si>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</si>
  <si>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</si>
  <si>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</si>
  <si>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</si>
  <si>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</si>
  <si>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</si>
  <si>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</si>
  <si>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</si>
  <si>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</si>
  <si>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</si>
  <si>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</si>
  <si>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</si>
  <si>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</si>
  <si>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</si>
  <si>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</si>
  <si>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</si>
  <si>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</si>
  <si>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</si>
  <si>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</si>
  <si>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</si>
  <si>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</si>
  <si>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</si>
  <si>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</si>
  <si>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</si>
  <si>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</si>
  <si>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</si>
  <si>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</si>
  <si>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</si>
  <si>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</si>
  <si>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</si>
  <si>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</si>
  <si>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</si>
  <si>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</si>
  <si>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</si>
  <si>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</si>
  <si>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</si>
  <si>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</si>
  <si>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</si>
  <si>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</si>
  <si>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</si>
  <si>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</si>
  <si>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</si>
  <si>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</si>
  <si>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</si>
  <si>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</si>
  <si>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</si>
  <si>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</si>
  <si>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</si>
  <si>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</si>
  <si>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</si>
  <si>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</si>
  <si>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</si>
  <si>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</si>
  <si>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</si>
  <si>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</si>
  <si>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</si>
  <si>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</si>
  <si>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</si>
  <si>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</si>
  <si>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</si>
  <si>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</si>
  <si>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</si>
  <si>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</si>
  <si>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</si>
  <si>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</si>
  <si>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</si>
  <si>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</si>
  <si>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</si>
  <si>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</si>
  <si>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</si>
  <si>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</si>
  <si>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</si>
  <si>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</si>
  <si>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</si>
  <si>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</si>
  <si>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</si>
  <si>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</si>
  <si>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</si>
  <si>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</si>
  <si>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</si>
  <si>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</si>
  <si>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</si>
  <si>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</si>
  <si>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</si>
  <si>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</si>
  <si>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</si>
  <si>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</si>
  <si>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</si>
  <si>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</si>
  <si>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</si>
  <si>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</si>
  <si>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</si>
  <si>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</si>
  <si>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</si>
  <si>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</si>
  <si>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</si>
  <si>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</si>
  <si>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</si>
  <si>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</si>
  <si>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</si>
  <si>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</si>
  <si>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</si>
  <si>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</si>
  <si>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</si>
  <si>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</si>
  <si>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</si>
  <si>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</si>
  <si>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</si>
  <si>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</si>
  <si>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</si>
  <si>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</si>
  <si>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</si>
  <si>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</si>
  <si>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</si>
  <si>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</si>
  <si>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</si>
  <si>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</si>
  <si>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</si>
  <si>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</si>
  <si>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</si>
  <si>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</si>
  <si>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</si>
  <si>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</si>
  <si>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</si>
  <si>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</si>
  <si>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</si>
  <si>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</si>
  <si>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</si>
  <si>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</si>
  <si>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</si>
  <si>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</si>
  <si>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</si>
  <si>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</si>
  <si>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</si>
  <si>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</si>
  <si>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</si>
  <si>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</si>
  <si>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</si>
  <si>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</si>
  <si>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</si>
  <si>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</si>
  <si>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</si>
  <si>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</si>
  <si>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</si>
  <si>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</si>
  <si>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</si>
  <si>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</si>
  <si>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</si>
  <si>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</si>
  <si>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</si>
  <si>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</si>
  <si>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</si>
  <si>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</si>
  <si>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</si>
  <si>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</si>
  <si>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</si>
  <si>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</si>
  <si>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</si>
  <si>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</si>
  <si>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</si>
  <si>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</si>
  <si>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</si>
  <si>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</si>
  <si>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</si>
  <si>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</si>
  <si>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</si>
  <si>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</si>
  <si>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</si>
  <si>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</si>
  <si>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</si>
  <si>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</si>
  <si>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</si>
  <si>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</si>
  <si>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</si>
  <si>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</si>
  <si>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</si>
  <si>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</si>
  <si>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</si>
  <si>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</si>
  <si>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</si>
  <si>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</si>
  <si>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</si>
  <si>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</si>
  <si>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</si>
  <si>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</si>
  <si>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</si>
  <si>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</si>
  <si>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</si>
  <si>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</si>
  <si>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</si>
  <si>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</si>
  <si>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</si>
  <si>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</si>
  <si>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</si>
  <si>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</si>
  <si>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</si>
  <si>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</si>
  <si>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</si>
  <si>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</si>
  <si>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</si>
  <si>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</si>
  <si>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</si>
  <si>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</si>
  <si>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</si>
  <si>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</si>
  <si>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</si>
  <si>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</si>
  <si>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</si>
  <si>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</si>
  <si>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</si>
  <si>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</si>
  <si>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</si>
  <si>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</si>
  <si>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</si>
  <si>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</si>
  <si>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</si>
  <si>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</si>
  <si>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</si>
  <si>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</si>
  <si>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</si>
  <si>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</si>
  <si>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</si>
  <si>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</si>
  <si>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</si>
  <si>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</si>
  <si>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</si>
  <si>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</si>
  <si>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</si>
  <si>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</si>
  <si>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</si>
  <si>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</si>
  <si>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</si>
  <si>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</si>
  <si>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</si>
  <si>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</si>
  <si>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</si>
  <si>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</si>
  <si>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</si>
  <si>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</si>
  <si>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</si>
  <si>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</si>
  <si>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</si>
  <si>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</si>
  <si>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</si>
  <si>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</si>
  <si>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</si>
  <si>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</si>
  <si>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</si>
  <si>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</si>
  <si>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</si>
  <si>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</si>
  <si>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</si>
  <si>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</si>
  <si>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</si>
  <si>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</si>
  <si>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</si>
  <si>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</si>
  <si>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</si>
  <si>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</si>
  <si>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</si>
  <si>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</si>
  <si>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</si>
  <si>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</si>
  <si>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</si>
  <si>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</si>
  <si>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</si>
  <si>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</si>
  <si>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</si>
  <si>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</si>
  <si>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</si>
  <si>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</si>
  <si>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</si>
  <si>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</si>
  <si>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</si>
  <si>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</si>
  <si>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</si>
  <si>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</si>
  <si>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</si>
  <si>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</si>
  <si>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</si>
  <si>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</si>
  <si>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</si>
  <si>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</si>
  <si>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</si>
  <si>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</si>
  <si>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</si>
  <si>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</si>
  <si>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</si>
  <si>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</si>
  <si>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</si>
  <si>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</si>
  <si>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</si>
  <si>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</si>
  <si>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</si>
  <si>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</si>
  <si>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</si>
  <si>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</si>
  <si>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</si>
  <si>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</si>
  <si>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</si>
  <si>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</si>
  <si>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</si>
  <si>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</si>
  <si>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</si>
  <si>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</si>
  <si>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</si>
  <si>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</si>
  <si>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</si>
  <si>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</si>
  <si>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</si>
  <si>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</si>
  <si>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</si>
  <si>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</si>
  <si>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</si>
  <si>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</si>
  <si>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</si>
  <si>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</si>
  <si>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</si>
  <si>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</si>
  <si>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</si>
  <si>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</si>
  <si>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</si>
  <si>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</si>
  <si>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</si>
  <si>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</si>
  <si>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</si>
  <si>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</si>
  <si>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</si>
  <si>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</si>
  <si>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</si>
  <si>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</si>
  <si>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</si>
  <si>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</si>
  <si>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</si>
  <si>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</si>
  <si>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</si>
  <si>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</si>
  <si>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</si>
  <si>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</si>
  <si>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</si>
  <si>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</si>
  <si>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</si>
  <si>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</si>
  <si>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</si>
  <si>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</si>
  <si>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</si>
  <si>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</si>
  <si>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</si>
  <si>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</si>
  <si>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</si>
  <si>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</si>
  <si>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</si>
  <si>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</si>
  <si>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</si>
  <si>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</si>
  <si>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</si>
  <si>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</si>
  <si>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</si>
  <si>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</si>
  <si>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</si>
  <si>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</si>
  <si>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</si>
  <si>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</si>
  <si>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</si>
  <si>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</si>
  <si>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</si>
  <si>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</si>
  <si>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</si>
  <si>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</si>
  <si>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</si>
  <si>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</si>
  <si>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</si>
  <si>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</si>
  <si>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</si>
  <si>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</si>
  <si>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</si>
  <si>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</si>
  <si>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</si>
  <si>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</si>
  <si>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</si>
  <si>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</si>
  <si>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</si>
  <si>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</si>
  <si>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</si>
  <si>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</si>
  <si>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</si>
  <si>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</si>
  <si>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</si>
  <si>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</si>
  <si>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</si>
  <si>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</si>
  <si>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</si>
  <si>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</si>
  <si>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</si>
  <si>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</si>
  <si>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</si>
  <si>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</si>
  <si>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</si>
  <si>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</si>
  <si>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</si>
  <si>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</si>
  <si>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</si>
  <si>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</si>
  <si>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</si>
  <si>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</si>
  <si>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</si>
  <si>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</si>
  <si>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</si>
  <si>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</si>
  <si>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</si>
  <si>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</si>
  <si>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</si>
  <si>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</si>
  <si>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</si>
  <si>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</si>
  <si>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</si>
  <si>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</si>
  <si>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</si>
  <si>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</si>
  <si>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</si>
  <si>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</si>
  <si>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</si>
  <si>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</si>
  <si>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</si>
  <si>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</si>
  <si>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</si>
  <si>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</si>
  <si>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</si>
  <si>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</si>
  <si>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</si>
  <si>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</si>
  <si>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</si>
  <si>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</si>
  <si>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</si>
  <si>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</si>
  <si>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</si>
  <si>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</si>
  <si>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</si>
  <si>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</si>
  <si>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</si>
  <si>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</si>
  <si>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</si>
  <si>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</si>
  <si>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</si>
  <si>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</si>
  <si>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</si>
  <si>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</si>
  <si>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</si>
  <si>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</si>
  <si>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</si>
  <si>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</si>
  <si>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</si>
  <si>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</si>
  <si>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</si>
  <si>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</si>
  <si>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</si>
  <si>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</si>
  <si>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</si>
  <si>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</si>
  <si>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</si>
  <si>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</si>
  <si>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</si>
  <si>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</si>
  <si>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</si>
  <si>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</si>
  <si>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</si>
  <si>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</si>
  <si>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</si>
  <si>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</si>
  <si>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</si>
  <si>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</si>
  <si>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</si>
  <si>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</si>
  <si>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</si>
  <si>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</si>
  <si>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</si>
  <si>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</si>
  <si>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</si>
  <si>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</si>
  <si>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</si>
  <si>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</si>
  <si>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</si>
  <si>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</si>
  <si>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</si>
  <si>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</si>
  <si>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</si>
  <si>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</si>
  <si>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</si>
  <si>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</si>
  <si>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</si>
  <si>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</si>
  <si>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</si>
  <si>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</si>
  <si>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</si>
  <si>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</si>
  <si>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</si>
  <si>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</si>
  <si>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</si>
  <si>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</si>
  <si>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</si>
  <si>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</si>
  <si>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</si>
  <si>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</si>
  <si>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</si>
  <si>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</si>
  <si>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</si>
  <si>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</si>
  <si>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</si>
  <si>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</si>
  <si>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</si>
  <si>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</si>
  <si>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</si>
  <si>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</si>
  <si>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</si>
  <si>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</si>
  <si>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</si>
  <si>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</si>
  <si>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</si>
  <si>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</si>
  <si>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</si>
  <si>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</si>
  <si>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</si>
  <si>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</si>
  <si>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</si>
  <si>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</si>
  <si>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</si>
  <si>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</si>
  <si>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</si>
  <si>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</si>
  <si>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</si>
  <si>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</si>
  <si>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</si>
  <si>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</si>
  <si>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</si>
  <si>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</si>
  <si>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</si>
  <si>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</si>
  <si>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</si>
  <si>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</si>
  <si>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</si>
  <si>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</si>
  <si>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</si>
  <si>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</si>
  <si>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</si>
  <si>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</si>
  <si>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</si>
  <si>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</si>
  <si>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</si>
  <si>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</si>
  <si>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</si>
  <si>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</si>
  <si>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</si>
  <si>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</si>
  <si>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</si>
  <si>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</si>
  <si>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</si>
  <si>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</si>
  <si>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</si>
  <si>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</si>
  <si>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</si>
  <si>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</si>
  <si>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</si>
  <si>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</si>
  <si>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</si>
  <si>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</si>
  <si>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</si>
  <si>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</si>
  <si>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</si>
  <si>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</si>
  <si>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</si>
  <si>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</si>
  <si>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</si>
  <si>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</si>
  <si>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</si>
  <si>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</si>
  <si>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</si>
  <si>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</si>
  <si>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</si>
  <si>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</si>
  <si>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</si>
  <si>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</si>
  <si>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</si>
  <si>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</si>
  <si>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</si>
  <si>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</si>
  <si>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</si>
  <si>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</si>
  <si>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</si>
  <si>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</si>
  <si>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</si>
  <si>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</si>
  <si>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</si>
  <si>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</si>
  <si>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</si>
  <si>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</si>
  <si>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</si>
  <si>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</si>
  <si>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</si>
  <si>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</si>
  <si>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</si>
  <si>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</si>
  <si>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</si>
  <si>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</si>
  <si>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</si>
  <si>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</si>
  <si>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</si>
  <si>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</si>
  <si>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</si>
  <si>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</si>
  <si>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</si>
  <si>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</si>
  <si>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</si>
  <si>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</si>
  <si>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</si>
  <si>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</si>
  <si>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</si>
  <si>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</si>
  <si>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</si>
  <si>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</si>
  <si>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</si>
  <si>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</si>
  <si>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</si>
  <si>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</si>
  <si>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</si>
  <si>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</si>
  <si>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</si>
  <si>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</si>
  <si>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</si>
  <si>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</si>
  <si>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</si>
  <si>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</si>
  <si>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</si>
  <si>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</si>
  <si>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</si>
  <si>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</si>
  <si>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</si>
  <si>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</si>
  <si>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</si>
  <si>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</si>
  <si>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</si>
  <si>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</si>
  <si>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</si>
  <si>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</si>
  <si>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</si>
  <si>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</si>
  <si>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</si>
  <si>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</si>
  <si>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</si>
  <si>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</si>
  <si>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</si>
  <si>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</si>
  <si>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</si>
  <si>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</si>
  <si>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</si>
  <si>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</si>
  <si>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</si>
  <si>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</si>
  <si>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</si>
  <si>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</si>
  <si>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</si>
  <si>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</si>
  <si>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</si>
  <si>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</si>
  <si>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</si>
  <si>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</si>
  <si>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</si>
  <si>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</si>
  <si>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</si>
  <si>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</si>
  <si>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</si>
  <si>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</si>
  <si>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</si>
  <si>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</si>
  <si>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</si>
  <si>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</si>
  <si>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</si>
  <si>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</si>
  <si>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</si>
  <si>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</si>
  <si>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</si>
  <si>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</si>
  <si>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</si>
  <si>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</si>
  <si>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</si>
  <si>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</si>
  <si>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</si>
  <si>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</si>
  <si>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</si>
  <si>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</si>
  <si>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</si>
  <si>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</si>
  <si>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</si>
  <si>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</si>
  <si>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</si>
  <si>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</si>
  <si>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</si>
  <si>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</si>
  <si>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</si>
  <si>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</si>
  <si>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</si>
  <si>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</si>
  <si>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</si>
  <si>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</si>
  <si>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</si>
  <si>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</si>
  <si>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</si>
  <si>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</si>
  <si>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</si>
  <si>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</si>
  <si>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</si>
  <si>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</si>
  <si>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</si>
  <si>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</si>
  <si>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</si>
  <si>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</si>
  <si>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</si>
  <si>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</si>
  <si>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</si>
  <si>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</si>
  <si>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</si>
  <si>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</si>
  <si>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</si>
  <si>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</si>
  <si>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</si>
  <si>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</si>
  <si>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</si>
  <si>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</si>
  <si>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</si>
  <si>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</si>
  <si>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</si>
  <si>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</si>
  <si>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</si>
  <si>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</si>
  <si>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</si>
  <si>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</si>
  <si>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</si>
  <si>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</si>
  <si>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</si>
  <si>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</si>
  <si>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</si>
  <si>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</si>
  <si>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</si>
  <si>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</si>
  <si>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</si>
  <si>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</si>
  <si>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</si>
  <si>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</si>
  <si>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</si>
  <si>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</si>
  <si>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</si>
  <si>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</si>
  <si>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</si>
  <si>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</si>
  <si>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</si>
  <si>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</si>
  <si>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</si>
  <si>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</si>
  <si>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</si>
  <si>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</si>
  <si>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</si>
  <si>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</si>
  <si>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</si>
  <si>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</si>
  <si>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</si>
  <si>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</si>
  <si>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</si>
  <si>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</si>
  <si>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</si>
  <si>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</si>
  <si>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</si>
  <si>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</si>
  <si>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</si>
  <si>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</si>
  <si>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</si>
  <si>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</si>
  <si>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</si>
  <si>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</si>
  <si>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</si>
  <si>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</si>
  <si>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</si>
  <si>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</si>
  <si>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</si>
  <si>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</si>
  <si>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</si>
  <si>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</si>
  <si>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</si>
  <si>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</si>
  <si>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</si>
  <si>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</si>
  <si>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</si>
  <si>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</si>
  <si>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</si>
  <si>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</si>
  <si>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</si>
  <si>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</si>
  <si>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</si>
  <si>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</si>
  <si>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</si>
  <si>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</si>
  <si>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</si>
  <si>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</si>
  <si>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</si>
  <si>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</si>
  <si>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</si>
  <si>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</si>
  <si>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</si>
  <si>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</si>
  <si>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</si>
  <si>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</si>
  <si>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</si>
  <si>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</si>
  <si>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</si>
  <si>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</si>
  <si>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</si>
  <si>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</si>
  <si>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</si>
  <si>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</si>
  <si>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</si>
  <si>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</si>
  <si>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</si>
  <si>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</si>
  <si>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</si>
  <si>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</si>
  <si>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</si>
  <si>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</si>
  <si>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</si>
  <si>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</si>
  <si>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</si>
  <si>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</si>
  <si>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</si>
  <si>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</si>
  <si>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</si>
  <si>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</si>
  <si>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</si>
  <si>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</si>
  <si>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</si>
  <si>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</si>
  <si>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</si>
  <si>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</si>
  <si>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</si>
  <si>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</si>
  <si>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</si>
  <si>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</si>
  <si>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</si>
  <si>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</si>
  <si>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</si>
  <si>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</si>
  <si>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</si>
  <si>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</si>
  <si>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</si>
  <si>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</si>
  <si>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</si>
  <si>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</si>
  <si>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</si>
  <si>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</si>
  <si>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</si>
  <si>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</si>
  <si>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</si>
  <si>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</si>
  <si>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</si>
  <si>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</si>
  <si>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</si>
  <si>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</si>
  <si>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</si>
  <si>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</si>
  <si>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</si>
  <si>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</si>
  <si>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</si>
  <si>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</si>
  <si>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</si>
  <si>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</si>
  <si>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</si>
  <si>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</si>
  <si>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</si>
  <si>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</si>
  <si>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</si>
  <si>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</si>
  <si>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</si>
  <si>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</si>
  <si>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</si>
  <si>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</si>
  <si>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</si>
  <si>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</si>
  <si>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</si>
  <si>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</si>
  <si>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</si>
  <si>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</si>
  <si>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</si>
  <si>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</si>
  <si>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</si>
  <si>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</si>
  <si>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</si>
  <si>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</si>
  <si>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</si>
  <si>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</si>
  <si>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</si>
  <si>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</si>
  <si>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</si>
  <si>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</si>
  <si>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</si>
  <si>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</si>
  <si>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</si>
  <si>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</si>
  <si>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</si>
  <si>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</si>
  <si>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</si>
  <si>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</si>
  <si>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</si>
  <si>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</si>
  <si>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</si>
  <si>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</si>
  <si>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</si>
  <si>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</si>
  <si>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</si>
  <si>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</si>
  <si>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</si>
  <si>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</si>
  <si>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</si>
  <si>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</si>
  <si>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</si>
  <si>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</si>
  <si>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</si>
  <si>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</si>
  <si>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</si>
  <si>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</si>
  <si>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</si>
  <si>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</si>
  <si>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</si>
  <si>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</si>
  <si>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</si>
  <si>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</si>
  <si>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</si>
  <si>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</si>
  <si>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</si>
  <si>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</si>
  <si>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</si>
  <si>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</si>
  <si>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</si>
  <si>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</si>
  <si>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</si>
  <si>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</si>
  <si>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</si>
  <si>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</si>
  <si>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</si>
  <si>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</si>
  <si>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</si>
  <si>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</si>
  <si>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</si>
  <si>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</si>
  <si>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</si>
  <si>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</si>
  <si>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</si>
  <si>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</si>
  <si>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</si>
  <si>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</si>
  <si>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</si>
  <si>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</si>
  <si>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</si>
  <si>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</si>
  <si>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</si>
  <si>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</si>
  <si>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</si>
  <si>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</si>
  <si>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</si>
  <si>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</si>
  <si>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</si>
  <si>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</si>
  <si>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</si>
  <si>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</si>
  <si>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</si>
  <si>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</si>
  <si>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</si>
  <si>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</si>
  <si>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</si>
  <si>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</si>
  <si>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</si>
  <si>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</si>
  <si>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</si>
  <si>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</si>
  <si>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</si>
  <si>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</si>
  <si>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</si>
  <si>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</si>
  <si>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</si>
  <si>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</si>
  <si>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</si>
  <si>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</si>
  <si>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</si>
  <si>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</si>
  <si>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</si>
  <si>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</si>
  <si>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</si>
  <si>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</si>
  <si>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</si>
  <si>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</si>
  <si>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</si>
  <si>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</si>
  <si>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</si>
  <si>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</si>
  <si>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</si>
  <si>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</si>
  <si>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</si>
  <si>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</si>
  <si>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</si>
  <si>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</si>
  <si>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</si>
  <si>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</si>
  <si>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</si>
  <si>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</si>
  <si>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</si>
  <si>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</si>
  <si>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</si>
  <si>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</si>
  <si>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</si>
  <si>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</si>
  <si>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</si>
  <si>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</si>
  <si>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</si>
  <si>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</si>
  <si>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</si>
  <si>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</si>
  <si>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</si>
  <si>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</si>
  <si>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</si>
  <si>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</si>
  <si>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</si>
  <si>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</si>
  <si>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</si>
  <si>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</si>
  <si>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</si>
  <si>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</si>
  <si>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</si>
  <si>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</si>
  <si>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</si>
  <si>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</si>
  <si>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</si>
  <si>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</si>
  <si>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</si>
  <si>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</si>
  <si>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</si>
  <si>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</si>
  <si>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</si>
  <si>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</si>
  <si>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</si>
  <si>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</si>
  <si>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</si>
  <si>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</si>
  <si>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</si>
  <si>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</si>
  <si>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</si>
  <si>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</si>
  <si>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</si>
  <si>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</si>
  <si>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</si>
  <si>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</si>
  <si>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</si>
  <si>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</si>
  <si>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</si>
  <si>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</si>
  <si>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</si>
  <si>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</si>
  <si>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</si>
  <si>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</si>
  <si>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</si>
  <si>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</si>
  <si>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</si>
  <si>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</si>
  <si>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</si>
  <si>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</si>
  <si>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</si>
  <si>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</si>
  <si>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</si>
  <si>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</si>
  <si>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</si>
  <si>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</si>
  <si>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</si>
  <si>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</si>
  <si>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</si>
  <si>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</si>
  <si>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</si>
  <si>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</si>
  <si>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</si>
  <si>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</si>
  <si>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</si>
  <si>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</si>
  <si>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</si>
  <si>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</si>
  <si>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</si>
  <si>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</si>
  <si>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</si>
  <si>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</si>
  <si>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</si>
  <si>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</si>
  <si>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</si>
  <si>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</si>
  <si>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</si>
  <si>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</si>
  <si>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</si>
  <si>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</si>
  <si>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</si>
  <si>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</si>
  <si>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</si>
  <si>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</si>
  <si>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</si>
  <si>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</si>
  <si>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</si>
  <si>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</si>
  <si>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</si>
  <si>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</si>
  <si>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</si>
  <si>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</si>
  <si>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</si>
  <si>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</si>
  <si>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</si>
  <si>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</si>
  <si>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</si>
  <si>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</si>
  <si>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</si>
  <si>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</si>
  <si>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</si>
  <si>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</si>
  <si>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</si>
  <si>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</si>
  <si>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</si>
  <si>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</si>
  <si>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</si>
  <si>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</si>
  <si>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</si>
  <si>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</si>
  <si>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</si>
  <si>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</si>
  <si>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</si>
  <si>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</si>
  <si>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</si>
  <si>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</si>
  <si>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</si>
  <si>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</si>
  <si>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</si>
  <si>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</si>
  <si>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</si>
  <si>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</si>
  <si>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</si>
  <si>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</si>
  <si>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</si>
  <si>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</si>
  <si>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</si>
  <si>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</si>
  <si>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</si>
  <si>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</si>
  <si>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</si>
  <si>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</si>
  <si>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</si>
  <si>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</si>
  <si>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</si>
  <si>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</si>
  <si>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</si>
  <si>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</si>
  <si>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</si>
  <si>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</si>
  <si>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</si>
  <si>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</si>
  <si>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</si>
  <si>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</si>
  <si>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</si>
  <si>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</si>
  <si>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</si>
  <si>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</si>
  <si>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</si>
  <si>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</si>
  <si>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</si>
  <si>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</si>
  <si>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</si>
  <si>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</si>
  <si>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</si>
  <si>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</si>
  <si>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</si>
  <si>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</si>
  <si>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</si>
  <si>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</si>
  <si>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</si>
  <si>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</si>
  <si>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No Webpage</t>
  </si>
  <si>
    <t>https://greaveswestayre.co.uk/</t>
  </si>
  <si>
    <t>Accountants in Lydney : Wildin &amp; Co., Gloucestershire</t>
  </si>
  <si>
    <t>Mainly Acc firm</t>
  </si>
  <si>
    <t>1-MIPH-Terms-of-Business-2025-08-D80-1.pdf</t>
  </si>
  <si>
    <t>Private</t>
  </si>
  <si>
    <t xml:space="preserve">Partnership no accounts </t>
  </si>
  <si>
    <t>www.lsnifa.com</t>
  </si>
  <si>
    <t>301000020_Law_Society_Services_and_Fees_Brochure_digital_v6_VA.pdf</t>
  </si>
  <si>
    <t>LAW SOCIETY (NI) FINANCIAL ADVICE LIMITED filing history - Find and update company information - GOV.UK</t>
  </si>
  <si>
    <t>Fixed fee effect</t>
  </si>
  <si>
    <t>5e5e8d926dec9107df4f9ca9_Client Agreement brochure.pdf</t>
  </si>
  <si>
    <t>CENTURY LAW LIMITED filing history - Find and update company information - GOV.UK</t>
  </si>
  <si>
    <t>Minimum fixed charge selected, the highest range of fee in the sample</t>
  </si>
  <si>
    <t>A+Fresh+Approach+To+Fees.pdf</t>
  </si>
  <si>
    <t>ONTRAK FINANCIAL PLANNING LIMITED overview - Find and update company information - GOV.UK</t>
  </si>
  <si>
    <t>www.nationalfriendly.co.uk</t>
  </si>
  <si>
    <t>www.dentistsprovident.co.uk</t>
  </si>
  <si>
    <t>www.liciuk.com</t>
  </si>
  <si>
    <t>www.brebners.com</t>
  </si>
  <si>
    <t>Home - Morgan Griffiths LLP - your local accountants in Newtown, Powys</t>
  </si>
  <si>
    <t>https://www.michaelletch.co.uk/</t>
  </si>
  <si>
    <t>Accounting firm -Non advice</t>
  </si>
  <si>
    <t>www.walterdawson.co.uk</t>
  </si>
  <si>
    <t>www.clarke - acct.co.uk</t>
  </si>
  <si>
    <t>www.nigelsloam.co.uk</t>
  </si>
  <si>
    <t>www.peterkins.com</t>
  </si>
  <si>
    <t>https://www.mcsherryhalliday.co.uk/</t>
  </si>
  <si>
    <t>https://www.habibbank.com/</t>
  </si>
  <si>
    <t>www.calinvestments.co.uk</t>
  </si>
  <si>
    <t>www.britannia.com/gm</t>
  </si>
  <si>
    <t>Financial Advisers | Financial Advice - HSBC UK</t>
  </si>
  <si>
    <t>No ongoing mentioned</t>
  </si>
  <si>
    <t>https://www.hsbc.co.uk/investments/advice/financial-advice/</t>
  </si>
  <si>
    <t>https://doc.morningstar.com/Document/bc8bb4d3cae483975e9b4291450e4b07.msdoc/?key=6d3ad7cced83e966eb033a99485759465b00047aee79de5f</t>
  </si>
  <si>
    <t>Listed</t>
  </si>
  <si>
    <t>https://find-and-update.company-information.service.gov.uk/company/00014259/filing-history</t>
  </si>
  <si>
    <t>https://www.sc.com/</t>
  </si>
  <si>
    <t>www.whitechurch.co.uk</t>
  </si>
  <si>
    <t>www.jcwealth.co.uk</t>
  </si>
  <si>
    <t>www.bordieruk.com</t>
  </si>
  <si>
    <t>www.pfm -uk.com</t>
  </si>
  <si>
    <t>www.strategicwealth.co.uk</t>
  </si>
  <si>
    <t>About 1 — Strategic Wealth Management</t>
  </si>
  <si>
    <t>STRATEGIC WEALTH MANAGEMENT LIMITED filing history - Find and update company information - GOV.UK</t>
  </si>
  <si>
    <t>www.thefrygroup.co.uk</t>
  </si>
  <si>
    <t>www.humboldtfinancial.co.uk</t>
  </si>
  <si>
    <t>Affordable Pricing Plans | Get Started Today</t>
  </si>
  <si>
    <t>HUMBOLDT FINANCIAL LIMITED filing history - Find and update company information - GOV.UK</t>
  </si>
  <si>
    <t>www.Lowes.co.uk</t>
  </si>
  <si>
    <t xml:space="preserve">Financial advice page unavialble </t>
  </si>
  <si>
    <t>Invesment manager</t>
  </si>
  <si>
    <t>Altor Wealth | About Us</t>
  </si>
  <si>
    <t>ALTOR WEALTH MANAGEMENT LLP filing history - Find and update company information - GOV.UK</t>
  </si>
  <si>
    <t>www.wcgplc.co.uk</t>
  </si>
  <si>
    <t>http://www.bartlettgroup.com/product/wealth-management/</t>
  </si>
  <si>
    <t>www.hanoverfm.co.uk</t>
  </si>
  <si>
    <t>www.ajg.com/uk</t>
  </si>
  <si>
    <t>Insurance</t>
  </si>
  <si>
    <t>www.mdfm.co.uk</t>
  </si>
  <si>
    <t>www.heb.uk.com</t>
  </si>
  <si>
    <t>www.bowmorefp.com</t>
  </si>
  <si>
    <t>www.amberriver.com/hda</t>
  </si>
  <si>
    <t>ARHDA Terms of Business_Private Clients_May 2025</t>
  </si>
  <si>
    <t>Uses TAM for inhouse fund (major owner of TAM)</t>
  </si>
  <si>
    <t>HUGH DAVIES ASSOCIATES LIMITED filing history - Find and update company information - GOV.UK</t>
  </si>
  <si>
    <t>JOHNSTON FINANCIAL LIMITED filing history - Find and update company information - GOV.UK</t>
  </si>
  <si>
    <t>www.hl.co.uk</t>
  </si>
  <si>
    <t>Non Financial advice</t>
  </si>
  <si>
    <t xml:space="preserve">Not a product manufacturer but they have a large product pannel to choose from </t>
  </si>
  <si>
    <t>Financial Advice Charges | Cost of financial advice | HL</t>
  </si>
  <si>
    <t>https://find-and-update.company-information.service.gov.uk/company/01896481/filing-history</t>
  </si>
  <si>
    <t>Related firms</t>
  </si>
  <si>
    <t>https://www.evelyn.com/services/restructuring - and - recovery - services/reyker - securities - plc/</t>
  </si>
  <si>
    <t xml:space="preserve">In administration </t>
  </si>
  <si>
    <t>Disolved</t>
  </si>
  <si>
    <t>www.rafterassociates.co.uk</t>
  </si>
  <si>
    <t>kerswellstone.co.uk</t>
  </si>
  <si>
    <t xml:space="preserve">Website not reachable </t>
  </si>
  <si>
    <t>hurstfm.co.uk</t>
  </si>
  <si>
    <t>BOURNE TAYLOR NEVILLE LIMITED filing history - Find and update company information - GOV.UK</t>
  </si>
  <si>
    <t>jesellars.co.uk</t>
  </si>
  <si>
    <t>Now part of Amberiver</t>
  </si>
  <si>
    <t>D B WOOD LIMITED filing history - Find and update company information - GOV.UK</t>
  </si>
  <si>
    <t>Website not active</t>
  </si>
  <si>
    <t>www.amberriver.com</t>
  </si>
  <si>
    <t>AMBER RIVER INVESTMENT SOLUTIONS LLP filing history - Find and update company information - GOV.UK</t>
  </si>
  <si>
    <t>https://www.w1m.com/</t>
  </si>
  <si>
    <t>www.theprogenygroup.com</t>
  </si>
  <si>
    <t>www.royallondon.com</t>
  </si>
  <si>
    <t>Non financial advice</t>
  </si>
  <si>
    <t>Mainly IM</t>
  </si>
  <si>
    <t>www.mooreks.co.uk/services/advisory/financial - planning/</t>
  </si>
  <si>
    <t>Estate</t>
  </si>
  <si>
    <t>www.smgfs.com</t>
  </si>
  <si>
    <t>downingfm.co.uk</t>
  </si>
  <si>
    <t>scotzone.co.uk</t>
  </si>
  <si>
    <t>rotherwood-insurance.com</t>
  </si>
  <si>
    <t>www.smithrobinsonco.co.uk</t>
  </si>
  <si>
    <t>srankin.co.uk</t>
  </si>
  <si>
    <t>www.capitalgroup.com</t>
  </si>
  <si>
    <t>Investment management only</t>
  </si>
  <si>
    <t>https://www.ubp.com/uk</t>
  </si>
  <si>
    <t xml:space="preserve">Cloned of a real </t>
  </si>
  <si>
    <t xml:space="preserve">This is a clone firm that is used by scammers the real company is Union Bancaire </t>
  </si>
  <si>
    <t>https://www.fca.org.uk/news/warnings/kleinwort-hambros-sg-kleinwort-hambros-bank-limited-clone-fca-authorised-firm</t>
  </si>
  <si>
    <t>https://www.bwifa.co.uk/ amber river</t>
  </si>
  <si>
    <t>THE BROUGHTON WILKINS PARTNERSHIP LTD filing history - Find and update company information - GOV.UK</t>
  </si>
  <si>
    <t>ccla.co.uk</t>
  </si>
  <si>
    <t>www.ubs.com</t>
  </si>
  <si>
    <t>www.axa - im.co.uk</t>
  </si>
  <si>
    <t>https://www.wdenisfinancialservices.com</t>
  </si>
  <si>
    <t>JOHNSTON CAMPBELL LIMITED filing history - Find and update company information - GOV.UK</t>
  </si>
  <si>
    <t>About | Blue Shield Capital | England</t>
  </si>
  <si>
    <t>www.wilorg.com</t>
  </si>
  <si>
    <t>www.evanshart.co.uk</t>
  </si>
  <si>
    <t>Now under Wren sterling</t>
  </si>
  <si>
    <t>http://www.evanshart.co.uk/Client-Agreement.pdf</t>
  </si>
  <si>
    <t>cedarhousefinancial.co.uk</t>
  </si>
  <si>
    <t>AMBER WEALTH CREATION LIMITED filing history - Find and update company information - GOV.UK</t>
  </si>
  <si>
    <t>www.leagoldmiller.co.uk</t>
  </si>
  <si>
    <t>www.amberriver.com/sw</t>
  </si>
  <si>
    <t>SHIPMAN WEALTH MANAGEMENT LTD filing history - Find and update company information - GOV.UK</t>
  </si>
  <si>
    <t>www.amberriver.com/midlands</t>
  </si>
  <si>
    <t>WEALTH SOLUTIONS (UK) LTD filing history - Find and update company information - GOV.UK</t>
  </si>
  <si>
    <t>natwest.com</t>
  </si>
  <si>
    <t>mcinroy-wood.co.uk</t>
  </si>
  <si>
    <t>https://www.mercer.com/en - gb/</t>
  </si>
  <si>
    <t>http://www.amberriver.com/true-bearing</t>
  </si>
  <si>
    <t>https://find-and-update.company-information.service.gov.uk/company/04806442/filing-history</t>
  </si>
  <si>
    <t>http://www.danskebank.co.uk/</t>
  </si>
  <si>
    <t>amberriver.com</t>
  </si>
  <si>
    <t>EMERY (IFA) LIMITED filing history - Find and update company information - GOV.UK</t>
  </si>
  <si>
    <t>www.gam.com</t>
  </si>
  <si>
    <t>http://www.assetmanagement.hsbc.com/uk</t>
  </si>
  <si>
    <t>www.alder - investment.co.uk</t>
  </si>
  <si>
    <t>www.bny.com</t>
  </si>
  <si>
    <t>www.city - asset.co.uk</t>
  </si>
  <si>
    <t>www.atomos.co.uk</t>
  </si>
  <si>
    <t>Legal Advice Service | Norwich &amp; Norfolk | Hansells Solicitors</t>
  </si>
  <si>
    <t>www.amberriverchancery.com</t>
  </si>
  <si>
    <t>CHANCERY FINANCIAL PLANNING LLP filing history - Find and update company information - GOV.UK</t>
  </si>
  <si>
    <t>www.quiltercheviot.com</t>
  </si>
  <si>
    <t>DFM, the registered advisors are not internal they are external like a network</t>
  </si>
  <si>
    <t>https://www.quilter.com/4a330d/siteassets/documents/platform/guides-and-brochures/18035-making-the-cost-of-investment-clear.pdf</t>
  </si>
  <si>
    <t>https://www.ubs.com/global/en/collections/credit - suisse/wealthmanagement/uk.html</t>
  </si>
  <si>
    <t>www.fiskeplc.com</t>
  </si>
  <si>
    <t>www.firstequitylimited.com</t>
  </si>
  <si>
    <t>LEODIS WEALTH LIMITED filing history - Find and update company information - GOV.UK</t>
  </si>
  <si>
    <t>www.rothschildandco.com</t>
  </si>
  <si>
    <t>CAMPBELL &amp; MCCONNACHIE LIMITED filing history - Find and update company information - GOV.UK</t>
  </si>
  <si>
    <t>www.rbccm.com</t>
  </si>
  <si>
    <t>http://www.brownshipley.com/</t>
  </si>
  <si>
    <t>potential to request and check around the web</t>
  </si>
  <si>
    <t>https://www.bnpparibas.co.uk/en/</t>
  </si>
  <si>
    <t>citibank.com</t>
  </si>
  <si>
    <t>Citi bank advice fee is derived from their upfront sales charge. Ongoing in product fee</t>
  </si>
  <si>
    <t>REGULATION BEST INTEREST DISCLOSURE STATEMENT AND RELATED INFORMATION FOR RETIREMENT ACCOUNTS</t>
  </si>
  <si>
    <t>Citi Funds - Multi Asset Class Balanced Level 3 (L3) Fund Class B USD Acc, LU2594915410:USD summary - FT.com</t>
  </si>
  <si>
    <t>CITIBANK UK LIMITED filing history - Find and update company information - GOV.UK</t>
  </si>
  <si>
    <t>https://www.shorecap.co.uk/</t>
  </si>
  <si>
    <t>www.icbcstandard.com</t>
  </si>
  <si>
    <t>www.societegenerale.co.uk</t>
  </si>
  <si>
    <t>www.oberoninvestments.com</t>
  </si>
  <si>
    <t>www.ing.com</t>
  </si>
  <si>
    <t>www.pwsfc.co.uk</t>
  </si>
  <si>
    <t>https://www.chalfontinvestments.co.uk</t>
  </si>
  <si>
    <t>www.radcliffe-ifa.co.uk</t>
  </si>
  <si>
    <t>www.jmfinn.com</t>
  </si>
  <si>
    <t>Best Wealth Managers (UK) Compared &amp; Reviewed ✅</t>
  </si>
  <si>
    <t>YFS-JM-Finn-Moderate-Portfolio-Class-A-Income.pdf</t>
  </si>
  <si>
    <t>J.M. FINN &amp; CO.LTD filing history - Find and update company information - GOV.UK</t>
  </si>
  <si>
    <t>No initial fee</t>
  </si>
  <si>
    <t>www.devonwm.co.uk</t>
  </si>
  <si>
    <t>www.westerby-investment.co.uk</t>
  </si>
  <si>
    <t>www.kerrhenderson.com</t>
  </si>
  <si>
    <t>www.glamis-ifa.co.uk</t>
  </si>
  <si>
    <t>www.eastlakebeachell.co.uk</t>
  </si>
  <si>
    <t>www.7 im.co.uk</t>
  </si>
  <si>
    <t>Related to parent</t>
  </si>
  <si>
    <t>https://find-and-update.company-information.service.gov.uk/company/OC378740/filing-history</t>
  </si>
  <si>
    <t>+Digital – Factsheet</t>
  </si>
  <si>
    <t>https://csfs.uk</t>
  </si>
  <si>
    <t>www.bfswp.co.uk</t>
  </si>
  <si>
    <t>www .7 im .co .uk</t>
  </si>
  <si>
    <t>https://find-and-update.company-information.service.gov.uk/company/10902511/filing-history</t>
  </si>
  <si>
    <t>www.piawm.net</t>
  </si>
  <si>
    <t>https://www.gm2.co.uk/ Saltus</t>
  </si>
  <si>
    <t>merged with Saltus</t>
  </si>
  <si>
    <t>https://find-and-update.company-information.service.gov.uk/company/04496876/filing-history</t>
  </si>
  <si>
    <t>www.saltus.co.uk</t>
  </si>
  <si>
    <t>Select Group of companies accounts made up to 31 March 2024</t>
  </si>
  <si>
    <t>www.bartjames.com</t>
  </si>
  <si>
    <t>Estate And Letting Agents In Birstall, Batley - Watsons Property Services</t>
  </si>
  <si>
    <t>www.keeleys.co.uk</t>
  </si>
  <si>
    <t xml:space="preserve">https://www.deltafinancial.co.uk/ </t>
  </si>
  <si>
    <t>Now under Saltus</t>
  </si>
  <si>
    <t>DELTA FINANCIAL MANAGEMENT LIMITED filing history - Find and update company information - GOV.UK</t>
  </si>
  <si>
    <t>www.buzzacott.co.uk</t>
  </si>
  <si>
    <t>www.moneywiseplc.co.uk</t>
  </si>
  <si>
    <t>Charges - Burfield Financial Planning</t>
  </si>
  <si>
    <t>BURFIELD FINANCIAL PLANNING LIMITED filing history - Find and update company information - GOV.UK</t>
  </si>
  <si>
    <t>www.psfswealth.co.uk</t>
  </si>
  <si>
    <t>Charges and Fees - Rootes Wealth Management</t>
  </si>
  <si>
    <t>ROOTES WEALTH MANAGEMENT LTD filing history - Find and update company information - GOV.UK</t>
  </si>
  <si>
    <t>www.courtross.co.uk</t>
  </si>
  <si>
    <t>Cheetham Jackson | Our Fees</t>
  </si>
  <si>
    <t>CHEETHAM JACKSON LTD filing history - Find and update company information - GOV.UK</t>
  </si>
  <si>
    <t>www.footes-financialplanning.co.uk</t>
  </si>
  <si>
    <t>Clear Financial Planning Fees | Footes Financial Planning</t>
  </si>
  <si>
    <t>FOOTES FINANCIAL PLANNING UK LIMITED filing history - Find and update company information - GOV.UK</t>
  </si>
  <si>
    <t>http://www.budgeandco.co.uk/</t>
  </si>
  <si>
    <t>www.peterjonesfinancialadvisers.co.uk</t>
  </si>
  <si>
    <t>https://hdwealth.com</t>
  </si>
  <si>
    <t>www.lawrencedawson.co.uk</t>
  </si>
  <si>
    <t>Mike Coram Associates | Independent Financial Advice | Bath</t>
  </si>
  <si>
    <t xml:space="preserve">website unreachable </t>
  </si>
  <si>
    <t>www.rgwifa.co.uk</t>
  </si>
  <si>
    <t>Client Agreement</t>
  </si>
  <si>
    <t>ROBERT GERRARD &amp; WESTBROOK LIMITED filing history - Find and update company information - GOV.UK</t>
  </si>
  <si>
    <t>Investments &amp; Wealth Management | Coram Financial</t>
  </si>
  <si>
    <t>https://www.pfaoffice.co.uk/investment/</t>
  </si>
  <si>
    <t>www.pensionfreedom.co.uk</t>
  </si>
  <si>
    <t>There is an initial fee but the rate was not indicated. To be excluded</t>
  </si>
  <si>
    <t>Client agreement - Investments and protection (what we do and how we charge)</t>
  </si>
  <si>
    <t>No initial/only pension</t>
  </si>
  <si>
    <t>www.rsjfinancialplanning.co.uk</t>
  </si>
  <si>
    <t>www.broadstone.co.uk</t>
  </si>
  <si>
    <t>Non advice consultancy</t>
  </si>
  <si>
    <t>https://www.fraser-hann.co.uk</t>
  </si>
  <si>
    <t>www.eswalton.co.uk</t>
  </si>
  <si>
    <t>http://www.tailoredfp.co.uk/</t>
  </si>
  <si>
    <t>Client Agreement, Policy Arrangement &amp; Disclosure - Tailored Financial Planning</t>
  </si>
  <si>
    <t>TAILORED FINANCIAL PLANNING LTD filing history - Find and update company information - GOV.UK</t>
  </si>
  <si>
    <t xml:space="preserve">Typical financial planning fee stated as 1150 </t>
  </si>
  <si>
    <t>Client-Agreement.pdf</t>
  </si>
  <si>
    <t>ALTORFER FINANCIAL MANAGEMENT LIMITED filing history - Find and update company information - GOV.UK</t>
  </si>
  <si>
    <t>Per hour effect</t>
  </si>
  <si>
    <t>www.insight-wealth.co.uk</t>
  </si>
  <si>
    <t>Client-Agreement-Insight-IFA-July-23.pdf</t>
  </si>
  <si>
    <t>INSIGHT WEALTH LIMITED filing history - Find and update company information - GOV.UK</t>
  </si>
  <si>
    <t>www.andrewbourne.co.uk</t>
  </si>
  <si>
    <t>Client-Agreement-Pensions-Investments-and-Protection-nov25.pdf</t>
  </si>
  <si>
    <t>ANDREW BOURNE &amp; CO INDEPENDENT FINANCIAL ADVISERS LIMITED filing history - Find and update company information - GOV.UK</t>
  </si>
  <si>
    <t>Client-Service-Proposition-0124.pdf</t>
  </si>
  <si>
    <t>W.B.BAXTER LIMITED filing history - Find and update company information - GOV.UK</t>
  </si>
  <si>
    <t>www.pacificgroup.co.uk</t>
  </si>
  <si>
    <t>www.asfs-ltd.co.uk</t>
  </si>
  <si>
    <t>www.kirragewilliams.co.uk</t>
  </si>
  <si>
    <t>www.moneynotion.co.uk</t>
  </si>
  <si>
    <t>www.cartlidgemorland.com</t>
  </si>
  <si>
    <t>CML-TCMP-Private-Client-Agreement-2025-22-01.pdf</t>
  </si>
  <si>
    <t>Select Total exeemption full accounts made up to 2024</t>
  </si>
  <si>
    <t>Ongoing plus iniital charge in one</t>
  </si>
  <si>
    <t>Costs – TFP Financial Planning</t>
  </si>
  <si>
    <t>TFP FINANCIAL PLANNING LTD. filing history - Find and update company information - GOV.UK</t>
  </si>
  <si>
    <t>Fixed effect</t>
  </si>
  <si>
    <t>http://www.tipsheets.co.uk</t>
  </si>
  <si>
    <t>Tip sheet page not real adviser</t>
  </si>
  <si>
    <t>www.imperialchartered.co.uk</t>
  </si>
  <si>
    <t>Costs &amp; Charges - Imperial Chartered Independent Financial Adviser</t>
  </si>
  <si>
    <t>IMPERIAL WEALTH INTERNATIONAL LTD filing history - Find and update company information - GOV.UK</t>
  </si>
  <si>
    <t>embassyfinancialplanning.co.uk</t>
  </si>
  <si>
    <t>www.carletonfp.co.uk</t>
  </si>
  <si>
    <t>csl-client-agreement---feb-24---aw.pdf</t>
  </si>
  <si>
    <t>CASTLE SUNDBORN LIMITED filing history - Find and update company information - GOV.UK</t>
  </si>
  <si>
    <t>only ongoing fee mentioned no advice</t>
  </si>
  <si>
    <t>Fairstone changes fees to 80 bps and moves to single charging structure</t>
  </si>
  <si>
    <t>BRKM_Fairstone-Brooks-Macdonald-4-Income_0226.pdf</t>
  </si>
  <si>
    <t>FAIRSTONE WEALTH MANAGEMENT LIMITED filing history - Find and update company information - GOV.UK</t>
  </si>
  <si>
    <t xml:space="preserve">Bundled fee </t>
  </si>
  <si>
    <t>https://www.juliusbaer.com/uk/en/</t>
  </si>
  <si>
    <t>www.mufgemea.com</t>
  </si>
  <si>
    <t>www.jefferies.com</t>
  </si>
  <si>
    <t>www.whirelandplc.com</t>
  </si>
  <si>
    <t>www.db.com</t>
  </si>
  <si>
    <t>http://www.db.com/files/documents/costs-and-charges/investment-bank-products--bonds--corporate-bond.pdf</t>
  </si>
  <si>
    <t>www.bellecapital.com</t>
  </si>
  <si>
    <t>www.nab.com.au</t>
  </si>
  <si>
    <t>Pure banking</t>
  </si>
  <si>
    <t>Initial fee taking from foundation fee indicated. Nothing mentioned about initial fee</t>
  </si>
  <si>
    <t>Fee Structure - Backhouse - Independent Financial Services</t>
  </si>
  <si>
    <t>BACKHOUSE INDEPENDENT FINANCIAL SERVICES LIMITED filing history - Find and update company information - GOV.UK</t>
  </si>
  <si>
    <t>Only ongoing fee</t>
  </si>
  <si>
    <t>www.aretianwealth.co.uk</t>
  </si>
  <si>
    <t>Fees – Aretian Wealth Management</t>
  </si>
  <si>
    <t>ARETIAN WEALTH MANAGEMENT LIMITED filing history - Find and update company information - GOV.UK</t>
  </si>
  <si>
    <t>www.stockcube.com</t>
  </si>
  <si>
    <t>www.cooperparrywealth.com</t>
  </si>
  <si>
    <t>www.acandco.com</t>
  </si>
  <si>
    <t>https://acwealth.co.uk/about-us/fees/</t>
  </si>
  <si>
    <t>https://www.goldmansachs.com/</t>
  </si>
  <si>
    <t>Non UK advice biz</t>
  </si>
  <si>
    <t xml:space="preserve">No premier customer service only ultra wealthy </t>
  </si>
  <si>
    <t>www.sfc - uk.com</t>
  </si>
  <si>
    <t xml:space="preserve">plartform only </t>
  </si>
  <si>
    <t>http://www.balancewealth.uk/</t>
  </si>
  <si>
    <t>Fixed fee structure detrimental to lower investment</t>
  </si>
  <si>
    <t>https://balancewealth.uk/financial-planning/fees/</t>
  </si>
  <si>
    <t>https://find-and-update.company-information.service.gov.uk/company/08552799/filing-history</t>
  </si>
  <si>
    <t>www.arbuthnotlatham.co.uk</t>
  </si>
  <si>
    <t>Fees - Begley Brown Financial Solutions LTD</t>
  </si>
  <si>
    <t>BEGLEY BROWN FINANCIAL SOLUTIONS LTD. filing history - Find and update company information - GOV.UK</t>
  </si>
  <si>
    <t>fixed effect</t>
  </si>
  <si>
    <t>www.warnermatthews.co.uk</t>
  </si>
  <si>
    <t>www.efgl.com</t>
  </si>
  <si>
    <t>www.capw.co.uk</t>
  </si>
  <si>
    <t>Fees - Carlile Alexander Private Wealth</t>
  </si>
  <si>
    <t>CARLILE ALEXANDER PRIVATE WEALTH LIMITED filing history - Find and update company information - GOV.UK</t>
  </si>
  <si>
    <t>https://citygatefp.co.uk/</t>
  </si>
  <si>
    <t>Fees - Citygate</t>
  </si>
  <si>
    <t>CITYGATE FINANCIAL PLANNING LIMITED filing history - Find and update company information - GOV.UK</t>
  </si>
  <si>
    <t>www.hfdoddswealth.co.uk</t>
  </si>
  <si>
    <t>Initial fee from per hour rate</t>
  </si>
  <si>
    <t>Fees – Direct Wealth Management</t>
  </si>
  <si>
    <t>DIRECT WEALTH MANAGEMENT LIMITED filing history - Find and update company information - GOV.UK</t>
  </si>
  <si>
    <t>www.dbnumis.com</t>
  </si>
  <si>
    <t>German bank, non advice business</t>
  </si>
  <si>
    <t>www.attivo.co.uk</t>
  </si>
  <si>
    <t>www.aviva.co.uk</t>
  </si>
  <si>
    <t>www.castle-investments.com</t>
  </si>
  <si>
    <t>initial includes implementation fee as well (basic services selected)</t>
  </si>
  <si>
    <t>Fees - EBS</t>
  </si>
  <si>
    <t>EXECUTIVE BENEFIT SERVICES (U.K.) LIMITED filing history - Find and update company information - GOV.UK</t>
  </si>
  <si>
    <t>www.headstartadvisers.com</t>
  </si>
  <si>
    <t>www.rcbim.co.uk</t>
  </si>
  <si>
    <t>dowgatecapital.co.uk</t>
  </si>
  <si>
    <t>Non advice firm</t>
  </si>
  <si>
    <t xml:space="preserve">IM company </t>
  </si>
  <si>
    <t>www.lffinancialplanning.co.uk</t>
  </si>
  <si>
    <t>www.boolers.co.uk</t>
  </si>
  <si>
    <t>www.amtfutures.co.uk</t>
  </si>
  <si>
    <t>www.rvwwealthcare.com</t>
  </si>
  <si>
    <t>www.woodwardmarkwell.co.uk</t>
  </si>
  <si>
    <t>www.penguinwealth.com</t>
  </si>
  <si>
    <t>Customer relationship service selected</t>
  </si>
  <si>
    <t>Fees - Financial Advice Cardiff</t>
  </si>
  <si>
    <t>PENGUIN WEALTH PLANNERS LIMITED filing history - Find and update company information - GOV.UK</t>
  </si>
  <si>
    <t>Fees - Forecast Financial Planning, New Forest</t>
  </si>
  <si>
    <t>FORECAST FINANCIAL PLANNING LIMITED filing history - Find and update company information - GOV.UK</t>
  </si>
  <si>
    <t>www.gag-ltd.com</t>
  </si>
  <si>
    <t>Fees - Global Advice Group</t>
  </si>
  <si>
    <t>GLOBAL ADVICE GROUP LTD filing history - Find and update company information - GOV.UK</t>
  </si>
  <si>
    <t>www.legalandgeneral.com</t>
  </si>
  <si>
    <t>No ongoing indicated</t>
  </si>
  <si>
    <t>Fees - Informed Choice</t>
  </si>
  <si>
    <t>INFORMED CHOICE LIMITED filing history - Find and update company information - GOV.UK</t>
  </si>
  <si>
    <t>www.cdebroe.com</t>
  </si>
  <si>
    <t>Fees - Ruby Red Financial Planning Ltd</t>
  </si>
  <si>
    <t>RUBY RED FINANCIAL PLANNING LTD filing history - Find and update company information - GOV.UK</t>
  </si>
  <si>
    <t>https://nottpybus.co.uk/</t>
  </si>
  <si>
    <t>No ongoing but they get paid from product ongoing</t>
  </si>
  <si>
    <t>NP-TCs-1.11.20.pdf</t>
  </si>
  <si>
    <t>NOTT PYBUS &amp; ASSOCIATES LIMITED filing history - Find and update company information - GOV.UK</t>
  </si>
  <si>
    <t>Union Bancaire Privée UK | Premier Banking Services</t>
  </si>
  <si>
    <t>www.sweenywealth.co.uk</t>
  </si>
  <si>
    <t>Fees - Sweeny Wealth Management</t>
  </si>
  <si>
    <t>SWEENY WEALTH MANAGEMENT LTD filing history - Find and update company information - GOV.UK</t>
  </si>
  <si>
    <t>www.ramsaybrownfinancialservices.co.uk/</t>
  </si>
  <si>
    <t>https://www.tingleyandcooper.com/</t>
  </si>
  <si>
    <t>Fees – Tingley &amp; Cooper</t>
  </si>
  <si>
    <t>TINGLEY &amp; COOPER LIMITED filing history - Find and update company information - GOV.UK</t>
  </si>
  <si>
    <t>www.admisi.com</t>
  </si>
  <si>
    <t>Venture capital firm</t>
  </si>
  <si>
    <t>www.kdrfs.co.uk</t>
  </si>
  <si>
    <t>www.brightonwilliams.com</t>
  </si>
  <si>
    <t>www.cantor.com/global/europe/</t>
  </si>
  <si>
    <t>www.absfinancial.co.uk</t>
  </si>
  <si>
    <t>www.pfgl.co.uk/northeast</t>
  </si>
  <si>
    <t>www.lowndesonline.co.uk</t>
  </si>
  <si>
    <t>Fees &amp; Advice Costs - Adelp Financial Solutions</t>
  </si>
  <si>
    <t>ADELP FINANCIAL SOLUTIONS LTD filing history - Find and update company information - GOV.UK</t>
  </si>
  <si>
    <t>www.rouseltd.co.uk</t>
  </si>
  <si>
    <t>www.argentis.co.uk</t>
  </si>
  <si>
    <t>www.ghcl.co.uk</t>
  </si>
  <si>
    <t>www.onefourninewealth.co.uk</t>
  </si>
  <si>
    <t>More like a network for advisers to use</t>
  </si>
  <si>
    <t>https://www.julianharris.net/JH%20Brochure.pdf</t>
  </si>
  <si>
    <t>https://www.middletonprivatecapital.co.uk/</t>
  </si>
  <si>
    <t>Descretionary management fee as product cost</t>
  </si>
  <si>
    <t>Fees &amp; Charges</t>
  </si>
  <si>
    <t>MIDDLETON PRIVATE CAPITAL LTD. filing history - Find and update company information - GOV.UK</t>
  </si>
  <si>
    <t>www.versowm.com</t>
  </si>
  <si>
    <t>www.njleeson.com</t>
  </si>
  <si>
    <t>www.redwoodfinancial.co.uk</t>
  </si>
  <si>
    <t>Basic estate planning fee range selected</t>
  </si>
  <si>
    <t>Fees &amp; Pricing | Redwood Financial | Estate Planning Costs</t>
  </si>
  <si>
    <t>REDWOOD FINANCIAL FAMILY WEALTH &amp; ESTATE PLANNERS LIMITED filing history - Find and update company information - GOV.UK</t>
  </si>
  <si>
    <t>www.canaccordgenuity.com/wealth - management - uk</t>
  </si>
  <si>
    <t>www.greystonefs.co.uk</t>
  </si>
  <si>
    <t>www.vale.uk.com</t>
  </si>
  <si>
    <t>Fees | 3-S Financial | Chartered Financial Planners | Manchester</t>
  </si>
  <si>
    <t>www.rowan-dartington.co.uk</t>
  </si>
  <si>
    <t>www.morganlawfinancialservices.co.uk</t>
  </si>
  <si>
    <t>www.vsacapital.com</t>
  </si>
  <si>
    <t>http://www.aquilafm.co.uk/</t>
  </si>
  <si>
    <t>www.strandhanson.co.uk</t>
  </si>
  <si>
    <t>www.belvederewm.com</t>
  </si>
  <si>
    <t>Fees | Belvedere WM</t>
  </si>
  <si>
    <t>BELVEDERE WEALTH MANAGEMENT LTD. filing history - Find and update company information - GOV.UK</t>
  </si>
  <si>
    <t>www.townsendmccormack.co.uk</t>
  </si>
  <si>
    <t>Corbettkeeling.com</t>
  </si>
  <si>
    <t xml:space="preserve">https://cityandtrust.co.uk </t>
  </si>
  <si>
    <t>All inclusive fee</t>
  </si>
  <si>
    <t>Fees | cityandtrust</t>
  </si>
  <si>
    <t>CITY AND TRUST FINANCE LIMITED filing history - Find and update company information - GOV.UK</t>
  </si>
  <si>
    <t>www.johnston-kennedy.com</t>
  </si>
  <si>
    <t>Professional services focus</t>
  </si>
  <si>
    <t>Fees | Independent Financial Advice in Cheltenham and the South West | Cactus Financial Planning</t>
  </si>
  <si>
    <t>CACTUS FINANCIAL PLANNING LTD filing history - Find and update company information - GOV.UK</t>
  </si>
  <si>
    <t>www.ethicalinvestors.co.uk</t>
  </si>
  <si>
    <t>https://www.slaterinvestments.com/</t>
  </si>
  <si>
    <t>https://slaterinvestments.com/wp-content/uploads/2025/02/Slater-Investments-Form-ADV-Part-2A-February-2025.pdf</t>
  </si>
  <si>
    <t>Fees | Milton Keynes Financial Advice</t>
  </si>
  <si>
    <t>MILTON KEYNES FINANCIAL ADVICE LIMITED filing history - Find and update company information - GOV.UK</t>
  </si>
  <si>
    <t>www.hscfinancial.co.uk</t>
  </si>
  <si>
    <t>https://www.hri - investments.com/</t>
  </si>
  <si>
    <t>www.omnilife.co.uk</t>
  </si>
  <si>
    <t>www.bankofchina.com/uk/</t>
  </si>
  <si>
    <t>Fixed fee included</t>
  </si>
  <si>
    <t>Fees | Red Kite Wealth Management | Benson</t>
  </si>
  <si>
    <t>RED KITE WEALTH MANAGEMENT LIMITED filing history - Find and update company information - GOV.UK</t>
  </si>
  <si>
    <t>www.engagefs.co.uk</t>
  </si>
  <si>
    <t>Fees | Transparent Fees, Fixed Fees — Engage Financial Services</t>
  </si>
  <si>
    <t>ENGAGE FINANCIAL SERVICES LTD filing history - Find and update company information - GOV.UK</t>
  </si>
  <si>
    <t>www.fraserfinance.com</t>
  </si>
  <si>
    <t>www.DavyUK.co.uk</t>
  </si>
  <si>
    <t>www.assetmanagement.co.uk</t>
  </si>
  <si>
    <t>epworthim.com</t>
  </si>
  <si>
    <t>www.dcadvisory.com</t>
  </si>
  <si>
    <t>Fees | Verdant Financial Planning</t>
  </si>
  <si>
    <t>VERDANT FINANCIAL PLANNING LIMITED filing history - Find and update company information - GOV.UK</t>
  </si>
  <si>
    <t>https://crowdforangels.com/</t>
  </si>
  <si>
    <t xml:space="preserve">crowd funding </t>
  </si>
  <si>
    <t>www.oakprivatewealth.com</t>
  </si>
  <si>
    <t>Nice fee calculator on the page. Ongoing fee is the platform fee</t>
  </si>
  <si>
    <t>Fees and Charges – Oak Private Wealth</t>
  </si>
  <si>
    <t>OAK PRIVATE WEALTH LTD filing history - Find and update company information - GOV.UK</t>
  </si>
  <si>
    <t>https://templargroup.co.uk</t>
  </si>
  <si>
    <t>www.pfgl.co.uk/south</t>
  </si>
  <si>
    <t>Like a network</t>
  </si>
  <si>
    <t>Website under construction</t>
  </si>
  <si>
    <t>www.clarksons.com</t>
  </si>
  <si>
    <t>http://www.blevinsfranks.com</t>
  </si>
  <si>
    <t>www.tjpltd.co.uk</t>
  </si>
  <si>
    <t>https://www.mplwealthmanagement.co.uk</t>
  </si>
  <si>
    <t>Fees and charges | Heritage Wealth Solutions</t>
  </si>
  <si>
    <t>HERITAGE WEALTH SOLUTIONS LTD filing history - Find and update company information - GOV.UK</t>
  </si>
  <si>
    <t>www.blackfriarsam.com</t>
  </si>
  <si>
    <t>www.optivasecurities.com</t>
  </si>
  <si>
    <t>Linked to Lloyds and Schroders</t>
  </si>
  <si>
    <t>Fees and Charges | Wealth Management | Bank of Scotland</t>
  </si>
  <si>
    <t>https://find-and-update.company-information.service.gov.uk/company/SC327000/filing-history</t>
  </si>
  <si>
    <t>www.cbwfinancialplanning.co.uk</t>
  </si>
  <si>
    <t>www.mcdonaldassociates.co.uk</t>
  </si>
  <si>
    <t>www.forvismazars.com/uk/en</t>
  </si>
  <si>
    <t>http://www.sparkadvisorypartners.com</t>
  </si>
  <si>
    <t xml:space="preserve">Website unreachable </t>
  </si>
  <si>
    <t>https://www.brewin.co.uk/</t>
  </si>
  <si>
    <t>fees-brochure-charges.pdf</t>
  </si>
  <si>
    <t>RBC-Brewin-Dolphin-MPS-factsheet-Balanced.pdf</t>
  </si>
  <si>
    <t>BREWIN DOLPHIN LIMITED filing history - Find and update company information - GOV.UK</t>
  </si>
  <si>
    <t>www.charles - stanley.co.uk</t>
  </si>
  <si>
    <t>Financial planning cost</t>
  </si>
  <si>
    <t>RAYMOND JAMES WEALTH MANAGEMENT LIMITED filing history - Find and update company information - GOV.UK</t>
  </si>
  <si>
    <t>www.lunaro.com</t>
  </si>
  <si>
    <t>Trading platform</t>
  </si>
  <si>
    <t>DIY trading</t>
  </si>
  <si>
    <t>www.pmfi.co.uk</t>
  </si>
  <si>
    <t>rock-wealth.co.uk</t>
  </si>
  <si>
    <t>Average fees really high, the place themselves high end</t>
  </si>
  <si>
    <t>Financial Planning Fees - rockwealth Cheltenham</t>
  </si>
  <si>
    <t>https://find-and-update.company-information.service.gov.uk/company/OC387227/filing-history</t>
  </si>
  <si>
    <t>https://www.ajg.com/uk/</t>
  </si>
  <si>
    <t>www.b -cornish.co.uk</t>
  </si>
  <si>
    <t>www.brooksmacdonald.com</t>
  </si>
  <si>
    <t>www.legalandmedical.co.uk</t>
  </si>
  <si>
    <t>Ongoing not disclosed but initial is high enough to warrant inclusion</t>
  </si>
  <si>
    <t>Financial Services Fees | Need Financial Planning</t>
  </si>
  <si>
    <t>NEED FINANCIAL PLANNING LTD filing history - Find and update company information - GOV.UK</t>
  </si>
  <si>
    <t>www.singerfinancialtrust.co.uk</t>
  </si>
  <si>
    <t>All in fee indicated</t>
  </si>
  <si>
    <t>financial-planning-terms-of-business.pdf</t>
  </si>
  <si>
    <t>NFU Mutual Flexibond Mixed Portfolio 20 - 60% Shares PDF Factsheet</t>
  </si>
  <si>
    <t>Select Group of companies account for 2024</t>
  </si>
  <si>
    <t>https://www.pifinancial.co.uk/</t>
  </si>
  <si>
    <t>www.smith-pinching.co.uk</t>
  </si>
  <si>
    <t>www.thefpp.co.uk</t>
  </si>
  <si>
    <t>www.dohertypic.com</t>
  </si>
  <si>
    <t>www.kbc.be</t>
  </si>
  <si>
    <t>Financial advice for individuals and families | UBS United Kingdom</t>
  </si>
  <si>
    <t>Graham Carter &amp; Co. | Chester | Our Charges</t>
  </si>
  <si>
    <t>GRAHAM CARTER FINANCIAL SERVICES LIMITED filing history - Find and update company information - GOV.UK</t>
  </si>
  <si>
    <t>https://www.reevesfinancialservices.com/</t>
  </si>
  <si>
    <t>www.grosvenorconsultancy.co.uk</t>
  </si>
  <si>
    <t>www.city-financial.co.uk</t>
  </si>
  <si>
    <t>www.hblbankuk.com</t>
  </si>
  <si>
    <t>No advice business</t>
  </si>
  <si>
    <t>www.blmifa.co.uk</t>
  </si>
  <si>
    <t>Guide to our fees and services v4 1124.pdf</t>
  </si>
  <si>
    <t>THE ETHICAL INVESTMENT CO-OPERATIVE LIMITED filing history - Find and update company information - GOV.UK</t>
  </si>
  <si>
    <t>How We Are Paid - MoneyWeb | Financial Advisers | Scarborough | North Yorkshire</t>
  </si>
  <si>
    <t>MONEYWEB LIMITED filing history - Find and update company information - GOV.UK</t>
  </si>
  <si>
    <t>www.rometschandmoor.com</t>
  </si>
  <si>
    <t>mohco.com</t>
  </si>
  <si>
    <t>www.stdavidspartnership.co.uk</t>
  </si>
  <si>
    <t>https://gracechurchwm.com/</t>
  </si>
  <si>
    <t>Not clear if they charge initial advice fee, hence excluded</t>
  </si>
  <si>
    <t>How we can help - Gracechurch Wealth Management LLP</t>
  </si>
  <si>
    <t>https://find-and-update.company-information.service.gov.uk/company/OC320661/filing-history</t>
  </si>
  <si>
    <t>only ongoing fee</t>
  </si>
  <si>
    <t>http://www.gatecapitalgroup.com/</t>
  </si>
  <si>
    <t>www.spf.co.uk</t>
  </si>
  <si>
    <t>How we charge - 8 Financial Planning</t>
  </si>
  <si>
    <t>8 FINANCIAL PLANNING LIMITED filing history - Find and update company information - GOV.UK</t>
  </si>
  <si>
    <t>www.capplus.co.uk</t>
  </si>
  <si>
    <t>How We Charge - Informed Financial Planning</t>
  </si>
  <si>
    <t>THE INFORMED PARTNERSHIP LIMITED filing history - Find and update company information - GOV.UK</t>
  </si>
  <si>
    <t>www.pkfs.co.uk</t>
  </si>
  <si>
    <t>How We Charge | Page Kirk Financial Services | Nottingham</t>
  </si>
  <si>
    <t>PAGE KIRK FINANCIAL SERVICES LLP filing history - Find and update company information - GOV.UK</t>
  </si>
  <si>
    <t xml:space="preserve">They don’t charge initial </t>
  </si>
  <si>
    <t>How we charge | Kelvin Financial Planning</t>
  </si>
  <si>
    <t>KELVIN FINANCIAL PLANNING LIMITED filing history - Find and update company information - GOV.UK</t>
  </si>
  <si>
    <t>Initial not stipulated</t>
  </si>
  <si>
    <t>www.Lovewell-Blake.co.uk</t>
  </si>
  <si>
    <t>www.marechalecapital.com</t>
  </si>
  <si>
    <t>Corporate finance mainly</t>
  </si>
  <si>
    <t>www.financialplanningwales.co.uk</t>
  </si>
  <si>
    <t>Due to minimum 4250 initial and 3k ongoing</t>
  </si>
  <si>
    <t>How We Work - Financial Care Solutions</t>
  </si>
  <si>
    <t>FINANCIAL CARE SOLUTIONS LIMITED filing history - Find and update company information - GOV.UK</t>
  </si>
  <si>
    <t xml:space="preserve">Network </t>
  </si>
  <si>
    <t>www.blue-spire.com</t>
  </si>
  <si>
    <t>How you pay for our advice | Blue Spire Ltd</t>
  </si>
  <si>
    <t>BLUE SPIRE INDEPENDENT FINANCIAL ADVICE LIMITED filing history - Find and update company information - GOV.UK</t>
  </si>
  <si>
    <t>www.sfs.uk.com</t>
  </si>
  <si>
    <t>www.tsb.co.uk</t>
  </si>
  <si>
    <t>Bank arm with no advisor see Wealthify for advice</t>
  </si>
  <si>
    <t>https://bhp.co.uk/financial-planning/</t>
  </si>
  <si>
    <t>https://www.fisherinvestments.com/en - gb</t>
  </si>
  <si>
    <t>www.aurorafinancial.co.uk</t>
  </si>
  <si>
    <t>http://aspireonline.co.uk/sites/default/files/clients/130/0623-Client-Proposition.pdf</t>
  </si>
  <si>
    <t>https://find-and-update.company-information.service.gov.uk/company/11236418/filing-history</t>
  </si>
  <si>
    <t>www.ajwealthmanagement.co.uk</t>
  </si>
  <si>
    <t>www.jenningswm.com</t>
  </si>
  <si>
    <t>One advisor confirmed on webpage</t>
  </si>
  <si>
    <t>http://jenningswm.com/fees/</t>
  </si>
  <si>
    <t>JENNINGS WEALTH MANAGEMENT LIMITED filing history - Find and update company information - GOV.UK</t>
  </si>
  <si>
    <t>http://jenningswm.com/about-stephen/</t>
  </si>
  <si>
    <t>www.sound-financial.co.uk</t>
  </si>
  <si>
    <t>www.credogroup.com</t>
  </si>
  <si>
    <t>www.optima-fs.co.uk</t>
  </si>
  <si>
    <t>https://5deae023-4bbb-4f4f-8c02-446cd6ad798c.filesusr.com/ugd/499be7_b2c7f06368504f51a52ef5270efdc00b.pdf</t>
  </si>
  <si>
    <t>ATKINS BLAND LIMITED filing history - Find and update company information - GOV.UK</t>
  </si>
  <si>
    <t>https://radiantfinancial.co.uk/</t>
  </si>
  <si>
    <t>No direct webpage</t>
  </si>
  <si>
    <t>www.navigationfs.com</t>
  </si>
  <si>
    <t>www.afm. org.uk</t>
  </si>
  <si>
    <t>https://afm.org.uk/client-agreement/</t>
  </si>
  <si>
    <t>ALPHA FINANCIAL MANAGEMENT LIMITED filing history - Find and update company information - GOV.UK</t>
  </si>
  <si>
    <t>www.hartmanncapital.com</t>
  </si>
  <si>
    <t>https://akfp.net/why-choose-us/our-fees/</t>
  </si>
  <si>
    <t>AKFP LTD filing history - Find and update company information - GOV.UK</t>
  </si>
  <si>
    <t>www.progressfa.co.uk</t>
  </si>
  <si>
    <t>www.kelland-hale.com</t>
  </si>
  <si>
    <t>Maybe I can find internally at WTW</t>
  </si>
  <si>
    <t>Not taking client anymore</t>
  </si>
  <si>
    <t>www.stonehagefleming.com</t>
  </si>
  <si>
    <t>www.actonifa.com</t>
  </si>
  <si>
    <t>https://www.raymondjames.uk.com/</t>
  </si>
  <si>
    <t>www.hfmcam.com</t>
  </si>
  <si>
    <t>www.ludgate.com</t>
  </si>
  <si>
    <t>www.europapartners.com</t>
  </si>
  <si>
    <t>https://www.canaccord - wealth.com</t>
  </si>
  <si>
    <t>www.aspireonline.co.uk</t>
  </si>
  <si>
    <t>https://aspireonline.co.uk/sites/default/files/clients/130/0623-Client-Proposition.pdf</t>
  </si>
  <si>
    <t>ASPIRE INDEPENDENT FINANCIAL PLANNERS LLP filing history - Find and update company information - GOV.UK</t>
  </si>
  <si>
    <t>https://atawny.co.uk/wp-content/uploads/2024/09/Aaron-Tawny-Transparent-Approach-17.9.24.pdf</t>
  </si>
  <si>
    <t>AARON TAWNY MORTGAGES LIMITED filing history - Find and update company information - GOV.UK</t>
  </si>
  <si>
    <t>https://baronandgrant.com/services/</t>
  </si>
  <si>
    <t>https://find-and-update.company-information.service.gov.uk/company/12161169/filing-history</t>
  </si>
  <si>
    <t>http://www.ig.com/</t>
  </si>
  <si>
    <t>www.morganstanley.com</t>
  </si>
  <si>
    <t xml:space="preserve">No retail financial advice in the UK </t>
  </si>
  <si>
    <t>www.spenceandpartners.co.uk</t>
  </si>
  <si>
    <t>www.chelseainvestments.co.uk</t>
  </si>
  <si>
    <t>https://cheltenhamwealthfinancialltd. squarespace.com/</t>
  </si>
  <si>
    <t>www.sgwealthmanagement.co.uk</t>
  </si>
  <si>
    <t>https://www.trevallycapitaladvisers.co.uk/</t>
  </si>
  <si>
    <t>www.kelland.co.uk</t>
  </si>
  <si>
    <t>www.ey.com</t>
  </si>
  <si>
    <t>https://beyondfinance.org.uk/our-fees-and-services/</t>
  </si>
  <si>
    <t>BEYOND FINANCE LTD filing history - Find and update company information - GOV.UK</t>
  </si>
  <si>
    <t>https://campbell-lutyens.com/</t>
  </si>
  <si>
    <t>www.afs-online.co.uk</t>
  </si>
  <si>
    <t>www.mulberrywealth.co.uk</t>
  </si>
  <si>
    <t>www.validpath.co.uk</t>
  </si>
  <si>
    <t>www.winderswm.co.uk</t>
  </si>
  <si>
    <t>http://integracapital.co.uk/</t>
  </si>
  <si>
    <t>family office</t>
  </si>
  <si>
    <t>wealthandasset. handelsbanken.co.uk</t>
  </si>
  <si>
    <t>www.kbrl.co.uk</t>
  </si>
  <si>
    <t>https://bsandb.co.uk/how-we-work/</t>
  </si>
  <si>
    <t>BURWOOD SAGE + BROOKRIDGE LTD filing history - Find and update company information - GOV.UK</t>
  </si>
  <si>
    <t>www.foresightgroup.eu</t>
  </si>
  <si>
    <t>https://mooreks.co.uk/</t>
  </si>
  <si>
    <t>www.pfcthamesvalley.co.uk</t>
  </si>
  <si>
    <t>https://c-cluster-110.uploads.documents.cimpress.io/v1/uploads/f0bcd7da-3686-403d-b0ea-96298222dbe7~110/original?tenant=vbu-digital</t>
  </si>
  <si>
    <t>FIDES LIMITED filing history - Find and update company information - GOV.UK</t>
  </si>
  <si>
    <t>Fixed fee</t>
  </si>
  <si>
    <t>http://www.ocbc.com/</t>
  </si>
  <si>
    <t>https://cdn.simplyplatform.co.uk/wp-content/uploads/sites/322/2022/08/03102639/13363_-_Responsible_Wealth_Client_Brochure_v14_PR-20.7.22-compressed.pdf</t>
  </si>
  <si>
    <t>RESPONSIBLE WEALTH LTD filing history - Find and update company information - GOV.UK</t>
  </si>
  <si>
    <t>RESP004-ResponsibleWealth-OngoingServicePropositionForm-v8.pdf</t>
  </si>
  <si>
    <t>www.maskellmoss.co.uk/ Attivo</t>
  </si>
  <si>
    <t>www.westonassociates.co.uk</t>
  </si>
  <si>
    <t>www.illingworths.co.uk</t>
  </si>
  <si>
    <t>www.ipsfinancial.co.uk</t>
  </si>
  <si>
    <t>www.resolution - partners.co.uk</t>
  </si>
  <si>
    <t>https://arlo-group.co.uk/</t>
  </si>
  <si>
    <t>Family office</t>
  </si>
  <si>
    <t>www.charlesdeanuk.com</t>
  </si>
  <si>
    <t>https://charlesdeanuk.com/wp-content/uploads/2022/02/Disclosure-Pack-Word-V11121-PDF.pdf</t>
  </si>
  <si>
    <t>CHARLES DEAN LIMITED filing history - Find and update company information - GOV.UK</t>
  </si>
  <si>
    <t>www.co-navigate.co.uk</t>
  </si>
  <si>
    <t>https://co-navigate.co.uk/wp-content/uploads/2024/06/Terms-of-Business-FP.pdf</t>
  </si>
  <si>
    <t>CO-NAVIGATE LIMITED filing history - Find and update company information - GOV.UK</t>
  </si>
  <si>
    <t>www.rfcambrian.com</t>
  </si>
  <si>
    <t>unreachable website</t>
  </si>
  <si>
    <t>https://corrigans.co.uk/wp-content/uploads/2025/12/Service-Agreement-25.pdf</t>
  </si>
  <si>
    <t>FRANK CORRIGAN &amp; CO. LIMITED filing history - Find and update company information - GOV.UK</t>
  </si>
  <si>
    <t>horizonifa.co.uk</t>
  </si>
  <si>
    <t>www.kpmg.co.uk</t>
  </si>
  <si>
    <t>www.richingsfm.co.uk</t>
  </si>
  <si>
    <t>www.tjfs.co.uk</t>
  </si>
  <si>
    <t>www.alanboswell.com</t>
  </si>
  <si>
    <t>www.noventuspartners.com</t>
  </si>
  <si>
    <t>https://courtneyhavers.co.uk/fees/</t>
  </si>
  <si>
    <t>COURTNEY HAVERS LLP filing history - Find and update company information - GOV.UK</t>
  </si>
  <si>
    <t>www.pen-life.co.uk</t>
  </si>
  <si>
    <t>www.dalyhoggett.co.uk</t>
  </si>
  <si>
    <t>using hourly rate of 300 (financial planner 230 and admin for 70)</t>
  </si>
  <si>
    <t>https://dalyhoggett.co.uk/wp-content/uploads/2025/08/FINANCIAL-PLANNING-SERVICES-STANDARD-TERMS-OF-BUSINESS-AUGUST-2025.pdf</t>
  </si>
  <si>
    <t>No data</t>
  </si>
  <si>
    <t>No data#</t>
  </si>
  <si>
    <t xml:space="preserve">No data on company house hence using 15m as revenue for a small company </t>
  </si>
  <si>
    <t>swgroup.com</t>
  </si>
  <si>
    <t>www.fbnbank.co.uk</t>
  </si>
  <si>
    <t xml:space="preserve">No UK advice business </t>
  </si>
  <si>
    <t>www.fxcm.com/uk/www.tradu.com/uk</t>
  </si>
  <si>
    <t>www.hsbc.co.uk</t>
  </si>
  <si>
    <t>HSBC UK BANK PLC filing history - Find and update company information - GOV.UK</t>
  </si>
  <si>
    <t>https://doc.morningstar.com/LatestDoc.aspx?clientid=hsbcuk&amp;key=d18e74ef5518182c&amp;language=0L00000122&amp;sid=F00000OOBJ&amp;dt=52</t>
  </si>
  <si>
    <t>www.wesleyan.co.uk</t>
  </si>
  <si>
    <t>https://documentscdn.financialexpress.net/Literature/B6538DA90D2B2ACCCD55AD0377BBAD59/237052008.pdf</t>
  </si>
  <si>
    <t>Select full acconts made up to 31 December 2024</t>
  </si>
  <si>
    <t>https://www.rothschildandco.com/en/wealth - management/united - kingdom/</t>
  </si>
  <si>
    <t>https://engagewm.co.uk/wp-content/uploads/2025/11/Terms-Of-Business.pdf</t>
  </si>
  <si>
    <t>ENGAGE WEALTH MANAGEMENT LIMITED filing history - Find and update company information - GOV.UK</t>
  </si>
  <si>
    <t>Fixed</t>
  </si>
  <si>
    <t>www.howardfinancialservices.co.uk</t>
  </si>
  <si>
    <t>www.strata - partners.com</t>
  </si>
  <si>
    <t>www.fowlerdrew.co.uk</t>
  </si>
  <si>
    <t>https://fowlerdrew.co.uk/fowler-drew-fees/</t>
  </si>
  <si>
    <t>FOWLER DREW LIMITED filing history - Find and update company information - GOV.UK</t>
  </si>
  <si>
    <t>www.george-square.co.uk</t>
  </si>
  <si>
    <t>https://george-square.co.uk/faqs/</t>
  </si>
  <si>
    <t>GEORGE SQUARE FINANCIAL MANAGEMENT LTD filing history - Find and update company information - GOV.UK</t>
  </si>
  <si>
    <t>www.pwc.co.uk</t>
  </si>
  <si>
    <t>Mainly professional services</t>
  </si>
  <si>
    <t>www.nlpfm.co.uk</t>
  </si>
  <si>
    <t>www.ashikshah.com</t>
  </si>
  <si>
    <t>www.dps-ifa.co.uk</t>
  </si>
  <si>
    <t>www.thefpc. net</t>
  </si>
  <si>
    <t>www.whitefriarsfsl.co.uk</t>
  </si>
  <si>
    <t>www.sableinternational.com</t>
  </si>
  <si>
    <t>www.indexfs.co.uk</t>
  </si>
  <si>
    <t>www.professionalwealthmanagement.co.uk</t>
  </si>
  <si>
    <t>www.marshallzoing.com</t>
  </si>
  <si>
    <t>https://gmtfs.co.uk/sites/default/files/clients/436/GMT-Important-Information-about%20our-Services-Nov-2021.pdf</t>
  </si>
  <si>
    <t>GMT FINANCIAL SOLUTIONS LIMITED filing history - Find and update company information - GOV.UK</t>
  </si>
  <si>
    <t>acquired by GSI</t>
  </si>
  <si>
    <t>https://gsigroup.co.uk/our-service-proposition/</t>
  </si>
  <si>
    <t>OAKFIELD FINANCIAL CONSULTANTS LIMITED filing history - Find and update company information - GOV.UK</t>
  </si>
  <si>
    <t>Firm sold off</t>
  </si>
  <si>
    <t>GSI WEALTH MANAGEMENT LTD filing history - Find and update company information - GOV.UK</t>
  </si>
  <si>
    <t>www.cffs.co.uk</t>
  </si>
  <si>
    <t>www.futurefirst. biz</t>
  </si>
  <si>
    <t>www.sardiscapital.com</t>
  </si>
  <si>
    <t>https://www.laithwaiteifa.co.uk/wp-content/uploads/2025/11/Investment-Update.pdf</t>
  </si>
  <si>
    <t>Implementing the plan makes cost lower, sensible cost approach</t>
  </si>
  <si>
    <t>MERIDIAN FINANCIAL PARTNERS LIMITED filing history - Find and update company information - GOV.UK</t>
  </si>
  <si>
    <t>Our charges - GSI</t>
  </si>
  <si>
    <t>www.capital.co.uk</t>
  </si>
  <si>
    <t>www.cavendishware.co.uk</t>
  </si>
  <si>
    <t>http://medicalandgeneral.com/</t>
  </si>
  <si>
    <t>www.ifs - online.co.uk</t>
  </si>
  <si>
    <t>www.turquoise.eu</t>
  </si>
  <si>
    <t>www.brwm.co.uk</t>
  </si>
  <si>
    <t>www.dgsifa.com</t>
  </si>
  <si>
    <t>www.meltemi.biz</t>
  </si>
  <si>
    <t>www.hhfm.co.uk</t>
  </si>
  <si>
    <t>https://hhfm.co.uk/our-fees/</t>
  </si>
  <si>
    <t>HFMC WEALTH MANAGEMENT LTD filing history - Find and update company information - GOV.UK</t>
  </si>
  <si>
    <t>www.walkercrips.co.uk</t>
  </si>
  <si>
    <t>No ongoing, clean structure</t>
  </si>
  <si>
    <t>https://huwwatts-ifp.co.uk/pdfs/WebsiteFidfundres2025.pdf</t>
  </si>
  <si>
    <t>HUW WATTS INDEPENDENT FINANCIAL PLANNING LIMITED filing history - Find and update company information - GOV.UK</t>
  </si>
  <si>
    <t>www.ifa 1 ltd.co.uk</t>
  </si>
  <si>
    <t>www.matthewdouglas.co.uk</t>
  </si>
  <si>
    <t>www.mortgagesandfs.com</t>
  </si>
  <si>
    <t>www.vieinternational.com</t>
  </si>
  <si>
    <t>www.carltonfinancial.co.uk</t>
  </si>
  <si>
    <t>www.ttpartnership.co.uk</t>
  </si>
  <si>
    <t xml:space="preserve">www.swallow-financial.co.uk </t>
  </si>
  <si>
    <t>https://indigofinancialadvice.simplycluster1-web6.kin.tomdsites.co.uk/wp-content/uploads/sites/852/2024/07/1.-INDIGO-CLIENT-AGREE-v17.pdf</t>
  </si>
  <si>
    <t>INDIGO FINANCIAL ADVICE LTD filing history - Find and update company information - GOV.UK</t>
  </si>
  <si>
    <t>www.landmarkfinancial.co.uk</t>
  </si>
  <si>
    <t>https://irp.cdn-website.com/2db008a1/files/uploaded/Services Inv - Protection 2022webv2 0423.pdf</t>
  </si>
  <si>
    <t>LANDMARK FINANCIAL LIMITED filing history - Find and update company information - GOV.UK</t>
  </si>
  <si>
    <t>www.pfmdental.co.uk</t>
  </si>
  <si>
    <t>https://janesmithfinancial.com/our-fees/</t>
  </si>
  <si>
    <t>JANE SMITH FINANCIAL PLANNING LIMITED filing history - Find and update company information - GOV.UK</t>
  </si>
  <si>
    <t>www.ruffer.co.uk</t>
  </si>
  <si>
    <t xml:space="preserve">Investment manager only no advice </t>
  </si>
  <si>
    <t>www.claritycp.com</t>
  </si>
  <si>
    <t>Only contact page available</t>
  </si>
  <si>
    <t>www.hsp-ifa.com</t>
  </si>
  <si>
    <t>www.pembrokeam.co.uk</t>
  </si>
  <si>
    <t>Perspective North West | Financial Advisors in Liverpool</t>
  </si>
  <si>
    <t>www.killik.com</t>
  </si>
  <si>
    <t>No seperated ongoing charge. No product manufactured</t>
  </si>
  <si>
    <t>https://killik.com/media/iliccs2f/killikco_advised-master-rate-card_2025.pdf</t>
  </si>
  <si>
    <t>Last Acc filled in 2017</t>
  </si>
  <si>
    <t xml:space="preserve">All fee bundled into initial </t>
  </si>
  <si>
    <t>www.spectrum-ifs.co.uk</t>
  </si>
  <si>
    <t>www.mdbeckett.co.uk</t>
  </si>
  <si>
    <t>Moderate/standard size fee</t>
  </si>
  <si>
    <t>https://missionfinancial.co.uk/wp-content/uploads/2025/12/mission-fees-table-pdf.pdf</t>
  </si>
  <si>
    <t>MISSION FINANCIAL PLANNING LIMITED filing history - Find and update company information - GOV.UK</t>
  </si>
  <si>
    <t>www.altusinvestment.com</t>
  </si>
  <si>
    <t>Initial fee = 1.5% implementation + £695</t>
  </si>
  <si>
    <t>https://norfolkandsuffolk.co.uk/wp-content/uploads/2023/09/What-we-do-and-what-we-charge.pdf</t>
  </si>
  <si>
    <t>No revenue small company account see Total examption full accounts 2024. Net Asset used to derive revenue</t>
  </si>
  <si>
    <t>webpage under construction</t>
  </si>
  <si>
    <t>www.westfm. biz</t>
  </si>
  <si>
    <t>www.psafinancial.co.uk</t>
  </si>
  <si>
    <t>www.hughjames.com</t>
  </si>
  <si>
    <t>https://oliverfp.co.uk/fees-and-charges%60</t>
  </si>
  <si>
    <t>OLIVER FINANCIAL PLANNING LTD filing history - Find and update company information - GOV.UK</t>
  </si>
  <si>
    <t>www.parkinvestments.co.uk</t>
  </si>
  <si>
    <t>www.grantthornton.co.uk</t>
  </si>
  <si>
    <t>https://omnygroup.co.uk/wp-content/uploads/2025/11/Omny-Personal-Finance-IDD-V2-Nov25.pdf</t>
  </si>
  <si>
    <t>CORINTHIAN BENEFITS CONSULTING LIMITED filing history - Find and update company information - GOV.UK</t>
  </si>
  <si>
    <t>www.cr-fs.com/</t>
  </si>
  <si>
    <t>www.capelin.co.uk</t>
  </si>
  <si>
    <t>www.ovationfinance.co.uk</t>
  </si>
  <si>
    <t>https://ovationfinance.co.uk/how-we-work/our-fees/</t>
  </si>
  <si>
    <t>OVATION FINANCE LIMITED filing history - Find and update company information - GOV.UK</t>
  </si>
  <si>
    <t>ippgroup.co.uk</t>
  </si>
  <si>
    <t xml:space="preserve">https://www.ludco.co.uk/ </t>
  </si>
  <si>
    <t>Now part of Mattioli woods</t>
  </si>
  <si>
    <t>Growth service level showing initial and ongoing</t>
  </si>
  <si>
    <t>https://paretofp.co.uk/wp-content/uploads/2025/06/Acknowledgments-and-Agreements-2025.pdf</t>
  </si>
  <si>
    <t>PARETO FINANCIAL PLANNING LIMITED filing history - Find and update company information - GOV.UK</t>
  </si>
  <si>
    <t>https://paretofp.co.uk/wp-content/uploads/2025/06/Your-Client-Journey-2025.pdf</t>
  </si>
  <si>
    <t>www.rowleyturton.com</t>
  </si>
  <si>
    <t>https://rowleyturton.com/how-we-are-paid/</t>
  </si>
  <si>
    <t>ROWLEY TURTON (I.F.A.) LIMITED filing history - Find and update company information - GOV.UK</t>
  </si>
  <si>
    <t>www.brancasterhouse.co.uk</t>
  </si>
  <si>
    <t>www.jerroms.co.uk</t>
  </si>
  <si>
    <t>www.ifplonline.co.uk</t>
  </si>
  <si>
    <t>https://www.ellisbates.com/</t>
  </si>
  <si>
    <t>Now shackletonadvisers. Wealth management rate selected</t>
  </si>
  <si>
    <t>https://shackletonadvisers.co.uk/why-were-different/fair-and-transparent-charges/</t>
  </si>
  <si>
    <t>Using average OCF of all the balanced fund share classes</t>
  </si>
  <si>
    <t>Using holding company account White UK Holdco limited</t>
  </si>
  <si>
    <t>Website inactive</t>
  </si>
  <si>
    <t>www.acumawealth.co.uk</t>
  </si>
  <si>
    <t>Website under maintenance</t>
  </si>
  <si>
    <t>www.seagobutlerstopps.co.uk</t>
  </si>
  <si>
    <t>www.shackletonadvisers.co.uk</t>
  </si>
  <si>
    <t>www.mninsure.com</t>
  </si>
  <si>
    <t>www.horizonfp.co.uk</t>
  </si>
  <si>
    <t>https://www.willisinsurance.co.uk/</t>
  </si>
  <si>
    <t>www.aon.com</t>
  </si>
  <si>
    <t>www.howdengroup.com/uk - en/cover/employee - benefits - and - wellbeing - consulting</t>
  </si>
  <si>
    <t>http://www.nedbankprivatewealth.com/</t>
  </si>
  <si>
    <t>www.lamasset.com</t>
  </si>
  <si>
    <t>www.kassius.co.uk</t>
  </si>
  <si>
    <t>www.stanhopecapital.com</t>
  </si>
  <si>
    <t>www.edwardam.co.uk</t>
  </si>
  <si>
    <t>www.pjgfs.com</t>
  </si>
  <si>
    <t>www.ash - ridge.com</t>
  </si>
  <si>
    <t>https://spaynelindsay.com/</t>
  </si>
  <si>
    <t xml:space="preserve">www.shortswealth.co.uk </t>
  </si>
  <si>
    <t>Now part of Shackleton advisers. Applied for cancellation on FCA page</t>
  </si>
  <si>
    <t>www.matrixmodel.co.uk</t>
  </si>
  <si>
    <t>www.sagegroup.co.uk</t>
  </si>
  <si>
    <t>www.successionwealth.co.uk</t>
  </si>
  <si>
    <t>No adviser registered under firm anymore</t>
  </si>
  <si>
    <t>Now succession</t>
  </si>
  <si>
    <t>Succession Wealth | Our fees</t>
  </si>
  <si>
    <t>www.friargate.net</t>
  </si>
  <si>
    <t>www.hendersonrowe.com</t>
  </si>
  <si>
    <t>www.crnfinancialgroup.com</t>
  </si>
  <si>
    <t>www.manddfinancial.com</t>
  </si>
  <si>
    <t>www.jamiesoncf.com</t>
  </si>
  <si>
    <t>www.mjpwm.com</t>
  </si>
  <si>
    <t>www.piercefieldoliver.com</t>
  </si>
  <si>
    <t>https://londonprivatewealth.cliftonwp.co.uk/</t>
  </si>
  <si>
    <t>www.bowspritpartners.com</t>
  </si>
  <si>
    <t>Moderate/standard service level selected</t>
  </si>
  <si>
    <t>https://smithandwardle.co.uk/wp-content/uploads/2020/08/Complaints-Policy.pdf</t>
  </si>
  <si>
    <t>SMITH AND WARDLE FINANCIAL CONSULTANTS LLP filing history - Find and update company information - GOV.UK</t>
  </si>
  <si>
    <t>www.williams-im.com</t>
  </si>
  <si>
    <t>www.heptagon - capital.com</t>
  </si>
  <si>
    <t>https://www.fosterdenovo.com/wp-content/uploads/2024/11/Meaningful-financial-planning.pdf</t>
  </si>
  <si>
    <t>www.eq - ifa.co.uk</t>
  </si>
  <si>
    <t>https://www.panmureliberum.com/</t>
  </si>
  <si>
    <t>www.penvest.co.uk</t>
  </si>
  <si>
    <t>https://srcwealthmanagement.co.uk/how-we-work/</t>
  </si>
  <si>
    <t>SRC FINANCIAL SERVICES LIMITED overview - Find and update company information - GOV.UK</t>
  </si>
  <si>
    <t>www.completely-financial.co.uk</t>
  </si>
  <si>
    <t xml:space="preserve">Like a network </t>
  </si>
  <si>
    <t>www.mhfc.co.uk</t>
  </si>
  <si>
    <t>www.affinityadvise.co.uk</t>
  </si>
  <si>
    <t>Https://www.mcclellandyarr.co.uk</t>
  </si>
  <si>
    <t>https://ssfs.co.uk/wp-content/uploads/2024/06/SSFS-Service-Level-Options-2021.03-V2.pdf</t>
  </si>
  <si>
    <t>STRATEGIC SOLUTIONS FINANCIAL SERVICES LTD filing history - Find and update company information - GOV.UK</t>
  </si>
  <si>
    <t>www.bramdeanam.com</t>
  </si>
  <si>
    <t>www.AC-financial.com</t>
  </si>
  <si>
    <t>www.sterlingfs.co.uk</t>
  </si>
  <si>
    <t>www.hymans.co.uk</t>
  </si>
  <si>
    <t>www.xlifa.co.uk</t>
  </si>
  <si>
    <t>www.futureperfectfp.co.uk</t>
  </si>
  <si>
    <t>www.cavendish.com</t>
  </si>
  <si>
    <t>www.wealthatwork.co.uk</t>
  </si>
  <si>
    <t>www.henwoodcourt.co.uk</t>
  </si>
  <si>
    <t>www.arlingclose.com</t>
  </si>
  <si>
    <t>www.professionalcapital.co.uk</t>
  </si>
  <si>
    <t>www.ocmwealthmanagement.co.uk</t>
  </si>
  <si>
    <t>https://www.sjfp.co.uk/</t>
  </si>
  <si>
    <t>www.mfs - group.co.uk</t>
  </si>
  <si>
    <t>https://static1.squarespace.com/static/5d91f13aed9a60047a7c1635/t/665723268b4ed0149f360571/1721307440082/MFS+Fees+for+Services+.pdf</t>
  </si>
  <si>
    <t>ART HOLDINGS LIMITED filing history - Find and update company information - GOV.UK</t>
  </si>
  <si>
    <t>Now under Titan wealth</t>
  </si>
  <si>
    <t>https://titanpi.co.uk/wp-content/uploads/2026/01/Platform-Terms-of-Business.pdf</t>
  </si>
  <si>
    <t>priips-kid-balanced-usd-s-acc.pdf</t>
  </si>
  <si>
    <t>2025 Acc, no 2024 available</t>
  </si>
  <si>
    <t>https://find-and-update.company-information.service.gov.uk/company/FC039890/filing-history</t>
  </si>
  <si>
    <t>https://www.principle-im.com/</t>
  </si>
  <si>
    <t>www.interfacefinancialplanning.co.uk</t>
  </si>
  <si>
    <t>www.titanprivatewealth.com</t>
  </si>
  <si>
    <t>https://find-and-update.company-information.service.gov.uk/company/04731281/filing-history</t>
  </si>
  <si>
    <t>https://www.prismadvice.co.uk/  Titan</t>
  </si>
  <si>
    <t>www.titanwh.com</t>
  </si>
  <si>
    <t>2025 Accounts, no 2024</t>
  </si>
  <si>
    <t>https://m 3 ltd.co.uk/</t>
  </si>
  <si>
    <t>www.barrattandcooke.co.uk</t>
  </si>
  <si>
    <t>www.heronwm.co.uk</t>
  </si>
  <si>
    <t>www.dshowellfs.co.uk</t>
  </si>
  <si>
    <t>www.citrusgroup.co.uk</t>
  </si>
  <si>
    <t>www.ifp. trustedadviser. info</t>
  </si>
  <si>
    <t>https://www.dws.com/en-gb/</t>
  </si>
  <si>
    <t>www.capitalgains.co.uk</t>
  </si>
  <si>
    <t>www.beckworthifa.co.uk</t>
  </si>
  <si>
    <t>https://prospectfinancialsolutions.co.uk/</t>
  </si>
  <si>
    <t>www.matrixcapital.co.uk</t>
  </si>
  <si>
    <t>www.bradstockbourne.co.uk</t>
  </si>
  <si>
    <t>www.titan-fp.com</t>
  </si>
  <si>
    <t>https://find-and-update.company-information.service.gov.uk/company/11483414/filing-history</t>
  </si>
  <si>
    <t>www.protexx.co.uk</t>
  </si>
  <si>
    <t>www.oakhamwealth.com</t>
  </si>
  <si>
    <t>www.barriereesifa.co.uk</t>
  </si>
  <si>
    <t>IM company</t>
  </si>
  <si>
    <t>www.hqnfm.co.uk</t>
  </si>
  <si>
    <t>www.caxton.io</t>
  </si>
  <si>
    <t>www.redwoodfmltd.co.uk</t>
  </si>
  <si>
    <t>www.prydis.com</t>
  </si>
  <si>
    <t>www.oaklandswealth.com</t>
  </si>
  <si>
    <t xml:space="preserve">Ongoing not compulsory </t>
  </si>
  <si>
    <t>https://trulyifa.co.uk/wp-content/uploads/2026/01/TIPS-Magazine-JanFeb-2026.pdf</t>
  </si>
  <si>
    <t>TRULY INDEPENDENT LTD filing history - Find and update company information - GOV.UK</t>
  </si>
  <si>
    <t>client-advice-fees/</t>
  </si>
  <si>
    <t>www.ashlea-fp.co.uk</t>
  </si>
  <si>
    <t>www.coleridge - capital.com</t>
  </si>
  <si>
    <t>https://www.watsonfp.com/</t>
  </si>
  <si>
    <t>www.fogwillandjones.co.uk</t>
  </si>
  <si>
    <t>Website unreachable</t>
  </si>
  <si>
    <t>www.heritageifa.com</t>
  </si>
  <si>
    <t>www.fcfp.co.uk</t>
  </si>
  <si>
    <t>https://wakeupyourwealth.com/wp-content/uploads/2024/04/TOB-with-SA-Jan-2024-1.pdf</t>
  </si>
  <si>
    <t>WAKE UP YOUR WEALTH LLP filing history - Find and update company information - GOV.UK</t>
  </si>
  <si>
    <t>www.wealthandtax.co.uk</t>
  </si>
  <si>
    <t>https://wealthandtax.co.uk/our-fees/</t>
  </si>
  <si>
    <t>WEALTH AND TAX MANAGEMENT LIMITED filing history - Find and update company information - GOV.UK</t>
  </si>
  <si>
    <t>https://wealth-matters.co.uk/financial-planning/fees/</t>
  </si>
  <si>
    <t>WEALTH MATTERS LIMITED filing history - Find and update company information - GOV.UK</t>
  </si>
  <si>
    <t>https://willowfinancial.co.uk/wp-content/uploads/2025/06/Key-Facts-WFPv8-Jun25.pdf</t>
  </si>
  <si>
    <t>WILLOW FINANCIAL PLANNING LIMITED filing history - Find and update company information - GOV.UK</t>
  </si>
  <si>
    <t>https://willowfinancial.co.uk/wp-content/uploads/2025/06/Client-agreement-WFPv3-June2025.pdf</t>
  </si>
  <si>
    <t>http://www.parallelfinancial.co.uk/</t>
  </si>
  <si>
    <t>www.cavendishmedical.com</t>
  </si>
  <si>
    <t>www.cathedralfs.co.uk</t>
  </si>
  <si>
    <t>www.rmw-ifa.co.uk</t>
  </si>
  <si>
    <t>www.sheilatarr.co.uk</t>
  </si>
  <si>
    <t>£20,000</t>
  </si>
  <si>
    <t>www.burlingtonfs.com</t>
  </si>
  <si>
    <t>www.cwfp.co.uk</t>
  </si>
  <si>
    <t>www.akj.com</t>
  </si>
  <si>
    <t>GIA and ISA implementation fee band selected (as this is investment advice) and ongoing based on the Model descritionary</t>
  </si>
  <si>
    <t>https://wiseinvestment.co.uk/wp-content/uploads/2023/06/Fee-Schedule-July23.pdf</t>
  </si>
  <si>
    <t>WISE INVESTMENTS LTD filing history - Find and update company information - GOV.UK</t>
  </si>
  <si>
    <t>www.excelwealth.co.uk</t>
  </si>
  <si>
    <t>www.tcinet.co.uk</t>
  </si>
  <si>
    <t>https://www.acumenfp.com/about-us/our-financial-planning-fees/</t>
  </si>
  <si>
    <t>ACUMEN FINANCIAL PLANNING LIMITED filing history - Find and update company information - GOV.UK</t>
  </si>
  <si>
    <t>www.mpi-investments.com</t>
  </si>
  <si>
    <t>Using Aegon financial advisor</t>
  </si>
  <si>
    <t>https://www.aegon.co.uk/content/dam/auk/assets/publication/marketing-support/afp-overview-of-charges.pdf</t>
  </si>
  <si>
    <t>listed</t>
  </si>
  <si>
    <t>See Full accounts made up to 4 April 2024- income received is revenue</t>
  </si>
  <si>
    <t>Now houses Aegon financial advisor</t>
  </si>
  <si>
    <t>Select Account for 2024</t>
  </si>
  <si>
    <t>http://www.maxisinvestments.co.uk/</t>
  </si>
  <si>
    <t>Independent Wealth Planners FP Home | IWP Financial Planning</t>
  </si>
  <si>
    <t>www.bruce-ifa.co.uk</t>
  </si>
  <si>
    <t>www.futuresassured.co.uk</t>
  </si>
  <si>
    <t>specialistpw.com</t>
  </si>
  <si>
    <t>www.beattiesfs.co.uk</t>
  </si>
  <si>
    <t>www.ceaworldwide.com</t>
  </si>
  <si>
    <t>www.birketts.co.uk</t>
  </si>
  <si>
    <t>www.moneydr.co.uk</t>
  </si>
  <si>
    <t>www.partnerswealthmanagement.co.uk</t>
  </si>
  <si>
    <t>www.alphapartnershipifa.co.uk</t>
  </si>
  <si>
    <t>www.lgbco.com</t>
  </si>
  <si>
    <t>wwhe.co.uk</t>
  </si>
  <si>
    <t>insurance</t>
  </si>
  <si>
    <t>Insurance business not much advisers</t>
  </si>
  <si>
    <t>www.affinityfinance.co.uk</t>
  </si>
  <si>
    <t>https://www.affinityfinance.co.uk/CSA.pdf</t>
  </si>
  <si>
    <t>www.ainv.co.uk</t>
  </si>
  <si>
    <t>https://www.ainv.co.uk/who-we-are/#our-fees</t>
  </si>
  <si>
    <t>ARENA INVESTMENT MANAGEMENT LIMITED filing history - Find and update company information - GOV.UK</t>
  </si>
  <si>
    <t>www.chaseintegral.co.uk</t>
  </si>
  <si>
    <t>www.sterlingfgl-ifa.co.uk</t>
  </si>
  <si>
    <t>www.sheppardfs.co.uk</t>
  </si>
  <si>
    <t>www.aim-ifa.co.uk</t>
  </si>
  <si>
    <t>www.eabplc.com</t>
  </si>
  <si>
    <t>www.intrinsic.london</t>
  </si>
  <si>
    <t>www.ifaonline. net</t>
  </si>
  <si>
    <t>www.hamnettwealth.com</t>
  </si>
  <si>
    <t>www.bdbfinancial.com</t>
  </si>
  <si>
    <t>www.copperstone-financial.co.uk</t>
  </si>
  <si>
    <t>www.yellowtail.co.uk</t>
  </si>
  <si>
    <t>www.mooreandsmalleyllp.co.uk/</t>
  </si>
  <si>
    <t>www.merlinpartnersllp.com</t>
  </si>
  <si>
    <t>www.gravelhillwm.co.uk</t>
  </si>
  <si>
    <t>www.ifs-sp.com</t>
  </si>
  <si>
    <t>In default</t>
  </si>
  <si>
    <t>supportivefinancialplanning.co.uk</t>
  </si>
  <si>
    <t>www.robertnicholas.co.uk</t>
  </si>
  <si>
    <t>www.goodwill.co.uk</t>
  </si>
  <si>
    <t>www.parkfinancial.co.uk</t>
  </si>
  <si>
    <t>Â£20,000</t>
  </si>
  <si>
    <t>www.wayneaustinifa.com</t>
  </si>
  <si>
    <t>www.capital - advisory.com</t>
  </si>
  <si>
    <t>www.fenshamhowes.com</t>
  </si>
  <si>
    <t>www.boulterbowen.co.uk</t>
  </si>
  <si>
    <t>www.zenith - bank.co.uk</t>
  </si>
  <si>
    <t>www.darwins.co.uk</t>
  </si>
  <si>
    <t>https://www.belmayne-ifa.com/fees/</t>
  </si>
  <si>
    <t>BELMAYNE INDEPENDENT FINANCIAL SERVICES LLP filing history - Find and update company information - GOV.UK</t>
  </si>
  <si>
    <t>www.belmontassociates.co.uk</t>
  </si>
  <si>
    <t>https://www.belmontassociates.co.uk/Resource/Services%20Costs.pdf</t>
  </si>
  <si>
    <t>BELMONT ASSOCIATES LIMITED filing history - Find and update company information - GOV.UK</t>
  </si>
  <si>
    <t xml:space="preserve">Now under benchmark capital </t>
  </si>
  <si>
    <t>https://www.benchmarkcapital.co.uk/en-gb/uk/individual/process-and-costs/</t>
  </si>
  <si>
    <t>BEST PRACTICE IFA GROUP LIMITED filing history - Find and update company information - GOV.UK</t>
  </si>
  <si>
    <t>www.nffs.co.uk</t>
  </si>
  <si>
    <t>www.hulbertwestltd.co.uk</t>
  </si>
  <si>
    <t>www.sapienterwm.london</t>
  </si>
  <si>
    <t>https://www.evowealth.co.uk/</t>
  </si>
  <si>
    <t>Now Benchmarkcapital</t>
  </si>
  <si>
    <t>EVOLUTION WEALTH PLANNING LIMITED filing history - Find and update company information - GOV.UK</t>
  </si>
  <si>
    <t>www.singercm.com</t>
  </si>
  <si>
    <t>www.hayhillwealth.com</t>
  </si>
  <si>
    <t>charterhouseifallp.com</t>
  </si>
  <si>
    <t>www.premierfinancialltd.co.uk</t>
  </si>
  <si>
    <t>www.capitalmanagement.co.uk</t>
  </si>
  <si>
    <t>www. 1 stff.co.uk</t>
  </si>
  <si>
    <t>www.stratafinancial.co.uk</t>
  </si>
  <si>
    <t>www.blgwealth.com</t>
  </si>
  <si>
    <t>https://www.blgwealth.com/wp-content/uploads/2023/07/Glossary-of-Terms-for-Consumers-2.pdf</t>
  </si>
  <si>
    <t>BLG WEALTH LTD filing history - Find and update company information - GOV.UK</t>
  </si>
  <si>
    <t>www.gmpifa.co.uk</t>
  </si>
  <si>
    <t>www.paradigmnorton.co.uk</t>
  </si>
  <si>
    <t>http://www.financemattersni.co.uk/</t>
  </si>
  <si>
    <t>www.anglo-celtic.co.uk</t>
  </si>
  <si>
    <t>https://www.carterpearl.co.uk/information/services-costs/</t>
  </si>
  <si>
    <t>CARTER PEARL LIMITED filing history - Find and update company information - GOV.UK</t>
  </si>
  <si>
    <t>www.knfp.co.uk</t>
  </si>
  <si>
    <t>www.in 2 planning.co.uk</t>
  </si>
  <si>
    <t>http://www.elevation-wm.co.uk/</t>
  </si>
  <si>
    <t>www.foxbridgeifs.co.uk</t>
  </si>
  <si>
    <t>www.cockburnlucas.co.uk</t>
  </si>
  <si>
    <t>https://www.cockburnlucas.co.uk/our-fees/</t>
  </si>
  <si>
    <t>COCKBURN LUCAS INDEPENDENT FINANCIAL CONSULTING LIMITED filing history - Find and update company information - GOV.UK</t>
  </si>
  <si>
    <t>www.albrcapital.com</t>
  </si>
  <si>
    <t>https://www.copperhousefinancial.co.uk/wp-content/uploads/2021/01/Client-Agreement-1st-January-2021.pdf</t>
  </si>
  <si>
    <t>COPPERHOUSE FINANCIAL LIMITED filing history - Find and update company information - GOV.UK</t>
  </si>
  <si>
    <t>www.cotonfinancial.co.uk</t>
  </si>
  <si>
    <t>https://www.cotonfinancial.co.uk/howpaid.php</t>
  </si>
  <si>
    <t>COTON FINANCIAL MANAGEMENT LIMITED filing history - Find and update company information - GOV.UK</t>
  </si>
  <si>
    <t>www.mslifa.com</t>
  </si>
  <si>
    <t>Fairstone introduces new streamlined client proposition - Fairstone</t>
  </si>
  <si>
    <t>https://www.tacpartners.com/</t>
  </si>
  <si>
    <t>www.pscinsurance.co.uk</t>
  </si>
  <si>
    <t>www.allsoppfinancial.co.uk</t>
  </si>
  <si>
    <t>www.lifetimefinancialsolutions.co.uk</t>
  </si>
  <si>
    <t>www.createwealth.co.uk</t>
  </si>
  <si>
    <t>https://www.createwealth.co.uk/about/fees/</t>
  </si>
  <si>
    <t>CREATE WEALTH MANAGEMENT LTD filing history - Find and update company information - GOV.UK</t>
  </si>
  <si>
    <t>https://www.eldonfinancial.co.uk/fees/</t>
  </si>
  <si>
    <t>ELDON FINANCIAL PLANNING LIMITED filing history - Find and update company information - GOV.UK</t>
  </si>
  <si>
    <t>www.westcourt 4 advice.com</t>
  </si>
  <si>
    <t>https://www.smtmoneymatters.co.uk/</t>
  </si>
  <si>
    <t>www.hassium.co.uk</t>
  </si>
  <si>
    <t>https://www.insightifa.com/</t>
  </si>
  <si>
    <t>https://www.cliftonwealthpartnership.co.uk/client/tailormade-financial-services. html</t>
  </si>
  <si>
    <t>www.mwsfa.co.uk</t>
  </si>
  <si>
    <t>www.robson-laidler.co.uk/wealth</t>
  </si>
  <si>
    <t>www.geminiwealthgroup.com</t>
  </si>
  <si>
    <t>www.prosperitywml.co.uk</t>
  </si>
  <si>
    <t>www.ifpassociates.co.uk</t>
  </si>
  <si>
    <t>www.blackstonemoregate.com</t>
  </si>
  <si>
    <t>www.pensionexchange.co.uk</t>
  </si>
  <si>
    <t>www.blowfish-fs.co.uk</t>
  </si>
  <si>
    <t>www.starkeyfinancialplanning.co.uk</t>
  </si>
  <si>
    <t>www.rtfsl.com</t>
  </si>
  <si>
    <t>www.estatecapital.co.uk</t>
  </si>
  <si>
    <t>https://www.estatecapital.co.uk/financial-charges/</t>
  </si>
  <si>
    <t>ESTATE CAPITAL FINANCIAL MANAGEMENT LIMITED filing history - Find and update company information - GOV.UK</t>
  </si>
  <si>
    <t>www.pipllp.co.uk</t>
  </si>
  <si>
    <t>www.pelier.co.uk</t>
  </si>
  <si>
    <t>www.essential-fa.com</t>
  </si>
  <si>
    <t>www.cityfinancialplanningexeter.co.uk</t>
  </si>
  <si>
    <t>evelyn.com</t>
  </si>
  <si>
    <t>This is the security arm but they have large number of financial advisers as well</t>
  </si>
  <si>
    <t>https://www.evelyn.com/fees-charges/</t>
  </si>
  <si>
    <t>G1OB_UnitedKingdom_EN-GB.pdf</t>
  </si>
  <si>
    <t>Select Full accounts made up to 31 December 2024</t>
  </si>
  <si>
    <t>Financial advisers - Isio</t>
  </si>
  <si>
    <t>%</t>
  </si>
  <si>
    <t>www.inspire-wealth.co.uk</t>
  </si>
  <si>
    <t>www. 2 plan.com</t>
  </si>
  <si>
    <t>hfsmilbourne.co.uk/</t>
  </si>
  <si>
    <t>Now part of Evelyn financial planning business</t>
  </si>
  <si>
    <t>https://find-and-update.company-information.service.gov.uk/company/02061008/filing-history</t>
  </si>
  <si>
    <t>www.ardentuk.com</t>
  </si>
  <si>
    <t>Page offline</t>
  </si>
  <si>
    <t>www.davidducker.co.uk</t>
  </si>
  <si>
    <t>www.tabifa.com</t>
  </si>
  <si>
    <t>www.fosterdenovo.com</t>
  </si>
  <si>
    <t>www.asset-im.co.uk</t>
  </si>
  <si>
    <t>www.straighttalkfinancial.co.uk</t>
  </si>
  <si>
    <t xml:space="preserve">using wealthify and Aviva </t>
  </si>
  <si>
    <t>Wealth Management – Acuity</t>
  </si>
  <si>
    <t>www.blme.com</t>
  </si>
  <si>
    <t>www.equilibriumcapital.com</t>
  </si>
  <si>
    <t>No active website</t>
  </si>
  <si>
    <t>www.aesinternational.com</t>
  </si>
  <si>
    <t>https://find-and-update.company-information.service.gov.uk/company/02030706/filing-history</t>
  </si>
  <si>
    <t>www.iwpuk.co.uk</t>
  </si>
  <si>
    <t>www.thomasanthony.com</t>
  </si>
  <si>
    <t>https://cernocapital.com/</t>
  </si>
  <si>
    <t>www.pensionsuk.co.uk</t>
  </si>
  <si>
    <t>http://www.ellislloydjones.co.uk/our-financial-services/</t>
  </si>
  <si>
    <t>www.qib - uk.com</t>
  </si>
  <si>
    <t>www.kroll.com</t>
  </si>
  <si>
    <t>www.plurimi.com</t>
  </si>
  <si>
    <t>https://sgfinance.ifa - web.co.uk/</t>
  </si>
  <si>
    <t>www.edisonwm.com</t>
  </si>
  <si>
    <t>www.lannercapital.co.uk</t>
  </si>
  <si>
    <t>https://find-and-update.company-information.service.gov.uk/company/00607039/filing-history</t>
  </si>
  <si>
    <t>www.wealthwide.co.uk</t>
  </si>
  <si>
    <t>www.connorbroadley.co.uk</t>
  </si>
  <si>
    <t>http://boultonfinancial. ifa-web.co.uk/</t>
  </si>
  <si>
    <t>www.viawealth.co.uk</t>
  </si>
  <si>
    <t>www.tdfinancial.co.uk</t>
  </si>
  <si>
    <t>https://consilium-ifa.co.uk</t>
  </si>
  <si>
    <t>Under Evelyn</t>
  </si>
  <si>
    <t>https://find-and-update.company-information.service.gov.uk/company/02146006/filing-history</t>
  </si>
  <si>
    <t>www.marksbaughan.com</t>
  </si>
  <si>
    <t>www.lgtwm.com</t>
  </si>
  <si>
    <t>https://find-and-update.company-information.service.gov.uk/company/02519968/filing-history</t>
  </si>
  <si>
    <t>www.ipscap.com</t>
  </si>
  <si>
    <t>www.lift-financial.com</t>
  </si>
  <si>
    <t>www.signetfinancialservices.co.uk</t>
  </si>
  <si>
    <t>www.quantumadvisory.co.uk</t>
  </si>
  <si>
    <t>www.cmcfp.co.uk</t>
  </si>
  <si>
    <t>www.hawksmoorim.co.uk</t>
  </si>
  <si>
    <t>www.cilbenrick.co.uk</t>
  </si>
  <si>
    <t>www.brookswm.co.uk</t>
  </si>
  <si>
    <t>rwafinance.co.uk</t>
  </si>
  <si>
    <t>www.eandgfs.com</t>
  </si>
  <si>
    <t>https://www.sunglobal.co.uk/</t>
  </si>
  <si>
    <t>https://yifal.co.uk/</t>
  </si>
  <si>
    <t>www.lincolninternational.com</t>
  </si>
  <si>
    <t>www.cheshirewealth. investments</t>
  </si>
  <si>
    <t>http://www.taylorhartley.com/</t>
  </si>
  <si>
    <t>www.ifasgroup.co.uk</t>
  </si>
  <si>
    <t>www.miopartners.com</t>
  </si>
  <si>
    <t>www.jordanfm.co.uk</t>
  </si>
  <si>
    <t>www.yvonnegoodwin.co.uk</t>
  </si>
  <si>
    <t>www.brownadvisory.com</t>
  </si>
  <si>
    <t>www.mkcwealth.com</t>
  </si>
  <si>
    <t>www.jwfinance.co.uk</t>
  </si>
  <si>
    <t>https://partners - cap.com/</t>
  </si>
  <si>
    <t>http://www.equityforgrowth.com</t>
  </si>
  <si>
    <t>www.candjfsl.co.uk</t>
  </si>
  <si>
    <t>Meet the Team - Midas Financial Planning</t>
  </si>
  <si>
    <t>kfharty.com</t>
  </si>
  <si>
    <t>www.hanoverwm.co.uk</t>
  </si>
  <si>
    <t>www.excaliber-ifa.co.uk</t>
  </si>
  <si>
    <t>https://ucapital - am.com</t>
  </si>
  <si>
    <t>operii.co.uk</t>
  </si>
  <si>
    <t>www.hfp.co.uk</t>
  </si>
  <si>
    <t>https://find-and-update.company-information.service.gov.uk/company/03133226/filing-history</t>
  </si>
  <si>
    <t>www.elliotfletcher.com</t>
  </si>
  <si>
    <t>usa.evelyn.com</t>
  </si>
  <si>
    <t>Investment management arm also housing financial advisers</t>
  </si>
  <si>
    <t>www.bailey-fs.co.uk</t>
  </si>
  <si>
    <t>https://www.alantra.com/global - presence/united - kingdom - investment - banking/</t>
  </si>
  <si>
    <t>https://hutchisonwhite.co.uk/</t>
  </si>
  <si>
    <t>www.londonwm.co.uk</t>
  </si>
  <si>
    <t>www.logicalfinancial.co.uk</t>
  </si>
  <si>
    <t>www.gribbenandwatt.com</t>
  </si>
  <si>
    <t>https://www.crossbridgecapital.com/</t>
  </si>
  <si>
    <t>www.clifton-asset.co.uk</t>
  </si>
  <si>
    <t>https://find-and-update.company-information.service.gov.uk/company/OC369632/filing-history</t>
  </si>
  <si>
    <t>Class as IT due to the large range of third party product available to fideliy advisors</t>
  </si>
  <si>
    <t>https://www.fidelity.co.uk/media/PI%20UK/pdf/fidelity-wealth-management-tob.pdf</t>
  </si>
  <si>
    <t>Fidelity Select 50 Balanced Fund PI Accumulation Shares Key Statistics | GB00BF8DCB08 | Fidelity</t>
  </si>
  <si>
    <t>FINANCIAL ADMINISTRATION SERVICES LIMITED filing history - Find and update company information - GOV.UK</t>
  </si>
  <si>
    <t>www.traffordandhoughton.com</t>
  </si>
  <si>
    <t>www.faireyassociates.co.uk</t>
  </si>
  <si>
    <t>FIL WEALTH MANAGEMENT LIMITED filing history - Find and update company information - GOV.UK</t>
  </si>
  <si>
    <t>www.hanson-ifa.co.uk</t>
  </si>
  <si>
    <t>www.financialrelationships.co.uk</t>
  </si>
  <si>
    <t>www.hexagonwealth.co.uk</t>
  </si>
  <si>
    <t>www.argyllpartners.co.uk</t>
  </si>
  <si>
    <t>www.css - investments.com</t>
  </si>
  <si>
    <t>www.tsprivatecapital.co.uk</t>
  </si>
  <si>
    <t>www.cobensgroup.co.uk</t>
  </si>
  <si>
    <t>www.fiduciawealth.co.uk</t>
  </si>
  <si>
    <t>https://www.fiduciawealth.co.uk/about/financial-advisor-fees/</t>
  </si>
  <si>
    <t>FIDUCIA WEALTH MANAGEMENT LIMITED filing history - Find and update company information - GOV.UK</t>
  </si>
  <si>
    <t>http://www.monentipartners.com/</t>
  </si>
  <si>
    <t>www.kirbyandco.com</t>
  </si>
  <si>
    <t>www.knightsbridgewm.com</t>
  </si>
  <si>
    <t>www.chnfc.co.uk</t>
  </si>
  <si>
    <t>https://www.generatewealth.co.uk/wp/how-we-charge/</t>
  </si>
  <si>
    <t>GENESIS WEALTH MANAGEMENT LIMITED filing history - Find and update company information - GOV.UK</t>
  </si>
  <si>
    <t>www.menzieswm.co.uk</t>
  </si>
  <si>
    <t>GRANGEWOOD FINANCIAL MANAGEMENT LIMITED filing history - Find and update company information - GOV.UK</t>
  </si>
  <si>
    <t>cormorantpartners.co.uk</t>
  </si>
  <si>
    <t>www.vintageassetmanagement.co.uk</t>
  </si>
  <si>
    <t>www.masecoprivatewealth.com</t>
  </si>
  <si>
    <t>www.allenbycapital.com</t>
  </si>
  <si>
    <t>http://www.mcm-bespoke.com</t>
  </si>
  <si>
    <t>www.talbotcapital.co.uk</t>
  </si>
  <si>
    <t>https://www.hbdobbin.com/about-us/our-fees/</t>
  </si>
  <si>
    <t>HB DOBBIN FINANCIAL PLANNING LIMITED filing history - Find and update company information - GOV.UK</t>
  </si>
  <si>
    <t>www.fernedene.com</t>
  </si>
  <si>
    <t>https://www.ib - capital.com/</t>
  </si>
  <si>
    <t>www.avnwealthmanagers.co.uk</t>
  </si>
  <si>
    <t>www.brightinvestments.co.uk</t>
  </si>
  <si>
    <t>www.guardianstockbrokers.com</t>
  </si>
  <si>
    <t>Â£85,000</t>
  </si>
  <si>
    <t>www.midlandfinancialsolutions.co.uk</t>
  </si>
  <si>
    <t>www.barnett - waddingham.co.uk</t>
  </si>
  <si>
    <t>www.aspinplan.com</t>
  </si>
  <si>
    <t>https://www.pndales.co.uk/wp-content/uploads/2015/05/First-Time-Buyer-Guide.pdf</t>
  </si>
  <si>
    <t>https://www.tidewayinvestment.co.uk/</t>
  </si>
  <si>
    <t>https://tidewaywealth.co.uk/wp-content/uploads/2026/01/20260109-Third-Party-Fees-Guide.pdf</t>
  </si>
  <si>
    <t>http://www. 2020 financial.co.uk</t>
  </si>
  <si>
    <t>www.jmtaylor-ifa.co.uk</t>
  </si>
  <si>
    <t>www.heathcotefp.co.uk</t>
  </si>
  <si>
    <t>https://www.heathcotefp.co.uk/our-fees/</t>
  </si>
  <si>
    <t>https://find-and-update.company-information.service.gov.uk/company/08734287/filing-history</t>
  </si>
  <si>
    <t>www.swcindependent.co.uk</t>
  </si>
  <si>
    <t>www.generationfs.co.uk</t>
  </si>
  <si>
    <t>www.fbs - ifa.com</t>
  </si>
  <si>
    <t>Removed as ongoing is not detailed even while they have one</t>
  </si>
  <si>
    <t>https://www.henleylifeandpensions.com/cost-of-advice</t>
  </si>
  <si>
    <t>Using last account from 2013 now a sole trader and does not file accounts anymore</t>
  </si>
  <si>
    <t>No ongoing</t>
  </si>
  <si>
    <t>www.redmayne.co.uk</t>
  </si>
  <si>
    <t>www.renaissanceifa.co.uk</t>
  </si>
  <si>
    <t>www.wilcocksandwilcocks.co.uk</t>
  </si>
  <si>
    <t>http://bobfarrington. ifa-web.co.uk/</t>
  </si>
  <si>
    <t>www.adlerfp.co.uk</t>
  </si>
  <si>
    <t>www.gordianifa.co.uk</t>
  </si>
  <si>
    <t>www.siriusmoney.co.uk</t>
  </si>
  <si>
    <t>www.integral-ifa.co.uk</t>
  </si>
  <si>
    <t>www.rocap.co.uk</t>
  </si>
  <si>
    <t>www.cadeandco.co.uk</t>
  </si>
  <si>
    <t>www.dexterityifa.com</t>
  </si>
  <si>
    <t>www.mowattfp.co.uk</t>
  </si>
  <si>
    <t>www.mbcapital.co.uk</t>
  </si>
  <si>
    <t>www.thomsonferrie.co.uk</t>
  </si>
  <si>
    <t>www.ascfinancialsolutions.co.uk</t>
  </si>
  <si>
    <t>www.clarkefencott.co.uk</t>
  </si>
  <si>
    <t>binarycapital.co.uk</t>
  </si>
  <si>
    <t>www.yoursfinancially.co.uk</t>
  </si>
  <si>
    <t>https://www.heritableltd.co.uk/wp-content/uploads/2024/11/Heritable-Client-Agreement-Investments-and-Pensions-V2.pdf</t>
  </si>
  <si>
    <t>HERITABLE LIMITED filing history - Find and update company information - GOV.UK</t>
  </si>
  <si>
    <t>www.thompsonfc.com</t>
  </si>
  <si>
    <t>How we are paid | Obsidian | Financial Advisers | Staffordshire</t>
  </si>
  <si>
    <t>https://www.hfmcwealth.com/wp-content/uploads/2025/02/HFMC-Important-Information-2025.pdf</t>
  </si>
  <si>
    <t>www.cjt.uk.com</t>
  </si>
  <si>
    <t>www.florins.co.uk</t>
  </si>
  <si>
    <t>www.arbion.com</t>
  </si>
  <si>
    <t>www.jameshambro.com</t>
  </si>
  <si>
    <t>www.shipmanfp.co.uk</t>
  </si>
  <si>
    <t>https://quantickfinancialservices.com/</t>
  </si>
  <si>
    <t>www.hfmcwealth.com</t>
  </si>
  <si>
    <t>Select Full accounts made up to April 2024</t>
  </si>
  <si>
    <t>www.goodmansfp.com</t>
  </si>
  <si>
    <t>www.glebeportman.com</t>
  </si>
  <si>
    <t>altyxfp.com</t>
  </si>
  <si>
    <t>www.iurcapital.com</t>
  </si>
  <si>
    <t>www.cbhbank.com/uk</t>
  </si>
  <si>
    <t>www.emiratesnbd.co.uk</t>
  </si>
  <si>
    <t>www.chrystalcapital.com</t>
  </si>
  <si>
    <t>kingsfleetwealth.co.uk</t>
  </si>
  <si>
    <t>www.belisariuswm.co.uk</t>
  </si>
  <si>
    <t>www.yewtreefp.co.uk</t>
  </si>
  <si>
    <t>www.altiorvita.com</t>
  </si>
  <si>
    <t>www.ashbergmfo.com</t>
  </si>
  <si>
    <t>www.westwakeprice.co.uk</t>
  </si>
  <si>
    <t>www.spangel.co.uk</t>
  </si>
  <si>
    <t>http://www.versoim.com/</t>
  </si>
  <si>
    <t>www.tenwealth.co.uk</t>
  </si>
  <si>
    <t>www.amgwealthsolutions.co.uk</t>
  </si>
  <si>
    <t>http://www.pfgl.co.uk/north</t>
  </si>
  <si>
    <t>www.chatfieldprivateclient.com</t>
  </si>
  <si>
    <t>www.langtoncapital.co.uk</t>
  </si>
  <si>
    <t>www.atlanticswissprivateclients.com</t>
  </si>
  <si>
    <t>nfp.co.uk</t>
  </si>
  <si>
    <t>www.aspirellp.co.uk</t>
  </si>
  <si>
    <t>min 350k investable hence 1% of 350k for fee</t>
  </si>
  <si>
    <t>https://www.highwood.co.uk/fees/</t>
  </si>
  <si>
    <t>HIGHWOOD FINANCIAL SERVICES LIMITED filing history - Find and update company information - GOV.UK</t>
  </si>
  <si>
    <t>www.milburndavies.co.uk</t>
  </si>
  <si>
    <t>www.hl.co.uk/financial-advice</t>
  </si>
  <si>
    <t>They don't manufacture they have a large panel of product</t>
  </si>
  <si>
    <t>https://www.hl.co.uk/financial-advice</t>
  </si>
  <si>
    <t>HL Balanced Managed (Class A) Accumulation Fund Price &amp; Information</t>
  </si>
  <si>
    <t>HARGREAVES LANSDOWN ADVISORY SERVICES LIMITED filing history - Find and update company information - GOV.UK</t>
  </si>
  <si>
    <t>https://www.holden-partners.co.uk/</t>
  </si>
  <si>
    <t>Ongoing advice included in fee</t>
  </si>
  <si>
    <t>https://www.holden-partners.co.uk/fees/</t>
  </si>
  <si>
    <t>select 2024 total exemption full accounts</t>
  </si>
  <si>
    <t>www.montpellierasset.com</t>
  </si>
  <si>
    <t>www.holden - partners.co.uk</t>
  </si>
  <si>
    <t>PETER R.T. HOLDEN &amp; PARTNERS LLP filing history - Find and update company information - GOV.UK</t>
  </si>
  <si>
    <t>https://www.bridgeifa.com/</t>
  </si>
  <si>
    <t>www.px - wealth.com</t>
  </si>
  <si>
    <t>www.censuswm.co.uk</t>
  </si>
  <si>
    <t>www.nelsonslaw.co.uk</t>
  </si>
  <si>
    <t>www.sylvafinancialplanning.com</t>
  </si>
  <si>
    <t>https://www.abnamro.com/en/home</t>
  </si>
  <si>
    <t>inspiredfs.co.uk</t>
  </si>
  <si>
    <t>www.bramptonindependent.co.uk</t>
  </si>
  <si>
    <t>www.washington-square.co.uk</t>
  </si>
  <si>
    <t>https://www.investaxlimited.co.uk/our-fees/</t>
  </si>
  <si>
    <t>INVESTAX LIMITED filing history - Find and update company information - GOV.UK</t>
  </si>
  <si>
    <t>synergy. tppowered.com</t>
  </si>
  <si>
    <t>www.investing-ethically.co.uk</t>
  </si>
  <si>
    <t>https://www.investing-ethically.co.uk/new-wordpress/wp-content/uploads/2024/01/investing-ethically-client-fee-agreement-v11-march-2023-st0072.pdf</t>
  </si>
  <si>
    <t>INVESTING ETHICALLY LTD filing history - Find and update company information - GOV.UK</t>
  </si>
  <si>
    <t>www.hansonam.com</t>
  </si>
  <si>
    <t>www.fordharrisonifa.co.uk</t>
  </si>
  <si>
    <t>www.premierfinancialgroup.co.uk</t>
  </si>
  <si>
    <t>www.pfgl.co.uk/gould</t>
  </si>
  <si>
    <t>www.w 1 finance.com</t>
  </si>
  <si>
    <t>https://www.isisfp.co.uk/fees/</t>
  </si>
  <si>
    <t>ISIS FINANCIAL PLANNERS LIMITED filing history - Find and update company information - GOV.UK</t>
  </si>
  <si>
    <t>www.ifamax.com</t>
  </si>
  <si>
    <t>https://www.kdw.co.uk/assets/downloads/client-agreement-2023.pdf</t>
  </si>
  <si>
    <t>KD WRIGHT FINANCIAL SERVICES LIMITED filing history - Find and update company information - GOV.UK</t>
  </si>
  <si>
    <t>www.swm-ltd.co.uk</t>
  </si>
  <si>
    <t>www.vanguardinvestor.co.uk</t>
  </si>
  <si>
    <t>www.jigsaw-cfm.co.uk</t>
  </si>
  <si>
    <t>https://www.keyte.co/services/fees-and-charges</t>
  </si>
  <si>
    <t>KEYTE LIMITED filing history - Find and update company information - GOV.UK</t>
  </si>
  <si>
    <t>www.heatonfinancial.co.uk</t>
  </si>
  <si>
    <t>www.christophercharles.com</t>
  </si>
  <si>
    <t>www.elitefinancialconsulting.co.uk</t>
  </si>
  <si>
    <t>www.labourse.co.uk</t>
  </si>
  <si>
    <t>Initial fee tiered, 1.5% on 50k and 1% on top 50k</t>
  </si>
  <si>
    <t>https://www.labourse.co.uk/client-agreement/</t>
  </si>
  <si>
    <t>LA BOURSE LIMITED filing history - Find and update company information - GOV.UK</t>
  </si>
  <si>
    <t>www.holbeinpartners.com</t>
  </si>
  <si>
    <t>www.opus-ifp.com</t>
  </si>
  <si>
    <t>www.lfpassetmanagement.com</t>
  </si>
  <si>
    <t>https://www.lfpassetmanagement.com/lfp-asset-management-fee-structure/</t>
  </si>
  <si>
    <t>LFP LIMITED filing history - Find and update company information - GOV.UK</t>
  </si>
  <si>
    <t>www.thomasfear.co.uk</t>
  </si>
  <si>
    <t>Per hour charge</t>
  </si>
  <si>
    <t>https://www.lowco.uk/wp-content/uploads/2017/11/LOWCO-TERMS-CONDITIONS.pdf</t>
  </si>
  <si>
    <t>J H LOWSON &amp; COMPANY LIMITED filing history - Find and update company information - GOV.UK</t>
  </si>
  <si>
    <t>www.mandg.com/wealth/advice</t>
  </si>
  <si>
    <t>Part of M&amp;G/ no ongoing mentioned</t>
  </si>
  <si>
    <t>https://www.mandg.com/wealth/advice/our-services/costs-and-charges</t>
  </si>
  <si>
    <t>M&amp;G WEALTH SOLUTIONS LIMITED filing history - Find and update company information - GOV.UK</t>
  </si>
  <si>
    <t>www.russellgibson.co.uk</t>
  </si>
  <si>
    <t>http://ergfinancialplanning.com/</t>
  </si>
  <si>
    <t>www.magentafinancialservicesltd.co.uk</t>
  </si>
  <si>
    <t>www.smithsquarepartners.com</t>
  </si>
  <si>
    <t>https://pelicantrading.io/</t>
  </si>
  <si>
    <t xml:space="preserve">No ongoing as investment will be discretionary </t>
  </si>
  <si>
    <t>https://www.miltonpj.net/our-charges/</t>
  </si>
  <si>
    <t>Balanced Portfolio.pdf</t>
  </si>
  <si>
    <t>PHILIP J MILTON &amp; COMPANY PLC filing history - Find and update company information - GOV.UK</t>
  </si>
  <si>
    <t>www.begbies-traynor.com</t>
  </si>
  <si>
    <t>www.salusfs.co.uk</t>
  </si>
  <si>
    <t>www.aurahexaa.com</t>
  </si>
  <si>
    <t>www.rutherfordassetmanagement.co.uk</t>
  </si>
  <si>
    <t>Siriusfp.co.uk</t>
  </si>
  <si>
    <t>www.egrwealth.com</t>
  </si>
  <si>
    <t>www.bdwm.co.uk</t>
  </si>
  <si>
    <t>https://www.mlfinancialassociates.co.uk/wp-content/uploads/2024/01/MLFA-Glossary-Of-Terms-Website-June-2023-v3.pdf</t>
  </si>
  <si>
    <t>www.shardcapital.com</t>
  </si>
  <si>
    <t>www.kvika.co.uk</t>
  </si>
  <si>
    <t>www.eqinvestors.co.uk</t>
  </si>
  <si>
    <t>https://www.financialmoves.org</t>
  </si>
  <si>
    <t>www.schofield. money</t>
  </si>
  <si>
    <t>www.harriswilliams.com</t>
  </si>
  <si>
    <t>www.cliftonwealthpartnership.co.uk</t>
  </si>
  <si>
    <t>www.mmgfm.co.uk</t>
  </si>
  <si>
    <t>www.panthera.co.uk</t>
  </si>
  <si>
    <t>www.plutuswealth.com</t>
  </si>
  <si>
    <t>nortonconnor.uk</t>
  </si>
  <si>
    <t>https://alti - global.com/</t>
  </si>
  <si>
    <t>www.oconnorfs.co.uk</t>
  </si>
  <si>
    <t>www.oanda.com</t>
  </si>
  <si>
    <t>http://www.interestme.co.uk/</t>
  </si>
  <si>
    <t>www.YOU - Asset.co.uk</t>
  </si>
  <si>
    <t>www.partnershipfp.co.uk</t>
  </si>
  <si>
    <t>www.ashcombeadvisers.co.uk</t>
  </si>
  <si>
    <t>www.plumbfs.co.uk</t>
  </si>
  <si>
    <t>www.downing.co.uk</t>
  </si>
  <si>
    <t>www.capitaltower.co.uk</t>
  </si>
  <si>
    <t>www.barnsher.co.uk</t>
  </si>
  <si>
    <t>RBS, NatWest and Coutts all one company</t>
  </si>
  <si>
    <t>https://www.natwest.com/investments/five-ready-made-funds.html</t>
  </si>
  <si>
    <t>https://www.rbs.co.uk/content/dam/royal_bank_of_scotland/personal/current-accounts/documents/PersonalXandXPrivateXCurrentXAccountXTerms.pdf</t>
  </si>
  <si>
    <t>https://find-and-update.company-information.service.gov.uk/company/00929027/filing-history</t>
  </si>
  <si>
    <t>Investment Advice | Premier | NatWest</t>
  </si>
  <si>
    <t>https://iqeq.com/sapia/</t>
  </si>
  <si>
    <t>www.financeshopgroup.com</t>
  </si>
  <si>
    <t>https://www.home.saxo/en - gb/</t>
  </si>
  <si>
    <t>www.coutts.com</t>
  </si>
  <si>
    <t>Using NatWest/RBS Premier rate as these all same firm</t>
  </si>
  <si>
    <t>https://find-and-update.company-information.service.gov.uk/company/00036695/filing-history</t>
  </si>
  <si>
    <t>www.parkwayfp.co.uk</t>
  </si>
  <si>
    <t>www.ententepartners.com</t>
  </si>
  <si>
    <t>www.jamesphillips.co.uk</t>
  </si>
  <si>
    <t>www.geminifinancialplanning.co.uk</t>
  </si>
  <si>
    <t>www.clarkerobinson.co.uk</t>
  </si>
  <si>
    <t>www.mjrwm.co.uk</t>
  </si>
  <si>
    <t>Fund cost includes 0.15% platform fee</t>
  </si>
  <si>
    <t>https://www.natwest.com/premier-banking/financial-advice/investment-advice.html</t>
  </si>
  <si>
    <t>THE ROYAL BANK OF SCOTLAND PUBLIC LIMITED COMPANY filing history - Find and update company information - GOV.UK</t>
  </si>
  <si>
    <t>http://www.elysiumcf.co.uk/</t>
  </si>
  <si>
    <t>www.invfit.co.uk</t>
  </si>
  <si>
    <t>Ongoing not compulsory but review service are availabe, ongoing is the review charge for a standard service</t>
  </si>
  <si>
    <t>https://www.nextchapterfp.co.uk/https://www.nextchapterfp.co.uk/</t>
  </si>
  <si>
    <t>NEXT CHAPTER FINANCIAL PLANNING LIMITED filing history - Find and update company information - GOV.UK</t>
  </si>
  <si>
    <t>www.morrisfp.co.uk</t>
  </si>
  <si>
    <t>www.vedantahedging.com</t>
  </si>
  <si>
    <t>www.christianjonesfinancialservices.co.uk</t>
  </si>
  <si>
    <t>www.harveyspencer.co.uk</t>
  </si>
  <si>
    <t>www.bskfp.co.uk</t>
  </si>
  <si>
    <t>https://richmondwealth.co.uk/wp-content/uploads/2019/01/Adventurous-KIID.pdf</t>
  </si>
  <si>
    <t>www.financelab.co.uk</t>
  </si>
  <si>
    <t>www.coloma - wealth.com</t>
  </si>
  <si>
    <t>www.compass-ifs.co.uk</t>
  </si>
  <si>
    <t>www.parkviewfs.com</t>
  </si>
  <si>
    <t>www.ngmtaxlaw.co.uk</t>
  </si>
  <si>
    <t>www.thomsongray.co.uk</t>
  </si>
  <si>
    <t>www.growthdeck.com</t>
  </si>
  <si>
    <t>www.gildencrestcapital.co.uk</t>
  </si>
  <si>
    <t>www.plainenglishfinance.co.uk</t>
  </si>
  <si>
    <t>www.vizionwealth.co.uk</t>
  </si>
  <si>
    <t>www.sheldonflandersfinancialservices.co.uk</t>
  </si>
  <si>
    <t>Www.FSWealth.co.uk</t>
  </si>
  <si>
    <t>www.carringtonwm.co.uk</t>
  </si>
  <si>
    <t>inkfinancial.co.uk</t>
  </si>
  <si>
    <t>https://www.nfumutual.co.uk/globalassets/projects/direct-online/financial-planning-terms-of-business.pdf</t>
  </si>
  <si>
    <t>NFU MUTUAL SELECT INVESTMENTS LIMITED filing history - Find and update company information - GOV.UK</t>
  </si>
  <si>
    <t>http://www.SingerCM.com/</t>
  </si>
  <si>
    <t>www.oatesfp.co.uk</t>
  </si>
  <si>
    <t>www.halewm.co.uk</t>
  </si>
  <si>
    <t>www.moyes. investments</t>
  </si>
  <si>
    <t>www.cliftonbc.co.uk</t>
  </si>
  <si>
    <t>www.hawkerandpalmer.com</t>
  </si>
  <si>
    <t>www.bentleyreid.com</t>
  </si>
  <si>
    <t>www.rockpool.uk.com</t>
  </si>
  <si>
    <t>www.whitchurchifa.co.uk</t>
  </si>
  <si>
    <t>www.skfinancial.net</t>
  </si>
  <si>
    <t>https://www.personalinvesting.jpmorgan.com/legal/schedule-of-fees-and-charges</t>
  </si>
  <si>
    <t>JPM Multi-Asset Cautious Fund C - Net Accumulation</t>
  </si>
  <si>
    <t>https://find-and-update.company-information.service.gov.uk/company/07503666/filing-history</t>
  </si>
  <si>
    <t>https://www.personalinvesting.jpmorgan.com</t>
  </si>
  <si>
    <t>Nutmeg is also under JPM offering a lower level service. Core/standard service fee selected</t>
  </si>
  <si>
    <t>www.holderandcombes.co.uk</t>
  </si>
  <si>
    <t>www.harringtonandhorne.co.uk</t>
  </si>
  <si>
    <t>www.gp 3 fs.com</t>
  </si>
  <si>
    <t>https://www.pwcltd.co.uk/wp-content/uploads/2023/10/Client-Agreement-CDR-July-2023-1-8.pdf</t>
  </si>
  <si>
    <t>POSITIVE WEALTH CREATION LTD filing history - Find and update company information - GOV.UK</t>
  </si>
  <si>
    <t>www.mitchellharper.co.uk</t>
  </si>
  <si>
    <t>www.scottsdaleifa.co.uk</t>
  </si>
  <si>
    <t>www.mindingyourcash.co.uk</t>
  </si>
  <si>
    <t>www.quilter.com</t>
  </si>
  <si>
    <t>https://find-and-update.company-information.service.gov.uk/company/03276760/filing-history</t>
  </si>
  <si>
    <t>Censored for failings in DB pension transfers</t>
  </si>
  <si>
    <t>https://find-and-update.company-information.service.gov.uk/company/04086645/filing-history</t>
  </si>
  <si>
    <t>https://quantfury.co.uk/</t>
  </si>
  <si>
    <t>www.orbitfc. trustedadviser. info</t>
  </si>
  <si>
    <t>QUILTER WEALTH LIMITED filing history - Find and update company information - GOV.UK</t>
  </si>
  <si>
    <t>www.hwwltd.co.uk</t>
  </si>
  <si>
    <t>https://atlanti.ch/</t>
  </si>
  <si>
    <t>www.adroitfp.co.uk</t>
  </si>
  <si>
    <t>www.fergusonlaw.co.uk</t>
  </si>
  <si>
    <t>www.gilbertstephensfs.co.uk</t>
  </si>
  <si>
    <t>QUILTER FINANCIAL SERVICES LIMITED filing history - Find and update company information - GOV.UK</t>
  </si>
  <si>
    <t>premiercommercialwealth.com</t>
  </si>
  <si>
    <t>Platform fee added to investment fee</t>
  </si>
  <si>
    <t>https://find-and-update.company-information.service.gov.uk/company/06784783/filing-history</t>
  </si>
  <si>
    <t>www.raelmes.co.uk</t>
  </si>
  <si>
    <t>https://www.raelmes.co.uk/_files/ugd/ea90fb_e4d0c1f07d4a4734bc61e18543520469.pdf</t>
  </si>
  <si>
    <t>RA ELMES LIMITED filing history - Find and update company information - GOV.UK</t>
  </si>
  <si>
    <t>https://www.rdsfinancial.co.uk/sites/rdsfinancial/files/2023-08/RDS-Terms-May-23.pdf</t>
  </si>
  <si>
    <t>RDS FINANCIAL CONSULTANTS LIMITED filing history - Find and update company information - GOV.UK</t>
  </si>
  <si>
    <t>www.themoneymap.co.uk</t>
  </si>
  <si>
    <t xml:space="preserve">The ongoing might be higher as they have indicated ongoing for over 100k investment </t>
  </si>
  <si>
    <t>https://www.richardsons-fs.co.uk/wp-content/uploads/2024/08/Retail-Client-Agreement-Jul-25-with-RFS-declaration.pdf</t>
  </si>
  <si>
    <t>RICHARDSONS FINANCIAL SERVICES LIMITED filing history - Find and update company information - GOV.UK</t>
  </si>
  <si>
    <t>https://www.rosan-ifa.com/wp-content/uploads/2025/04/Client-Agreement-2025.pdf</t>
  </si>
  <si>
    <t>ROSAN HELMSLEY LIMITED filing history - Find and update company information - GOV.UK</t>
  </si>
  <si>
    <t>www.tieronecapital.co.uk</t>
  </si>
  <si>
    <t>www.smythehouse.co.uk</t>
  </si>
  <si>
    <t>www.mountstonepartners.com</t>
  </si>
  <si>
    <t>Initial 3172.50 + 0.5&amp; implementation</t>
  </si>
  <si>
    <t>https://www.salisbury.co.uk/terms-resources/</t>
  </si>
  <si>
    <t>SALISBURY FINANCIAL SERVICES LIMITED filing history - Find and update company information - GOV.UK</t>
  </si>
  <si>
    <t>www.santander.co.uk</t>
  </si>
  <si>
    <t>Advice fee from 500/20k investment indicated and ongoing is wrapped in plartform fee</t>
  </si>
  <si>
    <t>https://www.santander.co.uk/personal/savings-and-investments/investments/fees-charges-and-key-documents</t>
  </si>
  <si>
    <t>https://www.santanderassetmanagement.co.uk/tools#/fund-centre</t>
  </si>
  <si>
    <t>SANTANDER UK PLC filing history - Find and update company information - GOV.UK</t>
  </si>
  <si>
    <t>www.londonwallpartners.com</t>
  </si>
  <si>
    <t>ascfinancialadvisers.co.uk</t>
  </si>
  <si>
    <t>SEED FINANCIAL PLANNING LIMITED filing history - Find and update company information - GOV.UK</t>
  </si>
  <si>
    <t>www.sm - asset.com</t>
  </si>
  <si>
    <t>www.lgtwm - us.com</t>
  </si>
  <si>
    <t>http://www.fimcapital.co. im/</t>
  </si>
  <si>
    <t>www.merrixgrogan.com</t>
  </si>
  <si>
    <t>https://www.iq-fa.co.uk/wp-content/uploads/Client-agreement-2024.pdf</t>
  </si>
  <si>
    <t>http://henrijameswealth.com/</t>
  </si>
  <si>
    <t>www.darwinex.com</t>
  </si>
  <si>
    <t>www.absolutewm.co.uk</t>
  </si>
  <si>
    <t>https://www.hawsons.co.uk/financial-advice/</t>
  </si>
  <si>
    <t>www.cmswealth.co.uk</t>
  </si>
  <si>
    <t>www.qedifa.co.uk</t>
  </si>
  <si>
    <t>www.langham-associates.co.uk</t>
  </si>
  <si>
    <t>https://www.skipton.co.uk/financial-advice/financial-advice-at-skipton</t>
  </si>
  <si>
    <t>Annual Financial Report - 07:00:06 18 Feb 2026 - SG52 News article | London Stock Exchange</t>
  </si>
  <si>
    <t>www.jacobsandharris.co.uk</t>
  </si>
  <si>
    <t>www.skyboundwealth.co.uk</t>
  </si>
  <si>
    <t>https://www.skyboundwealth.co.uk/advice-fees</t>
  </si>
  <si>
    <t>SKYBOUND WEALTH MANAGEMENT LIMITED filing history - Find and update company information - GOV.UK</t>
  </si>
  <si>
    <t>Â£2,500</t>
  </si>
  <si>
    <t>Â£500,000</t>
  </si>
  <si>
    <t>www.cjhannan. biz</t>
  </si>
  <si>
    <t>https://www.derivativesvalue.co.uk/</t>
  </si>
  <si>
    <t>www.robsonlister.com</t>
  </si>
  <si>
    <t>GATEHOUSE-IFA LTD filing history - Find and update company information - GOV.UK</t>
  </si>
  <si>
    <t>https://www.dunefinancial.co.uk/</t>
  </si>
  <si>
    <t>www.ntmfs.co.uk</t>
  </si>
  <si>
    <t>www.mossandroberts.com</t>
  </si>
  <si>
    <t>http://www.cazenovecapital.com/</t>
  </si>
  <si>
    <t>Using the calculation tool on Schroders page</t>
  </si>
  <si>
    <t>https://www.spw.com/our-fees/</t>
  </si>
  <si>
    <t>FS-GB00BJRSQM30.pdf</t>
  </si>
  <si>
    <t>https://find-and-update.company-information.service.gov.uk/company/02280926/filing-history</t>
  </si>
  <si>
    <t>www.whitleyasset.com</t>
  </si>
  <si>
    <t>Part of schroder and Crazenove</t>
  </si>
  <si>
    <t>SCOTTISH WIDOWS SCHRODER PERSONAL WEALTH LIMITED filing history - Find and update company information - GOV.UK</t>
  </si>
  <si>
    <t>www.pumainvestments.co.uk</t>
  </si>
  <si>
    <t>www.blickrothenberg.com</t>
  </si>
  <si>
    <t>https://www.schroders.com/en/us/wealth - management/</t>
  </si>
  <si>
    <t>US business</t>
  </si>
  <si>
    <t>https://find-and-update.company-information.service.gov.uk/company/11722983/filing-history</t>
  </si>
  <si>
    <t>www. 72 wealth.co.uk</t>
  </si>
  <si>
    <t>www.haroldstephens.co.uk</t>
  </si>
  <si>
    <t>www.hobartcapital.com</t>
  </si>
  <si>
    <t>www.seabrookclark.co.uk</t>
  </si>
  <si>
    <t>www.vintagewealth.co.uk</t>
  </si>
  <si>
    <t>www.cwman.co.uk</t>
  </si>
  <si>
    <t>www.palmfinancial.co.uk</t>
  </si>
  <si>
    <t>www.buxtonberesford.co.uk</t>
  </si>
  <si>
    <t>www.theiceni.co.uk</t>
  </si>
  <si>
    <t>https://www.profilepensions.co.uk</t>
  </si>
  <si>
    <t>www.tellsons.co.uk</t>
  </si>
  <si>
    <t>www.womblebonddickinsonwealth.com</t>
  </si>
  <si>
    <t>www.galleonwealth.co.uk</t>
  </si>
  <si>
    <t>www.fenchurchadvisory.com</t>
  </si>
  <si>
    <t>www.thinksmart - finance.com</t>
  </si>
  <si>
    <t>www.hampsteadwealth.co.uk</t>
  </si>
  <si>
    <t>www.evolutionfs.co.uk</t>
  </si>
  <si>
    <t>https://www.lombardodier.com</t>
  </si>
  <si>
    <t>www.spw.com</t>
  </si>
  <si>
    <t>There is  a calculation tool on the page for fees</t>
  </si>
  <si>
    <t>Thank you for visiting the Integrity Wealth Management website | Brooks Macdonald</t>
  </si>
  <si>
    <t>www.gwmfinancial.co.uk</t>
  </si>
  <si>
    <t>www.langridge-ifa.com</t>
  </si>
  <si>
    <t>www.platinumgain.com</t>
  </si>
  <si>
    <t>www.richmondwealth.co.uk</t>
  </si>
  <si>
    <t>www.cwcapital.co.uk</t>
  </si>
  <si>
    <t>www.cityinvest.co.uk</t>
  </si>
  <si>
    <t>www.continuumwealth.co.uk</t>
  </si>
  <si>
    <t>www.lovedayandpartners.com</t>
  </si>
  <si>
    <t>www. 7 fg.co.uk</t>
  </si>
  <si>
    <t>www.currencysolutions.com</t>
  </si>
  <si>
    <t>www.cstwealth.co.uk</t>
  </si>
  <si>
    <t>www.cheltenhamifa.co.uk</t>
  </si>
  <si>
    <t>www.lic.uk.com</t>
  </si>
  <si>
    <t>www.debenwood.co.uk</t>
  </si>
  <si>
    <t>www.amethystifa.co.uk</t>
  </si>
  <si>
    <t>www.gfa-advisers.co.uk</t>
  </si>
  <si>
    <t>http://thepensionreviewbusiness.co.uk/</t>
  </si>
  <si>
    <t>www.ggandm.co.uk</t>
  </si>
  <si>
    <t>http://www.novitasftcl.com</t>
  </si>
  <si>
    <t>www.futurainvestments.co.uk</t>
  </si>
  <si>
    <t>www.lwmllp.co.uk</t>
  </si>
  <si>
    <t>www.sterlingandlaw.com</t>
  </si>
  <si>
    <t>https://www.sterlingandlaw.com/about-sterling-and-law/how-we-are-paid/</t>
  </si>
  <si>
    <t>STERLING &amp; LAW GROUP PLC filing history - Find and update company information - GOV.UK</t>
  </si>
  <si>
    <t>www.eafp.co.uk</t>
  </si>
  <si>
    <t>www.fieldsmacdonald.co.uk</t>
  </si>
  <si>
    <t>www.cavendishpw.com</t>
  </si>
  <si>
    <t>www.eightfourtwo.com</t>
  </si>
  <si>
    <t>www.greenarch.uk</t>
  </si>
  <si>
    <t>www.regisbentley.com</t>
  </si>
  <si>
    <t>https://www.sturdyedwards.co.uk/pdfs/Sturdy-Edwards-Client-Agreement-(Services-Charges).pdf</t>
  </si>
  <si>
    <t>STURDY EDWARDS (FINANCIAL SERVICES) LIMITED filing history - Find and update company information - GOV.UK</t>
  </si>
  <si>
    <t>www.advantawealth.co.uk</t>
  </si>
  <si>
    <t>www.oculuswealth.co.uk</t>
  </si>
  <si>
    <t>Arcaria.com</t>
  </si>
  <si>
    <t>www.acornfp.co.uk</t>
  </si>
  <si>
    <t>www.truepotential.co.uk</t>
  </si>
  <si>
    <t>No initial advice fee charged</t>
  </si>
  <si>
    <t>https://www.truepotential.co.uk/our-fees/https://www.truepotential.co.uk/our-fees/</t>
  </si>
  <si>
    <t>True-Potential-Allianz-Balanced-20260217.pdf</t>
  </si>
  <si>
    <t>Select full accounts made up to 31 December 2024</t>
  </si>
  <si>
    <t>www.wmgifa.co.uk</t>
  </si>
  <si>
    <t>www.sparrowscapital.com</t>
  </si>
  <si>
    <t>www.tpllp.com</t>
  </si>
  <si>
    <t>www.gowerhouse.co.uk</t>
  </si>
  <si>
    <t>www.townclose.money</t>
  </si>
  <si>
    <t>www.aabwealth.uk</t>
  </si>
  <si>
    <t>www.ilumiti.co.uk</t>
  </si>
  <si>
    <t xml:space="preserve">Hourly </t>
  </si>
  <si>
    <t>https://www.watsonfrench.co.uk/2022/12/19/terms-and-conditions/</t>
  </si>
  <si>
    <t>WATSON FRENCH LIMITED filing history - Find and update company information - GOV.UK</t>
  </si>
  <si>
    <t>https://www.theinkgroup.co.uk/s/210121_v2-The-Ink-Group-Terms-of-Business.pdf</t>
  </si>
  <si>
    <t>www.kippaxfs.com</t>
  </si>
  <si>
    <t>www.ingenuityfinancialservices.co.uk/</t>
  </si>
  <si>
    <t>www.pauldodd.co.uk</t>
  </si>
  <si>
    <t>https://www.wellsgibson.uk/wp-content/uploads/2022/10/202209_WG_Terms-of-Business_Final.pdf</t>
  </si>
  <si>
    <t>WELLS GIBSON LIMITED overview - Find and update company information - GOV.UK</t>
  </si>
  <si>
    <t>www.tanagerwealth.com</t>
  </si>
  <si>
    <t>www.robertbrucefp.com</t>
  </si>
  <si>
    <t>www.randalls.co.uk</t>
  </si>
  <si>
    <t>www.burleyfox.com</t>
  </si>
  <si>
    <t>www.jamesgregoryfinancial.com</t>
  </si>
  <si>
    <t>www.oysterfinancialplanning.co.uk</t>
  </si>
  <si>
    <t>www.moneytreefp.co.uk</t>
  </si>
  <si>
    <t>www.cordinerwealth.co.uk</t>
  </si>
  <si>
    <t>https://www.westminster-wealth.com/</t>
  </si>
  <si>
    <t>https://www.westminster-wealth.com/prices</t>
  </si>
  <si>
    <t>WESTMINSTER WEALTH MANAGEMENT LLP filing history - Find and update company information - GOV.UK</t>
  </si>
  <si>
    <t>www.shoreplymouth.co.uk</t>
  </si>
  <si>
    <t>www.FinAnalysis.co.uk</t>
  </si>
  <si>
    <t>www.tfagroup.co.uk</t>
  </si>
  <si>
    <t>Independent Financial Advice | Services &amp; Costs | TFA</t>
  </si>
  <si>
    <t>TOM FRENCH &amp; ASSOCIATES LIMITED filing history - Find and update company information - GOV.UK</t>
  </si>
  <si>
    <t>www.foresightws.co.uk</t>
  </si>
  <si>
    <t>Two company under same registration at FCA</t>
  </si>
  <si>
    <t>www.lpio.co.uk</t>
  </si>
  <si>
    <t>Initial Fees - Wolf Rock Financial Planning</t>
  </si>
  <si>
    <t>SCULTHORP SERVICES LIMITED filing history - Find and update company information - GOV.UK</t>
  </si>
  <si>
    <t xml:space="preserve">No ongoing </t>
  </si>
  <si>
    <t>www.brightharbour.co</t>
  </si>
  <si>
    <t>www.stonewoodwealth.com</t>
  </si>
  <si>
    <t>www.sandlenash.co.uk</t>
  </si>
  <si>
    <t>www.regalifs.com</t>
  </si>
  <si>
    <t>www.equitasfinancial. net</t>
  </si>
  <si>
    <t>www.watermead-financial.co.uk</t>
  </si>
  <si>
    <t>www.cavendishifa.co.uk</t>
  </si>
  <si>
    <t>www.hartsfield.co.uk</t>
  </si>
  <si>
    <t>www.emerylittle.com</t>
  </si>
  <si>
    <t>www.itmakessense. net</t>
  </si>
  <si>
    <t>www.autus.uk.com</t>
  </si>
  <si>
    <t>www.lanyonfp.com</t>
  </si>
  <si>
    <t>Lanyon Financial Planning Fees</t>
  </si>
  <si>
    <t>LANYON FINANCIAL PLANNING LIMITED filing history - Find and update company information - GOV.UK</t>
  </si>
  <si>
    <t>http://tmam.co.uk/</t>
  </si>
  <si>
    <t xml:space="preserve">Network with underlying advisers </t>
  </si>
  <si>
    <t>www.courtville.co.uk</t>
  </si>
  <si>
    <t>Leven Wealth Management |</t>
  </si>
  <si>
    <t>LEVEN WEALTH MANAGEMENT LIMITED filing history - Find and update company information - GOV.UK</t>
  </si>
  <si>
    <t>akur.co.uk</t>
  </si>
  <si>
    <t>www.fryfamilyoffice.com</t>
  </si>
  <si>
    <t>www.greshamwm.co.uk</t>
  </si>
  <si>
    <t>www.calexander.co.uk</t>
  </si>
  <si>
    <t>www.mackotecha.co.uk</t>
  </si>
  <si>
    <t>www.synergy - markets.com</t>
  </si>
  <si>
    <t>www.huntingtonross.co.uk</t>
  </si>
  <si>
    <t>www.aberdeenadviser.com</t>
  </si>
  <si>
    <t>www.aetherenergy.co.uk</t>
  </si>
  <si>
    <t>entirefs.co.uk</t>
  </si>
  <si>
    <t>www.lawfm.co.uk</t>
  </si>
  <si>
    <t>www.waverleycc.co.uk</t>
  </si>
  <si>
    <t>https://www.aegisfp.com</t>
  </si>
  <si>
    <t>www.plfm.co.uk</t>
  </si>
  <si>
    <t>www.wpsadvisory.com</t>
  </si>
  <si>
    <t>www.mishcon.com</t>
  </si>
  <si>
    <t>Luxecapital.co.uk</t>
  </si>
  <si>
    <t>www.molyneux-associates.co.uk</t>
  </si>
  <si>
    <t>www.ngenfp.com</t>
  </si>
  <si>
    <t>www.p-wm.co.uk</t>
  </si>
  <si>
    <t>www.furnleyhouse.co.uk</t>
  </si>
  <si>
    <t>www.hrs-am.co.uk</t>
  </si>
  <si>
    <t xml:space="preserve">Full fees details not included only ongoing was indicated which is insufficient </t>
  </si>
  <si>
    <t>https://www.hrs-am.co.uk/fees-and-charges</t>
  </si>
  <si>
    <t>https://find-and-update.company-information.service.gov.uk/company/04759951/filing-history</t>
  </si>
  <si>
    <t>www.derbyshireifa.co.uk</t>
  </si>
  <si>
    <t>www.rightadvice.co.uk</t>
  </si>
  <si>
    <t>www.jmifa.co.uk</t>
  </si>
  <si>
    <t>Med-Ex | FEES</t>
  </si>
  <si>
    <t>MED-EX FINANCIAL ADVISORY SERVICES LIMITED filing history - Find and update company information - GOV.UK</t>
  </si>
  <si>
    <t>https://easonrose.co.uk/</t>
  </si>
  <si>
    <t>www.penneyruddywinter.co.uk</t>
  </si>
  <si>
    <t>www.nugenisfp.co.uk</t>
  </si>
  <si>
    <t>bowmoream.com</t>
  </si>
  <si>
    <t>www.carlilefs.com</t>
  </si>
  <si>
    <t>www.georgetravis.co.uk</t>
  </si>
  <si>
    <t>www.wpip.co.uk</t>
  </si>
  <si>
    <t>www.frankinvestments.co.uk</t>
  </si>
  <si>
    <t>www.minervawealthcare.co.uk</t>
  </si>
  <si>
    <t>www.bunker - riley.com</t>
  </si>
  <si>
    <t>www.tripifa.co.uk</t>
  </si>
  <si>
    <t>www.MaymontWealth.com</t>
  </si>
  <si>
    <t>www.spwinvestment.com</t>
  </si>
  <si>
    <t>Max 1% ongoing charge</t>
  </si>
  <si>
    <t>Microsoft Word - DI - Agreements (Oct 2024).doc</t>
  </si>
  <si>
    <t>ABACUS FINANCIAL OPTIONS LIMITED filing history - Find and update company information - GOV.UK</t>
  </si>
  <si>
    <t>www.modernmoney.co.uk</t>
  </si>
  <si>
    <t>Modern_Money_Client_Service_Agreement.pdf</t>
  </si>
  <si>
    <t>MODERN MONEY FINANCIAL SERVICES LIMITED filing history - Find and update company information - GOV.UK</t>
  </si>
  <si>
    <t>www.netwealth.com</t>
  </si>
  <si>
    <t xml:space="preserve">Fee all wrapped into one </t>
  </si>
  <si>
    <t>Netwealth Fees - Simple, Transparent, and low-cost</t>
  </si>
  <si>
    <t>NETWEALTH INVESTMENTS LIMITED filing history - Find and update company information - GOV.UK</t>
  </si>
  <si>
    <t xml:space="preserve">Fee bundled </t>
  </si>
  <si>
    <t>Average of their portfolio invesment fee selected</t>
  </si>
  <si>
    <t>www.heritage-financial.co.uk</t>
  </si>
  <si>
    <t>www.greenskywealth.co.uk</t>
  </si>
  <si>
    <t>novawm.com</t>
  </si>
  <si>
    <t>Automated all in fees, no other advice fee</t>
  </si>
  <si>
    <t>NOVA | Expert financial advice at your fingertips</t>
  </si>
  <si>
    <t>NOVA WEALTH LTD filing history - Find and update company information - GOV.UK</t>
  </si>
  <si>
    <t>Automated service all in fee</t>
  </si>
  <si>
    <t>https://www.mitchellcharlesworth.co.uk/services/wealth-management/</t>
  </si>
  <si>
    <t>www.harvestassociates.co.uk</t>
  </si>
  <si>
    <t>www.alexanderdouglasltd.co.uk</t>
  </si>
  <si>
    <t>www.fortunagroup.co.uk</t>
  </si>
  <si>
    <t>www.rmifinance.co.uk</t>
  </si>
  <si>
    <t>www.chrisluntifa.co.uk</t>
  </si>
  <si>
    <t>www.harronfinancial.co.uk</t>
  </si>
  <si>
    <t>www.kingfinancial.co.uk</t>
  </si>
  <si>
    <t>www.riskandreturn.co.uk</t>
  </si>
  <si>
    <t>www.capitalwealthpartners.co.uk</t>
  </si>
  <si>
    <t>www.glenroseifa.co.uk</t>
  </si>
  <si>
    <t>www.a 1 -financial.com</t>
  </si>
  <si>
    <t>otusfp.com</t>
  </si>
  <si>
    <t>Otus Financial Planning | Cheshire &amp; Greater Manchester | Our fees</t>
  </si>
  <si>
    <t>https://find-and-update.company-information.service.gov.uk/company/07540565/filing-history</t>
  </si>
  <si>
    <t>https://iqeq.com/legal - disclosures - g 10 /</t>
  </si>
  <si>
    <t>www.niche - capital.com</t>
  </si>
  <si>
    <t>www.crowdcube.com</t>
  </si>
  <si>
    <t>www.bbifp.com</t>
  </si>
  <si>
    <t>www.assetrisk.com</t>
  </si>
  <si>
    <t>www.momentum-investing.co.uk</t>
  </si>
  <si>
    <t>www.alphaifs.co.uk</t>
  </si>
  <si>
    <t>www.killimore.co.uk</t>
  </si>
  <si>
    <t>www.patronuspartners.com</t>
  </si>
  <si>
    <t>www.fameltd.uk</t>
  </si>
  <si>
    <t>https://www.birkettlongifa.co.uk/</t>
  </si>
  <si>
    <t>www.vobiset.com</t>
  </si>
  <si>
    <t>www.walter - partners.co.uk</t>
  </si>
  <si>
    <t>www.wardourpartners.co.uk</t>
  </si>
  <si>
    <t>www.jonesfinancial.co.uk</t>
  </si>
  <si>
    <t>www.tyndallim.co.uk</t>
  </si>
  <si>
    <t>www.miafinancialadvice.co.uk</t>
  </si>
  <si>
    <t>www.nichollstevens.com</t>
  </si>
  <si>
    <t>www.wrensterling.com</t>
  </si>
  <si>
    <t>Our Approach - Osprey Wealth</t>
  </si>
  <si>
    <t>OSPREY WEALTH MANAGEMENT LIMITED filing history - Find and update company information - GOV.UK</t>
  </si>
  <si>
    <t>Littlewell.co.uk</t>
  </si>
  <si>
    <t>https://broadwaysolicitors.com/</t>
  </si>
  <si>
    <t>Falls under Broadwaysolicitors</t>
  </si>
  <si>
    <t>https://www.pandpinvest.com/</t>
  </si>
  <si>
    <t>www.aspirationsfp.co.uk</t>
  </si>
  <si>
    <t>www.thepensionplanner.co.uk</t>
  </si>
  <si>
    <t>www.arkim.co.uk</t>
  </si>
  <si>
    <t>https://www.tacitim.com/</t>
  </si>
  <si>
    <t>Company aim is keep their cost below industry average of 2%. Hence 2% selected for the firm</t>
  </si>
  <si>
    <t>Our Approach | BRI Wealth Management</t>
  </si>
  <si>
    <t>SINGULAR FINANCIAL PLANNING LTD filing history - Find and update company information - GOV.UK</t>
  </si>
  <si>
    <t>www.churchillwealthmanagement.co.uk</t>
  </si>
  <si>
    <t>https://www.vintagecorporate.co.uk/</t>
  </si>
  <si>
    <t>www.agepartnership.co.uk</t>
  </si>
  <si>
    <t>www.lc - partners.co.uk</t>
  </si>
  <si>
    <t>www.lumonpay.com</t>
  </si>
  <si>
    <t>www.jlwifa.co.uk</t>
  </si>
  <si>
    <t>www.asquirewealth.com</t>
  </si>
  <si>
    <t>www.carlsonwealthmanagement.co.uk</t>
  </si>
  <si>
    <t>www.warwickwm.co.uk</t>
  </si>
  <si>
    <t>www.fernleighwearden.co.uk</t>
  </si>
  <si>
    <t>Our Costs | fernleighwearden</t>
  </si>
  <si>
    <t>FERNLEIGH WEARDEN &amp; COMPANY LTD filing history - Find and update company information - GOV.UK</t>
  </si>
  <si>
    <t>www.edwardwilsonfs.co.uk</t>
  </si>
  <si>
    <t>westcottscfp.uk</t>
  </si>
  <si>
    <t>Our fees</t>
  </si>
  <si>
    <t>MCLAY-JAMES LIMITED filing history - Find and update company information - GOV.UK</t>
  </si>
  <si>
    <t>www.bowm.co.uk</t>
  </si>
  <si>
    <t>www.modelwealthmanagement.com</t>
  </si>
  <si>
    <t>www.wychwoodfs.co.uk</t>
  </si>
  <si>
    <t>www.johnsonfs.co.uk</t>
  </si>
  <si>
    <t>www.platinum-advice.com</t>
  </si>
  <si>
    <t>www.symvancapital.com</t>
  </si>
  <si>
    <t>MORTGAGES ETC LTD filing history - Find and update company information - GOV.UK</t>
  </si>
  <si>
    <t>www.khepri.com</t>
  </si>
  <si>
    <t>www.parkerkelly.co.uk</t>
  </si>
  <si>
    <t>www.invictusifa.co.uk</t>
  </si>
  <si>
    <t>www.gatewayinvest.co.uk</t>
  </si>
  <si>
    <t>www.douglassteers.co.uk</t>
  </si>
  <si>
    <t>www.argentouspc.co.uk</t>
  </si>
  <si>
    <t>www.companionfinancial.co.uk</t>
  </si>
  <si>
    <t>www.providusfinancial.co.uk</t>
  </si>
  <si>
    <t>www.alexbfs. tppowered.com</t>
  </si>
  <si>
    <t>http://www.clearcapitalmarkets.co.uk</t>
  </si>
  <si>
    <t>www.southbankresearch.com</t>
  </si>
  <si>
    <t>Our Fees - Aisa Financial Planning UK</t>
  </si>
  <si>
    <t>AISA FINANCIAL PLANNING LIMITED filing history - Find and update company information - GOV.UK</t>
  </si>
  <si>
    <t>http://www.lfwm.co.uk</t>
  </si>
  <si>
    <t>www.aidandowwealthmanagement.com</t>
  </si>
  <si>
    <t>www.lowryshuker.com</t>
  </si>
  <si>
    <t>www.newsteadclark.co.uk</t>
  </si>
  <si>
    <t>Our fees - Anstee &amp; Co</t>
  </si>
  <si>
    <t>ANSTEE &amp; CO LIMITED filing history - Find and update company information - GOV.UK</t>
  </si>
  <si>
    <t>www.jp-fs.co.uk</t>
  </si>
  <si>
    <t>www.curowealth.com</t>
  </si>
  <si>
    <t>www.illiquidx.com</t>
  </si>
  <si>
    <t>https://sarusselectcapital.co.uk/</t>
  </si>
  <si>
    <t>https://www.vermeerllp.com/</t>
  </si>
  <si>
    <t>www.bigmoreassociates.com</t>
  </si>
  <si>
    <t>www.douglaswhiteltd.com</t>
  </si>
  <si>
    <t>https://www.mercerhole.co.uk/services/financial - planning/</t>
  </si>
  <si>
    <t>www.hybridadvice.com</t>
  </si>
  <si>
    <t>www.paragonfp.co.uk</t>
  </si>
  <si>
    <t>www.barkerpoland.co.uk</t>
  </si>
  <si>
    <t>Our Fees - Barker Poland</t>
  </si>
  <si>
    <t>BARKER POLAND ASSET MANAGEMENT LLP filing history - Find and update company information - GOV.UK</t>
  </si>
  <si>
    <t>fixed fee effect</t>
  </si>
  <si>
    <t>www.alexdesilvaco.com</t>
  </si>
  <si>
    <t>www.langhamfinancial.co.uk</t>
  </si>
  <si>
    <t>www.ifswp.co.uk</t>
  </si>
  <si>
    <t>www.harmonywm.co.uk</t>
  </si>
  <si>
    <t>www.angloscottish.co.uk</t>
  </si>
  <si>
    <t>Our Fees - Chapter House Wealth Management</t>
  </si>
  <si>
    <t>CHAPTER HOUSE WEALTH MANAGEMENT LIMITED filing history - Find and update company information - GOV.UK</t>
  </si>
  <si>
    <t>www.coxfinancial.co.uk</t>
  </si>
  <si>
    <t>www.whateleywm.co.uk</t>
  </si>
  <si>
    <t>https://www.rswa.co.uk/</t>
  </si>
  <si>
    <t>https://www.w-fp.solutions/</t>
  </si>
  <si>
    <t>nswm.co.uk</t>
  </si>
  <si>
    <t>www.legacywm.co.uk</t>
  </si>
  <si>
    <t>Our Fees - Crown Wealth Management: Financial Advisers Shrewsbury</t>
  </si>
  <si>
    <t>CROWN WEALTH MANAGEMENT LIMITED filing history - Find and update company information - GOV.UK</t>
  </si>
  <si>
    <t>http://www.dwifa.co.uk/</t>
  </si>
  <si>
    <t>Our Fees - David Williams IFADavid Williams IFA</t>
  </si>
  <si>
    <t>DAVID WILLIAMS IFA MORTGAGE &amp; INSURANCE SERVICES LTD filing history - Find and update company information - GOV.UK</t>
  </si>
  <si>
    <t>https://www.wrightnowfl.co.uk/</t>
  </si>
  <si>
    <t>www.advicesmith.co.uk</t>
  </si>
  <si>
    <t>www.tankardwealth.com</t>
  </si>
  <si>
    <t>https://www.varcapital.com/</t>
  </si>
  <si>
    <t>www.apw-ifa.co.uk</t>
  </si>
  <si>
    <t>www.integraladvice.co.uk</t>
  </si>
  <si>
    <t>www.fletchershaw.co.uk</t>
  </si>
  <si>
    <t>www.salonica - group.com</t>
  </si>
  <si>
    <t>http://swpartners.co.uk/</t>
  </si>
  <si>
    <t>https://www.prosperitywealth.com/</t>
  </si>
  <si>
    <t>Moved to Shackleton, no longer standalone authorised</t>
  </si>
  <si>
    <t>Our Fees - Find Out About Our Fees | Prosperity Wealth</t>
  </si>
  <si>
    <t>https://liberatewealth.co.uk/</t>
  </si>
  <si>
    <t>www.portfoliowealth.london</t>
  </si>
  <si>
    <t>Our Fees - Five Ways</t>
  </si>
  <si>
    <t>FIVEWAYS FINANCIAL PLANNING LIMITED filing history - Find and update company information - GOV.UK</t>
  </si>
  <si>
    <t>www.masonifa.com</t>
  </si>
  <si>
    <t>www.skyfinancial.co.uk</t>
  </si>
  <si>
    <t>www.jellingsdalton.co.uk</t>
  </si>
  <si>
    <t>www.bandefinancial.co.uk</t>
  </si>
  <si>
    <t>https://www.true.global/</t>
  </si>
  <si>
    <t>www.richardsifa.co.uk</t>
  </si>
  <si>
    <t>https://www.unbiasedfinancialgroup.co.uk/</t>
  </si>
  <si>
    <t>www.lwmconsultants.com</t>
  </si>
  <si>
    <t>www.stockwellandbentley.com</t>
  </si>
  <si>
    <t>green-wealth.co.uk</t>
  </si>
  <si>
    <t>www.hallfinancialplanners.co.uk</t>
  </si>
  <si>
    <t>No fees on page</t>
  </si>
  <si>
    <t>Homepage - Marshall Wooldridge</t>
  </si>
  <si>
    <t>https://monzo.com/</t>
  </si>
  <si>
    <t>www.fyfefinancial.co.uk</t>
  </si>
  <si>
    <t>Our Fees – Fyfe Financial</t>
  </si>
  <si>
    <t>FYFE FINANCIAL LIMITED filing history - Find and update company information - GOV.UK</t>
  </si>
  <si>
    <t>www.artisanfinancial.co.uk</t>
  </si>
  <si>
    <t>jgifa.co.uk</t>
  </si>
  <si>
    <t>https://hdhifa.com/</t>
  </si>
  <si>
    <t>www.clearshorecapital.com</t>
  </si>
  <si>
    <t>www.nolanwm.com</t>
  </si>
  <si>
    <t>www.hensonaslam.co.uk</t>
  </si>
  <si>
    <t>Our Fees - Henson Aslam</t>
  </si>
  <si>
    <t>HENSON ASLAM FINANCIAL MANAGEMENT LLP filing history - Find and update company information - GOV.UK</t>
  </si>
  <si>
    <t>www.legalweb. org.uk</t>
  </si>
  <si>
    <t>www.sovereign-planners.co.uk</t>
  </si>
  <si>
    <t>www.star-house.co.uk</t>
  </si>
  <si>
    <t>www.damuscapital.com</t>
  </si>
  <si>
    <t>www.athertonyork.co.uk</t>
  </si>
  <si>
    <t>www.smh. group</t>
  </si>
  <si>
    <t>Our fees - Macbeth Scott &amp; Co Life and Pensions</t>
  </si>
  <si>
    <t>MACBETH, SCOTT &amp; CO. LIFE &amp; PENSION SERVICES LIMITED filing history - Find and update company information - GOV.UK</t>
  </si>
  <si>
    <t>www.longtonfs.co.uk</t>
  </si>
  <si>
    <t>www.jc-wm.com</t>
  </si>
  <si>
    <t>www.harrogatewealth.co.uk</t>
  </si>
  <si>
    <t>www.integralfp.co.uk</t>
  </si>
  <si>
    <t>www.bzcapital.co.uk</t>
  </si>
  <si>
    <t>www.sweetlandassociates.co.uk</t>
  </si>
  <si>
    <t>www.clearway-fs.co.uk</t>
  </si>
  <si>
    <t>www.ingeniousfs.co.uk</t>
  </si>
  <si>
    <t>https://amramcapital.com/</t>
  </si>
  <si>
    <t>www.selectwealthmanagement.com</t>
  </si>
  <si>
    <t>www.planet 3 wealth.co.uk</t>
  </si>
  <si>
    <t>www.metrofs.co.uk</t>
  </si>
  <si>
    <t>www.masterplan-fs.com</t>
  </si>
  <si>
    <t>www.compassfa.co.uk</t>
  </si>
  <si>
    <t>www.plan-money.co.uk</t>
  </si>
  <si>
    <t>No ongoing charge</t>
  </si>
  <si>
    <t>Our fees — Plan Money</t>
  </si>
  <si>
    <t>PLAN MONEY LIMITED filing history - Find and update company information - GOV.UK</t>
  </si>
  <si>
    <t>www.alphawm.co.uk</t>
  </si>
  <si>
    <t>www.nichepc.co.uk</t>
  </si>
  <si>
    <t>www.bevansfinance.co.uk</t>
  </si>
  <si>
    <t>www.rosecut.com</t>
  </si>
  <si>
    <t>Free digital planning tool for investment - No longer authorised /dissolved</t>
  </si>
  <si>
    <t>Our Fees - Rosecut</t>
  </si>
  <si>
    <t>Last Account filled in 2022</t>
  </si>
  <si>
    <t>Automated advice</t>
  </si>
  <si>
    <t>All in fee as their digital planning tool is free</t>
  </si>
  <si>
    <t>www.sgfa.co</t>
  </si>
  <si>
    <t>www.goalsbased.co.uk</t>
  </si>
  <si>
    <t>www.perpetualifa.co.uk</t>
  </si>
  <si>
    <t>www.acerwealthmanagement.co.uk</t>
  </si>
  <si>
    <t>https://www.wisealpha.com/</t>
  </si>
  <si>
    <t>Non advice/investment platform</t>
  </si>
  <si>
    <t>www.quantumwealthmanagement.com</t>
  </si>
  <si>
    <t>www.p 1 -im.co.uk</t>
  </si>
  <si>
    <t>https://parsnip-apple-sz 8 j. squarespace.com/</t>
  </si>
  <si>
    <t>Our fees - Simple Financial Advice</t>
  </si>
  <si>
    <t>SIMPLE FINANCIAL ADVICE LIMITED filing history - Find and update company information - GOV.UK</t>
  </si>
  <si>
    <t>www.macfinancial.co.uk</t>
  </si>
  <si>
    <t>www.seventyfinancialplanning.com</t>
  </si>
  <si>
    <t>https://www.tribeimpactcapital.com/</t>
  </si>
  <si>
    <t>www.aspirewealthscotland.com</t>
  </si>
  <si>
    <t>www.eppione.co.uk</t>
  </si>
  <si>
    <t>www.peregrineblack.com</t>
  </si>
  <si>
    <t>www.newbridgefinancialplanning.co.uk</t>
  </si>
  <si>
    <t>http://www.claritywealth.co.uk/</t>
  </si>
  <si>
    <t>Personal banking | Barclays</t>
  </si>
  <si>
    <t>www.fairfinancial.co.uk</t>
  </si>
  <si>
    <t>https://first-sentinel.com</t>
  </si>
  <si>
    <t>Desolved</t>
  </si>
  <si>
    <t>www.FircoGroup.co.uk</t>
  </si>
  <si>
    <t>www.satiswealth.com</t>
  </si>
  <si>
    <t>ppawealth.co.uk</t>
  </si>
  <si>
    <t>http://www.saranacpartners.com/</t>
  </si>
  <si>
    <t>Our Fees - Transparent Fees for All Clients</t>
  </si>
  <si>
    <t>www.worklifewealth.com</t>
  </si>
  <si>
    <t xml:space="preserve">minimum lifestyle planning few </t>
  </si>
  <si>
    <t>Our Fees — Values to Vision</t>
  </si>
  <si>
    <t>VALUES TO VISION FINANCIAL PLANNING LIMITED filing history - Find and update company information - GOV.UK</t>
  </si>
  <si>
    <t>Our fees – Verus Financial Planning</t>
  </si>
  <si>
    <t>VERUS FINANCIAL PLANNING LIMITED filing history - Find and update company information - GOV.UK</t>
  </si>
  <si>
    <t>www.verusfinancialservices.co.uk</t>
  </si>
  <si>
    <t>www.familycapital.co.uk</t>
  </si>
  <si>
    <t>andrewparkerwm.co.uk</t>
  </si>
  <si>
    <t>Our Fees &amp; Charges | Financial Services | Homecroft Wealth</t>
  </si>
  <si>
    <t>HOMECROFT FINANCIAL MANAGEMENT LIMITED filing history - Find and update company information - GOV.UK</t>
  </si>
  <si>
    <t>www.haymarketifa.co.uk</t>
  </si>
  <si>
    <t>www.roundhousefs.co.uk</t>
  </si>
  <si>
    <t>http://www.mayfair - capital.co.uk/</t>
  </si>
  <si>
    <t>www.prospectusfinancial.co.uk</t>
  </si>
  <si>
    <t>Our Fees &amp; Charges | W Wealth Management</t>
  </si>
  <si>
    <t>W WEALTH MANAGEMENT LTD filing history - Find and update company information - GOV.UK</t>
  </si>
  <si>
    <t>www.successionwealth.co.uk/corporate-benefit-solutions</t>
  </si>
  <si>
    <t>Non Financial advice business</t>
  </si>
  <si>
    <t>https://www.sequenceadvisers.co.uk/</t>
  </si>
  <si>
    <t>www.mavenadviser.com</t>
  </si>
  <si>
    <t>www.mscfp.co.uk</t>
  </si>
  <si>
    <t>www.londonpwm.com</t>
  </si>
  <si>
    <t>www.optimocapital.co.uk</t>
  </si>
  <si>
    <t>www.aberdeenpersonal.com</t>
  </si>
  <si>
    <t>Now part of Ascot lloyd, has applied to FCA to cancel authorization as they are fully moving under Ascot Lloyd</t>
  </si>
  <si>
    <t>Our Fees | Ascot lloyd</t>
  </si>
  <si>
    <t xml:space="preserve">	Select Full accounts made up to 31 December 2024</t>
  </si>
  <si>
    <t>https://www.woodruff-fp.co.uk/</t>
  </si>
  <si>
    <t>www.ascotlloyd.co.uk</t>
  </si>
  <si>
    <t>Part of Ascot lloyd</t>
  </si>
  <si>
    <t>www.richdale.co.uk</t>
  </si>
  <si>
    <t>www.mitonoptimal.co.uk</t>
  </si>
  <si>
    <t>http://www.cubicstone.co.uk/</t>
  </si>
  <si>
    <t>http://www.johnpatrickfinancial.co.uk/</t>
  </si>
  <si>
    <t>www.spectrumwm.co.uk</t>
  </si>
  <si>
    <t>www.rtsfinancialplanning.co.uk</t>
  </si>
  <si>
    <t>www.dlmwealth.com</t>
  </si>
  <si>
    <t xml:space="preserve">Now part of Ascot lloyd, atlease one adviser asigned as no adviser count is available </t>
  </si>
  <si>
    <t>https://www.milestonewealth.co.uk/</t>
  </si>
  <si>
    <t>havenprotect.me.uk</t>
  </si>
  <si>
    <t>www.pattersonmills.com</t>
  </si>
  <si>
    <t>www.fgwattsifa.co.uk</t>
  </si>
  <si>
    <t>https://risksave.com</t>
  </si>
  <si>
    <t>www.ombainvestments.com</t>
  </si>
  <si>
    <t>www.leadenhallwm.com</t>
  </si>
  <si>
    <t>www.freedomadvice.com</t>
  </si>
  <si>
    <t>www.torchfp.co.uk</t>
  </si>
  <si>
    <t>www.darkstaram.com</t>
  </si>
  <si>
    <t>www.livesmartfp.com</t>
  </si>
  <si>
    <t>www.beatsfp.com</t>
  </si>
  <si>
    <t>www.bondwealth.co.uk</t>
  </si>
  <si>
    <t>www.milestonefp.co.uk</t>
  </si>
  <si>
    <t>www.pgifinancial.co.uk</t>
  </si>
  <si>
    <t>https://www.londoninvestmentmanagement.com</t>
  </si>
  <si>
    <t>www.aig.co.uk</t>
  </si>
  <si>
    <t>www.tsp - wealth.com</t>
  </si>
  <si>
    <t>http://www.pacem-advisory.com/</t>
  </si>
  <si>
    <t>www.lambfinancial.co.uk</t>
  </si>
  <si>
    <t>www.jpmaxwell.co.uk</t>
  </si>
  <si>
    <t>www.dahfp.co.uk</t>
  </si>
  <si>
    <t>www.first-equitable.co.uk</t>
  </si>
  <si>
    <t>www.coastfs.co.uk</t>
  </si>
  <si>
    <t>www.rtpmltd.com</t>
  </si>
  <si>
    <t>www.financialprospectsni.com</t>
  </si>
  <si>
    <t>http://www.harcourtfinancial.com</t>
  </si>
  <si>
    <t>www.arieswealth.co.uk</t>
  </si>
  <si>
    <t>www.pwmfinancial.co.uk</t>
  </si>
  <si>
    <t>www.bluesquarefinancial.com</t>
  </si>
  <si>
    <t>WWW.EMPOWERPARTNERS.CO.UK</t>
  </si>
  <si>
    <t>No initial all inclusive in ongoing</t>
  </si>
  <si>
    <t>OUR FEES | Empower Partners</t>
  </si>
  <si>
    <t>EMPOWER PARTNERS LLP filing history - Find and update company information - GOV.UK</t>
  </si>
  <si>
    <t>silverwood. money</t>
  </si>
  <si>
    <t>www.acuityresearch.ai</t>
  </si>
  <si>
    <t>www.berryandoak.com</t>
  </si>
  <si>
    <t>Our Fees | Expert IFP</t>
  </si>
  <si>
    <t>EXPERT INDEPENDENT FINANCIAL PLANNING LTD filing history - Find and update company information - GOV.UK</t>
  </si>
  <si>
    <t>www.lifemattersfp.com</t>
  </si>
  <si>
    <t>Our Fees | Financial Planners | Nationwide</t>
  </si>
  <si>
    <t>INTELLIGENT PENSIONS LIMITED filing history - Find and update company information - GOV.UK</t>
  </si>
  <si>
    <t>www.foresight-ltd.co.uk</t>
  </si>
  <si>
    <t>www.drc-associates.co.uk</t>
  </si>
  <si>
    <t>www.agileifa.co.uk</t>
  </si>
  <si>
    <t>Our Fees | Financial Planning | Huddersfield</t>
  </si>
  <si>
    <t>PHILPOTT FINANCIAL LIMITED filing history - Find and update company information - GOV.UK</t>
  </si>
  <si>
    <t>www.theprivateoffice.com</t>
  </si>
  <si>
    <t>Our fees | Five Point Consulting | Wetherby, West Yorkshire</t>
  </si>
  <si>
    <t>FIVE POINT CONSULTING LIMITED filing history - Find and update company information - GOV.UK</t>
  </si>
  <si>
    <t>www.sancusrp.co.uk</t>
  </si>
  <si>
    <t>www.ashtreefinancial.co.uk</t>
  </si>
  <si>
    <t>www.boosst. financial</t>
  </si>
  <si>
    <t>www.clarituswealth.com</t>
  </si>
  <si>
    <t>www.strowz.com</t>
  </si>
  <si>
    <t>www.hl.com</t>
  </si>
  <si>
    <t>www.pelhamfinancial.com</t>
  </si>
  <si>
    <t>gwuk.co.uk</t>
  </si>
  <si>
    <t>https://barrowfinancialservices.co.uk</t>
  </si>
  <si>
    <t>www.betterfinancialplanning.co.uk</t>
  </si>
  <si>
    <t>www.optimum-ifa.co.uk</t>
  </si>
  <si>
    <t>www.jwafinance.com</t>
  </si>
  <si>
    <t>bowlineadvisors.com</t>
  </si>
  <si>
    <t>https://purelypensions.co.uk/</t>
  </si>
  <si>
    <t>Our Fees | Good Green Money | Financial Advisers | Lancashire</t>
  </si>
  <si>
    <t>GOOD GREEN MONEY LIMITED filing history - Find and update company information - GOV.UK</t>
  </si>
  <si>
    <t>conroyfinancialplanning.co.uk</t>
  </si>
  <si>
    <t>investengine.com</t>
  </si>
  <si>
    <t>Non advice DIY</t>
  </si>
  <si>
    <t>www.falcogroup.co.uk</t>
  </si>
  <si>
    <t>www.willdaywm.co.uk</t>
  </si>
  <si>
    <t>sjw-ifm.com</t>
  </si>
  <si>
    <t>www.mycontinuum.co.uk</t>
  </si>
  <si>
    <t>www.wh-fp.com</t>
  </si>
  <si>
    <t>www.dwwealthmangement.co.uk</t>
  </si>
  <si>
    <t>www.realmim.com</t>
  </si>
  <si>
    <t>www.ifajonesandco.uk</t>
  </si>
  <si>
    <t>https://prosperityplanning.co.uk/</t>
  </si>
  <si>
    <t>Our Fees | Hoyl Independent Advisers Ltd | Cromer, Norfolk</t>
  </si>
  <si>
    <t>HOYL INDEPENDENT ADVISERS LTD filing history - Find and update company information - GOV.UK</t>
  </si>
  <si>
    <t>Only ongoing service, no initial financial advice charged</t>
  </si>
  <si>
    <t>Our Fees | Leeburn Financial Planning</t>
  </si>
  <si>
    <t>LEEBURN FINANCIAL PLANNING (NI) LIMITED filing history - Find and update company information - GOV.UK</t>
  </si>
  <si>
    <t>www.handelsbanken.co.uk</t>
  </si>
  <si>
    <t>www.aequuswealth.co.uk</t>
  </si>
  <si>
    <t>www.sanfp.co.uk</t>
  </si>
  <si>
    <t>www.rutherfordhughes.com</t>
  </si>
  <si>
    <t>www.heritagecoastifa.co.uk</t>
  </si>
  <si>
    <t>www.istar.capital</t>
  </si>
  <si>
    <t>www.hentons.com</t>
  </si>
  <si>
    <t>www.bkdfinancial.net</t>
  </si>
  <si>
    <t>www.aurorafp.co.uk</t>
  </si>
  <si>
    <t>www.ironwealth.co.uk</t>
  </si>
  <si>
    <t>http://www.gpimlimited.com/</t>
  </si>
  <si>
    <t>www.lazenbysfs.co.uk</t>
  </si>
  <si>
    <t>www.montgomeryep.co.uk</t>
  </si>
  <si>
    <t>Minimum ongoing of 4.25%. Actual minimum investment of 0.5m</t>
  </si>
  <si>
    <t>Our fees | Montgomery Estate Planning Limited | Charitable Trusts and Investing | Estate Planning | Inheritance Tax Planning</t>
  </si>
  <si>
    <t>MONTGOMERY ESTATE PLANNING LIMITED filing history - Find and update company information - GOV.UK</t>
  </si>
  <si>
    <t>https://www.selectwealth.co.uk/</t>
  </si>
  <si>
    <t>www.lightsidefp.co.uk</t>
  </si>
  <si>
    <t>www.thefinance-family.co.uk</t>
  </si>
  <si>
    <t>www.mylifemap.co.uk</t>
  </si>
  <si>
    <t>http://invernessfa.co.uk</t>
  </si>
  <si>
    <t>OUR FEES | Mosaac Ltd</t>
  </si>
  <si>
    <t>MOSAAC FINANCIAL PLANNING LIMITED filing history - Find and update company information - GOV.UK</t>
  </si>
  <si>
    <t>www.fintuity.com</t>
  </si>
  <si>
    <t>www.aprmoney.co.uk</t>
  </si>
  <si>
    <t>imperialwealthadvisory.co.uk</t>
  </si>
  <si>
    <t>https://www.lwmifa.co.uk/</t>
  </si>
  <si>
    <t>http://www.wreninvestmentoffice.com/</t>
  </si>
  <si>
    <t>Our fees | Red Circle Financial Planning | South Normanton, Derbyshire</t>
  </si>
  <si>
    <t>RED CIRCLE FINANCIAL PLANNING LIMITED filing history - Find and update company information - GOV.UK</t>
  </si>
  <si>
    <t>https://zeuscapital.co.uk/investment - management/</t>
  </si>
  <si>
    <t>https://www.unluco.uk</t>
  </si>
  <si>
    <t>https://www.clarityam.com/</t>
  </si>
  <si>
    <t>Our fees | Serenity Financial Planners | Hertfordshire</t>
  </si>
  <si>
    <t>SERENITY FINANCIAL PLANNING LTD filing history - Find and update company information - GOV.UK</t>
  </si>
  <si>
    <t>Our fees | Stonegate Wealth Management</t>
  </si>
  <si>
    <t>THE STONEGATE WEALTH GROUP LTD filing history - Find and update company information - GOV.UK</t>
  </si>
  <si>
    <t>www.bluefinchwealth.com</t>
  </si>
  <si>
    <t>Our Fees | Transparent Pricing for Wealth Management Services</t>
  </si>
  <si>
    <t>BLUEFINCH WEALTH LIMITED filing history - Find and update company information - GOV.UK</t>
  </si>
  <si>
    <t>https://www.onyxcapitalgroup.com/</t>
  </si>
  <si>
    <t>www.plainsavings.co.uk</t>
  </si>
  <si>
    <t>https://www.kingandshaxsonethical.co.uk/home.aspx</t>
  </si>
  <si>
    <t>Independent Financial Advisers | Ellis Bates Financial Advisers</t>
  </si>
  <si>
    <t>Now part of Shackleton, using Shackleton fees</t>
  </si>
  <si>
    <t>Our fees for financial, pensions and investment advice</t>
  </si>
  <si>
    <t>ELLIS BATES WEALTH MANAGEMENT LTD filing history - Find and update company information - GOV.UK</t>
  </si>
  <si>
    <t>www.camwealth.co.uk</t>
  </si>
  <si>
    <t>Using fee range</t>
  </si>
  <si>
    <t>Our financial advice fees - Pyrford Financial Planning</t>
  </si>
  <si>
    <t>PYRFORD FINANCIAL PLANNING LIMITED overview - Find and update company information - GOV.UK</t>
  </si>
  <si>
    <t>www.justfinancialplanning.co.uk</t>
  </si>
  <si>
    <t>Our Financial Planning Fees | Just Financial Planning</t>
  </si>
  <si>
    <t>JUST FINANCIAL PLANNING LTD filing history - Find and update company information - GOV.UK</t>
  </si>
  <si>
    <t>www.pwmsolutions.co.uk</t>
  </si>
  <si>
    <t>www.arthurbrowns.co.uk</t>
  </si>
  <si>
    <t>Â£40,000</t>
  </si>
  <si>
    <t>www.yokeandco.com</t>
  </si>
  <si>
    <t>purewealthmanagement.co.uk</t>
  </si>
  <si>
    <t>www.awmg.co.uk</t>
  </si>
  <si>
    <t>Our Process — Acorn Wealth Management Group</t>
  </si>
  <si>
    <t>ACORN WEALTH MANAGEMENT GROUP LIMITED overview - Find and update company information - GOV.UK</t>
  </si>
  <si>
    <t>https://www.tindlewealth.com/</t>
  </si>
  <si>
    <t>www.wealthharbour.co.uk</t>
  </si>
  <si>
    <t>www.autonomywealth.com</t>
  </si>
  <si>
    <t>https://www.globalwealthmap.com/</t>
  </si>
  <si>
    <t>www.moneyfarm.com</t>
  </si>
  <si>
    <t xml:space="preserve">Removed due to different model they employ </t>
  </si>
  <si>
    <t>Our Service | Moneyfarm</t>
  </si>
  <si>
    <t>MFM INVESTMENT LTD filing history - Find and update company information - GOV.UK</t>
  </si>
  <si>
    <t>Pricing - Fee and Benefits | Moneyfarm</t>
  </si>
  <si>
    <t>www.dma.world</t>
  </si>
  <si>
    <t>www.welrex.com</t>
  </si>
  <si>
    <t>https://www.liawealthadvisers.co.uk/</t>
  </si>
  <si>
    <t>www.o-fp.co.uk</t>
  </si>
  <si>
    <t>www.moneo-ifa.co.uk</t>
  </si>
  <si>
    <t>minimum advice fee indicated</t>
  </si>
  <si>
    <t>Our Services — Moneo Wealth Management</t>
  </si>
  <si>
    <t>MONEO WEALTH MANAGEMENT LTD filing history - Find and update company information - GOV.UK</t>
  </si>
  <si>
    <t>http://www.mhwifa.co.uk</t>
  </si>
  <si>
    <t>Name changed to MHW</t>
  </si>
  <si>
    <t>www.bowesfs.co.uk</t>
  </si>
  <si>
    <t>www.premierclients.co.uk</t>
  </si>
  <si>
    <t>www.lloydvine.co.uk</t>
  </si>
  <si>
    <t>www.bee-sure.co.uk</t>
  </si>
  <si>
    <t>www.millbankfs.co.uk</t>
  </si>
  <si>
    <t>www.frazerjames.co.uk</t>
  </si>
  <si>
    <t>www.optionswealthadvice.co.uk</t>
  </si>
  <si>
    <t>https://validpath.co.uk</t>
  </si>
  <si>
    <t>http://www.hwdfinancial.co.uk/</t>
  </si>
  <si>
    <t>www.latheandco.co.uk</t>
  </si>
  <si>
    <t>www.sunrise-ifa.co.uk</t>
  </si>
  <si>
    <t>www.advicewise.com</t>
  </si>
  <si>
    <t>www.legalandgeneral.com/contact-us/</t>
  </si>
  <si>
    <t>www.reevesifa.com</t>
  </si>
  <si>
    <t>Our Services &amp; Fees - Dartington Wealth Management</t>
  </si>
  <si>
    <t>DARTINGTON WEALTH MANAGEMENT LIMITED filing history - Find and update company information - GOV.UK</t>
  </si>
  <si>
    <t>www.vitalfp.co.uk</t>
  </si>
  <si>
    <t>www.Key-fp.co.uk</t>
  </si>
  <si>
    <t>http://www.kendaradvisors.com/</t>
  </si>
  <si>
    <t>www.rosewoodwealth.co.uk</t>
  </si>
  <si>
    <t>www.dragonfinancialplanning.co.uk</t>
  </si>
  <si>
    <t>www.apexwm.co.uk</t>
  </si>
  <si>
    <t>www.wfs. wales</t>
  </si>
  <si>
    <t>www.asset-intelligence.com</t>
  </si>
  <si>
    <t>www.veracityfp.co.uk</t>
  </si>
  <si>
    <t>Pension &amp; Investment Advice Fees Nottingham | Veracity Financial Planning</t>
  </si>
  <si>
    <t>VERACITY FINANCIAL PLANNING LTD filing history - Find and update company information - GOV.UK</t>
  </si>
  <si>
    <t>www.causewayfinancial.co.uk</t>
  </si>
  <si>
    <t>www.raeburns.co.uk</t>
  </si>
  <si>
    <t>www.havenfinancialplanning.co.uk</t>
  </si>
  <si>
    <t>www.pensionpotential.co.uk</t>
  </si>
  <si>
    <t>No ongoing, the offer only pension advice</t>
  </si>
  <si>
    <t>Pension Potential | What is advice?</t>
  </si>
  <si>
    <t>Inhouse product with the parent company- Connarcord</t>
  </si>
  <si>
    <t>PENSION POTENTIAL LIMITED filing history - Find and update company information - GOV.UK</t>
  </si>
  <si>
    <t>www.mgi-ifa.co.uk</t>
  </si>
  <si>
    <t>www.delucawest.co.uk</t>
  </si>
  <si>
    <t>www.rosart.co.uk</t>
  </si>
  <si>
    <t>www.paulrussellfinancialservices.com</t>
  </si>
  <si>
    <t>www.circa 5000 .com</t>
  </si>
  <si>
    <t>www.brightcubemoney.com</t>
  </si>
  <si>
    <t>https://www.fca.org.uk/publication/market-studies/ms15-2-3.pdf</t>
  </si>
  <si>
    <t>www.b-advised.co.uk</t>
  </si>
  <si>
    <t>www.severnsidefp.co.uk</t>
  </si>
  <si>
    <t>www.hundle.co</t>
  </si>
  <si>
    <t>www.bosworthwm.co.uk</t>
  </si>
  <si>
    <t>Pensions &amp; Investments - Bosworth Wealth Management</t>
  </si>
  <si>
    <t>BOSWORTH WEALTH MANAGEMENT LIMITED overview - Find and update company information - GOV.UK</t>
  </si>
  <si>
    <t>www.proplanfa.co.uk</t>
  </si>
  <si>
    <t>About | www.gkwealth.co.uk</t>
  </si>
  <si>
    <t>Pricing – Cervello FInancial Planning</t>
  </si>
  <si>
    <t>https://find-and-update.company-information.service.gov.uk/company/07571920/filing-history</t>
  </si>
  <si>
    <t>www.topstonecap.com</t>
  </si>
  <si>
    <t>Pricing | Oak Four</t>
  </si>
  <si>
    <t>OAK FOUR LIMITED filing history - Find and update company information - GOV.UK</t>
  </si>
  <si>
    <t>www.financialadvisorlancaster.co.uk</t>
  </si>
  <si>
    <t>https://www.wealthfusion.co.uk/</t>
  </si>
  <si>
    <t>www.thankswp.com</t>
  </si>
  <si>
    <t>PRICING | Thanks WP</t>
  </si>
  <si>
    <t>THANKS WEALTH PLANNING LTD filing history - Find and update company information - GOV.UK</t>
  </si>
  <si>
    <t>www.blueskyifas.co.uk</t>
  </si>
  <si>
    <t>www.wkmwealth.co.uk</t>
  </si>
  <si>
    <t>lloydsbank.com</t>
  </si>
  <si>
    <t>With Shroders. If ongoing advice is taking then it’s the 0.65% all in</t>
  </si>
  <si>
    <t>Pricing | Wealth management | Lloyds Bank</t>
  </si>
  <si>
    <t>Wealth Planning - UCAP</t>
  </si>
  <si>
    <t>pricing Pricing Pricing - Roxboro</t>
  </si>
  <si>
    <t>SAGE ROXBOROUGH LIMITED filing history - Find and update company information - GOV.UK</t>
  </si>
  <si>
    <t>forestfp.co.uk</t>
  </si>
  <si>
    <t>https://whitman.co.uk</t>
  </si>
  <si>
    <t>Terms Of Use – Titan Wealth Solutions</t>
  </si>
  <si>
    <t xml:space="preserve">Bought by Titan </t>
  </si>
  <si>
    <t>WIGMORE ASSOCIATES WEALTH MANAGEMENT LTD filing history - Find and update company information - GOV.UK</t>
  </si>
  <si>
    <t>https://www.umbracapital.com/</t>
  </si>
  <si>
    <t>odinfp.co.uk</t>
  </si>
  <si>
    <t>www.money - life - balance.co.uk</t>
  </si>
  <si>
    <t>www.thomsontyndall.com</t>
  </si>
  <si>
    <t>https://www.wieldmore.com</t>
  </si>
  <si>
    <t>www.bournebridgefs.com</t>
  </si>
  <si>
    <t>www.prometheanfinancial.co.uk</t>
  </si>
  <si>
    <t>www.hannaywealthllp.com</t>
  </si>
  <si>
    <t>www.navigateifa.com</t>
  </si>
  <si>
    <t>www.westsidellp.com</t>
  </si>
  <si>
    <t>www.wealth.coop</t>
  </si>
  <si>
    <t>www.est-group.co.uk</t>
  </si>
  <si>
    <t>http://www.chasedevere.co.uk</t>
  </si>
  <si>
    <t>Big company likely integrated</t>
  </si>
  <si>
    <t>Private Client Terms of Business</t>
  </si>
  <si>
    <t>CHASE DE VERE INDEPENDENT FINANCIAL ADVISERS LIMITED filing history - Find and update company information - GOV.UK</t>
  </si>
  <si>
    <t>https://www.cliftonfp.co.uk/</t>
  </si>
  <si>
    <t>www.allonbyandpartners.co.uk</t>
  </si>
  <si>
    <t>www.naverainvestment.com</t>
  </si>
  <si>
    <t>www.edenhurst.com</t>
  </si>
  <si>
    <t>www.artlesswealth.com</t>
  </si>
  <si>
    <t>https://hamptonfinancial.co.uk</t>
  </si>
  <si>
    <t>www.foxheritage.co.uk</t>
  </si>
  <si>
    <t>dowgatewealth.co.uk</t>
  </si>
  <si>
    <t>Shields Wealth Planning Ltd - General</t>
  </si>
  <si>
    <t>www.enigmastrategy.com</t>
  </si>
  <si>
    <t>www.sixtythreecapital.com</t>
  </si>
  <si>
    <t>CsenseFS | Csense Financial Services</t>
  </si>
  <si>
    <t>hesketh-fp.co.uk</t>
  </si>
  <si>
    <t>https://newhorizon - global.com/</t>
  </si>
  <si>
    <t>www.mulberrybow.com</t>
  </si>
  <si>
    <t>https://www.rathbones.com/saunderson - house - part - rathbones - group - plc</t>
  </si>
  <si>
    <t>Part of Rathbones. Fee structure is bundled as Management fee</t>
  </si>
  <si>
    <t>Rathbones Private Client Brochure.PDF</t>
  </si>
  <si>
    <t>https://find-and-update.company-information.service.gov.uk/company/00940473/filing-history</t>
  </si>
  <si>
    <t>www.flpsolutions.com</t>
  </si>
  <si>
    <t>www.rathbones.com</t>
  </si>
  <si>
    <t>https://find-and-update.company-information.service.gov.uk/company/01448919/filing-history</t>
  </si>
  <si>
    <t>www.ajaxwealth.co.uk</t>
  </si>
  <si>
    <t>www.rathbones.com/investec - wealth - and - investment - part - of - rathbones - group</t>
  </si>
  <si>
    <t>https://find-and-update.company-information.service.gov.uk/company/02122340/filing-history</t>
  </si>
  <si>
    <t>www.mapfinancialplanning.co.uk</t>
  </si>
  <si>
    <t>Retail Client Agreement - May 2022.pdf</t>
  </si>
  <si>
    <t>https://markets.ft.com/data/funds/tearsheet/summary?s=GB00BYXHQX09:GBX</t>
  </si>
  <si>
    <t>https://find-and-update.company-information.service.gov.uk/company/OC316532/filing-history</t>
  </si>
  <si>
    <t>www.barnabycecil.com</t>
  </si>
  <si>
    <t>www.curzon-ifa.com</t>
  </si>
  <si>
    <t>https://www.heronsgatecapital.com</t>
  </si>
  <si>
    <t>https://www.waypointpartners.co.uk/</t>
  </si>
  <si>
    <t>www. 8 point 8 capital.com</t>
  </si>
  <si>
    <t>www.greshamfs.co.uk</t>
  </si>
  <si>
    <t>http://www.templebar - cfp.com/</t>
  </si>
  <si>
    <t>EQUILIBRIUM INVESTMENT MANAGEMENT LLP filing history - Find and update company information - GOV.UK</t>
  </si>
  <si>
    <t>www.advies.co.uk</t>
  </si>
  <si>
    <t>https://www.withamphoenix.com/</t>
  </si>
  <si>
    <t>W1M ASSET MANAGEMENT LIMITED filing history - Find and update company information - GOV.UK</t>
  </si>
  <si>
    <t>London &amp; Capital Global Balanced Fund - IE00BJMHH226</t>
  </si>
  <si>
    <t>https://gowanswealth.co.uk/</t>
  </si>
  <si>
    <t>barehamifa.com</t>
  </si>
  <si>
    <t>https://ptarmigancapital.co.uk/</t>
  </si>
  <si>
    <t>www.rfm.ltd</t>
  </si>
  <si>
    <t>www.hymanspersonalwealth.com</t>
  </si>
  <si>
    <t>www.insightwealth.co.uk</t>
  </si>
  <si>
    <t>www.corporatefinancialresources.co.uk</t>
  </si>
  <si>
    <t>SC250i24071912180</t>
  </si>
  <si>
    <t>ABACUS WEALTH PLANNING LTD. filing history - Find and update company information - GOV.UK</t>
  </si>
  <si>
    <t>www.sonarfs.co.uk</t>
  </si>
  <si>
    <t>SCDD Jan 13doc.doc</t>
  </si>
  <si>
    <t>RIVERGLEN FINANCIAL ASSOCIATES LTD overview - Find and update company information - GOV.UK</t>
  </si>
  <si>
    <t>https://smithifa.co.uk/</t>
  </si>
  <si>
    <t>Service Proposition &amp; Charges</t>
  </si>
  <si>
    <t>MEDICS FINANCIAL SERVICES LIMITED overview - Find and update company information - GOV.UK</t>
  </si>
  <si>
    <t>www.lucentfinancialplanning.co.uk</t>
  </si>
  <si>
    <t>www.purplewm.com</t>
  </si>
  <si>
    <t>www.windsorfinancialplanning.co.uk</t>
  </si>
  <si>
    <t>www.broadstreetwealth.co.uk</t>
  </si>
  <si>
    <t>newboldwealth.co.uk</t>
  </si>
  <si>
    <t>therockfmc.co.uk</t>
  </si>
  <si>
    <t>Services | Morton Wilson Associ</t>
  </si>
  <si>
    <t>MORTON-WILSON ASSOCIATES LIMITED filing history - Find and update company information - GOV.UK</t>
  </si>
  <si>
    <t>www.mallorywealth.com</t>
  </si>
  <si>
    <t>two 10 investmentservices.co.uk</t>
  </si>
  <si>
    <t>www.ascendwealth.co.uk</t>
  </si>
  <si>
    <t>www.rpgcc.co.uk</t>
  </si>
  <si>
    <t>www.framtidenwealth.co.uk</t>
  </si>
  <si>
    <t>www.ludice.co.uk</t>
  </si>
  <si>
    <t>St. James's Place | One to One Financial Advice</t>
  </si>
  <si>
    <t>Fund charge includeds product/platform charge</t>
  </si>
  <si>
    <t>https://find-and-update.company-information.service.gov.uk/company/04113955/filing-history</t>
  </si>
  <si>
    <t>www.iwealth. net</t>
  </si>
  <si>
    <t>www.coleshillmortgages.co.uk</t>
  </si>
  <si>
    <t>https://www.privalgomarkets.co.uk</t>
  </si>
  <si>
    <t>www.delislefp.co.uk</t>
  </si>
  <si>
    <t>Now under Aviva, hence aviva fund as product</t>
  </si>
  <si>
    <t>SUCCESSION FINANCIAL MANAGEMENT LIMITED filing history - Find and update company information - GOV.UK</t>
  </si>
  <si>
    <t>https://osullivanfp.co.uk</t>
  </si>
  <si>
    <t>www.blackwell.pw</t>
  </si>
  <si>
    <t>No full fee details, hence removed</t>
  </si>
  <si>
    <t>Navigator Financial Planning redirect to Succession Wealth</t>
  </si>
  <si>
    <t>www.foursquarefm.com</t>
  </si>
  <si>
    <t>www.midlandwealthsolutions.com</t>
  </si>
  <si>
    <t>https://www.thursfieldpfp.com/</t>
  </si>
  <si>
    <t>www.scottsbridge.co.uk</t>
  </si>
  <si>
    <t>www.themoneypartnership.com</t>
  </si>
  <si>
    <t>https://www.manguwealth.com/fees</t>
  </si>
  <si>
    <t>http://www.plenawm.co.uk/</t>
  </si>
  <si>
    <t>www.scottcp.com</t>
  </si>
  <si>
    <t>www.positiveifp.co.uk</t>
  </si>
  <si>
    <t>www.bletchleys.co.uk</t>
  </si>
  <si>
    <t>Core/standard service range fee selected</t>
  </si>
  <si>
    <t>Transparent Fees | BlueSky Independent Wealth Managers</t>
  </si>
  <si>
    <t>BLUESKY INDEPENDENT WEALTH MANAGERS LTD overview - Find and update company information - GOV.UK</t>
  </si>
  <si>
    <t>www.lgt.com</t>
  </si>
  <si>
    <t>www.permanentwealth.co.uk</t>
  </si>
  <si>
    <t>www.ocaris.co.uk</t>
  </si>
  <si>
    <t>Transparent Fees | Callabas Financial</t>
  </si>
  <si>
    <t>CALLABAS FINANCIAL SERVICES LTD filing history - Find and update company information - GOV.UK</t>
  </si>
  <si>
    <t>www.waterbridgewealth.com</t>
  </si>
  <si>
    <t xml:space="preserve">Fees breakdown on attached agreement link on the link </t>
  </si>
  <si>
    <t>Transparent Fees for Financial Planning | Waterbridge Wealth</t>
  </si>
  <si>
    <t>WATERBRIDGE FINANCIAL PLANNING LTD filing history - Find and update company information - GOV.UK</t>
  </si>
  <si>
    <t>www.oakglenwealth.com</t>
  </si>
  <si>
    <t>www.hutchinsonfm.co.uk</t>
  </si>
  <si>
    <t>Home | BASMA WEALTH MANAGEMENT</t>
  </si>
  <si>
    <t>www.gneissenergy.com</t>
  </si>
  <si>
    <t>www.cosgrovepartnership.com</t>
  </si>
  <si>
    <t>Transparent Fees for Independent Financial Advice | Cosgrove Partnership</t>
  </si>
  <si>
    <t>THE COSGROVE PARTNERSHIP LLP filing history - Find and update company information - GOV.UK</t>
  </si>
  <si>
    <t>www.mpwealth.co.uk</t>
  </si>
  <si>
    <t>www.kpwealthltd.co.uk</t>
  </si>
  <si>
    <t>www.berylluscapital.com</t>
  </si>
  <si>
    <t>www.gandbassociates.co.uk</t>
  </si>
  <si>
    <t>www.convera.com/en - gb/</t>
  </si>
  <si>
    <t>https://www.y-tree.com/</t>
  </si>
  <si>
    <t>www.crowe.com/uk</t>
  </si>
  <si>
    <t>https://www.tfaswealth.com/</t>
  </si>
  <si>
    <t>https://www.tobymansfield.co.uk/</t>
  </si>
  <si>
    <t>www.cadro.com</t>
  </si>
  <si>
    <t>www.perryjones.uk</t>
  </si>
  <si>
    <t>Transparent Fees for Your Financial Confidence | UK</t>
  </si>
  <si>
    <t>PERRYJONES FINANCIAL PLANNING LIMITED filing history - Find and update company information - GOV.UK</t>
  </si>
  <si>
    <t>www.aventur.co.uk</t>
  </si>
  <si>
    <t>www.ravensheadifs.co.uk</t>
  </si>
  <si>
    <t>www.continuityfp.co.uk</t>
  </si>
  <si>
    <t>https://www.williamjamesfs.co.uk/</t>
  </si>
  <si>
    <t>www.gsbglobal.com</t>
  </si>
  <si>
    <t>www.kgwm.co.uk</t>
  </si>
  <si>
    <t>https://www.goldmansachs.com/disclosures/gsbank - europe - se - disclosures.html</t>
  </si>
  <si>
    <t>www.juniperwealth.co.uk</t>
  </si>
  <si>
    <t>https://argyllfinancial.co.uk/about-us/</t>
  </si>
  <si>
    <t xml:space="preserve">Higher range selected service level not indicated. No ongoing </t>
  </si>
  <si>
    <t>www.mbsifp.com</t>
  </si>
  <si>
    <t>www.rapidinnovation.co.uk</t>
  </si>
  <si>
    <t>Transparent Financial Advice Fee Structure - Lifetime IFA</t>
  </si>
  <si>
    <t>LIFETIME WEALTH LTD filing history - Find and update company information - GOV.UK</t>
  </si>
  <si>
    <t>paradigmip.net</t>
  </si>
  <si>
    <t>Financial Planning</t>
  </si>
  <si>
    <t>www.stratiphy.io</t>
  </si>
  <si>
    <t>www.chadwicks.co.uk</t>
  </si>
  <si>
    <t>Only ongoing charged</t>
  </si>
  <si>
    <t>Transparent Financial Advice Fees | Norwich | Chadwicks</t>
  </si>
  <si>
    <t>CHADWICKS LIMITED filing history - Find and update company information - GOV.UK</t>
  </si>
  <si>
    <t>Can not locate this fee on the page</t>
  </si>
  <si>
    <t>Initial fee is a range of 2.5-5k</t>
  </si>
  <si>
    <t>Transparent Financial Planning Fees | One Life Wealth Planning</t>
  </si>
  <si>
    <t>ONE LIFE WEALTH PLANNING LTD filing history - Find and update company information - GOV.UK</t>
  </si>
  <si>
    <t>www.i - for - change.co.uk</t>
  </si>
  <si>
    <t>www.odinwh.com</t>
  </si>
  <si>
    <t>https://www.sidekickmoney.com/</t>
  </si>
  <si>
    <t>https://www.mirabaud.com/en/wealth - management</t>
  </si>
  <si>
    <t>http://www.polariswealth.co.uk/</t>
  </si>
  <si>
    <t>Standard/focused advice selected</t>
  </si>
  <si>
    <t>Transparent Financial Planning Fees | Polaris Wealth</t>
  </si>
  <si>
    <t>POLARIS WEALTH MANAGEMENT LTD filing history - Find and update company information - GOV.UK</t>
  </si>
  <si>
    <t>www.oakceancapital.com</t>
  </si>
  <si>
    <t>https://robinsoninvestmentsolutions.co.uk</t>
  </si>
  <si>
    <t>www.investmentquorum.com</t>
  </si>
  <si>
    <t>Transparent Pricing for Financial Services | Investment Quorum</t>
  </si>
  <si>
    <t>INVESTMENT QUORUM LIMITED filing history - Find and update company information - GOV.UK</t>
  </si>
  <si>
    <t>www.prestigefamily.co.uk</t>
  </si>
  <si>
    <t>https://bloomfinancialconsulting.co.uk/</t>
  </si>
  <si>
    <t>www.cannizarowealth.com</t>
  </si>
  <si>
    <t>www.ravengroup. global</t>
  </si>
  <si>
    <t>Value of our expertise - Lumin Wealth Management</t>
  </si>
  <si>
    <t>Select 	Full accounts made up to 31 December 2024</t>
  </si>
  <si>
    <t>www.otwealth.co.uk</t>
  </si>
  <si>
    <t>www.verity.capital</t>
  </si>
  <si>
    <t>LUMIN WEALTH MANAGEMENT LIMITED overview - Find and update company information - GOV.UK</t>
  </si>
  <si>
    <t>parallel - eb.co.uk</t>
  </si>
  <si>
    <t>www.graftoncourt.co.uk</t>
  </si>
  <si>
    <t>www.rightwealthmanagement.com</t>
  </si>
  <si>
    <t>www.incredwealth.uk</t>
  </si>
  <si>
    <t>www.cooperpark.co.uk</t>
  </si>
  <si>
    <t>NHS only advice not widely available to everyone</t>
  </si>
  <si>
    <t>Wealth Management for Dentists - PFM Dental</t>
  </si>
  <si>
    <t>COOPER PARK WEALTH MANAGEMENT LIMITED filing history - Find and update company information - GOV.UK</t>
  </si>
  <si>
    <t>initial not stipulated</t>
  </si>
  <si>
    <t>www.execapman.com</t>
  </si>
  <si>
    <t>www.fairwayfinancial.co.uk</t>
  </si>
  <si>
    <t>www.lchwealth.co.uk</t>
  </si>
  <si>
    <t>www.batesfs.com</t>
  </si>
  <si>
    <t>fortis - medical.co.uk</t>
  </si>
  <si>
    <t>www.liberatewealth.co.uk</t>
  </si>
  <si>
    <t>www.castlegatecapital.co.uk</t>
  </si>
  <si>
    <t>www.elitepwm.co.uk</t>
  </si>
  <si>
    <t>www.verityfpl.co.uk</t>
  </si>
  <si>
    <t>www.platinumgroup.co.uk</t>
  </si>
  <si>
    <t>Weatherbys-Private-Bank-Investment-and-Wealth-Advice-Schedule-of-Charges.pdf</t>
  </si>
  <si>
    <t>WEATHERBYS BANK LIMITED filing history - Find and update company information - GOV.UK</t>
  </si>
  <si>
    <t>AWIPR0029_UK_Adviser_Charges_Summary_EN_0325.pdf</t>
  </si>
  <si>
    <t>https://57northfp.com/</t>
  </si>
  <si>
    <t>www.joostenfinancialplanning.co.uk</t>
  </si>
  <si>
    <t>Financial Planning | Radcliffe &amp; Newlands Wealth</t>
  </si>
  <si>
    <t>www.npwm.co.uk</t>
  </si>
  <si>
    <t>www.ellisdaviesfp.co.uk</t>
  </si>
  <si>
    <t>Cant see fee on this page</t>
  </si>
  <si>
    <t>What It Costs | Ellis Davies Financial Planning | Top-Rated Financial Planners | Clifton | Bristol</t>
  </si>
  <si>
    <t>ELLIS DAVIES FINANCIAL PLANNING LIMITED filing history - Find and update company information - GOV.UK</t>
  </si>
  <si>
    <t>www.wadewp.co.uk</t>
  </si>
  <si>
    <t>www.teylufp.com</t>
  </si>
  <si>
    <t>www.howardwright.co.uk</t>
  </si>
  <si>
    <t>What We Do &amp; How We Charge - Howard Wright</t>
  </si>
  <si>
    <t>No revenue on abridged account made up to 31 December 2024-Net asset used to derive revenue</t>
  </si>
  <si>
    <t>https://www.jacksons.life/</t>
  </si>
  <si>
    <t>What will it cost? | Jacksons</t>
  </si>
  <si>
    <t>JACKSON (LIFE &amp; PENSIONS) LIMITED filing history - Find and update company information - GOV.UK</t>
  </si>
  <si>
    <t>Privacy error</t>
  </si>
  <si>
    <t>Webpage unreachable</t>
  </si>
  <si>
    <t>www.asperandwealth.co.uk</t>
  </si>
  <si>
    <t>No initial fee, one of the lowest fees</t>
  </si>
  <si>
    <t>ASPERAND WEALTH LIMITED filing history - Find and update company information - GOV.UK</t>
  </si>
  <si>
    <t>https://www.shipmanmwm.co.uk/</t>
  </si>
  <si>
    <t>https://www.qnb.com/</t>
  </si>
  <si>
    <t>https://www.abbotassociates.com/</t>
  </si>
  <si>
    <t>https://www.cravenstreetwealth.co.uk/</t>
  </si>
  <si>
    <t>https://www.shawgibbs.com/</t>
  </si>
  <si>
    <t>https://www.euro-ib.com/</t>
  </si>
  <si>
    <t>https://www.vintage-fp.com/</t>
  </si>
  <si>
    <t>https://www.fiskeplc.com/</t>
  </si>
  <si>
    <t>https://www.marchmaine.com/</t>
  </si>
  <si>
    <t>https://www.whitehallpartnership.ltd/</t>
  </si>
  <si>
    <t>Cessation of Providing Financial Advice Services</t>
  </si>
  <si>
    <t>https://www.sasifa.co.uk/</t>
  </si>
  <si>
    <t>https://www.fyshe.co.uk/</t>
  </si>
  <si>
    <t>https://www.dbs.com/</t>
  </si>
  <si>
    <t>https://www.websiteclosed/</t>
  </si>
  <si>
    <t>https://www.adamandcompany.co.uk/ canaccord-wealth</t>
  </si>
  <si>
    <t>https://www.clear-markets.com/</t>
  </si>
  <si>
    <t>https://www.harwoodcapital.co.uk/</t>
  </si>
  <si>
    <t>https://www.hl.com/</t>
  </si>
  <si>
    <t>https://www.ecofininvest.com/</t>
  </si>
  <si>
    <t>https://www.regentcap.co.uk/</t>
  </si>
  <si>
    <t>https://www.access-em.com/</t>
  </si>
  <si>
    <t>https://www.characterfs.com/</t>
  </si>
  <si>
    <t>https://www.midasfides.co.uk/</t>
  </si>
  <si>
    <t>https://www.hinesassociates.com/</t>
  </si>
  <si>
    <t>https://www.throgmortonfs.co.uk/</t>
  </si>
  <si>
    <t>https://www.sageindadvisers.co.uk/</t>
  </si>
  <si>
    <t>https://www.sabsecurities.co.uk/</t>
  </si>
  <si>
    <t>https://www.bedrockgroup.com/</t>
  </si>
  <si>
    <t>https://www.fm-co.com/</t>
  </si>
  <si>
    <t>https://www.g11financial.co.uk/</t>
  </si>
  <si>
    <t>https://www.sjaltd.com/</t>
  </si>
  <si>
    <t>https://www.mapfinancial.co.uk/</t>
  </si>
  <si>
    <t>https://www.your-financial-adviser.com/</t>
  </si>
  <si>
    <t>https://www.kench-financial.co.uk/</t>
  </si>
  <si>
    <t>https://www.williamstclare.co.uk/</t>
  </si>
  <si>
    <t>https://www.gisukltd.com/</t>
  </si>
  <si>
    <t>https://www.claydens.com/</t>
  </si>
  <si>
    <t>Mortgage business</t>
  </si>
  <si>
    <t>Mortgage biz, typical fee selected an no ongoing</t>
  </si>
  <si>
    <t>https://find-and-update.company-information.service.gov.uk/company/05495327/filing-history</t>
  </si>
  <si>
    <t>https://www.hawley-wood.co.uk/</t>
  </si>
  <si>
    <t>https://www.ashdalefinancial.co.uk/</t>
  </si>
  <si>
    <t>https://www.whitesfm.co.uk/</t>
  </si>
  <si>
    <t>https://www.blacklersnelling.co.uk/</t>
  </si>
  <si>
    <t>https://www.manim.co.uk/</t>
  </si>
  <si>
    <t>https://www.kcotterellfs.trustedadviser.info/</t>
  </si>
  <si>
    <t>https://www.m-s-m.co/</t>
  </si>
  <si>
    <t>https://www.nspgroup.com/</t>
  </si>
  <si>
    <t>https://www.fundamentalasset.com/</t>
  </si>
  <si>
    <t>https://www.hallidays.co.uk/</t>
  </si>
  <si>
    <t>https://www.principals.biz/</t>
  </si>
  <si>
    <t>https://www.gibsonlamb.co.uk/</t>
  </si>
  <si>
    <t>https://www.uksf.co.uk/</t>
  </si>
  <si>
    <t>https://www.market-position.com/</t>
  </si>
  <si>
    <t>https://www.tejaracapital.com/</t>
  </si>
  <si>
    <t>https://www.harbourwealth.co.uk/</t>
  </si>
  <si>
    <t>https://www.dkbm.co.uk/</t>
  </si>
  <si>
    <t>£99</t>
  </si>
  <si>
    <t>https://www.endven.com/</t>
  </si>
  <si>
    <t>https://www.ifstr.com/</t>
  </si>
  <si>
    <t>Dormant webpage domain</t>
  </si>
  <si>
    <t>https://www.rmcwealth.co.uk/</t>
  </si>
  <si>
    <t>https://www.daimagister.com/</t>
  </si>
  <si>
    <t>https://www.alphafs.co.uk/</t>
  </si>
  <si>
    <t>https://www.reichinsurance.co.uk/</t>
  </si>
  <si>
    <t>https://www.mulberryfinancial.co.uk/</t>
  </si>
  <si>
    <t>https://www.ejsfp.co.uk/</t>
  </si>
  <si>
    <t>https://www.infinityllp.com/</t>
  </si>
  <si>
    <t>https://www.clocktowerfm.com/</t>
  </si>
  <si>
    <t>https://www.tnwfs.co.uk/</t>
  </si>
  <si>
    <t>https://www.corporatebenefits.co.uk/</t>
  </si>
  <si>
    <t>https://www.pfgl.co.uk/</t>
  </si>
  <si>
    <t>https://www.wpfinancialservices.co.uk/</t>
  </si>
  <si>
    <t>https://www.cf-partners.com/</t>
  </si>
  <si>
    <t>https://www.rainbirdandco.co.uk/</t>
  </si>
  <si>
    <t>https://www.retinvest.co.uk/</t>
  </si>
  <si>
    <t>https://www.moneymattersne.co.uk/</t>
  </si>
  <si>
    <t>https://www.myfinancepage.co.uk/</t>
  </si>
  <si>
    <t>https://www.dialpartnersllp.com/</t>
  </si>
  <si>
    <t>https://www.fiduciarywealth.gi/</t>
  </si>
  <si>
    <t>https://www.barkestoneassociates.com/</t>
  </si>
  <si>
    <t>https://www.quayfinancial.co.uk/</t>
  </si>
  <si>
    <t>https://www.oasiscrescent.co.uk/</t>
  </si>
  <si>
    <t>https://www.efficientportfolio.co.uk/</t>
  </si>
  <si>
    <t>https://www.sovereignam.co.uk/</t>
  </si>
  <si>
    <t>https://www.ethicalfin.com/</t>
  </si>
  <si>
    <t>https://www.tateconsultancy.com/</t>
  </si>
  <si>
    <t>https://www.matrixfinancial.co.uk/</t>
  </si>
  <si>
    <t>https://www.iris-advisory.com/</t>
  </si>
  <si>
    <t>https://www.axisbankuk.co.uk/</t>
  </si>
  <si>
    <t>Banking only - non-Fin advice</t>
  </si>
  <si>
    <t>https://www.aklfm.co.uk/</t>
  </si>
  <si>
    <t>https://www.1stchoiceconsultants.co.uk/</t>
  </si>
  <si>
    <t>https://www.montagu-online.com/</t>
  </si>
  <si>
    <t>https://www.thmarchfinancialplanning.co.uk/</t>
  </si>
  <si>
    <t>https://www.friend-james.com/</t>
  </si>
  <si>
    <t>https://www.breedelliott.com/</t>
  </si>
  <si>
    <t>https://www.maxlyte.co.uk/</t>
  </si>
  <si>
    <t>https://www.arcanum.co.uk/</t>
  </si>
  <si>
    <t>https://www.thechildrensisa.com/</t>
  </si>
  <si>
    <t>https://www.ridgewaycapital.co.uk/</t>
  </si>
  <si>
    <t>https://www.allentomasfinancial.co.uk/</t>
  </si>
  <si>
    <t>https://www.jsternco.com/</t>
  </si>
  <si>
    <t>https://www.ambrosefisher.co.uk/</t>
  </si>
  <si>
    <t>www.lampiers.com</t>
  </si>
  <si>
    <t>https://www.definewealth.co.uk/</t>
  </si>
  <si>
    <t>https://www.djcfinancialservices.co.uk/</t>
  </si>
  <si>
    <t>https://www.tradeonline.org.uk/</t>
  </si>
  <si>
    <t>https://www.buzzfinancial.co.uk/</t>
  </si>
  <si>
    <t>https://www.auderesolutions.com/</t>
  </si>
  <si>
    <t>https://www.gtcpc.co.uk/</t>
  </si>
  <si>
    <t>Ongoing charge not disclosed</t>
  </si>
  <si>
    <t>https://www.clarityifa.net/</t>
  </si>
  <si>
    <t>https://www.alphaonestrategies.com/</t>
  </si>
  <si>
    <t>https://www.cfpllp.com/</t>
  </si>
  <si>
    <t>https://www.buchananadvice.co.uk/</t>
  </si>
  <si>
    <t>https://www.westbridgfordwm.co.uk/</t>
  </si>
  <si>
    <t>https://www.lewiscapital.co.uk/</t>
  </si>
  <si>
    <t>https://www.merciafp.com/</t>
  </si>
  <si>
    <t>https://www.riverfort.com/</t>
  </si>
  <si>
    <t>https://www.earlyworld-capital.co.uk/</t>
  </si>
  <si>
    <t>https://www.fergusonhillam.com/</t>
  </si>
  <si>
    <t>https://www.peakwm.co.uk/</t>
  </si>
  <si>
    <t>https://www.iandpa.com/</t>
  </si>
  <si>
    <t>https://www.samawealth.com/</t>
  </si>
  <si>
    <t>Webpage showing Error</t>
  </si>
  <si>
    <t>https://www.faddersconsultancy.com/</t>
  </si>
  <si>
    <t>https://www.aletheia-capital.com/</t>
  </si>
  <si>
    <t>https://www.clearbuy2let.com/</t>
  </si>
  <si>
    <t>www.pnmuk.co.uk</t>
  </si>
  <si>
    <t>https://www.rjbfinance.co.uk/</t>
  </si>
  <si>
    <t>https://www.fulcrum.london/ insightifa.</t>
  </si>
  <si>
    <t>https://www.devizesfs.co.uk/</t>
  </si>
  <si>
    <t>https://www.themedicalpartnership.com/</t>
  </si>
  <si>
    <t>https://www.easiroute.co.uk/</t>
  </si>
  <si>
    <t>https://www.assetifa.co.uk/</t>
  </si>
  <si>
    <t>https://www.claim3000.co.uk/</t>
  </si>
  <si>
    <t>https://www.massonglennie.co.uk/</t>
  </si>
  <si>
    <t>https://www.chetwoodim.co.uk/</t>
  </si>
  <si>
    <t>https://www.fpmac.co.uk/</t>
  </si>
  <si>
    <t>https://www.qgcap.com/</t>
  </si>
  <si>
    <t>https://www.assetmanagementadvice.co.uk/</t>
  </si>
  <si>
    <t>https://www.stavertongarage.com/</t>
  </si>
  <si>
    <t>https://www.polearnold.co.uk/ mattioliwoods</t>
  </si>
  <si>
    <t>https://www.nectarwealth.co.uk/</t>
  </si>
  <si>
    <t>https://www.foundationfp.com/</t>
  </si>
  <si>
    <t>https://www.atlantichousegroup.com/</t>
  </si>
  <si>
    <t>https://www.barclaybond.co.uk/</t>
  </si>
  <si>
    <t>https://www.bankofsingapore.com/bos-wealth-management-europe.html</t>
  </si>
  <si>
    <t>https://www.bankofsingapore.com/managed-resources/pdf/BOS-Schedule_of_Fees_and_Charges.pdf</t>
  </si>
  <si>
    <t>https://www.highfieldmortgagesuk.com/</t>
  </si>
  <si>
    <t>https://www.jacwm.co.uk/</t>
  </si>
  <si>
    <t>https://www.orionridgecapital.co.uk/</t>
  </si>
  <si>
    <t>https://www.urmortgage.co.uk/</t>
  </si>
  <si>
    <t>https://www.osceola.co.uk/</t>
  </si>
  <si>
    <t>https://www.hamiltoncourtfx.com/</t>
  </si>
  <si>
    <t>https://www.lowndescap.com/</t>
  </si>
  <si>
    <t>https://www.integer-advisors.com/</t>
  </si>
  <si>
    <t>https://www.barrascapital.com/</t>
  </si>
  <si>
    <t>https://www.k3advisory.com/</t>
  </si>
  <si>
    <t>https://www.voyageram.co.uk/</t>
  </si>
  <si>
    <t>https://www.manderduffill.com/</t>
  </si>
  <si>
    <t>https://www.spallp.co.uk/</t>
  </si>
  <si>
    <t>www.hamishleng.co.uk</t>
  </si>
  <si>
    <t>Massive outlier, data omitted</t>
  </si>
  <si>
    <t>https://find-and-update.company-information.service.gov.uk/company/05960871</t>
  </si>
  <si>
    <t>http://www.2tix.ltd/</t>
  </si>
  <si>
    <t>http://www.abovewealth.com</t>
  </si>
  <si>
    <t>https://www.agencypartners.co.uk/</t>
  </si>
  <si>
    <t>https://aibgb.co.uk/</t>
  </si>
  <si>
    <t>London branch</t>
  </si>
  <si>
    <t>http://www.atlantichousegroup.com/</t>
  </si>
  <si>
    <t>https://www.pictet.com/uk/en</t>
  </si>
  <si>
    <t>https://huntercapital.co.uk/</t>
  </si>
  <si>
    <t>Unreachable website</t>
  </si>
  <si>
    <t>https://www.cfp.energy/</t>
  </si>
  <si>
    <t>https://www.gerardsavarymortgages.com/</t>
  </si>
  <si>
    <t>Mortgage only</t>
  </si>
  <si>
    <t>http://www.invesco.co.uk/</t>
  </si>
  <si>
    <t>http://www.charcol.co.uk/</t>
  </si>
  <si>
    <t>https://juliemcgee.co.uk/</t>
  </si>
  <si>
    <t>http://www.tslombard.com</t>
  </si>
  <si>
    <t>http://www.maia-am.co.uk/</t>
  </si>
  <si>
    <t>Investment manager</t>
  </si>
  <si>
    <t>http://www.marlowecapital.co.uk</t>
  </si>
  <si>
    <t>mcdowellfs.com</t>
  </si>
  <si>
    <t>Home - Misland Capital</t>
  </si>
  <si>
    <t>holistcsfm.com</t>
  </si>
  <si>
    <t>http://www.pennylanepawnbrokers.co.uk/</t>
  </si>
  <si>
    <t>https://trinitycapitalpartners.co.uk/</t>
  </si>
  <si>
    <t>protean-capital.com</t>
  </si>
  <si>
    <t>https://sentinelportfoliomanagement.co.uk/</t>
  </si>
  <si>
    <t>https://simplymortgages.co.uk/</t>
  </si>
  <si>
    <t>Mortgage broker</t>
  </si>
  <si>
    <t>http://www.thornbridge.com/</t>
  </si>
  <si>
    <t>www.moneyhoneyfp.co.uk</t>
  </si>
  <si>
    <t>https://5581eb61-677a-472c-b5d8-ebf87f51476f.filesusr.com/ugd/2c7088_7e8b931fc0164a56a904ce474e508293.pdf</t>
  </si>
  <si>
    <t>https://find-and-update.company-information.service.gov.uk/company/08107961/filing-history</t>
  </si>
  <si>
    <t>www.uk.kfh.com</t>
  </si>
  <si>
    <t>Non advice mostly banking</t>
  </si>
  <si>
    <t>ajdfs.co.uk</t>
  </si>
  <si>
    <t>www.alandonald.co.uk</t>
  </si>
  <si>
    <t>https://alandonald.co.uk/faqs</t>
  </si>
  <si>
    <t>https://find-and-update.company-information.service.gov.uk/company/09068172/filing-history</t>
  </si>
  <si>
    <t>www.andersbayleyscott.co.uk</t>
  </si>
  <si>
    <t>https://www.andersbayleyscott.co.uk/image/data/2020%20ABS%20Client%20Agreement%20for%20Investments%20_June%202020_-min.pdf</t>
  </si>
  <si>
    <t>https://find-and-update.company-information.service.gov.uk/company/07889267</t>
  </si>
  <si>
    <t>https://www.archytas-strategic.com/</t>
  </si>
  <si>
    <t>www.amfsltd.co.uk</t>
  </si>
  <si>
    <t>www.barclays.com</t>
  </si>
  <si>
    <t>www.bastowandco.ltd.uk</t>
  </si>
  <si>
    <t>www.bbi-ifa.co.uk</t>
  </si>
  <si>
    <t>www.berryfinancialplanning.co.uk</t>
  </si>
  <si>
    <t>www.cantabam.com</t>
  </si>
  <si>
    <t>https://capelcourt.cliftonwp.co.uk/</t>
  </si>
  <si>
    <t>www.cartwright.co.uk</t>
  </si>
  <si>
    <t>https://www.chaldonfoxassociates.co.uk/</t>
  </si>
  <si>
    <t>www.clarityifa.com</t>
  </si>
  <si>
    <t>https://www.cradleltd.co.uk/</t>
  </si>
  <si>
    <t>https://www.darnellswm.co.uk/</t>
  </si>
  <si>
    <t>www.delaunaywealth.com</t>
  </si>
  <si>
    <t>https://delaunaywealth.com/our-fees/</t>
  </si>
  <si>
    <t>https://find-and-update.company-information.service.gov.uk/company/08107472/filing-history</t>
  </si>
  <si>
    <t>www.dhfm.co.uk</t>
  </si>
  <si>
    <t>https://dhfm.co.uk/wealth-management/</t>
  </si>
  <si>
    <t>https://find-and-update.company-information.service.gov.uk/search?q=Douglas+Hope+Financial+Management</t>
  </si>
  <si>
    <t>https://partnerswealthmanagement.co.uk/</t>
  </si>
  <si>
    <t>https://www.thereviewbusiness.co.uk/</t>
  </si>
  <si>
    <t>www.euro.capital</t>
  </si>
  <si>
    <t>Non retail advice</t>
  </si>
  <si>
    <t>www.faradayfinancial.co.uk</t>
  </si>
  <si>
    <t>www.foxandco.com</t>
  </si>
  <si>
    <t>www.fraserspy.co.uk</t>
  </si>
  <si>
    <t>www.gnoscofp.com</t>
  </si>
  <si>
    <t>https://optimumpath.co.uk</t>
  </si>
  <si>
    <t>https://optimumpath.co.uk/fees/</t>
  </si>
  <si>
    <t>https://find-and-update.company-information.service.gov.uk/company/01377493/filing-history</t>
  </si>
  <si>
    <t>www.horlockholdcroft.co.uk</t>
  </si>
  <si>
    <t>http://www.hottinger.co.uk/</t>
  </si>
  <si>
    <t>https://www.imperious-capital.co.uk/</t>
  </si>
  <si>
    <t>www.acaciawealth.co.uk</t>
  </si>
  <si>
    <t>www.kingfurness.co.uk</t>
  </si>
  <si>
    <t>https://kingfurness.co.uk/wp-content/uploads/2024/07/KFA-Terms-of-Business_Private-Client_11042024.pdf</t>
  </si>
  <si>
    <t>https://find-and-update.company-information.service.gov.uk/company/03855110</t>
  </si>
  <si>
    <t>www.kymin.co.uk</t>
  </si>
  <si>
    <t>www.ritewealth.co.uk</t>
  </si>
  <si>
    <t>www.msgifa.co.uk</t>
  </si>
  <si>
    <t>www.mchb.co.uk</t>
  </si>
  <si>
    <t>www.mha.co.uk</t>
  </si>
  <si>
    <t>Non retail financial advice</t>
  </si>
  <si>
    <t>www.michaelforward.co.uk</t>
  </si>
  <si>
    <t>www.millerassociates.co.uk</t>
  </si>
  <si>
    <t>www.mitchellprockter.co.uk</t>
  </si>
  <si>
    <t>ww.nivenfinancial.co.uk</t>
  </si>
  <si>
    <t>www.octavefinancial.co.uk</t>
  </si>
  <si>
    <t>www.stableinvestment.co.uk</t>
  </si>
  <si>
    <t>www.pfgl.co.uk/pcel</t>
  </si>
  <si>
    <t>www.pfgl.co.uk/thorntonspringer</t>
  </si>
  <si>
    <t>http://www.pipersandler.com/</t>
  </si>
  <si>
    <t>www.rosefinancialservices.co.uk</t>
  </si>
  <si>
    <t>https://savvywealth.wales/</t>
  </si>
  <si>
    <t>www.sfp-ifa.co.uk</t>
  </si>
  <si>
    <t>https://styleinsurance.ifa-web.co.uk/</t>
  </si>
  <si>
    <t>www.abacusadvisers.co.uk</t>
  </si>
  <si>
    <t>Saltus</t>
  </si>
  <si>
    <t>https://www.saltus.co.uk/partnership-programme</t>
  </si>
  <si>
    <t>www.marygoldandco.uk</t>
  </si>
  <si>
    <t>www.octopusmoney.com</t>
  </si>
  <si>
    <t>www.tyburnam.co.uk</t>
  </si>
  <si>
    <t>https://zomiwealth.com/</t>
  </si>
  <si>
    <t>M4FG.com</t>
  </si>
  <si>
    <t>Fund cost is an average of range provided</t>
  </si>
  <si>
    <t>https://sipwealthmanagement.co.uk/client-documents/client-agreement-and-service-proposition/</t>
  </si>
  <si>
    <t>KUWAIT FINANCE HOUSE PLC</t>
  </si>
  <si>
    <t>ROSE FINANCIAL SERVICES LIMITED</t>
  </si>
  <si>
    <t>PIPER SANDLER LTD.</t>
  </si>
  <si>
    <t>HOTTINGER &amp; CO. LIMITED</t>
  </si>
  <si>
    <t>Perspective (Thornton Springer) Limited</t>
  </si>
  <si>
    <t>Marygold &amp; Co. Limited</t>
  </si>
  <si>
    <t>TYBURN ASSET MANAGEMENT LTD</t>
  </si>
  <si>
    <t>Partners Wealth Management Solutions Limited</t>
  </si>
  <si>
    <t>Asset Capital Management UK Limited</t>
  </si>
  <si>
    <t>Napier Lane Associates Limited</t>
  </si>
  <si>
    <t>Cesta Financial Planning Ltd</t>
  </si>
  <si>
    <t>Cambridge Mercantile Risk Management (UK) Ltd</t>
  </si>
  <si>
    <t>CAPITAL MARKETS STRATEGY LIMITED</t>
  </si>
  <si>
    <t>TC</t>
  </si>
  <si>
    <t>PC</t>
  </si>
  <si>
    <t>INT</t>
  </si>
  <si>
    <t>Staff size</t>
  </si>
  <si>
    <t>TC backup</t>
  </si>
  <si>
    <t>PC backup</t>
  </si>
  <si>
    <t>Total Asset</t>
  </si>
  <si>
    <t>Net Asset</t>
  </si>
  <si>
    <t>financial stm backup  (2024 data)</t>
  </si>
  <si>
    <t>Low Fee</t>
  </si>
  <si>
    <t>One of the cheapest MPS available + Underlying Aviva fund cost of about 0.30%</t>
  </si>
  <si>
    <t>One of the cheapest MPS available + Underlying Aviva fund cost of about 0.30%
file:///C:/Users/kaybu/Downloads/table-of-fund-charges-and-costs.pdf</t>
  </si>
  <si>
    <t>ROI after advice cost</t>
  </si>
  <si>
    <t>Investment after initial charge</t>
  </si>
  <si>
    <t>Cummulative 5yrs ongoing advice charge</t>
  </si>
  <si>
    <t>Net 5yrs return (mostly up to 28th of Feb 2026)</t>
  </si>
  <si>
    <t>https://www.rathbones.com/en-gb/asset-management/individual-investor/fund-centre?language=en&amp;location=uk&amp;channel=retail&amp;clientId=rath&amp;clientVersion=v1&amp;externalId=RATH_F000015BNN&amp;r=%2Ffund%2FRATH_F000015BNN%2F&amp;fundName=Rathbone-Dynamic-Growth-Portfolio-S-Inc</t>
  </si>
  <si>
    <t>No performance for DPS</t>
  </si>
  <si>
    <t>https://digital.feprecisionplus.com/7im/factsheethtml/en-gb/7im_corp/?TypeCode=FO:BFB5&amp;specialunittype=ORDN&amp;MPCategoryCode=&amp;Category=corp&amp;priipproductcode=&amp;documentcountry=&amp;Category2=</t>
  </si>
  <si>
    <t>h Cirilium Balance Passive Portfolio</t>
  </si>
  <si>
    <t>https://www.charles-stanley-direct.co.uk/ViewFund?InvestmentId=rn0tNP5e3DI%3D&amp;Isin=GB00BD89MD61&amp;PreviousSearchResults=%2FInvestmentSearch%2FSearch%3FSearchText%3DCharles%2520Stanley%2520Multi%2520Asset%2520Cautious%2520Fund%26_gl%3D1*fxxe03*_gcl_au*MzgwNTUyODEyLjE3NzYyMTQ1NjU.*_ga*ODg2NTMwOTczLjE3NzYyMTQ1NjM.*_ga_3VR54ETYY8*czE3NzYyNTE0OTQkbzIkZzEkdDE3NzYyNTE3MDEkajU5JGwwJGgw</t>
  </si>
  <si>
    <t>https://www.w1m.com/insights/london-and-capital-waverton-unite-as-w1m/</t>
  </si>
  <si>
    <t>https://chasedevere.co.uk/wp-content/uploads/2025/10/Balanced-Capital-Growth-FINAL_071025.pdf</t>
  </si>
  <si>
    <t>https://portfolio-adviser.com/chase-de-vere-rubbishes-claims-its-switched-clients-into-pricier-poor-performing-portfolios/#:~:text=In%20the%20document%20Chase%20de,30%20years%2C%20according%20to%20research.</t>
  </si>
  <si>
    <t>N/A DFM</t>
  </si>
  <si>
    <t>https://www.netwealth.com/investing/historical-performance/</t>
  </si>
  <si>
    <t>https://www.mandg.com/dam/investments/common/gb/en/documents/funds-literature/factsheet/uk-income-distribution-fund_gbp_a_acc_uk_factsheet_eng_uk_gb0031107468.pdf</t>
  </si>
  <si>
    <t>https://digital.feprecisionplus.com/aegonc/factsheethtml/en-gb/aegonc/?TypeCode=FO:K2WZ&amp;specialunittype=ORDN&amp;MPCategoryCode=&amp;Category=&amp;priipproductcode=&amp;documentcountry=&amp;Category2=&amp;RangeCode=87200179</t>
  </si>
  <si>
    <t>DFM</t>
  </si>
  <si>
    <t>https://www.sjp.co.uk/individuals/charges</t>
  </si>
  <si>
    <t>https://documentscdn.financialexpress.net/Literature/CE0DFBC06A6BFFF877F4227AEF0AEEBA/240066933.pdf</t>
  </si>
  <si>
    <t>https://www.blackrock.com/uk/individual/products/308802/</t>
  </si>
  <si>
    <t>Charge monthly fee of 825 across all client, likely beneficial for customers with large investable but this limit advice options for wider customer pool. They have minimum investable of 1m</t>
  </si>
  <si>
    <t>Barclays Multi-Asset Cautious Income R Acc Fund factsheet | Trustnet</t>
  </si>
  <si>
    <t>Select Balanced</t>
  </si>
  <si>
    <t>Growth B Acc fund</t>
  </si>
  <si>
    <t>https://mghlmarketing.blob.core.windows.net/kiids/IFSL%20Ascot%20Lloyd%204%20Fund%20Class%20A%20Shares.pdf</t>
  </si>
  <si>
    <t>b9014520-1e54-4706-93da-5a2472bdef9a</t>
  </si>
  <si>
    <t>See Assessment of Value for  PC</t>
  </si>
  <si>
    <t>Other backups</t>
  </si>
  <si>
    <t>Cirilium Balance Passive Portfolio</t>
  </si>
  <si>
    <t>https://www.trustnet.com/factsheets/o/w947/fund/sectors</t>
  </si>
  <si>
    <t>https://www.fidelity.co.uk/factsheet-data/factsheet/GB00B1N94V93-aviva-investors-multi-manager-20-60-shares-fund-sc1/charges-and-key-documents</t>
  </si>
  <si>
    <t>Using share class GB00BF0Q2T58 (oldest accumulating share class OCF of all the balanced fund share classes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</si>
</sst>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\-??_-;_-@_-"/>
    <numFmt numFmtId="165" formatCode="0.000%"/>
    <numFmt numFmtId="166" formatCode="0.0%"/>
    <numFmt numFmtId="167" formatCode="0.000"/>
    <numFmt numFmtId="169" formatCode="0.0000"/>
    <numFmt numFmtId="170" formatCode="0.00000000000000%"/>
  </numFmts>
  <fonts count="21" x14ac:knownFonts="1">
    <font>
      <sz val="11"/>
      <color rgb="FF000000"/>
      <name val="Aptos Narrow"/>
      <family val="2"/>
      <charset val="1"/>
    </font>
    <font>
      <sz val="10"/>
      <name val="Arial"/>
      <family val="2"/>
      <charset val="1"/>
    </font>
    <font>
      <u/>
      <sz val="10"/>
      <color rgb="FF467886"/>
      <name val="Verdana"/>
      <family val="2"/>
      <charset val="1"/>
    </font>
    <font>
      <u/>
      <sz val="11"/>
      <color rgb="FF467886"/>
      <name val="Aptos Narrow"/>
      <family val="2"/>
      <charset val="1"/>
    </font>
    <font>
      <u/>
      <sz val="11"/>
      <color rgb="FF467886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color rgb="FF000000"/>
      <name val="Verdana"/>
      <family val="2"/>
      <charset val="1"/>
    </font>
    <font>
      <b/>
      <sz val="11"/>
      <color rgb="FF000000"/>
      <name val="Aptos Narrow"/>
      <family val="2"/>
      <charset val="1"/>
    </font>
    <font>
      <sz val="8"/>
      <color rgb="FF000000"/>
      <name val="Aptos Narrow"/>
      <family val="2"/>
      <charset val="1"/>
    </font>
    <font>
      <b/>
      <sz val="12"/>
      <color rgb="FF0E2841"/>
      <name val="Times New Roman"/>
      <family val="1"/>
      <charset val="1"/>
    </font>
    <font>
      <b/>
      <sz val="15"/>
      <color rgb="FF0E2841"/>
      <name val="Aptos Narrow"/>
      <family val="2"/>
      <charset val="1"/>
    </font>
    <font>
      <u/>
      <sz val="8"/>
      <color rgb="FF467886"/>
      <name val="Aptos Narrow"/>
      <family val="2"/>
      <charset val="1"/>
    </font>
    <font>
      <sz val="5"/>
      <color rgb="FF000000"/>
      <name val="Arial"/>
      <family val="2"/>
      <charset val="1"/>
    </font>
    <font>
      <sz val="11"/>
      <color rgb="FFE97132"/>
      <name val="Aptos Narrow"/>
      <family val="2"/>
      <charset val="1"/>
    </font>
    <font>
      <sz val="8"/>
      <color rgb="FF000000"/>
      <name val="Arial"/>
      <family val="2"/>
      <charset val="1"/>
    </font>
    <font>
      <sz val="10"/>
      <color rgb="FF000000"/>
      <name val="Times New Roman"/>
      <family val="1"/>
      <charset val="1"/>
    </font>
    <font>
      <sz val="11"/>
      <color rgb="FFFF0000"/>
      <name val="Aptos Narrow"/>
      <family val="2"/>
      <charset val="1"/>
    </font>
    <font>
      <sz val="8"/>
      <color rgb="FF000000"/>
      <name val="Verdana"/>
      <family val="2"/>
      <charset val="1"/>
    </font>
    <font>
      <sz val="11"/>
      <color rgb="FF000000"/>
      <name val="Aptos Narrow"/>
      <family val="2"/>
      <charset val="1"/>
    </font>
    <font>
      <sz val="10"/>
      <color rgb="FF333333"/>
      <name val="Arial"/>
      <family val="2"/>
    </font>
    <font>
      <sz val="11"/>
      <color rgb="FF21272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rgb="FFC1E5F5"/>
        <bgColor rgb="FFCAEEFB"/>
      </patternFill>
    </fill>
    <fill>
      <patternFill patternType="solid">
        <fgColor rgb="FFFBE3D6"/>
        <bgColor rgb="FFE8E8E8"/>
      </patternFill>
    </fill>
    <fill>
      <patternFill patternType="solid">
        <fgColor rgb="FFC2F1C8"/>
        <bgColor rgb="FFD9F2D0"/>
      </patternFill>
    </fill>
    <fill>
      <patternFill patternType="solid">
        <fgColor rgb="FFCAEEFB"/>
        <bgColor rgb="FFC1E5F5"/>
      </patternFill>
    </fill>
    <fill>
      <patternFill patternType="solid">
        <fgColor rgb="FFF2CFEE"/>
        <bgColor rgb="FFFBE3D6"/>
      </patternFill>
    </fill>
    <fill>
      <patternFill patternType="solid">
        <fgColor rgb="FFD9F2D0"/>
        <bgColor rgb="FFC2F1C8"/>
      </patternFill>
    </fill>
    <fill>
      <patternFill patternType="solid">
        <fgColor rgb="FF83CBEB"/>
        <bgColor rgb="FF96DCF8"/>
      </patternFill>
    </fill>
    <fill>
      <patternFill patternType="solid">
        <fgColor rgb="FFF6C6AD"/>
        <bgColor rgb="FFF2CFEE"/>
      </patternFill>
    </fill>
    <fill>
      <patternFill patternType="solid">
        <fgColor rgb="FF84E291"/>
        <bgColor rgb="FFB4E5A2"/>
      </patternFill>
    </fill>
    <fill>
      <patternFill patternType="solid">
        <fgColor rgb="FF96DCF8"/>
        <bgColor rgb="FF83CBEB"/>
      </patternFill>
    </fill>
    <fill>
      <patternFill patternType="solid">
        <fgColor rgb="FFE59EDD"/>
        <bgColor rgb="FFF2AA84"/>
      </patternFill>
    </fill>
    <fill>
      <patternFill patternType="solid">
        <fgColor rgb="FFB4E5A2"/>
        <bgColor rgb="FFC2F1C8"/>
      </patternFill>
    </fill>
    <fill>
      <patternFill patternType="solid">
        <fgColor rgb="FFFFFFCC"/>
        <bgColor rgb="FFE5FFB7"/>
      </patternFill>
    </fill>
    <fill>
      <patternFill patternType="solid">
        <fgColor rgb="FFFFFF00"/>
        <bgColor rgb="FFFFC000"/>
      </patternFill>
    </fill>
    <fill>
      <patternFill patternType="solid">
        <fgColor rgb="FFE97132"/>
        <bgColor rgb="FFC04F15"/>
      </patternFill>
    </fill>
    <fill>
      <patternFill patternType="solid">
        <fgColor rgb="FFFFC000"/>
        <bgColor rgb="FFF2AA84"/>
      </patternFill>
    </fill>
    <fill>
      <patternFill patternType="solid">
        <fgColor rgb="FF595959"/>
        <bgColor rgb="FF404040"/>
      </patternFill>
    </fill>
    <fill>
      <patternFill patternType="solid">
        <fgColor rgb="FFD1D1D1"/>
        <bgColor rgb="FFBFBFBF"/>
      </patternFill>
    </fill>
    <fill>
      <patternFill patternType="solid">
        <fgColor rgb="FFFF0000"/>
        <bgColor rgb="FF800000"/>
      </patternFill>
    </fill>
    <fill>
      <patternFill patternType="solid">
        <fgColor rgb="FF156082"/>
        <bgColor rgb="FF0070C0"/>
      </patternFill>
    </fill>
    <fill>
      <patternFill patternType="solid">
        <fgColor rgb="FF7F7F7F"/>
        <bgColor rgb="FF747474"/>
      </patternFill>
    </fill>
    <fill>
      <patternFill patternType="solid">
        <fgColor rgb="FFE5FFB7"/>
        <bgColor rgb="FFD9F2D0"/>
      </patternFill>
    </fill>
    <fill>
      <patternFill patternType="solid">
        <fgColor rgb="FF0070C0"/>
        <bgColor rgb="FF156082"/>
      </patternFill>
    </fill>
    <fill>
      <patternFill patternType="solid">
        <fgColor rgb="FF78206E"/>
        <bgColor rgb="FF993366"/>
      </patternFill>
    </fill>
    <fill>
      <patternFill patternType="solid">
        <fgColor rgb="FFD86ECC"/>
        <bgColor rgb="FFE59EDD"/>
      </patternFill>
    </fill>
    <fill>
      <patternFill patternType="solid">
        <fgColor rgb="FFAEAEAE"/>
        <bgColor rgb="FFB2B2B2"/>
      </patternFill>
    </fill>
    <fill>
      <patternFill patternType="solid">
        <fgColor rgb="FF404040"/>
        <bgColor rgb="FF333300"/>
      </patternFill>
    </fill>
    <fill>
      <patternFill patternType="solid">
        <fgColor rgb="FFE8E8E8"/>
        <bgColor rgb="FFDCEAF7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rgb="FF15608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67">
    <xf numFmtId="0" fontId="0" fillId="0" borderId="0"/>
    <xf numFmtId="164" fontId="18" fillId="0" borderId="0" applyBorder="0" applyProtection="0"/>
    <xf numFmtId="9" fontId="18" fillId="0" borderId="0" applyBorder="0" applyProtection="0"/>
    <xf numFmtId="0" fontId="3" fillId="0" borderId="0" applyBorder="0" applyProtection="0"/>
    <xf numFmtId="0" fontId="18" fillId="2" borderId="0" applyBorder="0" applyProtection="0"/>
    <xf numFmtId="0" fontId="18" fillId="3" borderId="0" applyBorder="0" applyProtection="0"/>
    <xf numFmtId="0" fontId="18" fillId="4" borderId="0" applyBorder="0" applyProtection="0"/>
    <xf numFmtId="0" fontId="18" fillId="5" borderId="0" applyBorder="0" applyProtection="0"/>
    <xf numFmtId="0" fontId="18" fillId="6" borderId="0" applyBorder="0" applyProtection="0"/>
    <xf numFmtId="0" fontId="18" fillId="7" borderId="0" applyBorder="0" applyProtection="0"/>
    <xf numFmtId="0" fontId="18" fillId="8" borderId="0" applyBorder="0" applyProtection="0"/>
    <xf numFmtId="0" fontId="18" fillId="9" borderId="0" applyBorder="0" applyProtection="0"/>
    <xf numFmtId="0" fontId="18" fillId="10" borderId="0" applyBorder="0" applyProtection="0"/>
    <xf numFmtId="0" fontId="18" fillId="11" borderId="0" applyBorder="0" applyProtection="0"/>
    <xf numFmtId="0" fontId="18" fillId="12" borderId="0" applyBorder="0" applyProtection="0"/>
    <xf numFmtId="0" fontId="18" fillId="13" borderId="0" applyBorder="0" applyProtection="0"/>
    <xf numFmtId="0" fontId="1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164" fontId="18" fillId="0" borderId="0" applyBorder="0" applyProtection="0"/>
    <xf numFmtId="0" fontId="2" fillId="0" borderId="0" applyBorder="0" applyProtection="0"/>
    <xf numFmtId="0" fontId="3" fillId="0" borderId="0" applyBorder="0" applyProtection="0"/>
    <xf numFmtId="0" fontId="4" fillId="0" borderId="0" applyBorder="0" applyProtection="0"/>
    <xf numFmtId="0" fontId="1" fillId="0" borderId="0">
      <alignment vertical="center"/>
    </xf>
    <xf numFmtId="0" fontId="1" fillId="0" borderId="0"/>
    <xf numFmtId="0" fontId="1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18" fillId="0" borderId="0" applyBorder="0" applyProtection="0"/>
    <xf numFmtId="0" fontId="1" fillId="0" borderId="0"/>
    <xf numFmtId="0" fontId="5" fillId="0" borderId="0"/>
    <xf numFmtId="0" fontId="6" fillId="0" borderId="0"/>
    <xf numFmtId="0" fontId="1" fillId="0" borderId="0">
      <alignment vertical="center"/>
    </xf>
    <xf numFmtId="0" fontId="6" fillId="0" borderId="0"/>
    <xf numFmtId="0" fontId="18" fillId="0" borderId="0"/>
    <xf numFmtId="0" fontId="18" fillId="0" borderId="0"/>
    <xf numFmtId="0" fontId="18" fillId="0" borderId="0" applyBorder="0" applyProtection="0"/>
    <xf numFmtId="0" fontId="5" fillId="0" borderId="0"/>
    <xf numFmtId="0" fontId="1" fillId="0" borderId="0">
      <alignment vertical="center"/>
    </xf>
    <xf numFmtId="0" fontId="18" fillId="0" borderId="0"/>
    <xf numFmtId="0" fontId="6" fillId="0" borderId="0"/>
    <xf numFmtId="0" fontId="6" fillId="0" borderId="0"/>
    <xf numFmtId="0" fontId="6" fillId="0" borderId="0"/>
    <xf numFmtId="0" fontId="18" fillId="14" borderId="1" applyProtection="0"/>
    <xf numFmtId="0" fontId="18" fillId="14" borderId="1" applyProtection="0"/>
    <xf numFmtId="0" fontId="18" fillId="14" borderId="1" applyProtection="0"/>
    <xf numFmtId="9" fontId="18" fillId="0" borderId="0" applyBorder="0" applyProtection="0"/>
    <xf numFmtId="9" fontId="18" fillId="0" borderId="0" applyBorder="0" applyProtection="0"/>
    <xf numFmtId="9" fontId="18" fillId="0" borderId="0" applyBorder="0" applyProtection="0"/>
    <xf numFmtId="9" fontId="18" fillId="0" borderId="0" applyBorder="0" applyProtection="0"/>
    <xf numFmtId="0" fontId="18" fillId="0" borderId="0" applyBorder="0" applyProtection="0"/>
    <xf numFmtId="9" fontId="18" fillId="0" borderId="0" applyBorder="0" applyProtection="0"/>
    <xf numFmtId="9" fontId="18" fillId="0" borderId="0" applyBorder="0" applyProtection="0"/>
    <xf numFmtId="0" fontId="18" fillId="0" borderId="0" applyBorder="0" applyProtection="0"/>
    <xf numFmtId="0" fontId="18" fillId="0" borderId="0" applyBorder="0" applyProtection="0"/>
    <xf numFmtId="0" fontId="18" fillId="0" borderId="0" applyBorder="0" applyProtection="0"/>
    <xf numFmtId="0" fontId="18" fillId="0" borderId="0" applyBorder="0" applyProtection="0">
      <alignment horizontal="left"/>
    </xf>
    <xf numFmtId="0" fontId="7" fillId="0" borderId="0" applyBorder="0" applyProtection="0">
      <alignment horizontal="left"/>
    </xf>
    <xf numFmtId="0" fontId="7" fillId="0" borderId="0" applyBorder="0" applyProtection="0"/>
    <xf numFmtId="0" fontId="10" fillId="0" borderId="2" applyProtection="0"/>
  </cellStyleXfs>
  <cellXfs count="107">
    <xf numFmtId="0" fontId="0" fillId="0" borderId="0" xfId="0"/>
    <xf numFmtId="0" fontId="3" fillId="0" borderId="0" xfId="3" applyBorder="1" applyProtection="1"/>
    <xf numFmtId="0" fontId="7" fillId="0" borderId="0" xfId="0" applyFont="1"/>
    <xf numFmtId="10" fontId="0" fillId="0" borderId="0" xfId="0" applyNumberFormat="1"/>
    <xf numFmtId="0" fontId="0" fillId="4" borderId="0" xfId="0" applyFill="1"/>
    <xf numFmtId="9" fontId="18" fillId="0" borderId="0" xfId="2" applyBorder="1" applyProtection="1"/>
    <xf numFmtId="10" fontId="18" fillId="0" borderId="0" xfId="2" applyNumberFormat="1" applyBorder="1" applyProtection="1"/>
    <xf numFmtId="1" fontId="0" fillId="0" borderId="0" xfId="0" applyNumberFormat="1"/>
    <xf numFmtId="0" fontId="0" fillId="0" borderId="0" xfId="0" applyAlignment="1">
      <alignment wrapText="1"/>
    </xf>
    <xf numFmtId="3" fontId="0" fillId="0" borderId="0" xfId="0" applyNumberFormat="1"/>
    <xf numFmtId="164" fontId="18" fillId="0" borderId="0" xfId="1" applyBorder="1" applyProtection="1"/>
    <xf numFmtId="0" fontId="0" fillId="3" borderId="0" xfId="0" applyFill="1"/>
    <xf numFmtId="0" fontId="18" fillId="0" borderId="3" xfId="62" applyBorder="1"/>
    <xf numFmtId="0" fontId="18" fillId="0" borderId="4" xfId="60" applyBorder="1"/>
    <xf numFmtId="0" fontId="18" fillId="0" borderId="7" xfId="63" applyBorder="1">
      <alignment horizontal="left"/>
    </xf>
    <xf numFmtId="0" fontId="18" fillId="0" borderId="8" xfId="61" applyBorder="1"/>
    <xf numFmtId="0" fontId="18" fillId="0" borderId="9" xfId="63" applyBorder="1">
      <alignment horizontal="left"/>
    </xf>
    <xf numFmtId="0" fontId="18" fillId="0" borderId="10" xfId="61" applyBorder="1"/>
    <xf numFmtId="0" fontId="18" fillId="0" borderId="11" xfId="61" applyBorder="1"/>
    <xf numFmtId="0" fontId="7" fillId="0" borderId="5" xfId="64" applyBorder="1">
      <alignment horizontal="left"/>
    </xf>
    <xf numFmtId="0" fontId="7" fillId="0" borderId="6" xfId="65" applyBorder="1"/>
    <xf numFmtId="9" fontId="0" fillId="0" borderId="0" xfId="0" applyNumberFormat="1"/>
    <xf numFmtId="0" fontId="8" fillId="0" borderId="0" xfId="0" applyFont="1"/>
    <xf numFmtId="0" fontId="9" fillId="0" borderId="2" xfId="66" applyFont="1" applyAlignment="1" applyProtection="1">
      <alignment horizontal="center" vertical="top" wrapText="1"/>
    </xf>
    <xf numFmtId="0" fontId="9" fillId="0" borderId="2" xfId="66" applyFont="1" applyAlignment="1" applyProtection="1">
      <alignment wrapText="1"/>
    </xf>
    <xf numFmtId="164" fontId="9" fillId="0" borderId="2" xfId="66" applyNumberFormat="1" applyFont="1" applyAlignment="1" applyProtection="1">
      <alignment wrapText="1"/>
    </xf>
    <xf numFmtId="10" fontId="3" fillId="0" borderId="0" xfId="3" applyNumberFormat="1" applyBorder="1" applyProtection="1"/>
    <xf numFmtId="0" fontId="0" fillId="15" borderId="0" xfId="0" applyFill="1"/>
    <xf numFmtId="10" fontId="0" fillId="17" borderId="0" xfId="0" applyNumberFormat="1" applyFill="1"/>
    <xf numFmtId="10" fontId="0" fillId="18" borderId="0" xfId="0" applyNumberFormat="1" applyFill="1"/>
    <xf numFmtId="2" fontId="0" fillId="0" borderId="0" xfId="0" applyNumberFormat="1"/>
    <xf numFmtId="0" fontId="11" fillId="0" borderId="0" xfId="3" applyFont="1" applyBorder="1" applyProtection="1"/>
    <xf numFmtId="9" fontId="0" fillId="15" borderId="0" xfId="0" applyNumberFormat="1" applyFill="1"/>
    <xf numFmtId="10" fontId="0" fillId="15" borderId="0" xfId="0" applyNumberFormat="1" applyFill="1"/>
    <xf numFmtId="0" fontId="0" fillId="19" borderId="0" xfId="0" applyFill="1"/>
    <xf numFmtId="0" fontId="3" fillId="19" borderId="0" xfId="3" applyFill="1" applyBorder="1" applyProtection="1"/>
    <xf numFmtId="10" fontId="0" fillId="19" borderId="0" xfId="0" applyNumberFormat="1" applyFill="1"/>
    <xf numFmtId="10" fontId="18" fillId="19" borderId="0" xfId="2" applyNumberFormat="1" applyFill="1" applyBorder="1" applyProtection="1"/>
    <xf numFmtId="164" fontId="18" fillId="19" borderId="0" xfId="1" applyFill="1" applyBorder="1" applyProtection="1"/>
    <xf numFmtId="0" fontId="0" fillId="12" borderId="0" xfId="0" applyFill="1"/>
    <xf numFmtId="10" fontId="0" fillId="12" borderId="0" xfId="0" applyNumberFormat="1" applyFill="1"/>
    <xf numFmtId="0" fontId="0" fillId="20" borderId="0" xfId="0" applyFill="1"/>
    <xf numFmtId="0" fontId="0" fillId="21" borderId="0" xfId="0" applyFill="1"/>
    <xf numFmtId="9" fontId="0" fillId="12" borderId="0" xfId="0" applyNumberFormat="1" applyFill="1"/>
    <xf numFmtId="165" fontId="0" fillId="0" borderId="0" xfId="0" applyNumberFormat="1"/>
    <xf numFmtId="0" fontId="3" fillId="0" borderId="0" xfId="3" applyBorder="1" applyAlignment="1" applyProtection="1">
      <alignment vertical="center" wrapText="1"/>
    </xf>
    <xf numFmtId="0" fontId="0" fillId="22" borderId="0" xfId="0" applyFill="1"/>
    <xf numFmtId="0" fontId="3" fillId="22" borderId="0" xfId="3" applyFill="1" applyBorder="1" applyProtection="1"/>
    <xf numFmtId="10" fontId="0" fillId="22" borderId="0" xfId="0" applyNumberFormat="1" applyFill="1"/>
    <xf numFmtId="10" fontId="18" fillId="22" borderId="0" xfId="2" applyNumberFormat="1" applyFill="1" applyBorder="1" applyProtection="1"/>
    <xf numFmtId="2" fontId="0" fillId="22" borderId="0" xfId="0" applyNumberFormat="1" applyFill="1"/>
    <xf numFmtId="166" fontId="0" fillId="0" borderId="0" xfId="0" applyNumberFormat="1"/>
    <xf numFmtId="0" fontId="0" fillId="6" borderId="0" xfId="0" applyFill="1"/>
    <xf numFmtId="9" fontId="0" fillId="6" borderId="0" xfId="0" applyNumberFormat="1" applyFill="1"/>
    <xf numFmtId="10" fontId="0" fillId="6" borderId="0" xfId="0" applyNumberFormat="1" applyFill="1"/>
    <xf numFmtId="2" fontId="0" fillId="6" borderId="0" xfId="0" applyNumberFormat="1" applyFill="1"/>
    <xf numFmtId="0" fontId="0" fillId="10" borderId="0" xfId="0" applyFill="1"/>
    <xf numFmtId="0" fontId="3" fillId="23" borderId="0" xfId="3" applyFill="1" applyBorder="1" applyProtection="1"/>
    <xf numFmtId="0" fontId="0" fillId="16" borderId="0" xfId="0" applyFill="1"/>
    <xf numFmtId="0" fontId="3" fillId="16" borderId="0" xfId="3" applyFill="1" applyBorder="1" applyProtection="1"/>
    <xf numFmtId="0" fontId="0" fillId="24" borderId="0" xfId="0" applyFill="1"/>
    <xf numFmtId="10" fontId="0" fillId="24" borderId="0" xfId="0" applyNumberFormat="1" applyFill="1"/>
    <xf numFmtId="0" fontId="0" fillId="25" borderId="0" xfId="0" applyFill="1"/>
    <xf numFmtId="10" fontId="0" fillId="25" borderId="0" xfId="0" applyNumberFormat="1" applyFill="1"/>
    <xf numFmtId="0" fontId="0" fillId="26" borderId="0" xfId="0" applyFill="1"/>
    <xf numFmtId="0" fontId="3" fillId="12" borderId="0" xfId="3" applyFill="1" applyBorder="1" applyProtection="1"/>
    <xf numFmtId="0" fontId="13" fillId="0" borderId="0" xfId="0" applyFont="1"/>
    <xf numFmtId="9" fontId="0" fillId="26" borderId="0" xfId="0" applyNumberFormat="1" applyFill="1"/>
    <xf numFmtId="10" fontId="0" fillId="27" borderId="0" xfId="0" applyNumberFormat="1" applyFill="1"/>
    <xf numFmtId="0" fontId="0" fillId="0" borderId="12" xfId="0" applyBorder="1"/>
    <xf numFmtId="9" fontId="0" fillId="0" borderId="12" xfId="0" applyNumberFormat="1" applyBorder="1"/>
    <xf numFmtId="10" fontId="0" fillId="28" borderId="0" xfId="0" applyNumberFormat="1" applyFill="1"/>
    <xf numFmtId="10" fontId="0" fillId="0" borderId="12" xfId="0" applyNumberFormat="1" applyBorder="1"/>
    <xf numFmtId="3" fontId="15" fillId="0" borderId="0" xfId="0" applyNumberFormat="1" applyFont="1"/>
    <xf numFmtId="0" fontId="11" fillId="22" borderId="0" xfId="3" applyFont="1" applyFill="1" applyBorder="1" applyProtection="1"/>
    <xf numFmtId="3" fontId="0" fillId="22" borderId="0" xfId="0" applyNumberFormat="1" applyFill="1"/>
    <xf numFmtId="0" fontId="0" fillId="28" borderId="0" xfId="0" applyFill="1"/>
    <xf numFmtId="10" fontId="18" fillId="28" borderId="0" xfId="2" applyNumberFormat="1" applyFill="1" applyBorder="1" applyProtection="1"/>
    <xf numFmtId="0" fontId="3" fillId="28" borderId="0" xfId="3" applyFill="1" applyBorder="1" applyProtection="1"/>
    <xf numFmtId="2" fontId="0" fillId="28" borderId="0" xfId="0" applyNumberFormat="1" applyFill="1"/>
    <xf numFmtId="2" fontId="0" fillId="19" borderId="0" xfId="0" applyNumberFormat="1" applyFill="1"/>
    <xf numFmtId="164" fontId="18" fillId="0" borderId="0" xfId="1" applyBorder="1" applyAlignment="1" applyProtection="1">
      <alignment wrapText="1"/>
    </xf>
    <xf numFmtId="0" fontId="0" fillId="29" borderId="0" xfId="0" applyFill="1"/>
    <xf numFmtId="10" fontId="18" fillId="29" borderId="0" xfId="2" applyNumberFormat="1" applyFill="1" applyBorder="1" applyProtection="1"/>
    <xf numFmtId="10" fontId="0" fillId="29" borderId="0" xfId="0" applyNumberFormat="1" applyFill="1"/>
    <xf numFmtId="0" fontId="16" fillId="22" borderId="0" xfId="0" applyFont="1" applyFill="1"/>
    <xf numFmtId="0" fontId="3" fillId="15" borderId="0" xfId="3" applyFill="1" applyBorder="1" applyProtection="1"/>
    <xf numFmtId="0" fontId="3" fillId="0" borderId="0" xfId="3" applyBorder="1" applyAlignment="1" applyProtection="1">
      <alignment wrapText="1"/>
    </xf>
    <xf numFmtId="10" fontId="0" fillId="4" borderId="0" xfId="0" applyNumberFormat="1" applyFill="1"/>
    <xf numFmtId="2" fontId="3" fillId="0" borderId="0" xfId="3" applyNumberFormat="1" applyBorder="1" applyProtection="1"/>
    <xf numFmtId="0" fontId="12" fillId="0" borderId="0" xfId="0" applyFont="1" applyAlignment="1">
      <alignment vertical="center" wrapText="1"/>
    </xf>
    <xf numFmtId="164" fontId="0" fillId="0" borderId="0" xfId="0" applyNumberFormat="1"/>
    <xf numFmtId="3" fontId="0" fillId="0" borderId="0" xfId="0" applyNumberFormat="1" applyAlignment="1">
      <alignment wrapText="1"/>
    </xf>
    <xf numFmtId="167" fontId="0" fillId="0" borderId="0" xfId="0" applyNumberFormat="1"/>
    <xf numFmtId="4" fontId="0" fillId="0" borderId="0" xfId="0" applyNumberFormat="1"/>
    <xf numFmtId="3" fontId="14" fillId="0" borderId="0" xfId="0" applyNumberFormat="1" applyFont="1"/>
    <xf numFmtId="3" fontId="5" fillId="0" borderId="0" xfId="0" applyNumberFormat="1" applyFont="1" applyAlignment="1">
      <alignment horizontal="right" vertical="center" wrapText="1"/>
    </xf>
    <xf numFmtId="3" fontId="5" fillId="0" borderId="0" xfId="0" applyNumberFormat="1" applyFont="1"/>
    <xf numFmtId="3" fontId="17" fillId="0" borderId="0" xfId="0" applyNumberFormat="1" applyFont="1"/>
    <xf numFmtId="167" fontId="3" fillId="0" borderId="0" xfId="3" applyNumberFormat="1" applyBorder="1" applyProtection="1"/>
    <xf numFmtId="169" fontId="3" fillId="0" borderId="0" xfId="3" applyNumberFormat="1" applyBorder="1" applyProtection="1"/>
    <xf numFmtId="0" fontId="3" fillId="0" borderId="0" xfId="3"/>
    <xf numFmtId="0" fontId="19" fillId="0" borderId="0" xfId="0" applyFont="1"/>
    <xf numFmtId="2" fontId="3" fillId="30" borderId="0" xfId="3" applyNumberFormat="1" applyFill="1" applyBorder="1" applyProtection="1"/>
    <xf numFmtId="170" fontId="0" fillId="0" borderId="0" xfId="0" applyNumberFormat="1"/>
    <xf numFmtId="0" fontId="0" fillId="31" borderId="0" xfId="0" applyFill="1"/>
    <xf numFmtId="0" fontId="20" fillId="0" borderId="0" xfId="0" applyFont="1"/>
  </cellXfs>
  <cellStyles count="67">
    <cellStyle name="20% - Accent1 2" xfId="4" xr:uid="{00000000-0005-0000-0000-000006000000}"/>
    <cellStyle name="20% - Accent2 2" xfId="5" xr:uid="{00000000-0005-0000-0000-000007000000}"/>
    <cellStyle name="20% - Accent3 2" xfId="6" xr:uid="{00000000-0005-0000-0000-000008000000}"/>
    <cellStyle name="20% - Accent4 2" xfId="7" xr:uid="{00000000-0005-0000-0000-000009000000}"/>
    <cellStyle name="20% - Accent5 2" xfId="8" xr:uid="{00000000-0005-0000-0000-00000A000000}"/>
    <cellStyle name="20% - Accent6 2" xfId="9" xr:uid="{00000000-0005-0000-0000-00000B000000}"/>
    <cellStyle name="40% - Accent1 2" xfId="10" xr:uid="{00000000-0005-0000-0000-00000C000000}"/>
    <cellStyle name="40% - Accent2 2" xfId="11" xr:uid="{00000000-0005-0000-0000-00000D000000}"/>
    <cellStyle name="40% - Accent3 2" xfId="12" xr:uid="{00000000-0005-0000-0000-00000E000000}"/>
    <cellStyle name="40% - Accent4 2" xfId="13" xr:uid="{00000000-0005-0000-0000-00000F000000}"/>
    <cellStyle name="40% - Accent5 2" xfId="14" xr:uid="{00000000-0005-0000-0000-000010000000}"/>
    <cellStyle name="40% - Accent6 2" xfId="15" xr:uid="{00000000-0005-0000-0000-000011000000}"/>
    <cellStyle name="ANCLAS,REZONES Y SUS PARTES,DE FUNDICION,DE HIERRO O DE ACERO" xfId="16" xr:uid="{00000000-0005-0000-0000-000012000000}"/>
    <cellStyle name="Comma" xfId="1" builtinId="3"/>
    <cellStyle name="Comma 2" xfId="17" xr:uid="{00000000-0005-0000-0000-000013000000}"/>
    <cellStyle name="Comma 2 2" xfId="18" xr:uid="{00000000-0005-0000-0000-000014000000}"/>
    <cellStyle name="Comma 3" xfId="19" xr:uid="{00000000-0005-0000-0000-000015000000}"/>
    <cellStyle name="Comma 3 2" xfId="20" xr:uid="{00000000-0005-0000-0000-000016000000}"/>
    <cellStyle name="Comma 4" xfId="21" xr:uid="{00000000-0005-0000-0000-000017000000}"/>
    <cellStyle name="Comma 4 2" xfId="22" xr:uid="{00000000-0005-0000-0000-000018000000}"/>
    <cellStyle name="Comma 5" xfId="23" xr:uid="{00000000-0005-0000-0000-000019000000}"/>
    <cellStyle name="Excel Built-in Heading 1" xfId="66" xr:uid="{00000000-0005-0000-0000-000045000000}"/>
    <cellStyle name="Hyperlink" xfId="3" builtinId="8"/>
    <cellStyle name="Hyperlink 2" xfId="24" xr:uid="{00000000-0005-0000-0000-00001A000000}"/>
    <cellStyle name="Hyperlink 3" xfId="25" xr:uid="{00000000-0005-0000-0000-00001B000000}"/>
    <cellStyle name="Hyperlink 4" xfId="26" xr:uid="{00000000-0005-0000-0000-00001C000000}"/>
    <cellStyle name="Normal" xfId="0" builtinId="0"/>
    <cellStyle name="Normal 2" xfId="27" xr:uid="{00000000-0005-0000-0000-00001D000000}"/>
    <cellStyle name="Normal 2 2" xfId="28" xr:uid="{00000000-0005-0000-0000-00001E000000}"/>
    <cellStyle name="Normal 2 2 2" xfId="29" xr:uid="{00000000-0005-0000-0000-00001F000000}"/>
    <cellStyle name="Normal 2 2 3" xfId="30" xr:uid="{00000000-0005-0000-0000-000020000000}"/>
    <cellStyle name="Normal 2 3" xfId="31" xr:uid="{00000000-0005-0000-0000-000021000000}"/>
    <cellStyle name="Normal 2 3 2" xfId="32" xr:uid="{00000000-0005-0000-0000-000022000000}"/>
    <cellStyle name="Normal 2 4" xfId="33" xr:uid="{00000000-0005-0000-0000-000023000000}"/>
    <cellStyle name="Normal 2 4 2" xfId="34" xr:uid="{00000000-0005-0000-0000-000024000000}"/>
    <cellStyle name="Normal 2 5" xfId="35" xr:uid="{00000000-0005-0000-0000-000025000000}"/>
    <cellStyle name="Normal 3" xfId="36" xr:uid="{00000000-0005-0000-0000-000026000000}"/>
    <cellStyle name="Normal 4" xfId="37" xr:uid="{00000000-0005-0000-0000-000027000000}"/>
    <cellStyle name="Normal 4 2" xfId="38" xr:uid="{00000000-0005-0000-0000-000028000000}"/>
    <cellStyle name="Normal 5" xfId="39" xr:uid="{00000000-0005-0000-0000-000029000000}"/>
    <cellStyle name="Normal 5 2" xfId="40" xr:uid="{00000000-0005-0000-0000-00002A000000}"/>
    <cellStyle name="Normal 5 2 2" xfId="41" xr:uid="{00000000-0005-0000-0000-00002B000000}"/>
    <cellStyle name="Normal 5 3" xfId="42" xr:uid="{00000000-0005-0000-0000-00002C000000}"/>
    <cellStyle name="Normal 5 4" xfId="43" xr:uid="{00000000-0005-0000-0000-00002D000000}"/>
    <cellStyle name="Normal 6" xfId="44" xr:uid="{00000000-0005-0000-0000-00002E000000}"/>
    <cellStyle name="Normal 6 2" xfId="45" xr:uid="{00000000-0005-0000-0000-00002F000000}"/>
    <cellStyle name="Normal 7" xfId="46" xr:uid="{00000000-0005-0000-0000-000030000000}"/>
    <cellStyle name="Normal 8" xfId="47" xr:uid="{00000000-0005-0000-0000-000031000000}"/>
    <cellStyle name="Normal 9" xfId="48" xr:uid="{00000000-0005-0000-0000-000032000000}"/>
    <cellStyle name="Normal 9 3" xfId="49" xr:uid="{00000000-0005-0000-0000-000033000000}"/>
    <cellStyle name="Note 2" xfId="50" xr:uid="{00000000-0005-0000-0000-000034000000}"/>
    <cellStyle name="Note 2 2" xfId="51" xr:uid="{00000000-0005-0000-0000-000035000000}"/>
    <cellStyle name="Note 3" xfId="52" xr:uid="{00000000-0005-0000-0000-000036000000}"/>
    <cellStyle name="Per cent" xfId="2" builtinId="5"/>
    <cellStyle name="Per cent 2" xfId="53" xr:uid="{00000000-0005-0000-0000-000037000000}"/>
    <cellStyle name="Percent 2" xfId="54" xr:uid="{00000000-0005-0000-0000-000038000000}"/>
    <cellStyle name="Percent 2 2" xfId="55" xr:uid="{00000000-0005-0000-0000-000039000000}"/>
    <cellStyle name="Percent 2 3" xfId="56" xr:uid="{00000000-0005-0000-0000-00003A000000}"/>
    <cellStyle name="Percent 2 4" xfId="57" xr:uid="{00000000-0005-0000-0000-00003B000000}"/>
    <cellStyle name="Percent 3" xfId="58" xr:uid="{00000000-0005-0000-0000-00003C000000}"/>
    <cellStyle name="Percent 4" xfId="59" xr:uid="{00000000-0005-0000-0000-00003D000000}"/>
    <cellStyle name="Pivot Table Category" xfId="63" xr:uid="{00000000-0005-0000-0000-000041000000}"/>
    <cellStyle name="Pivot Table Corner" xfId="60" xr:uid="{00000000-0005-0000-0000-00003E000000}"/>
    <cellStyle name="Pivot Table Field" xfId="62" xr:uid="{00000000-0005-0000-0000-000040000000}"/>
    <cellStyle name="Pivot Table Result" xfId="65" xr:uid="{00000000-0005-0000-0000-000043000000}"/>
    <cellStyle name="Pivot Table Title" xfId="64" xr:uid="{00000000-0005-0000-0000-000042000000}"/>
    <cellStyle name="Pivot Table Value" xfId="61" xr:uid="{00000000-0005-0000-0000-00003F000000}"/>
  </cellStyles>
  <dxfs count="7">
    <dxf>
      <font>
        <sz val="11"/>
        <color rgb="FF000000"/>
        <name val="Aptos Narrow"/>
        <family val="2"/>
        <charset val="1"/>
      </font>
      <alignment horizontal="general" vertical="bottom" textRotation="0" wrapText="0" indent="0" shrinkToFit="0"/>
    </dxf>
    <dxf>
      <fill>
        <patternFill>
          <bgColor rgb="FFC04F15"/>
        </patternFill>
      </fill>
    </dxf>
    <dxf>
      <font>
        <sz val="11"/>
        <color rgb="FF000000"/>
        <name val="Aptos Narrow"/>
        <family val="2"/>
        <charset val="1"/>
      </font>
      <alignment horizontal="general" vertical="bottom" textRotation="0" wrapText="0" indent="0" shrinkToFit="0"/>
    </dxf>
    <dxf>
      <fill>
        <patternFill>
          <bgColor rgb="FFC04F15"/>
        </patternFill>
      </fill>
    </dxf>
    <dxf>
      <fill>
        <patternFill>
          <bgColor rgb="FFE97132"/>
        </patternFill>
      </fill>
    </dxf>
    <dxf>
      <numFmt numFmtId="14" formatCode="0.00%"/>
    </dxf>
    <dxf>
      <numFmt numFmtId="14" formatCode="0.00%"/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D9F2D0"/>
      <rgbColor rgb="FF800000"/>
      <rgbColor rgb="FF008000"/>
      <rgbColor rgb="FF000080"/>
      <rgbColor rgb="FFFBE3D6"/>
      <rgbColor rgb="FF800080"/>
      <rgbColor rgb="FF156082"/>
      <rgbColor rgb="FFBFBFBF"/>
      <rgbColor rgb="FF7F7F7F"/>
      <rgbColor rgb="FFB2B2B2"/>
      <rgbColor rgb="FF78206E"/>
      <rgbColor rgb="FFFFFFCC"/>
      <rgbColor rgb="FFCAEEFB"/>
      <rgbColor rgb="FF660066"/>
      <rgbColor rgb="FFF2AA84"/>
      <rgbColor rgb="FF0070C0"/>
      <rgbColor rgb="FFD1D1D1"/>
      <rgbColor rgb="FF000080"/>
      <rgbColor rgb="FFFF00FF"/>
      <rgbColor rgb="FFB4E5A2"/>
      <rgbColor rgb="FFE8E8E8"/>
      <rgbColor rgb="FF800080"/>
      <rgbColor rgb="FF800000"/>
      <rgbColor rgb="FF00B050"/>
      <rgbColor rgb="FF0000FF"/>
      <rgbColor rgb="FFC1E5F5"/>
      <rgbColor rgb="FFDCEAF7"/>
      <rgbColor rgb="FFC2F1C8"/>
      <rgbColor rgb="FFE5FFB7"/>
      <rgbColor rgb="FF96DCF8"/>
      <rgbColor rgb="FFE59EDD"/>
      <rgbColor rgb="FFD86ECC"/>
      <rgbColor rgb="FFF6C6AD"/>
      <rgbColor rgb="FF3366FF"/>
      <rgbColor rgb="FF83CBEB"/>
      <rgbColor rgb="FF84E291"/>
      <rgbColor rgb="FFFFC000"/>
      <rgbColor rgb="FFF2CFEE"/>
      <rgbColor rgb="FFE97132"/>
      <rgbColor rgb="FF747474"/>
      <rgbColor rgb="FFAEAEAE"/>
      <rgbColor rgb="FF0E2841"/>
      <rgbColor rgb="FF467886"/>
      <rgbColor rgb="FF003300"/>
      <rgbColor rgb="FF333300"/>
      <rgbColor rgb="FFC04F15"/>
      <rgbColor rgb="FF993366"/>
      <rgbColor rgb="FF59595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Date="0" createdVersion="3" recordCount="5422" xr:uid="{00000000-000A-0000-FFFF-FFFF01000000}">
  <cacheSource type="worksheet">
    <worksheetSource ref="A1:B5423" sheet="DPCache_Adviser list"/>
  </cacheSource>
  <cacheFields count="2">
    <cacheField name="Company " numFmtId="0">
      <sharedItems count="5422">
        <s v="(SMT) Money Matters Limited"/>
        <s v="1 FS Limited"/>
        <s v="121 FS Ltd"/>
        <s v="121-Advice Ltd"/>
        <s v="1st Financial Services (London) Limited"/>
        <s v="2 Plan Wealth Management Limited"/>
        <s v="2020 Financial LTD"/>
        <s v="3 Sixty Financial Limited"/>
        <s v="3-S Financial Management"/>
        <s v="336 Financial Management Limited"/>
        <s v="360 Financial Management Limited"/>
        <s v="3R Financial Services Ltd"/>
        <s v="4 Shires Asset Management Ltd"/>
        <s v="4 Square Advice Limited"/>
        <s v="4 THE RECORD COMPLIANCE LTD"/>
        <s v="415 LLP"/>
        <s v="42 Wealth Management Ltd"/>
        <s v="44 Financial Limited"/>
        <s v="4Life Financial Planning Ltd"/>
        <s v="4ways Financial Solutions LLP"/>
        <s v="4wealth Ltd"/>
        <s v="52 Finance Limited"/>
        <s v="56 Wealth Management Limited"/>
        <s v="57 North Financial Planning Ltd"/>
        <s v="75point3 Limited"/>
        <s v="7IM Investment and Retirement Solutions Limited"/>
        <s v="8 Financial Planning Limited"/>
        <s v="80 Twenty Consultancy Limited"/>
        <s v="8point8 Capital Ltd"/>
        <s v="A &amp; J Wealth Management Ltd"/>
        <s v="A Bianchi Financial Solutions Limited"/>
        <s v="A C Financial Ltd"/>
        <s v="A D Shah Financial Limited"/>
        <s v="A E Thomson Ltd"/>
        <s v="A Finance Limited"/>
        <s v="A J Options Ltd"/>
        <s v="A M Ruthven &amp; Associates Ltd"/>
        <s v="A W Financial Services Limited"/>
        <s v="A. G. Shackcloth and Company"/>
        <s v="A.B.M. Consultancy"/>
        <s v="A.C.T. Financial Services Ltd"/>
        <s v="A.G.B. Financial Services Limited"/>
        <s v="A.J. Buckley Asset Management Ltd"/>
        <s v="A.J. Wealth Management Limited"/>
        <s v="A.J.Hutton Ltd"/>
        <s v="A.R.D. Consultancy Limited"/>
        <s v="A.S.J. Financial Services Limited"/>
        <s v="A&amp;E Wealth Solutions Limited"/>
        <s v="A&amp;M Wealth Management Ltd"/>
        <s v="A1 Financial Solutions Ltd"/>
        <s v="A1 Mortgages Ltd"/>
        <s v="A2M Financial &amp; Estate Planning Ltd"/>
        <s v="AAB Wealth Limited"/>
        <s v="AAF Financial Ltd"/>
        <s v="Aaron Tawny Mortgages Limited"/>
        <s v="AB Investment Solutions Limited"/>
        <s v="AB Vision Financial Ltd"/>
        <s v="Abacus Advice Ltd"/>
        <s v="Abacus Assurance Financial Services Ltd"/>
        <s v="Abacus Financial Options Limited"/>
        <s v="Abacus Money Management Ltd"/>
        <s v="Abacus Portfolio Management Ltd"/>
        <s v="Abacus Wealth Planning Ltd"/>
        <s v="Abbey Financial Services (N.I.) Ltd"/>
        <s v="Abbey Lane Financial Associates Limited"/>
        <s v="Abbeyifa Limited"/>
        <s v="ABC Financial Planning Limited"/>
        <s v="Aberdein Considine &amp; Co."/>
        <s v="ABFP Limited"/>
        <s v="ABG Corporate Finance LLP"/>
        <s v="ABi Fol Consulting Limited"/>
        <s v="Able Money Limited"/>
        <s v="ABM Financial Management Limited"/>
        <s v="ABN AMRO Bank NV"/>
        <s v="Abode Financial Planning Limited"/>
        <s v="abrdn Client Management Limited"/>
        <s v="abrdn Financial Planning And Advice Limited"/>
        <s v="abrdn Portfolio Solutions Limited"/>
        <s v="ABS Financial Planning Limited"/>
        <s v="Absolute Financial Management Ltd"/>
        <s v="Absolute Financial Services LLP"/>
        <s v="Absolute Return Investment Advisers (ARIA) Limited"/>
        <s v="Absolute Sense Independent Financial Advisers Limited"/>
        <s v="Absolute Wealth Management Ltd"/>
        <s v="Acacia Financial Consultants Limited"/>
        <s v="Acacia Wealth Limited"/>
        <s v="Academy Associates Wealth Management Ltd"/>
        <s v="Accalon Associates Limited"/>
        <s v="Accendo Markets Limited"/>
        <s v="Access Wealth Management"/>
        <s v="Accord Financial Planning Limited"/>
        <s v="Accredo Financial Services Limited"/>
        <s v="Accrue Investment Management Ltd"/>
        <s v="Accudo Investments Limited"/>
        <s v="Ace Financial Advisers Limited"/>
        <s v="Acer Consultancy Services Ltd"/>
        <s v="Achieve Financial Planning Ltd"/>
        <s v="Achieve Wealth Management (Wiltshire) Ltd"/>
        <s v="Acorn Bowman Finance &amp; Investment Management Ltd"/>
        <s v="Acorn Financial Planning Limited"/>
        <s v="Acorn to Oaks Financial Services Ltd"/>
        <s v="Acorn Wealth Management Group Limited"/>
        <s v="Acornmain Limited"/>
        <s v="Acquire Financial Planning Ltd"/>
        <s v="Active Asset Management (Scotland) Limited"/>
        <s v="Active Financial Partners Limited"/>
        <s v="Active Financial Planners Limited"/>
        <s v="Active Investment Managers Limited"/>
        <s v="Activus Wealth Limited"/>
        <s v="Acton Financial Management"/>
        <s v="Acuity Financial Consultancy Limited"/>
        <s v="ACUITY PROFESSIONAL ADVISERS LTD"/>
        <s v="Acuity Research Limited"/>
        <s v="Acuma Ltd"/>
        <s v="Acumen Associate Financial Services Ltd"/>
        <s v="Acumen Financial Partnership Limited"/>
        <s v="Acumen Financial Planning Limited"/>
        <s v="Acumen Independent Financial Planning Limited"/>
        <s v="Acumen Investment and Pension Solutions Ltd"/>
        <s v="Acumen Pensions and Investments Limited"/>
        <s v="Acumensa Limited"/>
        <s v="Adair Financial Management Ltd"/>
        <s v="Adam Jones"/>
        <s v="Adam Starr"/>
        <s v="Adanac Financial Services Ltd"/>
        <s v="Adaurum Limited"/>
        <s v="Adcas Financial Management Ltd"/>
        <s v="Adcock Financial Limited"/>
        <s v="Add Wealth Management Ltd"/>
        <s v="Addison Satchi Finance Limited"/>
        <s v="Adelp Financial Solutions Ltd"/>
        <s v="Adira Financial Services Ltd"/>
        <s v="Adler Financial Planning Ltd"/>
        <s v="ADM Investor Services International Limited"/>
        <s v="ADMS Asset Management Limited"/>
        <s v="Adrian Smith Wealth Management Limited"/>
        <s v="Adroit Financial Planning Limited"/>
        <s v="Advance Investments Limited"/>
        <s v="Advance Wealth Limited"/>
        <s v="Advanced (Scotland) Limited"/>
        <s v="Advanced Asset Consultants Ltd"/>
        <s v="Advanced Investment &amp; Retirement Planning (Scotland) Ltd"/>
        <s v="Advanta Direct Ltd"/>
        <s v="Advanta Wealth Ltd"/>
        <s v="Advantage Wealth Management Ltd"/>
        <s v="Advice 4U Financial Planning Ltd"/>
        <s v="Advice Matters Financial Planning Ltd"/>
        <s v="Advice Wise Ltd"/>
        <s v="Advicesmith Ltd"/>
        <s v="Advies Private Clients LLP"/>
        <s v="Advised Financial Limited"/>
        <s v="Adviser Business Solutions Ltd"/>
        <s v="Advisory Investment Services Limited"/>
        <s v="Aegis Financial Planning Limited"/>
        <s v="AEON Financial Services Ltd"/>
        <s v="Aequus Wealth Management Ltd"/>
        <s v="AES Financial Services Ltd"/>
        <s v="Aether Energy Limited"/>
        <s v="Aevitas Wealth Ltd"/>
        <s v="Affinity Financial Advisors Ltd"/>
        <s v="Affinity Financial Associates Ltd"/>
        <s v="Affinity Financial Awareness Limited"/>
        <s v="Affinity Financial Planning Ltd"/>
        <s v="Affinity Group Financial Services Limited"/>
        <s v="Affinity Independent Financial Solutions Limited"/>
        <s v="Affinity Wealth Management (NW) Ltd"/>
        <s v="Affluent Financial Planning Ltd"/>
        <s v="AFH Independent Financial Services Limited"/>
        <s v="AFL Wealth Management Ltd"/>
        <s v="AFM Wealth Management Ltd"/>
        <s v="AFS Advocate Financial Services Limited"/>
        <s v="AFS Limited"/>
        <s v="AFWM Limited"/>
        <s v="Age Partnership Wealth Management Limited"/>
        <s v="Agile Independent Financial Advice Ltd"/>
        <s v="AGILITY Financial Solutions Ltd"/>
        <s v="AGL Wealth Management Ltd"/>
        <s v="AHV Associates LLP"/>
        <s v="Aidan Dow Wealth Management Limited"/>
        <s v="Aim Independent Limited"/>
        <s v="Aimee Financial Limited"/>
        <s v="Ainsdale Finance Ltd"/>
        <s v="Ainsworths Financial Services Limited"/>
        <s v="AIS Pensions LLP"/>
        <s v="AISA FINANCIAL PLANNING LIMITED"/>
        <s v="AJ Bell Securities Limited"/>
        <s v="Ajax Wealth Management Limited"/>
        <s v="AJD FINANCIAL SERVICES LTD."/>
        <s v="AJH Financial Services Ltd"/>
        <s v="AJN Financial Services Ltd"/>
        <s v="AJP Financial Planning Services Limited"/>
        <s v="AK Advisory Limited"/>
        <s v="AK Jensen Limited"/>
        <s v="AKC Independent Financial Advisers Ltd"/>
        <s v="AKFP Ltd"/>
        <s v="Akorn Financial Advice Limited"/>
        <s v="Akshar Financial Services Ltd"/>
        <s v="Akur Limited"/>
        <s v="Alan Boswell &amp; Company Limited"/>
        <s v="ALAN DONALD &amp; COMPANY LTD"/>
        <s v="Alan Ellis Financial Services Limited"/>
        <s v="Alan McKelvey"/>
        <s v="Alan Reid Financial Services (NI) Ltd"/>
        <s v="Alan Robinson"/>
        <s v="Alan Roderick Thomson Waugh"/>
        <s v="Alan Steel (Asset Management) Limited"/>
        <s v="Alantra Corporate Finance LLP"/>
        <s v="Alastair Lyon"/>
        <s v="Alban Wealth LLP"/>
        <s v="Albert E Sharp LLP"/>
        <s v="Albert Goodman Financial Planning Limited"/>
        <s v="Alchemy Financial Limited"/>
        <s v="Alcock Jones Financial Planning Ltd"/>
        <s v="Alder Investment Management Ltd"/>
        <s v="Aled Williams Financial Management Ltd"/>
        <s v="Alex De Silva &amp; Co Limited"/>
        <s v="Alex James Independent Financial Advisers Limited"/>
        <s v="Alexander Bates Campbell Financial Planning Limited"/>
        <s v="Alexander Beard Investment Management Limited"/>
        <s v="Alexander Cameron Ltd"/>
        <s v="Alexander Douglas Limited"/>
        <s v="Alexander James Financial Planning Limited"/>
        <s v="Alexander Wealth Management Limited"/>
        <s v="Alfred Henry Corporate Finance Ltd"/>
        <s v="Align Research Limited"/>
        <s v="Alington Ruthin Stockbrokers and Investment Management Limited"/>
        <s v="Alison Bestente"/>
        <s v="Alistair Craig Financial Services Ltd"/>
        <s v="Alka Financial Services Limited"/>
        <s v="All Aspects Financial Planning Limited"/>
        <s v="All Counties Financial Limited"/>
        <s v="Allan Investment Management Ltd"/>
        <s v="Allenby Capital Limited"/>
        <s v="Allied Financial (W-Ton) Ltd"/>
        <s v="Allied Financial Services Ltd"/>
        <s v="Allisons Financial Planning Limited"/>
        <s v="Allonby + Partners Ltd"/>
        <s v="Allotts Financial Services Limited"/>
        <s v="Allsopp Financial Management Limited"/>
        <s v="Alpha Financial Management Limited"/>
        <s v="Alpha Independent Financial Planning Ltd"/>
        <s v="Alpha Independent Financial Solutions Limited"/>
        <s v="Alpha Investments and Financial Planning Ltd"/>
        <s v="Alpha Partnership (IFA) Ltd"/>
        <s v="Alpha Wealth Ltd"/>
        <s v="Alpha Wealth Management Limited"/>
        <s v="ALPs F S Limited"/>
        <s v="AlTi RE Limited"/>
        <s v="AlTi Wealth Management (UK) Limited"/>
        <s v="Altior Asset Management Ltd"/>
        <s v="Altior Vita LLP"/>
        <s v="Altor Wealth Management LLP"/>
        <s v="Altorfer Financial Management Limited"/>
        <s v="Altus Investment Management Limited"/>
        <s v="ALTYX FINANCIAL PLANNING Ltd"/>
        <s v="Always Independent Financial Solutions Ltd"/>
        <s v="AM Financial Planning Limited"/>
        <s v="AM Mortgage &amp; Financial Services Ltd"/>
        <s v="AM&amp;A Investment &amp; Pension Planning Ltd"/>
        <s v="Amar Financial Services"/>
        <s v="Amarjit Singh Gharial"/>
        <s v="AMAS Investments Limited"/>
        <s v="Amber Solutions Financial Planning LLP"/>
        <s v="Amber Wealth Creation Ltd"/>
        <s v="Ambler Blackburn Financial Planning Ltd"/>
        <s v="AMERICAN INTERNATIONAL GROUP UK LIMITED"/>
        <s v="Amethyst Financial Planning Limited"/>
        <s v="Amethyst Independent Financial Advisers LLP"/>
        <s v="AMG Wealth Solutions LLP"/>
        <s v="Amherst Financial Management Ltd"/>
        <s v="AML Associates Financial Services Ltd"/>
        <s v="AMR Financial Management Limited"/>
        <s v="Amram Capital (UK) LLP"/>
        <s v="AMS Wealth Management Ltd"/>
        <s v="AMT Futures Limited"/>
        <s v="Amulet Private Office Limited"/>
        <s v="ANAND FINANCIAL ARCHITECTURE LTD"/>
        <s v="Anculo Ltd"/>
        <s v="ANDERS BAYLEY SCOTT LTD"/>
        <s v="Anderson Financial Limited"/>
        <s v="Anderson Financial Planning Limited"/>
        <s v="Anderson King Ltd"/>
        <s v="Anderson Sinclair &amp; Co LLP"/>
        <s v="Anderson Strathern Asset Management Limited"/>
        <s v="Andover Financial Planning Ltd"/>
        <s v="Andrea Irving-Morse Associates Limited"/>
        <s v="Andrew Baggott"/>
        <s v="Andrew Bourne &amp; Co Independent Financial Advisers Ltd"/>
        <s v="Andrew Clements Partnership Limited"/>
        <s v="Andrew Colyer-Worsell"/>
        <s v="Andrew Dawborn"/>
        <s v="Andrew Elsden"/>
        <s v="Andrew Fincham"/>
        <s v="Andrew Grindley Financial Services Limited"/>
        <s v="Andrew Hartop Financial Planning Ltd"/>
        <s v="Andrew Hawker Financial Management Limited"/>
        <s v="Andrew Haxton &amp; Co Ltd"/>
        <s v="Andrew Heptinstall Financial Services LLP"/>
        <s v="Andrew Hill Ltd"/>
        <s v="Andrew James"/>
        <s v="Andrew Kent &amp; Partners Limited"/>
        <s v="Andrew Lucas Wealth Management Ltd"/>
        <s v="Andrew O'Connor"/>
        <s v="Andrew Parker Wealth Management Limited"/>
        <s v="Andrew Reid"/>
        <s v="Andrew Sherlock"/>
        <s v="Andrews Gwynne LLP"/>
        <s v="Andrews Insurances Life &amp; Pensions"/>
        <s v="Angell Mallinder Ltd"/>
        <s v="Anglebury Financial Associates LLP"/>
        <s v="Anglo International Group Ltd"/>
        <s v="Anglo-Celtic Financial Consultants Ltd."/>
        <s v="Annandale Financial Services LLP"/>
        <s v="Annetts &amp; Orchard Ltd"/>
        <s v="Anning Financial Management Ltd"/>
        <s v="Anomaly Consultants Limited"/>
        <s v="Anstee &amp; Co Limited"/>
        <s v="Anthony Darren Thursfield"/>
        <s v="Anthony Goss"/>
        <s v="Anthony John Arlott"/>
        <s v="Anthony Mackintosh Wealth Management"/>
        <s v="Anthony William Lennon"/>
        <s v="Antonine Investment Managers Limited"/>
        <s v="Antony Ransom Independent Financial Adviser Ltd"/>
        <s v="Antrams Financial Services LLP"/>
        <s v="Aon UK Limited"/>
        <s v="APC Financial Solutions and Consultancy Services Limited"/>
        <s v="Apex CB Financial Planning Ltd"/>
        <s v="Apex Wealth Management Limited"/>
        <s v="APG Wealth Management Ltd"/>
        <s v="APM Capital Markets Limited"/>
        <s v="Apogee Wealth Management Limited"/>
        <s v="Apollo Pension &amp; Investment Advisers"/>
        <s v="Appleton Fox Wealth Management Ltd"/>
        <s v="Applewood Independent Limited"/>
        <s v="Approachable Finance Limited"/>
        <s v="APR Money Ltd"/>
        <s v="Aptus Wealth Limited"/>
        <s v="APW Financial Planning Limited"/>
        <s v="Aqua Financial Limited"/>
        <s v="Aqua Wealth Management Limited"/>
        <s v="Aquarius Wealth Management Limited"/>
        <s v="Aquila Financial Management Limited"/>
        <s v="ARBION LIMITED"/>
        <s v="Arborfield Wealth Limited"/>
        <s v="Arborheath Ltd"/>
        <s v="Arbuthnot Latham &amp; Co Limited"/>
        <s v="Arc Eden Ltd"/>
        <s v="Arcaria Financial Solutions Ltd"/>
        <s v="Archers Financial Services Limited"/>
        <s v="ARCHYTAS STRATEGIC PLANNING LIMITED"/>
        <s v="Arden Associates (IFA) LLP"/>
        <s v="Ardent IFA Limited"/>
        <s v="Ardmore Financial Planning Limited"/>
        <s v="Arena Investment Management Ltd"/>
        <s v="Aretian Wealth Management Limited"/>
        <s v="Argentis Financial Planning Ltd"/>
        <s v="Argentis Wealth Management Ltd"/>
        <s v="Argentous Private Clients Limited"/>
        <s v="Argentum Financial Planning Limited"/>
        <s v="Argyle Consulting Ltd"/>
        <s v="Argyll &amp; Bute Consultants Limited"/>
        <s v="Argyll Advisory LLP"/>
        <s v="Argyll Financial Services Limited"/>
        <s v="Argyll Independent Ltd"/>
        <s v="Arian Financial Planning Ltd"/>
        <s v="Aries Wealth Management Limited"/>
        <s v="Ark Financial Planning Ltd"/>
        <s v="Ark Investment Management Ltd"/>
        <s v="Arkinson Mortgage &amp; Investment Solutions Ltd"/>
        <s v="Arlingclose Limited"/>
        <s v="Armstrong Watson Financial Planning Limited"/>
        <s v="ARNOLD &amp; CO LTD"/>
        <s v="Arnold Stansby &amp; Co. Limited"/>
        <s v="Arnott Guy &amp; Co Ltd"/>
        <s v="Arquitis Financial Management Ltd"/>
        <s v="ART Holdings Limited"/>
        <s v="Arthur Browns Wealth Management Ltd"/>
        <s v="Arthur Dodds &amp; Co Ltd"/>
        <s v="Artisan Financial Limited"/>
        <s v="Artless Wealth Ltd"/>
        <s v="Artorius Wealth Management Limited"/>
        <s v="Arundel Wealth Management Limited"/>
        <s v="ASC Financial Advisers Limited"/>
        <s v="ASC Financial Solutions Ltd"/>
        <s v="Ascend Wealth Management Ltd"/>
        <s v="Ascot Lloyd Limited"/>
        <s v="Ascot Wealth Management Limited"/>
        <s v="ASFC LLP"/>
        <s v="Ash-Ridge Asset Management Ltd"/>
        <s v="Ashberg Limited"/>
        <s v="Ashbury Financial Ltd"/>
        <s v="Ashcombe Advisers LLP"/>
        <s v="Ashik Shah &amp; Co Limited"/>
        <s v="Ashlea Financial Planning Ltd"/>
        <s v="Ashleigh Court Private Client Wealth Management Ltd"/>
        <s v="Ashley Kneale Associates Limited"/>
        <s v="Ashton Financial Services Limited"/>
        <s v="ASHTON MORTGAGE &amp; FINANCIAL SOLUTIONS LIMITED"/>
        <s v="Ashtree Financial Services Ltd"/>
        <s v="Ashworth Financial Planning Ltd"/>
        <s v="ASPECT FINANCIAL SOLUTIONS LTD"/>
        <s v="Aspen Financial Services Limited"/>
        <s v="Aspen Financial Strategies Limited"/>
        <s v="Aspen Wealth Management LLP"/>
        <s v="Asperand Wealth Limited"/>
        <s v="Aspin Corporate Services Limited"/>
        <s v="Aspinalls Family Office LLP"/>
        <s v="Aspirational Financial Planning Limited"/>
        <s v="Aspirations Financial Advice Ltd"/>
        <s v="Aspire Independent Financial Planners LLP"/>
        <s v="Aspire Mortgages &amp; Financial Services Ltd"/>
        <s v="Aspire Wealth (Scotland) Limited"/>
        <s v="Aspire Wealth Limited"/>
        <s v="Aspire Wealth Management Limited"/>
        <s v="Aspley Financial Planning Limited"/>
        <s v="Asquire Wealth Management Ltd"/>
        <s v="Asset and Investment Management Limited"/>
        <s v="Asset Capital Management UK Limited"/>
        <s v="Asset Intelligence Portfolio Management Limited"/>
        <s v="Asset Investment Management Ltd"/>
        <s v="Asset Management Financial Advisers Limited"/>
        <s v="Asset Match Limited"/>
        <s v="Asset Risk Consultants (UK) Limited"/>
        <s v="Asset Wealth Management LLP"/>
        <s v="Associated Legal &amp; Financial Limited"/>
        <s v="Associated Life"/>
        <s v="Assured Financial Planning Limited"/>
        <s v="Assured Pensions &amp; Investments Ltd"/>
        <s v="Assured Private Wealth Limited"/>
        <s v="Aston Lark Employee Benefits Limited"/>
        <s v="ASTUS Financial Planning Ltd"/>
        <s v="Astute Financial &amp; Lifestyle Planning Limited"/>
        <s v="Astute Financial &amp; Mortgage Advisers Ltd"/>
        <s v="Astute Financial Limited"/>
        <s v="Astute Financial Management UK Ltd"/>
        <s v="Astute Financial Solutions LLP"/>
        <s v="Astute Private Wealth Limited"/>
        <s v="Astute Wealth Planning Limited"/>
        <s v="At Retirement Options Wealth Management Ltd"/>
        <s v="Athena Financial Planning Limited"/>
        <s v="Athena Wealth Planning Limited"/>
        <s v="Atherton York Limited"/>
        <s v="Atholl Scott Financial Services Limited"/>
        <s v="Atkins Bland Limited"/>
        <s v="Atkinson Financial Services Limited"/>
        <s v="Atkinson Powell Financial Management LLP"/>
        <s v="ATLANTIC CAPITAL MARKETS LTD"/>
        <s v="Atlanticomnium (UK) Limited"/>
        <s v="Atlas Financial Planning Ltd"/>
        <s v="Atomos Financial Planning Limited"/>
        <s v="Atomos Investments Limited"/>
        <s v="Attain Wealth Management Limited"/>
        <s v="Attivo Financial Limited"/>
        <s v="Attivo Financial Services Limited"/>
        <s v="Atwood Benefits UK Limited"/>
        <s v="Aubrey Capital Management Limited"/>
        <s v="Auctus Advisors LLP"/>
        <s v="Audley Wealth Limited"/>
        <s v="Augustine Limited"/>
        <s v="Auker Rhodes Financial Planning LLP"/>
        <s v="AURA HEXAA LLP"/>
        <s v="Aurea Financial Planning Limited"/>
        <s v="Aurora Financial IFA Limited"/>
        <s v="Aurora Financial Solutions Limited"/>
        <s v="Aurum Wealth LLP"/>
        <s v="Austin-Chapel Independent Financial Advisers LLP"/>
        <s v="Austyn Smith Associates Limited"/>
        <s v="Autonomy Wealth Limited"/>
        <s v="AutonomyFP Limited"/>
        <s v="Autus Lifetime Planning Limited"/>
        <s v="AV Trinity Limited"/>
        <s v="Aventur Wealth Ltd"/>
        <s v="Aveton Gifford Associates Limited"/>
        <s v="Avista Financial Planning Limited"/>
        <s v="Aviva Administration Limited"/>
        <s v="Aviva Life Services UK Limited"/>
        <s v="AVN Wealth Managers LLP"/>
        <s v="Avoca Wealth Management Ltd"/>
        <s v="Avon House"/>
        <s v="Avsons Financial Limited"/>
        <s v="AW Financial Management LLP"/>
        <s v="AXA Investment Managers GS Limited"/>
        <s v="AXA Investment Managers UK Ltd"/>
        <s v="AXG Advice Ltd"/>
        <s v="Axiom Financial Services Ltd"/>
        <s v="Axxis Financial Planning Ltd"/>
        <s v="Ayres Punchard Investment Management Ltd"/>
        <s v="Ayrin Financial Management"/>
        <s v="Ayrshire Financial Services Ltd"/>
        <s v="Azets LA Limited"/>
        <s v="Azets Milne Craig"/>
        <s v="Azets Wealth Management Limited"/>
        <s v="Azimuth Financial (Oxford) Limited"/>
        <s v="AZW Consulting Ltd"/>
        <s v="B &amp; E Financial Limited"/>
        <s v="B &amp; M Harrison Limited"/>
        <s v="B &amp; S Financial Management Limited"/>
        <s v="B Independent Financial Services Ltd"/>
        <s v="B McKernan &amp; Co Ltd"/>
        <s v="B Murray Accountants and Financial Planning Consultants Limited"/>
        <s v="B-Advised Ltd"/>
        <s v="B3 Wealth Management Limited"/>
        <s v="Backhouse Independent Financial Services Limited"/>
        <s v="Baggette &amp; Company Wealth Management Limited"/>
        <s v="Bailey Cook Financial Planning Ltd"/>
        <s v="Bailey Financial Limited"/>
        <s v="Bailey Financial Services (Preston) Ltd"/>
        <s v="Baker Davies Limited"/>
        <s v="BAKER FINANCIAL PLANNING LTD"/>
        <s v="Baker Gladstone &amp; York Ltd"/>
        <s v="Baker Jenness Financial Management"/>
        <s v="Balance: Wealth Planning Limited"/>
        <s v="Ballma Ltd"/>
        <s v="Balmoral Asset Management Limited"/>
        <s v="Bamford Wealth Management Ltd"/>
        <s v="Bank House Consultants Ltd"/>
        <s v="Bank of China (UK) Ltd"/>
        <s v="Bank of China Limited London Branch"/>
        <s v="Bank of London and The Middle East plc"/>
        <s v="Bank of Scotland plc"/>
        <s v="Banyard Independent Advice Services Ltd"/>
        <s v="Barbican Independent Financial Advisors Limited"/>
        <s v="Barclays Bank Plc"/>
        <s v="Barclays Bank UK PLC"/>
        <s v="BARCLAYS INVESTMENT SOLUTIONS LIMITED"/>
        <s v="Bareham Independent Financial Advisers Limited"/>
        <s v="Barker and Company Financial Services Limited"/>
        <s v="Barker Financial Associates"/>
        <s v="Barker Financial Solutions Limited"/>
        <s v="Barker Maule Limited"/>
        <s v="Barker Owen Limited"/>
        <s v="Barker Poland Asset Management LLP"/>
        <s v="Barker Sutcliffe and Associates Ltd"/>
        <s v="Barnaby Cecil Financial Planning Limited"/>
        <s v="Barnes &amp; Sherwood Professional Advisers Limited"/>
        <s v="Barnett &amp; Partners Ltd"/>
        <s v="Barnett Ravenscroft Financial Services Limited"/>
        <s v="Barnett Waddingham LLP"/>
        <s v="Baron &amp; Grant Investment Management Limited"/>
        <s v="Barons Capital Partners Limited"/>
        <s v="Barr Davis and Company Limited"/>
        <s v="Barratt &amp; Cooke Limited"/>
        <s v="Barretts Financial Solutions Limited"/>
        <s v="Barrie Financial Services Ltd"/>
        <s v="Barrington Jarvis Limited"/>
        <s v="Barrow Financial Services Ltd"/>
        <s v="Barry Fenton Independent Financial Advisers Ltd"/>
        <s v="Barry Fleming and Partners (Tax, Trusts and Investments Planning) Limited"/>
        <s v="Barry Johnson Financial Services Limited"/>
        <s v="Barry W P Bennett Limited"/>
        <s v="Bartholomew &amp; James (Financial Services) Limited"/>
        <s v="Bartlett Wealth Management Ltd"/>
        <s v="Barwells Independent Financial Management Limited"/>
        <s v="Basma Wealth Management Limited"/>
        <s v="Bastion Financial Planning Limited"/>
        <s v="Bastow &amp; Co Limited"/>
        <s v="Bateman Asset Management Ltd"/>
        <s v="Bateman Jarvis Limited"/>
        <s v="Bates Financial Solutions Limited"/>
        <s v="Bates Independent Limited"/>
        <s v="BB Wealth Limited"/>
        <s v="BBi Financial Planning Ltd"/>
        <s v="BBI INDEPENDENT FINANCIAL ADVISERS LIMITED"/>
        <s v="BBT Group Limited"/>
        <s v="bdhSterling Limited"/>
        <s v="Beach UK Ltd"/>
        <s v="Beacon Wealth Management Limited"/>
        <s v="BeaconIFA Limited"/>
        <s v="Beardmore and Co Limited"/>
        <s v="Beats Financial Planning Ltd"/>
        <s v="Beatties Financial Services"/>
        <s v="Beaufort Financial Planning Ltd"/>
        <s v="Beaufort Wealth Management Limited"/>
        <s v="Beaumont Cornish Limited"/>
        <s v="Beaumont Financial Planners Limited"/>
        <s v="Beckett Financial Services Limited"/>
        <s v="Becketts F.S. Ltd"/>
        <s v="Beckworth Financial Services Ltd"/>
        <s v="Bede Financial Group Limited"/>
        <s v="Bede Wealth Management Limited"/>
        <s v="Bedford Wealth Ltd"/>
        <s v="Beechwood Financial Management Ltd"/>
        <s v="Beechwood Financial Services Limited"/>
        <s v="BEESURE LTD"/>
        <s v="Begley Brown Financial Solutions Ltd"/>
        <s v="Belbury Financial Planning Ltd"/>
        <s v="Belgrave Asset Management Limited"/>
        <s v="Belisarius Wealth Management Limited"/>
        <s v="Bell Financial Planning Limited"/>
        <s v="Bell Simpson Ltd"/>
        <s v="Bell Wealth Management Ltd"/>
        <s v="Belle Financial Services Limited"/>
        <s v="BELLECAPITAL UK LIMITED"/>
        <s v="Belmayne Independent Financial Services LLP"/>
        <s v="Belmont Associates Limited"/>
        <s v="Belmore Financial Planning Ltd"/>
        <s v="Belper Independent Financial Solutions Limited"/>
        <s v="Belvedere Wealth Management Ltd"/>
        <s v="Belyn Financial Services Ltd"/>
        <s v="Ben Thorpe Financial Services Limited"/>
        <s v="Benchmark Wealth Management Limited"/>
        <s v="Bennett Allen Financial Planning Ltd"/>
        <s v="Bentley Grove Financial Solutions LLP"/>
        <s v="Bentley Independent Financial Advisers"/>
        <s v="BENTLEY INDEPENDENT FINANCIAL ADVISERS LTD"/>
        <s v="Bentley Reid &amp; Co (UK) Limited"/>
        <s v="Berg-Davies Associates Ltd"/>
        <s v="Berkeley La Roche Financial Consultants Ltd"/>
        <s v="Berkley Wilkinson Wealth Management Ltd"/>
        <s v="BERKSHIRE IFA LIMITED"/>
        <s v="Berry &amp; Oak Limited"/>
        <s v="BERRY FINANCIAL PLANNING LIMITED"/>
        <s v="Berry Wealth Management Ltd"/>
        <s v="Beryllus Capital (UK) Limited"/>
        <s v="Bespoke Financial Planning Kent Limited"/>
        <s v="Bespoke Independent Financial Advisers Limited"/>
        <s v="Bespoke Wealth Limited"/>
        <s v="Bespoke Wealth Solutions Limited"/>
        <s v="Bespoke-Advice Limited"/>
        <s v="Best 4 Advice Ltd"/>
        <s v="Best Advice Financial Services Ltd"/>
        <s v="Best Practice IFA Group Limited"/>
        <s v="Best Price Financial Services Limited"/>
        <s v="Best to Invest Limited"/>
        <s v="BEST Wealth Management Ltd"/>
        <s v="Better Financial Planning Ltd"/>
        <s v="Better World Financial Planning Limited"/>
        <s v="Bexley Independent Financial Services"/>
        <s v="Beyond Finance Ltd"/>
        <s v="BFS Handforth Limited"/>
        <s v="BFS Wealth and Protection Ltd"/>
        <s v="Bhavik Shah IFA"/>
        <s v="BHP Financial Planning Limited"/>
        <s v="Bigmore Associates Limited"/>
        <s v="Bigmore Benefits Limited"/>
        <s v="Binary Capital Limited"/>
        <s v="Birchwood Investment Management Limited"/>
        <s v="Bird Stewart Financial Services Limited"/>
        <s v="Birkett Long IFA LLP"/>
        <s v="Birstall Insurance Services"/>
        <s v="Bishopgate Limited"/>
        <s v="BJFM Limited"/>
        <s v="BKD Wealth Management Limited"/>
        <s v="Black &amp; White Financial Planning Ltd"/>
        <s v="Black Dog Financial Services Ltd"/>
        <s v="Black Financial Services Limited"/>
        <s v="Black Label Financial Ltd"/>
        <s v="Black Swan Capital Ltd"/>
        <s v="Black Swan Financial Management Ltd"/>
        <s v="Blackadders Wealth Management LLP"/>
        <s v="Blackbear Financial Group Ltd"/>
        <s v="Blackfinch Investments Limited"/>
        <s v="Blackfriars Asset Management Limited"/>
        <s v="Blacksquare Advisory Limited"/>
        <s v="BlackStar Finance Limited"/>
        <s v="Blackstone Financial Management Limited"/>
        <s v="Blackstone Moregate Limited"/>
        <s v="Blackthorn Financial Services Ltd"/>
        <s v="Blacktower Financial Management Ltd"/>
        <s v="Blackwell Private Wealth Ltd"/>
        <s v="Blake and Day Financial Planning Limited"/>
        <s v="Blakes Financial Management Limited"/>
        <s v="Blanco Wealth Management Limited"/>
        <s v="Blankstone Sington Limited"/>
        <s v="Blaxsell Financial Planning Ltd"/>
        <s v="Bletchley Financial Ltd"/>
        <s v="Blevins Franks Financial Management Limited"/>
        <s v="BLG Wealth Limited"/>
        <s v="BLH Financial Services Limited"/>
        <s v="Blick Rothenberg Audit LLP"/>
        <s v="Blinkhorn Financial Limited"/>
        <s v="Blithe House Financial Management Ltd"/>
        <s v="BLM Partnership Limited"/>
        <s v="Bloom Financial Consulting Limited"/>
        <s v="Bloomfield Financial Limited"/>
        <s v="Blowfish Financial Services Limited"/>
        <s v="BLU Family Office Limited"/>
        <s v="Blue Cherry Financial Solutions Limited"/>
        <s v="Blue Circle Wealth Management Ltd"/>
        <s v="Blue Fox Wealth Management Limited"/>
        <s v="Blue Ocean Investment Company Limited"/>
        <s v="Blue Pebble Finance Limited"/>
        <s v="Blue River Wealth Management Ltd"/>
        <s v="Blue Shield Investment Services"/>
        <s v="Blue Sky Financial Limited"/>
        <s v="Blue Sky Financial Planning Limited"/>
        <s v="Blue Spire Financial Planning Limited"/>
        <s v="Blue Spire Independent Financial Advice Limited"/>
        <s v="Blue Square Financial Limited"/>
        <s v="Bluebell Financial Management Limited"/>
        <s v="Blueberry Financial Ltd"/>
        <s v="Blueberry Wealth Limited"/>
        <s v="Bluebridge Financial Planners Ltd"/>
        <s v="BlueFinch Wealth Limited"/>
        <s v="Bluegrove Wealth Limited"/>
        <s v="BlueJay Financial Planning Ltd"/>
        <s v="Bluesky Financial Planners Limited"/>
        <s v="Bluesky Independent Wealth Managers Ltd"/>
        <s v="Bluesky Wealth Management Limited"/>
        <s v="BLUESPHERE LTD"/>
        <s v="Bluestone Financial Planning Limited"/>
        <s v="Bluestone Independent Financial Advisers Ltd"/>
        <s v="Bluetrust Limited"/>
        <s v="Bluezone Capital Ltd"/>
        <s v="Blyth Wealth Management Limited"/>
        <s v="Blyth-Richmond Investment Managers Limited"/>
        <s v="BML Financial Solutions Limited"/>
        <s v="BMSG Wealth Management Limited"/>
        <s v="BNP Paribas"/>
        <s v="Bob Barnett Limited"/>
        <s v="Bob Farrington Ltd"/>
        <s v="Bob Little &amp; Co Ltd"/>
        <s v="Boler Wiseman Financial Services Limited"/>
        <s v="Bolsover Render Financial Planning Ltd"/>
        <s v="Bond Financial Limited"/>
        <s v="Bond Wealth Ltd"/>
        <s v="Bonum Wealth Ltd"/>
        <s v="boosst Limited"/>
        <s v="Booth Financial Services Ltd"/>
        <s v="Border Finance Ltd"/>
        <s v="Bordier &amp; Cie (UK) PLC"/>
        <s v="Boston Direct Management (UK) Ltd"/>
        <s v="Bosworth Wealth Management Ltd"/>
        <s v="Bottriell Adams LLP"/>
        <s v="Boulton Financial Services Ltd"/>
        <s v="Bounty Financial Planning Limited"/>
        <s v="Bourlet Financial Planning Limited"/>
        <s v="Bourne Independent Financial Advisers Ltd"/>
        <s v="Bourne Taylor Neville Limited"/>
        <s v="Bournebridge Financial Services Limited"/>
        <s v="Bowden Financial Consultancy Ltd"/>
        <s v="Bowden Financial Management Ltd"/>
        <s v="Bowden Financial Planning Ltd"/>
        <s v="BOWER RETIREMENT LIMITED"/>
        <s v="Bowes Financial Services Ltd"/>
        <s v="Bowline Advisors Limited"/>
        <s v="Bowmore Asset Management Limited"/>
        <s v="Bowmore Financial Planning Limited"/>
        <s v="BOWSPRIT PARTNERS LIMITED"/>
        <s v="Boyd Young"/>
        <s v="BPH Wealth Management LLP"/>
        <s v="Bradbury Hamilton Limited"/>
        <s v="Bradley Financial Services Limited"/>
        <s v="Bradstock Bourne Limited"/>
        <s v="Bradstyle Limited"/>
        <s v="Bramdean Asset Management LLP"/>
        <s v="Bramley Financial Planning limited"/>
        <s v="Brampton Financial Management Ltd"/>
        <s v="Brancaster House Limited"/>
        <s v="Brandane Financial Services Ltd"/>
        <s v="Brant Financial Ltd"/>
        <s v="BRB Financial Horizons Limited"/>
        <s v="BRB Wealth Management Limited"/>
        <s v="Brebners"/>
        <s v="Brendan Miskella Ltd"/>
        <s v="Brett Andrews"/>
        <s v="Brett Jones"/>
        <s v="Brewin Dolphin Limited"/>
        <s v="BRI Wealth Management PLC"/>
        <s v="Brian Collingwood"/>
        <s v="Brian J Hyman (Life &amp; Pensions) Limited"/>
        <s v="Brian McGoldrick Ltd"/>
        <s v="Brian Mellor Financial Services Limited"/>
        <s v="Brian Mole Independent Financial Advisers Limited"/>
        <s v="Brian Wilson"/>
        <s v="Brideshead Independent Financial Services"/>
        <s v="Bridge Investments Partners Limited"/>
        <s v="Bridgegate Financial Solutions Limited"/>
        <s v="Brierie Financial Planning Ltd"/>
        <s v="Briggs Fiscal Limited"/>
        <s v="Bright Cube Money Ltd"/>
        <s v="Bright Future Financial Planning Limited"/>
        <s v="Bright Investments Pensions and Savings Ltd"/>
        <s v="Brighton Financial Ltd"/>
        <s v="Brighton Williams &amp; Partners"/>
        <s v="Brilliance Financial Planning Ltd"/>
        <s v="Brimmond Financial Management Ltd"/>
        <s v="BRITANNIA GLOBAL MARKETS LIMITED"/>
        <s v="Britannic Place Financial Management Limited"/>
        <s v="Broad Wealth Management Ltd"/>
        <s v="Broadgate Wealth Client Servicing LLP"/>
        <s v="Broadland Consultants Ltd"/>
        <s v="Broadleaf Financial Services Ltd"/>
        <s v="Broadoak Financial Planning Ltd"/>
        <s v="Broadstone Corporate Benefits Limited"/>
        <s v="Broadstone Financial Solutions Limited"/>
        <s v="Broadstreet Wealth Management Limited"/>
        <s v="Broadway Financial Planning Limited"/>
        <s v="Bromige Limited"/>
        <s v="Brook-Dobson Brear Limited"/>
        <s v="Brookes Financial Management Limited"/>
        <s v="Brookfield Financial Planning Ltd"/>
        <s v="Brookmans &amp; Berkeley Wealth Ltd"/>
        <s v="Brooks Financial Consultancy Ltd"/>
        <s v="Brooks Macdonald Asset Management Limited"/>
        <s v="Brooks Wealth Management LLP"/>
        <s v="Brookson Financial Limited"/>
        <s v="Brookway Financial Ltd"/>
        <s v="Broom Consultants Ltd"/>
        <s v="Brown Advisory Limited"/>
        <s v="Brown Shipley &amp; Co Limited"/>
        <s v="Brown Thornton &amp; Lee Independent Financial Advisers LLP"/>
        <s v="Browning Financial Ltd"/>
        <s v="Browning Financial Planning Ltd"/>
        <s v="Bruce &amp; Co Legal &amp; Financial Ltd"/>
        <s v="Bruce Bennett"/>
        <s v="Brunel Assurance Society"/>
        <s v="Brunsdon Financial Services Limited"/>
        <s v="Brunswick Investment Management Limited"/>
        <s v="Bryant O'Neill Wealth Management Limited"/>
        <s v="Bryher East Associates Limited"/>
        <s v="BSK Financial Planning Limited"/>
        <s v="BSQFA Limited"/>
        <s v="Buchanan &amp; Company Financial Services Limited"/>
        <s v="Buck Wealth Management Limited"/>
        <s v="Budge and Company Limited"/>
        <s v="Builth Wells Financial Planning Ltd"/>
        <s v="BULLINGER WEALTH LIMITED"/>
        <s v="Bunker Riley Ltd"/>
        <s v="Bureau of Independent Financial Advice Ltd"/>
        <s v="Burfield Financial Planning Limited"/>
        <s v="Burgess &amp; Lee Limited"/>
        <s v="Burgess Williams Financial Services Limited"/>
        <s v="Burlaw Ltd"/>
        <s v="Burley Fox Limited"/>
        <s v="Burlington Associates Ltd"/>
        <s v="Burnett &amp; Co Financial Planning Ltd"/>
        <s v="Burrows and Foy LLP"/>
        <s v="Burwood Sage + Brookridge Ltd"/>
        <s v="Business &amp; Personal Investment Limited"/>
        <s v="Butcher &amp; Moody Financial Services Ltd"/>
        <s v="Butler Toll Ltd"/>
        <s v="Butterfly Financial Planning Limited"/>
        <s v="Butterworths Asset Management LLP"/>
        <s v="Buxton Beresford Financial Planning Ltd"/>
        <s v="Buzzacott Financial Services Limited"/>
        <s v="BV Services"/>
        <s v="Byron Longstaff Independent Financial Consultancy Ltd"/>
        <s v="C A Financial Services Ltd"/>
        <s v="C D D Financial Services"/>
        <s v="C D G Financial Services Limited"/>
        <s v="C Heslop Financial Services Ltd"/>
        <s v="C J Hannan Ltd"/>
        <s v="C S Financial Planning Limited"/>
        <s v="C. Alexander Financial Planning Ltd"/>
        <s v="C. McDonald Brown Limited"/>
        <s v="C. Rengert &amp; Company Limited"/>
        <s v="C.P.H. Ltd"/>
        <s v="C&amp;M (Life &amp; Pensions) Ltd"/>
        <s v="Cactus Financial Planning Ltd"/>
        <s v="Cade &amp; Co LLP"/>
        <s v="Cadro Technologies Limited"/>
        <s v="Cailean Limited"/>
        <s v="Cairn Financial Management Limited"/>
        <s v="Cairn Independent Limited"/>
        <s v="CAL Investments Limited"/>
        <s v="Cala Investments Limited"/>
        <s v="Calcluth &amp; Sangster (Financial Services) Limited"/>
        <s v="Calcluth and Sangster Limited"/>
        <s v="Caleb Roberts Financial Management Ltd"/>
        <s v="Caledonia Asset Management Limited"/>
        <s v="Caledonian Financial Management Limited"/>
        <s v="CALFA Ltd"/>
        <s v="Caliber Financial Associates Limited"/>
        <s v="Callabas Financial Services Ltd"/>
        <s v="Callaway Sykes Associates Limited"/>
        <s v="Callidus Wealth Management Ltd"/>
        <s v="CALPE FINANCIAL SOLUTIONS LIMITED"/>
        <s v="Calton Wealth Management Ltd"/>
        <s v="Calvard Financial Limited"/>
        <s v="Calver Groom Limited"/>
        <s v="CAM Wealth Group Limited"/>
        <s v="Cambourne Financial Planning Limited"/>
        <s v="Cambrian Associates Limited"/>
        <s v="Cambridge Financial Services Ltd"/>
        <s v="Cambridge Independent Financial Planning"/>
        <s v="Cambridge Mercantile Risk Management (UK) Ltd"/>
        <s v="Cameron Asset Management Limited"/>
        <s v="Cameron Reeves Financial Planning Limited"/>
        <s v="Cameron Trinity Limited"/>
        <s v="Camerons Financial Planning Limited"/>
        <s v="Campbell &amp; Associates Independent Financial Advice Ltd"/>
        <s v="Campbell &amp; McConnachie Limited"/>
        <s v="Campbell Alexander Financial Management Ltd"/>
        <s v="Campbell Financial Services Ltd"/>
        <s v="Campbell Insurance Services Limited"/>
        <s v="Campbell Lutyens &amp; Co. Ltd"/>
        <s v="Campbell Mackie Limited"/>
        <s v="Campbell Munro Limited"/>
        <s v="Campbell Thomson (Insurance Services) Limited"/>
        <s v="Campton (Financial Services) Ltd"/>
        <s v="Canaccord Genuity Financial Planning Limited"/>
        <s v="Canaccord Genuity Wealth Limited"/>
        <s v="Candid Financial Advice Limited"/>
        <s v="Candid Financial Planning Limited"/>
        <s v="Canford and Castle Financial Planning Limited"/>
        <s v="Cannizaro Wealth Management (MGM) Limited"/>
        <s v="Cansdales Limited"/>
        <s v="Cansquared Limited"/>
        <s v="CANTAB ASSET MANAGEMENT LTD"/>
        <s v="Canter Holland Ltd"/>
        <s v="Cantium Wealth Management Limited"/>
        <s v="Cantor Fitzgerald Europe"/>
        <s v="Capel Court Limited"/>
        <s v="Capelin Financial Management Ltd"/>
        <s v="Capital &amp; Counties (Financial Services) Limited"/>
        <s v="Capital Advisory Partners Ltd"/>
        <s v="Capital Asset Management (Financial Planning) Ltd"/>
        <s v="Capital Direct Management (UK) Ltd"/>
        <s v="Capital Financial Markets Limited"/>
        <s v="Capital Gains Ltd"/>
        <s v="Capital Independent Financial Consultants Ltd"/>
        <s v="Capital International Limited"/>
        <s v="CAPITAL MANAGEMENT CFP LTD"/>
        <s v="Capital Managers LLP"/>
        <s v="CAPITAL MARKETS STRATEGY LIMITED"/>
        <s v="CAPITAL PLUS PARTNERS LIMITED"/>
        <s v="Capital Tower Limited"/>
        <s v="Capital Trust Financial Management LTD"/>
        <s v="Capital Wealth Management (UK) Limited"/>
        <s v="Capital Wealth Partners Limited"/>
        <s v="Caple Banks Limited"/>
        <s v="Carbon Financial Partners Ltd"/>
        <s v="Cardens Limited"/>
        <s v="Cardinal Financial Planning and Wealth Management Limited"/>
        <s v="Carey and Johnston"/>
        <s v="Carl Hope"/>
        <s v="Carleton Financial Planning Limited"/>
        <s v="Carlile Alexander Private Wealth Ltd"/>
        <s v="Carlile Financial Services Ltd"/>
        <s v="Carlson Wealth Management Ltd"/>
        <s v="Carlton Asset Management Limited"/>
        <s v="Carlton Financial Planning Ltd"/>
        <s v="Carlton Smith Financial Planning Ltd"/>
        <s v="Carlton St John Financial Services Limited"/>
        <s v="Carlton-Sturman (Insurance Brokers) Limited"/>
        <s v="Carnwyllon Wealth Management Ltd"/>
        <s v="Caroline Anderson IFA LTD"/>
        <s v="Carpenter Box Wealth Management LLP"/>
        <s v="Carpenter John Financial Services Ltd"/>
        <s v="Carpenter Rees Limited"/>
        <s v="Carr &amp; Associates LLP"/>
        <s v="Carrington Investment Consultants Limited"/>
        <s v="Carrmichaels Ltd"/>
        <s v="Carron Financial Services Limited"/>
        <s v="Carter Dawes IFA Solutions Limited"/>
        <s v="Carter Pearl Limited"/>
        <s v="Cartlidge Morland Limited"/>
        <s v="Cartlidge Morland Wealth Management LLP"/>
        <s v="Cartwright Financial Solutions Ltd"/>
        <s v="Case Financial Consulting Limited"/>
        <s v="Cashmore &amp; Co"/>
        <s v="Cassons Financial Planning Limited"/>
        <s v="Castell Cyf"/>
        <s v="Casterbridge Wealth Limited"/>
        <s v="Castle Financial LLP"/>
        <s v="Castle Financial Services (South East) Ltd"/>
        <s v="Castle Financial Services Ltd"/>
        <s v="Castle Sundborn Limited"/>
        <s v="Castlebank Financial Planning Limited"/>
        <s v="Castlebay Investment Partners LLP"/>
        <s v="Castlefield Investment Partners LLP"/>
        <s v="Castlegate Capital Limited"/>
        <s v="Castlegate Financial Management Limited"/>
        <s v="Castra Financial limited"/>
        <s v="Cater Willis Limited"/>
        <s v="Cathedral Financial Services LLP"/>
        <s v="Cathedral Independent Financial Planning Ltd"/>
        <s v="Catherine Adams Financial Planning Limited"/>
        <s v="Caton Fry Financial Services Limited"/>
        <s v="Catterson Wealth Management Limited"/>
        <s v="Causeway Financial Management Ltd"/>
        <s v="Cavendish Corporate Finance LLP"/>
        <s v="Cavendish Financial Advice Ltd"/>
        <s v="Cavendish Medical Ltd"/>
        <s v="Cavendish Securities PLC"/>
        <s v="Cavendish Ware Limited"/>
        <s v="Caxton Payments Limited"/>
        <s v="CBFP UK Ltd"/>
        <s v="CBH Wealth UK Limited"/>
        <s v="CBW Financial Planning Limited"/>
        <s v="CCLA Investment Management Ltd"/>
        <s v="CDC Wealth Management Limited"/>
        <s v="CDP Associates Ltd"/>
        <s v="Cedar House Financial Services Limited"/>
        <s v="Cedar Wealth Management Limited"/>
        <s v="Celtic Financial Planning Ltd"/>
        <s v="Census Wealth Management Limited"/>
        <s v="Centaur Financial Services Limited"/>
        <s v="Central Markets Investment Management Limited"/>
        <s v="Centricity Wealth Management Limited"/>
        <s v="Centurion Financial Planning Limited"/>
        <s v="Centurion Wealth Management Limited"/>
        <s v="Century Law Limited"/>
        <s v="Cerno Capital Partners LLP"/>
        <s v="Certus Financial Planning Limited"/>
        <s v="Cervello Financial Planning Limited"/>
        <s v="Cesta Financial Planning Ltd"/>
        <s v="Cestrian Financial Planning Services Limited"/>
        <s v="CFP Management Limited"/>
        <s v="CFS Management Ltd"/>
        <s v="CG Wealth Planning Limited"/>
        <s v="CGR Wealth Management Ltd"/>
        <s v="Chadwick McLean Ltd"/>
        <s v="Chadwicks Limited"/>
        <s v="Chaldon Fox Associates Limited"/>
        <s v="Chalfont Financial Planning Limited"/>
        <s v="Chalfont Investment Consultants Limited"/>
        <s v="Chamberlain Associates"/>
        <s v="Chamberlain Berry LLP"/>
        <s v="Chamberlain De Broe Limited"/>
        <s v="Chamberlain Wealth Management Limited"/>
        <s v="Chamberlyns Limited"/>
        <s v="Chamberlyns(Leicestershire)Ltd"/>
        <s v="Champion Financial Advisors Limited"/>
        <s v="Chancellor Financial Management Ltd"/>
        <s v="Chancery Financial Planning LLP"/>
        <s v="Chancery Investment Management Ltd"/>
        <s v="Chancery Law (Southport) Limited"/>
        <s v="Chancery Wall Financial Services Ltd"/>
        <s v="Chandler King (City) Ltd"/>
        <s v="Chantler Kent Investments"/>
        <s v="Chapelwood Financial Planning Ltd"/>
        <s v="Chapter House Wealth Management Limited"/>
        <s v="Chapter Wealth Management Ltd"/>
        <s v="Chapters Financial Limited"/>
        <s v="Charlcombe Partners Limited"/>
        <s v="Charles Dean Limited"/>
        <s v="Charles Dickson Financial Planning LLP"/>
        <s v="Charles James Financial Planning Limited"/>
        <s v="Charles Mark Financial Ltd"/>
        <s v="Charles Royle &amp; Company"/>
        <s v="Charles Stanley &amp; Co Ltd"/>
        <s v="Charles Wilkinson Financial Planning Limited"/>
        <s v="Charles-Mayo Financial Advisers Limited"/>
        <s v="Charlesworth Financial Planning Ltd"/>
        <s v="Charlotte Square Partners Limited"/>
        <s v="Charlton Wealth Management Limited"/>
        <s v="Charlwood IFA Limited"/>
        <s v="Charlwood Leigh Limited"/>
        <s v="Charnwood Financial Planning LLP"/>
        <s v="Charter Consultancy Ltd"/>
        <s v="Chartered Financial Solutions Limited"/>
        <s v="Chartered Wealth Management Limited"/>
        <s v="Charterhall Associates Limited"/>
        <s v="Charterhouse Estate Planning And Investment Services Limited"/>
        <s v="Charterhouse Financial Limited"/>
        <s v="Charterhouse Financial Planning Limited"/>
        <s v="Charterhouse Independent Financial Advisors LLP"/>
        <s v="Charterhouse Portfolio Management Limited"/>
        <s v="Charteris Treasury Portfolio Managers Limited"/>
        <s v="Chartwell Financial Services Ltd"/>
        <s v="Chase Asset Management Ltd"/>
        <s v="Chase Buckingham Limited"/>
        <s v="Chase de Vere Independent Financial Advisers limited"/>
        <s v="Chase Financial Management Limited"/>
        <s v="Chase Integral Limited"/>
        <s v="Chase St James Private Clients Limited"/>
        <s v="Chatfield Private Client Ltd"/>
        <s v="Chatsworth Financial Management Limited"/>
        <s v="Chattertons Wealth Management Limited"/>
        <s v="Chawton Global Investors LLP"/>
        <s v="CheckRisk LLP"/>
        <s v="Cheetham Jackson Ltd"/>
        <s v="Chelsea Investments Limited"/>
        <s v="Cheltenham Independent Financial Advisers Ltd"/>
        <s v="Cheltenham Wealth Financial Practice Ltd"/>
        <s v="Chelwood Financial Management"/>
        <s v="Cherwell Financial Services Limited"/>
        <s v="Cheshire Investments &amp; Pensions Limited"/>
        <s v="Cheshire Wealth Management Ltd"/>
        <s v="Chester Rose Financial Planning Limited"/>
        <s v="Chesterton House Financial Planning Ltd"/>
        <s v="Chetwood Wealth Management Ltd"/>
        <s v="Chevening Financial Ltd"/>
        <s v="Chic-Kending Ltd"/>
        <s v="Chiltern Consultancy Limited"/>
        <s v="Chiltern Financial Services Limited"/>
        <s v="Chilvester Limited"/>
        <s v="Choice Independent Financial Services Ltd"/>
        <s v="Chris Binns Wealth Management Limited"/>
        <s v="Chris Gooding (IFA) Ltd"/>
        <s v="Chris Leach &amp; Associates Ltd"/>
        <s v="Chris Lunt IFA Limited"/>
        <s v="Christchurch Investment Management Limited"/>
        <s v="Christian Dean Financial Planning Ltd"/>
        <s v="Christian Douglass Group Ltd"/>
        <s v="Christian Jones Financial Services Ltd"/>
        <s v="Christie Financial Planning Limited"/>
        <s v="Christina Clegg Financial Planning Services Limited"/>
        <s v="Christison and Rowland LLP"/>
        <s v="Christmas Financial Planners Ltd"/>
        <s v="Christopher Charles Financial Services Limited"/>
        <s v="Christopher J Jones Wealth Management Ltd"/>
        <s v="Christopher Jones Wealth Management Ltd"/>
        <s v="Christopher Mayes"/>
        <s v="Christopher Mordecai"/>
        <s v="Christopher Newcombe"/>
        <s v="Christopher Shaw"/>
        <s v="Chrysalis Financial Planning Ltd"/>
        <s v="Chrystal Capital Partners LLP"/>
        <s v="Church Financial Services Limited"/>
        <s v="Church House Investments Limited"/>
        <s v="Church's Financial Planning Limited"/>
        <s v="Churchgate Accountants Limited"/>
        <s v="Churchill Investments Plc"/>
        <s v="Churchill Wealth Management Ltd"/>
        <s v="CIB Financial Management Limited"/>
        <s v="Cilbenrick Ltd"/>
        <s v="CIRCA5000 LTD"/>
        <s v="Circle Financial Services Limited"/>
        <s v="Cirencester Friendly Society Limited"/>
        <s v="Citibank Europe plc"/>
        <s v="Citibank UK Limited"/>
        <s v="Citibank, N.A."/>
        <s v="Citrus Wealth Management Limited"/>
        <s v="City &amp; Merchant Limited"/>
        <s v="City &amp; Trust Finance Limited"/>
        <s v="City Asset Management Plc"/>
        <s v="City Capital Markets Ltd"/>
        <s v="City Equities Limited"/>
        <s v="City Financial (Aberdeen) Ltd"/>
        <s v="City Financial Planning (Exeter) Limited"/>
        <s v="City Financial Planning Ltd"/>
        <s v="City House Investors Limited"/>
        <s v="City Investment and Insurance Services Ltd"/>
        <s v="Citygate Financial Planning Limited"/>
        <s v="Citypoint Wealth Limited"/>
        <s v="Citywest Consultants Limited"/>
        <s v="Citywide Financial Partners Ltd"/>
        <s v="CJA Financial Planning Ltd"/>
        <s v="CJT Financial Planning Ltd"/>
        <s v="Clairville York Limited"/>
        <s v="Claremont Financial Services (NW) Ltd"/>
        <s v="Clarendon Financial Planning Ltd"/>
        <s v="Clarion Investment Management Limited"/>
        <s v="Clarion Wealth Planning Limited"/>
        <s v="Claritas Financial Planning Ltd"/>
        <s v="Claritas Wealth Management Limited"/>
        <s v="Claritus Wealth Ltd"/>
        <s v="Clarity Advice &amp; Management Ltd"/>
        <s v="Clarity Capital Partners Limited"/>
        <s v="Clarity Independent Financial Advisers Ltd"/>
        <s v="Clarity Independent Wealth Management Limited"/>
        <s v="Clarity Limited"/>
        <s v="Clarity Wealth Limited"/>
        <s v="Clarity Wealth Management LLP"/>
        <s v="Clarity Wealth Services Limited"/>
        <s v="Clark &amp; John Financial Services Ltd"/>
        <s v="Clark Boyle Limited"/>
        <s v="Clarke &amp; Co"/>
        <s v="Clarke and Partners LLP"/>
        <s v="Clarke Fencott LLP"/>
        <s v="Clarke Financial Planning Ltd"/>
        <s v="Clarke Robinson &amp; Co Ltd"/>
        <s v="Clarksons Platou Futures Limited"/>
        <s v="Claybridge Financial Planning Ltd"/>
        <s v="Clayden Associates Ltd"/>
        <s v="Clayton Holmes Naisbitt Financial Consultancy LLP"/>
        <s v="CLB Financial Consulting Limited"/>
        <s v="Clear Capital Markets Ltd"/>
        <s v="Clear Financial Advice Ltd"/>
        <s v="Clear Financial Solutions (Midlands) Ltd"/>
        <s v="Clear Future Financial Planners Limited"/>
        <s v="Clear IFA Limited"/>
        <s v="Clear Sky Financial Consulting Ltd"/>
        <s v="Clear Solutions (Wealth and Tax Management) Ltd"/>
        <s v="Clear Vision Financial Planning Limited"/>
        <s v="Clear Wealth Management Ltd"/>
        <s v="Clearshore Capital Limited"/>
        <s v="Clearview Independent Financial Advisers Ltd"/>
        <s v="Clearwater Independent Financial Planning Limited"/>
        <s v="Clearwater Wealth Management LLP"/>
        <s v="Clearway Financial Solutions Limited"/>
        <s v="Cleddau Financial Services Limited"/>
        <s v="Cleveden Park Wealth Ltd"/>
        <s v="Cleveland Wealth Management Ltd"/>
        <s v="Clickery Financial Ltd"/>
        <s v="Clifford Osborne Limited"/>
        <s v="Clifton Compliance Services Ltd"/>
        <s v="Clifton Financial Planning Limited"/>
        <s v="Clifton Wealth Partnership Ltd"/>
        <s v="Clive Ingram"/>
        <s v="Clive Webb Financial Services Limited"/>
        <s v="Cloisters Financial Management Limited"/>
        <s v="Close Asset Management Limited"/>
        <s v="Cloverleaf Mortgages Ltd"/>
        <s v="Clydebank Financial Services Ltd"/>
        <s v="Clydesdale Bank Plc"/>
        <s v="CMD Independent Financial Advisers Limited"/>
        <s v="CMIS Independent Financial Advisors Limited"/>
        <s v="CMS Wealth Ltd"/>
        <s v="CNFP LLP"/>
        <s v="Co-Navigate Limited"/>
        <s v="Coast &amp; Country Wealth Management Limited"/>
        <s v="Coast Financial Limited"/>
        <s v="Coast to Coast Financial Planning Services Limited"/>
        <s v="Coates &amp; Co Financial Planning Ltd"/>
        <s v="Cobalt II Limited"/>
        <s v="Cobalt Wealth Limited"/>
        <s v="Cochran Dickie &amp; MacKenzie Limited"/>
        <s v="Cockburn Lucas Independent Financial Consulting Limited"/>
        <s v="Codex Capital Partners Limited"/>
        <s v="Coffey Brooks Financial Services Ltd"/>
        <s v="Coldrey &amp; Bryant Consultants Limited"/>
        <s v="Coleman FS Limited"/>
        <s v="Coleridge Capital Ltd"/>
        <s v="Coleshill Mortgage Services Limited"/>
        <s v="Colin Baldock"/>
        <s v="Colin Of Mar"/>
        <s v="Colin R Bauld"/>
        <s v="Collaborative Wealth Limited"/>
        <s v="College Street Insurance Advisers"/>
        <s v="Collingbourne Wealth Management Ltd"/>
        <s v="Collins Sarri Statham Investments Limited"/>
        <s v="Coloma Wealth Management LLP"/>
        <s v="Comet Wealth Ltd"/>
        <s v="Communications Equity Associates International LLP"/>
        <s v="Companion Financial Planning LLP"/>
        <s v="Compass Financial Associates Limited"/>
        <s v="Compass Financial Management LLP"/>
        <s v="Compass Independent Financial Services Ltd"/>
        <s v="Compendium Wealth LLP"/>
        <s v="Competitive Edge Wealth Creation Ltd"/>
        <s v="Competitive Mortgages and Financial Services Ltd"/>
        <s v="Complete Advice Services Limited"/>
        <s v="Complete Financial Services"/>
        <s v="Complete Financial Solutions (NW)"/>
        <s v="Complete Financial Solutions Ltd"/>
        <s v="Complete Financial UK Trading Limited"/>
        <s v="Complete Money Care Ltd"/>
        <s v="Complete Wealth Management Limited"/>
        <s v="Complete Wealth Solutions Ltd"/>
        <s v="Completely Financial Services Limited"/>
        <s v="Comprehensive Financial Planning Limited"/>
        <s v="Concept Financial Management Limited"/>
        <s v="Concept Financial Planning Ltd"/>
        <s v="Concept Financial Solutions Limited"/>
        <s v="Concerva Limited"/>
        <s v="Condies Wealth Strategies Limited"/>
        <s v="Condy Mathias Financial Planners Limited"/>
        <s v="Confiar Finance Ltd"/>
        <s v="Confidential Financial Planning Limited"/>
        <s v="Connectus Wealth Limited"/>
        <s v="Connor Broadley Ltd"/>
        <s v="Conrad James Ltd"/>
        <s v="Conroy Financial Planning LLP"/>
        <s v="Consequential Planning Limited"/>
        <s v="Consilium Asset Management Limited"/>
        <s v="Consilium Financial Planning Limited"/>
        <s v="Consilium Financial Services Limited"/>
        <s v="Consilium Wealth Limited"/>
        <s v="CONSOLIDARE WEALTH MANAGEMENT LTD"/>
        <s v="Consolidated Financial Management Limited"/>
        <s v="Consolidatemypensions.com Ltd"/>
        <s v="Consulo Financial Planning Limited"/>
        <s v="CONSULT LWC LIMITED"/>
        <s v="Continuity Financial Planning Ltd"/>
        <s v="Continuum (Financial Services) LLP"/>
        <s v="Continuum Wealth Limited"/>
        <s v="Convera UK Financial Limited"/>
        <s v="Cooper Assurance Services LLP"/>
        <s v="Cooper Brewer Ltd"/>
        <s v="Cooper Maverick LLP"/>
        <s v="Cooper Mortimer Plant Limited"/>
        <s v="Cooper Park Wealth Management Ltd"/>
        <s v="Cooper Parry Wealth Limited"/>
        <s v="CopperHouse Financial Limited"/>
        <s v="Copperstone Financial Services Ltd"/>
        <s v="Corbel Partners Limited"/>
        <s v="Corbett Keeling Limited"/>
        <s v="Core Financial Services Ltd"/>
        <s v="Core Independent Financial Planning Limited"/>
        <s v="Corellia Financial Services Limited"/>
        <s v="Corfields (UK) Limited"/>
        <s v="Corhammock Ltd"/>
        <s v="Corin Berry Associates Limited"/>
        <s v="Corinthian Benefits Consulting Limited"/>
        <s v="Cormorant Partnership LLP"/>
        <s v="Cornerstone Financial Planning Ltd"/>
        <s v="Cornwall Finance &amp; Investment Services Ltd"/>
        <s v="Corporate &amp; Personal Investment Planning Ltd"/>
        <s v="Corporate Financial Resources LLP"/>
        <s v="Corporate Solutions (Poole) Limited"/>
        <s v="Cortex Wealth Management Ltd"/>
        <s v="Corville Financial Services Limited"/>
        <s v="Coton Financial Management Ltd"/>
        <s v="Cotswold Independent Financial Services Limited"/>
        <s v="County Associates (UK) LLP"/>
        <s v="Court Ross Financial Management Limited"/>
        <s v="Courtiers Investment Services Limited"/>
        <s v="Courtlands Wealth Planning Ltd"/>
        <s v="Courtney Havers LLP"/>
        <s v="Courtville Partners LLP"/>
        <s v="Coutts &amp; Company"/>
        <s v="Cove Financial Planning Limited"/>
        <s v="Covenham Financial Services Limited"/>
        <s v="Covington's Financial Service Limited"/>
        <s v="Cowling Rawnsley Financial Solutions Limited"/>
        <s v="Cox Financial Limited"/>
        <s v="COZENS &amp; BIRD FINANCIAL SERVICES LTD"/>
        <s v="CPD Financial Advisors Ltd"/>
        <s v="CPN Investment Management LLP"/>
        <s v="CPR Financial LLP"/>
        <s v="CRADLE OVERSEAS PENSIONS LIMITED"/>
        <s v="Craig Dunne"/>
        <s v="Craig Johnston Asset Management Limited"/>
        <s v="Craig Kilgour Independent Financial Planning Limited"/>
        <s v="Craiglyon Financial Management Limited"/>
        <s v="Cranbourne Financial Limited"/>
        <s v="Cranwell James Financial Planning limited"/>
        <s v="Craufurd Hale Wealth Management Limited"/>
        <s v="Craven Street Financial Planning Limited"/>
        <s v="Crawford Drake Wealth Management Limited"/>
        <s v="Crawford Financial Consulting Limited"/>
        <s v="Crawford Financial Planning Limited"/>
        <s v="Create and Prosper Financial Services Ltd"/>
        <s v="Create Wealth Management Ltd"/>
        <s v="Creative Advice Limited"/>
        <s v="Creative Benefit Wealth Management Limited"/>
        <s v="Credencis (IFA) Limited"/>
        <s v="Credit Suisse (UK) Limited"/>
        <s v="Credit Suisse International"/>
        <s v="Credo Capital Limited"/>
        <s v="Cresswell Cadenhead &amp; Co Limited"/>
        <s v="Crieff Financial &amp; Mortgage Centre Limited"/>
        <s v="Cripps Financial Planning Limited"/>
        <s v="CRN Financial Services Ltd"/>
        <s v="Crocus Wealth Limited"/>
        <s v="Croft &amp; Oakes Financial Planners Limited"/>
        <s v="Crofton Financial Planning Limited"/>
        <s v="Crossbridge Capital LLP"/>
        <s v="CROWD FOR ANGELS (UK) LIMITED"/>
        <s v="Crowdcube Capital Limited"/>
        <s v="Crowe Corporate Finance UK Limited"/>
        <s v="Crowe Financial Planning UK Limited"/>
        <s v="Crown Financial Management"/>
        <s v="Crown Wealth Management Limited"/>
        <s v="Crownhouse IFAS Ltd"/>
        <s v="CRS Consultants Ltd"/>
        <s v="Crystal Financial Planning Ltd"/>
        <s v="Crystal Financial Solutions Limited"/>
        <s v="CS Financial Management Limited"/>
        <s v="CS Managers Ltd"/>
        <s v="CS Wealth Consultancy Limited"/>
        <s v="CSense Capital FS Ltd"/>
        <s v="CSM Financial Solutions Limited"/>
        <s v="CSR Planning Limited"/>
        <s v="CST Wealth Management Limited"/>
        <s v="Cube Capital Limited"/>
        <s v="CubicStone Capital Management Limited"/>
        <s v="Cullen Wealth Limited"/>
        <s v="Cullimore Dutton Solicitors Ltd"/>
        <s v="Culver Financial Management Ltd"/>
        <s v="Culverhouse Financial Planning Ltd"/>
        <s v="Cummins Financial Advisers Ltd"/>
        <s v="Curo Advisers Limited"/>
        <s v="Curo Holdings LLP"/>
        <s v="Currency Solutions Limited"/>
        <s v="Cutting and Carter Limited"/>
        <s v="CW Capital Management (UK) Limited"/>
        <s v="CW Executive Finance Limited"/>
        <s v="D &amp; A Investments Partnership Limited"/>
        <s v="D A Calder Limited"/>
        <s v="D B Financial Management Limited"/>
        <s v="D B Wood Limited"/>
        <s v="D Bragg Financial Solutions Ltd"/>
        <s v="D C Financial Limited"/>
        <s v="D C Pensions &amp; Investment Limited"/>
        <s v="D G Financial Services Limited"/>
        <s v="D G S Independent Financial Advisers Limited"/>
        <s v="D L Bloomer Limited"/>
        <s v="D M Cager (Financial Services) ltd"/>
        <s v="D M Financial Advice Limited"/>
        <s v="D O'Kane Financial Services Limited"/>
        <s v="D S Financial Limited"/>
        <s v="D S Howell Financial Services Ltd"/>
        <s v="D Scott Financial Limited"/>
        <s v="D&amp;M Financial Ltd"/>
        <s v="D2 Financial Solutions (UK) Ltd"/>
        <s v="DACO Associates Limited"/>
        <s v="Daedalus Partners LLP"/>
        <s v="DAH FP Ltd"/>
        <s v="Daintree Wealth Management Limited"/>
        <s v="Daiwa Corporate Advisory Limited"/>
        <s v="Dalbeath Financial Planning Ltd"/>
        <s v="Daly, Hoggett &amp; Co"/>
        <s v="Damus Capital Limited"/>
        <s v="Danamere Employee Benefits Ltd"/>
        <s v="Dandelion Financial Limited"/>
        <s v="Daniel Associates 1989 Ltd"/>
        <s v="Daniel Geach Ltd"/>
        <s v="Daniel Harvey"/>
        <s v="Daniel Hyde Financial Services Ltd"/>
        <s v="Dante Partners LLP"/>
        <s v="Danum Financial Services Limited"/>
        <s v="Dark Star Asset Management Limited"/>
        <s v="DARNELLS WEALTH MANAGEMENT LIMITED"/>
        <s v="Darren Hall"/>
        <s v="Darryl Martin Investments Limited"/>
        <s v="Darsco Wealth MGMT Limited"/>
        <s v="Dart Capital Limited"/>
        <s v="Dart Wealth Management Limited"/>
        <s v="Dartington Financials Limited"/>
        <s v="Dartington Wealth Management Limited"/>
        <s v="Darwin Financial Management Ltd"/>
        <s v="Darwins IFA Limited"/>
        <s v="DATA Wealth Management LLP"/>
        <s v="Davenport Financial Management Ltd"/>
        <s v="David Allen Financial Services (Dalston) Limited"/>
        <s v="David Booler &amp; Company"/>
        <s v="David Charles Hesketh"/>
        <s v="David Cope and Partners Limited"/>
        <s v="David Dougan Financial Services Limited"/>
        <s v="David Ducker Associates Ltd"/>
        <s v="David Ewens"/>
        <s v="David Gunderson"/>
        <s v="David Gunter"/>
        <s v="David Hester Financial Services Limited"/>
        <s v="David Hopkinson IFA Limited"/>
        <s v="David Jameson Limited"/>
        <s v="David Jeffreys Financial Services Ltd"/>
        <s v="David John Hill"/>
        <s v="David Kneale Financial Management Ltd"/>
        <s v="David McDonald Financial Services Ltd"/>
        <s v="David Melville"/>
        <s v="David Michael Crabtree"/>
        <s v="David Munro Financial Services Limited"/>
        <s v="David S Lowe Financial Management"/>
        <s v="David Smith Financial Services LLP"/>
        <s v="David Spence Financial Options"/>
        <s v="David Stock &amp; Co Limited"/>
        <s v="David Travers Financial Services"/>
        <s v="David Vance Consulting Ltd"/>
        <s v="David Williams Financial Solutions Limited"/>
        <s v="David Williams IFA Ltd"/>
        <s v="David Winter Independent Financial Advisers Limited"/>
        <s v="Davidson Asset Management Limited"/>
        <s v="Davidson Wealth Management Limited"/>
        <s v="Davidsons Independent Financial Advisers Limited"/>
        <s v="Davies Carrington Limited"/>
        <s v="Davies Craddock"/>
        <s v="Davies Financial Limited"/>
        <s v="Davison Smith Financial Management Limited"/>
        <s v="DB UK Bank Limited"/>
        <s v="DBL Asset Management LLP"/>
        <s v="de Lisle Financial Planning Limited"/>
        <s v="De Luca West Financial Planning Ltd"/>
        <s v="Deane Andrew Cross"/>
        <s v="Debenwood Financial Planning Limited"/>
        <s v="Deen Financial Solutions Ltd"/>
        <s v="Deep Blue Financial Limited"/>
        <s v="DELAUNAY WEALTH MANAGEMENT LIMITED"/>
        <s v="Delta Financial Management Limited"/>
        <s v="Demelza Financial Planning Limited"/>
        <s v="Dennehy Wealth Limited"/>
        <s v="Dentists' Provident Society Limited"/>
        <s v="Dentons Investment Services Ltd"/>
        <s v="Dentons Pension Management Limited"/>
        <s v="Denyer Insurance Consultancy Ltd"/>
        <s v="Derbyshire Independent Financial Advisers LLP"/>
        <s v="Derek A Forsythe Financial Advisors Ltd"/>
        <s v="Derek Tidy Limited"/>
        <s v="Derivatives Value Advisors Limited"/>
        <s v="Dermot Brannigan"/>
        <s v="Desire Wealth Management Limited"/>
        <s v="Deutsche Bank AG"/>
        <s v="Deven Yagnic Limited"/>
        <s v="Devereaux Montague LLP"/>
        <s v="Devonshire Financial Services Limited"/>
        <s v="DEWM Limited"/>
        <s v="DG Financial Wealth Ltd"/>
        <s v="Dharmea Financial Planning Ltd"/>
        <s v="DHFS Davies Harris Financial Services Limited"/>
        <s v="DHM Wynchwood LLP"/>
        <s v="DHW Financial Services Ltd"/>
        <s v="Diana Atkinson Limited"/>
        <s v="Dickson Financial Services Ltd"/>
        <s v="Diem Marshall Wealth Management Limited"/>
        <s v="Digby Holman"/>
        <s v="Digney Grant Financial Planning Ltd"/>
        <s v="Diligent Wealth Planning Limited"/>
        <s v="Direct Financial Planning (UK) Limited"/>
        <s v="Direct Wealth Management Limited"/>
        <s v="DIS Independent Financial Planning Limited"/>
        <s v="Distinct Financial Management Ltd"/>
        <s v="Diverse Financial Planning Limited"/>
        <s v="Divitiae Limited"/>
        <s v="Dixon Financial Planning Ltd"/>
        <s v="DJWM Limited"/>
        <s v="DKLS Ltd"/>
        <s v="DLM Wealth Management LLP"/>
        <s v="DM Pension &amp; Investment Solutions Ltd"/>
        <s v="DMA Moneybetter LTD"/>
        <s v="DMH Private Wealth Limited"/>
        <s v="DML Financial Advisers"/>
        <s v="DML Financial Planning Limited"/>
        <s v="Dobson &amp; Hodge Limited"/>
        <s v="Doherty Pension &amp; Investment Consultancy Limited"/>
        <s v="DOL Solutions"/>
        <s v="Dolfin Financial (UK) Ltd"/>
        <s v="Dolphin Financial Limited"/>
        <s v="Dolphin Wealth Management Ltd"/>
        <s v="DOMESTIC &amp; GENERAL INSURANCE EUROPE AG"/>
        <s v="DOMINION FINANCIAL MANAGEMENT LIMITED"/>
        <s v="Donna Malone Financial Advice Limited"/>
        <s v="Donre Advisory Limited"/>
        <s v="Doubletree Financial Services Ltd"/>
        <s v="Doug Wade Insurance Consultant"/>
        <s v="Douglas Steers &amp; Company Ltd"/>
        <s v="Douglas White Limited"/>
        <s v="Dowgate Capital Limited"/>
        <s v="Dowgate Wealth Limited"/>
        <s v="Downing LLP"/>
        <s v="DP Advisory Limited"/>
        <s v="DP Financial Planning Ltd"/>
        <s v="DP's Financial Advice &amp; Services"/>
        <s v="DPS Direction Ltd"/>
        <s v="Dr David Smith Financial Services"/>
        <s v="Dragon Financial Planning Ltd"/>
        <s v="Dragon Investment Managers Ltd"/>
        <s v="DRB Associates Ltd"/>
        <s v="DRC Associates Limited"/>
        <s v="DRR Financial Consultants Limited"/>
        <s v="DSMA Ltd"/>
        <s v="DSN Financial Ltd"/>
        <s v="DTB Investments Ltd"/>
        <s v="DTE Risk and Financial Management Limited"/>
        <s v="Duchy Private Office LLP"/>
        <s v="Duke Godley Financial Planning Limited"/>
        <s v="Dukes Financial Planning LLP"/>
        <s v="Dukes Independent Financial Advisers Ltd"/>
        <s v="Dumnonia Financial Services Limited"/>
        <s v="Dune Financial Planning Limited"/>
        <s v="Dunhams Financial Planning Limited"/>
        <s v="DW 2020 Limited"/>
        <s v="DW Wealth Management Ltd"/>
        <s v="DWA Protector Limited"/>
        <s v="DWS Investments UK Limited"/>
        <s v="E &amp; S Financial Planning Ltd"/>
        <s v="E C Financial Services Limited"/>
        <s v="E J Glanville &amp; Co (Investment Brokers) Limited"/>
        <s v="E L Watson Financial Planning Limited"/>
        <s v="E. S. Walton &amp; Co Limited"/>
        <s v="E.S.N Financial Services LLP"/>
        <s v="EA Financial Solutions Ltd"/>
        <s v="Eadon &amp; Co Ltd"/>
        <s v="Eason Rose Limited"/>
        <s v="East Anglian Financial Planning Limited"/>
        <s v="Eastern Financial Consultants Ltd"/>
        <s v="Eastgate Financial Services (Exeter) Limited"/>
        <s v="Eastlake &amp; Beachell Limited"/>
        <s v="Eastmills Limited"/>
        <s v="Eastwood Financial Services Limited"/>
        <s v="Eastwood Financial Solutions Ltd"/>
        <s v="Eaton Financial Services Ltd"/>
        <s v="EB ASSOCIATES GROUP LIMITED"/>
        <s v="EBCam Limited"/>
        <s v="Ecclesall Wealth Management Ltd"/>
        <s v="Ecclesiastical Financial Advisory Services Limited"/>
        <s v="Echo Financial Planning LLP"/>
        <s v="Echo Wealth Management Limited"/>
        <s v="Eclipse Adviser (Pensions &amp; Investments) Ltd"/>
        <s v="Eclipse Financial Solutions (SW) Limited"/>
        <s v="Edale UK Management Limited"/>
        <s v="Eden Independent Financial Advisers Limited"/>
        <s v="Edenhurst Limited"/>
        <s v="Edgar Financial Advice Limited"/>
        <s v="Edgmoor Limited"/>
        <s v="Edinburgh Wealth Management Limited"/>
        <s v="Edison Consulting Limited"/>
        <s v="Edison Wealth Management Limited"/>
        <s v="Edmans IFA Ltd"/>
        <s v="Edmund Nigel Wallen (T/A KL &amp; EW Financial Services)"/>
        <s v="Edward Asset Management LLP"/>
        <s v="Edward Chappell Financial Services Ltd"/>
        <s v="Edward Hart Financial Services Limited"/>
        <s v="Edward Paul Financial Planning Ltd"/>
        <s v="Edward T James &amp; Company Ltd"/>
        <s v="Edward Wilson Financial Ltd"/>
        <s v="Edwards Associates Independent Wealth Advisers LTD"/>
        <s v="EFG Private Bank Limited"/>
        <s v="EGB FINANCIAL LIMITED"/>
        <s v="EGR WEALTH LIMITED"/>
        <s v="Eight Four Two Limited"/>
        <s v="Eighteen48 Partners Limited"/>
        <s v="EIS Financial Services Ltd"/>
        <s v="Eldercare Solutions Limited"/>
        <s v="Eldon Financial Planning Ltd"/>
        <s v="Element Hinton Ltd"/>
        <s v="Elementary Financial Planning Ltd"/>
        <s v="Elementary Limited"/>
        <s v="Elevation Wealth Management Ltd"/>
        <s v="ELG Asset Management Limited"/>
        <s v="Elite Financial Advice Ltd"/>
        <s v="Elite Financial Consulting Ltd"/>
        <s v="Elite Financial Planning Limited"/>
        <s v="Elite Private Wealth Management Limited"/>
        <s v="Elite-Wealth Management UK Ltd"/>
        <s v="Elkins Financial Planning Ltd"/>
        <s v="Ellacotts Wealth Planning Ltd"/>
        <s v="Ellerd Investments Limited"/>
        <s v="Elliot Fletcher Limited"/>
        <s v="Ellis Bates Financial Solutions Limited"/>
        <s v="Ellis Bates Wealth Management Limited"/>
        <s v="Ellis Davies Financial Planning Limited"/>
        <s v="Ellis Lloyd Jones (Financial Services) Limited"/>
        <s v="Elm Tree Financial Services Limited"/>
        <s v="Elmfield Financial Planning Limited"/>
        <s v="Elmham Financial Limited"/>
        <s v="Elysium Corporate Finance Limited"/>
        <s v="Elysium Wealth Ltd"/>
        <s v="Embassy Financial Planning Limited"/>
        <s v="Emericks Financial Services Limited"/>
        <s v="Emery (IFA) Limited"/>
        <s v="Emery Little Wealth Management Limited"/>
        <s v="EMET Financial Services Ltd"/>
        <s v="Emirates NBD Bank (P.J.S.C)"/>
        <s v="Employee Benefit Solutions Ltd"/>
        <s v="Employee Benefits Partnership Limited"/>
        <s v="Empower Partners LLP"/>
        <s v="Enable Independent Limited"/>
        <s v="Encompass Financial Management Ltd"/>
        <s v="Encompass Financial Services Limited"/>
        <s v="Engage Financial Services Ltd"/>
        <s v="Engage Wealth Management Limited"/>
        <s v="English Rose Financial Planning Ltd"/>
        <s v="Enigma Strategy Limited"/>
        <s v="Enigma Wealth Management Limited"/>
        <s v="Enlighten Financial Services Limited"/>
        <s v="Enlightened Finance Limited"/>
        <s v="Entente Partners Ltd"/>
        <s v="Enterprise Financial Services UK Limited"/>
        <s v="Entire FS Ltd"/>
        <s v="Entre-Wealth Limited"/>
        <s v="EP Wealth Management Limited"/>
        <s v="EPM Financial Services Limited"/>
        <s v="Eppione Limited"/>
        <s v="Epsilon Mortgages Limited"/>
        <s v="Epsilon Planning LLP"/>
        <s v="Epworth Investment Management Limited"/>
        <s v="EQ Investors Limited"/>
        <s v="Equanimity Independent Financial Advisers Limited"/>
        <s v="Equilibrium Capital Ltd"/>
        <s v="Equilibrium Financial Planning LLP"/>
        <s v="Equilibrium Investment Management LLP"/>
        <s v="Equilius Limited"/>
        <s v="Equinox Wealth Limited"/>
        <s v="Equitas Financial (UK) Ltd"/>
        <s v="Equitas Investment Services Limited"/>
        <s v="Equity And General Financial Services Limited"/>
        <s v="Equity For Growth (Securities) Limited"/>
        <s v="Erdley Hand T/A Wright Hand Associates"/>
        <s v="ERG Financial Planning Limited"/>
        <s v="Eriskay Wealth Ltd"/>
        <s v="Eriswell Capital Management LLP"/>
        <s v="Ermin Fosse Financial Management LLP"/>
        <s v="Ernst &amp; Young LLP"/>
        <s v="ESJ Financial Planning LLP"/>
        <s v="Espiene Ltd"/>
        <s v="Essential Financial Advisers LLP"/>
        <s v="Essex Financial Management Limited"/>
        <s v="Essex Financial Planners UK Ltd"/>
        <s v="EST Wealth Ltd"/>
        <s v="Estate and Property Ltd"/>
        <s v="Estate Capital Financial Management Limited"/>
        <s v="Estate Financial Planning Limited"/>
        <s v="Estate Planning Solutions Ltd"/>
        <s v="Esteem Money Ltd"/>
        <s v="Ethical Adviser(UK) Ltd"/>
        <s v="Ethical Financial Planning Ltd"/>
        <s v="Ethical Futures LLP"/>
        <s v="Ethical Investments (SW) Ltd"/>
        <s v="Ethical Investors (UK) Ltd"/>
        <s v="Ethical Market Place Limited"/>
        <s v="Ethical Wealth Planning Ltd"/>
        <s v="Eton Square Financial Management Limited"/>
        <s v="Europa Partners Limited"/>
        <s v="Europe Arab Bank plc"/>
        <s v="Eurosure Limited"/>
        <s v="EVA Capital Management Limited"/>
        <s v="Evans Ash Financial Services LLP"/>
        <s v="Evans Falco LLP"/>
        <s v="Evans Hart Limited"/>
        <s v="Evelyn Partners Asset Management Limited"/>
        <s v="Evelyn Partners Corporate Finance Limited"/>
        <s v="Evelyn Partners Discretionary Investment Management Limited"/>
        <s v="Evelyn Partners Financial Planning Limited"/>
        <s v="Evelyn Partners Financial Services Limited"/>
        <s v="Evelyn Partners Investment Management LLP"/>
        <s v="Evelyn Partners Investment Management Services Limited"/>
        <s v="Evelyn Partners Investment Services Limited"/>
        <s v="Evelyn Partners Securities"/>
        <s v="Everall Rolfe Associates Limited"/>
        <s v="Everard Investment Planning Ltd"/>
        <s v="Everlong Wealth Limited"/>
        <s v="Everys Financial Services Limited"/>
        <s v="Evolution FS Ltd"/>
        <s v="Evolution Wealth  Network Ltd"/>
        <s v="Evolve Financial Services Ltd"/>
        <s v="Evolve Wealth Limited"/>
        <s v="Example Associates Limited"/>
        <s v="Excaliber Associates Ltd"/>
        <s v="Excel 121 Ltd"/>
        <s v="Executive Advisory Services Limited"/>
        <s v="Executive Benefit Services (UK) Limited"/>
        <s v="Executive Financial Services Ltd"/>
        <s v="Executive Lifestyle Planning Ltd"/>
        <s v="Executive Wealth Services Ltd"/>
        <s v="Expatriate Advisory Services Limited"/>
        <s v="Expert Financial Solutions Ltd"/>
        <s v="Expert Independent Financial Planning Limited"/>
        <s v="Expert Pensions Advice LLP"/>
        <s v="F G Watts Financial Advisers Ltd"/>
        <s v="F H. Manning Financial Services Limited"/>
        <s v="F J Nixon &amp; Co Limited"/>
        <s v="F.P. Consulting Limited"/>
        <s v="F1rst Financial Services Ltd"/>
        <s v="F3 Wealth Management Limited"/>
        <s v="Fabian J.A. Finlay M.C.S.I."/>
        <s v="Face 2 Face Financial Ltd"/>
        <s v="Face to Face Finance (Anglia) Ltd"/>
        <s v="Face to Face Financial Planning Limited"/>
        <s v="Face To Face Financial Solutions Limited"/>
        <s v="FACET INVESTMENT MANAGEMENT LTD"/>
        <s v="Fair Financial Limited"/>
        <s v="Fairey Associates Ltd"/>
        <s v="Fairhall Investments Ltd"/>
        <s v="Fairstone Financial Management Limited"/>
        <s v="Fairstone Private Wealth Limited"/>
        <s v="Fairstone Wealth Management Limited"/>
        <s v="Fairway Financial Consultancy"/>
        <s v="Fairway Financial Planning Limited"/>
        <s v="Fairway Independent Financial Advisers Limited"/>
        <s v="Fairway McNaughton Ltd"/>
        <s v="Falco Private Wealth Limited"/>
        <s v="Falcon Financial Planning Limited"/>
        <s v="Fallon Associates Limited"/>
        <s v="Family Capital Limited"/>
        <s v="Family Finance Centre Group Ltd"/>
        <s v="Family First Financial Services Limited"/>
        <s v="Fangdale Financial Ltd"/>
        <s v="Fantastic Financial Ltd"/>
        <s v="FARADAY FINANCIAL PLANNING LIMITED"/>
        <s v="Faramond UK Limited"/>
        <s v="Fargrove Financial Solutions Limited"/>
        <s v="Farley &amp; Thompson LLP"/>
        <s v="Farrell Financial Planning Limited"/>
        <s v="FB Wealth Management Ltd"/>
        <s v="FBS-IFA LLP"/>
        <s v="FD Wealth Ltd"/>
        <s v="Feast Noble &amp; Company LLP"/>
        <s v="Featherstone Partners Limited"/>
        <s v="Felce Management Company Limited"/>
        <s v="Female Financial Management Limited"/>
        <s v="Fenchurch Advisory Partners LLP"/>
        <s v="Fensham Howes Limited"/>
        <s v="Fenshaw Independent Financial Advisers LLP"/>
        <s v="Ferguson Law Financial Services Ltd"/>
        <s v="Ferguson Wealth Management Limited"/>
        <s v="Fern Financial Planning Limited"/>
        <s v="Fernedene Financial Planning Ltd"/>
        <s v="Fernleigh Wearden &amp; Company Ltd"/>
        <s v="FFS Connect Limited"/>
        <s v="Fhoenix Estates Limited"/>
        <s v="Fibonacci Finance Limited"/>
        <s v="Fidelium Financial Planners Limited"/>
        <s v="Fidelius Ltd"/>
        <s v="Fides Limited"/>
        <s v="Fidra Wealth Management Ltd"/>
        <s v="Fiducia Wealth Management Limited"/>
        <s v="Field Hamlin Wealth Management Limited"/>
        <s v="Fields Macdonald Wealth Management Ltd"/>
        <s v="FIL Wealth Management Limited"/>
        <s v="Filip Slipaczek B.A.(Hons) FCIB ACII FPFS Chartered Financial Planner ISO 22222 Certified"/>
        <s v="FIM Capital Limited"/>
        <s v="Finanalysis Limited"/>
        <s v="Finance 21 Ltd"/>
        <s v="Finance Matters (NI) Limited"/>
        <s v="Finance Shop Ltd"/>
        <s v="Finances Sorted Limited"/>
        <s v="Financial Administration Services Limited"/>
        <s v="Financial Advice and Services Limited"/>
        <s v="Financial Advice Centre Limited"/>
        <s v="Financial Advice Made Easy Limited"/>
        <s v="Financial Affairs Limited"/>
        <s v="FINANCIAL AFFAIRS WEALTH SOLUTIONS LIMITED"/>
        <s v="Financial Aims Limited"/>
        <s v="Financial Aspirations Lifestyle Planning Limited"/>
        <s v="Financial Care Solutions Limited"/>
        <s v="Financial Connections Wealth Management Ltd"/>
        <s v="Financial Design (Independent Financial Advisors) Ltd"/>
        <s v="Financial Dimensions UK Ltd"/>
        <s v="Financial Direction (Northumberland) Ltd"/>
        <s v="Financial Escape Limited"/>
        <s v="Financial Foresight (NI) Limited"/>
        <s v="Financial Fortress Limited"/>
        <s v="Financial Framework Wealth &amp; Estate Planning Limited"/>
        <s v="Financial Goal Attainment Limited"/>
        <s v="Financial Independent Solutions Limited"/>
        <s v="Financial Life Planning Limited"/>
        <s v="Financial Management Bureau Limited"/>
        <s v="Financial Options (N.E.) Limited"/>
        <s v="Financial Planning (Wales) Ltd"/>
        <s v="Financial Planning Associates LLP"/>
        <s v="Financial Planning Concepts Ltd"/>
        <s v="Financial Planning Objectives Limited"/>
        <s v="Financial Planning Options Ltd"/>
        <s v="Financial Planning Partners Limited"/>
        <s v="Financial Planning Solutions Ltd"/>
        <s v="Financial Private Clients Limited"/>
        <s v="Financial Professionals (NI) Ltd"/>
        <s v="Financial Profiles Limited"/>
        <s v="Financial Prospects (N.I.) Ltd"/>
        <s v="Financial Relationships LLP"/>
        <s v="Financial Risk Management"/>
        <s v="Financial Solutions (Cheshire) Limited"/>
        <s v="Financial Solutions NI LLP"/>
        <s v="Financial Solutions SC Ltd"/>
        <s v="Financial Solutions Wales Ltd"/>
        <s v="Financial Strategies Limited"/>
        <s v="Financial Succession Limited"/>
        <s v="Financial Synergy Ltd"/>
        <s v="Financial Therapeutics UK Ltd"/>
        <s v="Financial Tracking &amp; Advice Limited"/>
        <s v="Financial Webb Ltd"/>
        <s v="Financially Prudent (Independent Financial Advisors) Limited"/>
        <s v="Find Peace of Mind Ltd"/>
        <s v="Finesco Financial Services Limited"/>
        <s v="Finli (FA92) Ltd"/>
        <s v="Finli (FLP) Ltd"/>
        <s v="Finli (G&amp;P) Ltd"/>
        <s v="Finli (GPGFS) Ltd"/>
        <s v="Finli (Thames Valley) Ltd"/>
        <s v="Finsgate LLP"/>
        <s v="Finsol Limited"/>
        <s v="Fintuity Limited"/>
        <s v="Firmus Financial Services Limited"/>
        <s v="Firmus Wealth Management Limited"/>
        <s v="First 4 Financial Planning Ltd"/>
        <s v="First Avenue Financial Ltd"/>
        <s v="First Call Financial Advice Limited"/>
        <s v="First Command Europe Ltd"/>
        <s v="First Equitable (UK) Ltd"/>
        <s v="First Equity Limited"/>
        <s v="First Global (UK) Limited"/>
        <s v="First Option"/>
        <s v="First Sentinel Corporate Finance Limited"/>
        <s v="First Service Financial Limited"/>
        <s v="First With Mortgages Limited"/>
        <s v="FirstBank UK Limited"/>
        <s v="Fiscal Engineers Limited"/>
        <s v="Fiscal Financial Planning Limited"/>
        <s v="Fiscale Financial Services Limited"/>
        <s v="Fisher Brown Financial Services Ltd"/>
        <s v="Fisher Investments Europe Limited"/>
        <s v="Fiske Plc"/>
        <s v="Fistic Ltd"/>
        <s v="Fitch Financial Associates Limited"/>
        <s v="Fitzallan Ltd"/>
        <s v="Five Point Consulting Limited"/>
        <s v="Fiveways Financial Planning Limited"/>
        <s v="Flagship Financial Consultants Ltd"/>
        <s v="Flamingo Capital Limited"/>
        <s v="Fleet Street Financial Limited"/>
        <s v="Fleming Court Financial Services LLP"/>
        <s v="Fleming Financial Ltd"/>
        <s v="Flemmings Financial Planning Limited"/>
        <s v="Fletcher Associates Financial Services Limited"/>
        <s v="Fletcher Davies Limited"/>
        <s v="Fletcher Investment Consultants Limited"/>
        <s v="Fletcher Shaw &amp; Co Ltd"/>
        <s v="Florins Pensions &amp; Investments Ltd"/>
        <s v="Flowers McEwan Limited"/>
        <s v="Flying Colours Advice Limited"/>
        <s v="FMS Sevenoaks LLP"/>
        <s v="Focus Financial Planning Ltd"/>
        <s v="Focus Investment Planning Limited"/>
        <s v="Focused Financial Limited"/>
        <s v="Focused Financial Services"/>
        <s v="Fogwill &amp; Jones Asset Management Ltd"/>
        <s v="Foinaven Asset Management Ltd"/>
        <s v="Footes Financial Planning UK Limited"/>
        <s v="Footman Sherwin Financial Services Limited"/>
        <s v="Forbes Wealth Ltd"/>
        <s v="Ford IFA Limited"/>
        <s v="Forecast Financial Planning Limited"/>
        <s v="Foresight Financial Planning Limited"/>
        <s v="Foresight Group LLP"/>
        <s v="ForeSight Independent Financial Planning Ltd"/>
        <s v="FOREST FINANCIAL PLANNING LIMITED"/>
        <s v="Forest Financial Services Ltd"/>
        <s v="Forgeron Financial Planning Ltd"/>
        <s v="Forgue Financial Services Ltd"/>
        <s v="Forrest Financial Management Limited"/>
        <s v="Forrester-Hyde Limited"/>
        <s v="Fort Financial Planning Ltd"/>
        <s v="Forte Financial Consultancy Ltd"/>
        <s v="Forth Capital Advisers Limited"/>
        <s v="Fortic Financial Services Ltd"/>
        <s v="Fortis Medical Finance Ltd"/>
        <s v="Fortitude Financial Planning Limited"/>
        <s v="Fortress Financial Services Limited"/>
        <s v="Fortuna Financial Planning Limited"/>
        <s v="Forvis Mazars Financial Planning Limited"/>
        <s v="Forward Plan IFA Limited"/>
        <s v="Foster Bourne Wealth Management Ltd"/>
        <s v="Foster Denovo Limited"/>
        <s v="Foundation Investment Management Limited"/>
        <s v="Founding Asset Management Limited"/>
        <s v="Four Seasons Financial Planning Ltd"/>
        <s v="Foursquare Financial Management Ltd"/>
        <s v="Fowler Drew Limited"/>
        <s v="FOX &amp; CO. FINANCIAL MANAGEMENT LIMITED"/>
        <s v="Fox Heritage Financial Services Limited"/>
        <s v="Fox Lifestyle Financial Planning Limited"/>
        <s v="Fox Whittle Financial Management Ltd"/>
        <s v="Fox-Davies Capital Limited"/>
        <s v="Foxbridge Independent Financial Solutions Limited"/>
        <s v="Foxbrook Wealth Management Limited"/>
        <s v="Foxgrove Associates Ltd"/>
        <s v="Foyle Financial Ltd"/>
        <s v="FPC Financial Services Ltd"/>
        <s v="FPG Financial Services LLP"/>
        <s v="Framling Wealth Ltd"/>
        <s v="Framtiden Wealth Ltd"/>
        <s v="Francis Clark Financial Planning Ltd"/>
        <s v="Francis John Hughes"/>
        <s v="Frank Corrigan &amp; Co. Limited"/>
        <s v="Frank Investments Limited"/>
        <s v="Franklin Davies (IFA) Ltd"/>
        <s v="Fraser Backhouse LLP"/>
        <s v="Fraser Finance Limited"/>
        <s v="FRASER SPY FINANCIAL SERVICES LIMITED"/>
        <s v="Fraser-Hann Financial Services Limited"/>
        <s v="Frazer James Ltd"/>
        <s v="Frederick Walters"/>
        <s v="Freedom Advice LLP"/>
        <s v="Freedom Financial Planning Ltd"/>
        <s v="Freedom Wealth LLP"/>
        <s v="Freeman Financial Services Limited"/>
        <s v="Frenkel Topping Limited"/>
        <s v="Fresh Perspective Financial Planning Ltd"/>
        <s v="Friar Gate Independent Financial Services Ltd"/>
        <s v="Fruition Financial Services Ltd"/>
        <s v="Fry Family Office Limited"/>
        <s v="FS247 Ltd"/>
        <s v="FSJC Ltd"/>
        <s v="FSS Wealth &amp; Pensions Ltd"/>
        <s v="Furnival Evans Limited"/>
        <s v="Furnley House Limited"/>
        <s v="Futura Investments Limited"/>
        <s v="Futura Wealth Management Ltd"/>
        <s v="Future Asset Management LLP"/>
        <s v="Future Directions Financial Services Limited"/>
        <s v="Future Financial Planning Ltd"/>
        <s v="Future First Financial Solutions Limited"/>
        <s v="Future Life Wealth Management Limited"/>
        <s v="Future Perfect Financial Planning (UK) Ltd"/>
        <s v="FUTURE PLANET CAPITAL (VENTURES) LIMITED"/>
        <s v="Future Planning Wealth Management Ltd"/>
        <s v="Future Start Independent Financial Planning Limited"/>
        <s v="FutureFocus Advisory Limited"/>
        <s v="Futures Assured Ltd"/>
        <s v="Futurity Financial Services Limited"/>
        <s v="Fyfe Financial Limited"/>
        <s v="G &amp; B Associates Independent Financial Advisers LLP"/>
        <s v="G &amp; E Wealth Management Ltd"/>
        <s v="G &amp; L Financial Solutions"/>
        <s v="G &amp; S Investment &amp; Mortgages Ltd"/>
        <s v="G.S. Lunnon &amp; Company Limited"/>
        <s v="G&amp;H Bell ( Life &amp; Pensions) Ltd"/>
        <s v="G10 Capital Limited"/>
        <s v="GA Hicks Associates Ltd"/>
        <s v="Gail Renshaw Independent Financial Adviser"/>
        <s v="Gale and Phillipson Investment Services Ltd"/>
        <s v="Gallagher (Administration &amp; Investment) Limited"/>
        <s v="Gallagher Risk &amp; Reward Limited"/>
        <s v="Galleon Wealth Management Limited"/>
        <s v="Gallium Fund Solutions Limited"/>
        <s v="GAM London Limited"/>
        <s v="Gamble Gaunt &amp; Mole LLP"/>
        <s v="Gardner Financial Management Ltd"/>
        <s v="Garstang Independent Financial Services Ltd"/>
        <s v="Garwood Wealth Management Limited"/>
        <s v="Gary A Egan Financial Services Ltd"/>
        <s v="Gary Bunkell"/>
        <s v="GATE CAPITAL GROUP LTD"/>
        <s v="Gatehouse-IFA Ltd"/>
        <s v="Gateway Financial Advisers (UK) Ltd"/>
        <s v="Gateway Investment Services Limited"/>
        <s v="Gaudium Associates Limited"/>
        <s v="Gavin Absolom Independent Financial Adviser Limited"/>
        <s v="Gavin Carr Financial Services Limited"/>
        <s v="Gavin Hathaway Investment Services"/>
        <s v="Gavin Porritt"/>
        <s v="GB &amp; Partners Limited"/>
        <s v="GBIM Limited"/>
        <s v="GDA Financial Partners LLP"/>
        <s v="GDC Associates"/>
        <s v="GE Capital Limited"/>
        <s v="GEE 7 WEALTH MANAGEMENT LIMITED"/>
        <s v="Geeson Financial Services Ltd"/>
        <s v="Gem &amp; Co Financial Services Limited"/>
        <s v="Gemini Financial Planning Ltd"/>
        <s v="Gemini Wealth Management Limited"/>
        <s v="Gemmell Financial Services Limited"/>
        <s v="Gemstone Wealth Ltd"/>
        <s v="Gencia Financial Services Ltd"/>
        <s v="Generation Financial Services Ltd"/>
        <s v="Generation Wealth Ltd"/>
        <s v="Genesis Financial Planning Limited"/>
        <s v="Genesis Wealth Management Limited"/>
        <s v="Genesis Wealth Strategies Ltd"/>
        <s v="Geneva Wealth Limited"/>
        <s v="Gent &amp; Craig Insurances Ltd"/>
        <s v="Geoff Mason Associates"/>
        <s v="Geoff Rowland"/>
        <s v="Geoffrey Craig Limited"/>
        <s v="George Ide LLP"/>
        <s v="George Square Financial Management Ltd"/>
        <s v="George Travis Ltd"/>
        <s v="Georgetown Wealth Management LLP"/>
        <s v="Geraint Rees"/>
        <s v="Gerald David Hussey"/>
        <s v="Gerald Mulhern"/>
        <s v="Gerald Pepper Financial Management Limited"/>
        <s v="Gerard Davis Financial Ltd"/>
        <s v="Gerrard Stuart Financial Services Limited"/>
        <s v="GH Financial Consultancy Limited"/>
        <s v="GHC Capital Markets Ltd"/>
        <s v="GHC Wealth Management Limited"/>
        <s v="Gibbons Associates Ltd"/>
        <s v="Gibbs Denley Financial Services Limited"/>
        <s v="Gibson Financial Planning Ltd"/>
        <s v="Gideon Kasler and Associates LLP"/>
        <s v="Gilbert Stephens Financial Services Ltd"/>
        <s v="Gildencrest Capital Limited"/>
        <s v="Giles Sanger"/>
        <s v="Giles Warren Financial Ltd"/>
        <s v="GilesSmith Wealth Management LLP"/>
        <s v="Giliker Flynn Independent Wealth Ltd"/>
        <s v="Gill &amp; Green Financial Planning Ltd"/>
        <s v="Gill Financial Services Limited"/>
        <s v="Gill Insurance &amp; Finance Consultants Ltd"/>
        <s v="Gilliland Neilson Brown Limited"/>
        <s v="Gillinghams Independent Financial Advisers Ltd"/>
        <s v="Girlings"/>
        <s v="GJS Wealth Management Ltd"/>
        <s v="GK Wealth Ltd"/>
        <s v="Glamis Limited"/>
        <s v="Glamorgan 1:1 Financial Limited"/>
        <s v="Glasgow Wealth Limited"/>
        <s v="Glebe Portman Ltd"/>
        <s v="Glennan Wealth Management Ltd"/>
        <s v="Glenrose Investment Ltd"/>
        <s v="Glenwin Hardy Limited"/>
        <s v="Global Advice Group Ltd"/>
        <s v="Global Leisure Partners LLP"/>
        <s v="Global WealthMAP Ltd"/>
        <s v="Globe Independent Financial Advisors Ltd"/>
        <s v="Globe Property Services Ltd"/>
        <s v="Glynneath Financial Services Limited"/>
        <s v="GM2 Ltd"/>
        <s v="GMB Portfolio Services Limited"/>
        <s v="GMP Independent Financial Advisers LLP"/>
        <s v="GMT Financial Solutions Limited"/>
        <s v="Gneiss Energy Limited"/>
        <s v="GNOSCO FINANCIAL PLANNING LTD"/>
        <s v="Goddard Perry Consulting Ltd"/>
        <s v="GoddardFry Wealth Management Limited"/>
        <s v="Godiva Wealth Management Limited"/>
        <s v="Goldcrest Financial Planning Ltd"/>
        <s v="Golden Gate IFA Ltd"/>
        <s v="Golden Oak Wealth Management Limited"/>
        <s v="Goldman Sachs Bank Europe SE"/>
        <s v="Goldman Sachs International"/>
        <s v="Goldsmith Financial Solutions"/>
        <s v="Goldstar Insurance Services Limited"/>
        <s v="Goldstone Wealth Management Ltd"/>
        <s v="Goldstraw Associates Limited"/>
        <s v="Good Green Money Limited"/>
        <s v="Goodmans Financial Planning Ltd"/>
        <s v="Goodwill Financial Services Limited"/>
        <s v="Goodwin Financial Services Limited"/>
        <s v="Gordian Financial Services Limited"/>
        <s v="Gordon MacLeod"/>
        <s v="Gordon Shepherd Associates Limited"/>
        <s v="Gosford Financial Services Ltd"/>
        <s v="Gowans Wealth Management Limited"/>
        <s v="Gower House Financial Ltd"/>
        <s v="GP Wealth Limited"/>
        <s v="GP3 Financial Solutions Ltd"/>
        <s v="GPIM Limited"/>
        <s v="GQ Independent Ltd"/>
        <s v="Gracechurch Financial Services Ltd"/>
        <s v="Gracechurch Wealth Management LLP"/>
        <s v="Graeme Beattie &amp; Carolyn Beattie"/>
        <s v="Grafton Court Wealth Management Limited"/>
        <s v="Grafton Wealth Management (UK) Limited"/>
        <s v="Graham Bacon Financial Solutions Limited"/>
        <s v="Graham Carter Financial Services Limited"/>
        <s v="Graham Grant IFA Limited"/>
        <s v="Grange Financial Planning Ltd"/>
        <s v="Grange Wealth Management Ltd"/>
        <s v="Grangewood Financial Management Ltd"/>
        <s v="Granite Financial Planning Ltd"/>
        <s v="Granite Financial Services (UK) Limited"/>
        <s v="Granite Financial Solutions Limited"/>
        <s v="Grant Thornton UK LLP"/>
        <s v="Granville James (Financial Planning) Ltd"/>
        <s v="Gratitude Financial Planning Limited"/>
        <s v="Gravel Hill Wealth Management LLP"/>
        <s v="Great British Finance Limited"/>
        <s v="Greaves West &amp; Ayre"/>
        <s v="Green Financial Advice Limited"/>
        <s v="Green Financial Planning Limited"/>
        <s v="Green Rose Financial Services Limited"/>
        <s v="Green Sky Wealth Limited"/>
        <s v="Green Wealth Management Ltd"/>
        <s v="Greenarch Wealth Management Limited"/>
        <s v="Greene Financial Services"/>
        <s v="Greenfields Financial Management Limited"/>
        <s v="Greenhill Wealth Management Limited"/>
        <s v="Greenland Financial Planning Limited"/>
        <s v="Greenspace Sustainable Financial Planning Ltd"/>
        <s v="Greentree Wealth Management Limited"/>
        <s v="Greenwood Financial Planning LLP"/>
        <s v="Greg Power Lifetime Financial Planning"/>
        <s v="Gregory White Associates Ltd"/>
        <s v="Grendon Independent Financial Services Limited"/>
        <s v="Gresham Financial Limited"/>
        <s v="Gresham Financial Strategies Ltd"/>
        <s v="Gresham Wealth Management (FS) Ltd"/>
        <s v="Greshams Independent Financial Advisors Limited"/>
        <s v="Grew Financial Services Limited"/>
        <s v="Greycoat Financial Services Limited"/>
        <s v="Greysmere Associates Limited"/>
        <s v="Greystone Financial Services Limited"/>
        <s v="Gribben &amp; Watt Financial Planning Limited"/>
        <s v="Grierson Dickens Ltd"/>
        <s v="Griersons Financial Ltd"/>
        <s v="Griffin Benedict Ltd"/>
        <s v="Griffin Wealth Management Limited"/>
        <s v="Griffin Wylde Limited"/>
        <s v="Griffins Financial Solutions Limited"/>
        <s v="Grindley Potter Limited"/>
        <s v="Grosvenor Beaumont Financial Services Limited"/>
        <s v="Grosvenor Birch Limited"/>
        <s v="Grosvenor Consultancy Limited"/>
        <s v="Grosvenor Corlett Bird Limited"/>
        <s v="Grosvenor Wealth Ltd"/>
        <s v="Grosvenor Wealth Management Limited"/>
        <s v="Grove Pension Solutions Limited"/>
        <s v="Grovebridge Financial Limited"/>
        <s v="Grovelands Financial Planning Ltd"/>
        <s v="GRS Financial Consultants Limited"/>
        <s v="GS Financial Services Limited"/>
        <s v="GSB Capital Ltd"/>
        <s v="GSI Wealth Management Limited"/>
        <s v="GSS Financial Planning Limited"/>
        <s v="GTM Financial (Rochester) Limited"/>
        <s v="Guardian Financial Planners Limited"/>
        <s v="Guardian Stockbrokers Ltd"/>
        <s v="Gunson and Co Independent Financial Advisers Ltd"/>
        <s v="GWM Asset Management Limited"/>
        <s v="H C I Financial Services Limited"/>
        <s v="H S Coleman (Insurance Services) Ltd"/>
        <s v="H V Financial Planning Ltd"/>
        <s v="H.L. Financial Limited"/>
        <s v="H.S.P. Financial Planning Limited"/>
        <s v="H&amp;D Wealth Limited"/>
        <s v="Habib Bank AG Zurich"/>
        <s v="Habib Bank Zurich Plc"/>
        <s v="Hagley Financial Planning Ltd"/>
        <s v="Halcyon Financial Planning Ltd"/>
        <s v="Halcyon Financial Solutions Limited"/>
        <s v="Halcyon Wealth UK Ltd"/>
        <s v="Haldon Financial Limited"/>
        <s v="Hale Wealth Management Limited"/>
        <s v="Halen Wealth Limited"/>
        <s v="Hall Financial Planners Ltd"/>
        <s v="Hall Financial Planning LLP"/>
        <s v="Hall Wealth LLP"/>
        <s v="Halliday Financial Guidance Limited"/>
        <s v="Hallmark Financial Planning Limited"/>
        <s v="Hallmark Independent Financial Advisers"/>
        <s v="Halo Invest Ltd"/>
        <s v="Halstead Independent Financial Management Limited"/>
        <s v="Halton Insurance Services Ltd"/>
        <s v="Halwyn Capital Ltd"/>
        <s v="Hambrook Financial Planning Limited"/>
        <s v="Hamdon Financial Services Ltd"/>
        <s v="Hamilton Financial (Scotland) Ltd"/>
        <s v="Hamish Leng &amp; Company Limited"/>
        <s v="Hammond Financial Planning Limited"/>
        <s v="Hammond Raggett &amp; Company Limited"/>
        <s v="HAMNETT WEALTH MANAGEMENT LIMITED"/>
        <s v="Hampshire Hill Group Limited"/>
        <s v="Hampstead Wealth Management Ltd"/>
        <s v="Hampton Ash 1993"/>
        <s v="Hampton Court Associates Financial Services LLP"/>
        <s v="Hampton Financial Services Ltd"/>
        <s v="Hanbury Wealth Management Ltd"/>
        <s v="Handelsbanken plc"/>
        <s v="Handelsbanken Wealth &amp; Asset Management Limited"/>
        <s v="Handheld Investments Limited"/>
        <s v="Hankley Financial Planning Ltd"/>
        <s v="Hanley Financial Consultants Ltd"/>
        <s v="Hanlon Kneller and Associates LLP"/>
        <s v="Hannah Consultancy Limited"/>
        <s v="Hannay Wealth LLP"/>
        <s v="Hanover Wealth Management Limited"/>
        <s v="Hansells Solicitors"/>
        <s v="Hansford Bell Financial Planning Ltd"/>
        <s v="Hanson Asset Management Limited"/>
        <s v="Harbour Financial LLP"/>
        <s v="HARBOUR ROCK CAPITAL LIMITED"/>
        <s v="Harcourt Financial Limited"/>
        <s v="Hardcastle Burton Financial Limited"/>
        <s v="Harding Financial Limited"/>
        <s v="Harding Roberts &amp; Company"/>
        <s v="Hardman &amp; Hamilton Financial Services Limited"/>
        <s v="Hargreaves &amp; Jones Limited"/>
        <s v="Hargreaves Lansdown Advisory Services Limited"/>
        <s v="Hargreaves Lansdown Asset Management Limited"/>
        <s v="Harkin Financial Services Ltd"/>
        <s v="Harmony Wealth Management Limited"/>
        <s v="Harney &amp; Co Independent Financial Advisers"/>
        <s v="Harold Stephens Ltd"/>
        <s v="Harold Wilson Financial Services Limited"/>
        <s v="Harpur Wealth Management Limited"/>
        <s v="Harrington &amp; Horne Financial Services Ltd"/>
        <s v="Harrington Wright &amp; Co"/>
        <s v="Harris Williams &amp; Co. Ltd"/>
        <s v="Harrison Brown Financial Services Ltd"/>
        <s v="Harrison Townend Financial Services Limited"/>
        <s v="Harrogate Wealth Management Limited"/>
        <s v="Harrold Financial Planning Limited"/>
        <s v="Harron Financial Limited"/>
        <s v="Harry Moore"/>
        <s v="Hartey Wealth Management Ltd"/>
        <s v="Hartley Ross Ltd"/>
        <s v="Hartmann Capital Limited"/>
        <s v="Hartsfield Financial Services Limited"/>
        <s v="Harvest Associates Ltd"/>
        <s v="Harvey Wickham"/>
        <s v="Harwood Financial Planning Limited"/>
        <s v="Hassium Asset Management LLP"/>
        <s v="Hathaway &amp; Cope (Life &amp; Pensions) Ltd"/>
        <s v="Hather Financial Services Limited"/>
        <s v="Haven Global Strategies Limited"/>
        <s v="Haven IFA Limited"/>
        <s v="Haven Protect Limited"/>
        <s v="Haverfords Limited"/>
        <s v="Hawfinch Financial Services Limited"/>
        <s v="Hawker and Palmer Wealth Management Limited"/>
        <s v="Hawksmoor Investment Management Ltd"/>
        <s v="Hawsons Wealth Management Limited"/>
        <s v="Hawthorn Financial Services (Wealth Management) Limited"/>
        <s v="Hay Hill Wealth Management Limited"/>
        <s v="Hayburn Rock Financial Planning Ltd"/>
        <s v="Hayden Kilkelly Independent Financial Advisors Limited"/>
        <s v="Hayman Watkin Davies Ltd"/>
        <s v="Haymarket Associates (IFA) LLP"/>
        <s v="Hayward Manning Limited"/>
        <s v="Haywood &amp; Co Financial Planning Limited"/>
        <s v="Hazel Consultancy Ltd"/>
        <s v="Hazelton Mountford Jefferies Limited"/>
        <s v="Hazlewoods Financial Planning LLP"/>
        <s v="HB Cranfield Wealth Management Limited"/>
        <s v="HB Dobbin Financial Planning Ltd"/>
        <s v="HB Financial Independence Ltd"/>
        <s v="HBL BANK UK LIMITED"/>
        <s v="HC WEALTH MANAGEMENT LIMITED"/>
        <s v="HCF Partnership Ltd"/>
        <s v="HCL Bank House Financial Services Ltd"/>
        <s v="HCR Independent Financial Advisers Limited"/>
        <s v="HDG Financial Services Ltd"/>
        <s v="HDH Investment Services Limited"/>
        <s v="Headley Financial Services Limited"/>
        <s v="Headstart Advisers Limited"/>
        <s v="Headstart Financial Planning Limited"/>
        <s v="Headway Wealth ltd"/>
        <s v="Heard Hamilton Financial Planning Ltd"/>
        <s v="Hearnden Associates Limited"/>
        <s v="Heath Crawford Financial Services LLP"/>
        <s v="Heather Macqueen Limited"/>
        <s v="Heaton Financial Independent Financial Advisers Limited"/>
        <s v="Hedgley Financial Services Ltd"/>
        <s v="Hedley &amp; Company Stockbrokers Limited"/>
        <s v="Hedley Asset Management Limited"/>
        <s v="Helm Godfrey Partners Ltd"/>
        <s v="Hemisphere Financial Limited"/>
        <s v="Hencilla Canworth Ltd"/>
        <s v="Henderson Employee Benefits Limited"/>
        <s v="Henderson Loggie Financial Planning Limited"/>
        <s v="Henderson Rowe Ltd"/>
        <s v="Henri James Wealth Ltd"/>
        <s v="Henry Davies Wealth Management Ltd"/>
        <s v="Henry F Dodds Wealth Management Limited"/>
        <s v="Henry Spain Investment Services Limited"/>
        <s v="Henson Aslam Financial Management LLP"/>
        <s v="Henson Crisp Ltd"/>
        <s v="Hentons Wealth Limited"/>
        <s v="Henwood Court Financial Planning Limited"/>
        <s v="Heptagon Capital LLP"/>
        <s v="Herbert &amp; Webster Ltd"/>
        <s v="Herbert Financial Services"/>
        <s v="Herbert Scott Ltd"/>
        <s v="Hereford Financial Services Ltd"/>
        <s v="Hereford Pension, Investment and Mortgage Centre LLP"/>
        <s v="Heritable Limited"/>
        <s v="Heritage Coast Asset Management ltd"/>
        <s v="Heritage Financial Limited"/>
        <s v="Heritage Financial Services (IW) Limited"/>
        <s v="Heritage Independent Financial Advisers Ltd"/>
        <s v="Heritage Independent Financial Consultancy Ltd"/>
        <s v="Heritage Wealth Solutions Ltd"/>
        <s v="Heron House Financial Management Limited"/>
        <s v="Heron Wealth Management Limited"/>
        <s v="Heronsgate Capital LLP"/>
        <s v="Herts Financial Services Limited"/>
        <s v="Hesketh Financial Planning Limited"/>
        <s v="Hestia Wealth"/>
        <s v="Hewitt Card (Financial Planning) Ltd"/>
        <s v="Hexagon Wealth Limited"/>
        <s v="Heywood Shepherd"/>
        <s v="HF WEALTH LTD"/>
        <s v="HFL Advisory Services Ltd"/>
        <s v="HFMC Asset Management Limited"/>
        <s v="HFMC Wealth Limited"/>
        <s v="HFMC Wealth Management Ltd"/>
        <s v="HFMC Wealth Partners LLP"/>
        <s v="HFS Milbourne Financial Services Limited"/>
        <s v="HG IFA Limited"/>
        <s v="HHPG Limited"/>
        <s v="Hibbins Financial Services"/>
        <s v="Hicks &amp; McNish LLP"/>
        <s v="High Peak Financial Planning Ltd"/>
        <s v="Highclere Financial Services Ltd"/>
        <s v="Highwood Financial Services"/>
        <s v="Hilborne House Ltd"/>
        <s v="Hill Financial Services (UK) Limited"/>
        <s v="Hill Oldridge Limited"/>
        <s v="Hills Insurance Services Ltd"/>
        <s v="Hilltop Finance Limited"/>
        <s v="Hilton Wordsworth Financial Services Ltd"/>
        <s v="Hinchliffe, Watts &amp; Wyatt Ltd"/>
        <s v="HK Wealth Managers Ltd"/>
        <s v="HKA (FS) Ltd"/>
        <s v="HL Financial Services Limited"/>
        <s v="HLSFM Ltd"/>
        <s v="HOBART CAPITAL MARKETS LLP"/>
        <s v="Hodgson Barrow (Financial Services) Limited"/>
        <s v="Hodsons Financial Services Limited"/>
        <s v="Holbein Partners LLP"/>
        <s v="Holborn Financial Limited"/>
        <s v="Holcombe Wealth Management Limited"/>
        <s v="Holden &amp; Co"/>
        <s v="Holder &amp; Combes Limited"/>
        <s v="Holistic Finance Ltd"/>
        <s v="Holistic Financial Advice Limited"/>
        <s v="Holistic Wealth Management Limited"/>
        <s v="Holland (Glasgow) Insurance Brokers Ltd"/>
        <s v="Holmes Independent Financial Advice Limited"/>
        <s v="Holroyd &amp; Co Wealth Management Limited"/>
        <s v="Holyoakes Group Ltd"/>
        <s v="Holyrood Asset Management Ltd"/>
        <s v="Home &amp; Finance IFA Limited"/>
        <s v="Home Counties Financial Services"/>
        <s v="Home Financial Consultants Limited"/>
        <s v="Home Matters Services Ltd"/>
        <s v="Homecroft Financial Management Limited"/>
        <s v="Homer &amp; Co LLP"/>
        <s v="Honest Wealth Management Ltd"/>
        <s v="Hood Financial Planning Limited"/>
        <s v="Hopton Advisers LLP"/>
        <s v="Hopwood Ash Limited"/>
        <s v="Horbury Financial Services Limited"/>
        <s v="Horizon Financial Planning Limited"/>
        <s v="Horizon Independent Financial Advisers Ltd"/>
        <s v="Horizon Wealth Management Limited"/>
        <s v="HORLOCK HOLDCROFT FINANCIAL CONSULTANTS LIMITED"/>
        <s v="Horton Kirby Financial Services Ltd"/>
        <s v="HOTTINGER &amp; CO. LIMITED"/>
        <s v="Houlihan Lokey UK Limited"/>
        <s v="House Independent Financial Advisers Ltd"/>
        <s v="Howard Evans Financial Services Ltd"/>
        <s v="Howard Financial Services Limited"/>
        <s v="Howard Muir Associates LLP"/>
        <s v="Howard Taylor Associates"/>
        <s v="Howard Wealth Management Limited"/>
        <s v="Howard Wright Ltd"/>
        <s v="Howarth Financial Limited"/>
        <s v="Howden Employee Benefits &amp; Wellbeing Limited"/>
        <s v="Howe Maxted Group Limited"/>
        <s v="Howlett Reid Wealth Management"/>
        <s v="Hoxton Capital Management (UK) Ltd"/>
        <s v="Hoxton Wealth (UK) Ltd"/>
        <s v="Hoyl Independent Advisers Ltd"/>
        <s v="HP Financial Services Limited"/>
        <s v="HPZ.3 Limited"/>
        <s v="HQN Financial Management Limited"/>
        <s v="HR Independent Financial Services Limited"/>
        <s v="HRI Investments Limited"/>
        <s v="HRS Asset Management Ltd"/>
        <s v="HSBC Bank Plc"/>
        <s v="HSBC Global Asset Management (UK) Limited"/>
        <s v="HSBC UK Bank Plc"/>
        <s v="HSD Independent Financial Advisors Ltd"/>
        <s v="HUB Financial Solutions Limited"/>
        <s v="Hubert Child Limited"/>
        <s v="Hugh Davies Associates Limited"/>
        <s v="Hugh James Solicitors"/>
        <s v="Hugh Pearson-Gregory"/>
        <s v="Hughes Carne Independent Financial Advisers Ltd"/>
        <s v="Hughes Firman Ovel Asset Management Ltd"/>
        <s v="Hulbert West Limited"/>
        <s v="Humboldt Financial Limited"/>
        <s v="Hume Capital Securities plc"/>
        <s v="Humphries IFA Ltd"/>
        <s v="Hundle &amp; Partners Limited"/>
        <s v="Hunter Hammond Daniel Associates Limited"/>
        <s v="Hunter Mills Limited"/>
        <s v="Huntington Ross Limited"/>
        <s v="Hurst Financial Consultancy Limited"/>
        <s v="Hutchinson Financial Management Limited"/>
        <s v="Hutchison &amp; White Limited"/>
        <s v="Huw Davies Independent Financial Adviser"/>
        <s v="Huw Watts Independent Financial Planning Ltd"/>
        <s v="HW Financial Services Limited"/>
        <s v="HWIFM Ltd"/>
        <s v="HWWA Consulting Limited"/>
        <s v="Hybrid Advice Central Limited"/>
        <s v="Hymans Robertson LLP"/>
        <s v="Hymans Robertson Personal Wealth LLP"/>
        <s v="Hynes Davis Limited"/>
        <s v="I F MACKINNON &amp; COMPANY LLP"/>
        <s v="I F S (SP) Limited"/>
        <s v="I For Change Ltd"/>
        <s v="I L Prebble &amp; Partners"/>
        <s v="I Planning Wealth Management Ltd"/>
        <s v="I.D. Bond Independent Financial Services Ltd"/>
        <s v="I.T. Associates Financial Planning Limited"/>
        <s v="IAC Financial Planning Ltd"/>
        <s v="Iain Brown"/>
        <s v="IAM Financial Services Ltd"/>
        <s v="Ian Blessed &amp; Co Independent Financial Consultants Ltd"/>
        <s v="Ian Buckley"/>
        <s v="Ian Gordon Financial Services (Scotland) LTD"/>
        <s v="Ian Harrison Independent Financial Services Limited"/>
        <s v="Ian Jeffrey Levey"/>
        <s v="Ian King Financial Planning Ltd"/>
        <s v="Ian O'Brien Limited"/>
        <s v="Ian St John Hendry"/>
        <s v="Ian Stevenson"/>
        <s v="IAS Financial Planning Ltd"/>
        <s v="IC Financial Planning Limited"/>
        <s v="ICBC Standard Bank Plc"/>
        <s v="Iceni Financial Advisers Limited"/>
        <s v="Ideal Financial Management Limited"/>
        <s v="Ideal Financial Solutions Ltd"/>
        <s v="IEP Financial Limited"/>
        <s v="IFA Consultants Limited"/>
        <s v="IFA Financial Services (UK) Limited"/>
        <s v="IFA. 1 Ltd"/>
        <s v="Ifamax Limited"/>
        <s v="IFP Associates Limited"/>
        <s v="IFPC Limited"/>
        <s v="IFS Family Wealth Advisers Ltd"/>
        <s v="IFS Financial Management Limited"/>
        <s v="IFS Wealth &amp; Pensions Ltd"/>
        <s v="IFT Wealth Management Ltd"/>
        <s v="IG Markets Limited"/>
        <s v="IIB Financial Services Ltd"/>
        <s v="IJS Financial Solutions Limited"/>
        <s v="Illiquidx Limited"/>
        <s v="ILM Financial Limited"/>
        <s v="ilumiti LLP"/>
        <s v="IM ASSET MANAGEMENT LIMITED"/>
        <s v="IMC Financial Services Ltd"/>
        <s v="IMIA Ltd"/>
        <s v="Impact Lens Financial Planning Limited"/>
        <s v="Impartial Financial Solutions Dundee LLP"/>
        <s v="Imperial Finance 23 Ltd"/>
        <s v="Imperial House Ltd"/>
        <s v="Imperial Independent Mortgage Services Ltd"/>
        <s v="Imperial Wealth Advisory Limited"/>
        <s v="Imperial Wealth International Ltd"/>
        <s v="Imperious Capital Limited"/>
        <s v="IMS Wealth Ltd"/>
        <s v="In Focus Asset Management &amp; Tax Solutions Limited"/>
        <s v="In2 Planning Limited"/>
        <s v="Incisive Wealth Strategies LLP"/>
        <s v="InCred Global Wealth Limited"/>
        <s v="Independence Assured Ltd"/>
        <s v="Independence Wealth Management Limited"/>
        <s v="Independent Advice Limited"/>
        <s v="Independent Benefit Consultancy Limited"/>
        <s v="Independent Choice"/>
        <s v="Independent Financial Advice 4 You LLP"/>
        <s v="Independent Financial Advice Bureau"/>
        <s v="Independent Financial Advice Bureau (Watford) LLP"/>
        <s v="Independent Financial Advice Bureau Limited"/>
        <s v="Independent Financial Advice Centre (Glasgow) Ltd"/>
        <s v="Independent Financial Advisor Ltd"/>
        <s v="Independent Financial Advisory Service Limited"/>
        <s v="Independent Financial Consultants Limited"/>
        <s v="Independent Financial Limited"/>
        <s v="Independent Financial Planning (Anglia) Ltd"/>
        <s v="Independent Financial Planning Limited"/>
        <s v="Independent Financial Services 4 You Ltd"/>
        <s v="Independent Financial Strategies Ltd"/>
        <s v="Independent First Limited"/>
        <s v="Independent Investment Associates Limited"/>
        <s v="Independent One-2-One Ltd"/>
        <s v="Independent Options Ltd"/>
        <s v="Independent Personal Financial Management Limited"/>
        <s v="Independent Professional Investments Limited"/>
        <s v="Independent Wealth Management (UK) LLP"/>
        <s v="Independent Wealth Management Consultants Ltd"/>
        <s v="Independently East Ltd"/>
        <s v="Index Financial Services Ltd"/>
        <s v="Indigo Financial Advice Limited"/>
        <s v="Ineo (UK) Limited"/>
        <s v="Infinite Financial Consultancy Ltd"/>
        <s v="Infinity Financial Planning Limited"/>
        <s v="Info4 Limited"/>
        <s v="Informed Choice (South West) Limited"/>
        <s v="Informed Choice Ltd"/>
        <s v="Informed Independent Financial Advisers Ltd"/>
        <s v="Informed Options Financial Planning Limited"/>
        <s v="Informed Wealth Management Ltd"/>
        <s v="Informed Wealth Strategies Ltd"/>
        <s v="ING Bank N.V."/>
        <s v="Ingard Independent Financial Management LLP"/>
        <s v="Ingenious Financial Solutions Limited"/>
        <s v="Ingenuity Financial Services Limited"/>
        <s v="Inglis Financial Advice Ltd"/>
        <s v="Ingoodshape Limited"/>
        <s v="Ink Employee Benefits Limited"/>
        <s v="Ink Financial Management Limited"/>
        <s v="Innes Reid Investments Limited"/>
        <s v="Insight Financial Associates Limited"/>
        <s v="Insight Wealth Financial Advisers Ltd"/>
        <s v="Insight Wealth Limited"/>
        <s v="Inspirational Financial Management Ltd"/>
        <s v="Inspire Financial Planning Limited"/>
        <s v="Inspire Wealth Ltd"/>
        <s v="Inspire Wealth Solutions Ltd"/>
        <s v="Inspired Financial Solutions Limited"/>
        <s v="Inspiring Wealth Limited"/>
        <s v="Integer Financial Management Ltd"/>
        <s v="Integra Capital Limited"/>
        <s v="Integra Financial Services Limited"/>
        <s v="Integral Advice Limited"/>
        <s v="Integral Financial Planning Limited"/>
        <s v="Integrated Financial Solutions Ltd"/>
        <s v="Integrated Wealth Management Ltd"/>
        <s v="Integritas Financial Advisers Limited"/>
        <s v="Integrity Asset Management Limited"/>
        <s v="Integrity Financial Management Ltd"/>
        <s v="Integrity Financial Planning Limited"/>
        <s v="Integrity Pensions &amp; Investments Ltd"/>
        <s v="Integrity Wealth Planning Ltd"/>
        <s v="Integrity Wealth Solutions Limited"/>
        <s v="Intelligence Wealth Management Ltd"/>
        <s v="Intelligent Capital Ltd"/>
        <s v="Intelligent Financial Advisory Ltd"/>
        <s v="Intelligent Pensions Ltd"/>
        <s v="Interactive Investor Services Limited"/>
        <s v="Interactive Wealth Management Limited"/>
        <s v="Interalpha Financial Planning Limited"/>
        <s v="INTERESTME FINANCIAL PLANNING LIMITED"/>
        <s v="Interface Financial Planning Ltd"/>
        <s v="Intrinsic Capital LLP"/>
        <s v="Inverness Financial Advice LLP"/>
        <s v="Invest India Limited"/>
        <s v="INVEST PROTECT INSURE FINANCIAL ADVICE LTD"/>
        <s v="Invest Southwest Ltd"/>
        <s v="Investacc Limited"/>
        <s v="Investax Limited"/>
        <s v="Investax Management LLP"/>
        <s v="Investec Wealth &amp; Investment Limited"/>
        <s v="Investengine (UK) Limited"/>
        <s v="Investing Ethically Ltd"/>
        <s v="Investing Ideas Ltd"/>
        <s v="Investment &amp; Financial Solutions Partnership LLP"/>
        <s v="Investment &amp; Mortgage Options Scotland Ltd"/>
        <s v="Investment &amp; Retirement Solutions Ltd"/>
        <s v="Investment and Tax Advisory Services Limited"/>
        <s v="Investment For Life Limited"/>
        <s v="Investment Partnership LLP"/>
        <s v="Investment Quorum Limited"/>
        <s v="Investment Risk Management Ltd"/>
        <s v="Investment Solutions Wealth Management Limited"/>
        <s v="Investment Technique Ltd"/>
        <s v="Investrium Ltd"/>
        <s v="Investwise Asset Management Ltd"/>
        <s v="Invicta Financial Services Ltd"/>
        <s v="Invicta Financial Solutions Ltd"/>
        <s v="Invictus IFA Limited"/>
        <s v="Iolaire Financial Limited"/>
        <s v="Iona Beesly Associates Limited"/>
        <s v="iPensions Wealth Limited"/>
        <s v="IPP Financial Services LLP"/>
        <s v="IPS Capital LLP"/>
        <s v="IPS Financial Solutions Limited"/>
        <s v="IpsoFacto Investor.Com Limited"/>
        <s v="IQ Financial Advice Ltd"/>
        <s v="Iridium Corporate Finance Limited"/>
        <s v="Iron Wealth Management Limited"/>
        <s v="IronMarket Ltd"/>
        <s v="Irwell Wealth Management Ltd"/>
        <s v="IS Independent Financial Advisers Ltd"/>
        <s v="ISACO Limited"/>
        <s v="ISF Solutions Ltd"/>
        <s v="Isio Wealth Planning Limited"/>
        <s v="Isis Financial Planners Limited"/>
        <s v="ISJ INDEPENDENT FINANCIAL PLANNING LIMITED"/>
        <s v="Islandbridge Capital Ltd"/>
        <s v="ISM Wealth Planning LLP"/>
        <s v="ITI Capital Limited"/>
        <s v="Itineris Solutions Ltd"/>
        <s v="IUR Capital Ltd"/>
        <s v="Ives &amp; Co Financial Services Limited"/>
        <s v="Ivor Jones &amp; Co. Ltd."/>
        <s v="IWC Financial Ltd"/>
        <s v="iWealth Financial Ltd"/>
        <s v="IWP ADVISORY SERVICES LIMITED"/>
        <s v="IWP Financial Planning Limited"/>
        <s v="J &amp; E Davy (UK) Limited"/>
        <s v="J &amp; P Financial Services Limited"/>
        <s v="J Clarke &amp; Co Ltd"/>
        <s v="J H Lowson &amp; Company Limited"/>
        <s v="J Illingworth &amp; Co Limited"/>
        <s v="J Kempson Associates Limited"/>
        <s v="J M Finn &amp; Co Ltd"/>
        <s v="J M G Independent Financial Advisers"/>
        <s v="J M Taylor Financial Services Limited"/>
        <s v="J M Wakeling Independent Financial Advisers Ltd"/>
        <s v="J S Jones IFA Limited"/>
        <s v="J W Hickinson &amp; Co"/>
        <s v="J. Edward Sellars &amp; Partners Limited"/>
        <s v="J.P. Morgan SE"/>
        <s v="J.R. Edwards Financial Limited"/>
        <s v="J.R. Pritchard Financial &amp; Assurance Consultants"/>
        <s v="J.S.P. Financial Services Limited"/>
        <s v="Jack Lawrence Insurance &amp; Financial Services"/>
        <s v="Jackson (Life &amp; Pensions) Limited"/>
        <s v="Jackson Financial Planning Limited"/>
        <s v="Jackson Jeffrey Financial Services Limited"/>
        <s v="Jacobs and Harris Limited"/>
        <s v="Jade Independent Financial Advisors Limited"/>
        <s v="James &amp; Associates Financial Services Ltd"/>
        <s v="James &amp; James Financial Advisers Limited"/>
        <s v="James Anderson Barr t/a Anderson Barr Consultants"/>
        <s v="James Brewster Financial Services Limited"/>
        <s v="James Chadwick and Associates"/>
        <s v="James Cunningham"/>
        <s v="James Gregory Financial Limited"/>
        <s v="James Hair Group Ltd"/>
        <s v="James Hambro &amp; Partners LLP"/>
        <s v="James Irvine Financial Planning Limited"/>
        <s v="James Murray Associates Limited"/>
        <s v="James Patrick Kehoe"/>
        <s v="James Robertson"/>
        <s v="James Sharp &amp; Co LLP"/>
        <s v="James Sheldon Hall"/>
        <s v="James Stratten Financial Planning Limited"/>
        <s v="James Young Associates Ltd"/>
        <s v="Jamie Buchan Wealth Management Limited"/>
        <s v="Jamieson Christie Wealth Management Limited"/>
        <s v="Jamieson Corporate Finance LLP"/>
        <s v="Jan Kazimierz Pietruszka"/>
        <s v="Jan Oliff Financial Planning Limited"/>
        <s v="Jane Newman Financial Planning Ltd"/>
        <s v="Jane Smith Financial Planning Limited"/>
        <s v="Janus Financial Consultancy Limited"/>
        <s v="Jason Ball"/>
        <s v="JB Financial Advice Ltd"/>
        <s v="JB Wealth Management Limited"/>
        <s v="JC Roxburgh (Financial Services) Limited"/>
        <s v="jch investment management limited"/>
        <s v="JD Financial Planning Ltd"/>
        <s v="JDB Life Ltd"/>
        <s v="JDL Wealth Management Limited"/>
        <s v="JDW Wealth Management Ltd"/>
        <s v="Jefferies International Ltd"/>
        <s v="Jellings Dalton Investments Limited"/>
        <s v="JEM Financial Planning Ltd"/>
        <s v="Jenkins Financial Advisers Limited"/>
        <s v="Jennings Wealth Management Ltd"/>
        <s v="Jenny Lomas"/>
        <s v="JENSON FUNDING PARTNERS LLP"/>
        <s v="Jeremy Kaye Portfolio Management Limited"/>
        <s v="Jeremy Naylor"/>
        <s v="Jerroms Financial Planning LTD"/>
        <s v="Jeston Insurance Brokers Limited"/>
        <s v="Jewell &amp; Petersen Ltd"/>
        <s v="JFP Financial Services Ltd"/>
        <s v="JFS Cheltenham Limited"/>
        <s v="JGP Financial Services LLP"/>
        <s v="JH Family Office Ltd"/>
        <s v="Jigsaw Corporate Financial Management Limited"/>
        <s v="Jigsaw Financial Planning Limited"/>
        <s v="JJW Financial Planning Limited"/>
        <s v="JKFS (UK) Ltd"/>
        <s v="JLS ASSOCIATES INDEPENDENT FINANCIAL ADVISERS LIMITED"/>
        <s v="JLW Financial Solutions Ltd"/>
        <s v="JM Financial Consultancy Limited"/>
        <s v="JM Financial Planning Ltd"/>
        <s v="JM Independent Financial Advisers Ltd"/>
        <s v="JMC Financial Services Limited"/>
        <s v="JMF Advisory Ltd"/>
        <s v="JN &amp; E Capstick Financial Services Ltd"/>
        <s v="JNH Wealth Management Limited"/>
        <s v="John Andrew James"/>
        <s v="John Atkinson"/>
        <s v="John Barrett Financial Services Limited"/>
        <s v="John Butters IFA"/>
        <s v="John Christopher Kinch"/>
        <s v="John Davies Investment and Mortgage Services LLP"/>
        <s v="John Eames Limited"/>
        <s v="John F Whippy &amp; Company Limited"/>
        <s v="John Fachiri Ltd"/>
        <s v="John Gaughran"/>
        <s v="John Gaulton Independent Financial Advisors"/>
        <s v="John Joseph Financial Services Limited"/>
        <s v="John Kirkpatrick"/>
        <s v="John Milne"/>
        <s v="John Mitchell Financial Advisers Ltd"/>
        <s v="John Morrison"/>
        <s v="John Murphy Financial Management Limited"/>
        <s v="John Patrick Financial Services Limited"/>
        <s v="John Paul Fahy"/>
        <s v="John Phillips Financial Planning LLP"/>
        <s v="John Roddick &amp; Son"/>
        <s v="John Rolfe Financial Services Limited"/>
        <s v="John Tamblin Financial Services Ltd"/>
        <s v="John Timoney"/>
        <s v="John Whittenbury Financial Services Limited"/>
        <s v="John Yuille Financial Services Ltd"/>
        <s v="Johnson Fleming Limited"/>
        <s v="Johnson Gibbs"/>
        <s v="Johnsons"/>
        <s v="Johnston Campbell Ltd"/>
        <s v="Johnston Carmichael Wealth Limited"/>
        <s v="Johnston Financial Limited"/>
        <s v="Johnston Kennedy"/>
        <s v="Johnstone and Co Financial Services Limited"/>
        <s v="Jon Houghton Limited"/>
        <s v="Jonathan Blake Money Management Limited"/>
        <s v="Jonathan Bradnick"/>
        <s v="Jonathan Davis Wealth Management Ltd"/>
        <s v="Jonathan Knight"/>
        <s v="Jonathan Richards Financial Consultancy Ltd"/>
        <s v="Jones &amp; Co Advisers Limited"/>
        <s v="Jones Cooper Wealth Management Limited"/>
        <s v="Jones Financial (Norwich) Limited"/>
        <s v="Joosten Financial Planning Ltd"/>
        <s v="Jordan Financial Management Ltd"/>
        <s v="Joseph John McKenna"/>
        <s v="Joseph R Lamb Independent Financial Advisers Limited"/>
        <s v="Joslin Rhodes Lifestyle Financial Planning Limited"/>
        <s v="JP Maxwell Financial Management Ltd"/>
        <s v="JPA Financial Services Ltd"/>
        <s v="JPB Financial Planning Ltd"/>
        <s v="JPM Asset Management Limited"/>
        <s v="JPM Insurance Advisers Limited"/>
        <s v="JPRS (South West) Limited"/>
        <s v="JRG Financial Planning Limited"/>
        <s v="JT Financial Management Limited"/>
        <s v="JTM Financial Services Limited"/>
        <s v="Julia Williams Financial Planning Ltd"/>
        <s v="Julian Harris Financial Consultants"/>
        <s v="Julian Oates"/>
        <s v="Julius Baer International Limited"/>
        <s v="Juniper Wealth Management Limited"/>
        <s v="Jupp Castle Financial Services Limited"/>
        <s v="Just Financial Group Ltd"/>
        <s v="Just Financial Planning Ltd"/>
        <s v="Just Investment Strategies Ltd"/>
        <s v="Justin Heaton Limited"/>
        <s v="Justyn Grant Ltd"/>
        <s v="JW Finance Ltd"/>
        <s v="JWA Financial Planning Ltd"/>
        <s v="JWC Financial Solutions Ltd"/>
        <s v="JXG Wealth Limited"/>
        <s v="K &amp; M Financial Advisors Limited"/>
        <s v="K &amp; S Financial Management Limited"/>
        <s v="K F Harty Financial Management Ltd"/>
        <s v="K G J Insurance Brokers (Stourbridge) Limited"/>
        <s v="K M Financial Consultants (Wessex) Ltd"/>
        <s v="K. D. R. Financial Services"/>
        <s v="K.A. Ripley, Esq."/>
        <s v="Kalkine Limited"/>
        <s v="Kamal Uddin"/>
        <s v="Kapwealth Limited"/>
        <s v="Karen Richardson Financial Services Limited"/>
        <s v="Kassius Ltd"/>
        <s v="Kate Philip"/>
        <s v="Kate Talbot Financial Planning Limited"/>
        <s v="Kathryn Priestley"/>
        <s v="KBC Bank NV"/>
        <s v="KBS CAPITAL MARKETS LIMITED"/>
        <s v="KCM Wealth Management Ltd"/>
        <s v="KD Wright Financial Services Limited"/>
        <s v="Keey Partners Limited"/>
        <s v="Keightley Pattison Financial Management Limited"/>
        <s v="Keith Bayley Rogers &amp; Co Limited"/>
        <s v="Keith George Lilley"/>
        <s v="Keith Higginson Financial Services Limited"/>
        <s v="Keith Montgomery Associates Limited"/>
        <s v="Keith Parr"/>
        <s v="Keith Stockdale and Company Limited"/>
        <s v="Kellands (Bristol) Limited"/>
        <s v="Kellands (Gloucester) Limited"/>
        <s v="Kellands (Hale) Limited"/>
        <s v="Kelly Financial Management"/>
        <s v="Kelsall Steele Investment Services Limited"/>
        <s v="Kelvin Financial Planning Limited"/>
        <s v="Kelvin Jenkins"/>
        <s v="Kelvin Smith Financial Planning Ltd"/>
        <s v="Ken Nairn Limited"/>
        <s v="Kendar Advisors Ltd"/>
        <s v="Kenley Financial Limited"/>
        <s v="Kennet Financial Services LLP"/>
        <s v="Kenneth Alan Partnership Financial Services"/>
        <s v="Kenneth Brewster"/>
        <s v="Kensington Place Research Ltd"/>
        <s v="Kent Insurance Services Ltd"/>
        <s v="Kent Soper Life &amp; Pensions Limited"/>
        <s v="Kenyon Clarke Financial Services Ltd"/>
        <s v="Kernow Financial Planning Ltd"/>
        <s v="Kerr Henderson (Financial Services) Limited"/>
        <s v="Kerswell Stone &amp; Company"/>
        <s v="Kevin Adams"/>
        <s v="Kevin Barnes"/>
        <s v="Kevin Benstead IFA Limited"/>
        <s v="Kevin Chalk"/>
        <s v="Kevin Gates"/>
        <s v="Kevin James Smith Wealth Managers LLP"/>
        <s v="Key 2 Financial Solutions Ltd"/>
        <s v="Key Financial Planning Ltd"/>
        <s v="Key Wealth Management Limited"/>
        <s v="Keyline Financial Solutions Limited"/>
        <s v="Keymer Haslam &amp; Co"/>
        <s v="Keystone Financial Ltd"/>
        <s v="Keyte Limited"/>
        <s v="KFP Investment Solutions Limited"/>
        <s v="KHEPRI ADVISERS LIMITED"/>
        <s v="Kieron John Bassett"/>
        <s v="Kilgour Wealth Management Limited"/>
        <s v="Killik &amp; Co LLP"/>
        <s v="Killimore Financial Management Limited"/>
        <s v="Kim Bayliss Wealth Management Limited"/>
        <s v="Kimberley Financial Services"/>
        <s v="Kimbolton Financial Planning Limited"/>
        <s v="Kinetic Private Investments Limited"/>
        <s v="King &amp; Co Financial Services Limited"/>
        <s v="King &amp; Shaxson Asset Management Limited"/>
        <s v="King's Court Financial Planning LLP"/>
        <s v="Kingdom Financial Services Limited"/>
        <s v="Kingdom Investments Management Limited"/>
        <s v="Kingfisher Finance Limited"/>
        <s v="Kingfisher Independent Financial Planning LLP"/>
        <s v="KINGFURNESS &amp; ASSOCIATES LIMITED"/>
        <s v="Kings Park Financial Management (Scotland) Ltd"/>
        <s v="Kingsbridge Wealth Management Ltd"/>
        <s v="Kingsfleet Wealth Limited"/>
        <s v="Kingsley Financial Consulting Limited"/>
        <s v="Kingston Independent Financial Services Ltd"/>
        <s v="Kingston PTM Limited"/>
        <s v="Kingstons Wealth Management Limited"/>
        <s v="Kingswood Financial Advisors"/>
        <s v="Kingswood Law IFA Limited"/>
        <s v="Kingswood Wealth Management Ltd"/>
        <s v="Kippax Financial Services Ltd"/>
        <s v="KIRBY THOMAS &amp; CO (IFA) LTD"/>
        <s v="Kirk Newsholme Financial Planning Limited"/>
        <s v="Kirk Rice LLP"/>
        <s v="Kirkpatrick Kennedy"/>
        <s v="Kirrage Williams Limited"/>
        <s v="Kishore A. Shah Insurance Consultant"/>
        <s v="Kliskey Independent Financial Services Limited"/>
        <s v="KLO Financial Services Ltd"/>
        <s v="KM Financial Solutions LLP"/>
        <s v="KMD Private Wealth Management Limited"/>
        <s v="KMG Independent Limited"/>
        <s v="KMG Investment Management Limited"/>
        <s v="KML Financial Services Limited"/>
        <s v="KNFM Ltd"/>
        <s v="KNG Financial Management LLP"/>
        <s v="Knight James Associates Ltd"/>
        <s v="Knightsbridge Wealth Management (NI) Ltd"/>
        <s v="Knightsgate Wealth Management Ltd"/>
        <s v="Know Your Number Limited"/>
        <s v="Kotak Mahindra (UK) Limited"/>
        <s v="KP Wealth Ltd"/>
        <s v="KPMG LLP"/>
        <s v="KPW Investments LLP"/>
        <s v="KRD Financial Advisers Limited"/>
        <s v="Kroll Securities Ltd"/>
        <s v="KSM Associates Independent Financial Advisers Limited"/>
        <s v="Kubera Wealth Ltd"/>
        <s v="Kudos Financial Consultancy"/>
        <s v="Kusal Ariyawansa"/>
        <s v="KUWAIT FINANCE HOUSE PLC"/>
        <s v="Kvika Securities Ltd"/>
        <s v="KW Investment Management Limited"/>
        <s v="KW Wealth Planning Limited"/>
        <s v="Kyle Consulting Ltd"/>
        <s v="Kyle Insurance and Financial Services LLP"/>
        <s v="KYMIN FINANCIAL SERVICES LIMITED"/>
        <s v="L G Keeley (Life and Pensions) Limited"/>
        <s v="L-Life Limited"/>
        <s v="La Bourse Limited"/>
        <s v="Lacomp Plc"/>
        <s v="Lairgate Financial Ltd"/>
        <s v="Laithwaite Financial Services Limited"/>
        <s v="Lakenwest Ltd"/>
        <s v="Lakewood Financial Services Ltd"/>
        <s v="Lamb and Associates Independent Financial Planning Ltd"/>
        <s v="Lamont Pridmore Asset and Wealth Management Limited"/>
        <s v="Lampiers Financial Planning Ltd"/>
        <s v="Lancashire Financial Services Limited"/>
        <s v="Lancett &amp; Co Limited"/>
        <s v="Landmark Financial Limited"/>
        <s v="Landmark IFA Limited"/>
        <s v="Lane Financial Management Limited"/>
        <s v="Lang Financial Scotland Limited"/>
        <s v="Langbourn Limited"/>
        <s v="Langham Associates Limited"/>
        <s v="Langham Financial Management Ltd"/>
        <s v="Langholm Dalton LLP"/>
        <s v="Langton Capital Ltd"/>
        <s v="Lann Finance Limited"/>
        <s v="Lanner Capital Limited"/>
        <s v="Lansdowne Woodward Financial Services Limited"/>
        <s v="Lanyon Financial Planning Limited"/>
        <s v="Larcomes Financial Services Limited"/>
        <s v="Later Life Asset Management Limited"/>
        <s v="Later Life Matters Ltd"/>
        <s v="Latham Independent Finance"/>
        <s v="Lathe &amp; Co Wealth Advisers Ltd"/>
        <s v="Latimer Financial Services Ltd"/>
        <s v="Lauder Financial Limited"/>
        <s v="Laurel Court Associates Limited"/>
        <s v="Laurence Anthony Associates"/>
        <s v="Laurent Wealth Management Limited"/>
        <s v="Laver Wealth Management Limited"/>
        <s v="Law Society (NI) Financial Advice Limited"/>
        <s v="LawlerDavis Independent Financial Planners Limited"/>
        <s v="Lawrence Dawson &amp; Co. Limited"/>
        <s v="Lawrence Sheridan Millar"/>
        <s v="Lawson and Fern Ltd"/>
        <s v="Lawson Financial Management"/>
        <s v="Lawton &amp; Taylor Financial Services Limited"/>
        <s v="Lazenbys Financial Services Limited"/>
        <s v="LBFA Limited"/>
        <s v="LCH Wealth Ltd"/>
        <s v="LCM FAMILY LIMITED"/>
        <s v="Leabold Financial Management Ltd"/>
        <s v="Leadenhall Wealth Management Ltd"/>
        <s v="Leading Edge Wealth Planning Ltd"/>
        <s v="Leagold Limited"/>
        <s v="LEBC Group Limited"/>
        <s v="Ledingham Chalmers Financial Limited"/>
        <s v="Lee Financial Planning Limited"/>
        <s v="Lee Neatis Financial Services Ltd"/>
        <s v="Lee Strathy Limited"/>
        <s v="Lee Wealth Management Ltd"/>
        <s v="Leeburn Financial Planning (NI) Limited"/>
        <s v="Legacy / CKS"/>
        <s v="Legacy Financial Solutions Limited"/>
        <s v="Legacy Wealth Management Limited"/>
        <s v="Legal &amp; Financial Planning Limited"/>
        <s v="Legal &amp; General (Portfolio Management Services) Ltd"/>
        <s v="Legal &amp; Medical Investments Ltd"/>
        <s v="Legal and General Financial Advice Limited"/>
        <s v="Legalwebb UK Ltd"/>
        <s v="Leo Alexander Wealth &amp; Financial Management Limited"/>
        <s v="Leodis Wealth Limited"/>
        <s v="Leven Wealth Management Limited"/>
        <s v="Lewis &amp; Co (Investments &amp; Pensions) Limited"/>
        <s v="Lewis Christopher Limited"/>
        <s v="Lewis-Jones Financial Management Limited"/>
        <s v="Lexden Wealth Management Limited"/>
        <s v="Lexington Wealth Management Ltd"/>
        <s v="LFP Financial Planning &amp; Wealth Management Limited"/>
        <s v="LFP Limited"/>
        <s v="LFS &amp; Partners Limited"/>
        <s v="LGB &amp; CO. LIMITED"/>
        <s v="LGT Bank AG"/>
        <s v="LGT Wealth Management UK LLP"/>
        <s v="LGT Wealth Management US Limited"/>
        <s v="LIA Wealth Advisers Limited"/>
        <s v="Liberate Wealth Limited"/>
        <s v="Liberate Wealth Solutions Limited"/>
        <s v="Libertas Wealth Management Ltd"/>
        <s v="Liberty Bishop Financial Services Ltd"/>
        <s v="Liberty Partnership Limited"/>
        <s v="Libra Financial Planning Limited"/>
        <s v="LIFA (UK) Limited"/>
        <s v="Life Bridging and Commercial Solutions Limited"/>
        <s v="Life Insurance Corporation of India"/>
        <s v="Life Map Limited"/>
        <s v="Life Matters Financial Planning Ltd"/>
        <s v="Life Planning Ltd"/>
        <s v="Lifeplan Financial Management Limited"/>
        <s v="LifePlanning Solutions"/>
        <s v="Lifestages Ltd"/>
        <s v="Lifestyle (Glamorgan) Limited"/>
        <s v="Lifestyle Financial Choices Limited"/>
        <s v="Lifestyle Financial Services (Droitwich) Limited"/>
        <s v="Lifestyle Pensions and Investments Ltd"/>
        <s v="Lifestyle Wealth Management Ltd"/>
        <s v="Lifetime Financial Advisers Ltd."/>
        <s v="Lifetime Financial Consulting Ltd"/>
        <s v="Lifetime Financial Management Intermediaries Ltd"/>
        <s v="Lifetime Financial Solutions (Yorkshire) Limited"/>
        <s v="Lifetime Wealth Ltd"/>
        <s v="Lifewing Consultants Limited"/>
        <s v="LIFT-Advice Ltd"/>
        <s v="LIFT-Financial Ltd"/>
        <s v="Light Cason Associates Limited"/>
        <s v="Lightblue U.K. Limited"/>
        <s v="Lighthouse Advisory Services Limited"/>
        <s v="Lighthouse Financial Planning Ltd"/>
        <s v="Lincoln Financial Services Ltd"/>
        <s v="Lincoln International LLP"/>
        <s v="Lincoln Private Investment Office LLP"/>
        <s v="Lincolnshire Independent Financial Advisers Ltd"/>
        <s v="Lindley Financial Management Ltd"/>
        <s v="Lindsay Lockett Financial Guidance Ltd"/>
        <s v="Linear Financial Management Ltd"/>
        <s v="Lionel David Eustace Thomas"/>
        <s v="Lionmede Wealth Management Ltd"/>
        <s v="Littlewell Financial Management Limited"/>
        <s v="Live Smart Financial Planning Limited"/>
        <s v="Liverpool Victoria Financial Advice Services Limited"/>
        <s v="LK Asset Management LLP"/>
        <s v="Lloyd &amp; Co Financial Planning Ltd"/>
        <s v="Lloyd and Whyte (Financial Services) Limited"/>
        <s v="Lloyd O'Sullivan Financial Services Ltd"/>
        <s v="Lloyd Vine Limited"/>
        <s v="Lloyds Bank Corporate Markets Plc"/>
        <s v="Lloyds Bank PLC"/>
        <s v="Lloyds Independent Financial Planning Limited"/>
        <s v="Lloyds Independent Financial Services"/>
        <s v="LMJ Financial Management Ltd"/>
        <s v="Lockhart Consultancy Ltd"/>
        <s v="Lodge Financial Advice Ltd"/>
        <s v="Logic Financial Services Ltd"/>
        <s v="Logic Wealth Planning Limited"/>
        <s v="Logical Financial Advice Limited"/>
        <s v="Logical Financial Planning Ltd"/>
        <s v="Logicos Financial Planning Limited"/>
        <s v="Lombard Odier (Europe) S.A."/>
        <s v="Lomond Financial Management Group Ltd"/>
        <s v="London &amp; Eastern LLP"/>
        <s v="London and Capital Asset Management Limited"/>
        <s v="London and Capital Wealth Advisers Limited"/>
        <s v="London Bridge Capital Limited"/>
        <s v="London Court Limited"/>
        <s v="London Financial Consultants Limited"/>
        <s v="London International Corporation Limited"/>
        <s v="London Investment Management Limited"/>
        <s v="London Premier Wealth Management Limited"/>
        <s v="London Private Wealth Limited"/>
        <s v="London Stone Securities Limited"/>
        <s v="London Wall Partners LLP"/>
        <s v="London Wealth Management Limited"/>
        <s v="Long Row Wealth Advisory Limited"/>
        <s v="Long-Term Capital Partners Limited"/>
        <s v="Longbon &amp; Co Ltd"/>
        <s v="Longhurst Limited"/>
        <s v="Longley Asset Management Ltd"/>
        <s v="Longton FS LLP"/>
        <s v="Lonsdale Financial Consulting Ltd"/>
        <s v="Lonsdale Services Ltd"/>
        <s v="Loraine Marsh"/>
        <s v="Lord Clarke Limited"/>
        <s v="Lotus Benefit Consultants Limited"/>
        <s v="Louise Atkinson"/>
        <s v="Loveday &amp; Partners Limited"/>
        <s v="Lovewell Blake Financial Planning Limited"/>
        <s v="Lowes Financial Management Limited"/>
        <s v="Lowland Financial Services Limited"/>
        <s v="Lowndes Halsden &amp; Partners Limited"/>
        <s v="Lowry Shuker Financial Planning Limited"/>
        <s v="LR Financial Services Ltd"/>
        <s v="LTI Wealth Management Ltd"/>
        <s v="Lubbock Fine Wealth Management LLP"/>
        <s v="Lucas Fettes &amp; Partners (Financial Services) Limited"/>
        <s v="Lucent Financial Planning Ltd"/>
        <s v="Lucus Wealth Ltd"/>
        <s v="Ludgate Investments Limited"/>
        <s v="Ludice Wealth Management Ltd"/>
        <s v="Ludlow Wealth Management Group Ltd"/>
        <s v="Lumen Financial Planning Limited"/>
        <s v="Lumin Wealth Limited"/>
        <s v="Lumin Wealth Management Limited"/>
        <s v="Lumley Baxter Asset Management LLP"/>
        <s v="Lumon Risk Management Ltd"/>
        <s v="Lumwood Financial Planning Limited"/>
        <s v="LUXE CAPITAL FINANCIAL SERVICES LIMITED"/>
        <s v="LWM Consultants Limited"/>
        <s v="LWM LLP"/>
        <s v="LWM10 LTD"/>
        <s v="Lycetts Financial Services Limited"/>
        <s v="Lynas Vokes Investments Ltd"/>
        <s v="Lynch Wealth Management Ltd"/>
        <s v="Lyncombe Consultants Limited"/>
        <s v="Lyndhurst Financial Management Limited"/>
        <s v="Lyon &amp; Co LLP"/>
        <s v="Lytton Financial Limited"/>
        <s v="M &amp; D Financial Management Limited"/>
        <s v="M &amp; H Financial Planning Ltd"/>
        <s v="M &amp; M Financial Services Ltd"/>
        <s v="M &amp; N Insurance Service Ltd"/>
        <s v="M A C Financial Services Limited"/>
        <s v="M B Financial Planning Limited"/>
        <s v="M B Smith &amp; Co Ltd"/>
        <s v="M G Norman &amp; Co Ltd"/>
        <s v="M G Shaw (UK) Limited"/>
        <s v="M Hunter &amp; Co Limited"/>
        <s v="M J KENDAL"/>
        <s v="M. Reynolds Financial Solutions Limited"/>
        <s v="M.A.G. Financial Services Limited"/>
        <s v="M.R. Financial Services Ltd"/>
        <s v="M&amp;G Wealth Advice Limited"/>
        <s v="M3 Financial Solutions Limited"/>
        <s v="M4 Financial Group Limited"/>
        <s v="Mac Kotecha &amp; Company"/>
        <s v="MacArthur Denton Asset Management Limited"/>
        <s v="Macaulay Edwards Independent Financial Consultants Limited"/>
        <s v="MacBeth Currie Financial Services Limited"/>
        <s v="MacBeth, Scott &amp; Company Life &amp; Pensions Services Limited"/>
        <s v="Macdonalds Independent Financial Advisers Limited"/>
        <s v="MacIntosh James and Partners Limited"/>
        <s v="MacIntyre Hudson Corporate Finance Ltd"/>
        <s v="Mackay Hall Financial Services Limited"/>
        <s v="Mackenzie Financial Planning Ltd"/>
        <s v="Mackenzie Taylor Asset Management Limited"/>
        <s v="Mackenzie Taylor Wealth Management Limited"/>
        <s v="MacKenzie Webb Associates Limited"/>
        <s v="Mackintosh Beardsley Wealth Management Limited"/>
        <s v="MacKrill Financial Management Limited"/>
        <s v="Macleman Wealth Ltd"/>
        <s v="Macmillan Financial Planning Limited"/>
        <s v="Macsen Wealth Management Ltd"/>
        <s v="Magenta Financial Planning Limited"/>
        <s v="Magenta Financial Services Limited"/>
        <s v="Magill &amp; Company Limited"/>
        <s v="Magus Private Wealth Limited"/>
        <s v="Maher Brownsword Limited"/>
        <s v="Maidenhead Independent Limited"/>
        <s v="Mainestream Financial Services Ltd"/>
        <s v="Makemson &amp; Company Limited"/>
        <s v="MALBURY FINANCIAL PLANNING LIMITED"/>
        <s v="Malcolm Aplin"/>
        <s v="Malcolm Wood"/>
        <s v="Mallory Wealth Limited"/>
        <s v="Mamucium Capital Limited"/>
        <s v="Man Fai Lau"/>
        <s v="Mandan Financial Management"/>
        <s v="Manfield Wealth Management Limited"/>
        <s v="Mangu Wealth Management Limited"/>
        <s v="Manning &amp; Company (South West) Ltd"/>
        <s v="Manning Gee Investments Limited"/>
        <s v="Manor Brokers"/>
        <s v="MANOR HOUSE FINANCIAL SERVICES LTD."/>
        <s v="Manor IFA Limited"/>
        <s v="Manor Park Financial Services Ltd"/>
        <s v="Mansbrook,Brosche &amp; Co.Limited"/>
        <s v="Manse Capital Limited"/>
        <s v="Mansion Park Limited"/>
        <s v="MAP Financial Planning Ltd"/>
        <s v="MAP Independent Financial Services Limited"/>
        <s v="MAPFS Limited"/>
        <s v="Maplewood Training Solutions Ltd"/>
        <s v="MAPS Wealth Management Ltd"/>
        <s v="Mapus Financial Planning Limited"/>
        <s v="Marchwood IFA Ltd"/>
        <s v="Marechale Capital PLC"/>
        <s v="Marel Sandidge Associates"/>
        <s v="Mario Frixou"/>
        <s v="Mark Begg Asset Management Ltd"/>
        <s v="Mark Bex"/>
        <s v="Mark Bischoff"/>
        <s v="Mark Brookes IFA"/>
        <s v="Mark Carroll"/>
        <s v="Mark Cooke"/>
        <s v="Mark Cromack"/>
        <s v="Mark Dean Wealth Management (UK) Limited"/>
        <s v="Mark Horner"/>
        <s v="Mark J Morsley &amp; Associates Limited"/>
        <s v="Mark J Rees LLP"/>
        <s v="Mark Leach Asset Management Limited"/>
        <s v="Mark Smith Wealth Management Ltd"/>
        <s v="Mark Tennant"/>
        <s v="Marks Baughan Securities UK, LLP"/>
        <s v="Marquee Wealth Management Ltd"/>
        <s v="Marshall Pension &amp; Financial Planning Ltd"/>
        <s v="Marshall Wooldridge Financial Services Ltd"/>
        <s v="Marshall Zoing Limited"/>
        <s v="Marshwood Financial Services Ltd"/>
        <s v="Martec Associates Ltd"/>
        <s v="Martin Aitken Financial Services Limited"/>
        <s v="Martin Escott"/>
        <s v="Martin Financial Management Limited"/>
        <s v="MARTIN JAMES CLARK"/>
        <s v="Martin John Haines"/>
        <s v="Martin Radford"/>
        <s v="Martin Randal"/>
        <s v="Martin Ratcliffe"/>
        <s v="Martin Smith Independent Financial Adviser Ltd"/>
        <s v="Martin-Redman (UK) Limited"/>
        <s v="Martlets IFA Ltd"/>
        <s v="Martyn Barnes"/>
        <s v="Martyn Collett"/>
        <s v="Martyn Quantick"/>
        <s v="Mary Henderson"/>
        <s v="Marygold &amp; Co. Limited"/>
        <s v="MASECO LLP"/>
        <s v="Maskell Moss &amp; Co Limited"/>
        <s v="Mason Financial Management Limited"/>
        <s v="Massey Independent Advisers Ltd"/>
        <s v="Master Adviser CFP Limited"/>
        <s v="Masterman Financial Services LTD"/>
        <s v="Masterplan Financial Ltd"/>
        <s v="Mat White Financial Services Limited"/>
        <s v="Mather &amp; Murray Financial Ltd"/>
        <s v="Mathews Comfort Financial Services Limited"/>
        <s v="Mathieson David Porter"/>
        <s v="Matrix Capital Limited"/>
        <s v="Matrix Independent Limited"/>
        <s v="Matthew Douglas Ltd"/>
        <s v="Mattinson Ginty and Partners (Employee Benefits) Limited"/>
        <s v="Mattioli Woods Limited"/>
        <s v="Maunby Investment Management Ltd"/>
        <s v="Maurice Macdonald Associates"/>
        <s v="Maven Adviser Limited"/>
        <s v="Maxima Financial Management Ltd"/>
        <s v="Maxis Investments Ltd"/>
        <s v="Mayfair Capital Limited"/>
        <s v="Mayfair Independent Limited"/>
        <s v="Mayfair International Private Wealth Management Ltd"/>
        <s v="Mayfield Financial Services Limited"/>
        <s v="Mayfield Investment Management Limited"/>
        <s v="Maymont Wealth Limited"/>
        <s v="Mayne Solutions Limited"/>
        <s v="MB Capital Limited"/>
        <s v="MB Private Office Ltd"/>
        <s v="MBH Wealth Management Ltd"/>
        <s v="MC Financial Wealth Management Ltd"/>
        <s v="MC Wealth Management (UK) Limited"/>
        <s v="MC3 Investments"/>
        <s v="McAlpine Brown Smyth Ltd"/>
        <s v="McArthur Smith Financial Management Ltd"/>
        <s v="MCB Financial Planning Limited"/>
        <s v="McClelland Yarr Financial Services Ltd"/>
        <s v="McCormack Financial Advisers Ltd"/>
        <s v="McCoubrey Investment Management Limited"/>
        <s v="McCrea Financial Services Limited"/>
        <s v="McCreath Financial Partners Limited"/>
        <s v="McCudden-Hughes"/>
        <s v="McDade Financial Services Ltd"/>
        <s v="McDevitt Consulting Limited"/>
        <s v="McDonald Associates Limited"/>
        <s v="McHardy Private Wealth Ltd"/>
        <s v="MCHB Wealth Management Ltd"/>
        <s v="McInroy &amp; Wood Ltd"/>
        <s v="McLaren Capital Limited"/>
        <s v="McLaren Wealth Management UK Limited"/>
        <s v="Mclay-James Limited"/>
        <s v="McLean Financial Planning"/>
        <s v="MCM Bespoke Investment Services Limited"/>
        <s v="MCM Financial Limited"/>
        <s v="MCM Investment House LLP"/>
        <s v="McSherry Halliday"/>
        <s v="McWilliam IFS Ltd"/>
        <s v="MDM Wealth Ltd"/>
        <s v="Meadons Financial Management Ltd"/>
        <s v="Meaning Financial Limited"/>
        <s v="Mearns &amp; Company Limited"/>
        <s v="Med-Ex Financial Advisory Services Limited"/>
        <s v="Medical &amp; Executive Financial Services"/>
        <s v="Medical &amp; Financial Ltd"/>
        <s v="Medical &amp; General Financial Solutions Limited"/>
        <s v="Medical &amp; Professional Investment LLP"/>
        <s v="Medical + Dental Financial Planning Services Ltd."/>
        <s v="Medical and General Independent Financial Advisers Ltd"/>
        <s v="Medical Assurance Bureau (Midlands) Ltd"/>
        <s v="Medical Investment &amp; Financial Management Limited"/>
        <s v="Medical Investment and Advisory Services LLP"/>
        <s v="Medical Wealthcare Planning Limited"/>
        <s v="Medics Financial Services Limited"/>
        <s v="Melanie Cygelman"/>
        <s v="Melanie Green Financial Planning Limited"/>
        <s v="Meldon &amp; Co Ltd"/>
        <s v="Meltemi Investment Management Limited"/>
        <s v="Mendy &amp; Watt Financial Advisers Limited"/>
        <s v="Mensarius Wealth Ltd"/>
        <s v="Menzies Wealth Management Ltd"/>
        <s v="Mercer Limited"/>
        <s v="Merchant Financial Services (UK) Ltd"/>
        <s v="Mercury Wealth Management Limited"/>
        <s v="Meridan Pension Services Limited"/>
        <s v="Meriden Financial Planning Limited"/>
        <s v="Meridian Capital (GB) Ltd"/>
        <s v="Meridian Financial Partners Limited"/>
        <s v="Meridian Financial Planning Limited"/>
        <s v="Meridian Wealth Management Limited"/>
        <s v="Meridiem Investment Management Limited"/>
        <s v="Merit Financial Services Ltd"/>
        <s v="Merlin Financial Services Limited"/>
        <s v="Merlin Partners LLP"/>
        <s v="MerrixGrogan LLP"/>
        <s v="Metcalf Moat IFA Ltd"/>
        <s v="Method Asset Management Limited"/>
        <s v="Metis Wealth Ltd"/>
        <s v="Metro Financial Solutions LLP"/>
        <s v="MFM Investment Ltd"/>
        <s v="MFS Limited"/>
        <s v="MG Asset Planning Ltd"/>
        <s v="MGA Financial Management Limited"/>
        <s v="MGP Investment Management Limited"/>
        <s v="MGY Management Services Limited"/>
        <s v="MHA Wealth Limited"/>
        <s v="Michael Ambrose Limited"/>
        <s v="Michael Anthony Coll"/>
        <s v="MICHAEL BARNES FINANCIAL SERVICES LTD"/>
        <s v="Michael Benjamin"/>
        <s v="Michael Brian Rooney"/>
        <s v="Michael Davey Financial Management Limited"/>
        <s v="Michael David Sherrard"/>
        <s v="Michael Denman"/>
        <s v="Michael Eaton"/>
        <s v="Michael Edwin Harwood"/>
        <s v="MICHAEL FORWARD FINANCIAL SERVICES LIMITED"/>
        <s v="Michael Fox"/>
        <s v="Michael Gillbanks"/>
        <s v="Michael Hancock"/>
        <s v="Michael James"/>
        <s v="Michael John Knott"/>
        <s v="Michael John Rice"/>
        <s v="Michael Letch &amp; Partners"/>
        <s v="Michael McKeown Investment Planning Limited"/>
        <s v="Michael Philips"/>
        <s v="Michael Raymond"/>
        <s v="Michael Reed Wealth Management Limited"/>
        <s v="Michael Stokes"/>
        <s v="Michelle Procter Limited"/>
        <s v="MICL Limited"/>
        <s v="Mid &amp; West IFA Limited"/>
        <s v="Midas Financial Planning Services Ltd"/>
        <s v="Midas Financial Services"/>
        <s v="Midas Portal Limited"/>
        <s v="Midas Strategies (UK) LLP"/>
        <s v="Midas Wealth Management Ltd"/>
        <s v="Midland Financial Advisers Limited"/>
        <s v="Midland Financial Solutions Ltd"/>
        <s v="Midland Wealth Solutions Limited"/>
        <s v="Midlands Investment Agency Limited"/>
        <s v="Midvale Financial Services Limited"/>
        <s v="Mike Coram Associates"/>
        <s v="Mike Griffiths Limited"/>
        <s v="Mike McGirr Financial Services Limited"/>
        <s v="Mike Oliver Associates"/>
        <s v="Mike Smith IFA Limited"/>
        <s v="Milburn Davies Partnership Limited"/>
        <s v="Milestone FP Ltd"/>
        <s v="Milestone Wealth Ltd"/>
        <s v="Milford James Ltd"/>
        <s v="Milkstone Ltd"/>
        <s v="Mill House Group Investments Limited"/>
        <s v="Millbank Financial Solutions Limited"/>
        <s v="Millcroft Wealth Management Limited"/>
        <s v="Millen Griffiths Limited"/>
        <s v="Millennial Wealth Ltd"/>
        <s v="Millennium Rose Associates Ltd"/>
        <s v="Miller &amp; Co Investment Management Ltd"/>
        <s v="Miller Associates Ltd"/>
        <s v="MIller Knight Limited"/>
        <s v="Milligan Financial Planning Limited"/>
        <s v="Mills &amp; Spenceley Limited"/>
        <s v="Millward Wealth Management Limited"/>
        <s v="Milo Financial Limited"/>
        <s v="Milsted Langdon Financial Services Limited"/>
        <s v="Milton Independent Financial Advisers Ltd"/>
        <s v="Milton Keynes Financial Advice Ltd"/>
        <s v="Minerva Wealthcare Consultancy Limited"/>
        <s v="Minster Financial Management Limited"/>
        <s v="MIO Partners (UK) Limited"/>
        <s v="Mirabaud &amp; Cie (Europe) S.A. (UK branch)"/>
        <s v="Mission Financial Planning Limited"/>
        <s v="Mistral Consultancy Limited"/>
        <s v="MIT Fiscal Ltd"/>
        <s v="Mitchell and Kane Independent Financial Advisers Ltd"/>
        <s v="Mitchell Griffin Wealth Management Limited"/>
        <s v="Mitchell Harper Limited"/>
        <s v="MITCHELL PROCKTER (FINANCIAL SERVICES) LIMITED"/>
        <s v="MitonOptimal Portfolio Management (UK) Limited"/>
        <s v="MIWORLD WEALTH MANAGEMENT LIMITED"/>
        <s v="MJC Financial Planning Limited"/>
        <s v="MJS Financial Ltd"/>
        <s v="MKC Wealth Ltd"/>
        <s v="MKM Financial Management Ltd"/>
        <s v="ML Financial Associates Limited"/>
        <s v="MLA Wealth Management Ltd"/>
        <s v="MLP Wealth Management Ltd"/>
        <s v="MM Financial Management Limited"/>
        <s v="MM Wealth Ltd"/>
        <s v="MMG Financial Management Limited"/>
        <s v="MML Financial Associates Ltd"/>
        <s v="MMR Financial Planning (Midlands) Ltd"/>
        <s v="MN Consultancy Ltd"/>
        <s v="MNM Financial Ltd"/>
        <s v="Modern Money Financial Services Limited"/>
        <s v="Modulus Financial Planning Ltd"/>
        <s v="Moffatt Financial Planning Limited"/>
        <s v="Mohindra &amp; Co"/>
        <s v="Mole Valley Asset Management Ltd"/>
        <s v="Molineaux Investment Services LLP"/>
        <s v="Molyneux Associates Ltd"/>
        <s v="Momentum Investing Ltd"/>
        <s v="Monenti Partners Ltd"/>
        <s v="Moneo Wealth Management Ltd"/>
        <s v="Monetary Solutions Limited"/>
        <s v="Money Advice &amp; Planning Ltd"/>
        <s v="MONEY ADVICE PARTNERSHIP LTD"/>
        <s v="Money Adviser LLP"/>
        <s v="Money Doctor Financial Planning Ltd"/>
        <s v="Money Flow Ltd"/>
        <s v="Money Matters (Bucks) Limited"/>
        <s v="Money Matters 2u UK Limited"/>
        <s v="Money Matters Financial Solutions Ltd"/>
        <s v="Money Minder Financial Services (UK) Limited"/>
        <s v="Money Penny Wealth Management Limited"/>
        <s v="Money Principles Ltd"/>
        <s v="Money Tree Financial Planning Limited"/>
        <s v="MONEY@IFA LIMITED"/>
        <s v="Moneynotion Limited"/>
        <s v="Moneyology Limited"/>
        <s v="MoneyScience Investment Consultancy"/>
        <s v="Moneytree IFA Ltd"/>
        <s v="Moneyweb Limited"/>
        <s v="Moneywise Investments Plc"/>
        <s v="Monica Curtis Associates Limited"/>
        <s v="Monmouth Capital Limited"/>
        <s v="MONOGRAM CAPITAL MANAGEMENT LTD"/>
        <s v="Montel Investments Limited"/>
        <s v="Montfort International Limited"/>
        <s v="Montgomery Charles Financial Management Ltd"/>
        <s v="Montgomery Estate Planning Limited"/>
        <s v="Montpellier Asset Management Ltd"/>
        <s v="Monzo Bank Ltd"/>
        <s v="Moodybrook Financial Services Ltd"/>
        <s v="Moore and Smalley LLP"/>
        <s v="Moore Kingston Smith Corporate Finance Limited"/>
        <s v="Moorlands Financial Services Ltd"/>
        <s v="More Than Mortgages Limited"/>
        <s v="More Wealth Planning Ltd"/>
        <s v="Morgan Griffiths"/>
        <s v="Morgan Law (Financial Services) Limited"/>
        <s v="Morgan Stanley &amp; Co. International Plc"/>
        <s v="Morgan Stanley Bank International Limited"/>
        <s v="Morgan Wealth Management Limited"/>
        <s v="Morgans Ltd"/>
        <s v="Morris Financial Planning Limited"/>
        <s v="Morris Owen"/>
        <s v="Morris Shapland Financial Services Limited"/>
        <s v="Mortgage Horizons Ltd"/>
        <s v="Mortgage Pensions &amp; Investments LLP"/>
        <s v="Mortgages Etc Ltd"/>
        <s v="Mortgages TLC Limited"/>
        <s v="Morton Fraser MacRoberts LLP"/>
        <s v="Morton Hill Ltd"/>
        <s v="Morton-Wilson Associates Limited"/>
        <s v="Mosaac Ltd"/>
        <s v="Moscrops Financial Planning (Bury) LLP"/>
        <s v="Moss And Roberts (Wealth Management) Ltd"/>
        <s v="Mottram Financial Services Limited"/>
        <s v="Mountstone Partners Limited"/>
        <s v="Mowatt Financial Planning Ltd"/>
        <s v="MOYES Financial Planning Limited"/>
        <s v="MPA Financial Management Limited"/>
        <s v="MPA Financial Solutions Ltd"/>
        <s v="MPFS Wealth Management Limited"/>
        <s v="MPI Financial Advice Ltd"/>
        <s v="MPI Investments Limited"/>
        <s v="MPI Services (Saffron Walden) Ltd"/>
        <s v="MPL Wealth Management Limited"/>
        <s v="Mr Alan Tarver"/>
        <s v="Mr Alexander Henney Farrow"/>
        <s v="Mr Mark Walker"/>
        <s v="Mr Paul O'Brien"/>
        <s v="Mr Peter Evans"/>
        <s v="Mr Peter John Shandley"/>
        <s v="Mr Salvatore Antonino Panzera"/>
        <s v="Mr Stephen Alan Clarke"/>
        <s v="Mr William Harris"/>
        <s v="MRIB Limited"/>
        <s v="Mrs Beverley Ann Barber-Fleming"/>
        <s v="MSC Financial Planners Ltd"/>
        <s v="MSL Independent Financial Advisers Limited"/>
        <s v="MSM Independent Financial Services Limited"/>
        <s v="MT Polo Limited"/>
        <s v="MUFG BANK, LTD"/>
        <s v="Muir Brown Limited"/>
        <s v="Mulberry Independent Financial Advisers Ltd"/>
        <s v="MULBERRY WEALTH CLIENT SERVICES LIMITED"/>
        <s v="Mulberry Wealth Management Limited"/>
        <s v="Munich Re Risk Solutions Ireland"/>
        <s v="Murphy Sawers Consulting Limited"/>
        <s v="Murphy Wealth Limited"/>
        <s v="Murray Round Wealth Management Limited"/>
        <s v="Murray Smith Financial Services Ltd"/>
        <s v="MurrayPaterson Limited"/>
        <s v="MVA Holdings Ltd"/>
        <s v="MWA FINANCIAL ADVICE LTD"/>
        <s v="MWC Group UK"/>
        <s v="MWLFS Limited"/>
        <s v="MWS Financial Advisers Limited"/>
        <s v="My Financial Planner Limited"/>
        <s v="My London IFA Limited"/>
        <s v="My Pension Expert Limited"/>
        <s v="Myers Davison Ginger Ltd"/>
        <s v="Myers Financial Management Limited"/>
        <s v="N W B Consultants Limited"/>
        <s v="N. J. Leeson &amp; Co."/>
        <s v="N. M. Rothschild &amp; Sons Ltd"/>
        <s v="N2 ASSET MANAGEMENT LIMITED"/>
        <s v="Nagle James Financial Planning Ltd"/>
        <s v="Nailsea Financial Services Limited"/>
        <s v="Nancherro Limited"/>
        <s v="Napier Lane Associates Limited"/>
        <s v="National Australia Bank Limited"/>
        <s v="National Deposit Friendly Society Limited"/>
        <s v="National Friendly Financial Solutions Limited"/>
        <s v="National Westminster Bank Plc"/>
        <s v="Nationwide Building Society"/>
        <s v="Nationwide Independent Consultants Ltd"/>
        <s v="NatWest Markets Plc"/>
        <s v="Navigate IFA Ltd"/>
        <s v="Navigate Wealth Limited"/>
        <s v="Navigation Financial Services Ltd"/>
        <s v="Navigator Financial Planning Limited"/>
        <s v="NB Financial Solutions Ltd"/>
        <s v="NBL Financial Management Limited"/>
        <s v="NDMC Associates Limited"/>
        <s v="Neal and Co Financial Services Ltd"/>
        <s v="Neales Financial Management Limited"/>
        <s v="Nedbank Private Wealth Limited"/>
        <s v="Need Financial Planning Ltd"/>
        <s v="Neil Paterson"/>
        <s v="Neligan Financial Limited"/>
        <s v="Nelsons Solicitors Limited"/>
        <s v="Nestegg Financial Services"/>
        <s v="Nestor Financial Group Limited"/>
        <s v="Netwealth Investments Limited"/>
        <s v="New Horizon Global Advisory Ltd"/>
        <s v="New Leaf Distribution Limited"/>
        <s v="New Oak Wealth Management Limited"/>
        <s v="New Vision Wealth Strategies Limited"/>
        <s v="New World Financial Group Ltd"/>
        <s v="Newark Wealth Ltd"/>
        <s v="Newbold Wealth Management Limited"/>
        <s v="Newbridge Financial Planning Limited"/>
        <s v="Newman Cozens Ltd"/>
        <s v="Newquay Mortgage &amp; Pensions Limited"/>
        <s v="Newstead Clark Financial Services Ltd"/>
        <s v="Newstead Financial Services Limited"/>
        <s v="Newton Smith Ltd"/>
        <s v="Newton-Barr Limited"/>
        <s v="Next Chapter Financial Planning Limited"/>
        <s v="Nexus Wealth Planning Ltd"/>
        <s v="NFP Benefits Consultants Limited"/>
        <s v="NFP Financial Planning Limited"/>
        <s v="NFS Limited"/>
        <s v="NFU Mutual Select Investments Limited"/>
        <s v="Niall Victor Patrick Moore"/>
        <s v="Niche Capital Limited"/>
        <s v="Niche Independent Financial Advisers Limited"/>
        <s v="Niche Private Clients Ltd"/>
        <s v="Nicholas Charles Thompson"/>
        <s v="Nicholas Corfield"/>
        <s v="Nicholas Paul Wealth Management Limited"/>
        <s v="Nicholas Plumb"/>
        <s v="Nicholls Stevens (Financial Services) Limited"/>
        <s v="Nicholson Bond Partnership Limited"/>
        <s v="Nicholsons Accountants Ltd"/>
        <s v="Nick Hanson Associates Limited"/>
        <s v="Nicola Reynolds"/>
        <s v="Nigel J Barker &amp; Company Limited"/>
        <s v="Nigel Sloam &amp; Co"/>
        <s v="Nightingales Wealth Management Ltd"/>
        <s v="Nineteen Wealth Management Ltd"/>
        <s v="NIVEN FINANCIAL LTD."/>
        <s v="NK Financial Management Limited"/>
        <s v="NLP Financial Management Limited"/>
        <s v="Nolan Wealth Management Limited"/>
        <s v="Norfolk &amp; Suffolk Financial Services Limited"/>
        <s v="Norman Gray"/>
        <s v="North Capital Management Limited"/>
        <s v="North East Financial Planning Ltd"/>
        <s v="North Laine Financial Management Limited"/>
        <s v="North Riding Financial Services Ltd"/>
        <s v="North Star Financial Consultants Ltd"/>
        <s v="Northcrest Financial Planning Ltd"/>
        <s v="Northern Bank Limited"/>
        <s v="Northern Star Financial Management Limited"/>
        <s v="NorthStar Wealth Management Group Ltd"/>
        <s v="Northumbrian Financial Ltd"/>
        <s v="Northwood Financial Consultants Limited"/>
        <s v="Northwood Wealth Management Ltd"/>
        <s v="Norton Michael Financial Management Limited"/>
        <s v="Norwood Financial Services"/>
        <s v="Nott Pybus &amp; Associates Limited"/>
        <s v="NOVA Wealth Ltd"/>
        <s v="November Financial Services Limited"/>
        <s v="November March Limited"/>
        <s v="Noventus Partners Limited"/>
        <s v="Novitas Wealth Management Ltd"/>
        <s v="NovitasFTCL Limited"/>
        <s v="Novum Securities Limited"/>
        <s v="Novus Wealth Management Limited"/>
        <s v="Nsure Financial Services Limited"/>
        <s v="NTM Financial Services Ltd"/>
        <s v="Nucleus Wealth Planning Limited"/>
        <s v="Nugenis Financial Planning Limited"/>
        <s v="Numis Securities Limited"/>
        <s v="Nutmeg Saving and Investment Limited"/>
        <s v="NVS Financial Planning"/>
        <s v="O'Brien Associates Limited"/>
        <s v="O'Connor and Co (Financial Services) Limited"/>
        <s v="O'Sullivan Associates"/>
        <s v="O'Sullivan Financial Planning Ltd"/>
        <s v="O2 Associates Ltd"/>
        <s v="Oak County Financial Services Ltd"/>
        <s v="Oak Financial Management Limited"/>
        <s v="Oak Four Limited"/>
        <s v="Oak Private Wealth Ltd"/>
        <s v="Oak Tree Friendly Society"/>
        <s v="Oakbank Financial Services Ltd"/>
        <s v="Oakcean Capital Limited"/>
        <s v="Oakdale Financial Management Ltd"/>
        <s v="Oakfield Financial Consultants Limited"/>
        <s v="Oakfield Financial Services Limited"/>
        <s v="Oakglen Wealth Limited"/>
        <s v="Oakham Wealth Management Ltd"/>
        <s v="Oakhurst Financial Management Limited"/>
        <s v="Oakhurst Financial Services Limited"/>
        <s v="Oakland Financial Management Ltd"/>
        <s v="Oaklands Wealth Management Ltd"/>
        <s v="Oakley Independent Ltd"/>
        <s v="Oakwood Asset Management LLP"/>
        <s v="Oakwood Financial Advisers Limited"/>
        <s v="Oakwood Financial Services 2015 Ltd"/>
        <s v="OAKWOOD FINANCIAL SERVICES LTD"/>
        <s v="Oakworth Financial Planning Limited"/>
        <s v="OANDA Europe Limited"/>
        <s v="Obdios Capital Limited"/>
        <s v="Oberon Investments Limited"/>
        <s v="Objective Wealth Ltd"/>
        <s v="Obsidian Financial Limited"/>
        <s v="Ocaris Wealth Management Ltd"/>
        <s v="OCM Wealth Management Ltd"/>
        <s v="OCTAVE FINANCIAL PLANNING LIMITED"/>
        <s v="OCTOPUS MONEY FINANCIAL SOLUTIONS LIMITED"/>
        <s v="Oculus Wealth Management Limited"/>
        <s v="Odd Asset Management Ltd"/>
        <s v="Odey Wealth Management (UK) Limited"/>
        <s v="Odin Financial Planning Ltd"/>
        <s v="Odin Wealth Hub Ltd"/>
        <s v="Odyssey Financial Planning Ltd"/>
        <s v="OHFS Limited"/>
        <s v="Old Mill Financial Planning Limited"/>
        <s v="Olive Wealth Management Ltd"/>
        <s v="Oliver Asset Management Ltd"/>
        <s v="Oliver Financial Planning Ltd"/>
        <s v="Oliver Wealth Ltd"/>
        <s v="OMBA Advisory &amp; Investments Limited"/>
        <s v="Omni Financial Limited"/>
        <s v="Omnilife Insurance Company Limited"/>
        <s v="Omnium Capital Limited"/>
        <s v="One and All Financial Services Ltd"/>
        <s v="ONE FINANCIAL ADVISER LTD"/>
        <s v="One Four Nine Wealth Limited"/>
        <s v="One Life Wealth Planning Ltd"/>
        <s v="One-To-One Advisers Limited"/>
        <s v="One2one Financial Advice Limited"/>
        <s v="Onelife Planning LLP"/>
        <s v="OneLife Wealth Advice Limited"/>
        <s v="Online Mortgages UK Ltd"/>
        <s v="Ontrak Financial Planning Limited"/>
        <s v="Onyx Capital Advisory Limited"/>
        <s v="Open Door IFA Limited"/>
        <s v="OPENMONEY ADVISER SERVICES LTD"/>
        <s v="Openwork Limited"/>
        <s v="Operii Financial Planning LLP"/>
        <s v="Opes Independent Financial Advisers Ltd"/>
        <s v="Optima Financial Services Ltd."/>
        <s v="Optimal Planning Ltd"/>
        <s v="Optimum Financial Advisors Ltd"/>
        <s v="Optimum Independent Financial Advisers Limited"/>
        <s v="Optimum Path Financial Planning Ltd"/>
        <s v="Optimum Solutions Independent Financial Advisers Limited"/>
        <s v="Optiva Securities Limited"/>
        <s v="Opulence Investment Management Limited"/>
        <s v="OPUS Independent Financial Planning Limited"/>
        <s v="Oracle Consultants Ltd"/>
        <s v="Oracle Financial Advice Ltd"/>
        <s v="Oracle Financial Planning Ltd"/>
        <s v="Oracle Wealth Ltd"/>
        <s v="Orchard Financial Management Ltd"/>
        <s v="Orchard House (IFAs) Ltd"/>
        <s v="Orchard Independent Financial Advice"/>
        <s v="Organisation Name"/>
        <s v="Origen Financial Services Limited"/>
        <s v="Orme Financial Services Ltd"/>
        <s v="Orr Kerr Dykes Financial Services Limited"/>
        <s v="Orwell Securities (Ipswich) Limited"/>
        <s v="OSL Financial Consultancy Limited"/>
        <s v="Osprey Wealth Management Limited"/>
        <s v="OT Wealth Limited"/>
        <s v="Otter Financial Services Limited"/>
        <s v="Otus Financial Limited"/>
        <s v="Oury Clark"/>
        <s v="Outhwaite &amp; Chavda Limited"/>
        <s v="Oval Financial Management Ltd"/>
        <s v="Ovation Finance Limited"/>
        <s v="Oversea-Chinese Banking Corporation Limited"/>
        <s v="Owen and Associates"/>
        <s v="OWM Limited"/>
        <s v="Oxford Investment Opportunity Network Limited"/>
        <s v="Oyster Financial Planning Ltd"/>
        <s v="Oyster Wealth Management Limited"/>
        <s v="P &amp; P Invest Ltd"/>
        <s v="P A Asset Management LLP"/>
        <s v="P J Clifton Financial Services"/>
        <s v="P J Collier Financial Services Limited"/>
        <s v="P J Financial Services"/>
        <s v="P J Mortgages (UK) Limited"/>
        <s v="P J Watts Independent Financial Adviser Ltd"/>
        <s v="P K Financial Limited"/>
        <s v="P M Investment Services Limited"/>
        <s v="P N Dales Ltd"/>
        <s v="P N M Financial Management Limited"/>
        <s v="P W Financial Management Limited"/>
        <s v="P W White and Partners Limited"/>
        <s v="P. Srinivasan, Esq."/>
        <s v="P.J. Assurance Agency Limited"/>
        <s v="P.J. Hutchinson &amp; Associates"/>
        <s v="P.J. McIlroy &amp; Son Insurance &amp; Investment"/>
        <s v="P.M.S. Financial Services"/>
        <s v="P1 Investment Services Limited"/>
        <s v="Pacem Financial Advisory Ltd"/>
        <s v="Pacific (Norwich) Limited"/>
        <s v="Padstone Financial Management Limited"/>
        <s v="PAF Hereford Ltd"/>
        <s v="Page Kirk Financial Services LLP"/>
        <s v="Page Russell Ltd"/>
        <s v="Paladin Financial Services Ltd"/>
        <s v="Pall Mall Financial Independence Limited"/>
        <s v="Palm Financial Care Limited"/>
        <s v="Palm Financial Management Ltd"/>
        <s v="Panmure Liberum Capital Limited"/>
        <s v="Panmure Liberum Limited"/>
        <s v="Panoramic Wealth Management Ltd"/>
        <s v="Panthera Private Office LLP"/>
        <s v="PARADIGM INVESTMENT PARTNERS LTD."/>
        <s v="Paradigm Norton Financial Planning Ltd"/>
        <s v="Paragon Financial Partners LLP"/>
        <s v="Paragon Independent Limited"/>
        <s v="Paragon Investment Management Ltd"/>
        <s v="Parallel Employee Benefits Limited"/>
        <s v="Parallel Financial Limited"/>
        <s v="Parallel Lines - The Advisor Collective Ltd"/>
        <s v="Pareto Financial Planning Limited"/>
        <s v="Park Financial Limited"/>
        <s v="Park Hall Financial Services Limited"/>
        <s v="Park Investments (Leicester) Ltd"/>
        <s v="Park Lidgett Wealth Management Limited"/>
        <s v="Park View Financial Services Limited"/>
        <s v="Parker Kelly Financial Services Ltd"/>
        <s v="Parklands Financial Advisers Ltd"/>
        <s v="Parkmore Financial Services Limited"/>
        <s v="Parkstone Financial Planning Limited"/>
        <s v="Parkway Financial Planning Ltd"/>
        <s v="Parlett Financial Limited"/>
        <s v="ParnabyEvans Financial Advisers Ltd"/>
        <s v="Partneriaeth Seiont Partnership LLP"/>
        <s v="Partners Capital LLP"/>
        <s v="Partners Wealth Management LLP"/>
        <s v="Partners Wealth Management Solutions Limited"/>
        <s v="Partnership Financial Planning Limited"/>
        <s v="Partridge Financial Limited"/>
        <s v="Partridge Muir &amp; Warren Limited"/>
        <s v="Paterson Financial Planning Ltd"/>
        <s v="Paton Wealth Management Limited"/>
        <s v="Patricia Anne Wray"/>
        <s v="Patricia Mary Richmond"/>
        <s v="Patrick McGee Limited"/>
        <s v="Patrick O'Neill"/>
        <s v="Patronus Partners Limited"/>
        <s v="Patterson-Mills Financial Planning Limited"/>
        <s v="Paul Andrew Tune"/>
        <s v="Paul Dodd Asset Management Limited"/>
        <s v="Paul Forman-Cummings"/>
        <s v="Paul Hipkiss"/>
        <s v="Paul James Howard"/>
        <s v="Paul Jolly Financial Services Limited"/>
        <s v="Paul Jones"/>
        <s v="Paul Mayo Financial Services"/>
        <s v="Paul McAllen &amp; Co Limited"/>
        <s v="Paul Murray Investments Ltd"/>
        <s v="Paul Pugsley"/>
        <s v="Paul Rice Investment Planning Limited"/>
        <s v="Paul Robinson Financial Services"/>
        <s v="Paul Russell Financial Services Ltd"/>
        <s v="Paul Simons"/>
        <s v="Paul Tillcock Financial Solutions Limited"/>
        <s v="Paul Walsh Financial Services Ltd"/>
        <s v="Paul Whitehead"/>
        <s v="Paul Williams Financial Services Ltd"/>
        <s v="Paul Young Independent Financial Advisors LLP"/>
        <s v="Pavey Group Financial Services Limited"/>
        <s v="PBR Financial Services Limited"/>
        <s v="PBS Financial Solutions Ltd"/>
        <s v="PDIFS LLP"/>
        <s v="PDT Financial Services Ltd"/>
        <s v="Peacock Financial Management Ltd"/>
        <s v="Peak Assured Ltd"/>
        <s v="Pearson Solicitors and Financial Advisers Ltd"/>
        <s v="Peartree Wealth Management Ltd"/>
        <s v="Pegasus Portfolio Planning LLP"/>
        <s v="Pelham Financial Limited"/>
        <s v="Pelier Financial Limited"/>
        <s v="Pello Capital Limited"/>
        <s v="Pembroke Asset Management LLP"/>
        <s v="Pembroke Finance Limited"/>
        <s v="Pembroke Financial Services (Horsham) Limited"/>
        <s v="Pembroke Financial Services Ltd"/>
        <s v="Pembrokeshire Mortgage Centre Ltd"/>
        <s v="Pen-Life Associates Limited"/>
        <s v="Penda Financial Management Ltd"/>
        <s v="PENGUIN WEALTH PLANNERS LIMITED"/>
        <s v="Penmor"/>
        <s v="Penney, Ruddy &amp; Winter Ltd"/>
        <s v="Pennines IFA Limited"/>
        <s v="Pennymatters Limited"/>
        <s v="Pennywise Advisory Services Limited"/>
        <s v="Pense Limited"/>
        <s v="Pension &amp; Investment Management Services"/>
        <s v="Pension &amp; Investment Partners LLP"/>
        <s v="Pension Advisers UK Limited"/>
        <s v="Pension Freedom (UK) Limited"/>
        <s v="Pension Income Planning Limited"/>
        <s v="Pension Potential Limited"/>
        <s v="Pension Savings Investment Annuity Mortgage LLP"/>
        <s v="Pension Works Limited"/>
        <s v="Pensionhelp Limited"/>
        <s v="Pensions and Annuities Ltd"/>
        <s v="Penvest Limited"/>
        <s v="People and Business IFA Limited"/>
        <s v="Perceptive Planning Limited"/>
        <s v="Peregrine &amp; Black Investment Management Limited"/>
        <s v="Perennial Financial Management Limited"/>
        <s v="Performance Wealth Management Limited"/>
        <s v="Periscope Financial Limited"/>
        <s v="Peritus Private Finance Limited"/>
        <s v="Permanent Wealth Partners LTD"/>
        <s v="Perpetual Independent Financial Advice Limited"/>
        <s v="Perrett &amp; Co. Financial Services Limited"/>
        <s v="Perrins Financial Planning Limited"/>
        <s v="Perry Appleton Financial Management Limited"/>
        <s v="Perry Insurance Consultants Ltd"/>
        <s v="Perry Monroe Ltd"/>
        <s v="PerryJones Financial Planning Limited"/>
        <s v="Personal Financial Advice Limited"/>
        <s v="Personal Financial Planning Ltd"/>
        <s v="Personal Financial Planning Services Limited"/>
        <s v="Personal Investment Planning Ltd"/>
        <s v="Personal Wealth Management (South Wales) Ltd"/>
        <s v="Perspective (Central &amp; East) Limited"/>
        <s v="Perspective (Gould Financial Planning) Limited"/>
        <s v="Perspective (HNH) Limited"/>
        <s v="Perspective (Midlands &amp; Cheshire) Limited"/>
        <s v="Perspective (North East) Limited"/>
        <s v="Perspective (North West) Limited"/>
        <s v="Perspective (North) Limited"/>
        <s v="Perspective (Oxon) Limited"/>
        <s v="Perspective (South West) Limited"/>
        <s v="Perspective (South) Limited"/>
        <s v="Perspective (Springfield) Limited"/>
        <s v="Perspective (Thornton Springer) Limited"/>
        <s v="Perspective (West) Limited"/>
        <s v="Peter A Sudlow Certified Financial Planner"/>
        <s v="Peter Donnelly"/>
        <s v="Peter Gay &amp; Company"/>
        <s v="Peter Guy Limited"/>
        <s v="Peter Hillman"/>
        <s v="Peter Hope"/>
        <s v="Peter John Lucketti"/>
        <s v="Peter Jones and Associates"/>
        <s v="Peter Manduell &amp; Company Financial Services Limited"/>
        <s v="Peter Meadway"/>
        <s v="Peter Murray Financial Management Limited"/>
        <s v="Peter R.T Holden &amp; Partners LLP"/>
        <s v="Peter Reilly"/>
        <s v="Peter Richards Financial Ltd"/>
        <s v="Peter Riley IFA Limited"/>
        <s v="Peter Rooney"/>
        <s v="Peter Shirley (Financial Services) Limited"/>
        <s v="Peter Stewart Associates Limited"/>
        <s v="Peter Vaughan Jones"/>
        <s v="Peter Winter"/>
        <s v="Peter Wyper"/>
        <s v="Peterkins"/>
        <s v="Petra Financial Planning Limited"/>
        <s v="PF Financial Ltd"/>
        <s v="PFM Associates Limited"/>
        <s v="PFM Financial Ltd"/>
        <s v="PFPNI LTD"/>
        <s v="PFS (IFA) Limited"/>
        <s v="PG Owen Limited"/>
        <s v="PGI Financial Limited"/>
        <s v="Pharon Independent Financial Advisers Limited"/>
        <s v="Phil Anderson Financial Services Ltd"/>
        <s v="Phil Gee Financial Ltd"/>
        <s v="Phil Hughes Financial Services Ltd"/>
        <s v="Phil Johnson Financial Services Limited"/>
        <s v="Philip Andrew Whitehead"/>
        <s v="Philip Binfield Limited"/>
        <s v="Philip Carvill &amp; Company Limited"/>
        <s v="Philip Evans &amp; Associates"/>
        <s v="Philip Harper LLP"/>
        <s v="Philip J Milton &amp; Company Plc"/>
        <s v="Philip James Financial Services Ltd."/>
        <s v="Philip Marsden"/>
        <s v="Philip Roberts"/>
        <s v="Philip Skinner"/>
        <s v="Philip T. English International Financial Services Limited"/>
        <s v="Philippa Gee Wealth Management Limited"/>
        <s v="Phillip Bates &amp; Co Financial Services Limited"/>
        <s v="Phillip Masters Independent Financial Advisers Limited"/>
        <s v="Phillips Financial Planning Ltd"/>
        <s v="Philpott Financial Limited"/>
        <s v="Phoenix Financial Advisers Limited"/>
        <s v="Phoenix Financial Planning Ltd"/>
        <s v="Phoenix Financial Services (UK) Ltd"/>
        <s v="Phoenix Wealth Management Ltd."/>
        <s v="Phoenix Wealth Solutions Limited"/>
        <s v="Pi Financial Ltd"/>
        <s v="Piccadilly Wealth Management Limited"/>
        <s v="Piercefield Asset Management Ltd"/>
        <s v="Piggybank UK Limited"/>
        <s v="Pigotts Investments Limited"/>
        <s v="Pilgrim Wealth Management Ltd"/>
        <s v="Pilling &amp; Co Stockbrokers Ltd"/>
        <s v="Pilling Financial Ltd"/>
        <s v="Pinewood Portfolio Management LLP"/>
        <s v="Pinnacle Financial Planning Ltd"/>
        <s v="Pinsa Wealth Ltd"/>
        <s v="Pioneer Financial Services Ltd"/>
        <s v="Pioneer Wealth Management Limited"/>
        <s v="PIPER SANDLER LTD."/>
        <s v="PJ Aiken Ltd"/>
        <s v="PJG Financial Services Limited"/>
        <s v="PJL Financial Services Ltd"/>
        <s v="PK Financial Planning LLP"/>
        <s v="PK Wealth Limited"/>
        <s v="PL Financial Solutions Limited"/>
        <s v="Plain English Finance Limited"/>
        <s v="Plain Savings Ltd"/>
        <s v="Plain Speaking Financial Planning Ltd"/>
        <s v="Plan Money Ltd"/>
        <s v="PLAN SMART FINANCIAL PLANNING LIMITED."/>
        <s v="Plan-It Financial Solutions Ltd"/>
        <s v="Plan2 Holdings Ltd"/>
        <s v="Plan4Life Limited"/>
        <s v="Planet 3 Wealth Limited"/>
        <s v="PlanHappy Investment Management Limited"/>
        <s v="Plantech Independent Limited"/>
        <s v="Platboom Ltd"/>
        <s v="Platinum (SRI) Financial Services Ltd"/>
        <s v="Platinum Advice Limited"/>
        <s v="Platinum Financial Consulting Limited"/>
        <s v="Platinum Financial Partners Ltd"/>
        <s v="Platinum Financial Planning &amp; IFA Limited"/>
        <s v="Platinum Financial Planning Limited"/>
        <s v="Platinum Financial Services Ltd"/>
        <s v="Platinum Gain Ltd"/>
        <s v="Platinum IFS Limited"/>
        <s v="Platinum Wealth (IFA) Ltd"/>
        <s v="Platinum Wealth Management Limited"/>
        <s v="Plena Wealth Management Ltd"/>
        <s v="PLFM Limited"/>
        <s v="PLS Financial Services Ltd"/>
        <s v="Plumptree Kilby"/>
        <s v="Plurimi Wealth LLP"/>
        <s v="Pluto Wealth Limited"/>
        <s v="Plutus Wealth Management LLP"/>
        <s v="PM&amp;M Financial Planning Ltd"/>
        <s v="PMN Financial Management LLP"/>
        <s v="Poise Financial Planning Limited"/>
        <s v="Polaris Wealth Management Limited"/>
        <s v="Policy Services Limited"/>
        <s v="Polygon Financial Ltd"/>
        <s v="Pool House Professional Advisers Limited"/>
        <s v="Poole Townsend Financial Services Ltd"/>
        <s v="Portal Financial Planning Limited"/>
        <s v="Portcullis Financial Planning Limited"/>
        <s v="Porters Financial Ltd"/>
        <s v="Portfolio Financial Consultancy Limited"/>
        <s v="Portfolio Wealth Advice Limited"/>
        <s v="Portillion Capital Ltd"/>
        <s v="Portland Financial Management Limited"/>
        <s v="Portland Financial Planning Limited"/>
        <s v="Portland Square Independent Financial Advice Ltd"/>
        <s v="Portus Wealth Limited"/>
        <s v="Positive Independent Financial Planning Limited"/>
        <s v="Positive Wealth Creation Ltd"/>
        <s v="Positive Wealth Limited"/>
        <s v="Postcard Financial Planning Limited"/>
        <s v="Powell Financial Planning Ltd"/>
        <s v="Power Robbins"/>
        <s v="PP Wealth Limited"/>
        <s v="PPA Wealth Ltd"/>
        <s v="Practical Financial Planning Ltd"/>
        <s v="Practice Financial Management Ltd"/>
        <s v="Praefinium Partners Ltd"/>
        <s v="Pranaflow Limited"/>
        <s v="Premier Clients (Swansea) Limited"/>
        <s v="Premier Commercial Wealth Management Ltd"/>
        <s v="Premier Financial Group Limited"/>
        <s v="Premier Financial Ltd"/>
        <s v="Premier Financial Management Ltd"/>
        <s v="Premier Financial Planning"/>
        <s v="Premier Financial Planning Ltd"/>
        <s v="Premier Independent Investments UK Ltd"/>
        <s v="Premier Investment Management Services Limited"/>
        <s v="Premier Pensions and Tax Consultancy Limited"/>
        <s v="Premier Plus Limited"/>
        <s v="Premier Practice Limited"/>
        <s v="Premier Research and Marketing"/>
        <s v="Premier Wealth Solutions Ltd"/>
        <s v="Prerak Financial Services Ltd"/>
        <s v="Prestige Financial Planners Limited"/>
        <s v="Prestige Specialist Independent Financial Advice Limited"/>
        <s v="Prestwood Etheridge &amp; Russell Limited"/>
        <s v="PRICE FERGUSON LIMITED"/>
        <s v="PricewaterhouseCoopers LLP"/>
        <s v="Primary Financial Management Limited"/>
        <s v="Primary Wealth Limited"/>
        <s v="Primavera Financial Partners LLP"/>
        <s v="Prime Wealth Solutions Ltd"/>
        <s v="Principle Financial Planning Limited"/>
        <s v="Principle Wealth Management Ltd"/>
        <s v="Principled Limited"/>
        <s v="Priority Financial Planning Limited"/>
        <s v="Priscum Limited"/>
        <s v="Prism EBC Limited"/>
        <s v="Prism Financial Advice Limited"/>
        <s v="Prism Independent Financial Management Ltd"/>
        <s v="PrisWM Limited"/>
        <s v="Pritchard Jones Wealth Planning Limited"/>
        <s v="Privalgo Markets Limited"/>
        <s v="Private Office Asset Management Limited"/>
        <s v="Pro-Sport 1 Limited"/>
        <s v="ProAct Financial (Bolton) Ltd"/>
        <s v="Proactive Financial Management Ltd"/>
        <s v="Professional &amp; Medical Financial Planning Ltd"/>
        <s v="Professional Assured Financial Services Limited"/>
        <s v="Professional Capital Limited"/>
        <s v="Professional Connection (South) Limited"/>
        <s v="Professional Financial Centre (Cornwall) Ltd"/>
        <s v="Professional Financial Centre (Cumbria) Ltd"/>
        <s v="Professional Financial Centre (Thames Valley) Ltd"/>
        <s v="Professional Financial LLP"/>
        <s v="Professional Financial Partnerships Ltd"/>
        <s v="Professional Financial Planning Group Ltd"/>
        <s v="Professional Financial Planning Ltd."/>
        <s v="Professional Financial Planning Services (PFPS) Limited"/>
        <s v="Professional Independent Advisers Limited"/>
        <s v="Professional Money Management Ltd"/>
        <s v="Professional Pensions and Investments Limited"/>
        <s v="Professional Wealth Management Ltd"/>
        <s v="Professional Wealth Planning Limited"/>
        <s v="Profile Financial Solutions Limited"/>
        <s v="PROGENY ASSET MANAGEMENT LIMITED"/>
        <s v="Progeny Wealth Limited"/>
        <s v="Progress Financial Planning Ltd"/>
        <s v="Progressive Financial Planning Limited"/>
        <s v="Progressive Financial Solutions Ltd"/>
        <s v="Progressive Strategic Solutions LLP"/>
        <s v="Project Financial Solutions Ltd"/>
        <s v="Promethean Financial Consultants Limited"/>
        <s v="ProPlan Financial Advice Limited"/>
        <s v="Proposito Financial Planning Limited"/>
        <s v="Prospect Financial Solutions Ltd"/>
        <s v="Prospectus Financial Management Limited"/>
        <s v="Prosper Capital LLP"/>
        <s v="Prosper Financial Solutions Ltd"/>
        <s v="Prosper Independent Financial Advisers Ltd"/>
        <s v="Prosperis Limited"/>
        <s v="Prosperity  IFA Limited"/>
        <s v="Prosperity Financial Management Limited"/>
        <s v="Prosperity Life Planning Ltd"/>
        <s v="Prosperity Medical Financial Services LLP"/>
        <s v="Prosperity Planning Ltd"/>
        <s v="Prosperity Wealth Management Limited"/>
        <s v="Prospero Wealth Management Services LLP"/>
        <s v="Prosser Knowles Associates Ltd"/>
        <s v="Protect And Invest Ltd"/>
        <s v="Protection and Investment Ltd"/>
        <s v="Protexx (UK) Limited"/>
        <s v="Protocol Capital Management Limited"/>
        <s v="Provident Wealth FS Ltd"/>
        <s v="Providential Finance Limited"/>
        <s v="Providus Financial Ltd"/>
        <s v="Provisio Limited"/>
        <s v="Prudent Financial Planning Services Ltd"/>
        <s v="Prydis Wealth Limited"/>
        <s v="Pryor Portfolio Management Limited"/>
        <s v="PSA Financial Services Limited"/>
        <s v="PSC UK INSURANCE BROKERS LIMITED"/>
        <s v="PSD Financial Services Ltd"/>
        <s v="PSP Wealth Management Ltd"/>
        <s v="Ptarmigan Capital Limited"/>
        <s v="Puma Investment Management Limited"/>
        <s v="Punter Southall Wealth Limited"/>
        <s v="Pura Vida Financial Planning Ltd"/>
        <s v="Pura Wealth Management Ltd"/>
        <s v="Pure Wealth Limited"/>
        <s v="Pure Wealth Management Limited"/>
        <s v="Purely Financial Ltd"/>
        <s v="Purple Patch Independent Financial Planning Limited"/>
        <s v="Purple Wealth Ltd"/>
        <s v="PUZZLE FINANCIAL SOLUTIONS LLP"/>
        <s v="PWS Financial Consulting Limited"/>
        <s v="PX Wealth Limited"/>
        <s v="Pyrford Financial Planning Limited"/>
        <s v="QC Financial Management Limited"/>
        <s v="QED Financial Associates Ltd"/>
        <s v="QED Wealth Management Ltd"/>
        <s v="QHFS Limited"/>
        <s v="QI Financial Solutions Limited"/>
        <s v="QIB (UK) Plc"/>
        <s v="QMPF Llp"/>
        <s v="Quadrillion Wealth Management Limited"/>
        <s v="Quadros Financial Solutions Limited"/>
        <s v="Quantfury Trading UK Limited"/>
        <s v="Quantock Analytical Ltd"/>
        <s v="Quantum Actuarial LLP"/>
        <s v="Quantum Wealth Management Ltd"/>
        <s v="Quantum Wealth Planning Ltd"/>
        <s v="Quartet Capital Partners LLP"/>
        <s v="Quays Wealth Services Limited"/>
        <s v="Questa Financial Services Ltd"/>
        <s v="Questa Wealth &amp; Financial Planning Limited"/>
        <s v="Quigley &amp; Partners Limited"/>
        <s v="Quilter Cheviot Limited"/>
        <s v="Quilter Financial Limited"/>
        <s v="Quilter Financial Planning Solutions Limited"/>
        <s v="Quilter Financial Services Ltd"/>
        <s v="Quilter Wealth Ltd"/>
        <s v="Quinn &amp; Company (Financial Services) Limited"/>
        <s v="Quro Financial Solutions Ltd"/>
        <s v="R &amp; G FINANCIAL SERVICES LTD"/>
        <s v="R &amp; H Partnership"/>
        <s v="R C Brown Investment Management Plc"/>
        <s v="R D Wealth Management Limited"/>
        <s v="R H Financial Limited"/>
        <s v="R K Financial Services Limited"/>
        <s v="R M Harris"/>
        <s v="R T Financial Services UK Limited"/>
        <s v="R.A. Cowen &amp; Partners (Financial Services) Limited"/>
        <s v="R.C. McLeish Insurance Consultants Ltd"/>
        <s v="R.J. Hurst &amp; Partners Limited"/>
        <s v="R.L Stevenson Ltd"/>
        <s v="R&amp;S Associates Financial Planning Limited"/>
        <s v="RA Elmes Limited"/>
        <s v="Rachel Storey"/>
        <s v="Radcliffe &amp; Company (Life &amp; Pensions) Limited"/>
        <s v="Radcliffe and Newlands Wealth Limited"/>
        <s v="Radcliffe Cooper Limited"/>
        <s v="Radiant Financial Planning Limited"/>
        <s v="Raeburn Christie Clark &amp; Wallace LLP"/>
        <s v="Rafter Associates Financial Management Limited"/>
        <s v="Rainbourne Associates (Financial Services) Limited"/>
        <s v="Rainbow Consulting (Scot) Limited"/>
        <s v="Rainford Financial Services Ltd"/>
        <s v="Rainsford Financial Planning Ltd"/>
        <s v="Rajive Hensman"/>
        <s v="Ramsay Asset Management Limited"/>
        <s v="Ramsay Brown Financial Services Limited"/>
        <s v="Rapid Innovation Group Limited"/>
        <s v="Rapport Financial Planning Ltd"/>
        <s v="Rapport Financial Strategists Limited"/>
        <s v="Rapprocher Ltd"/>
        <s v="Rathbones Investment Management Limited"/>
        <s v="Raven Wealth Planning Ltd"/>
        <s v="Ravenscroft Investments (UK) Limited"/>
        <s v="Ravenshead Independent Financial Services Limited"/>
        <s v="Ravenstone Financial Ltd"/>
        <s v="Ravenstone Financial Management Limited"/>
        <s v="Raymond James Investment Services Ltd"/>
        <s v="RBC Europe Limited"/>
        <s v="RBS Associates"/>
        <s v="RDBIFS Ltd"/>
        <s v="RDS Financial Consultants Limited"/>
        <s v="RE Hutt Financial Services Limited"/>
        <s v="Readymoney Investments Limited"/>
        <s v="Real Life Financial Planning Ltd"/>
        <s v="Realm Investment Management Limited"/>
        <s v="Red Circle Financial Planning Limited"/>
        <s v="Red Dot (Cymru) Ltd"/>
        <s v="Red IFA (Nottingham) Limited"/>
        <s v="Red Kite Wealth Management Limited"/>
        <s v="Red Star Wealth Management Limited"/>
        <s v="Redd Wealth Management Limited"/>
        <s v="Redfield"/>
        <s v="Redland Wealth Management Group Limited"/>
        <s v="Redmayne-Bentley LLP"/>
        <s v="Redpath Financial Planning Limited"/>
        <s v="Redswan Limited"/>
        <s v="Redwood Employee Benefit Services Ltd"/>
        <s v="Redwood Financial Family Wealth and Estate Planners Ltd"/>
        <s v="Redwood Financial Management Ltd"/>
        <s v="Reed Financial Planning Ltd"/>
        <s v="Reed Independent Ltd"/>
        <s v="Reef Financial Limited"/>
        <s v="Rees Astley Independent Financial Advisers Limited"/>
        <s v="Reeve-Sims Ltd"/>
        <s v="Reeves Financial Services Limited"/>
        <s v="Reeves Independent Limited"/>
        <s v="Regal Independent Financial Services Ltd"/>
        <s v="Regan Financial Ltd"/>
        <s v="Regency Financial Consultancy LLP"/>
        <s v="Regentia Lifestyle Planning Limited"/>
        <s v="Regis Bentley Limited"/>
        <s v="Renaissance Financial Ltd"/>
        <s v="Renaissance IFA LLP"/>
        <s v="Research Independent Financial Services Limited"/>
        <s v="Research Vision Ltd"/>
        <s v="Resolute Financial Advisers LLP"/>
        <s v="Resolute Financial Planning Ltd"/>
        <s v="Resolution Partners Limited"/>
        <s v="Retirement Planning (UK) Ltd"/>
        <s v="Retirement Solutions (UK) Limited"/>
        <s v="Reyker Securities Plc"/>
        <s v="Reynolds Wealth Management Ltd"/>
        <s v="RF Trustee Co. Limited"/>
        <s v="RFC AMBRIAN LIMITED"/>
        <s v="RFC Financial Services Ltd"/>
        <s v="RFG Financial Management  Limited"/>
        <s v="RHA Financial Associates"/>
        <s v="RHA Financial Management LLP"/>
        <s v="Rhoss Dancey"/>
        <s v="Ribble Wealth Management Limited"/>
        <s v="Rice Whatmough Crozier LLP"/>
        <s v="Richard Bamber &amp; Company Limited"/>
        <s v="Richard Field Investment Limited"/>
        <s v="Richard H. Potts Financial Services Limited"/>
        <s v="Richard Hall"/>
        <s v="Richard Jacobs Pension and Trustee Services Limited"/>
        <s v="Richard Keen Insurance Brokers Limited"/>
        <s v="Richards Financial Limited"/>
        <s v="Richardson &amp; Associates Independent Financial &amp; Mortgage Services Limited"/>
        <s v="Richardson Premier Wealth Ltd"/>
        <s v="Richardsons Financial Services Limited"/>
        <s v="Richdale Brokers &amp; Financial Services Ltd"/>
        <s v="Richings Financial Management Ltd"/>
        <s v="Richmond House Wealth Management"/>
        <s v="Richmond IFA Ltd"/>
        <s v="Richmond Wealth LLP"/>
        <s v="Richmonde Laine Wealth Management Ltd"/>
        <s v="Rickard Lazenby Financial Services Ltd"/>
        <s v="Right Advice Limited"/>
        <s v="Right Financial Management Ltd"/>
        <s v="Ringrose Grimsley Ltd"/>
        <s v="Rippon Financial Management Limited"/>
        <s v="Risksave Technologies Ltd."/>
        <s v="Rite Wealth Ltd"/>
        <s v="Riverglen Financial Associates Ltd"/>
        <s v="Riverhead Financial Ltd"/>
        <s v="Riverpark Investment &amp; Financial Consultants Limited"/>
        <s v="RiverPeak Wealth Limited"/>
        <s v="Riverside Financial Planning Limited"/>
        <s v="Rixon Matthews Appleyard (Financial Services) Limited"/>
        <s v="Rizwan Javed"/>
        <s v="RJ Asset Management Ltd"/>
        <s v="RJH Mortgage and Financial Services Limited"/>
        <s v="RJM &amp; Associates (Hampton) Limited"/>
        <s v="RMB Financial Management (UK) Ltd"/>
        <s v="RMI Finance Ltd"/>
        <s v="RMP Financial LLP"/>
        <s v="RMS Wealth Management Limited"/>
        <s v="RNS Financial Services Limited"/>
        <s v="Roatan Consulting Limited"/>
        <s v="Robert Angell Financial Services Limited"/>
        <s v="Robert Anthony Ridout"/>
        <s v="Robert Baldwin"/>
        <s v="Robert Bruce Associates Limited"/>
        <s v="Robert Coventry"/>
        <s v="Robert Gerrard &amp; Westbrook Ltd"/>
        <s v="Robert Graham Financial Ltd"/>
        <s v="Robert Graham Harvie"/>
        <s v="Robert John McFarlane"/>
        <s v="Robert Miller Financial Management Ltd"/>
        <s v="Robert Milne Financial Advisers Limited"/>
        <s v="Robert Moreland Ltd"/>
        <s v="Robert Morrow Financial Services"/>
        <s v="Robert Nicholas Financial Advisers Ltd"/>
        <s v="Robert Sheppard"/>
        <s v="Roberts Boyt Limited"/>
        <s v="Roberts Clark Independent Financial Solutions Limited"/>
        <s v="Roberts Keen Independent Financial Advisers Ltd"/>
        <s v="Roberts Mackie Winstanley"/>
        <s v="Robertson Baxter Limited"/>
        <s v="Robin Christopher Singer"/>
        <s v="Robin Edward Hill"/>
        <s v="Robinson &amp; Co Financial Services Limited"/>
        <s v="Robinson Investment Solutions Ltd"/>
        <s v="Robinson Rose Wealth Management Ltd"/>
        <s v="Robinson Sterling NYC Financial Services LLP"/>
        <s v="Robson Financial Limited"/>
        <s v="Robson Laidler Financial Planning Limited"/>
        <s v="Robson Lister Limited"/>
        <s v="Robson MacIntosh &amp; Company Ltd"/>
        <s v="Rock Financial Advisors Ltd"/>
        <s v="Rock Wealth LLP"/>
        <s v="Rockingham Financial Services Ltd"/>
        <s v="Rockmas Capital Management Limited"/>
        <s v="Rockpool Investments LLP"/>
        <s v="Rockwood Financial Solutions Ltd"/>
        <s v="Roebridge Financial Management Limited"/>
        <s v="Rogate Capital Limited"/>
        <s v="Roger Graham Sheppard"/>
        <s v="Roger Hindle Financial Services Limited"/>
        <s v="Roger T Hulme Limited"/>
        <s v="Roland Ferri Financial Services Ltd"/>
        <s v="Rometsch &amp; Moor Limited"/>
        <s v="Romilly Associates IFA Limited"/>
        <s v="Rootes Wealth Management Limited"/>
        <s v="Rosan Helmsley Limited"/>
        <s v="Rosart Holdings Limited"/>
        <s v="Rose and North Limited"/>
        <s v="ROSE FINANCIAL SERVICES LIMITED"/>
        <s v="Rosecut Technologies Limited"/>
        <s v="Rosedale Financial Management"/>
        <s v="Rosemount Asset Management Ltd"/>
        <s v="Rosemount Financial Solutions (IFA) Limited"/>
        <s v="Rosemount Independent Financial Advisers Limited"/>
        <s v="Rosewood Wealth Management Ltd"/>
        <s v="Ross Bell Associates Ltd"/>
        <s v="Rossie House Investment Management LLP"/>
        <s v="Rotherwood Insurance Consultants"/>
        <s v="Rothesay Bennett Limited"/>
        <s v="Rothschild &amp; Co Equity Markets Solutions Limited"/>
        <s v="Rothschild &amp; Co Wealth Management UK Limited"/>
        <s v="Roundhouse Financial Services (London) Limited"/>
        <s v="Rouse Limited"/>
        <s v="Route Mortgages Ltd"/>
        <s v="Routledge Financial Limited"/>
        <s v="Rowan Dartington &amp; Co. Limited"/>
        <s v="Rowanbank Financial Consultants Limited"/>
        <s v="Rowe Financial and Insurance Services Ltd"/>
        <s v="Rowena Chowdrey"/>
        <s v="Rowlands &amp; Hames Insurance Brokers Limited"/>
        <s v="Rowley Turton (IFA) Ltd"/>
        <s v="Roxborough Wealth Management Limited"/>
        <s v="Royal Acres Financial"/>
        <s v="RPG Consulting Limited"/>
        <s v="RPG CROUCH CHAPMAN FINANCIAL SERVICES LIMITED"/>
        <s v="RSB Financial Ltd"/>
        <s v="RSW Advisory LLP"/>
        <s v="RTP Management Ltd"/>
        <s v="RTS Financial Planning Limited"/>
        <s v="Ruby Red Financial Planning Ltd"/>
        <s v="Ruffer LLP"/>
        <s v="Rupert Scholes"/>
        <s v="Rushton Ricard LLP"/>
        <s v="Russell &amp; Co Financial Advisers LLP"/>
        <s v="Russell Gibson Financial Management Limited"/>
        <s v="Ruth Whitehead Associates"/>
        <s v="Rutherford Asset Management Ltd"/>
        <s v="Rutherford Hughes Limited"/>
        <s v="Rutland Independent Wealth Management LLP"/>
        <s v="RVW WealthCare Ltd"/>
        <s v="RWC Corporate Benefits Limited"/>
        <s v="Ryedale Asset Management Ltd"/>
        <s v="S B Financial Solutions Limited"/>
        <s v="S D Greenway Ltd"/>
        <s v="S G Wealth Management Limited"/>
        <s v="S Johnson Wealth Management LLP"/>
        <s v="S K Nanda Financial Services"/>
        <s v="S R Smyth"/>
        <s v="S Rankin &amp; Co (Life &amp; Pensions) Limited"/>
        <s v="S W Financial Management Limited"/>
        <s v="S. P. Angel Corporate Finance LLP"/>
        <s v="S.F.S. Investments Limited"/>
        <s v="S.N.R. Brunt Partnership"/>
        <s v="S&amp;S Financial Solutions Limited"/>
        <s v="S&amp;S Mortgage Solutions Ltd"/>
        <s v="S&amp;T Asset Management LLP"/>
        <s v="S4 Financial Ltd"/>
        <s v="Sable Private Wealth Management Ltd"/>
        <s v="Safran (South West) Limited"/>
        <s v="Sage Advice Limited"/>
        <s v="Sage Financial Management Limited"/>
        <s v="Sage Roxborough Limited"/>
        <s v="Salisbury Financial Services Limited"/>
        <s v="Salonica Capital Limited"/>
        <s v="Saltus Financial Planning Limited"/>
        <s v="Saltus Partners LLP"/>
        <s v="Saltus Partnership Limited"/>
        <s v="SALTUS WEALTH PARTNERSHIP LIMITED"/>
        <s v="SAMGEM Associates Limited"/>
        <s v="Samuel L. Lamptey T/A The Dorchester Finance"/>
        <s v="Samuel Magill McDowell"/>
        <s v="Sancto Merricks Financial Planning Ltd"/>
        <s v="Sanctuary Financial Ltd"/>
        <s v="Sanctuary Wealth Planning Limited"/>
        <s v="Sancus Retirement Planning Limited"/>
        <s v="Sand Financial Planning Limited"/>
        <s v="Sanderson Financial Planning Limited"/>
        <s v="Sanderson Independent LLP"/>
        <s v="Sandle Nash Limited"/>
        <s v="Sandringham Financial Management"/>
        <s v="Sandringham Financial Partners Limited"/>
        <s v="Sandwell Financial Services Limited"/>
        <s v="Sandycross Wealth Management LLP"/>
        <s v="Santander UK Plc"/>
        <s v="Santorini Financial Planning Limited"/>
        <s v="Sapia Partners LLP"/>
        <s v="Saranac Partners Limited"/>
        <s v="Sardis Capital Limited"/>
        <s v="Sarus Select Capital Ltd"/>
        <s v="Sasha Hunt Limited"/>
        <s v="Satis Asset Management Limited"/>
        <s v="Saulsbury Independent Financial Planning Ltd"/>
        <s v="Saunderson House Limited"/>
        <s v="Save &amp; Invest (Financial Planning) Limited"/>
        <s v="SAVVY WEALTH MANAGEMENT LTD"/>
        <s v="Saxo Capital Markets UK Limited"/>
        <s v="Saxon Financial Advice Limited"/>
        <s v="SBN Advisors Limited"/>
        <s v="SCB Financial Services Ltd"/>
        <s v="Schaefer Financial Management Limited"/>
        <s v="SCHOFIELD MONEY LIMITED"/>
        <s v="Schroder &amp; Co Ltd"/>
        <s v="Schroder Wealth Management (US) Limited"/>
        <s v="Scotia Wealth Management Ltd"/>
        <s v="Scott and Casey Financial Management Limited"/>
        <s v="Scott Capital Partners LLP"/>
        <s v="Scott Financial Planning Limited"/>
        <s v="SCOTTISH WIDOWS LIMITED"/>
        <s v="Scottish Widows Schroder Personal Wealth Limited"/>
        <s v="Scottsbridge Financial Planning Ltd"/>
        <s v="Scottsdale IFA LLP"/>
        <s v="Scotzone Insurance Consultants Limited"/>
        <s v="Scrutton Bland Financial Services Limited"/>
        <s v="Sculthorp Services Limited"/>
        <s v="SDB Strategic Planners Limited"/>
        <s v="Seabrook Clark Ltd"/>
        <s v="Seago Butler + Stopps Financial Services Ltd"/>
        <s v="Sean Barry"/>
        <s v="Sean McCabe (Financial Adviser) Limited"/>
        <s v="Sebright Financial Services Limited"/>
        <s v="Secure Asset Funds Europe Ltd"/>
        <s v="Security Financial Services Ltd"/>
        <s v="Sedulo Wealth Management Limited"/>
        <s v="Seed Financial Planning Limited"/>
        <s v="Segbourne Financial Management Limited"/>
        <s v="Select Financial Solutions North East LLP"/>
        <s v="Select Wealth Management Limited"/>
        <s v="Select Wealth Managers Ltd."/>
        <s v="Self Financial Planners Limited"/>
        <s v="Selwyn Goldberg"/>
        <s v="Semiramiss Hosseinian"/>
        <s v="Seneca Partners Limited"/>
        <s v="Sense Financial Solutions Limited"/>
        <s v="Sense Network Limited"/>
        <s v="Sentient Wealth Management LTD"/>
        <s v="Sentry Financial Ltd"/>
        <s v="Sequence Advisers LLP"/>
        <s v="Sequoia Circle LLP"/>
        <s v="Seren Financial Advisers Ltd"/>
        <s v="SERENITY FINANCIAL PLANNING LTD"/>
        <s v="Servini Financial Planning Limited"/>
        <s v="Sett Valley Insurance Services"/>
        <s v="Seven Bridges IM Ltd"/>
        <s v="Seven Financial UK Limited"/>
        <s v="Seven Investment Management LLP"/>
        <s v="Seven Stars Asset Management Limited"/>
        <s v="Seven Street Wealth Ltd"/>
        <s v="Seventy Two Wealth Ltd"/>
        <s v="Severn Financial Services Limited"/>
        <s v="Severnside Financial Planning Ltd"/>
        <s v="SF Wealth Services Ltd"/>
        <s v="SFIA Wealth Management Limited"/>
        <s v="SG Finance Limited"/>
        <s v="SG Kleinwort Hambros Bank Limited"/>
        <s v="SGM Financial Management Ltd"/>
        <s v="SGW Wealth Management Ltd"/>
        <s v="Shackleton Advisers Limited"/>
        <s v="Shacklocks LLP"/>
        <s v="Shailesh Poptani"/>
        <s v="Shand Associates Ltd"/>
        <s v="Shape Pensions &amp; Advisory Services Ltd"/>
        <s v="Shard Capital Partners LLP"/>
        <s v="Sharon Deangelis"/>
        <s v="Shaun Carr Financial Services Limited"/>
        <s v="Shaun Keir Watson"/>
        <s v="Shaun Start Financial Planning"/>
        <s v="Sheila Tarr Limited"/>
        <s v="Sheldon Flanders Financial Services Ltd"/>
        <s v="Shepherd Independent Financial Advisers Limited"/>
        <s v="Sheppard Davies Asset Management Ltd"/>
        <s v="Sheraton Financial Planning Ltd"/>
        <s v="Sherpa Financial Solutions Limited"/>
        <s v="Sherwin Financial Services Ltd"/>
        <s v="Shetland Independent Financial Advisers"/>
        <s v="Shields Wealth Planning Ltd"/>
        <s v="Shipman Financial Planning Ltd"/>
        <s v="Shipman Wealth Management Ltd"/>
        <s v="SHK Finance Ltd"/>
        <s v="Shore Capital and Corporate Limited"/>
        <s v="Shore Capital Stockbrokers Ltd"/>
        <s v="Shore Financial Planning (Plymouth) Limited"/>
        <s v="Shore Financial Services Ltd"/>
        <s v="Shorestone Financial LLP"/>
        <s v="Shorts Financial Services LLP"/>
        <s v="Shropshire Independent Financial Services Limited"/>
        <s v="SI Capital Ltd"/>
        <s v="Sidekick Money Ltd"/>
        <s v="Sierra Asset Management Limited"/>
        <s v="Sigma Wealth Partners Ltd"/>
        <s v="Signet Financial Services (London) Limited"/>
        <s v="Significant  Financial Limited"/>
        <s v="Signpost Financial Planning Ltd"/>
        <s v="Silverwood Money Management Ltd"/>
        <s v="SimFin Financial limited"/>
        <s v="Simon Bray Wealth Management Ltd"/>
        <s v="Simon Carter"/>
        <s v="Simon Flather"/>
        <s v="Simon Hannam Ltd"/>
        <s v="Simon John Honey"/>
        <s v="Simon Karande Ltd"/>
        <s v="Simon McGregor"/>
        <s v="Simon Neal"/>
        <s v="Simon Potter Investments Limited"/>
        <s v="Simon Rowberry"/>
        <s v="Simon Strapp"/>
        <s v="Simone Grogan"/>
        <s v="Simple Financial Advice Limited"/>
        <s v="Simple Financial Planning Ltd"/>
        <s v="Simple Financial Services Ltd"/>
        <s v="Simple Solutions Financial Management Ltd"/>
        <s v="Simply 1 Financial Services Limited"/>
        <s v="Simply Advice Ltd"/>
        <s v="Simply Ethical Financial Services Ltd"/>
        <s v="Simply IFA Limited"/>
        <s v="Simply Pensions Ltd"/>
        <s v="Simpson &amp; Colvin Limited"/>
        <s v="Simpson Financial Services Ltd"/>
        <s v="Simpson Kelly Associates Ltd"/>
        <s v="Simpson Wood (Financial Services) Limited"/>
        <s v="Simpsons of Brighton IFA Limited"/>
        <s v="Singer Capital Markets Advisory LLP"/>
        <s v="Singer Capital Markets Securities Ltd"/>
        <s v="Single Point Financial Services Limited"/>
        <s v="Sire Ltd"/>
        <s v="Sired Ltd"/>
        <s v="Sirius Financial Planning Limited"/>
        <s v="Sirius Money Management Ltd"/>
        <s v="Sirius Wealth Management LLP"/>
        <s v="Sirrus Financial Planning Ltd"/>
        <s v="Six Q Financial Planning Limited"/>
        <s v="Sixty Three Capital Ltd"/>
        <s v="SJ Financial Advice Ltd"/>
        <s v="SJW Independent Financial Management Limited"/>
        <s v="SKF Trading Ltd"/>
        <s v="Skinner Financial Consultancy Limited"/>
        <s v="Skipton Building Society"/>
        <s v="Skipton Financial Services Ltd"/>
        <s v="Sky Blue Wealth Management Ltd"/>
        <s v="SKY Financial Limited"/>
        <s v="Sky Wealth Management Limited"/>
        <s v="Skybound Financial Planning Limited"/>
        <s v="SKYBOUND WEALTH MANAGEMENT LIMITED"/>
        <s v="Slaiyburn Financial Planning Ltd"/>
        <s v="Slater Financial Limited"/>
        <s v="Slater Investments Ltd"/>
        <s v="SLG Financial Solutions Limited"/>
        <s v="SM Solutions Ltd."/>
        <s v="Smart Financial Planning Ltd"/>
        <s v="SMB Wealth Management Ltd"/>
        <s v="SMC Financial Services Limited"/>
        <s v="SMCL3 Limited"/>
        <s v="SME Wealth Management Limited"/>
        <s v="SMG F S Limited"/>
        <s v="SMG Financial Management Limited"/>
        <s v="Smith &amp; Pinching Financial Services Ltd"/>
        <s v="Smith and Co Financial Services Ltd"/>
        <s v="Smith and Wardle Financial Consultants LLP"/>
        <s v="Smith Associates Financial Services Limited"/>
        <s v="Smith Robinson &amp; Co"/>
        <s v="Smith Square Partners LLP"/>
        <s v="Smith Weale Associates LLP"/>
        <s v="Smythe House Limited"/>
        <s v="SN Financial Services Ltd"/>
        <s v="Societe Generale"/>
        <s v="Solicitors Financial Centre Limited"/>
        <s v="Solomon's"/>
        <s v="Solutions Wealth Management Limited"/>
        <s v="Somerset WM Limited"/>
        <s v="Somerville Financial Services Limited"/>
        <s v="Somnium Financial Planning Limited"/>
        <s v="Sonar Financial Services Limited"/>
        <s v="Sophex Limited"/>
        <s v="Sorbus Partners LLP"/>
        <s v="Sound Advice Financial Management Limited"/>
        <s v="Sound Financial Advice Ltd"/>
        <s v="Sound Financial Management Ltd"/>
        <s v="Sound Financial Planning Ltd"/>
        <s v="South Herts Financial Services Limited"/>
        <s v="Southam Financial Planning Ltd"/>
        <s v="Southbank Investment Research Limited"/>
        <s v="Southern Wealth Associates Limited"/>
        <s v="Sovereign (Financial Services) Limited"/>
        <s v="Sovereign Financial Planners Limited"/>
        <s v="Sovereign Money Matters Ltd"/>
        <s v="SP Financial Management Limited"/>
        <s v="SPARK Advisory Partners Limited"/>
        <s v="Sparrows Capital Limited"/>
        <s v="Spayne Lindsay &amp; Co. LLP"/>
        <s v="Spear Financial Ltd"/>
        <s v="Spectrum Financial Solutions Ltd"/>
        <s v="Spectrum Independent Financial Services"/>
        <s v="Spectrum Wealth Management Ltd"/>
        <s v="Spence &amp; Partners Limited"/>
        <s v="Spencer Gardner Dickins Financial Services Ltd"/>
        <s v="Spencer Maynard W M Limited"/>
        <s v="Spend Time Ltd"/>
        <s v="SPF Private Clients Limited"/>
        <s v="Spicer and Yarwood Limited"/>
        <s v="SPM Dawson Whyte (Life &amp; Pensions) Limited"/>
        <s v="Spratt Financial Services Limited"/>
        <s v="SQ Wealth Limited"/>
        <s v="Square Mile Asset Management Limited"/>
        <s v="SR Investment Associates Ltd"/>
        <s v="SRC Financial Services Limited"/>
        <s v="SRG Financial Management Ltd"/>
        <s v="SRU Management Limited"/>
        <s v="St Andrew's Square Asset Management Limited"/>
        <s v="ST ANNE'S CAPITAL LIMITED"/>
        <s v="St George's Financial Services Ltd"/>
        <s v="St Johns Asset Management Limited"/>
        <s v="St Martin's Partners LLP"/>
        <s v="St Matthews Financial Services Ltd"/>
        <s v="ST PAULS FINANCIAL PLANNING LIMITED"/>
        <s v="St. Columb Financial Services Ltd"/>
        <s v="St. James's Place Wealth Management Plc"/>
        <s v="St. Mary's Private Wealth Limited"/>
        <s v="Stanbridge Wealth Limited"/>
        <s v="Standard Chartered Bank"/>
        <s v="Standard Life Assurance Limited"/>
        <s v="Stanhope Capital LLP"/>
        <s v="Star Financial Planning Limited"/>
        <s v="Star Financial Solutions Limited"/>
        <s v="Star House Financial Services Limited"/>
        <s v="Starck Uberoi Wealth Ltd"/>
        <s v="Starkey Financial Planning Limited"/>
        <s v="Start Financial Planning Limited"/>
        <s v="Statehouse Financial Management Limited"/>
        <s v="Steggles &amp; Co Limited"/>
        <s v="Stellar Financial Services"/>
        <s v="Stem Financial Ltd"/>
        <s v="Step-By-Step Financial Planners Limited"/>
        <s v="Stephanie Amber Croft"/>
        <s v="Stephen Andrew Riseley"/>
        <s v="Stephen Campbell"/>
        <s v="Stephen Devey"/>
        <s v="Stephen Ellis"/>
        <s v="Stephen Frederick Gordon"/>
        <s v="Stephen Holmes"/>
        <s v="Stephen McDine Limited"/>
        <s v="Stephen Trowbridge"/>
        <s v="Stephen Walters Financial Planning Ltd"/>
        <s v="Stephenson Johnson Financial Planning Limited"/>
        <s v="Stephenson Smart Financial Services Limited"/>
        <s v="Stepping Stones Financial Advisers Ltd"/>
        <s v="Stepping Stones Financial Solutions Limited"/>
        <s v="Stepping Stones Wealth Management Ltd"/>
        <s v="Sterling (Porthmadog) Cyf"/>
        <s v="Sterling &amp; Law Group Plc"/>
        <s v="Sterling Asset Management Limited"/>
        <s v="Sterling Financial Advisers Limited"/>
        <s v="Sterling Financial Services"/>
        <s v="Sterling Financial Services Limited"/>
        <s v="Sterling Independent Advisers LLP"/>
        <s v="Sterling North Limited"/>
        <s v="Sterling Scott Limited"/>
        <s v="Sterling Trust Professional Ltd"/>
        <s v="Steve Wassell Insurance Management Ltd"/>
        <s v="Steven Barton"/>
        <s v="Steven Day"/>
        <s v="Steven Ibbotson"/>
        <s v="Steven John O'Neill"/>
        <s v="Steven Martin &amp; Associates Ltd"/>
        <s v="Steven Mufti &amp; Associates Limited"/>
        <s v="Steven Wombwell"/>
        <s v="Stewardship Wealth Limited"/>
        <s v="Stewart Asset Management Limited"/>
        <s v="Stewart IFA Ltd"/>
        <s v="Stewart Investment Planning Limited"/>
        <s v="Stewart Lyon Limited"/>
        <s v="Stewart Wealth Management Ltd"/>
        <s v="Stiles &amp; Company Financial Services (Petersfield) Limited"/>
        <s v="Stiles &amp; Company Financial Services Ltd"/>
        <s v="Stirling Financial Management (UK) Limited"/>
        <s v="Stirling House Financial Services Limited"/>
        <s v="Stockcube Research Limited"/>
        <s v="Stockwell &amp; Bentley Associates Limited"/>
        <s v="Stone Financial Consultants Ltd"/>
        <s v="Stonehage Fleming Advisory Limited"/>
        <s v="Stonehage Fleming Investment Management Limited"/>
        <s v="Stonehage Fleming Wealth Planning Ltd"/>
        <s v="Stonehill Financial Limited"/>
        <s v="Stonehouse Financial Services Ltd"/>
        <s v="Stoneleigh Financial Services LLP"/>
        <s v="Stones Financial Limited"/>
        <s v="Stonewater Wealth Management Ltd"/>
        <s v="Stonewood Financial Planning Limited"/>
        <s v="Stonewood Wealth Management LLP"/>
        <s v="Storrar Crane Ltd"/>
        <s v="Storrs Wealth Planning Limited"/>
        <s v="Stover Financial Planners Ltd"/>
        <s v="Strabens Hall Ltd"/>
        <s v="Straight Talk Financial Planning Ltd"/>
        <s v="Strand Hanson Limited"/>
        <s v="Strata Financial Limited"/>
        <s v="Strata Financial Resourcing Ltd"/>
        <s v="Strata Technology Partners LLP"/>
        <s v="Stratagem Financial Planning Limited"/>
        <s v="Strategic Asset Managers Limited"/>
        <s v="Strategic Financial Planning (SFP) Ltd"/>
        <s v="Strategic Financial Solutions Limited"/>
        <s v="Strategic IFA Ltd"/>
        <s v="Strategic Investment Planning Ltd"/>
        <s v="Strategic Retirement Solutions Ltd"/>
        <s v="Strategic Solutions Financial Services"/>
        <s v="Strategic Vision Wealth Ltd"/>
        <s v="Strategic Wealth Management Limited"/>
        <s v="Strategic Wealth Partners Limited"/>
        <s v="Strathayr Financial Services LLP"/>
        <s v="Strathleven Financial Services Ltd"/>
        <s v="Stratiphy Limited"/>
        <s v="Stratos Markets Limited"/>
        <s v="Stratton Wealth Management Limited"/>
        <s v="Strawberry Financial Ltd"/>
        <s v="Streets Financial Consulting Limited"/>
        <s v="Strowz Ltd"/>
        <s v="Struan Financial Management Limited"/>
        <s v="STRUCTURED FINANCIAL PLANNING LTD."/>
        <s v="Stuart Binns &amp; Associates"/>
        <s v="Stuart Lacey and Associates Limited"/>
        <s v="Stuart Mulligan Ltd"/>
        <s v="Stuart Rowland Barnden"/>
        <s v="Studio 61 Wealth Management Limited"/>
        <s v="Sturdy Edwards (Financial Services) Limited"/>
        <s v="STYLE INSURANCE AND MORTGAGE SERVICES LIMITED"/>
        <s v="Sublime Business Financial Advisers Ltd"/>
        <s v="Succession Employee Benefit Solutions Limited"/>
        <s v="Succession Financial Management Limited"/>
        <s v="Succession Wealth Management Ltd"/>
        <s v="Suitable Financial Advice Ltd"/>
        <s v="Suited 2u Limited"/>
        <s v="Summerside Independent Ltd"/>
        <s v="Sun Global Investments Limited"/>
        <s v="Sunil Shah"/>
        <s v="Sunlaw Financial Planning Ltd"/>
        <s v="Sunrise Independent Financial Advisers Limited"/>
        <s v="SUPA 9 LIMITED"/>
        <s v="Supportive Financial Planning Limited"/>
        <s v="Supreme Wealth Management"/>
        <s v="Surrey Downs Financial Services Limited"/>
        <s v="Surrey Hills Financial Management Limited"/>
        <s v="Surrey Wealth LTD"/>
        <s v="Susan Rowley"/>
        <s v="Sussex Independent Financial Advisers Limited"/>
        <s v="Sustainable Wealth Management Ltd"/>
        <s v="Sutherland IFA Limited"/>
        <s v="Sutherland Independent Ltd"/>
        <s v="SUTTON MCGRATH HARTLEY (FINANCIAL SERVICES) LLP"/>
        <s v="Suttons Independent Financial Advisers Limited"/>
        <s v="SW Financial Planning"/>
        <s v="Swallow Financial Management LLP"/>
        <s v="Swallow Financial Planning LLP"/>
        <s v="SWC Independent Ltd"/>
        <s v="Sweeny Wealth Management Ltd"/>
        <s v="Sweetland Associates Limited"/>
        <s v="Swiss Finance Corporation Limited"/>
        <s v="Sykes Ihlenfeldt Limited"/>
        <s v="SYLVA FINANCIAL PLANNING LIMITED"/>
        <s v="Symphony Financial Advisers Limited"/>
        <s v="Symvan Capital Limited"/>
        <s v="Synergy Financial Products Limited"/>
        <s v="Synergy Markets Limited"/>
        <s v="Synergy Wealth Management Ltd"/>
        <s v="T &amp; M Financial Planning Limited"/>
        <s v="T B Patterson Associates"/>
        <s v="T J Green (Financial Services) Limited"/>
        <s v="T.M. Pullen"/>
        <s v="T.R.S. Independent Financial Advisers"/>
        <s v="Tacconis Advisors &amp; Co LLP"/>
        <s v="Tailored Financial Advice Ltd"/>
        <s v="Tailored Financial Planning Ltd"/>
        <s v="Tailored Financial Services Solutions Ltd"/>
        <s v="Tailored Retirement &amp; Investment Planning Limited"/>
        <s v="Tailored Wealth &amp; Trust Management Limited"/>
        <s v="Tailormade Financial Services Limited"/>
        <s v="Talbot Capital Ltd"/>
        <s v="Talis Financial Advisers Ltd"/>
        <s v="Tallow Financial Planning Limited"/>
        <s v="Tallychart Limited"/>
        <s v="Talon Associates Limited"/>
        <s v="Tamsel (UK) Limited"/>
        <s v="Tanager Wealth Management LLP"/>
        <s v="Tandem Financial Limited"/>
        <s v="Tandy Financial Services LLP"/>
        <s v="Tankard Wealth Limited"/>
        <s v="Tarran &amp; Co. Financial Planning Ltd"/>
        <s v="Taurus Global Financial Advisers Ltd"/>
        <s v="Tavira Financial Limited"/>
        <s v="Tavistock Insurance Services Limited"/>
        <s v="Tavistock Partners (UK) Limited"/>
        <s v="Tavistock Private Client Limited"/>
        <s v="Taylor &amp; Taylor Financial Services Ltd"/>
        <s v="Taylor Cobby LLP"/>
        <s v="Taylor Hartley Limited"/>
        <s v="Taylor Money Limited"/>
        <s v="Taylor Watson Financial Management Ltd"/>
        <s v="Taylor Withers &amp; Company"/>
        <s v="Taylormade Financial Planning LLP"/>
        <s v="Taylors Asset Management Ltd"/>
        <s v="Tayside Financial Planning Limited"/>
        <s v="Tayside Investments Ltd"/>
        <s v="TD Financial Ltd"/>
        <s v="TEBC Ltd"/>
        <s v="Tees Financial Limited"/>
        <s v="Teesside Financial Management Ltd"/>
        <s v="Telford Mann Limited"/>
        <s v="Tellsons Investors LLP"/>
        <s v="Tempest Associates Limited"/>
        <s v="Templar Financial Planning Ltd"/>
        <s v="Temple Bar CFP Limited"/>
        <s v="Temple Bar Independent Financial Advice Limited"/>
        <s v="Temple Gray Limited"/>
        <s v="Ten Wealth Management Limited"/>
        <s v="TenetConnect Limited"/>
        <s v="TenetConnect Services Limited"/>
        <s v="Terry King Financial Services Limited"/>
        <s v="Terry Lindsay &amp; Co Ltd"/>
        <s v="TERRY REED &amp; COMPANY LIMITED"/>
        <s v="Test Valley Financial Management Ltd"/>
        <s v="TFAS Wealth Ltd"/>
        <s v="TFG (Eastern) Limited"/>
        <s v="TFP Financial Planning Ltd"/>
        <s v="Thameside Financial Planning Limited"/>
        <s v="Thanks Wealth Planning Limited"/>
        <s v="The Acorn Partnership IFA LLP"/>
        <s v="The Aldra Group Ltd"/>
        <s v="The Arlo Group UK Limited"/>
        <s v="The Aspire Partnership LLP"/>
        <s v="The Avis &amp; Keith Partnership"/>
        <s v="The Bank of New York Mellon"/>
        <s v="The Bank of New York Mellon (International) Limited"/>
        <s v="The Bobby Dhanjal Practice Ltd"/>
        <s v="The Broughton Wilkins Partnership Ltd"/>
        <s v="The BT Partnership"/>
        <s v="The Carruth Financial Group Limited"/>
        <s v="The Choice IFA Network Limited"/>
        <s v="The Clifton Business Consultancy Ltd"/>
        <s v="The Co-operative Bank Plc"/>
        <s v="The Cosgrove Partnership LLP"/>
        <s v="The David Hewitt Partnership Limited"/>
        <s v="The Devereux Partnership LLP"/>
        <s v="The Ethical Investment Co-operative Limited"/>
        <s v="The Ethical Partnership Limited"/>
        <s v="The Exeter Practice Limited"/>
        <s v="The Finance Family Limited"/>
        <s v="The Finance Lab Ltd"/>
        <s v="The Financial Assets Management Consultancy Limited"/>
        <s v="The Financial Investment Consultancy"/>
        <s v="The Financial Partnership Advisers Ltd"/>
        <s v="The Financial Planning Centre Limited"/>
        <s v="The Financial Planning Corporation LLP"/>
        <s v="The Financial Planning Practice"/>
        <s v="The Financial Practice (UK) Ltd"/>
        <s v="The GMD Partnership"/>
        <s v="The Gray Partnership Limited"/>
        <s v="The Hartwood Group"/>
        <s v="The Harvest Partnership Limited"/>
        <s v="The Henley Life &amp; Pensions Consultancy"/>
        <s v="The Heritage Financial Planning Partnership"/>
        <s v="The Independent Advice Bureau Limited"/>
        <s v="The Independent Asset Management Company"/>
        <s v="The Informed Partnership Limited"/>
        <s v="The Insurance Partnership Financial Services Limited"/>
        <s v="The Internet IFA Ltd"/>
        <s v="The Kensington Friendly Collecting Society Ltd"/>
        <s v="The Langridge Partnership LLP"/>
        <s v="The Life &amp; Pensions Network Ltd"/>
        <s v="The Manor Partners Limited"/>
        <s v="The Marshall Partnership"/>
        <s v="The Matrix Model Group (UK) Ltd"/>
        <s v="The McHattie Group"/>
        <s v="The Minster Partnership Ltd"/>
        <s v="The Money Map (Financial Navigation) LLP"/>
        <s v="The Money Partnership Limited"/>
        <s v="The Moneytree Corporation Limited"/>
        <s v="The Mortgage and Protection Partnership Ltd"/>
        <s v="The National Farmers' Union Mutual Insurance Society Limited"/>
        <s v="The On-Line Partnership Limited"/>
        <s v="The Palmer Partnership (2014) Limited"/>
        <s v="The Path Financial Limited"/>
        <s v="The Pension Drawdown Company Limited"/>
        <s v="The Pension Planner Ltd"/>
        <s v="The Pension Review Business Limited"/>
        <s v="The Pensions Adviser Ltd"/>
        <s v="The Pentagon Partnership"/>
        <s v="The Premier Partnership Limited"/>
        <s v="The Prestige Family Ltd"/>
        <s v="The Private Office Limited"/>
        <s v="The Redlake Consultancy Ltd"/>
        <s v="The Robertsons &amp; Crawford Organization Limited"/>
        <s v="The Rock-Financial Management Companies Ltd"/>
        <s v="The Royal Bank of Scotland Plc"/>
        <s v="The Royal London Mutual Insurance Society Limited"/>
        <s v="The Safe Insurance Agency Limited"/>
        <s v="The SE7EN Group Ltd"/>
        <s v="The St. David's Partnership"/>
        <s v="The Stonegate Wealth Group Ltd"/>
        <s v="The Strachan Partnership Ltd"/>
        <s v="The Tavistock Partnership Limited"/>
        <s v="The Taylormade Financial Management LLP"/>
        <s v="The TJM Partnership Limited"/>
        <s v="The Wealth Care Partnership Limited"/>
        <s v="The Wealth Group Limited"/>
        <s v="The Wealth Harbour Limited"/>
        <s v="The Wealth Management Group LLP"/>
        <s v="The Wealth Management Partnership LLP"/>
        <s v="The Whitechurch Network Limited"/>
        <s v="The Wright Financial Company Ltd"/>
        <s v="Theisen Securities Limited"/>
        <s v="Theo Filippeos"/>
        <s v="Thesis Asset Management Limited"/>
        <s v="TheWealthPoint Management Ltd"/>
        <s v="Think Money Management Limited"/>
        <s v="Think Smart Finance Limited"/>
        <s v="Thinking Finance UK Ltd"/>
        <s v="Thomas And Gentry Independent Financial Advisors Limited"/>
        <s v="Thomas and Thomas Financial Services Ltd"/>
        <s v="Thomas Anthony Wealth Management Limited"/>
        <s v="Thomas Brannigan"/>
        <s v="Thomas Fear &amp; Co Limited"/>
        <s v="Thomas House Partnership LLP"/>
        <s v="Thomas Penn Partnership Ltd"/>
        <s v="Thomas Whiting Limited"/>
        <s v="Thomas, Carroll Independent Financial Advisers Limited"/>
        <s v="Thome Asset Management &amp; Asset Controlling"/>
        <s v="Thompson &amp; Richardson (Financial Services) Lincoln Limited"/>
        <s v="Thompson Cavendish Ltd"/>
        <s v="Thompson Financial Consulting Ltd"/>
        <s v="Thompson Jenner Financial Services Limited"/>
        <s v="Thompson Riddle Associates Ltd"/>
        <s v="Thomson Cooper"/>
        <s v="Thomson Ferrie LLP"/>
        <s v="Thomson Gray Wealth Management Limited"/>
        <s v="Thomson Tyndall Limited"/>
        <s v="Thomson Wealth Management Ltd"/>
        <s v="Thornbridge Investment Management LLP"/>
        <s v="Thornton &amp; Baines Independent Financial Advisers Limited"/>
        <s v="Thornton Financial Services Ltd"/>
        <s v="Thorntons Investment Management Ltd"/>
        <s v="Thorntons Wealth Management Limited"/>
        <s v="Three Counties Limited"/>
        <s v="Throgmorton Capital Management Limited"/>
        <s v="THROGMORTON FINANCIAL ADVICE LIMITED"/>
        <s v="Throgmorton Private Capital Ltd"/>
        <s v="Throgmorton Wealth Management Ltd"/>
        <s v="Thurlowe-Clarke Limited"/>
        <s v="TIC Financial Services (UK) Limited"/>
        <s v="Tideway Investment Partners LLP"/>
        <s v="Tier One Capital Ltd"/>
        <s v="Tier One Capital Wealth Management Limited"/>
        <s v="Time Financial Management Ltd"/>
        <s v="Timeline Wealth Management Ltd"/>
        <s v="Timely Wealth Management Ltd"/>
        <s v="TIML Ltd"/>
        <s v="Timmins Whittaker Ltd"/>
        <s v="Timothy Hugh Morland"/>
        <s v="Timothy James and Partners Ltd"/>
        <s v="Timothy John Pollitt"/>
        <s v="Tindle Wealth Management Limited"/>
        <s v="Tingley &amp; Cooper Ltd"/>
        <s v="Tisco Financial Planning Ltd"/>
        <s v="Titan Financial Planning Limited"/>
        <s v="Titan Private Wealth Limited"/>
        <s v="Titan Wealth Planning Limited"/>
        <s v="TK White &amp; Co Limited"/>
        <s v="TL Dallas Independent Financial Services Limited"/>
        <s v="TL Financial Consultancy Ltd"/>
        <s v="TM Asset Management Limited"/>
        <s v="TMS Capital Limited"/>
        <s v="Toddington Independent Financial Advice Ltd"/>
        <s v="Tom French &amp; Associates Limited"/>
        <s v="Tony Fenton &amp; Sons Wealth Management Limited"/>
        <s v="Tony Revans Financial Planning 2000 Limited"/>
        <s v="Tony Rogers Financial Management Limited"/>
        <s v="Tony Tyler Financial Services Ltd"/>
        <s v="Tony Walker Financial Planning Services Limited"/>
        <s v="Top Technology Ventures Limited"/>
        <s v="Topstone Capital Limited"/>
        <s v="Torch Financial Planning Limited"/>
        <s v="Torevell &amp; Partners Limited"/>
        <s v="Torphin Financial Planning Ltd"/>
        <s v="Tower House Financial Management Limited"/>
        <s v="Towers Watson Limited"/>
        <s v="Towers Whitehead Wealth Management Limited"/>
        <s v="Town &amp; Country Financial Planning Limited"/>
        <s v="Town &amp; Country Private Finance Limited"/>
        <s v="Town Close Financial Planning Limited"/>
        <s v="Townends Wealth Management Limited"/>
        <s v="Townsend McCormack Ltd"/>
        <s v="Tozer LLP"/>
        <s v="TPC Financial Management Ltd"/>
        <s v="TPD Wealth Management Limited"/>
        <s v="TPFA Limited"/>
        <s v="TPIO Limited"/>
        <s v="Tradeslide Trading Tech Limited"/>
        <s v="Trafalgar Financial Advisers"/>
        <s v="Trafford &amp; Houghton Financial Planning Ltd"/>
        <s v="Transatlantic Life Assurance Company Limited"/>
        <s v="Travis Yates Limited"/>
        <s v="Treasurer Wealth Management LLP"/>
        <s v="Trent River Capital Limited"/>
        <s v="Trentham Invest Ltd"/>
        <s v="Trevally Capital Advisers Ltd"/>
        <s v="Trevor Derek Fletcher"/>
        <s v="Trevor Downing Financial Management (IFA) Limited"/>
        <s v="Trevor William Kettle"/>
        <s v="TRF Limited"/>
        <s v="Tribe Impact Capital LLP"/>
        <s v="Trillium Financial Planning Ltd"/>
        <s v="Trilogy Financial Planning Limited"/>
        <s v="Tristan Brodbeck Financial Planning Ltd"/>
        <s v="True Bearing Ltd"/>
        <s v="True Capital Limited"/>
        <s v="True CFP Limited"/>
        <s v="True Potential Investments LLP"/>
        <s v="True Potential Wealth Management LLP"/>
        <s v="Truly Independent Limited"/>
        <s v="Truscott Wealth Management Limited"/>
        <s v="Trust KB2 Limited"/>
        <s v="Trust Matters Financial Services Ltd"/>
        <s v="Trust Will Plan Limited"/>
        <s v="Trusted Advisor Limited"/>
        <s v="Trusted Financial Planning Limited"/>
        <s v="Trusted Planning Limited"/>
        <s v="Trustlaw Financial Services Limited"/>
        <s v="TSB Bank plc"/>
        <s v="TSP Wealth LLP"/>
        <s v="TTR Barnes (Financial Services) Limited"/>
        <s v="Tuckers Legal &amp; Financial Services Ltd"/>
        <s v="Tudor Financial Options Ltd"/>
        <s v="Turpin Barker Armstrong"/>
        <s v="Turquoise International Limited"/>
        <s v="Tweed Financial Services Ltd"/>
        <s v="Tweedside Financial Services Ltd"/>
        <s v="Twigden Asset Management Limited"/>
        <s v="Twismo Financial Planning Ltd"/>
        <s v="Two Shires Wealth Management Ltd"/>
        <s v="Two10 Investment Services Limited"/>
        <s v="TWP Wealth Limited"/>
        <s v="TYBURN ASSET MANAGEMENT LTD"/>
        <s v="Tyrrell &amp; Company Independent Financial Advisers LLP"/>
        <s v="UBS AG"/>
        <s v="UBS Asset Management (UK) Ltd"/>
        <s v="UCAP Asset Management (UK) Ltd"/>
        <s v="Ucapital Asset Management LLP"/>
        <s v="UHY Financial Planning Limited"/>
        <s v="UK Investment Solutions Ltd"/>
        <s v="Ultimate Financial Solutions Ltd"/>
        <s v="Umbra Capital Partners LLP"/>
        <s v="UnaVida Wealth Management Ltd"/>
        <s v="Unbiased (Financial Advice) UK Ltd"/>
        <s v="Unbiased Financial Group LLP"/>
        <s v="Unbiased Financial Planning Limited"/>
        <s v="Union Bancaire Privee, UBP SA"/>
        <s v="Uniq Family Wealth Ltd"/>
        <s v="Unity Financial Consultants LLP"/>
        <s v="Unity Financial Planning Limited"/>
        <s v="Unity Wealth Management Limited"/>
        <s v="Universal Finance (Omagh) Ltd"/>
        <s v="Universe Financial Advice Ltd"/>
        <s v="UNLU SECURITIES UK LIMITED"/>
        <s v="Urquhart Asset Management Limited"/>
        <s v="USA/UK Financial Concierge Ltd"/>
        <s v="Utmost International Distribution Services Limited"/>
        <s v="Utopia Wealth Planning Ltd"/>
        <s v="Vale Asset Management"/>
        <s v="Vale Independent Financial Advisers Limited"/>
        <s v="Vale Insurance Services Limited"/>
        <s v="ValidPath Financial Limited"/>
        <s v="ValidPath Limited"/>
        <s v="Values To Vision Financial Planning Ltd"/>
        <s v="Van der Meulen Associates Limited"/>
        <s v="Vanderpant Financial Planning (New Malden) Ltd."/>
        <s v="Vanguard Asset Management, Ltd"/>
        <s v="VAR Capital Limited"/>
        <s v="VCAP Capital Ltd"/>
        <s v="Vedanta Hedging Ltd"/>
        <s v="Velarium Wealth Ltd"/>
        <s v="VenCap International plc"/>
        <s v="Venn Watson &amp; Company Ltd"/>
        <s v="Venture Alliance Corporate Finance Ltd"/>
        <s v="Venture Financial Services Ltd"/>
        <s v="Veracity Financial Planning Ltd"/>
        <s v="Verdant Financial Planning Limited"/>
        <s v="Verity Financial Planners Ltd"/>
        <s v="Verity Pensions Ltd"/>
        <s v="Verity Wealth Management LLP"/>
        <s v="Veritycorp Ltd"/>
        <s v="Vermeer Investment Management Ltd"/>
        <s v="Verso Investment Management LLP"/>
        <s v="Verso Wealth Management Limited"/>
        <s v="Vertis Private Wealth Management Limited"/>
        <s v="Verum Wealth Ltd"/>
        <s v="Verus Financial Planning Limited"/>
        <s v="Verus Financial Services Limited"/>
        <s v="Vesta Wealth Limited"/>
        <s v="Via Wealth Limited"/>
        <s v="Victoria Capital (UK) Ltd"/>
        <s v="Videre Financial Planning Ltd"/>
        <s v="Vie International Financial Services Ltd"/>
        <s v="Vincent Colley Investment Advisors Limited"/>
        <s v="Vinco Wealth Management Ltd"/>
        <s v="Vintage Asset Management Ltd"/>
        <s v="Vintage Corporate Limited"/>
        <s v="Vintage Wealth Management Limited"/>
        <s v="Virtu Financial Planning Ltd"/>
        <s v="Vision Financial Advisers Ltd"/>
        <s v="Vision Financial Strategies Ltd"/>
        <s v="Vision Independent Financial Advisors Limited"/>
        <s v="Vision Independent Financial Planning Ltd"/>
        <s v="Vita Financial Planning Ltd"/>
        <s v="Vita Wealth Management Ltd"/>
        <s v="Vital Financial Planning Ltd"/>
        <s v="Vivid Wealth Ltd"/>
        <s v="Vizion Wealth LLP"/>
        <s v="Vobis Limited"/>
        <s v="VSA Capital Limited"/>
        <s v="VWM Consulting Limited"/>
        <s v="W B Baxter Limited"/>
        <s v="W H Ireland Limited"/>
        <s v="W Wealth Management Ltd"/>
        <s v="W. Denis Financial Services Limited"/>
        <s v="W.G. STEWART FINANCIAL PLANNING LTD."/>
        <s v="W&amp;T Limited"/>
        <s v="W1 Financial Services Limited"/>
        <s v="Wade Financial Services Ltd"/>
        <s v="Wake up your Wealth LLP"/>
        <s v="Walden Capital Limited"/>
        <s v="Walford and Phelps"/>
        <s v="Walker Crips Financial Planning Limited"/>
        <s v="Walker Crips Investment Management Limited"/>
        <s v="Walker Watson Financial Services"/>
        <s v="Walker, Dunnett &amp; Co"/>
        <s v="Wallace Financial Services"/>
        <s v="Wallace Nichols Financial Services Ltd"/>
        <s v="Walmsley Baker (UK) Limited"/>
        <s v="Walpole Financial Ltd"/>
        <s v="Walter &amp; Partners Ltd"/>
        <s v="Warby Wealth Management"/>
        <s v="Ward Goodman Financial Services Ltd"/>
        <s v="Wardour Financial Planners Ltd"/>
        <s v="Wardour Partners Asset Management LLP"/>
        <s v="Wargrave &amp; Henley Financial Services Ltd"/>
        <s v="Warner Goodman LLP"/>
        <s v="Warner Matthews Limited"/>
        <s v="Warr &amp; Co Independent Financial Advisers Limited"/>
        <s v="Warren &amp; Co (Complete Financial Solutions) Ltd"/>
        <s v="Warren &amp; Warren"/>
        <s v="Warren Financial Planning Ltd"/>
        <s v="Warwick Financial Solutions Limited"/>
        <s v="Warwick Wealth Management Ltd"/>
        <s v="Warwickshire Independent Financial Services Ltd"/>
        <s v="Washington Square Ltd"/>
        <s v="Watchorn Financial Services Ltd"/>
        <s v="Waterbridge Financial Planning Limited"/>
        <s v="Waterford Investments"/>
        <s v="Watermark Wealth Management Limited"/>
        <s v="Watermead Financial Ltd"/>
        <s v="Waterside Wealth Management Limited"/>
        <s v="Watson Financial Planning Ltd"/>
        <s v="Watson French Limited"/>
        <s v="Watson Moore Independent Financial Advisers Ltd"/>
        <s v="Watson, Wood, and Sillars Limited"/>
        <s v="Watt Financial Planning"/>
        <s v="Watt Money Limited"/>
        <s v="WATTSIIS LTD"/>
        <s v="Waverley Court Consulting Ltd"/>
        <s v="Waverton Investment Management Limited"/>
        <s v="Waverton Wealth Planning LLP"/>
        <s v="Wayne Austin IFA Ltd"/>
        <s v="Waypoint Corporate Finance Limited"/>
        <s v="WDFS Limited"/>
        <s v="WDS Wealth Management Ltd"/>
        <s v="Wealth &amp; Prosperity Ltd"/>
        <s v="Wealth and Tax Management Limited"/>
        <s v="Wealth Aspirations LLP"/>
        <s v="Wealth At Work Limited"/>
        <s v="Wealth Experts Ltd"/>
        <s v="Wealth Generation LLP"/>
        <s v="Wealth Management &amp; Growth Limited"/>
        <s v="Wealth Management Experts Ltd"/>
        <s v="Wealth Matters Limited"/>
        <s v="Wealth of Advice Ltd"/>
        <s v="Wealth Protect Ltd"/>
        <s v="Wealth Solutions (UK) Limited"/>
        <s v="Wealth Solutions Ltd"/>
        <s v="Wealth Wizards Benefits Limited"/>
        <s v="Wealthcare Limited"/>
        <s v="Wealthcare Management Limited"/>
        <s v="Wealthflow Group Ltd"/>
        <s v="Wealthfusion Limited"/>
        <s v="Wealthline Ltd"/>
        <s v="Wealthmasters Financial Management Ltd"/>
        <s v="Wealthmax Financial Advisers Limited"/>
        <s v="WealthTek LLP"/>
        <s v="Wealthway Limited"/>
        <s v="WEALTHWIDE LIMITED"/>
        <s v="Wealthwise Corporate Financial Management Ltd"/>
        <s v="Wealthwise Financial Services Ltd"/>
        <s v="Wealthwise Financial Solutions Ltd"/>
        <s v="Weatherbys Bank Limited"/>
        <s v="Welby Associates Wealth Management Ltd"/>
        <s v="Weldons Wealth Management Ltd"/>
        <s v="Wellington Wealth (Glasgow) Limited"/>
        <s v="Wells Financial Limited"/>
        <s v="Wells Gibson Limited"/>
        <s v="Wellway Wealth Management LLP"/>
        <s v="Welrex Ltd"/>
        <s v="Wendover Financial Limited"/>
        <s v="Wensons Financial Ltd"/>
        <s v="Wesleyan Financial Services Ltd"/>
        <s v="Wessex Financial Planning Limited"/>
        <s v="Wessex Investment Management Limited"/>
        <s v="West End Financial Management Ltd"/>
        <s v="West Financial Management Co Limited"/>
        <s v="West Frazier Limited"/>
        <s v="West Midlands Wealth Management Ltd"/>
        <s v="West Park Investment Partnership Limited"/>
        <s v="West Riding Personal Financial Solutions Ltd"/>
        <s v="West Wake Price LLP"/>
        <s v="Westbury Asset Management Ltd"/>
        <s v="Westcotts Financial Management Limited"/>
        <s v="Westcourt Financial Services Limited"/>
        <s v="Westerby Investment Management Limited"/>
        <s v="Western Financial Planning Ltd"/>
        <s v="Westminster Wealth Management LLP"/>
        <s v="Weston Associates IFA Limited"/>
        <s v="Weston Murray &amp; Moore Limited"/>
        <s v="Weston-Cummins Limited"/>
        <s v="Westside Independent Financial Services LLP"/>
        <s v="Westward Financial Management Limited"/>
        <s v="Weybrook Financial Management Limited"/>
        <s v="WFS Consulting Limited"/>
        <s v="WG Partners LLP"/>
        <s v="Whateley Wealth Management Limited"/>
        <s v="Wheatfromchaff Limited"/>
        <s v="Wheble Financial Services Limited"/>
        <s v="Wheeler Wicks &amp; Company"/>
        <s v="Whinchat Financial Planning Ltd"/>
        <s v="Whitchurch IFA Limited"/>
        <s v="White Knight Group"/>
        <s v="Whitebeam Independent Financial Advice Ltd"/>
        <s v="Whitechurch Securities Limited"/>
        <s v="Whitefield Financial Services Ltd"/>
        <s v="Whitefriars Financial Services Limited"/>
        <s v="Whitegate Financial Services Limited"/>
        <s v="Whitehall Partnership LLP"/>
        <s v="Whitehill Financial Management Limited"/>
        <s v="Whitehouse Money Ltd"/>
        <s v="Whiteleaf Financial Limited"/>
        <s v="Whiteleys Financial Management LLP"/>
        <s v="Whitewell Financial Planning Limited"/>
        <s v="Whiting Group Limited"/>
        <s v="Whitings Wealth Management Limited"/>
        <s v="Whitley Asset Management Ltd"/>
        <s v="WHITMAN ASSET MANAGEMENT LIMITED"/>
        <s v="Whitman Fry Wealth Management Limited"/>
        <s v="Whittaker Financial Solutions Limited"/>
        <s v="Whitworth Financial Planning Ltd"/>
        <s v="WHN Solicitors Limited"/>
        <s v="Whyte Sharp Independent LLP"/>
        <s v="Widelist Investments Limited"/>
        <s v="Wieldmore Investment Management Limited"/>
        <s v="Wigmore Associates Wealth Management Ltd"/>
        <s v="Wilcocks &amp; Associates Ltd"/>
        <s v="Wilcox Financial Planning Limited"/>
        <s v="Wild &amp; Company Limited"/>
        <s v="Wildin &amp; Co"/>
        <s v="Wilfred T. Fry (Personal Financial Planning) Limited"/>
        <s v="Wilkinson Financial Management Ltd"/>
        <s v="WILLDAY WEALTH MANAGEMENT LIMITED"/>
        <s v="William Braddock LLP"/>
        <s v="William Glass &amp; Company Ltd"/>
        <s v="William Gow"/>
        <s v="William H Howard Ltd"/>
        <s v="William Highbourne Wealth Management Limited"/>
        <s v="William James Financial Services Limited"/>
        <s v="William Stuart James Goodwin"/>
        <s v="William White"/>
        <s v="Williams Farrall Woodward Ltd"/>
        <s v="Williams Financial Planning Limited"/>
        <s v="Williams Investment Management LLP"/>
        <s v="Willis &amp; Company (Insurance Brokers) Limited"/>
        <s v="Willow Financial Planning Limited"/>
        <s v="Wills &amp; Trusts Independent Financial Planning Limited"/>
        <s v="Willson Grange Limited"/>
        <s v="WILLU Invest Limited"/>
        <s v="Wilson Chambers Limited"/>
        <s v="Wilson Edwards LLP"/>
        <s v="Wiltshire Friendly Society Limited"/>
        <s v="Winchester Investment Solutions Ltd"/>
        <s v="Winders Financial Services Limited"/>
        <s v="Windmill Financial Services Ltd"/>
        <s v="Windsor Financial Planning Limited"/>
        <s v="Windsor Financial Services"/>
        <s v="Windsor Private Office Financial Planning LLP"/>
        <s v="Windsor Private Office Investment Management Limited"/>
        <s v="Windsor Wealth Management Limited"/>
        <s v="Wingate Wealth Management Ltd"/>
        <s v="Winshaw Corporate Solutions Limited"/>
        <s v="Winter Dean Partnership LLP"/>
        <s v="Wirral Financial Services Ltd"/>
        <s v="WIS Contractor Mortgages Ltd"/>
        <s v="Wisdom Consulting Limited"/>
        <s v="Wise Investments Ltd"/>
        <s v="WiseAlpha Technologies Limited"/>
        <s v="Wiser Wealth Limited"/>
        <s v="Wisley Family Wealth Limited"/>
        <s v="Witham Financial Services Limited"/>
        <s v="Witham Phoenix Limited"/>
        <s v="Withybrook Financial Consultants Ltd"/>
        <s v="Withycombe Financial Services Limited"/>
        <s v="WKM Wealth Ltd"/>
        <s v="WM Thomson &amp; Sons"/>
        <s v="Womble Bond Dickinson Wealth Limited"/>
        <s v="Wood Kirkbride Independent Financial Advisers Limited"/>
        <s v="Woodcote Financial Ltd"/>
        <s v="Woodgrange Associates (IFA) Ltd"/>
        <s v="Woodruff Financial Planning Limited"/>
        <s v="Woodside Financial Planning Ltd"/>
        <s v="Woodward Financials Limited"/>
        <s v="Woodward Markwell Financial Advisers Limited"/>
        <s v="Woodwards Financial Planning Limited"/>
        <s v="Woolley &amp; Harris Independent Financial Advisers Limited"/>
        <s v="Work Life Wealth Limited"/>
        <s v="Worldwide Financial Planning Ltd"/>
        <s v="WPS ADVISORY Ltd"/>
        <s v="Wren Investment Office Limited"/>
        <s v="WREN STERLING FINANCIAL PLANNING LIMITED"/>
        <s v="Wright Financial Management Limited"/>
        <s v="Wright, Johnston &amp; MacKenzie LLP"/>
        <s v="Wrightnow Financial Limited"/>
        <s v="WTB Financial Consultancy"/>
        <s v="www.addingvalue4u.com Limited"/>
        <s v="Wyatt Morris Golland (F S) Ltd."/>
        <s v="Wychwood Financial Services Limited"/>
        <s v="Wynford Davies &amp; Co"/>
        <s v="Wynnstay Financial Consultancy"/>
        <s v="x2 Wealth Management Ltd"/>
        <s v="Xentum Limited"/>
        <s v="XL Independent Financial Advisers Ltd"/>
        <s v="XPAT Limited"/>
        <s v="Y Tree Limited"/>
        <s v="Yates Financial Planning Ltd"/>
        <s v="Yellow Bear Financial Consultancy LLP"/>
        <s v="Yellowstone Advisory Limited"/>
        <s v="Yellowtail Financial Planning Ltd"/>
        <s v="Yew Tree Financial Planning Ltd"/>
        <s v="Yodelar Investments Limited"/>
        <s v="Yoke Financial Consultants Limited"/>
        <s v="Yorke Finance Ltd"/>
        <s v="Yorkshire Independent Financial Advisers Limited"/>
        <s v="Yorkshire Wealth Management Ltd"/>
        <s v="YOU Asset Management Limited"/>
        <s v="Your Finance Matters Limited"/>
        <s v="Your Future Your Money Limited"/>
        <s v="Yours Financially Ltd"/>
        <s v="Yule Financial Services Ltd"/>
        <s v="YVONNE GOODWIN WEALTH MANAGEMENT LIMITED"/>
        <s v="Zenith Asset Management Ltd"/>
        <s v="Zenith Bank (UK) Limited"/>
        <s v="Zeus Capital Limited"/>
        <s v="Zeus Investment Management Limited"/>
        <s v="Zigma Financial Services Limited"/>
        <s v="Zinga Financial Services Limited"/>
        <s v="Zodiac Wealth Management Limited"/>
      </sharedItems>
    </cacheField>
    <cacheField name="Location" numFmtId="0">
      <sharedItems containsBlank="1" containsMixedTypes="1" containsNumber="1" containsInteger="1" minValue="0" maxValue="0" count="1046">
        <n v="0"/>
        <s v="Abercynon"/>
        <s v="Aberdeen"/>
        <s v="Aberdeenshire"/>
        <s v="Abergavenny"/>
        <s v="Aberystwyth"/>
        <s v="Abingdon"/>
        <s v="Accrington"/>
        <s v="Addlestone"/>
        <s v="Airdrie"/>
        <s v="Alderley Edge"/>
        <s v="Aldershot"/>
        <s v="Alexandria"/>
        <s v="Alfreton"/>
        <s v="Alresford"/>
        <s v="Alton"/>
        <s v="Altrincham"/>
        <s v="Alva"/>
        <s v="Amersham"/>
        <s v="Ammanford"/>
        <s v="Andover"/>
        <s v="Anlaby"/>
        <s v="Annan"/>
        <s v="Appledore"/>
        <s v="Armagh"/>
        <s v="Arundel"/>
        <s v="Ascot"/>
        <s v="Ashbourne"/>
        <s v="Ashby-De-La-Zouch"/>
        <s v="Ashford"/>
        <s v="Ashtead"/>
        <s v="Ashton-on-Ribble"/>
        <s v="Ashton-under-Lyne"/>
        <s v="Auchterarder"/>
        <s v="Aylesbury"/>
        <s v="Aylesford"/>
        <s v="Ayr"/>
        <s v="Bacup"/>
        <s v="Bagshot"/>
        <s v="Bakewell"/>
        <s v="Baldock"/>
        <s v="Balivanich"/>
        <s v="Ballycastle"/>
        <s v="Ballyclare"/>
        <s v="Ballymena"/>
        <s v="Ballymoney"/>
        <s v="Bampton"/>
        <s v="Banbridge"/>
        <s v="Banbury"/>
        <s v="Banchory"/>
        <s v="Banff"/>
        <s v="Bangor"/>
        <s v="Banstead"/>
        <s v="Barking"/>
        <s v="Barnet"/>
        <s v="Barnsley"/>
        <s v="Barnstaple"/>
        <s v="Barrow In Furness"/>
        <s v="Barrow-in-Furness"/>
        <s v="Barrowford"/>
        <s v="Barry"/>
        <s v="Basildon"/>
        <s v="Basingstoke"/>
        <s v="Bath"/>
        <s v="Bathgate"/>
        <s v="Batley"/>
        <s v="Battle"/>
        <s v="Beaconsfield"/>
        <s v="Beccles"/>
        <s v="Beckenham"/>
        <s v="Bedford"/>
        <s v="Bedfordshire"/>
        <s v="Bedworth"/>
        <s v="Belfast"/>
        <s v="Bellshill"/>
        <s v="Belper"/>
        <s v="Belvedere"/>
        <s v="Benfleet"/>
        <s v="Berkhamsted"/>
        <s v="Berkshire"/>
        <s v="Berwick-upon-Tweed"/>
        <s v="Betchworth"/>
        <s v="Beverley"/>
        <s v="Bewdley"/>
        <s v="Bexhill-on-Sea"/>
        <s v="Bexley"/>
        <s v="Bexleyheath"/>
        <s v="Bicester"/>
        <s v="Bideford"/>
        <s v="Bigby"/>
        <s v="Biggar"/>
        <s v="Biggleswade"/>
        <s v="Billericay"/>
        <s v="Billingham"/>
        <s v="Billingshurst"/>
        <s v="Bilston"/>
        <s v="Bingley"/>
        <s v="Birmingham"/>
        <s v="Bishop Auckland"/>
        <s v="Bishop's Stortford"/>
        <s v="Blackburn"/>
        <s v="Blackpool"/>
        <s v="Blandford Forum"/>
        <s v="Blyth"/>
        <s v="Bodmin"/>
        <s v="Bognor Regis"/>
        <s v="Boldon Colliery"/>
        <s v="BOLTON"/>
        <s v="Bonnyrigg"/>
        <s v="Bordon"/>
        <s v="Borehamwood"/>
        <s v="Bourne End"/>
        <s v="Bournemouth"/>
        <s v="Bracknell"/>
        <s v="Bradford"/>
        <s v="Bradford-on-Avon"/>
        <s v="Braintree"/>
        <s v="Brandesburton"/>
        <s v="Brantham"/>
        <s v="Brecon"/>
        <s v="Brentford"/>
        <s v="Brentwood"/>
        <s v="Bridge of Weir"/>
        <s v="Bridgend"/>
        <s v="Bridgnorth"/>
        <s v="Bridgwater"/>
        <s v="Bridlington"/>
        <s v="Bridport"/>
        <s v="Brierley Hill"/>
        <s v="Brigg"/>
        <s v="Brighouse"/>
        <s v="Brighton"/>
        <s v="Bristol"/>
        <s v="Brixham"/>
        <s v="Broadstairs"/>
        <s v="Broadstone"/>
        <s v="Broadway"/>
        <s v="Bromley"/>
        <s v="Bromsgrove"/>
        <s v="Broughton-in-Furness"/>
        <s v="Buckfastleigh"/>
        <s v="Buckinghamshire"/>
        <s v="Builth Wells"/>
        <s v="Bungay"/>
        <s v="Burford"/>
        <s v="Burgess Hill"/>
        <s v="Burnham-on-Sea"/>
        <s v="Burnley"/>
        <s v="Burntwood"/>
        <s v="Burscough"/>
        <s v="Burton upon Trent"/>
        <s v="Burton-on-Trent"/>
        <s v="Bury"/>
        <s v="Bury St Edmunds"/>
        <s v="Bury St. Edmunds"/>
        <s v="Bushey"/>
        <s v="Buxton"/>
        <s v="Caernarfon"/>
        <s v="Caerphilly"/>
        <s v="Calne"/>
        <s v="Camberley"/>
        <s v="Cambridge"/>
        <s v="Cambridgeshire"/>
        <s v="Campbeltown"/>
        <s v="Cannock"/>
        <s v="Canterbury"/>
        <s v="Cardiff"/>
        <s v="Carlisle"/>
        <s v="Carluke"/>
        <s v="Carmarthen"/>
        <s v="Carnforth"/>
        <s v="Carrickfergus"/>
        <s v="Castle Douglas"/>
        <s v="Castle Eden"/>
        <s v="Castlederg"/>
        <s v="Castleford"/>
        <s v="Caterham"/>
        <s v="Central Milton Keynes"/>
        <s v="Chadwich"/>
        <s v="Chalfont St. Giles"/>
        <s v="Chandlers Ford"/>
        <s v="Chatham"/>
        <s v="Chatteris"/>
        <s v="Cheadle"/>
        <s v="Cheam"/>
        <s v="CHEDDAR"/>
        <s v="Chelmsford"/>
        <s v="Cheltenham"/>
        <s v="Chepstow"/>
        <s v="Chertsey"/>
        <s v="Chesham"/>
        <s v="Cheshire"/>
        <s v="Cheshire West and Chester"/>
        <s v="Cheshunt"/>
        <s v="Chessington"/>
        <s v="Chester"/>
        <s v="Chester le Street"/>
        <s v="Chesterfield"/>
        <s v="Chichester"/>
        <s v="Chinnor"/>
        <s v="Chippenham"/>
        <s v="Chipping Campden"/>
        <s v="Chipping Norton"/>
        <s v="Chislehurst"/>
        <s v="Chorley"/>
        <s v="Christchurch"/>
        <s v="Church Stretton"/>
        <s v="Cinderford"/>
        <s v="Cirencester"/>
        <s v="Clacton-on-Sea"/>
        <s v="Cleckheaton"/>
        <s v="Clevedon"/>
        <s v="Clitheroe"/>
        <s v="Clydebank"/>
        <s v="Co. Durham"/>
        <s v="Coalville"/>
        <s v="Coatbridge"/>
        <s v="Cobham"/>
        <s v="Cockermouth"/>
        <s v="Colchester"/>
        <s v="Coleraine"/>
        <s v="Colne"/>
        <s v="Colwyn Bay"/>
        <s v="Comrie"/>
        <s v="Congleton"/>
        <s v="Consett"/>
        <s v="Conwy"/>
        <s v="Corby"/>
        <s v="Cornwall"/>
        <s v="Corsham"/>
        <s v="Coulsdon"/>
        <s v="County Antrim"/>
        <s v="County Armagh"/>
        <s v="County Down"/>
        <s v="Coventry"/>
        <s v="Cowbridge"/>
        <s v="Cowes"/>
        <s v="Cradley Heath"/>
        <s v="Craigavon"/>
        <s v="Cramlington"/>
        <s v="Cranbrook"/>
        <s v="Cranfield"/>
        <s v="Cranham"/>
        <s v="Cranleigh"/>
        <s v="Craven Arms"/>
        <s v="Crawley"/>
        <s v="Crediton"/>
        <s v="Crewe"/>
        <s v="Crewkerne"/>
        <s v="Crickhowell"/>
        <s v="Crieff"/>
        <s v="Cromer"/>
        <s v="Crook"/>
        <s v="Crosby"/>
        <s v="Crowborough"/>
        <s v="Crowthorne"/>
        <s v="Croydon"/>
        <s v="Cuffley, Potters Bar"/>
        <s v="culham"/>
        <s v="Cullompton"/>
        <s v="Cumbernauld"/>
        <s v="Cumbria"/>
        <s v="Cumnock"/>
        <s v="Cupar"/>
        <s v="Currie"/>
        <s v="Cwmbran"/>
        <s v="Dalton-in-Furness"/>
        <s v="Darlington"/>
        <s v="Dartford"/>
        <s v="Dartmouth"/>
        <s v="Datchet"/>
        <s v="Daventry"/>
        <s v="Dawlish"/>
        <s v="Deal"/>
        <s v="Deddington"/>
        <s v="Deeside"/>
        <s v="Denbighshire"/>
        <s v="Derby"/>
        <s v="Derbyshire"/>
        <s v="Dereham"/>
        <s v="Derry"/>
        <s v="Desford"/>
        <s v="Devizes"/>
        <s v="Devon"/>
        <s v="Didcot"/>
        <s v="Dinas Powys"/>
        <s v="Dingwall"/>
        <s v="Diss"/>
        <s v="Dolgellau"/>
        <s v="Dollar"/>
        <s v="Donaghadee"/>
        <s v="Doncaster"/>
        <s v="Dorchester"/>
        <s v="Dorking"/>
        <s v="Dorset"/>
        <s v="Dover"/>
        <s v="DOWNPATRICK"/>
        <s v="Driffield"/>
        <s v="Droitwich"/>
        <s v="Dronfield"/>
        <s v="Dudley"/>
        <s v="Dumbarton"/>
        <s v="Dumfries"/>
        <s v="Dumfriesshire"/>
        <s v="Dunbar"/>
        <s v="Dunblane"/>
        <s v="Dundee"/>
        <s v="Dunfermline"/>
        <s v="Dungannon"/>
        <s v="Dunmow"/>
        <s v="Dunoon"/>
        <s v="Dunstable"/>
        <s v="Durham"/>
        <s v="Dursley"/>
        <s v="East Ayton"/>
        <s v="East Bergholt"/>
        <s v="East Boldon"/>
        <s v="East Grinstead"/>
        <s v="East Kilbride"/>
        <s v="East Molesey"/>
        <s v="East Riding of Yorkshire"/>
        <s v="East Sussex"/>
        <s v="East Yorkshire"/>
        <s v="Eastbourne"/>
        <s v="Eastleigh"/>
        <s v="Ebbw Vale"/>
        <s v="Eccleshall"/>
        <s v="Edenbridge"/>
        <s v="Edgware"/>
        <s v="Edinburgh"/>
        <s v="Egham"/>
        <s v="Egremont"/>
        <s v="Elgin"/>
        <s v="Elland"/>
        <s v="Ellesmere"/>
        <s v="Ellesmere Port"/>
        <s v="Ellon"/>
        <s v="Elstree"/>
        <s v="Ely"/>
        <s v="Emsworth"/>
        <s v="Enfield"/>
        <s v="Enniskillen"/>
        <s v="Epping"/>
        <s v="Epsom"/>
        <s v="Epworth"/>
        <s v="Erskine"/>
        <s v="Esher"/>
        <s v="Essex"/>
        <s v="Etchingham"/>
        <s v="Evesham"/>
        <s v="Ewell"/>
        <s v="Exeter"/>
        <s v="Exmouth"/>
        <s v="Eye"/>
        <s v="Fair Oak"/>
        <s v="Falkirk"/>
        <s v="Falmouth"/>
        <s v="Fareham"/>
        <s v="Faringdon"/>
        <s v="Farnborough"/>
        <s v="Farnham"/>
        <s v="Farningham"/>
        <s v="Farnsfield"/>
        <s v="Felixstowe"/>
        <s v="Ferndown"/>
        <s v="Fetcham"/>
        <s v="Flackwell Heath"/>
        <s v="Fleet"/>
        <s v="Flintshire"/>
        <s v="Fochabers"/>
        <s v="Folkestone"/>
        <s v="Fordingbridge"/>
        <s v="Forest Row"/>
        <s v="Fort William"/>
        <s v="Fortrose"/>
        <s v="Fowey"/>
        <s v="Framlingham"/>
        <s v="Frinton-on-Sea"/>
        <s v="Frodsham"/>
        <s v="Frome"/>
        <s v="Gainsborough"/>
        <s v="Galashiels"/>
        <s v="Garforth"/>
        <s v="Gateshead"/>
        <s v="Gatwick"/>
        <s v="Gerrards Cross"/>
        <s v="Gillingham"/>
        <s v="Glasgow"/>
        <s v="Glenrothes"/>
        <s v="Glossop"/>
        <s v="Gloucester"/>
        <s v="Gloucestershire"/>
        <s v="Godalming"/>
        <s v="Godstone"/>
        <s v="Goole"/>
        <s v="Grange-over-Sands"/>
        <s v="Grantham"/>
        <s v="Gravesend"/>
        <s v="Great Missenden"/>
        <s v="Great Yarmouth"/>
        <s v="Greater Manchester"/>
        <s v="Greenford"/>
        <s v="Greenock"/>
        <s v="Grimsby"/>
        <s v="Groesffordd"/>
        <s v="Guildford"/>
        <s v="Guisborough"/>
        <s v="Haddington"/>
        <s v="Hagley"/>
        <s v="Hailsham"/>
        <s v="Hale"/>
        <s v="Halesowen"/>
        <s v="Halifax"/>
        <s v="Halsall"/>
        <s v="Hamilton"/>
        <s v="Hampshire"/>
        <s v="Hampton HIll"/>
        <s v="Hampton Wick"/>
        <s v="Handforth"/>
        <s v="Harleston"/>
        <s v="Harlow"/>
        <s v="Harpenden"/>
        <s v="Harrogate"/>
        <s v="Harrow"/>
        <s v="Hartlepool"/>
        <s v="Hartley Wintney"/>
        <s v="Harwell"/>
        <s v="Haslemere"/>
        <s v="Hassocks"/>
        <s v="Hatfield"/>
        <s v="Hatton"/>
        <s v="Havant"/>
        <s v="Haverfordwest"/>
        <s v="Haverhill"/>
        <s v="Hawarden"/>
        <s v="Hayes"/>
        <s v="Haywards Heath"/>
        <s v="Heathfield"/>
        <s v="Hebden Bridge"/>
        <s v="Helensburgh"/>
        <s v="Helston"/>
        <s v="Hemel Hempstead"/>
        <s v="Hengoed"/>
        <s v="Henley in Arden"/>
        <s v="Henley-in-Arden"/>
        <s v="Henley-on-Thames"/>
        <s v="Hereford"/>
        <s v="Herefordshire"/>
        <s v="Hersham"/>
        <s v="Hertford"/>
        <s v="Hertfordshire"/>
        <s v="Herts"/>
        <s v="Hessle"/>
        <s v="Hexham"/>
        <s v="Heywood"/>
        <s v="High Legh"/>
        <s v="High Peak"/>
        <s v="High Wycombe"/>
        <s v="Hillingdon"/>
        <s v="Hillsborough"/>
        <s v="Hinckley"/>
        <s v="Hindhead"/>
        <s v="Hitchin"/>
        <s v="Hockley"/>
        <s v="Hoddesdon"/>
        <s v="Holmfirth"/>
        <s v="Holt"/>
        <s v="Holywell"/>
        <s v="Holywood"/>
        <s v="Honiton"/>
        <s v="Hook"/>
        <s v="Horley"/>
        <s v="Horncastle"/>
        <s v="Hornchurch"/>
        <s v="Horsham"/>
        <s v="Houghton le Spring"/>
        <s v="Hounslow"/>
        <s v="Hove"/>
        <s v="Huddersfield"/>
        <s v="Hull"/>
        <s v="Hungerford"/>
        <s v="Huntingdon"/>
        <s v="Huntly"/>
        <s v="Hurst"/>
        <s v="Hyde"/>
        <s v="Hythe"/>
        <s v="Ilford"/>
        <s v="Ilkeston"/>
        <s v="Ilkley"/>
        <s v="Illogan"/>
        <s v="Ilminster"/>
        <s v="Ingatestone"/>
        <s v="Insch"/>
        <s v="Inverness"/>
        <s v="Inverurie"/>
        <s v="Ipswich"/>
        <s v="Irvine"/>
        <s v="Isle Of Arran"/>
        <s v="Isleworth"/>
        <s v="Ivybridge"/>
        <s v="Jarrow"/>
        <s v="Johnstone"/>
        <s v="Kegworth"/>
        <s v="Keighley"/>
        <s v="Keith"/>
        <s v="Kempston"/>
        <s v="Kendal"/>
        <s v="Kenilworth"/>
        <s v="Kenley"/>
        <s v="Kent"/>
        <s v="Kettering"/>
        <s v="Kidderminster"/>
        <s v="Kidlington"/>
        <s v="Kilmarnock"/>
        <s v="Kimbolton"/>
        <s v="King's Lynn"/>
        <s v="Kings Cross, London"/>
        <s v="Kings Langley"/>
        <s v="Kingsbridge"/>
        <s v="Kingston upon Thame"/>
        <s v="Kingston upon Thames"/>
        <s v="Kingswinford"/>
        <s v="Kingswood"/>
        <s v="Kington"/>
        <s v="Kinross"/>
        <s v="Kirkby"/>
        <s v="Kirkby Stephen"/>
        <s v="Kirkcaldy"/>
        <s v="Kirkliston"/>
        <s v="Kirriemuir"/>
        <s v="Knaresborough"/>
        <s v="Knutsford"/>
        <s v="Lanark"/>
        <s v="Lancashire"/>
        <s v="Lancaster"/>
        <s v="Langport"/>
        <s v="Larne"/>
        <s v="Launceston"/>
        <s v="Laurencekirk"/>
        <s v="Leamington Spa"/>
        <s v="Leatherhead"/>
        <s v="Leceistershire"/>
        <s v="Ledbury"/>
        <s v="Lee-On-The-Solent"/>
        <s v="Leeds"/>
        <s v="Leek"/>
        <s v="Leicester"/>
        <s v="Leicestershire"/>
        <s v="Leigh"/>
        <s v="Leigh-on-Sea"/>
        <s v="Leighton Buzzard"/>
        <s v="Leominster"/>
        <s v="Lerwick"/>
        <s v="Letchworth Garden City"/>
        <s v="Leven"/>
        <s v="Lewes"/>
        <s v="Leyburn"/>
        <s v="Lichfield"/>
        <s v="Limavady"/>
        <s v="Lincoln"/>
        <s v="Lincolnshire"/>
        <s v="Lincs"/>
        <s v="Lingfield"/>
        <s v="Linlithgow"/>
        <s v="Lisburn"/>
        <s v="LITTLEBOROUGH"/>
        <s v="Littlehampton"/>
        <s v="Liverpool"/>
        <s v="Livingston"/>
        <s v="Llandeilo"/>
        <s v="Llandudno"/>
        <s v="Llandudno Junction"/>
        <s v="Llanelli"/>
        <s v="Loanhead"/>
        <s v="Lockerbie"/>
        <s v="Lomdon"/>
        <s v="Londob"/>
        <s v="London"/>
        <s v="Londonderry"/>
        <s v="Longfield"/>
        <s v="Longniddry"/>
        <s v="Looe"/>
        <s v="Lossiemouth"/>
        <s v="Loughborough"/>
        <s v="Loughton"/>
        <s v="Louth"/>
        <s v="Lowestoft"/>
        <s v="Ludlow"/>
        <s v="Lurgan"/>
        <s v="Luton"/>
        <s v="Lutterworth"/>
        <s v="Lydiard Millicent"/>
        <s v="Lydney"/>
        <s v="Lyme Regis"/>
        <s v="Lymington"/>
        <s v="Lymm"/>
        <s v="Lytham"/>
        <s v="Lytham St. Annes"/>
        <s v="Macclesfield"/>
        <s v="Magherafelt"/>
        <s v="Maidenhead"/>
        <s v="Maidstone"/>
        <s v="Maldon"/>
        <s v="Malmesbury"/>
        <s v="Malpas"/>
        <s v="Malton"/>
        <s v="Malvern"/>
        <s v="Manchester"/>
        <s v="Manningtree"/>
        <s v="Mansfield"/>
        <s v="MARGAM"/>
        <s v="Margate"/>
        <s v="Market Deeping"/>
        <s v="Market Drayton"/>
        <s v="Market Harborough"/>
        <s v="Market Rasen"/>
        <s v="Marlborough"/>
        <s v="Marlow"/>
        <s v="Martock"/>
        <s v="Matlock"/>
        <s v="Meir Heath"/>
        <s v="Melksham"/>
        <s v="Melrose"/>
        <s v="Melton Mowbray"/>
        <s v="Merseyside"/>
        <s v="Merthyr Tydfil"/>
        <s v="Middlesborough"/>
        <s v="Middlesbrough"/>
        <s v="Middlesex"/>
        <s v="Middleton"/>
        <s v="Midlothian"/>
        <s v="Milford Haven"/>
        <s v="Millom"/>
        <s v="Milton Keynes"/>
        <s v="Minehead"/>
        <s v="Minster"/>
        <s v="Mirfield"/>
        <s v="Moelfre"/>
        <s v="Mold"/>
        <s v="Monmouth"/>
        <s v="Montrose"/>
        <s v="Morecambe"/>
        <s v="Morpeth"/>
        <s v="Mortlake"/>
        <s v="Motherwell"/>
        <s v="Mountain Ash"/>
        <s v="Much Wenlock"/>
        <s v="Musselburgh"/>
        <s v="Nairn"/>
        <s v="Nantwich"/>
        <s v="Narberth"/>
        <s v="Neath"/>
        <s v="Nelson"/>
        <s v="Neston"/>
        <s v="New Malden"/>
        <s v="Newark"/>
        <s v="Newbury"/>
        <s v="Newcastle"/>
        <s v="Newcastle Upon Tyne"/>
        <s v="Newcastle-under-Lyme"/>
        <s v="Newmarket"/>
        <s v="Newport"/>
        <s v="Newport Pagnell"/>
        <s v="Newquay"/>
        <s v="Newry"/>
        <s v="Newton Abbot"/>
        <s v="Newton Aycliffe"/>
        <s v="Newton Stewart"/>
        <s v="Newton-Le-Willows"/>
        <s v="Newtown"/>
        <s v="Newtown Abbey"/>
        <s v="Newtownabbey"/>
        <s v="Newtownards"/>
        <s v="Norfolk"/>
        <s v="North Berwick"/>
        <s v="North Leigh"/>
        <s v="North Lincolnshire"/>
        <s v="North Shields"/>
        <s v="North Yorkshire"/>
        <s v="Northallerton"/>
        <s v="Northampton"/>
        <s v="Northumberland"/>
        <s v="Northwich"/>
        <s v="Northwood"/>
        <s v="Norwich"/>
        <s v="Nottingham"/>
        <s v="Nottinghamshire"/>
        <s v="Nr Burford"/>
        <s v="Nr Cheltenham"/>
        <s v="Nuneaton"/>
        <s v="Oadby"/>
        <s v="Oakham"/>
        <s v="Okehampton"/>
        <s v="Oldham"/>
        <s v="Olney"/>
        <s v="Omagh"/>
        <s v="Ormskirk"/>
        <s v="Orpington"/>
        <s v="Ossett"/>
        <s v="Oswestry"/>
        <s v="Otley"/>
        <s v="Ottery St Mary"/>
        <s v="Ottery St. Mary"/>
        <s v="Oxford"/>
        <s v="Oxfordshire"/>
        <s v="Oxon"/>
        <s v="Oxted"/>
        <s v="Paisley"/>
        <s v="Pangbourne"/>
        <s v="Par"/>
        <s v="Peacehaven"/>
        <s v="Peebles"/>
        <s v="Penarth"/>
        <s v="Pencoed"/>
        <s v="Penrhyndeudraeth"/>
        <s v="Penrith"/>
        <s v="Penzance"/>
        <s v="Perranporth"/>
        <s v="Pershore"/>
        <s v="Perth"/>
        <s v="Perthshire"/>
        <s v="Peterborough"/>
        <s v="Peterhead"/>
        <s v="Petersfield"/>
        <s v="Pethshire"/>
        <s v="Pewsey"/>
        <s v="Pinner"/>
        <s v="Plymouth"/>
        <s v="Pontefract"/>
        <s v="Pontyclun"/>
        <s v="Pontypool"/>
        <s v="Pontypridd"/>
        <s v="Poole"/>
        <s v="Port Talbot"/>
        <s v="Portadown"/>
        <s v="Porthcawl"/>
        <s v="Porthmadog"/>
        <s v="Portrush"/>
        <s v="Portsmouth"/>
        <s v="Potters Bar"/>
        <s v="Poulton-le-Fylde"/>
        <s v="Prescot"/>
        <s v="Preston"/>
        <s v="Prestwick"/>
        <s v="Princes Risborough"/>
        <s v="Pudsey"/>
        <s v="Pulborough"/>
        <s v="Purley"/>
        <s v="Radlett"/>
        <s v="Radstock"/>
        <s v="Ramsbottom"/>
        <s v="Ramsgate"/>
        <s v="Rayleigh"/>
        <s v="Reading"/>
        <s v="Rearsby"/>
        <s v="Redcar"/>
        <s v="Redditch"/>
        <s v="Redhill"/>
        <s v="Redruth"/>
        <s v="Reigate"/>
        <s v="Renfrew"/>
        <s v="Retford"/>
        <s v="Rhondda Cynon Taff"/>
        <s v="Richmond"/>
        <s v="Rickmansworth"/>
        <s v="Ringwood"/>
        <s v="Ripley"/>
        <s v="Ripon"/>
        <s v="Robertsbridge"/>
        <s v="Rochdale"/>
        <s v="Rochester"/>
        <s v="Rochford"/>
        <s v="Romford"/>
        <s v="Romsey"/>
        <s v="Ross-on-Wye"/>
        <s v="Rossendale"/>
        <s v="Rotherham"/>
        <s v="Royal Wootton Bassett"/>
        <s v="Royston"/>
        <s v="Ruardean"/>
        <s v="Rugby"/>
        <s v="Rugeley"/>
        <s v="Ruislip"/>
        <s v="Runcorn"/>
        <s v="Ruthin"/>
        <s v="Ryde"/>
        <s v="Ryton"/>
        <s v="Saffron Walden"/>
        <s v="Sale"/>
        <s v="Salford"/>
        <s v="Salisbury"/>
        <s v="Saltash"/>
        <s v="Saltburn-by-the-Sea"/>
        <s v="Sandbach"/>
        <s v="Sandhurst"/>
        <s v="Saundersfoot"/>
        <s v="Scarborough"/>
        <s v="Scunthorpe"/>
        <s v="Seaford"/>
        <s v="Seaham"/>
        <s v="Selkirk"/>
        <s v="Send"/>
        <s v="Sevenoaks"/>
        <s v="Shaftesbury"/>
        <s v="Shanklin"/>
        <s v="Sheffield"/>
        <s v="Shefford"/>
        <s v="Shepperton"/>
        <s v="Sherborne"/>
        <s v="Sheringham"/>
        <s v="Shifnal"/>
        <s v="Shipley"/>
        <s v="Shoreham-by-Sea"/>
        <s v="Shrewsbury"/>
        <s v="Shropshire"/>
        <s v="Sidcup"/>
        <s v="Sidmouth"/>
        <s v="Sittingbourne"/>
        <s v="Skelmersdale"/>
        <s v="Skelmorlie"/>
        <s v="Skipton"/>
        <s v="Sleaford"/>
        <s v="Slough"/>
        <s v="Smethwick"/>
        <s v="Solihull"/>
        <s v="Somerset"/>
        <s v="Somerton"/>
        <s v="South Brent"/>
        <s v="South Petherton"/>
        <s v="South Wales"/>
        <s v="South Wirral"/>
        <s v="South Yorkshire"/>
        <s v="Southam"/>
        <s v="Southampton"/>
        <s v="Southend on Sea"/>
        <s v="Southend-on-Sea"/>
        <s v="Southminster"/>
        <s v="Southport"/>
        <s v="Southsea"/>
        <s v="Sowerby Bridge"/>
        <s v="Spalding"/>
        <s v="Spennymoor"/>
        <s v="St Albans"/>
        <s v="St Andrews"/>
        <s v="St Ives"/>
        <s v="St Mellons"/>
        <s v="St Neots"/>
        <s v="St. Albans"/>
        <s v="St. Andrews"/>
        <s v="St. Asaph"/>
        <s v="St. Austell"/>
        <s v="St. Helens"/>
        <s v="St. Leonards-on-Sea"/>
        <s v="St. Neots"/>
        <s v="Stafford"/>
        <s v="Staffordshire"/>
        <s v="Stalybridge"/>
        <s v="Stamford"/>
        <s v="Standon, Ware"/>
        <s v="Stanmore"/>
        <s v="Stansted"/>
        <s v="Stapleford"/>
        <s v="Stevenage"/>
        <s v="Stevenston"/>
        <s v="Steyning"/>
        <s v="Stirling"/>
        <s v="Stirlingshire"/>
        <s v="Stockbridge"/>
        <s v="Stockport"/>
        <s v="Stocksfield"/>
        <s v="Stockton On Tees"/>
        <s v="Stockton-on-Tees"/>
        <s v="Stoke-on-Trent"/>
        <s v="Stoke-Sub-Hamdon"/>
        <s v="Stokesley"/>
        <s v="Stone"/>
        <s v="Stonehouse"/>
        <s v="Storrington"/>
        <s v="Stourbridge"/>
        <s v="Stourport-on-Severn"/>
        <s v="Stowmarket"/>
        <s v="Stratford upon Avon"/>
        <s v="Stratford-upon-Avon"/>
        <s v="Strathaven"/>
        <s v="Stroud"/>
        <s v="Sudbury"/>
        <s v="Suffolk"/>
        <s v="Sunbury-on-Thames"/>
        <s v="Sunderland"/>
        <s v="Surbiton"/>
        <s v="Surrey"/>
        <s v="Sutton"/>
        <s v="Sutton Coldfield"/>
        <s v="Sutton-in-Ashfield"/>
        <s v="Swadlincote"/>
        <s v="Swanage"/>
        <s v="Swansea"/>
        <s v="Swindon"/>
        <s v="Tadcaster"/>
        <s v="Tadley"/>
        <s v="Tadworth"/>
        <s v="Talbot Green"/>
        <s v="Tamworth"/>
        <s v="Tarleton"/>
        <s v="Tarporley"/>
        <s v="Taunton"/>
        <s v="TAVISTOCK"/>
        <s v="Teddington"/>
        <s v="Teignmouth"/>
        <s v="Telford"/>
        <s v="Tenterden"/>
        <s v="Tewkesbury"/>
        <s v="Thame"/>
        <s v="Thames Ditton"/>
        <s v="Thatcham"/>
        <s v="Thetford"/>
        <s v="Thirsk"/>
        <s v="Thornaby"/>
        <s v="Thornton-Cleveleys"/>
        <s v="Tiverton"/>
        <s v="Todmorden"/>
        <s v="Tonbridge"/>
        <s v="Tonypandy"/>
        <s v="Torpoint"/>
        <s v="Torquay"/>
        <s v="Totnes"/>
        <s v="Towcester"/>
        <s v="Town"/>
        <s v="Town Newcastle Upon Tyne"/>
        <s v="Tranent"/>
        <s v="Tredegar"/>
        <s v="Treforest"/>
        <s v="Trellech"/>
        <s v="Tring"/>
        <s v="Trowbridge"/>
        <s v="Truro"/>
        <s v="Tunbridge Wells"/>
        <s v="Twickenham"/>
        <s v="Twigworth"/>
        <s v="Twineham"/>
        <s v="Ty Croes"/>
        <s v="Tyne and Wear"/>
        <s v="Uckfield"/>
        <s v="Ulceby"/>
        <s v="Ulverston"/>
        <s v="Upminster"/>
        <s v="Uttoxeter"/>
        <s v="Uxbridge"/>
        <s v="Vale of Glamorgan"/>
        <s v="Ventnor"/>
        <s v="Verwood"/>
        <s v="Wadebridge"/>
        <s v="Wakefield"/>
        <s v="Wales"/>
        <s v="Wallingford"/>
        <s v="Wallington"/>
        <s v="Wallsend"/>
        <s v="Waltham Cross"/>
        <s v="Walton-on-Thames"/>
        <s v="Wanstead"/>
        <s v="Wantage"/>
        <s v="Ware"/>
        <s v="Wareham"/>
        <s v="Warrington"/>
        <s v="Warwick"/>
        <s v="Warwickshire"/>
        <s v="Washington"/>
        <s v="Waterlooville"/>
        <s v="Watford"/>
        <s v="Watlington"/>
        <s v="Welland"/>
        <s v="Wellingborough"/>
        <s v="Wellington"/>
        <s v="Wells"/>
        <s v="Wells-next-the-Sea"/>
        <s v="Welwyn"/>
        <s v="Welwyn Garden City"/>
        <s v="Wembley"/>
        <s v="West Byfleet"/>
        <s v="West Drayton"/>
        <s v="West Glamorgan"/>
        <s v="West Hoathly"/>
        <s v="West Kilbride"/>
        <s v="West Linton"/>
        <s v="West Lothian"/>
        <s v="West Malling"/>
        <s v="West Midlands"/>
        <s v="West Molesey"/>
        <s v="West Sussex"/>
        <s v="West Wickham"/>
        <s v="Westbury"/>
        <s v="Westcliff-on-Sea"/>
        <s v="Westerham"/>
        <s v="Westhill"/>
        <s v="Weston-super-Mare"/>
        <s v="Wetherby"/>
        <s v="Weybridge"/>
        <s v="Weymouth"/>
        <s v="Wheathampstead"/>
        <s v="Whitchurch"/>
        <s v="Whitley Bay"/>
        <s v="Whitstable"/>
        <s v="Whyteleafe"/>
        <s v="Wickford"/>
        <s v="Wickham"/>
        <s v="Widnes"/>
        <s v="Wigan"/>
        <s v="Willenhall"/>
        <s v="Wilmslow"/>
        <s v="Wiltshire"/>
        <s v="Wimbledon"/>
        <s v="Wimborne"/>
        <s v="Winchester"/>
        <s v="Windlesham"/>
        <s v="Windsor"/>
        <s v="Winnersh"/>
        <s v="Winscombe"/>
        <s v="Wirral"/>
        <s v="Wisbech"/>
        <s v="Witham"/>
        <s v="Witney"/>
        <s v="Woburn Sands"/>
        <s v="Woking"/>
        <s v="Wokingham"/>
        <s v="Wolverhampton"/>
        <s v="Woodbridge"/>
        <s v="Woodford Green"/>
        <s v="Woodstock"/>
        <s v="Worcester"/>
        <s v="Worcestershire"/>
        <s v="Workington"/>
        <s v="Worksop"/>
        <s v="Worthing"/>
        <s v="Wotton-under-Edge"/>
        <s v="Wrexham"/>
        <s v="Wylam"/>
        <s v="Wymondham"/>
        <s v="Yarm"/>
        <s v="Yateley"/>
        <s v="Yattendon"/>
        <s v="Yaxley"/>
        <s v="Yeadon"/>
        <s v="Yelverton"/>
        <s v="Yeovil"/>
        <s v="York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22">
  <r>
    <x v="0"/>
    <x v="245"/>
  </r>
  <r>
    <x v="1"/>
    <x v="195"/>
  </r>
  <r>
    <x v="2"/>
    <x v="323"/>
  </r>
  <r>
    <x v="3"/>
    <x v="905"/>
  </r>
  <r>
    <x v="4"/>
    <x v="633"/>
  </r>
  <r>
    <x v="5"/>
    <x v="544"/>
  </r>
  <r>
    <x v="6"/>
    <x v="833"/>
  </r>
  <r>
    <x v="7"/>
    <x v="887"/>
  </r>
  <r>
    <x v="9"/>
    <x v="329"/>
  </r>
  <r>
    <x v="10"/>
    <x v="958"/>
  </r>
  <r>
    <x v="11"/>
    <x v="655"/>
  </r>
  <r>
    <x v="8"/>
    <x v="803"/>
  </r>
  <r>
    <x v="12"/>
    <x v="386"/>
  </r>
  <r>
    <x v="13"/>
    <x v="725"/>
  </r>
  <r>
    <x v="14"/>
    <x v="577"/>
  </r>
  <r>
    <x v="15"/>
    <x v="960"/>
  </r>
  <r>
    <x v="16"/>
    <x v="557"/>
  </r>
  <r>
    <x v="17"/>
    <x v="623"/>
  </r>
  <r>
    <x v="18"/>
    <x v="577"/>
  </r>
  <r>
    <x v="19"/>
    <x v="329"/>
  </r>
  <r>
    <x v="20"/>
    <x v="549"/>
  </r>
  <r>
    <x v="21"/>
    <x v="638"/>
  </r>
  <r>
    <x v="22"/>
    <x v="329"/>
  </r>
  <r>
    <x v="23"/>
    <x v="493"/>
  </r>
  <r>
    <x v="24"/>
    <x v="222"/>
  </r>
  <r>
    <x v="25"/>
    <x v="577"/>
  </r>
  <r>
    <x v="26"/>
    <x v="814"/>
  </r>
  <r>
    <x v="27"/>
    <x v="277"/>
  </r>
  <r>
    <x v="28"/>
    <x v="577"/>
  </r>
  <r>
    <x v="29"/>
    <x v="600"/>
  </r>
  <r>
    <x v="30"/>
    <x v="544"/>
  </r>
  <r>
    <x v="31"/>
    <x v="633"/>
  </r>
  <r>
    <x v="32"/>
    <x v="423"/>
  </r>
  <r>
    <x v="33"/>
    <x v="338"/>
  </r>
  <r>
    <x v="34"/>
    <x v="905"/>
  </r>
  <r>
    <x v="35"/>
    <x v="644"/>
  </r>
  <r>
    <x v="36"/>
    <x v="905"/>
  </r>
  <r>
    <x v="37"/>
    <x v="627"/>
  </r>
  <r>
    <x v="47"/>
    <x v="92"/>
  </r>
  <r>
    <x v="48"/>
    <x v="531"/>
  </r>
  <r>
    <x v="38"/>
    <x v="550"/>
  </r>
  <r>
    <x v="39"/>
    <x v="238"/>
  </r>
  <r>
    <x v="40"/>
    <x v="661"/>
  </r>
  <r>
    <x v="41"/>
    <x v="349"/>
  </r>
  <r>
    <x v="42"/>
    <x v="14"/>
  </r>
  <r>
    <x v="43"/>
    <x v="1024"/>
  </r>
  <r>
    <x v="44"/>
    <x v="708"/>
  </r>
  <r>
    <x v="45"/>
    <x v="355"/>
  </r>
  <r>
    <x v="46"/>
    <x v="824"/>
  </r>
  <r>
    <x v="49"/>
    <x v="1045"/>
  </r>
  <r>
    <x v="50"/>
    <x v="87"/>
  </r>
  <r>
    <x v="51"/>
    <x v="2"/>
  </r>
  <r>
    <x v="52"/>
    <x v="2"/>
  </r>
  <r>
    <x v="53"/>
    <x v="283"/>
  </r>
  <r>
    <x v="54"/>
    <x v="510"/>
  </r>
  <r>
    <x v="55"/>
    <x v="63"/>
  </r>
  <r>
    <x v="56"/>
    <x v="36"/>
  </r>
  <r>
    <x v="57"/>
    <x v="936"/>
  </r>
  <r>
    <x v="58"/>
    <x v="735"/>
  </r>
  <r>
    <x v="59"/>
    <x v="364"/>
  </r>
  <r>
    <x v="60"/>
    <x v="911"/>
  </r>
  <r>
    <x v="61"/>
    <x v="805"/>
  </r>
  <r>
    <x v="62"/>
    <x v="121"/>
  </r>
  <r>
    <x v="63"/>
    <x v="24"/>
  </r>
  <r>
    <x v="64"/>
    <x v="97"/>
  </r>
  <r>
    <x v="65"/>
    <x v="891"/>
  </r>
  <r>
    <x v="66"/>
    <x v="314"/>
  </r>
  <r>
    <x v="67"/>
    <x v="2"/>
  </r>
  <r>
    <x v="68"/>
    <x v="254"/>
  </r>
  <r>
    <x v="69"/>
    <x v="577"/>
  </r>
  <r>
    <x v="70"/>
    <x v="577"/>
  </r>
  <r>
    <x v="71"/>
    <x v="947"/>
  </r>
  <r>
    <x v="72"/>
    <x v="805"/>
  </r>
  <r>
    <x v="73"/>
    <x v="577"/>
  </r>
  <r>
    <x v="74"/>
    <x v="208"/>
  </r>
  <r>
    <x v="75"/>
    <x v="329"/>
  </r>
  <r>
    <x v="76"/>
    <x v="607"/>
  </r>
  <r>
    <x v="77"/>
    <x v="577"/>
  </r>
  <r>
    <x v="78"/>
    <x v="833"/>
  </r>
  <r>
    <x v="79"/>
    <x v="29"/>
  </r>
  <r>
    <x v="80"/>
    <x v="655"/>
  </r>
  <r>
    <x v="81"/>
    <x v="405"/>
  </r>
  <r>
    <x v="82"/>
    <x v="338"/>
  </r>
  <r>
    <x v="83"/>
    <x v="132"/>
  </r>
  <r>
    <x v="84"/>
    <x v="30"/>
  </r>
  <r>
    <x v="85"/>
    <x v="1045"/>
  </r>
  <r>
    <x v="86"/>
    <x v="132"/>
  </r>
  <r>
    <x v="87"/>
    <x v="550"/>
  </r>
  <r>
    <x v="88"/>
    <x v="54"/>
  </r>
  <r>
    <x v="89"/>
    <x v="453"/>
  </r>
  <r>
    <x v="90"/>
    <x v="63"/>
  </r>
  <r>
    <x v="91"/>
    <x v="607"/>
  </r>
  <r>
    <x v="92"/>
    <x v="63"/>
  </r>
  <r>
    <x v="93"/>
    <x v="838"/>
  </r>
  <r>
    <x v="94"/>
    <x v="821"/>
  </r>
  <r>
    <x v="95"/>
    <x v="0"/>
  </r>
  <r>
    <x v="96"/>
    <x v="493"/>
  </r>
  <r>
    <x v="97"/>
    <x v="897"/>
  </r>
  <r>
    <x v="98"/>
    <x v="635"/>
  </r>
  <r>
    <x v="99"/>
    <x v="187"/>
  </r>
  <r>
    <x v="100"/>
    <x v="95"/>
  </r>
  <r>
    <x v="101"/>
    <x v="684"/>
  </r>
  <r>
    <x v="102"/>
    <x v="1031"/>
  </r>
  <r>
    <x v="103"/>
    <x v="465"/>
  </r>
  <r>
    <x v="104"/>
    <x v="568"/>
  </r>
  <r>
    <x v="105"/>
    <x v="967"/>
  </r>
  <r>
    <x v="106"/>
    <x v="870"/>
  </r>
  <r>
    <x v="107"/>
    <x v="479"/>
  </r>
  <r>
    <x v="108"/>
    <x v="346"/>
  </r>
  <r>
    <x v="109"/>
    <x v="0"/>
  </r>
  <r>
    <x v="110"/>
    <x v="557"/>
  </r>
  <r>
    <x v="111"/>
    <x v="84"/>
  </r>
  <r>
    <x v="112"/>
    <x v="577"/>
  </r>
  <r>
    <x v="113"/>
    <x v="132"/>
  </r>
  <r>
    <x v="114"/>
    <x v="729"/>
  </r>
  <r>
    <x v="115"/>
    <x v="149"/>
  </r>
  <r>
    <x v="116"/>
    <x v="993"/>
  </r>
  <r>
    <x v="117"/>
    <x v="651"/>
  </r>
  <r>
    <x v="118"/>
    <x v="267"/>
  </r>
  <r>
    <x v="119"/>
    <x v="693"/>
  </r>
  <r>
    <x v="120"/>
    <x v="198"/>
  </r>
  <r>
    <x v="121"/>
    <x v="882"/>
  </r>
  <r>
    <x v="122"/>
    <x v="939"/>
  </r>
  <r>
    <x v="123"/>
    <x v="935"/>
  </r>
  <r>
    <x v="124"/>
    <x v="1043"/>
  </r>
  <r>
    <x v="125"/>
    <x v="969"/>
  </r>
  <r>
    <x v="126"/>
    <x v="101"/>
  </r>
  <r>
    <x v="127"/>
    <x v="362"/>
  </r>
  <r>
    <x v="128"/>
    <x v="137"/>
  </r>
  <r>
    <x v="129"/>
    <x v="758"/>
  </r>
  <r>
    <x v="130"/>
    <x v="532"/>
  </r>
  <r>
    <x v="131"/>
    <x v="322"/>
  </r>
  <r>
    <x v="132"/>
    <x v="97"/>
  </r>
  <r>
    <x v="133"/>
    <x v="577"/>
  </r>
  <r>
    <x v="134"/>
    <x v="787"/>
  </r>
  <r>
    <x v="135"/>
    <x v="101"/>
  </r>
  <r>
    <x v="136"/>
    <x v="577"/>
  </r>
  <r>
    <x v="137"/>
    <x v="63"/>
  </r>
  <r>
    <x v="138"/>
    <x v="186"/>
  </r>
  <r>
    <x v="139"/>
    <x v="345"/>
  </r>
  <r>
    <x v="140"/>
    <x v="387"/>
  </r>
  <r>
    <x v="141"/>
    <x v="493"/>
  </r>
  <r>
    <x v="142"/>
    <x v="387"/>
  </r>
  <r>
    <x v="143"/>
    <x v="577"/>
  </r>
  <r>
    <x v="144"/>
    <x v="439"/>
  </r>
  <r>
    <x v="145"/>
    <x v="911"/>
  </r>
  <r>
    <x v="146"/>
    <x v="534"/>
  </r>
  <r>
    <x v="147"/>
    <x v="892"/>
  </r>
  <r>
    <x v="148"/>
    <x v="577"/>
  </r>
  <r>
    <x v="149"/>
    <x v="577"/>
  </r>
  <r>
    <x v="150"/>
    <x v="359"/>
  </r>
  <r>
    <x v="151"/>
    <x v="339"/>
  </r>
  <r>
    <x v="152"/>
    <x v="864"/>
  </r>
  <r>
    <x v="153"/>
    <x v="577"/>
  </r>
  <r>
    <x v="154"/>
    <x v="776"/>
  </r>
  <r>
    <x v="155"/>
    <x v="577"/>
  </r>
  <r>
    <x v="156"/>
    <x v="577"/>
  </r>
  <r>
    <x v="157"/>
    <x v="577"/>
  </r>
  <r>
    <x v="158"/>
    <x v="123"/>
  </r>
  <r>
    <x v="159"/>
    <x v="458"/>
  </r>
  <r>
    <x v="160"/>
    <x v="1028"/>
  </r>
  <r>
    <x v="161"/>
    <x v="132"/>
  </r>
  <r>
    <x v="162"/>
    <x v="9"/>
  </r>
  <r>
    <x v="163"/>
    <x v="977"/>
  </r>
  <r>
    <x v="164"/>
    <x v="739"/>
  </r>
  <r>
    <x v="165"/>
    <x v="222"/>
  </r>
  <r>
    <x v="166"/>
    <x v="122"/>
  </r>
  <r>
    <x v="167"/>
    <x v="138"/>
  </r>
  <r>
    <x v="168"/>
    <x v="1034"/>
  </r>
  <r>
    <x v="169"/>
    <x v="953"/>
  </r>
  <r>
    <x v="170"/>
    <x v="101"/>
  </r>
  <r>
    <x v="171"/>
    <x v="197"/>
  </r>
  <r>
    <x v="172"/>
    <x v="440"/>
  </r>
  <r>
    <x v="173"/>
    <x v="544"/>
  </r>
  <r>
    <x v="174"/>
    <x v="544"/>
  </r>
  <r>
    <x v="175"/>
    <x v="18"/>
  </r>
  <r>
    <x v="176"/>
    <x v="387"/>
  </r>
  <r>
    <x v="177"/>
    <x v="577"/>
  </r>
  <r>
    <x v="178"/>
    <x v="577"/>
  </r>
  <r>
    <x v="179"/>
    <x v="324"/>
  </r>
  <r>
    <x v="180"/>
    <x v="424"/>
  </r>
  <r>
    <x v="181"/>
    <x v="782"/>
  </r>
  <r>
    <x v="182"/>
    <x v="652"/>
  </r>
  <r>
    <x v="183"/>
    <x v="891"/>
  </r>
  <r>
    <x v="184"/>
    <x v="282"/>
  </r>
  <r>
    <x v="185"/>
    <x v="789"/>
  </r>
  <r>
    <x v="186"/>
    <x v="219"/>
  </r>
  <r>
    <x v="187"/>
    <x v="719"/>
  </r>
  <r>
    <x v="188"/>
    <x v="896"/>
  </r>
  <r>
    <x v="189"/>
    <x v="872"/>
  </r>
  <r>
    <x v="190"/>
    <x v="729"/>
  </r>
  <r>
    <x v="191"/>
    <x v="824"/>
  </r>
  <r>
    <x v="192"/>
    <x v="577"/>
  </r>
  <r>
    <x v="193"/>
    <x v="984"/>
  </r>
  <r>
    <x v="194"/>
    <x v="564"/>
  </r>
  <r>
    <x v="195"/>
    <x v="147"/>
  </r>
  <r>
    <x v="196"/>
    <x v="859"/>
  </r>
  <r>
    <x v="197"/>
    <x v="577"/>
  </r>
  <r>
    <x v="198"/>
    <x v="684"/>
  </r>
  <r>
    <x v="199"/>
    <x v="933"/>
  </r>
  <r>
    <x v="200"/>
    <x v="304"/>
  </r>
  <r>
    <x v="201"/>
    <x v="577"/>
  </r>
  <r>
    <x v="202"/>
    <x v="459"/>
  </r>
  <r>
    <x v="203"/>
    <x v="805"/>
  </r>
  <r>
    <x v="204"/>
    <x v="1045"/>
  </r>
  <r>
    <x v="205"/>
    <x v="563"/>
  </r>
  <r>
    <x v="206"/>
    <x v="577"/>
  </r>
  <r>
    <x v="207"/>
    <x v="1022"/>
  </r>
  <r>
    <x v="208"/>
    <x v="847"/>
  </r>
  <r>
    <x v="209"/>
    <x v="882"/>
  </r>
  <r>
    <x v="210"/>
    <x v="905"/>
  </r>
  <r>
    <x v="211"/>
    <x v="102"/>
  </r>
  <r>
    <x v="212"/>
    <x v="226"/>
  </r>
  <r>
    <x v="213"/>
    <x v="577"/>
  </r>
  <r>
    <x v="214"/>
    <x v="896"/>
  </r>
  <r>
    <x v="215"/>
    <x v="577"/>
  </r>
  <r>
    <x v="216"/>
    <x v="111"/>
  </r>
  <r>
    <x v="217"/>
    <x v="372"/>
  </r>
  <r>
    <x v="218"/>
    <x v="335"/>
  </r>
  <r>
    <x v="219"/>
    <x v="758"/>
  </r>
  <r>
    <x v="220"/>
    <x v="896"/>
  </r>
  <r>
    <x v="221"/>
    <x v="852"/>
  </r>
  <r>
    <x v="222"/>
    <x v="532"/>
  </r>
  <r>
    <x v="223"/>
    <x v="577"/>
  </r>
  <r>
    <x v="224"/>
    <x v="1044"/>
  </r>
  <r>
    <x v="225"/>
    <x v="276"/>
  </r>
  <r>
    <x v="226"/>
    <x v="25"/>
  </r>
  <r>
    <x v="227"/>
    <x v="387"/>
  </r>
  <r>
    <x v="228"/>
    <x v="977"/>
  </r>
  <r>
    <x v="229"/>
    <x v="15"/>
  </r>
  <r>
    <x v="230"/>
    <x v="854"/>
  </r>
  <r>
    <x v="231"/>
    <x v="680"/>
  </r>
  <r>
    <x v="232"/>
    <x v="577"/>
  </r>
  <r>
    <x v="233"/>
    <x v="1024"/>
  </r>
  <r>
    <x v="234"/>
    <x v="1006"/>
  </r>
  <r>
    <x v="235"/>
    <x v="851"/>
  </r>
  <r>
    <x v="236"/>
    <x v="577"/>
  </r>
  <r>
    <x v="237"/>
    <x v="577"/>
  </r>
  <r>
    <x v="238"/>
    <x v="97"/>
  </r>
  <r>
    <x v="239"/>
    <x v="567"/>
  </r>
  <r>
    <x v="240"/>
    <x v="1037"/>
  </r>
  <r>
    <x v="241"/>
    <x v="197"/>
  </r>
  <r>
    <x v="242"/>
    <x v="423"/>
  </r>
  <r>
    <x v="243"/>
    <x v="824"/>
  </r>
  <r>
    <x v="244"/>
    <x v="329"/>
  </r>
  <r>
    <x v="245"/>
    <x v="577"/>
  </r>
  <r>
    <x v="246"/>
    <x v="405"/>
  </r>
  <r>
    <x v="247"/>
    <x v="577"/>
  </r>
  <r>
    <x v="248"/>
    <x v="577"/>
  </r>
  <r>
    <x v="249"/>
    <x v="391"/>
  </r>
  <r>
    <x v="250"/>
    <x v="577"/>
  </r>
  <r>
    <x v="251"/>
    <x v="470"/>
  </r>
  <r>
    <x v="252"/>
    <x v="957"/>
  </r>
  <r>
    <x v="253"/>
    <x v="577"/>
  </r>
  <r>
    <x v="254"/>
    <x v="577"/>
  </r>
  <r>
    <x v="255"/>
    <x v="763"/>
  </r>
  <r>
    <x v="256"/>
    <x v="897"/>
  </r>
  <r>
    <x v="257"/>
    <x v="817"/>
  </r>
  <r>
    <x v="258"/>
    <x v="110"/>
  </r>
  <r>
    <x v="259"/>
    <x v="435"/>
  </r>
  <r>
    <x v="260"/>
    <x v="977"/>
  </r>
  <r>
    <x v="261"/>
    <x v="915"/>
  </r>
  <r>
    <x v="262"/>
    <x v="572"/>
  </r>
  <r>
    <x v="263"/>
    <x v="1020"/>
  </r>
  <r>
    <x v="264"/>
    <x v="918"/>
  </r>
  <r>
    <x v="265"/>
    <x v="577"/>
  </r>
  <r>
    <x v="266"/>
    <x v="742"/>
  </r>
  <r>
    <x v="267"/>
    <x v="677"/>
  </r>
  <r>
    <x v="268"/>
    <x v="166"/>
  </r>
  <r>
    <x v="269"/>
    <x v="539"/>
  </r>
  <r>
    <x v="270"/>
    <x v="387"/>
  </r>
  <r>
    <x v="271"/>
    <x v="421"/>
  </r>
  <r>
    <x v="272"/>
    <x v="577"/>
  </r>
  <r>
    <x v="273"/>
    <x v="141"/>
  </r>
  <r>
    <x v="274"/>
    <x v="577"/>
  </r>
  <r>
    <x v="275"/>
    <x v="577"/>
  </r>
  <r>
    <x v="276"/>
    <x v="947"/>
  </r>
  <r>
    <x v="277"/>
    <x v="699"/>
  </r>
  <r>
    <x v="278"/>
    <x v="217"/>
  </r>
  <r>
    <x v="279"/>
    <x v="416"/>
  </r>
  <r>
    <x v="280"/>
    <x v="727"/>
  </r>
  <r>
    <x v="281"/>
    <x v="470"/>
  </r>
  <r>
    <x v="282"/>
    <x v="540"/>
  </r>
  <r>
    <x v="283"/>
    <x v="329"/>
  </r>
  <r>
    <x v="284"/>
    <x v="934"/>
  </r>
  <r>
    <x v="285"/>
    <x v="871"/>
  </r>
  <r>
    <x v="286"/>
    <x v="92"/>
  </r>
  <r>
    <x v="287"/>
    <x v="546"/>
  </r>
  <r>
    <x v="288"/>
    <x v="73"/>
  </r>
  <r>
    <x v="289"/>
    <x v="968"/>
  </r>
  <r>
    <x v="290"/>
    <x v="436"/>
  </r>
  <r>
    <x v="291"/>
    <x v="152"/>
  </r>
  <r>
    <x v="292"/>
    <x v="474"/>
  </r>
  <r>
    <x v="293"/>
    <x v="699"/>
  </r>
  <r>
    <x v="294"/>
    <x v="112"/>
  </r>
  <r>
    <x v="295"/>
    <x v="340"/>
  </r>
  <r>
    <x v="296"/>
    <x v="813"/>
  </r>
  <r>
    <x v="297"/>
    <x v="438"/>
  </r>
  <r>
    <x v="298"/>
    <x v="811"/>
  </r>
  <r>
    <x v="299"/>
    <x v="835"/>
  </r>
  <r>
    <x v="300"/>
    <x v="577"/>
  </r>
  <r>
    <x v="301"/>
    <x v="195"/>
  </r>
  <r>
    <x v="302"/>
    <x v="125"/>
  </r>
  <r>
    <x v="303"/>
    <x v="824"/>
  </r>
  <r>
    <x v="304"/>
    <x v="355"/>
  </r>
  <r>
    <x v="305"/>
    <x v="85"/>
  </r>
  <r>
    <x v="306"/>
    <x v="544"/>
  </r>
  <r>
    <x v="307"/>
    <x v="73"/>
  </r>
  <r>
    <x v="308"/>
    <x v="583"/>
  </r>
  <r>
    <x v="309"/>
    <x v="962"/>
  </r>
  <r>
    <x v="310"/>
    <x v="405"/>
  </r>
  <r>
    <x v="311"/>
    <x v="661"/>
  </r>
  <r>
    <x v="312"/>
    <x v="302"/>
  </r>
  <r>
    <x v="313"/>
    <x v="1009"/>
  </r>
  <r>
    <x v="314"/>
    <x v="29"/>
  </r>
  <r>
    <x v="315"/>
    <x v="121"/>
  </r>
  <r>
    <x v="316"/>
    <x v="510"/>
  </r>
  <r>
    <x v="317"/>
    <x v="97"/>
  </r>
  <r>
    <x v="318"/>
    <x v="577"/>
  </r>
  <r>
    <x v="319"/>
    <x v="546"/>
  </r>
  <r>
    <x v="320"/>
    <x v="256"/>
  </r>
  <r>
    <x v="321"/>
    <x v="607"/>
  </r>
  <r>
    <x v="322"/>
    <x v="866"/>
  </r>
  <r>
    <x v="323"/>
    <x v="488"/>
  </r>
  <r>
    <x v="324"/>
    <x v="131"/>
  </r>
  <r>
    <x v="325"/>
    <x v="577"/>
  </r>
  <r>
    <x v="326"/>
    <x v="387"/>
  </r>
  <r>
    <x v="327"/>
    <x v="732"/>
  </r>
  <r>
    <x v="328"/>
    <x v="277"/>
  </r>
  <r>
    <x v="329"/>
    <x v="862"/>
  </r>
  <r>
    <x v="330"/>
    <x v="577"/>
  </r>
  <r>
    <x v="331"/>
    <x v="531"/>
  </r>
  <r>
    <x v="332"/>
    <x v="770"/>
  </r>
  <r>
    <x v="333"/>
    <x v="665"/>
  </r>
  <r>
    <x v="334"/>
    <x v="649"/>
  </r>
  <r>
    <x v="335"/>
    <x v="503"/>
  </r>
  <r>
    <x v="336"/>
    <x v="277"/>
  </r>
  <r>
    <x v="337"/>
    <x v="474"/>
  </r>
  <r>
    <x v="338"/>
    <x v="100"/>
  </r>
  <r>
    <x v="339"/>
    <x v="480"/>
  </r>
  <r>
    <x v="340"/>
    <x v="451"/>
  </r>
  <r>
    <x v="341"/>
    <x v="546"/>
  </r>
  <r>
    <x v="342"/>
    <x v="351"/>
  </r>
  <r>
    <x v="343"/>
    <x v="577"/>
  </r>
  <r>
    <x v="344"/>
    <x v="753"/>
  </r>
  <r>
    <x v="345"/>
    <x v="79"/>
  </r>
  <r>
    <x v="346"/>
    <x v="577"/>
  </r>
  <r>
    <x v="347"/>
    <x v="167"/>
  </r>
  <r>
    <x v="348"/>
    <x v="219"/>
  </r>
  <r>
    <x v="349"/>
    <x v="340"/>
  </r>
  <r>
    <x v="350"/>
    <x v="166"/>
  </r>
  <r>
    <x v="351"/>
    <x v="298"/>
  </r>
  <r>
    <x v="352"/>
    <x v="1044"/>
  </r>
  <r>
    <x v="353"/>
    <x v="168"/>
  </r>
  <r>
    <x v="354"/>
    <x v="742"/>
  </r>
  <r>
    <x v="355"/>
    <x v="577"/>
  </r>
  <r>
    <x v="356"/>
    <x v="967"/>
  </r>
  <r>
    <x v="357"/>
    <x v="967"/>
  </r>
  <r>
    <x v="358"/>
    <x v="577"/>
  </r>
  <r>
    <x v="359"/>
    <x v="955"/>
  </r>
  <r>
    <x v="360"/>
    <x v="387"/>
  </r>
  <r>
    <x v="361"/>
    <x v="163"/>
  </r>
  <r>
    <x v="362"/>
    <x v="577"/>
  </r>
  <r>
    <x v="363"/>
    <x v="310"/>
  </r>
  <r>
    <x v="364"/>
    <x v="630"/>
  </r>
  <r>
    <x v="365"/>
    <x v="572"/>
  </r>
  <r>
    <x v="366"/>
    <x v="422"/>
  </r>
  <r>
    <x v="367"/>
    <x v="693"/>
  </r>
  <r>
    <x v="368"/>
    <x v="577"/>
  </r>
  <r>
    <x v="369"/>
    <x v="695"/>
  </r>
  <r>
    <x v="370"/>
    <x v="577"/>
  </r>
  <r>
    <x v="371"/>
    <x v="167"/>
  </r>
  <r>
    <x v="372"/>
    <x v="55"/>
  </r>
  <r>
    <x v="373"/>
    <x v="607"/>
  </r>
  <r>
    <x v="374"/>
    <x v="323"/>
  </r>
  <r>
    <x v="375"/>
    <x v="884"/>
  </r>
  <r>
    <x v="376"/>
    <x v="577"/>
  </r>
  <r>
    <x v="377"/>
    <x v="544"/>
  </r>
  <r>
    <x v="378"/>
    <x v="564"/>
  </r>
  <r>
    <x v="379"/>
    <x v="197"/>
  </r>
  <r>
    <x v="380"/>
    <x v="219"/>
  </r>
  <r>
    <x v="381"/>
    <x v="607"/>
  </r>
  <r>
    <x v="382"/>
    <x v="293"/>
  </r>
  <r>
    <x v="383"/>
    <x v="97"/>
  </r>
  <r>
    <x v="384"/>
    <x v="633"/>
  </r>
  <r>
    <x v="385"/>
    <x v="577"/>
  </r>
  <r>
    <x v="386"/>
    <x v="97"/>
  </r>
  <r>
    <x v="387"/>
    <x v="26"/>
  </r>
  <r>
    <x v="388"/>
    <x v="577"/>
  </r>
  <r>
    <x v="390"/>
    <x v="577"/>
  </r>
  <r>
    <x v="391"/>
    <x v="853"/>
  </r>
  <r>
    <x v="392"/>
    <x v="577"/>
  </r>
  <r>
    <x v="393"/>
    <x v="577"/>
  </r>
  <r>
    <x v="394"/>
    <x v="187"/>
  </r>
  <r>
    <x v="395"/>
    <x v="234"/>
  </r>
  <r>
    <x v="396"/>
    <x v="963"/>
  </r>
  <r>
    <x v="389"/>
    <x v="577"/>
  </r>
  <r>
    <x v="397"/>
    <x v="406"/>
  </r>
  <r>
    <x v="398"/>
    <x v="1006"/>
  </r>
  <r>
    <x v="399"/>
    <x v="1045"/>
  </r>
  <r>
    <x v="400"/>
    <x v="219"/>
  </r>
  <r>
    <x v="401"/>
    <x v="1008"/>
  </r>
  <r>
    <x v="402"/>
    <x v="520"/>
  </r>
  <r>
    <x v="403"/>
    <x v="291"/>
  </r>
  <r>
    <x v="404"/>
    <x v="785"/>
  </r>
  <r>
    <x v="405"/>
    <x v="0"/>
  </r>
  <r>
    <x v="406"/>
    <x v="577"/>
  </r>
  <r>
    <x v="407"/>
    <x v="577"/>
  </r>
  <r>
    <x v="408"/>
    <x v="617"/>
  </r>
  <r>
    <x v="409"/>
    <x v="132"/>
  </r>
  <r>
    <x v="410"/>
    <x v="577"/>
  </r>
  <r>
    <x v="411"/>
    <x v="937"/>
  </r>
  <r>
    <x v="412"/>
    <x v="1045"/>
  </r>
  <r>
    <x v="413"/>
    <x v="869"/>
  </r>
  <r>
    <x v="414"/>
    <x v="329"/>
  </r>
  <r>
    <x v="415"/>
    <x v="1021"/>
  </r>
  <r>
    <x v="416"/>
    <x v="1045"/>
  </r>
  <r>
    <x v="417"/>
    <x v="417"/>
  </r>
  <r>
    <x v="418"/>
    <x v="577"/>
  </r>
  <r>
    <x v="419"/>
    <x v="546"/>
  </r>
  <r>
    <x v="420"/>
    <x v="684"/>
  </r>
  <r>
    <x v="421"/>
    <x v="833"/>
  </r>
  <r>
    <x v="422"/>
    <x v="577"/>
  </r>
  <r>
    <x v="423"/>
    <x v="577"/>
  </r>
  <r>
    <x v="424"/>
    <x v="553"/>
  </r>
  <r>
    <x v="425"/>
    <x v="493"/>
  </r>
  <r>
    <x v="426"/>
    <x v="539"/>
  </r>
  <r>
    <x v="427"/>
    <x v="422"/>
  </r>
  <r>
    <x v="428"/>
    <x v="796"/>
  </r>
  <r>
    <x v="429"/>
    <x v="833"/>
  </r>
  <r>
    <x v="430"/>
    <x v="577"/>
  </r>
  <r>
    <x v="431"/>
    <x v="67"/>
  </r>
  <r>
    <x v="432"/>
    <x v="921"/>
  </r>
  <r>
    <x v="433"/>
    <x v="627"/>
  </r>
  <r>
    <x v="434"/>
    <x v="44"/>
  </r>
  <r>
    <x v="435"/>
    <x v="577"/>
  </r>
  <r>
    <x v="436"/>
    <x v="151"/>
  </r>
  <r>
    <x v="437"/>
    <x v="368"/>
  </r>
  <r>
    <x v="438"/>
    <x v="988"/>
  </r>
  <r>
    <x v="439"/>
    <x v="963"/>
  </r>
  <r>
    <x v="440"/>
    <x v="1028"/>
  </r>
  <r>
    <x v="441"/>
    <x v="802"/>
  </r>
  <r>
    <x v="442"/>
    <x v="0"/>
  </r>
  <r>
    <x v="443"/>
    <x v="2"/>
  </r>
  <r>
    <x v="444"/>
    <x v="364"/>
  </r>
  <r>
    <x v="445"/>
    <x v="58"/>
  </r>
  <r>
    <x v="446"/>
    <x v="1044"/>
  </r>
  <r>
    <x v="447"/>
    <x v="935"/>
  </r>
  <r>
    <x v="448"/>
    <x v="577"/>
  </r>
  <r>
    <x v="449"/>
    <x v="664"/>
  </r>
  <r>
    <x v="450"/>
    <x v="132"/>
  </r>
  <r>
    <x v="451"/>
    <x v="577"/>
  </r>
  <r>
    <x v="452"/>
    <x v="550"/>
  </r>
  <r>
    <x v="453"/>
    <x v="187"/>
  </r>
  <r>
    <x v="454"/>
    <x v="187"/>
  </r>
  <r>
    <x v="455"/>
    <x v="35"/>
  </r>
  <r>
    <x v="456"/>
    <x v="329"/>
  </r>
  <r>
    <x v="457"/>
    <x v="509"/>
  </r>
  <r>
    <x v="458"/>
    <x v="450"/>
  </r>
  <r>
    <x v="459"/>
    <x v="577"/>
  </r>
  <r>
    <x v="460"/>
    <x v="1041"/>
  </r>
  <r>
    <x v="461"/>
    <x v="577"/>
  </r>
  <r>
    <x v="462"/>
    <x v="721"/>
  </r>
  <r>
    <x v="463"/>
    <x v="97"/>
  </r>
  <r>
    <x v="464"/>
    <x v="577"/>
  </r>
  <r>
    <x v="465"/>
    <x v="572"/>
  </r>
  <r>
    <x v="466"/>
    <x v="945"/>
  </r>
  <r>
    <x v="467"/>
    <x v="67"/>
  </r>
  <r>
    <x v="468"/>
    <x v="1024"/>
  </r>
  <r>
    <x v="469"/>
    <x v="47"/>
  </r>
  <r>
    <x v="470"/>
    <x v="1044"/>
  </r>
  <r>
    <x v="471"/>
    <x v="936"/>
  </r>
  <r>
    <x v="472"/>
    <x v="577"/>
  </r>
  <r>
    <x v="473"/>
    <x v="216"/>
  </r>
  <r>
    <x v="474"/>
    <x v="335"/>
  </r>
  <r>
    <x v="475"/>
    <x v="1044"/>
  </r>
  <r>
    <x v="476"/>
    <x v="1044"/>
  </r>
  <r>
    <x v="477"/>
    <x v="577"/>
  </r>
  <r>
    <x v="478"/>
    <x v="387"/>
  </r>
  <r>
    <x v="479"/>
    <x v="902"/>
  </r>
  <r>
    <x v="480"/>
    <x v="697"/>
  </r>
  <r>
    <x v="481"/>
    <x v="361"/>
  </r>
  <r>
    <x v="482"/>
    <x v="577"/>
  </r>
  <r>
    <x v="483"/>
    <x v="577"/>
  </r>
  <r>
    <x v="484"/>
    <x v="577"/>
  </r>
  <r>
    <x v="485"/>
    <x v="703"/>
  </r>
  <r>
    <x v="486"/>
    <x v="978"/>
  </r>
  <r>
    <x v="487"/>
    <x v="949"/>
  </r>
  <r>
    <x v="488"/>
    <x v="661"/>
  </r>
  <r>
    <x v="489"/>
    <x v="863"/>
  </r>
  <r>
    <x v="490"/>
    <x v="658"/>
  </r>
  <r>
    <x v="491"/>
    <x v="707"/>
  </r>
  <r>
    <x v="492"/>
    <x v="941"/>
  </r>
  <r>
    <x v="493"/>
    <x v="703"/>
  </r>
  <r>
    <x v="494"/>
    <x v="805"/>
  </r>
  <r>
    <x v="495"/>
    <x v="577"/>
  </r>
  <r>
    <x v="496"/>
    <x v="506"/>
  </r>
  <r>
    <x v="497"/>
    <x v="963"/>
  </r>
  <r>
    <x v="498"/>
    <x v="909"/>
  </r>
  <r>
    <x v="499"/>
    <x v="308"/>
  </r>
  <r>
    <x v="500"/>
    <x v="338"/>
  </r>
  <r>
    <x v="502"/>
    <x v="278"/>
  </r>
  <r>
    <x v="503"/>
    <x v="652"/>
  </r>
  <r>
    <x v="501"/>
    <x v="658"/>
  </r>
  <r>
    <x v="504"/>
    <x v="732"/>
  </r>
  <r>
    <x v="505"/>
    <x v="63"/>
  </r>
  <r>
    <x v="506"/>
    <x v="30"/>
  </r>
  <r>
    <x v="507"/>
    <x v="742"/>
  </r>
  <r>
    <x v="508"/>
    <x v="732"/>
  </r>
  <r>
    <x v="509"/>
    <x v="607"/>
  </r>
  <r>
    <x v="510"/>
    <x v="256"/>
  </r>
  <r>
    <x v="511"/>
    <x v="240"/>
  </r>
  <r>
    <x v="512"/>
    <x v="685"/>
  </r>
  <r>
    <x v="513"/>
    <x v="963"/>
  </r>
  <r>
    <x v="514"/>
    <x v="0"/>
  </r>
  <r>
    <x v="515"/>
    <x v="606"/>
  </r>
  <r>
    <x v="516"/>
    <x v="920"/>
  </r>
  <r>
    <x v="517"/>
    <x v="577"/>
  </r>
  <r>
    <x v="518"/>
    <x v="577"/>
  </r>
  <r>
    <x v="519"/>
    <x v="577"/>
  </r>
  <r>
    <x v="520"/>
    <x v="329"/>
  </r>
  <r>
    <x v="521"/>
    <x v="795"/>
  </r>
  <r>
    <x v="522"/>
    <x v="449"/>
  </r>
  <r>
    <x v="523"/>
    <x v="577"/>
  </r>
  <r>
    <x v="524"/>
    <x v="577"/>
  </r>
  <r>
    <x v="525"/>
    <x v="577"/>
  </r>
  <r>
    <x v="526"/>
    <x v="544"/>
  </r>
  <r>
    <x v="527"/>
    <x v="180"/>
  </r>
  <r>
    <x v="528"/>
    <x v="652"/>
  </r>
  <r>
    <x v="529"/>
    <x v="1008"/>
  </r>
  <r>
    <x v="530"/>
    <x v="655"/>
  </r>
  <r>
    <x v="531"/>
    <x v="769"/>
  </r>
  <r>
    <x v="532"/>
    <x v="577"/>
  </r>
  <r>
    <x v="533"/>
    <x v="820"/>
  </r>
  <r>
    <x v="534"/>
    <x v="577"/>
  </r>
  <r>
    <x v="535"/>
    <x v="0"/>
  </r>
  <r>
    <x v="536"/>
    <x v="507"/>
  </r>
  <r>
    <x v="537"/>
    <x v="97"/>
  </r>
  <r>
    <x v="538"/>
    <x v="577"/>
  </r>
  <r>
    <x v="539"/>
    <x v="278"/>
  </r>
  <r>
    <x v="540"/>
    <x v="577"/>
  </r>
  <r>
    <x v="541"/>
    <x v="740"/>
  </r>
  <r>
    <x v="542"/>
    <x v="684"/>
  </r>
  <r>
    <x v="543"/>
    <x v="99"/>
  </r>
  <r>
    <x v="544"/>
    <x v="833"/>
  </r>
  <r>
    <x v="545"/>
    <x v="659"/>
  </r>
  <r>
    <x v="546"/>
    <x v="742"/>
  </r>
  <r>
    <x v="547"/>
    <x v="797"/>
  </r>
  <r>
    <x v="548"/>
    <x v="656"/>
  </r>
  <r>
    <x v="549"/>
    <x v="680"/>
  </r>
  <r>
    <x v="550"/>
    <x v="1042"/>
  </r>
  <r>
    <x v="551"/>
    <x v="73"/>
  </r>
  <r>
    <x v="552"/>
    <x v="544"/>
  </r>
  <r>
    <x v="553"/>
    <x v="555"/>
  </r>
  <r>
    <x v="554"/>
    <x v="577"/>
  </r>
  <r>
    <x v="555"/>
    <x v="405"/>
  </r>
  <r>
    <x v="556"/>
    <x v="1044"/>
  </r>
  <r>
    <x v="557"/>
    <x v="964"/>
  </r>
  <r>
    <x v="558"/>
    <x v="849"/>
  </r>
  <r>
    <x v="559"/>
    <x v="546"/>
  </r>
  <r>
    <x v="560"/>
    <x v="890"/>
  </r>
  <r>
    <x v="561"/>
    <x v="882"/>
  </r>
  <r>
    <x v="562"/>
    <x v="577"/>
  </r>
  <r>
    <x v="563"/>
    <x v="511"/>
  </r>
  <r>
    <x v="564"/>
    <x v="952"/>
  </r>
  <r>
    <x v="565"/>
    <x v="343"/>
  </r>
  <r>
    <x v="566"/>
    <x v="813"/>
  </r>
  <r>
    <x v="567"/>
    <x v="514"/>
  </r>
  <r>
    <x v="568"/>
    <x v="930"/>
  </r>
  <r>
    <x v="569"/>
    <x v="570"/>
  </r>
  <r>
    <x v="570"/>
    <x v="892"/>
  </r>
  <r>
    <x v="571"/>
    <x v="567"/>
  </r>
  <r>
    <x v="572"/>
    <x v="359"/>
  </r>
  <r>
    <x v="573"/>
    <x v="964"/>
  </r>
  <r>
    <x v="574"/>
    <x v="0"/>
  </r>
  <r>
    <x v="575"/>
    <x v="699"/>
  </r>
  <r>
    <x v="576"/>
    <x v="154"/>
  </r>
  <r>
    <x v="577"/>
    <x v="740"/>
  </r>
  <r>
    <x v="578"/>
    <x v="351"/>
  </r>
  <r>
    <x v="579"/>
    <x v="755"/>
  </r>
  <r>
    <x v="580"/>
    <x v="500"/>
  </r>
  <r>
    <x v="581"/>
    <x v="7"/>
  </r>
  <r>
    <x v="582"/>
    <x v="363"/>
  </r>
  <r>
    <x v="583"/>
    <x v="976"/>
  </r>
  <r>
    <x v="584"/>
    <x v="661"/>
  </r>
  <r>
    <x v="585"/>
    <x v="387"/>
  </r>
  <r>
    <x v="586"/>
    <x v="753"/>
  </r>
  <r>
    <x v="587"/>
    <x v="63"/>
  </r>
  <r>
    <x v="588"/>
    <x v="97"/>
  </r>
  <r>
    <x v="589"/>
    <x v="622"/>
  </r>
  <r>
    <x v="590"/>
    <x v="300"/>
  </r>
  <r>
    <x v="591"/>
    <x v="126"/>
  </r>
  <r>
    <x v="592"/>
    <x v="678"/>
  </r>
  <r>
    <x v="593"/>
    <x v="577"/>
  </r>
  <r>
    <x v="594"/>
    <x v="299"/>
  </r>
  <r>
    <x v="595"/>
    <x v="680"/>
  </r>
  <r>
    <x v="596"/>
    <x v="909"/>
  </r>
  <r>
    <x v="597"/>
    <x v="75"/>
  </r>
  <r>
    <x v="598"/>
    <x v="577"/>
  </r>
  <r>
    <x v="599"/>
    <x v="571"/>
  </r>
  <r>
    <x v="600"/>
    <x v="324"/>
  </r>
  <r>
    <x v="601"/>
    <x v="531"/>
  </r>
  <r>
    <x v="602"/>
    <x v="546"/>
  </r>
  <r>
    <x v="603"/>
    <x v="121"/>
  </r>
  <r>
    <x v="604"/>
    <x v="124"/>
  </r>
  <r>
    <x v="605"/>
    <x v="124"/>
  </r>
  <r>
    <x v="606"/>
    <x v="577"/>
  </r>
  <r>
    <x v="607"/>
    <x v="880"/>
  </r>
  <r>
    <x v="608"/>
    <x v="601"/>
  </r>
  <r>
    <x v="609"/>
    <x v="0"/>
  </r>
  <r>
    <x v="610"/>
    <x v="1023"/>
  </r>
  <r>
    <x v="611"/>
    <x v="544"/>
  </r>
  <r>
    <x v="612"/>
    <x v="101"/>
  </r>
  <r>
    <x v="613"/>
    <x v="614"/>
  </r>
  <r>
    <x v="614"/>
    <x v="577"/>
  </r>
  <r>
    <x v="615"/>
    <x v="29"/>
  </r>
  <r>
    <x v="616"/>
    <x v="1022"/>
  </r>
  <r>
    <x v="617"/>
    <x v="357"/>
  </r>
  <r>
    <x v="618"/>
    <x v="67"/>
  </r>
  <r>
    <x v="619"/>
    <x v="1028"/>
  </r>
  <r>
    <x v="620"/>
    <x v="549"/>
  </r>
  <r>
    <x v="621"/>
    <x v="405"/>
  </r>
  <r>
    <x v="622"/>
    <x v="474"/>
  </r>
  <r>
    <x v="623"/>
    <x v="610"/>
  </r>
  <r>
    <x v="624"/>
    <x v="721"/>
  </r>
  <r>
    <x v="625"/>
    <x v="685"/>
  </r>
  <r>
    <x v="626"/>
    <x v="833"/>
  </r>
  <r>
    <x v="627"/>
    <x v="699"/>
  </r>
  <r>
    <x v="628"/>
    <x v="76"/>
  </r>
  <r>
    <x v="629"/>
    <x v="179"/>
  </r>
  <r>
    <x v="630"/>
    <x v="1008"/>
  </r>
  <r>
    <x v="631"/>
    <x v="805"/>
  </r>
  <r>
    <x v="632"/>
    <x v="977"/>
  </r>
  <r>
    <x v="633"/>
    <x v="805"/>
  </r>
  <r>
    <x v="634"/>
    <x v="958"/>
  </r>
  <r>
    <x v="635"/>
    <x v="958"/>
  </r>
  <r>
    <x v="636"/>
    <x v="577"/>
  </r>
  <r>
    <x v="637"/>
    <x v="975"/>
  </r>
  <r>
    <x v="638"/>
    <x v="9"/>
  </r>
  <r>
    <x v="639"/>
    <x v="219"/>
  </r>
  <r>
    <x v="640"/>
    <x v="65"/>
  </r>
  <r>
    <x v="641"/>
    <x v="567"/>
  </r>
  <r>
    <x v="642"/>
    <x v="871"/>
  </r>
  <r>
    <x v="643"/>
    <x v="577"/>
  </r>
  <r>
    <x v="644"/>
    <x v="295"/>
  </r>
  <r>
    <x v="645"/>
    <x v="369"/>
  </r>
  <r>
    <x v="646"/>
    <x v="397"/>
  </r>
  <r>
    <x v="647"/>
    <x v="798"/>
  </r>
  <r>
    <x v="648"/>
    <x v="577"/>
  </r>
  <r>
    <x v="649"/>
    <x v="26"/>
  </r>
  <r>
    <x v="650"/>
    <x v="306"/>
  </r>
  <r>
    <x v="651"/>
    <x v="335"/>
  </r>
  <r>
    <x v="652"/>
    <x v="390"/>
  </r>
  <r>
    <x v="653"/>
    <x v="0"/>
  </r>
  <r>
    <x v="654"/>
    <x v="607"/>
  </r>
  <r>
    <x v="655"/>
    <x v="256"/>
  </r>
  <r>
    <x v="656"/>
    <x v="183"/>
  </r>
  <r>
    <x v="657"/>
    <x v="577"/>
  </r>
  <r>
    <x v="658"/>
    <x v="271"/>
  </r>
  <r>
    <x v="659"/>
    <x v="540"/>
  </r>
  <r>
    <x v="660"/>
    <x v="577"/>
  </r>
  <r>
    <x v="661"/>
    <x v="363"/>
  </r>
  <r>
    <x v="662"/>
    <x v="34"/>
  </r>
  <r>
    <x v="663"/>
    <x v="547"/>
  </r>
  <r>
    <x v="664"/>
    <x v="607"/>
  </r>
  <r>
    <x v="665"/>
    <x v="806"/>
  </r>
  <r>
    <x v="666"/>
    <x v="805"/>
  </r>
  <r>
    <x v="667"/>
    <x v="577"/>
  </r>
  <r>
    <x v="668"/>
    <x v="577"/>
  </r>
  <r>
    <x v="669"/>
    <x v="335"/>
  </r>
  <r>
    <x v="670"/>
    <x v="577"/>
  </r>
  <r>
    <x v="671"/>
    <x v="544"/>
  </r>
  <r>
    <x v="672"/>
    <x v="668"/>
  </r>
  <r>
    <x v="673"/>
    <x v="544"/>
  </r>
  <r>
    <x v="674"/>
    <x v="577"/>
  </r>
  <r>
    <x v="675"/>
    <x v="475"/>
  </r>
  <r>
    <x v="676"/>
    <x v="685"/>
  </r>
  <r>
    <x v="677"/>
    <x v="763"/>
  </r>
  <r>
    <x v="678"/>
    <x v="546"/>
  </r>
  <r>
    <x v="679"/>
    <x v="1008"/>
  </r>
  <r>
    <x v="680"/>
    <x v="1043"/>
  </r>
  <r>
    <x v="681"/>
    <x v="579"/>
  </r>
  <r>
    <x v="682"/>
    <x v="732"/>
  </r>
  <r>
    <x v="683"/>
    <x v="595"/>
  </r>
  <r>
    <x v="684"/>
    <x v="485"/>
  </r>
  <r>
    <x v="685"/>
    <x v="1017"/>
  </r>
  <r>
    <x v="686"/>
    <x v="732"/>
  </r>
  <r>
    <x v="687"/>
    <x v="198"/>
  </r>
  <r>
    <x v="688"/>
    <x v="685"/>
  </r>
  <r>
    <x v="689"/>
    <x v="219"/>
  </r>
  <r>
    <x v="690"/>
    <x v="469"/>
  </r>
  <r>
    <x v="691"/>
    <x v="26"/>
  </r>
  <r>
    <x v="692"/>
    <x v="292"/>
  </r>
  <r>
    <x v="693"/>
    <x v="99"/>
  </r>
  <r>
    <x v="694"/>
    <x v="577"/>
  </r>
  <r>
    <x v="695"/>
    <x v="421"/>
  </r>
  <r>
    <x v="696"/>
    <x v="685"/>
  </r>
  <r>
    <x v="697"/>
    <x v="0"/>
  </r>
  <r>
    <x v="698"/>
    <x v="329"/>
  </r>
  <r>
    <x v="699"/>
    <x v="732"/>
  </r>
  <r>
    <x v="700"/>
    <x v="1006"/>
  </r>
  <r>
    <x v="701"/>
    <x v="753"/>
  </r>
  <r>
    <x v="702"/>
    <x v="868"/>
  </r>
  <r>
    <x v="703"/>
    <x v="607"/>
  </r>
  <r>
    <x v="704"/>
    <x v="577"/>
  </r>
  <r>
    <x v="705"/>
    <x v="62"/>
  </r>
  <r>
    <x v="706"/>
    <x v="547"/>
  </r>
  <r>
    <x v="707"/>
    <x v="367"/>
  </r>
  <r>
    <x v="708"/>
    <x v="721"/>
  </r>
  <r>
    <x v="709"/>
    <x v="577"/>
  </r>
  <r>
    <x v="710"/>
    <x v="474"/>
  </r>
  <r>
    <x v="711"/>
    <x v="351"/>
  </r>
  <r>
    <x v="712"/>
    <x v="755"/>
  </r>
  <r>
    <x v="713"/>
    <x v="773"/>
  </r>
  <r>
    <x v="714"/>
    <x v="412"/>
  </r>
  <r>
    <x v="715"/>
    <x v="739"/>
  </r>
  <r>
    <x v="716"/>
    <x v="577"/>
  </r>
  <r>
    <x v="717"/>
    <x v="387"/>
  </r>
  <r>
    <x v="718"/>
    <x v="633"/>
  </r>
  <r>
    <x v="719"/>
    <x v="186"/>
  </r>
  <r>
    <x v="720"/>
    <x v="302"/>
  </r>
  <r>
    <x v="721"/>
    <x v="577"/>
  </r>
  <r>
    <x v="722"/>
    <x v="559"/>
  </r>
  <r>
    <x v="723"/>
    <x v="546"/>
  </r>
  <r>
    <x v="724"/>
    <x v="577"/>
  </r>
  <r>
    <x v="725"/>
    <x v="0"/>
  </r>
  <r>
    <x v="726"/>
    <x v="82"/>
  </r>
  <r>
    <x v="727"/>
    <x v="229"/>
  </r>
  <r>
    <x v="728"/>
    <x v="15"/>
  </r>
  <r>
    <x v="729"/>
    <x v="964"/>
  </r>
  <r>
    <x v="730"/>
    <x v="577"/>
  </r>
  <r>
    <x v="731"/>
    <x v="215"/>
  </r>
  <r>
    <x v="732"/>
    <x v="112"/>
  </r>
  <r>
    <x v="733"/>
    <x v="222"/>
  </r>
  <r>
    <x v="734"/>
    <x v="347"/>
  </r>
  <r>
    <x v="735"/>
    <x v="661"/>
  </r>
  <r>
    <x v="736"/>
    <x v="577"/>
  </r>
  <r>
    <x v="737"/>
    <x v="577"/>
  </r>
  <r>
    <x v="738"/>
    <x v="132"/>
  </r>
  <r>
    <x v="739"/>
    <x v="577"/>
  </r>
  <r>
    <x v="740"/>
    <x v="110"/>
  </r>
  <r>
    <x v="741"/>
    <x v="421"/>
  </r>
  <r>
    <x v="742"/>
    <x v="577"/>
  </r>
  <r>
    <x v="743"/>
    <x v="695"/>
  </r>
  <r>
    <x v="744"/>
    <x v="685"/>
  </r>
  <r>
    <x v="745"/>
    <x v="820"/>
  </r>
  <r>
    <x v="746"/>
    <x v="577"/>
  </r>
  <r>
    <x v="747"/>
    <x v="243"/>
  </r>
  <r>
    <x v="748"/>
    <x v="621"/>
  </r>
  <r>
    <x v="749"/>
    <x v="684"/>
  </r>
  <r>
    <x v="750"/>
    <x v="760"/>
  </r>
  <r>
    <x v="751"/>
    <x v="824"/>
  </r>
  <r>
    <x v="752"/>
    <x v="872"/>
  </r>
  <r>
    <x v="753"/>
    <x v="657"/>
  </r>
  <r>
    <x v="754"/>
    <x v="577"/>
  </r>
  <r>
    <x v="755"/>
    <x v="565"/>
  </r>
  <r>
    <x v="756"/>
    <x v="905"/>
  </r>
  <r>
    <x v="757"/>
    <x v="553"/>
  </r>
  <r>
    <x v="758"/>
    <x v="577"/>
  </r>
  <r>
    <x v="759"/>
    <x v="234"/>
  </r>
  <r>
    <x v="760"/>
    <x v="607"/>
  </r>
  <r>
    <x v="761"/>
    <x v="155"/>
  </r>
  <r>
    <x v="762"/>
    <x v="9"/>
  </r>
  <r>
    <x v="763"/>
    <x v="545"/>
  </r>
  <r>
    <x v="764"/>
    <x v="151"/>
  </r>
  <r>
    <x v="765"/>
    <x v="44"/>
  </r>
  <r>
    <x v="766"/>
    <x v="605"/>
  </r>
  <r>
    <x v="767"/>
    <x v="329"/>
  </r>
  <r>
    <x v="768"/>
    <x v="394"/>
  </r>
  <r>
    <x v="769"/>
    <x v="501"/>
  </r>
  <r>
    <x v="770"/>
    <x v="859"/>
  </r>
  <r>
    <x v="771"/>
    <x v="577"/>
  </r>
  <r>
    <x v="772"/>
    <x v="488"/>
  </r>
  <r>
    <x v="773"/>
    <x v="577"/>
  </r>
  <r>
    <x v="774"/>
    <x v="477"/>
  </r>
  <r>
    <x v="775"/>
    <x v="132"/>
  </r>
  <r>
    <x v="776"/>
    <x v="34"/>
  </r>
  <r>
    <x v="777"/>
    <x v="993"/>
  </r>
  <r>
    <x v="778"/>
    <x v="577"/>
  </r>
  <r>
    <x v="779"/>
    <x v="1028"/>
  </r>
  <r>
    <x v="780"/>
    <x v="538"/>
  </r>
  <r>
    <x v="781"/>
    <x v="93"/>
  </r>
  <r>
    <x v="782"/>
    <x v="673"/>
  </r>
  <r>
    <x v="783"/>
    <x v="138"/>
  </r>
  <r>
    <x v="784"/>
    <x v="788"/>
  </r>
  <r>
    <x v="785"/>
    <x v="577"/>
  </r>
  <r>
    <x v="786"/>
    <x v="577"/>
  </r>
  <r>
    <x v="787"/>
    <x v="824"/>
  </r>
  <r>
    <x v="788"/>
    <x v="136"/>
  </r>
  <r>
    <x v="789"/>
    <x v="372"/>
  </r>
  <r>
    <x v="790"/>
    <x v="422"/>
  </r>
  <r>
    <x v="791"/>
    <x v="868"/>
  </r>
  <r>
    <x v="792"/>
    <x v="16"/>
  </r>
  <r>
    <x v="793"/>
    <x v="739"/>
  </r>
  <r>
    <x v="794"/>
    <x v="335"/>
  </r>
  <r>
    <x v="795"/>
    <x v="577"/>
  </r>
  <r>
    <x v="796"/>
    <x v="132"/>
  </r>
  <r>
    <x v="797"/>
    <x v="234"/>
  </r>
  <r>
    <x v="798"/>
    <x v="291"/>
  </r>
  <r>
    <x v="799"/>
    <x v="121"/>
  </r>
  <r>
    <x v="800"/>
    <x v="577"/>
  </r>
  <r>
    <x v="801"/>
    <x v="577"/>
  </r>
  <r>
    <x v="802"/>
    <x v="888"/>
  </r>
  <r>
    <x v="803"/>
    <x v="710"/>
  </r>
  <r>
    <x v="804"/>
    <x v="924"/>
  </r>
  <r>
    <x v="805"/>
    <x v="658"/>
  </r>
  <r>
    <x v="806"/>
    <x v="547"/>
  </r>
  <r>
    <x v="807"/>
    <x v="132"/>
  </r>
  <r>
    <x v="808"/>
    <x v="390"/>
  </r>
  <r>
    <x v="809"/>
    <x v="673"/>
  </r>
  <r>
    <x v="810"/>
    <x v="219"/>
  </r>
  <r>
    <x v="811"/>
    <x v="436"/>
  </r>
  <r>
    <x v="812"/>
    <x v="577"/>
  </r>
  <r>
    <x v="813"/>
    <x v="854"/>
  </r>
  <r>
    <x v="814"/>
    <x v="788"/>
  </r>
  <r>
    <x v="815"/>
    <x v="655"/>
  </r>
  <r>
    <x v="816"/>
    <x v="422"/>
  </r>
  <r>
    <x v="817"/>
    <x v="142"/>
  </r>
  <r>
    <x v="818"/>
    <x v="936"/>
  </r>
  <r>
    <x v="819"/>
    <x v="577"/>
  </r>
  <r>
    <x v="820"/>
    <x v="2"/>
  </r>
  <r>
    <x v="821"/>
    <x v="682"/>
  </r>
  <r>
    <x v="822"/>
    <x v="112"/>
  </r>
  <r>
    <x v="823"/>
    <x v="833"/>
  </r>
  <r>
    <x v="824"/>
    <x v="433"/>
  </r>
  <r>
    <x v="825"/>
    <x v="166"/>
  </r>
  <r>
    <x v="826"/>
    <x v="577"/>
  </r>
  <r>
    <x v="827"/>
    <x v="788"/>
  </r>
  <r>
    <x v="828"/>
    <x v="851"/>
  </r>
  <r>
    <x v="829"/>
    <x v="697"/>
  </r>
  <r>
    <x v="830"/>
    <x v="111"/>
  </r>
  <r>
    <x v="831"/>
    <x v="324"/>
  </r>
  <r>
    <x v="832"/>
    <x v="897"/>
  </r>
  <r>
    <x v="833"/>
    <x v="137"/>
  </r>
  <r>
    <x v="834"/>
    <x v="170"/>
  </r>
  <r>
    <x v="835"/>
    <x v="684"/>
  </r>
  <r>
    <x v="836"/>
    <x v="577"/>
  </r>
  <r>
    <x v="837"/>
    <x v="161"/>
  </r>
  <r>
    <x v="838"/>
    <x v="316"/>
  </r>
  <r>
    <x v="839"/>
    <x v="509"/>
  </r>
  <r>
    <x v="840"/>
    <x v="341"/>
  </r>
  <r>
    <x v="841"/>
    <x v="546"/>
  </r>
  <r>
    <x v="842"/>
    <x v="152"/>
  </r>
  <r>
    <x v="843"/>
    <x v="166"/>
  </r>
  <r>
    <x v="844"/>
    <x v="682"/>
  </r>
  <r>
    <x v="849"/>
    <x v="627"/>
  </r>
  <r>
    <x v="845"/>
    <x v="685"/>
  </r>
  <r>
    <x v="846"/>
    <x v="479"/>
  </r>
  <r>
    <x v="847"/>
    <x v="661"/>
  </r>
  <r>
    <x v="848"/>
    <x v="198"/>
  </r>
  <r>
    <x v="850"/>
    <x v="391"/>
  </r>
  <r>
    <x v="851"/>
    <x v="633"/>
  </r>
  <r>
    <x v="852"/>
    <x v="577"/>
  </r>
  <r>
    <x v="853"/>
    <x v="329"/>
  </r>
  <r>
    <x v="854"/>
    <x v="387"/>
  </r>
  <r>
    <x v="855"/>
    <x v="527"/>
  </r>
  <r>
    <x v="856"/>
    <x v="577"/>
  </r>
  <r>
    <x v="857"/>
    <x v="582"/>
  </r>
  <r>
    <x v="858"/>
    <x v="387"/>
  </r>
  <r>
    <x v="859"/>
    <x v="387"/>
  </r>
  <r>
    <x v="860"/>
    <x v="119"/>
  </r>
  <r>
    <x v="861"/>
    <x v="329"/>
  </r>
  <r>
    <x v="862"/>
    <x v="318"/>
  </r>
  <r>
    <x v="863"/>
    <x v="607"/>
  </r>
  <r>
    <x v="864"/>
    <x v="550"/>
  </r>
  <r>
    <x v="865"/>
    <x v="687"/>
  </r>
  <r>
    <x v="866"/>
    <x v="186"/>
  </r>
  <r>
    <x v="867"/>
    <x v="329"/>
  </r>
  <r>
    <x v="868"/>
    <x v="833"/>
  </r>
  <r>
    <x v="869"/>
    <x v="329"/>
  </r>
  <r>
    <x v="870"/>
    <x v="82"/>
  </r>
  <r>
    <x v="871"/>
    <x v="955"/>
  </r>
  <r>
    <x v="872"/>
    <x v="567"/>
  </r>
  <r>
    <x v="873"/>
    <x v="583"/>
  </r>
  <r>
    <x v="874"/>
    <x v="434"/>
  </r>
  <r>
    <x v="875"/>
    <x v="161"/>
  </r>
  <r>
    <x v="876"/>
    <x v="515"/>
  </r>
  <r>
    <x v="877"/>
    <x v="577"/>
  </r>
  <r>
    <x v="878"/>
    <x v="838"/>
  </r>
  <r>
    <x v="879"/>
    <x v="757"/>
  </r>
  <r>
    <x v="880"/>
    <x v="48"/>
  </r>
  <r>
    <x v="881"/>
    <x v="529"/>
  </r>
  <r>
    <x v="882"/>
    <x v="773"/>
  </r>
  <r>
    <x v="883"/>
    <x v="582"/>
  </r>
  <r>
    <x v="884"/>
    <x v="532"/>
  </r>
  <r>
    <x v="885"/>
    <x v="387"/>
  </r>
  <r>
    <x v="886"/>
    <x v="567"/>
  </r>
  <r>
    <x v="887"/>
    <x v="577"/>
  </r>
  <r>
    <x v="888"/>
    <x v="387"/>
  </r>
  <r>
    <x v="889"/>
    <x v="254"/>
  </r>
  <r>
    <x v="890"/>
    <x v="387"/>
  </r>
  <r>
    <x v="891"/>
    <x v="393"/>
  </r>
  <r>
    <x v="892"/>
    <x v="577"/>
  </r>
  <r>
    <x v="893"/>
    <x v="577"/>
  </r>
  <r>
    <x v="894"/>
    <x v="199"/>
  </r>
  <r>
    <x v="895"/>
    <x v="195"/>
  </r>
  <r>
    <x v="896"/>
    <x v="678"/>
  </r>
  <r>
    <x v="897"/>
    <x v="577"/>
  </r>
  <r>
    <x v="898"/>
    <x v="18"/>
  </r>
  <r>
    <x v="899"/>
    <x v="438"/>
  </r>
  <r>
    <x v="900"/>
    <x v="161"/>
  </r>
  <r>
    <x v="901"/>
    <x v="721"/>
  </r>
  <r>
    <x v="902"/>
    <x v="601"/>
  </r>
  <r>
    <x v="903"/>
    <x v="577"/>
  </r>
  <r>
    <x v="904"/>
    <x v="219"/>
  </r>
  <r>
    <x v="905"/>
    <x v="824"/>
  </r>
  <r>
    <x v="906"/>
    <x v="186"/>
  </r>
  <r>
    <x v="907"/>
    <x v="577"/>
  </r>
  <r>
    <x v="908"/>
    <x v="577"/>
  </r>
  <r>
    <x v="909"/>
    <x v="559"/>
  </r>
  <r>
    <x v="910"/>
    <x v="842"/>
  </r>
  <r>
    <x v="911"/>
    <x v="577"/>
  </r>
  <r>
    <x v="912"/>
    <x v="387"/>
  </r>
  <r>
    <x v="913"/>
    <x v="577"/>
  </r>
  <r>
    <x v="914"/>
    <x v="544"/>
  </r>
  <r>
    <x v="915"/>
    <x v="387"/>
  </r>
  <r>
    <x v="916"/>
    <x v="577"/>
  </r>
  <r>
    <x v="917"/>
    <x v="577"/>
  </r>
  <r>
    <x v="918"/>
    <x v="684"/>
  </r>
  <r>
    <x v="919"/>
    <x v="220"/>
  </r>
  <r>
    <x v="920"/>
    <x v="216"/>
  </r>
  <r>
    <x v="921"/>
    <x v="824"/>
  </r>
  <r>
    <x v="922"/>
    <x v="390"/>
  </r>
  <r>
    <x v="923"/>
    <x v="329"/>
  </r>
  <r>
    <x v="924"/>
    <x v="132"/>
  </r>
  <r>
    <x v="925"/>
    <x v="886"/>
  </r>
  <r>
    <x v="926"/>
    <x v="171"/>
  </r>
  <r>
    <x v="927"/>
    <x v="656"/>
  </r>
  <r>
    <x v="928"/>
    <x v="73"/>
  </r>
  <r>
    <x v="929"/>
    <x v="0"/>
  </r>
  <r>
    <x v="930"/>
    <x v="73"/>
  </r>
  <r>
    <x v="931"/>
    <x v="166"/>
  </r>
  <r>
    <x v="932"/>
    <x v="540"/>
  </r>
  <r>
    <x v="933"/>
    <x v="684"/>
  </r>
  <r>
    <x v="934"/>
    <x v="104"/>
  </r>
  <r>
    <x v="935"/>
    <x v="995"/>
  </r>
  <r>
    <x v="936"/>
    <x v="627"/>
  </r>
  <r>
    <x v="937"/>
    <x v="572"/>
  </r>
  <r>
    <x v="938"/>
    <x v="658"/>
  </r>
  <r>
    <x v="939"/>
    <x v="1032"/>
  </r>
  <r>
    <x v="940"/>
    <x v="733"/>
  </r>
  <r>
    <x v="941"/>
    <x v="607"/>
  </r>
  <r>
    <x v="942"/>
    <x v="567"/>
  </r>
  <r>
    <x v="943"/>
    <x v="0"/>
  </r>
  <r>
    <x v="944"/>
    <x v="380"/>
  </r>
  <r>
    <x v="945"/>
    <x v="574"/>
  </r>
  <r>
    <x v="946"/>
    <x v="469"/>
  </r>
  <r>
    <x v="947"/>
    <x v="885"/>
  </r>
  <r>
    <x v="948"/>
    <x v="0"/>
  </r>
  <r>
    <x v="949"/>
    <x v="577"/>
  </r>
  <r>
    <x v="950"/>
    <x v="359"/>
  </r>
  <r>
    <x v="951"/>
    <x v="445"/>
  </r>
  <r>
    <x v="952"/>
    <x v="780"/>
  </r>
  <r>
    <x v="953"/>
    <x v="16"/>
  </r>
  <r>
    <x v="954"/>
    <x v="607"/>
  </r>
  <r>
    <x v="955"/>
    <x v="790"/>
  </r>
  <r>
    <x v="956"/>
    <x v="212"/>
  </r>
  <r>
    <x v="957"/>
    <x v="601"/>
  </r>
  <r>
    <x v="958"/>
    <x v="313"/>
  </r>
  <r>
    <x v="959"/>
    <x v="603"/>
  </r>
  <r>
    <x v="960"/>
    <x v="387"/>
  </r>
  <r>
    <x v="961"/>
    <x v="387"/>
  </r>
  <r>
    <x v="962"/>
    <x v="607"/>
  </r>
  <r>
    <x v="963"/>
    <x v="685"/>
  </r>
  <r>
    <x v="964"/>
    <x v="396"/>
  </r>
  <r>
    <x v="965"/>
    <x v="265"/>
  </r>
  <r>
    <x v="966"/>
    <x v="491"/>
  </r>
  <r>
    <x v="967"/>
    <x v="166"/>
  </r>
  <r>
    <x v="968"/>
    <x v="70"/>
  </r>
  <r>
    <x v="969"/>
    <x v="44"/>
  </r>
  <r>
    <x v="970"/>
    <x v="577"/>
  </r>
  <r>
    <x v="971"/>
    <x v="865"/>
  </r>
  <r>
    <x v="972"/>
    <x v="219"/>
  </r>
  <r>
    <x v="973"/>
    <x v="577"/>
  </r>
  <r>
    <x v="974"/>
    <x v="577"/>
  </r>
  <r>
    <x v="975"/>
    <x v="577"/>
  </r>
  <r>
    <x v="976"/>
    <x v="577"/>
  </r>
  <r>
    <x v="977"/>
    <x v="577"/>
  </r>
  <r>
    <x v="978"/>
    <x v="577"/>
  </r>
  <r>
    <x v="979"/>
    <x v="200"/>
  </r>
  <r>
    <x v="980"/>
    <x v="577"/>
  </r>
  <r>
    <x v="981"/>
    <x v="577"/>
  </r>
  <r>
    <x v="982"/>
    <x v="577"/>
  </r>
  <r>
    <x v="983"/>
    <x v="888"/>
  </r>
  <r>
    <x v="984"/>
    <x v="123"/>
  </r>
  <r>
    <x v="985"/>
    <x v="577"/>
  </r>
  <r>
    <x v="986"/>
    <x v="0"/>
  </r>
  <r>
    <x v="987"/>
    <x v="638"/>
  </r>
  <r>
    <x v="988"/>
    <x v="892"/>
  </r>
  <r>
    <x v="989"/>
    <x v="895"/>
  </r>
  <r>
    <x v="990"/>
    <x v="549"/>
  </r>
  <r>
    <x v="991"/>
    <x v="547"/>
  </r>
  <r>
    <x v="992"/>
    <x v="475"/>
  </r>
  <r>
    <x v="993"/>
    <x v="211"/>
  </r>
  <r>
    <x v="994"/>
    <x v="1014"/>
  </r>
  <r>
    <x v="995"/>
    <x v="577"/>
  </r>
  <r>
    <x v="996"/>
    <x v="357"/>
  </r>
  <r>
    <x v="997"/>
    <x v="835"/>
  </r>
  <r>
    <x v="998"/>
    <x v="577"/>
  </r>
  <r>
    <x v="999"/>
    <x v="195"/>
  </r>
  <r>
    <x v="1000"/>
    <x v="254"/>
  </r>
  <r>
    <x v="1001"/>
    <x v="577"/>
  </r>
  <r>
    <x v="1002"/>
    <x v="577"/>
  </r>
  <r>
    <x v="1003"/>
    <x v="422"/>
  </r>
  <r>
    <x v="1004"/>
    <x v="195"/>
  </r>
  <r>
    <x v="1005"/>
    <x v="684"/>
  </r>
  <r>
    <x v="1006"/>
    <x v="1002"/>
  </r>
  <r>
    <x v="1007"/>
    <x v="190"/>
  </r>
  <r>
    <x v="1008"/>
    <x v="385"/>
  </r>
  <r>
    <x v="1009"/>
    <x v="607"/>
  </r>
  <r>
    <x v="1010"/>
    <x v="200"/>
  </r>
  <r>
    <x v="1011"/>
    <x v="577"/>
  </r>
  <r>
    <x v="1012"/>
    <x v="902"/>
  </r>
  <r>
    <x v="1013"/>
    <x v="589"/>
  </r>
  <r>
    <x v="1014"/>
    <x v="277"/>
  </r>
  <r>
    <x v="1015"/>
    <x v="35"/>
  </r>
  <r>
    <x v="1016"/>
    <x v="107"/>
  </r>
  <r>
    <x v="1017"/>
    <x v="577"/>
  </r>
  <r>
    <x v="1018"/>
    <x v="1024"/>
  </r>
  <r>
    <x v="1019"/>
    <x v="0"/>
  </r>
  <r>
    <x v="1020"/>
    <x v="859"/>
  </r>
  <r>
    <x v="1021"/>
    <x v="1026"/>
  </r>
  <r>
    <x v="1022"/>
    <x v="697"/>
  </r>
  <r>
    <x v="1023"/>
    <x v="661"/>
  </r>
  <r>
    <x v="1024"/>
    <x v="557"/>
  </r>
  <r>
    <x v="1025"/>
    <x v="403"/>
  </r>
  <r>
    <x v="1026"/>
    <x v="405"/>
  </r>
  <r>
    <x v="1027"/>
    <x v="1033"/>
  </r>
  <r>
    <x v="1028"/>
    <x v="685"/>
  </r>
  <r>
    <x v="1029"/>
    <x v="360"/>
  </r>
  <r>
    <x v="1030"/>
    <x v="299"/>
  </r>
  <r>
    <x v="1031"/>
    <x v="473"/>
  </r>
  <r>
    <x v="1032"/>
    <x v="665"/>
  </r>
  <r>
    <x v="1033"/>
    <x v="577"/>
  </r>
  <r>
    <x v="1034"/>
    <x v="1044"/>
  </r>
  <r>
    <x v="1035"/>
    <x v="684"/>
  </r>
  <r>
    <x v="1036"/>
    <x v="583"/>
  </r>
  <r>
    <x v="1037"/>
    <x v="329"/>
  </r>
  <r>
    <x v="1038"/>
    <x v="988"/>
  </r>
  <r>
    <x v="1039"/>
    <x v="112"/>
  </r>
  <r>
    <x v="1040"/>
    <x v="187"/>
  </r>
  <r>
    <x v="1041"/>
    <x v="215"/>
  </r>
  <r>
    <x v="1042"/>
    <x v="203"/>
  </r>
  <r>
    <x v="1043"/>
    <x v="965"/>
  </r>
  <r>
    <x v="1044"/>
    <x v="607"/>
  </r>
  <r>
    <x v="1045"/>
    <x v="807"/>
  </r>
  <r>
    <x v="1046"/>
    <x v="166"/>
  </r>
  <r>
    <x v="1047"/>
    <x v="657"/>
  </r>
  <r>
    <x v="1048"/>
    <x v="854"/>
  </r>
  <r>
    <x v="1049"/>
    <x v="577"/>
  </r>
  <r>
    <x v="1050"/>
    <x v="774"/>
  </r>
  <r>
    <x v="1051"/>
    <x v="256"/>
  </r>
  <r>
    <x v="1052"/>
    <x v="963"/>
  </r>
  <r>
    <x v="1053"/>
    <x v="868"/>
  </r>
  <r>
    <x v="1054"/>
    <x v="1011"/>
  </r>
  <r>
    <x v="1055"/>
    <x v="577"/>
  </r>
  <r>
    <x v="1056"/>
    <x v="390"/>
  </r>
  <r>
    <x v="1057"/>
    <x v="546"/>
  </r>
  <r>
    <x v="1058"/>
    <x v="827"/>
  </r>
  <r>
    <x v="1059"/>
    <x v="97"/>
  </r>
  <r>
    <x v="1060"/>
    <x v="776"/>
  </r>
  <r>
    <x v="1061"/>
    <x v="857"/>
  </r>
  <r>
    <x v="1062"/>
    <x v="392"/>
  </r>
  <r>
    <x v="1063"/>
    <x v="808"/>
  </r>
  <r>
    <x v="1064"/>
    <x v="204"/>
  </r>
  <r>
    <x v="1065"/>
    <x v="577"/>
  </r>
  <r>
    <x v="1066"/>
    <x v="187"/>
  </r>
  <r>
    <x v="1067"/>
    <x v="187"/>
  </r>
  <r>
    <x v="1068"/>
    <x v="653"/>
  </r>
  <r>
    <x v="1069"/>
    <x v="48"/>
  </r>
  <r>
    <x v="1070"/>
    <x v="548"/>
  </r>
  <r>
    <x v="1071"/>
    <x v="16"/>
  </r>
  <r>
    <x v="1072"/>
    <x v="656"/>
  </r>
  <r>
    <x v="1073"/>
    <x v="583"/>
  </r>
  <r>
    <x v="1074"/>
    <x v="972"/>
  </r>
  <r>
    <x v="1075"/>
    <x v="802"/>
  </r>
  <r>
    <x v="1076"/>
    <x v="806"/>
  </r>
  <r>
    <x v="1077"/>
    <x v="457"/>
  </r>
  <r>
    <x v="1078"/>
    <x v="589"/>
  </r>
  <r>
    <x v="1079"/>
    <x v="200"/>
  </r>
  <r>
    <x v="1080"/>
    <x v="559"/>
  </r>
  <r>
    <x v="1081"/>
    <x v="1044"/>
  </r>
  <r>
    <x v="1082"/>
    <x v="658"/>
  </r>
  <r>
    <x v="1083"/>
    <x v="166"/>
  </r>
  <r>
    <x v="1084"/>
    <x v="567"/>
  </r>
  <r>
    <x v="1085"/>
    <x v="577"/>
  </r>
  <r>
    <x v="1086"/>
    <x v="557"/>
  </r>
  <r>
    <x v="1087"/>
    <x v="607"/>
  </r>
  <r>
    <x v="1088"/>
    <x v="896"/>
  </r>
  <r>
    <x v="1089"/>
    <x v="387"/>
  </r>
  <r>
    <x v="1090"/>
    <x v="59"/>
  </r>
  <r>
    <x v="1091"/>
    <x v="394"/>
  </r>
  <r>
    <x v="1092"/>
    <x v="428"/>
  </r>
  <r>
    <x v="1093"/>
    <x v="680"/>
  </r>
  <r>
    <x v="1094"/>
    <x v="784"/>
  </r>
  <r>
    <x v="1095"/>
    <x v="1012"/>
  </r>
  <r>
    <x v="1096"/>
    <x v="113"/>
  </r>
  <r>
    <x v="1097"/>
    <x v="123"/>
  </r>
  <r>
    <x v="1098"/>
    <x v="732"/>
  </r>
  <r>
    <x v="1099"/>
    <x v="776"/>
  </r>
  <r>
    <x v="1100"/>
    <x v="55"/>
  </r>
  <r>
    <x v="1101"/>
    <x v="577"/>
  </r>
  <r>
    <x v="1102"/>
    <x v="990"/>
  </r>
  <r>
    <x v="1103"/>
    <x v="808"/>
  </r>
  <r>
    <x v="1105"/>
    <x v="153"/>
  </r>
  <r>
    <x v="1106"/>
    <x v="1016"/>
  </r>
  <r>
    <x v="1107"/>
    <x v="132"/>
  </r>
  <r>
    <x v="1104"/>
    <x v="109"/>
  </r>
  <r>
    <x v="1108"/>
    <x v="387"/>
  </r>
  <r>
    <x v="1109"/>
    <x v="896"/>
  </r>
  <r>
    <x v="1110"/>
    <x v="0"/>
  </r>
  <r>
    <x v="1111"/>
    <x v="234"/>
  </r>
  <r>
    <x v="1112"/>
    <x v="208"/>
  </r>
  <r>
    <x v="1113"/>
    <x v="577"/>
  </r>
  <r>
    <x v="1114"/>
    <x v="577"/>
  </r>
  <r>
    <x v="1115"/>
    <x v="577"/>
  </r>
  <r>
    <x v="1116"/>
    <x v="495"/>
  </r>
  <r>
    <x v="1117"/>
    <x v="405"/>
  </r>
  <r>
    <x v="1118"/>
    <x v="118"/>
  </r>
  <r>
    <x v="1119"/>
    <x v="577"/>
  </r>
  <r>
    <x v="1120"/>
    <x v="976"/>
  </r>
  <r>
    <x v="1121"/>
    <x v="577"/>
  </r>
  <r>
    <x v="1122"/>
    <x v="2"/>
  </r>
  <r>
    <x v="1123"/>
    <x v="351"/>
  </r>
  <r>
    <x v="1124"/>
    <x v="63"/>
  </r>
  <r>
    <x v="1125"/>
    <x v="678"/>
  </r>
  <r>
    <x v="1126"/>
    <x v="742"/>
  </r>
  <r>
    <x v="1127"/>
    <x v="577"/>
  </r>
  <r>
    <x v="1128"/>
    <x v="387"/>
  </r>
  <r>
    <x v="1129"/>
    <x v="1007"/>
  </r>
  <r>
    <x v="1130"/>
    <x v="540"/>
  </r>
  <r>
    <x v="1131"/>
    <x v="589"/>
  </r>
  <r>
    <x v="1132"/>
    <x v="742"/>
  </r>
  <r>
    <x v="1133"/>
    <x v="891"/>
  </r>
  <r>
    <x v="1134"/>
    <x v="696"/>
  </r>
  <r>
    <x v="1135"/>
    <x v="867"/>
  </r>
  <r>
    <x v="1136"/>
    <x v="10"/>
  </r>
  <r>
    <x v="1137"/>
    <x v="10"/>
  </r>
  <r>
    <x v="1138"/>
    <x v="277"/>
  </r>
  <r>
    <x v="1139"/>
    <x v="868"/>
  </r>
  <r>
    <x v="1140"/>
    <x v="577"/>
  </r>
  <r>
    <x v="1141"/>
    <x v="1045"/>
  </r>
  <r>
    <x v="1142"/>
    <x v="577"/>
  </r>
  <r>
    <x v="1143"/>
    <x v="329"/>
  </r>
  <r>
    <x v="1144"/>
    <x v="329"/>
  </r>
  <r>
    <x v="1145"/>
    <x v="1022"/>
  </r>
  <r>
    <x v="1146"/>
    <x v="544"/>
  </r>
  <r>
    <x v="1147"/>
    <x v="925"/>
  </r>
  <r>
    <x v="1148"/>
    <x v="865"/>
  </r>
  <r>
    <x v="1149"/>
    <x v="680"/>
  </r>
  <r>
    <x v="1150"/>
    <x v="387"/>
  </r>
  <r>
    <x v="1151"/>
    <x v="577"/>
  </r>
  <r>
    <x v="1152"/>
    <x v="364"/>
  </r>
  <r>
    <x v="1153"/>
    <x v="1024"/>
  </r>
  <r>
    <x v="1154"/>
    <x v="220"/>
  </r>
  <r>
    <x v="1155"/>
    <x v="132"/>
  </r>
  <r>
    <x v="1156"/>
    <x v="577"/>
  </r>
  <r>
    <x v="1157"/>
    <x v="486"/>
  </r>
  <r>
    <x v="1158"/>
    <x v="140"/>
  </r>
  <r>
    <x v="1159"/>
    <x v="544"/>
  </r>
  <r>
    <x v="1160"/>
    <x v="757"/>
  </r>
  <r>
    <x v="1161"/>
    <x v="577"/>
  </r>
  <r>
    <x v="1162"/>
    <x v="52"/>
  </r>
  <r>
    <x v="1163"/>
    <x v="75"/>
  </r>
  <r>
    <x v="1164"/>
    <x v="876"/>
  </r>
  <r>
    <x v="1165"/>
    <x v="92"/>
  </r>
  <r>
    <x v="1166"/>
    <x v="546"/>
  </r>
  <r>
    <x v="1167"/>
    <x v="151"/>
  </r>
  <r>
    <x v="1168"/>
    <x v="505"/>
  </r>
  <r>
    <x v="1169"/>
    <x v="728"/>
  </r>
  <r>
    <x v="1170"/>
    <x v="577"/>
  </r>
  <r>
    <x v="1171"/>
    <x v="896"/>
  </r>
  <r>
    <x v="1172"/>
    <x v="742"/>
  </r>
  <r>
    <x v="1173"/>
    <x v="457"/>
  </r>
  <r>
    <x v="1174"/>
    <x v="0"/>
  </r>
  <r>
    <x v="1175"/>
    <x v="631"/>
  </r>
  <r>
    <x v="1176"/>
    <x v="387"/>
  </r>
  <r>
    <x v="1177"/>
    <x v="871"/>
  </r>
  <r>
    <x v="1178"/>
    <x v="638"/>
  </r>
  <r>
    <x v="1179"/>
    <x v="323"/>
  </r>
  <r>
    <x v="1180"/>
    <x v="132"/>
  </r>
  <r>
    <x v="1181"/>
    <x v="132"/>
  </r>
  <r>
    <x v="1182"/>
    <x v="132"/>
  </r>
  <r>
    <x v="1183"/>
    <x v="463"/>
  </r>
  <r>
    <x v="1184"/>
    <x v="562"/>
  </r>
  <r>
    <x v="1185"/>
    <x v="546"/>
  </r>
  <r>
    <x v="1186"/>
    <x v="577"/>
  </r>
  <r>
    <x v="1187"/>
    <x v="544"/>
  </r>
  <r>
    <x v="1188"/>
    <x v="213"/>
  </r>
  <r>
    <x v="1189"/>
    <x v="387"/>
  </r>
  <r>
    <x v="1190"/>
    <x v="20"/>
  </r>
  <r>
    <x v="1191"/>
    <x v="752"/>
  </r>
  <r>
    <x v="1192"/>
    <x v="1045"/>
  </r>
  <r>
    <x v="1193"/>
    <x v="183"/>
  </r>
  <r>
    <x v="1195"/>
    <x v="4"/>
  </r>
  <r>
    <x v="1196"/>
    <x v="727"/>
  </r>
  <r>
    <x v="1197"/>
    <x v="935"/>
  </r>
  <r>
    <x v="1198"/>
    <x v="267"/>
  </r>
  <r>
    <x v="1199"/>
    <x v="790"/>
  </r>
  <r>
    <x v="1200"/>
    <x v="531"/>
  </r>
  <r>
    <x v="1201"/>
    <x v="707"/>
  </r>
  <r>
    <x v="1202"/>
    <x v="685"/>
  </r>
  <r>
    <x v="1203"/>
    <x v="427"/>
  </r>
  <r>
    <x v="1204"/>
    <x v="209"/>
  </r>
  <r>
    <x v="1205"/>
    <x v="154"/>
  </r>
  <r>
    <x v="1206"/>
    <x v="547"/>
  </r>
  <r>
    <x v="1207"/>
    <x v="577"/>
  </r>
  <r>
    <x v="1208"/>
    <x v="97"/>
  </r>
  <r>
    <x v="1209"/>
    <x v="628"/>
  </r>
  <r>
    <x v="1210"/>
    <x v="132"/>
  </r>
  <r>
    <x v="1211"/>
    <x v="387"/>
  </r>
  <r>
    <x v="1212"/>
    <x v="277"/>
  </r>
  <r>
    <x v="1213"/>
    <x v="0"/>
  </r>
  <r>
    <x v="1214"/>
    <x v="1012"/>
  </r>
  <r>
    <x v="1215"/>
    <x v="577"/>
  </r>
  <r>
    <x v="1216"/>
    <x v="577"/>
  </r>
  <r>
    <x v="1217"/>
    <x v="1038"/>
  </r>
  <r>
    <x v="1218"/>
    <x v="577"/>
  </r>
  <r>
    <x v="1219"/>
    <x v="1044"/>
  </r>
  <r>
    <x v="1220"/>
    <x v="73"/>
  </r>
  <r>
    <x v="1221"/>
    <x v="99"/>
  </r>
  <r>
    <x v="1222"/>
    <x v="684"/>
  </r>
  <r>
    <x v="1223"/>
    <x v="409"/>
  </r>
  <r>
    <x v="1224"/>
    <x v="838"/>
  </r>
  <r>
    <x v="1225"/>
    <x v="577"/>
  </r>
  <r>
    <x v="1226"/>
    <x v="1024"/>
  </r>
  <r>
    <x v="1227"/>
    <x v="611"/>
  </r>
  <r>
    <x v="1228"/>
    <x v="484"/>
  </r>
  <r>
    <x v="1229"/>
    <x v="186"/>
  </r>
  <r>
    <x v="1230"/>
    <x v="323"/>
  </r>
  <r>
    <x v="1231"/>
    <x v="607"/>
  </r>
  <r>
    <x v="1232"/>
    <x v="577"/>
  </r>
  <r>
    <x v="1233"/>
    <x v="208"/>
  </r>
  <r>
    <x v="1234"/>
    <x v="422"/>
  </r>
  <r>
    <x v="1235"/>
    <x v="699"/>
  </r>
  <r>
    <x v="1194"/>
    <x v="658"/>
  </r>
  <r>
    <x v="1236"/>
    <x v="1022"/>
  </r>
  <r>
    <x v="1237"/>
    <x v="759"/>
  </r>
  <r>
    <x v="1238"/>
    <x v="685"/>
  </r>
  <r>
    <x v="1239"/>
    <x v="607"/>
  </r>
  <r>
    <x v="1240"/>
    <x v="307"/>
  </r>
  <r>
    <x v="1241"/>
    <x v="727"/>
  </r>
  <r>
    <x v="1242"/>
    <x v="410"/>
  </r>
  <r>
    <x v="1243"/>
    <x v="197"/>
  </r>
  <r>
    <x v="1244"/>
    <x v="1023"/>
  </r>
  <r>
    <x v="1245"/>
    <x v="1045"/>
  </r>
  <r>
    <x v="1246"/>
    <x v="793"/>
  </r>
  <r>
    <x v="1247"/>
    <x v="73"/>
  </r>
  <r>
    <x v="1248"/>
    <x v="83"/>
  </r>
  <r>
    <x v="1249"/>
    <x v="132"/>
  </r>
  <r>
    <x v="1250"/>
    <x v="462"/>
  </r>
  <r>
    <x v="1251"/>
    <x v="598"/>
  </r>
  <r>
    <x v="1252"/>
    <x v="857"/>
  </r>
  <r>
    <x v="1253"/>
    <x v="370"/>
  </r>
  <r>
    <x v="1254"/>
    <x v="847"/>
  </r>
  <r>
    <x v="1255"/>
    <x v="847"/>
  </r>
  <r>
    <x v="1256"/>
    <x v="952"/>
  </r>
  <r>
    <x v="1257"/>
    <x v="542"/>
  </r>
  <r>
    <x v="1258"/>
    <x v="132"/>
  </r>
  <r>
    <x v="1259"/>
    <x v="727"/>
  </r>
  <r>
    <x v="1260"/>
    <x v="0"/>
  </r>
  <r>
    <x v="1261"/>
    <x v="577"/>
  </r>
  <r>
    <x v="1262"/>
    <x v="27"/>
  </r>
  <r>
    <x v="1263"/>
    <x v="48"/>
  </r>
  <r>
    <x v="1264"/>
    <x v="357"/>
  </r>
  <r>
    <x v="1265"/>
    <x v="511"/>
  </r>
  <r>
    <x v="1266"/>
    <x v="422"/>
  </r>
  <r>
    <x v="1267"/>
    <x v="277"/>
  </r>
  <r>
    <x v="1268"/>
    <x v="186"/>
  </r>
  <r>
    <x v="1269"/>
    <x v="896"/>
  </r>
  <r>
    <x v="1270"/>
    <x v="963"/>
  </r>
  <r>
    <x v="1271"/>
    <x v="577"/>
  </r>
  <r>
    <x v="1272"/>
    <x v="138"/>
  </r>
  <r>
    <x v="1273"/>
    <x v="82"/>
  </r>
  <r>
    <x v="1274"/>
    <x v="1015"/>
  </r>
  <r>
    <x v="1275"/>
    <x v="1023"/>
  </r>
  <r>
    <x v="1276"/>
    <x v="24"/>
  </r>
  <r>
    <x v="1277"/>
    <x v="44"/>
  </r>
  <r>
    <x v="1278"/>
    <x v="936"/>
  </r>
  <r>
    <x v="1279"/>
    <x v="1045"/>
  </r>
  <r>
    <x v="1280"/>
    <x v="533"/>
  </r>
  <r>
    <x v="1281"/>
    <x v="663"/>
  </r>
  <r>
    <x v="1282"/>
    <x v="604"/>
  </r>
  <r>
    <x v="1283"/>
    <x v="577"/>
  </r>
  <r>
    <x v="1284"/>
    <x v="1011"/>
  </r>
  <r>
    <x v="1285"/>
    <x v="96"/>
  </r>
  <r>
    <x v="1286"/>
    <x v="138"/>
  </r>
  <r>
    <x v="1287"/>
    <x v="97"/>
  </r>
  <r>
    <x v="1288"/>
    <x v="234"/>
  </r>
  <r>
    <x v="1289"/>
    <x v="751"/>
  </r>
  <r>
    <x v="1290"/>
    <x v="132"/>
  </r>
  <r>
    <x v="1291"/>
    <x v="445"/>
  </r>
  <r>
    <x v="1292"/>
    <x v="703"/>
  </r>
  <r>
    <x v="1293"/>
    <x v="921"/>
  </r>
  <r>
    <x v="1294"/>
    <x v="577"/>
  </r>
  <r>
    <x v="1295"/>
    <x v="577"/>
  </r>
  <r>
    <x v="1296"/>
    <x v="488"/>
  </r>
  <r>
    <x v="1297"/>
    <x v="155"/>
  </r>
  <r>
    <x v="1298"/>
    <x v="868"/>
  </r>
  <r>
    <x v="1299"/>
    <x v="544"/>
  </r>
  <r>
    <x v="1300"/>
    <x v="577"/>
  </r>
  <r>
    <x v="1301"/>
    <x v="948"/>
  </r>
  <r>
    <x v="1302"/>
    <x v="567"/>
  </r>
  <r>
    <x v="1303"/>
    <x v="198"/>
  </r>
  <r>
    <x v="1304"/>
    <x v="937"/>
  </r>
  <r>
    <x v="1305"/>
    <x v="159"/>
  </r>
  <r>
    <x v="1306"/>
    <x v="741"/>
  </r>
  <r>
    <x v="1307"/>
    <x v="387"/>
  </r>
  <r>
    <x v="1308"/>
    <x v="387"/>
  </r>
  <r>
    <x v="1309"/>
    <x v="439"/>
  </r>
  <r>
    <x v="1310"/>
    <x v="462"/>
  </r>
  <r>
    <x v="1311"/>
    <x v="607"/>
  </r>
  <r>
    <x v="1312"/>
    <x v="600"/>
  </r>
  <r>
    <x v="1313"/>
    <x v="165"/>
  </r>
  <r>
    <x v="1314"/>
    <x v="219"/>
  </r>
  <r>
    <x v="1315"/>
    <x v="1036"/>
  </r>
  <r>
    <x v="1316"/>
    <x v="567"/>
  </r>
  <r>
    <x v="1317"/>
    <x v="97"/>
  </r>
  <r>
    <x v="1318"/>
    <x v="661"/>
  </r>
  <r>
    <x v="1319"/>
    <x v="470"/>
  </r>
  <r>
    <x v="1320"/>
    <x v="256"/>
  </r>
  <r>
    <x v="1321"/>
    <x v="487"/>
  </r>
  <r>
    <x v="1322"/>
    <x v="577"/>
  </r>
  <r>
    <x v="1323"/>
    <x v="577"/>
  </r>
  <r>
    <x v="1324"/>
    <x v="577"/>
  </r>
  <r>
    <x v="1325"/>
    <x v="78"/>
  </r>
  <r>
    <x v="1326"/>
    <x v="250"/>
  </r>
  <r>
    <x v="1327"/>
    <x v="190"/>
  </r>
  <r>
    <x v="1328"/>
    <x v="73"/>
  </r>
  <r>
    <x v="1329"/>
    <x v="92"/>
  </r>
  <r>
    <x v="1330"/>
    <x v="909"/>
  </r>
  <r>
    <x v="1331"/>
    <x v="815"/>
  </r>
  <r>
    <x v="1332"/>
    <x v="577"/>
  </r>
  <r>
    <x v="1333"/>
    <x v="577"/>
  </r>
  <r>
    <x v="1334"/>
    <x v="577"/>
  </r>
  <r>
    <x v="1335"/>
    <x v="577"/>
  </r>
  <r>
    <x v="1336"/>
    <x v="753"/>
  </r>
  <r>
    <x v="1337"/>
    <x v="878"/>
  </r>
  <r>
    <x v="1338"/>
    <x v="813"/>
  </r>
  <r>
    <x v="1339"/>
    <x v="614"/>
  </r>
  <r>
    <x v="1340"/>
    <x v="682"/>
  </r>
  <r>
    <x v="1341"/>
    <x v="872"/>
  </r>
  <r>
    <x v="1342"/>
    <x v="423"/>
  </r>
  <r>
    <x v="1343"/>
    <x v="101"/>
  </r>
  <r>
    <x v="1344"/>
    <x v="329"/>
  </r>
  <r>
    <x v="1345"/>
    <x v="704"/>
  </r>
  <r>
    <x v="1346"/>
    <x v="890"/>
  </r>
  <r>
    <x v="1347"/>
    <x v="79"/>
  </r>
  <r>
    <x v="1348"/>
    <x v="684"/>
  </r>
  <r>
    <x v="1349"/>
    <x v="0"/>
  </r>
  <r>
    <x v="1350"/>
    <x v="498"/>
  </r>
  <r>
    <x v="1351"/>
    <x v="577"/>
  </r>
  <r>
    <x v="1352"/>
    <x v="868"/>
  </r>
  <r>
    <x v="1353"/>
    <x v="195"/>
  </r>
  <r>
    <x v="1354"/>
    <x v="577"/>
  </r>
  <r>
    <x v="1355"/>
    <x v="697"/>
  </r>
  <r>
    <x v="1356"/>
    <x v="1034"/>
  </r>
  <r>
    <x v="1357"/>
    <x v="712"/>
  </r>
  <r>
    <x v="1358"/>
    <x v="680"/>
  </r>
  <r>
    <x v="1359"/>
    <x v="577"/>
  </r>
  <r>
    <x v="1360"/>
    <x v="602"/>
  </r>
  <r>
    <x v="1361"/>
    <x v="577"/>
  </r>
  <r>
    <x v="1362"/>
    <x v="577"/>
  </r>
  <r>
    <x v="1363"/>
    <x v="776"/>
  </r>
  <r>
    <x v="1364"/>
    <x v="387"/>
  </r>
  <r>
    <x v="1365"/>
    <x v="684"/>
  </r>
  <r>
    <x v="1366"/>
    <x v="655"/>
  </r>
  <r>
    <x v="1367"/>
    <x v="509"/>
  </r>
  <r>
    <x v="1368"/>
    <x v="97"/>
  </r>
  <r>
    <x v="1369"/>
    <x v="601"/>
  </r>
  <r>
    <x v="1370"/>
    <x v="287"/>
  </r>
  <r>
    <x v="1371"/>
    <x v="577"/>
  </r>
  <r>
    <x v="1372"/>
    <x v="577"/>
  </r>
  <r>
    <x v="1373"/>
    <x v="600"/>
  </r>
  <r>
    <x v="1374"/>
    <x v="0"/>
  </r>
  <r>
    <x v="1375"/>
    <x v="399"/>
  </r>
  <r>
    <x v="1376"/>
    <x v="805"/>
  </r>
  <r>
    <x v="1377"/>
    <x v="166"/>
  </r>
  <r>
    <x v="1378"/>
    <x v="88"/>
  </r>
  <r>
    <x v="1379"/>
    <x v="9"/>
  </r>
  <r>
    <x v="1380"/>
    <x v="707"/>
  </r>
  <r>
    <x v="1381"/>
    <x v="813"/>
  </r>
  <r>
    <x v="1382"/>
    <x v="633"/>
  </r>
  <r>
    <x v="1383"/>
    <x v="544"/>
  </r>
  <r>
    <x v="1384"/>
    <x v="607"/>
  </r>
  <r>
    <x v="1385"/>
    <x v="577"/>
  </r>
  <r>
    <x v="1386"/>
    <x v="995"/>
  </r>
  <r>
    <x v="1387"/>
    <x v="577"/>
  </r>
  <r>
    <x v="1388"/>
    <x v="577"/>
  </r>
  <r>
    <x v="1389"/>
    <x v="431"/>
  </r>
  <r>
    <x v="1390"/>
    <x v="897"/>
  </r>
  <r>
    <x v="1391"/>
    <x v="477"/>
  </r>
  <r>
    <x v="1392"/>
    <x v="660"/>
  </r>
  <r>
    <x v="1393"/>
    <x v="673"/>
  </r>
  <r>
    <x v="1394"/>
    <x v="545"/>
  </r>
  <r>
    <x v="1395"/>
    <x v="577"/>
  </r>
  <r>
    <x v="1396"/>
    <x v="291"/>
  </r>
  <r>
    <x v="1397"/>
    <x v="577"/>
  </r>
  <r>
    <x v="1398"/>
    <x v="665"/>
  </r>
  <r>
    <x v="1399"/>
    <x v="473"/>
  </r>
  <r>
    <x v="1400"/>
    <x v="308"/>
  </r>
  <r>
    <x v="1401"/>
    <x v="528"/>
  </r>
  <r>
    <x v="1402"/>
    <x v="577"/>
  </r>
  <r>
    <x v="1403"/>
    <x v="537"/>
  </r>
  <r>
    <x v="1404"/>
    <x v="727"/>
  </r>
  <r>
    <x v="1405"/>
    <x v="161"/>
  </r>
  <r>
    <x v="1406"/>
    <x v="813"/>
  </r>
  <r>
    <x v="1407"/>
    <x v="833"/>
  </r>
  <r>
    <x v="1408"/>
    <x v="466"/>
  </r>
  <r>
    <x v="1409"/>
    <x v="392"/>
  </r>
  <r>
    <x v="1410"/>
    <x v="167"/>
  </r>
  <r>
    <x v="1411"/>
    <x v="546"/>
  </r>
  <r>
    <x v="1412"/>
    <x v="733"/>
  </r>
  <r>
    <x v="1413"/>
    <x v="595"/>
  </r>
  <r>
    <x v="1414"/>
    <x v="414"/>
  </r>
  <r>
    <x v="1415"/>
    <x v="685"/>
  </r>
  <r>
    <x v="1416"/>
    <x v="0"/>
  </r>
  <r>
    <x v="1417"/>
    <x v="82"/>
  </r>
  <r>
    <x v="1418"/>
    <x v="112"/>
  </r>
  <r>
    <x v="1419"/>
    <x v="607"/>
  </r>
  <r>
    <x v="1420"/>
    <x v="506"/>
  </r>
  <r>
    <x v="1421"/>
    <x v="342"/>
  </r>
  <r>
    <x v="1422"/>
    <x v="481"/>
  </r>
  <r>
    <x v="1423"/>
    <x v="299"/>
  </r>
  <r>
    <x v="1424"/>
    <x v="534"/>
  </r>
  <r>
    <x v="1425"/>
    <x v="387"/>
  </r>
  <r>
    <x v="1426"/>
    <x v="387"/>
  </r>
  <r>
    <x v="1427"/>
    <x v="503"/>
  </r>
  <r>
    <x v="1428"/>
    <x v="743"/>
  </r>
  <r>
    <x v="1429"/>
    <x v="412"/>
  </r>
  <r>
    <x v="1430"/>
    <x v="584"/>
  </r>
  <r>
    <x v="1431"/>
    <x v="765"/>
  </r>
  <r>
    <x v="1432"/>
    <x v="661"/>
  </r>
  <r>
    <x v="1433"/>
    <x v="469"/>
  </r>
  <r>
    <x v="1434"/>
    <x v="387"/>
  </r>
  <r>
    <x v="1435"/>
    <x v="419"/>
  </r>
  <r>
    <x v="1436"/>
    <x v="680"/>
  </r>
  <r>
    <x v="1437"/>
    <x v="357"/>
  </r>
  <r>
    <x v="1438"/>
    <x v="387"/>
  </r>
  <r>
    <x v="1439"/>
    <x v="494"/>
  </r>
  <r>
    <x v="1440"/>
    <x v="692"/>
  </r>
  <r>
    <x v="1441"/>
    <x v="152"/>
  </r>
  <r>
    <x v="1442"/>
    <x v="572"/>
  </r>
  <r>
    <x v="1443"/>
    <x v="713"/>
  </r>
  <r>
    <x v="1444"/>
    <x v="267"/>
  </r>
  <r>
    <x v="1445"/>
    <x v="577"/>
  </r>
  <r>
    <x v="1446"/>
    <x v="1008"/>
  </r>
  <r>
    <x v="1447"/>
    <x v="187"/>
  </r>
  <r>
    <x v="1448"/>
    <x v="0"/>
  </r>
  <r>
    <x v="1449"/>
    <x v="600"/>
  </r>
  <r>
    <x v="1450"/>
    <x v="495"/>
  </r>
  <r>
    <x v="1451"/>
    <x v="464"/>
  </r>
  <r>
    <x v="1452"/>
    <x v="357"/>
  </r>
  <r>
    <x v="1453"/>
    <x v="577"/>
  </r>
  <r>
    <x v="1454"/>
    <x v="110"/>
  </r>
  <r>
    <x v="1455"/>
    <x v="104"/>
  </r>
  <r>
    <x v="1456"/>
    <x v="137"/>
  </r>
  <r>
    <x v="1457"/>
    <x v="577"/>
  </r>
  <r>
    <x v="1458"/>
    <x v="392"/>
  </r>
  <r>
    <x v="1459"/>
    <x v="392"/>
  </r>
  <r>
    <x v="1460"/>
    <x v="160"/>
  </r>
  <r>
    <x v="1461"/>
    <x v="277"/>
  </r>
  <r>
    <x v="1462"/>
    <x v="558"/>
  </r>
  <r>
    <x v="1463"/>
    <x v="343"/>
  </r>
  <r>
    <x v="1464"/>
    <x v="577"/>
  </r>
  <r>
    <x v="1465"/>
    <x v="897"/>
  </r>
  <r>
    <x v="1466"/>
    <x v="99"/>
  </r>
  <r>
    <x v="1467"/>
    <x v="577"/>
  </r>
  <r>
    <x v="1468"/>
    <x v="986"/>
  </r>
  <r>
    <x v="1469"/>
    <x v="1022"/>
  </r>
  <r>
    <x v="1470"/>
    <x v="577"/>
  </r>
  <r>
    <x v="1471"/>
    <x v="763"/>
  </r>
  <r>
    <x v="1472"/>
    <x v="564"/>
  </r>
  <r>
    <x v="1473"/>
    <x v="107"/>
  </r>
  <r>
    <x v="1474"/>
    <x v="197"/>
  </r>
  <r>
    <x v="1475"/>
    <x v="882"/>
  </r>
  <r>
    <x v="1476"/>
    <x v="821"/>
  </r>
  <r>
    <x v="1477"/>
    <x v="679"/>
  </r>
  <r>
    <x v="1478"/>
    <x v="968"/>
  </r>
  <r>
    <x v="1479"/>
    <x v="703"/>
  </r>
  <r>
    <x v="1480"/>
    <x v="802"/>
  </r>
  <r>
    <x v="1481"/>
    <x v="664"/>
  </r>
  <r>
    <x v="1482"/>
    <x v="731"/>
  </r>
  <r>
    <x v="1483"/>
    <x v="509"/>
  </r>
  <r>
    <x v="1484"/>
    <x v="224"/>
  </r>
  <r>
    <x v="1485"/>
    <x v="607"/>
  </r>
  <r>
    <x v="1486"/>
    <x v="291"/>
  </r>
  <r>
    <x v="1487"/>
    <x v="1006"/>
  </r>
  <r>
    <x v="1488"/>
    <x v="851"/>
  </r>
  <r>
    <x v="1489"/>
    <x v="1012"/>
  </r>
  <r>
    <x v="1490"/>
    <x v="577"/>
  </r>
  <r>
    <x v="1491"/>
    <x v="859"/>
  </r>
  <r>
    <x v="1492"/>
    <x v="187"/>
  </r>
  <r>
    <x v="1493"/>
    <x v="387"/>
  </r>
  <r>
    <x v="1494"/>
    <x v="577"/>
  </r>
  <r>
    <x v="1495"/>
    <x v="888"/>
  </r>
  <r>
    <x v="1496"/>
    <x v="478"/>
  </r>
  <r>
    <x v="1497"/>
    <x v="267"/>
  </r>
  <r>
    <x v="1498"/>
    <x v="291"/>
  </r>
  <r>
    <x v="1499"/>
    <x v="73"/>
  </r>
  <r>
    <x v="1500"/>
    <x v="549"/>
  </r>
  <r>
    <x v="1501"/>
    <x v="577"/>
  </r>
  <r>
    <x v="1502"/>
    <x v="783"/>
  </r>
  <r>
    <x v="1503"/>
    <x v="135"/>
  </r>
  <r>
    <x v="1504"/>
    <x v="0"/>
  </r>
  <r>
    <x v="1505"/>
    <x v="904"/>
  </r>
  <r>
    <x v="1506"/>
    <x v="878"/>
  </r>
  <r>
    <x v="1507"/>
    <x v="131"/>
  </r>
  <r>
    <x v="1508"/>
    <x v="57"/>
  </r>
  <r>
    <x v="1509"/>
    <x v="495"/>
  </r>
  <r>
    <x v="1510"/>
    <x v="219"/>
  </r>
  <r>
    <x v="1511"/>
    <x v="567"/>
  </r>
  <r>
    <x v="1512"/>
    <x v="577"/>
  </r>
  <r>
    <x v="1513"/>
    <x v="577"/>
  </r>
  <r>
    <x v="1514"/>
    <x v="577"/>
  </r>
  <r>
    <x v="1515"/>
    <x v="910"/>
  </r>
  <r>
    <x v="1516"/>
    <x v="234"/>
  </r>
  <r>
    <x v="1518"/>
    <x v="633"/>
  </r>
  <r>
    <x v="1517"/>
    <x v="824"/>
  </r>
  <r>
    <x v="1519"/>
    <x v="412"/>
  </r>
  <r>
    <x v="1520"/>
    <x v="661"/>
  </r>
  <r>
    <x v="1521"/>
    <x v="222"/>
  </r>
  <r>
    <x v="1522"/>
    <x v="557"/>
  </r>
  <r>
    <x v="1523"/>
    <x v="684"/>
  </r>
  <r>
    <x v="1524"/>
    <x v="978"/>
  </r>
  <r>
    <x v="1525"/>
    <x v="329"/>
  </r>
  <r>
    <x v="1526"/>
    <x v="1022"/>
  </r>
  <r>
    <x v="1527"/>
    <x v="878"/>
  </r>
  <r>
    <x v="1528"/>
    <x v="152"/>
  </r>
  <r>
    <x v="1529"/>
    <x v="422"/>
  </r>
  <r>
    <x v="1530"/>
    <x v="423"/>
  </r>
  <r>
    <x v="1531"/>
    <x v="991"/>
  </r>
  <r>
    <x v="1532"/>
    <x v="155"/>
  </r>
  <r>
    <x v="1533"/>
    <x v="132"/>
  </r>
  <r>
    <x v="1534"/>
    <x v="544"/>
  </r>
  <r>
    <x v="1535"/>
    <x v="607"/>
  </r>
  <r>
    <x v="1536"/>
    <x v="261"/>
  </r>
  <r>
    <x v="1537"/>
    <x v="658"/>
  </r>
  <r>
    <x v="1538"/>
    <x v="577"/>
  </r>
  <r>
    <x v="1539"/>
    <x v="0"/>
  </r>
  <r>
    <x v="1540"/>
    <x v="474"/>
  </r>
  <r>
    <x v="1541"/>
    <x v="186"/>
  </r>
  <r>
    <x v="1542"/>
    <x v="444"/>
  </r>
  <r>
    <x v="1543"/>
    <x v="544"/>
  </r>
  <r>
    <x v="1544"/>
    <x v="567"/>
  </r>
  <r>
    <x v="1545"/>
    <x v="399"/>
  </r>
  <r>
    <x v="1546"/>
    <x v="337"/>
  </r>
  <r>
    <x v="1547"/>
    <x v="607"/>
  </r>
  <r>
    <x v="1548"/>
    <x v="805"/>
  </r>
  <r>
    <x v="1549"/>
    <x v="219"/>
  </r>
  <r>
    <x v="1550"/>
    <x v="673"/>
  </r>
  <r>
    <x v="1551"/>
    <x v="351"/>
  </r>
  <r>
    <x v="1552"/>
    <x v="546"/>
  </r>
  <r>
    <x v="1553"/>
    <x v="511"/>
  </r>
  <r>
    <x v="1554"/>
    <x v="333"/>
  </r>
  <r>
    <x v="1555"/>
    <x v="385"/>
  </r>
  <r>
    <x v="1556"/>
    <x v="853"/>
  </r>
  <r>
    <x v="1557"/>
    <x v="268"/>
  </r>
  <r>
    <x v="1558"/>
    <x v="154"/>
  </r>
  <r>
    <x v="1559"/>
    <x v="805"/>
  </r>
  <r>
    <x v="1560"/>
    <x v="390"/>
  </r>
  <r>
    <x v="1561"/>
    <x v="785"/>
  </r>
  <r>
    <x v="1562"/>
    <x v="387"/>
  </r>
  <r>
    <x v="1563"/>
    <x v="347"/>
  </r>
  <r>
    <x v="1564"/>
    <x v="56"/>
  </r>
  <r>
    <x v="1565"/>
    <x v="759"/>
  </r>
  <r>
    <x v="1566"/>
    <x v="752"/>
  </r>
  <r>
    <x v="1567"/>
    <x v="577"/>
  </r>
  <r>
    <x v="1568"/>
    <x v="387"/>
  </r>
  <r>
    <x v="1569"/>
    <x v="607"/>
  </r>
  <r>
    <x v="1570"/>
    <x v="329"/>
  </r>
  <r>
    <x v="1571"/>
    <x v="577"/>
  </r>
  <r>
    <x v="1572"/>
    <x v="577"/>
  </r>
  <r>
    <x v="1573"/>
    <x v="209"/>
  </r>
  <r>
    <x v="1574"/>
    <x v="727"/>
  </r>
  <r>
    <x v="1575"/>
    <x v="567"/>
  </r>
  <r>
    <x v="1576"/>
    <x v="205"/>
  </r>
  <r>
    <x v="1577"/>
    <x v="170"/>
  </r>
  <r>
    <x v="1578"/>
    <x v="991"/>
  </r>
  <r>
    <x v="1579"/>
    <x v="489"/>
  </r>
  <r>
    <x v="1580"/>
    <x v="2"/>
  </r>
  <r>
    <x v="1581"/>
    <x v="78"/>
  </r>
  <r>
    <x v="1582"/>
    <x v="577"/>
  </r>
  <r>
    <x v="1583"/>
    <x v="277"/>
  </r>
  <r>
    <x v="1584"/>
    <x v="577"/>
  </r>
  <r>
    <x v="1585"/>
    <x v="577"/>
  </r>
  <r>
    <x v="1586"/>
    <x v="577"/>
  </r>
  <r>
    <x v="1587"/>
    <x v="387"/>
  </r>
  <r>
    <x v="1588"/>
    <x v="99"/>
  </r>
  <r>
    <x v="1589"/>
    <x v="666"/>
  </r>
  <r>
    <x v="1590"/>
    <x v="164"/>
  </r>
  <r>
    <x v="1591"/>
    <x v="1032"/>
  </r>
  <r>
    <x v="1592"/>
    <x v="822"/>
  </r>
  <r>
    <x v="1593"/>
    <x v="97"/>
  </r>
  <r>
    <x v="1594"/>
    <x v="477"/>
  </r>
  <r>
    <x v="1595"/>
    <x v="387"/>
  </r>
  <r>
    <x v="1596"/>
    <x v="132"/>
  </r>
  <r>
    <x v="1597"/>
    <x v="990"/>
  </r>
  <r>
    <x v="1598"/>
    <x v="577"/>
  </r>
  <r>
    <x v="1599"/>
    <x v="716"/>
  </r>
  <r>
    <x v="1600"/>
    <x v="18"/>
  </r>
  <r>
    <x v="1601"/>
    <x v="48"/>
  </r>
  <r>
    <x v="1602"/>
    <x v="421"/>
  </r>
  <r>
    <x v="1603"/>
    <x v="567"/>
  </r>
  <r>
    <x v="1604"/>
    <x v="422"/>
  </r>
  <r>
    <x v="1605"/>
    <x v="422"/>
  </r>
  <r>
    <x v="1606"/>
    <x v="132"/>
  </r>
  <r>
    <x v="1607"/>
    <x v="661"/>
  </r>
  <r>
    <x v="1608"/>
    <x v="963"/>
  </r>
  <r>
    <x v="1609"/>
    <x v="147"/>
  </r>
  <r>
    <x v="1610"/>
    <x v="279"/>
  </r>
  <r>
    <x v="1611"/>
    <x v="892"/>
  </r>
  <r>
    <x v="1612"/>
    <x v="739"/>
  </r>
  <r>
    <x v="1613"/>
    <x v="577"/>
  </r>
  <r>
    <x v="1614"/>
    <x v="825"/>
  </r>
  <r>
    <x v="1615"/>
    <x v="219"/>
  </r>
  <r>
    <x v="1616"/>
    <x v="577"/>
  </r>
  <r>
    <x v="1617"/>
    <x v="34"/>
  </r>
  <r>
    <x v="1618"/>
    <x v="577"/>
  </r>
  <r>
    <x v="1619"/>
    <x v="457"/>
  </r>
  <r>
    <x v="1620"/>
    <x v="1023"/>
  </r>
  <r>
    <x v="1621"/>
    <x v="577"/>
  </r>
  <r>
    <x v="1622"/>
    <x v="99"/>
  </r>
  <r>
    <x v="1623"/>
    <x v="1012"/>
  </r>
  <r>
    <x v="1624"/>
    <x v="41"/>
  </r>
  <r>
    <x v="1625"/>
    <x v="577"/>
  </r>
  <r>
    <x v="1626"/>
    <x v="131"/>
  </r>
  <r>
    <x v="1627"/>
    <x v="204"/>
  </r>
  <r>
    <x v="1628"/>
    <x v="577"/>
  </r>
  <r>
    <x v="1629"/>
    <x v="745"/>
  </r>
  <r>
    <x v="1630"/>
    <x v="890"/>
  </r>
  <r>
    <x v="1631"/>
    <x v="764"/>
  </r>
  <r>
    <x v="1632"/>
    <x v="577"/>
  </r>
  <r>
    <x v="1633"/>
    <x v="607"/>
  </r>
  <r>
    <x v="1634"/>
    <x v="16"/>
  </r>
  <r>
    <x v="1635"/>
    <x v="477"/>
  </r>
  <r>
    <x v="1636"/>
    <x v="306"/>
  </r>
  <r>
    <x v="1637"/>
    <x v="607"/>
  </r>
  <r>
    <x v="1638"/>
    <x v="577"/>
  </r>
  <r>
    <x v="1639"/>
    <x v="689"/>
  </r>
  <r>
    <x v="1640"/>
    <x v="43"/>
  </r>
  <r>
    <x v="1641"/>
    <x v="577"/>
  </r>
  <r>
    <x v="1642"/>
    <x v="577"/>
  </r>
  <r>
    <x v="1643"/>
    <x v="577"/>
  </r>
  <r>
    <x v="1644"/>
    <x v="577"/>
  </r>
  <r>
    <x v="1645"/>
    <x v="191"/>
  </r>
  <r>
    <x v="1646"/>
    <x v="191"/>
  </r>
  <r>
    <x v="1647"/>
    <x v="577"/>
  </r>
  <r>
    <x v="1648"/>
    <x v="936"/>
  </r>
  <r>
    <x v="1649"/>
    <x v="727"/>
  </r>
  <r>
    <x v="1650"/>
    <x v="0"/>
  </r>
  <r>
    <x v="1651"/>
    <x v="0"/>
  </r>
  <r>
    <x v="1652"/>
    <x v="577"/>
  </r>
  <r>
    <x v="1653"/>
    <x v="387"/>
  </r>
  <r>
    <x v="1654"/>
    <x v="1045"/>
  </r>
  <r>
    <x v="1655"/>
    <x v="329"/>
  </r>
  <r>
    <x v="1656"/>
    <x v="448"/>
  </r>
  <r>
    <x v="1657"/>
    <x v="208"/>
  </r>
  <r>
    <x v="1658"/>
    <x v="577"/>
  </r>
  <r>
    <x v="1659"/>
    <x v="921"/>
  </r>
  <r>
    <x v="1660"/>
    <x v="771"/>
  </r>
  <r>
    <x v="1661"/>
    <x v="546"/>
  </r>
  <r>
    <x v="1662"/>
    <x v="748"/>
  </r>
  <r>
    <x v="1663"/>
    <x v="991"/>
  </r>
  <r>
    <x v="1664"/>
    <x v="166"/>
  </r>
  <r>
    <x v="1665"/>
    <x v="534"/>
  </r>
  <r>
    <x v="1666"/>
    <x v="1045"/>
  </r>
  <r>
    <x v="1667"/>
    <x v="405"/>
  </r>
  <r>
    <x v="1668"/>
    <x v="82"/>
  </r>
  <r>
    <x v="1669"/>
    <x v="730"/>
  </r>
  <r>
    <x v="1670"/>
    <x v="986"/>
  </r>
  <r>
    <x v="1671"/>
    <x v="577"/>
  </r>
  <r>
    <x v="1672"/>
    <x v="329"/>
  </r>
  <r>
    <x v="1673"/>
    <x v="375"/>
  </r>
  <r>
    <x v="1674"/>
    <x v="187"/>
  </r>
  <r>
    <x v="1675"/>
    <x v="379"/>
  </r>
  <r>
    <x v="1676"/>
    <x v="833"/>
  </r>
  <r>
    <x v="1677"/>
    <x v="577"/>
  </r>
  <r>
    <x v="1678"/>
    <x v="577"/>
  </r>
  <r>
    <x v="1679"/>
    <x v="577"/>
  </r>
  <r>
    <x v="1680"/>
    <x v="15"/>
  </r>
  <r>
    <x v="1681"/>
    <x v="1028"/>
  </r>
  <r>
    <x v="1682"/>
    <x v="854"/>
  </r>
  <r>
    <x v="1683"/>
    <x v="758"/>
  </r>
  <r>
    <x v="1684"/>
    <x v="577"/>
  </r>
  <r>
    <x v="1685"/>
    <x v="577"/>
  </r>
  <r>
    <x v="1686"/>
    <x v="577"/>
  </r>
  <r>
    <x v="1687"/>
    <x v="577"/>
  </r>
  <r>
    <x v="1688"/>
    <x v="577"/>
  </r>
  <r>
    <x v="1689"/>
    <x v="577"/>
  </r>
  <r>
    <x v="1690"/>
    <x v="577"/>
  </r>
  <r>
    <x v="1691"/>
    <x v="577"/>
  </r>
  <r>
    <x v="1692"/>
    <x v="577"/>
  </r>
  <r>
    <x v="1693"/>
    <x v="577"/>
  </r>
  <r>
    <x v="1694"/>
    <x v="111"/>
  </r>
  <r>
    <x v="1695"/>
    <x v="522"/>
  </r>
  <r>
    <x v="1696"/>
    <x v="460"/>
  </r>
  <r>
    <x v="1697"/>
    <x v="351"/>
  </r>
  <r>
    <x v="1698"/>
    <x v="577"/>
  </r>
  <r>
    <x v="1699"/>
    <x v="474"/>
  </r>
  <r>
    <x v="1700"/>
    <x v="805"/>
  </r>
  <r>
    <x v="1701"/>
    <x v="403"/>
  </r>
  <r>
    <x v="1702"/>
    <x v="877"/>
  </r>
  <r>
    <x v="1703"/>
    <x v="727"/>
  </r>
  <r>
    <x v="1704"/>
    <x v="633"/>
  </r>
  <r>
    <x v="1705"/>
    <x v="600"/>
  </r>
  <r>
    <x v="1706"/>
    <x v="532"/>
  </r>
  <r>
    <x v="1707"/>
    <x v="90"/>
  </r>
  <r>
    <x v="1708"/>
    <x v="802"/>
  </r>
  <r>
    <x v="1709"/>
    <x v="329"/>
  </r>
  <r>
    <x v="1710"/>
    <x v="277"/>
  </r>
  <r>
    <x v="1711"/>
    <x v="1020"/>
  </r>
  <r>
    <x v="1712"/>
    <x v="423"/>
  </r>
  <r>
    <x v="1713"/>
    <x v="64"/>
  </r>
  <r>
    <x v="1714"/>
    <x v="680"/>
  </r>
  <r>
    <x v="1715"/>
    <x v="472"/>
  </r>
  <r>
    <x v="1716"/>
    <x v="1017"/>
  </r>
  <r>
    <x v="1717"/>
    <x v="138"/>
  </r>
  <r>
    <x v="1718"/>
    <x v="294"/>
  </r>
  <r>
    <x v="1719"/>
    <x v="137"/>
  </r>
  <r>
    <x v="1720"/>
    <x v="577"/>
  </r>
  <r>
    <x v="1721"/>
    <x v="360"/>
  </r>
  <r>
    <x v="1722"/>
    <x v="577"/>
  </r>
  <r>
    <x v="1723"/>
    <x v="13"/>
  </r>
  <r>
    <x v="1724"/>
    <x v="766"/>
  </r>
  <r>
    <x v="1725"/>
    <x v="577"/>
  </r>
  <r>
    <x v="1726"/>
    <x v="546"/>
  </r>
  <r>
    <x v="1727"/>
    <x v="219"/>
  </r>
  <r>
    <x v="1728"/>
    <x v="1009"/>
  </r>
  <r>
    <x v="1729"/>
    <x v="888"/>
  </r>
  <r>
    <x v="1730"/>
    <x v="888"/>
  </r>
  <r>
    <x v="1731"/>
    <x v="888"/>
  </r>
  <r>
    <x v="1732"/>
    <x v="361"/>
  </r>
  <r>
    <x v="1733"/>
    <x v="97"/>
  </r>
  <r>
    <x v="1734"/>
    <x v="319"/>
  </r>
  <r>
    <x v="1735"/>
    <x v="660"/>
  </r>
  <r>
    <x v="1736"/>
    <x v="577"/>
  </r>
  <r>
    <x v="1737"/>
    <x v="988"/>
  </r>
  <r>
    <x v="1738"/>
    <x v="138"/>
  </r>
  <r>
    <x v="1739"/>
    <x v="577"/>
  </r>
  <r>
    <x v="1740"/>
    <x v="68"/>
  </r>
  <r>
    <x v="1741"/>
    <x v="792"/>
  </r>
  <r>
    <x v="1742"/>
    <x v="666"/>
  </r>
  <r>
    <x v="1743"/>
    <x v="721"/>
  </r>
  <r>
    <x v="1744"/>
    <x v="385"/>
  </r>
  <r>
    <x v="1745"/>
    <x v="658"/>
  </r>
  <r>
    <x v="1746"/>
    <x v="878"/>
  </r>
  <r>
    <x v="1747"/>
    <x v="112"/>
  </r>
  <r>
    <x v="1748"/>
    <x v="387"/>
  </r>
  <r>
    <x v="1749"/>
    <x v="403"/>
  </r>
  <r>
    <x v="1750"/>
    <x v="577"/>
  </r>
  <r>
    <x v="1751"/>
    <x v="387"/>
  </r>
  <r>
    <x v="1752"/>
    <x v="847"/>
  </r>
  <r>
    <x v="1753"/>
    <x v="1039"/>
  </r>
  <r>
    <x v="1754"/>
    <x v="428"/>
  </r>
  <r>
    <x v="1755"/>
    <x v="577"/>
  </r>
  <r>
    <x v="1756"/>
    <x v="577"/>
  </r>
  <r>
    <x v="1757"/>
    <x v="544"/>
  </r>
  <r>
    <x v="1758"/>
    <x v="116"/>
  </r>
  <r>
    <x v="1759"/>
    <x v="2"/>
  </r>
  <r>
    <x v="1760"/>
    <x v="343"/>
  </r>
  <r>
    <x v="1761"/>
    <x v="587"/>
  </r>
  <r>
    <x v="1762"/>
    <x v="680"/>
  </r>
  <r>
    <x v="1763"/>
    <x v="742"/>
  </r>
  <r>
    <x v="1764"/>
    <x v="555"/>
  </r>
  <r>
    <x v="1765"/>
    <x v="790"/>
  </r>
  <r>
    <x v="1766"/>
    <x v="449"/>
  </r>
  <r>
    <x v="1767"/>
    <x v="78"/>
  </r>
  <r>
    <x v="1768"/>
    <x v="63"/>
  </r>
  <r>
    <x v="1769"/>
    <x v="268"/>
  </r>
  <r>
    <x v="1770"/>
    <x v="674"/>
  </r>
  <r>
    <x v="1771"/>
    <x v="219"/>
  </r>
  <r>
    <x v="1772"/>
    <x v="855"/>
  </r>
  <r>
    <x v="1773"/>
    <x v="805"/>
  </r>
  <r>
    <x v="1774"/>
    <x v="900"/>
  </r>
  <r>
    <x v="1775"/>
    <x v="54"/>
  </r>
  <r>
    <x v="1776"/>
    <x v="1045"/>
  </r>
  <r>
    <x v="1777"/>
    <x v="0"/>
  </r>
  <r>
    <x v="1778"/>
    <x v="1028"/>
  </r>
  <r>
    <x v="1779"/>
    <x v="0"/>
  </r>
  <r>
    <x v="1780"/>
    <x v="684"/>
  </r>
  <r>
    <x v="1781"/>
    <x v="698"/>
  </r>
  <r>
    <x v="1782"/>
    <x v="900"/>
  </r>
  <r>
    <x v="1783"/>
    <x v="370"/>
  </r>
  <r>
    <x v="1784"/>
    <x v="1028"/>
  </r>
  <r>
    <x v="1785"/>
    <x v="97"/>
  </r>
  <r>
    <x v="1786"/>
    <x v="147"/>
  </r>
  <r>
    <x v="1787"/>
    <x v="147"/>
  </r>
  <r>
    <x v="1788"/>
    <x v="85"/>
  </r>
  <r>
    <x v="1789"/>
    <x v="912"/>
  </r>
  <r>
    <x v="1790"/>
    <x v="890"/>
  </r>
  <r>
    <x v="1791"/>
    <x v="964"/>
  </r>
  <r>
    <x v="1792"/>
    <x v="507"/>
  </r>
  <r>
    <x v="1793"/>
    <x v="841"/>
  </r>
  <r>
    <x v="1794"/>
    <x v="103"/>
  </r>
  <r>
    <x v="1795"/>
    <x v="611"/>
  </r>
  <r>
    <x v="1796"/>
    <x v="296"/>
  </r>
  <r>
    <x v="1797"/>
    <x v="195"/>
  </r>
  <r>
    <x v="1798"/>
    <x v="700"/>
  </r>
  <r>
    <x v="1799"/>
    <x v="802"/>
  </r>
  <r>
    <x v="1800"/>
    <x v="387"/>
  </r>
  <r>
    <x v="1801"/>
    <x v="166"/>
  </r>
  <r>
    <x v="1802"/>
    <x v="506"/>
  </r>
  <r>
    <x v="1803"/>
    <x v="3"/>
  </r>
  <r>
    <x v="1804"/>
    <x v="166"/>
  </r>
  <r>
    <x v="1805"/>
    <x v="129"/>
  </r>
  <r>
    <x v="1806"/>
    <x v="935"/>
  </r>
  <r>
    <x v="1807"/>
    <x v="402"/>
  </r>
  <r>
    <x v="1808"/>
    <x v="707"/>
  </r>
  <r>
    <x v="1809"/>
    <x v="255"/>
  </r>
  <r>
    <x v="1810"/>
    <x v="265"/>
  </r>
  <r>
    <x v="1811"/>
    <x v="201"/>
  </r>
  <r>
    <x v="1812"/>
    <x v="671"/>
  </r>
  <r>
    <x v="1813"/>
    <x v="360"/>
  </r>
  <r>
    <x v="1814"/>
    <x v="73"/>
  </r>
  <r>
    <x v="1815"/>
    <x v="577"/>
  </r>
  <r>
    <x v="1816"/>
    <x v="854"/>
  </r>
  <r>
    <x v="1817"/>
    <x v="793"/>
  </r>
  <r>
    <x v="1818"/>
    <x v="51"/>
  </r>
  <r>
    <x v="1819"/>
    <x v="835"/>
  </r>
  <r>
    <x v="1820"/>
    <x v="572"/>
  </r>
  <r>
    <x v="1821"/>
    <x v="291"/>
  </r>
  <r>
    <x v="1822"/>
    <x v="260"/>
  </r>
  <r>
    <x v="1823"/>
    <x v="886"/>
  </r>
  <r>
    <x v="1824"/>
    <x v="952"/>
  </r>
  <r>
    <x v="1825"/>
    <x v="691"/>
  </r>
  <r>
    <x v="1826"/>
    <x v="346"/>
  </r>
  <r>
    <x v="1827"/>
    <x v="311"/>
  </r>
  <r>
    <x v="1828"/>
    <x v="535"/>
  </r>
  <r>
    <x v="1829"/>
    <x v="387"/>
  </r>
  <r>
    <x v="1830"/>
    <x v="964"/>
  </r>
  <r>
    <x v="1831"/>
    <x v="1017"/>
  </r>
  <r>
    <x v="1832"/>
    <x v="679"/>
  </r>
  <r>
    <x v="1833"/>
    <x v="679"/>
  </r>
  <r>
    <x v="1834"/>
    <x v="753"/>
  </r>
  <r>
    <x v="1835"/>
    <x v="405"/>
  </r>
  <r>
    <x v="1836"/>
    <x v="544"/>
  </r>
  <r>
    <x v="1837"/>
    <x v="577"/>
  </r>
  <r>
    <x v="1838"/>
    <x v="872"/>
  </r>
  <r>
    <x v="1839"/>
    <x v="872"/>
  </r>
  <r>
    <x v="1840"/>
    <x v="482"/>
  </r>
  <r>
    <x v="1841"/>
    <x v="988"/>
  </r>
  <r>
    <x v="1842"/>
    <x v="721"/>
  </r>
  <r>
    <x v="1843"/>
    <x v="154"/>
  </r>
  <r>
    <x v="1844"/>
    <x v="567"/>
  </r>
  <r>
    <x v="1845"/>
    <x v="577"/>
  </r>
  <r>
    <x v="1846"/>
    <x v="423"/>
  </r>
  <r>
    <x v="1847"/>
    <x v="166"/>
  </r>
  <r>
    <x v="1848"/>
    <x v="0"/>
  </r>
  <r>
    <x v="1849"/>
    <x v="583"/>
  </r>
  <r>
    <x v="1850"/>
    <x v="544"/>
  </r>
  <r>
    <x v="1851"/>
    <x v="577"/>
  </r>
  <r>
    <x v="1852"/>
    <x v="685"/>
  </r>
  <r>
    <x v="1853"/>
    <x v="112"/>
  </r>
  <r>
    <x v="1854"/>
    <x v="0"/>
  </r>
  <r>
    <x v="1855"/>
    <x v="436"/>
  </r>
  <r>
    <x v="1856"/>
    <x v="577"/>
  </r>
  <r>
    <x v="1857"/>
    <x v="577"/>
  </r>
  <r>
    <x v="1858"/>
    <x v="331"/>
  </r>
  <r>
    <x v="1859"/>
    <x v="283"/>
  </r>
  <r>
    <x v="1860"/>
    <x v="387"/>
  </r>
  <r>
    <x v="1861"/>
    <x v="995"/>
  </r>
  <r>
    <x v="1862"/>
    <x v="994"/>
  </r>
  <r>
    <x v="1863"/>
    <x v="317"/>
  </r>
  <r>
    <x v="1864"/>
    <x v="92"/>
  </r>
  <r>
    <x v="1865"/>
    <x v="577"/>
  </r>
  <r>
    <x v="1866"/>
    <x v="773"/>
  </r>
  <r>
    <x v="1867"/>
    <x v="727"/>
  </r>
  <r>
    <x v="1868"/>
    <x v="256"/>
  </r>
  <r>
    <x v="1869"/>
    <x v="767"/>
  </r>
  <r>
    <x v="1870"/>
    <x v="467"/>
  </r>
  <r>
    <x v="1871"/>
    <x v="626"/>
  </r>
  <r>
    <x v="1872"/>
    <x v="132"/>
  </r>
  <r>
    <x v="1873"/>
    <x v="0"/>
  </r>
  <r>
    <x v="1874"/>
    <x v="544"/>
  </r>
  <r>
    <x v="1875"/>
    <x v="113"/>
  </r>
  <r>
    <x v="1876"/>
    <x v="802"/>
  </r>
  <r>
    <x v="1877"/>
    <x v="330"/>
  </r>
  <r>
    <x v="1878"/>
    <x v="245"/>
  </r>
  <r>
    <x v="1879"/>
    <x v="601"/>
  </r>
  <r>
    <x v="1880"/>
    <x v="437"/>
  </r>
  <r>
    <x v="1881"/>
    <x v="805"/>
  </r>
  <r>
    <x v="1882"/>
    <x v="27"/>
  </r>
  <r>
    <x v="1883"/>
    <x v="97"/>
  </r>
  <r>
    <x v="1884"/>
    <x v="52"/>
  </r>
  <r>
    <x v="1885"/>
    <x v="329"/>
  </r>
  <r>
    <x v="1886"/>
    <x v="658"/>
  </r>
  <r>
    <x v="1887"/>
    <x v="594"/>
  </r>
  <r>
    <x v="1888"/>
    <x v="351"/>
  </r>
  <r>
    <x v="1889"/>
    <x v="577"/>
  </r>
  <r>
    <x v="1890"/>
    <x v="16"/>
  </r>
  <r>
    <x v="1891"/>
    <x v="833"/>
  </r>
  <r>
    <x v="1892"/>
    <x v="324"/>
  </r>
  <r>
    <x v="1893"/>
    <x v="919"/>
  </r>
  <r>
    <x v="1894"/>
    <x v="3"/>
  </r>
  <r>
    <x v="1895"/>
    <x v="387"/>
  </r>
  <r>
    <x v="1896"/>
    <x v="549"/>
  </r>
  <r>
    <x v="1897"/>
    <x v="808"/>
  </r>
  <r>
    <x v="1898"/>
    <x v="627"/>
  </r>
  <r>
    <x v="1899"/>
    <x v="329"/>
  </r>
  <r>
    <x v="1900"/>
    <x v="717"/>
  </r>
  <r>
    <x v="1901"/>
    <x v="577"/>
  </r>
  <r>
    <x v="1902"/>
    <x v="926"/>
  </r>
  <r>
    <x v="1903"/>
    <x v="60"/>
  </r>
  <r>
    <x v="1904"/>
    <x v="577"/>
  </r>
  <r>
    <x v="1905"/>
    <x v="577"/>
  </r>
  <r>
    <x v="1906"/>
    <x v="370"/>
  </r>
  <r>
    <x v="1907"/>
    <x v="812"/>
  </r>
  <r>
    <x v="1908"/>
    <x v="577"/>
  </r>
  <r>
    <x v="1909"/>
    <x v="16"/>
  </r>
  <r>
    <x v="1910"/>
    <x v="577"/>
  </r>
  <r>
    <x v="1911"/>
    <x v="350"/>
  </r>
  <r>
    <x v="1912"/>
    <x v="73"/>
  </r>
  <r>
    <x v="1913"/>
    <x v="577"/>
  </r>
  <r>
    <x v="1914"/>
    <x v="1020"/>
  </r>
  <r>
    <x v="1915"/>
    <x v="685"/>
  </r>
  <r>
    <x v="1916"/>
    <x v="742"/>
  </r>
  <r>
    <x v="1917"/>
    <x v="854"/>
  </r>
  <r>
    <x v="1919"/>
    <x v="685"/>
  </r>
  <r>
    <x v="1920"/>
    <x v="964"/>
  </r>
  <r>
    <x v="1918"/>
    <x v="577"/>
  </r>
  <r>
    <x v="1921"/>
    <x v="802"/>
  </r>
  <r>
    <x v="1922"/>
    <x v="280"/>
  </r>
  <r>
    <x v="1923"/>
    <x v="1017"/>
  </r>
  <r>
    <x v="1924"/>
    <x v="907"/>
  </r>
  <r>
    <x v="1925"/>
    <x v="161"/>
  </r>
  <r>
    <x v="1926"/>
    <x v="132"/>
  </r>
  <r>
    <x v="1927"/>
    <x v="351"/>
  </r>
  <r>
    <x v="1928"/>
    <x v="753"/>
  </r>
  <r>
    <x v="1929"/>
    <x v="234"/>
  </r>
  <r>
    <x v="1930"/>
    <x v="577"/>
  </r>
  <r>
    <x v="1931"/>
    <x v="285"/>
  </r>
  <r>
    <x v="1932"/>
    <x v="685"/>
  </r>
  <r>
    <x v="1933"/>
    <x v="577"/>
  </r>
  <r>
    <x v="1934"/>
    <x v="387"/>
  </r>
  <r>
    <x v="1935"/>
    <x v="495"/>
  </r>
  <r>
    <x v="1936"/>
    <x v="132"/>
  </r>
  <r>
    <x v="1937"/>
    <x v="152"/>
  </r>
  <r>
    <x v="1938"/>
    <x v="544"/>
  </r>
  <r>
    <x v="1939"/>
    <x v="231"/>
  </r>
  <r>
    <x v="1940"/>
    <x v="432"/>
  </r>
  <r>
    <x v="1941"/>
    <x v="728"/>
  </r>
  <r>
    <x v="1942"/>
    <x v="789"/>
  </r>
  <r>
    <x v="1943"/>
    <x v="229"/>
  </r>
  <r>
    <x v="1944"/>
    <x v="277"/>
  </r>
  <r>
    <x v="1945"/>
    <x v="114"/>
  </r>
  <r>
    <x v="1946"/>
    <x v="577"/>
  </r>
  <r>
    <x v="1947"/>
    <x v="181"/>
  </r>
  <r>
    <x v="1948"/>
    <x v="234"/>
  </r>
  <r>
    <x v="1949"/>
    <x v="863"/>
  </r>
  <r>
    <x v="1950"/>
    <x v="511"/>
  </r>
  <r>
    <x v="1951"/>
    <x v="546"/>
  </r>
  <r>
    <x v="1952"/>
    <x v="2"/>
  </r>
  <r>
    <x v="1953"/>
    <x v="1032"/>
  </r>
  <r>
    <x v="1954"/>
    <x v="123"/>
  </r>
  <r>
    <x v="1955"/>
    <x v="69"/>
  </r>
  <r>
    <x v="1956"/>
    <x v="209"/>
  </r>
  <r>
    <x v="1957"/>
    <x v="727"/>
  </r>
  <r>
    <x v="1958"/>
    <x v="805"/>
  </r>
  <r>
    <x v="1959"/>
    <x v="577"/>
  </r>
  <r>
    <x v="1960"/>
    <x v="607"/>
  </r>
  <r>
    <x v="1961"/>
    <x v="897"/>
  </r>
  <r>
    <x v="1962"/>
    <x v="968"/>
  </r>
  <r>
    <x v="1963"/>
    <x v="911"/>
  </r>
  <r>
    <x v="1964"/>
    <x v="805"/>
  </r>
  <r>
    <x v="1965"/>
    <x v="329"/>
  </r>
  <r>
    <x v="1966"/>
    <x v="805"/>
  </r>
  <r>
    <x v="1967"/>
    <x v="892"/>
  </r>
  <r>
    <x v="1968"/>
    <x v="97"/>
  </r>
  <r>
    <x v="1969"/>
    <x v="726"/>
  </r>
  <r>
    <x v="1970"/>
    <x v="642"/>
  </r>
  <r>
    <x v="1972"/>
    <x v="459"/>
  </r>
  <r>
    <x v="1971"/>
    <x v="958"/>
  </r>
  <r>
    <x v="1973"/>
    <x v="577"/>
  </r>
  <r>
    <x v="1974"/>
    <x v="254"/>
  </r>
  <r>
    <x v="1975"/>
    <x v="107"/>
  </r>
  <r>
    <x v="1976"/>
    <x v="763"/>
  </r>
  <r>
    <x v="1977"/>
    <x v="577"/>
  </r>
  <r>
    <x v="1978"/>
    <x v="577"/>
  </r>
  <r>
    <x v="1979"/>
    <x v="495"/>
  </r>
  <r>
    <x v="1980"/>
    <x v="802"/>
  </r>
  <r>
    <x v="1981"/>
    <x v="577"/>
  </r>
  <r>
    <x v="1982"/>
    <x v="544"/>
  </r>
  <r>
    <x v="1983"/>
    <x v="234"/>
  </r>
  <r>
    <x v="1984"/>
    <x v="742"/>
  </r>
  <r>
    <x v="1985"/>
    <x v="357"/>
  </r>
  <r>
    <x v="1986"/>
    <x v="97"/>
  </r>
  <r>
    <x v="1987"/>
    <x v="495"/>
  </r>
  <r>
    <x v="1988"/>
    <x v="577"/>
  </r>
  <r>
    <x v="1989"/>
    <x v="518"/>
  </r>
  <r>
    <x v="1990"/>
    <x v="546"/>
  </r>
  <r>
    <x v="1991"/>
    <x v="892"/>
  </r>
  <r>
    <x v="1992"/>
    <x v="834"/>
  </r>
  <r>
    <x v="1993"/>
    <x v="942"/>
  </r>
  <r>
    <x v="1994"/>
    <x v="946"/>
  </r>
  <r>
    <x v="1995"/>
    <x v="101"/>
  </r>
  <r>
    <x v="1996"/>
    <x v="577"/>
  </r>
  <r>
    <x v="1997"/>
    <x v="422"/>
  </r>
  <r>
    <x v="1998"/>
    <x v="790"/>
  </r>
  <r>
    <x v="1999"/>
    <x v="959"/>
  </r>
  <r>
    <x v="2000"/>
    <x v="359"/>
  </r>
  <r>
    <x v="2001"/>
    <x v="577"/>
  </r>
  <r>
    <x v="2002"/>
    <x v="813"/>
  </r>
  <r>
    <x v="2003"/>
    <x v="481"/>
  </r>
  <r>
    <x v="2004"/>
    <x v="1010"/>
  </r>
  <r>
    <x v="2005"/>
    <x v="187"/>
  </r>
  <r>
    <x v="2006"/>
    <x v="892"/>
  </r>
  <r>
    <x v="2007"/>
    <x v="842"/>
  </r>
  <r>
    <x v="2008"/>
    <x v="446"/>
  </r>
  <r>
    <x v="2009"/>
    <x v="693"/>
  </r>
  <r>
    <x v="2010"/>
    <x v="577"/>
  </r>
  <r>
    <x v="2011"/>
    <x v="972"/>
  </r>
  <r>
    <x v="2012"/>
    <x v="577"/>
  </r>
  <r>
    <x v="2013"/>
    <x v="607"/>
  </r>
  <r>
    <x v="2014"/>
    <x v="742"/>
  </r>
  <r>
    <x v="2015"/>
    <x v="421"/>
  </r>
  <r>
    <x v="2016"/>
    <x v="51"/>
  </r>
  <r>
    <x v="2017"/>
    <x v="284"/>
  </r>
  <r>
    <x v="2018"/>
    <x v="131"/>
  </r>
  <r>
    <x v="2019"/>
    <x v="936"/>
  </r>
  <r>
    <x v="2020"/>
    <x v="198"/>
  </r>
  <r>
    <x v="2021"/>
    <x v="685"/>
  </r>
  <r>
    <x v="2022"/>
    <x v="0"/>
  </r>
  <r>
    <x v="2023"/>
    <x v="387"/>
  </r>
  <r>
    <x v="2024"/>
    <x v="625"/>
  </r>
  <r>
    <x v="2025"/>
    <x v="882"/>
  </r>
  <r>
    <x v="2026"/>
    <x v="213"/>
  </r>
  <r>
    <x v="2027"/>
    <x v="449"/>
  </r>
  <r>
    <x v="2028"/>
    <x v="1045"/>
  </r>
  <r>
    <x v="2029"/>
    <x v="97"/>
  </r>
  <r>
    <x v="2030"/>
    <x v="620"/>
  </r>
  <r>
    <x v="2031"/>
    <x v="546"/>
  </r>
  <r>
    <x v="2032"/>
    <x v="546"/>
  </r>
  <r>
    <x v="2033"/>
    <x v="438"/>
  </r>
  <r>
    <x v="2034"/>
    <x v="161"/>
  </r>
  <r>
    <x v="2035"/>
    <x v="220"/>
  </r>
  <r>
    <x v="2036"/>
    <x v="607"/>
  </r>
  <r>
    <x v="2037"/>
    <x v="351"/>
  </r>
  <r>
    <x v="2038"/>
    <x v="577"/>
  </r>
  <r>
    <x v="2039"/>
    <x v="359"/>
  </r>
  <r>
    <x v="2040"/>
    <x v="1014"/>
  </r>
  <r>
    <x v="2041"/>
    <x v="198"/>
  </r>
  <r>
    <x v="2042"/>
    <x v="855"/>
  </r>
  <r>
    <x v="2043"/>
    <x v="147"/>
  </r>
  <r>
    <x v="2044"/>
    <x v="640"/>
  </r>
  <r>
    <x v="2045"/>
    <x v="70"/>
  </r>
  <r>
    <x v="2046"/>
    <x v="387"/>
  </r>
  <r>
    <x v="2047"/>
    <x v="127"/>
  </r>
  <r>
    <x v="2048"/>
    <x v="165"/>
  </r>
  <r>
    <x v="2049"/>
    <x v="856"/>
  </r>
  <r>
    <x v="2050"/>
    <x v="577"/>
  </r>
  <r>
    <x v="2051"/>
    <x v="132"/>
  </r>
  <r>
    <x v="2052"/>
    <x v="123"/>
  </r>
  <r>
    <x v="2053"/>
    <x v="387"/>
  </r>
  <r>
    <x v="2054"/>
    <x v="577"/>
  </r>
  <r>
    <x v="2055"/>
    <x v="544"/>
  </r>
  <r>
    <x v="2056"/>
    <x v="277"/>
  </r>
  <r>
    <x v="2057"/>
    <x v="672"/>
  </r>
  <r>
    <x v="2058"/>
    <x v="1045"/>
  </r>
  <r>
    <x v="2059"/>
    <x v="577"/>
  </r>
  <r>
    <x v="2060"/>
    <x v="577"/>
  </r>
  <r>
    <x v="2061"/>
    <x v="937"/>
  </r>
  <r>
    <x v="2062"/>
    <x v="476"/>
  </r>
  <r>
    <x v="2063"/>
    <x v="651"/>
  </r>
  <r>
    <x v="2064"/>
    <x v="712"/>
  </r>
  <r>
    <x v="2065"/>
    <x v="568"/>
  </r>
  <r>
    <x v="2066"/>
    <x v="577"/>
  </r>
  <r>
    <x v="2067"/>
    <x v="462"/>
  </r>
  <r>
    <x v="2068"/>
    <x v="577"/>
  </r>
  <r>
    <x v="2069"/>
    <x v="401"/>
  </r>
  <r>
    <x v="2070"/>
    <x v="256"/>
  </r>
  <r>
    <x v="2071"/>
    <x v="790"/>
  </r>
  <r>
    <x v="2072"/>
    <x v="539"/>
  </r>
  <r>
    <x v="2073"/>
    <x v="176"/>
  </r>
  <r>
    <x v="2074"/>
    <x v="200"/>
  </r>
  <r>
    <x v="2075"/>
    <x v="857"/>
  </r>
  <r>
    <x v="2076"/>
    <x v="577"/>
  </r>
  <r>
    <x v="2077"/>
    <x v="577"/>
  </r>
  <r>
    <x v="2078"/>
    <x v="426"/>
  </r>
  <r>
    <x v="2079"/>
    <x v="747"/>
  </r>
  <r>
    <x v="2080"/>
    <x v="36"/>
  </r>
  <r>
    <x v="2081"/>
    <x v="215"/>
  </r>
  <r>
    <x v="2082"/>
    <x v="533"/>
  </r>
  <r>
    <x v="2083"/>
    <x v="727"/>
  </r>
  <r>
    <x v="2084"/>
    <x v="132"/>
  </r>
  <r>
    <x v="2085"/>
    <x v="71"/>
  </r>
  <r>
    <x v="2086"/>
    <x v="544"/>
  </r>
  <r>
    <x v="2087"/>
    <x v="360"/>
  </r>
  <r>
    <x v="2088"/>
    <x v="847"/>
  </r>
  <r>
    <x v="2089"/>
    <x v="108"/>
  </r>
  <r>
    <x v="2090"/>
    <x v="0"/>
  </r>
  <r>
    <x v="2091"/>
    <x v="896"/>
  </r>
  <r>
    <x v="2092"/>
    <x v="256"/>
  </r>
  <r>
    <x v="2093"/>
    <x v="546"/>
  </r>
  <r>
    <x v="2094"/>
    <x v="577"/>
  </r>
  <r>
    <x v="2095"/>
    <x v="360"/>
  </r>
  <r>
    <x v="2096"/>
    <x v="885"/>
  </r>
  <r>
    <x v="2097"/>
    <x v="633"/>
  </r>
  <r>
    <x v="2098"/>
    <x v="897"/>
  </r>
  <r>
    <x v="2099"/>
    <x v="132"/>
  </r>
  <r>
    <x v="2100"/>
    <x v="616"/>
  </r>
  <r>
    <x v="2101"/>
    <x v="602"/>
  </r>
  <r>
    <x v="2102"/>
    <x v="195"/>
  </r>
  <r>
    <x v="2103"/>
    <x v="305"/>
  </r>
  <r>
    <x v="2104"/>
    <x v="1012"/>
  </r>
  <r>
    <x v="2105"/>
    <x v="329"/>
  </r>
  <r>
    <x v="2106"/>
    <x v="602"/>
  </r>
  <r>
    <x v="2107"/>
    <x v="49"/>
  </r>
  <r>
    <x v="2108"/>
    <x v="1045"/>
  </r>
  <r>
    <x v="2109"/>
    <x v="540"/>
  </r>
  <r>
    <x v="2110"/>
    <x v="577"/>
  </r>
  <r>
    <x v="2111"/>
    <x v="377"/>
  </r>
  <r>
    <x v="2112"/>
    <x v="28"/>
  </r>
  <r>
    <x v="2113"/>
    <x v="1024"/>
  </r>
  <r>
    <x v="2114"/>
    <x v="894"/>
  </r>
  <r>
    <x v="2115"/>
    <x v="80"/>
  </r>
  <r>
    <x v="2116"/>
    <x v="763"/>
  </r>
  <r>
    <x v="2117"/>
    <x v="84"/>
  </r>
  <r>
    <x v="2118"/>
    <x v="660"/>
  </r>
  <r>
    <x v="2119"/>
    <x v="684"/>
  </r>
  <r>
    <x v="2120"/>
    <x v="805"/>
  </r>
  <r>
    <x v="2121"/>
    <x v="658"/>
  </r>
  <r>
    <x v="2122"/>
    <x v="588"/>
  </r>
  <r>
    <x v="2123"/>
    <x v="732"/>
  </r>
  <r>
    <x v="2124"/>
    <x v="93"/>
  </r>
  <r>
    <x v="2125"/>
    <x v="390"/>
  </r>
  <r>
    <x v="2126"/>
    <x v="357"/>
  </r>
  <r>
    <x v="2127"/>
    <x v="1029"/>
  </r>
  <r>
    <x v="2128"/>
    <x v="787"/>
  </r>
  <r>
    <x v="2129"/>
    <x v="208"/>
  </r>
  <r>
    <x v="2130"/>
    <x v="171"/>
  </r>
  <r>
    <x v="2131"/>
    <x v="703"/>
  </r>
  <r>
    <x v="2132"/>
    <x v="790"/>
  </r>
  <r>
    <x v="2133"/>
    <x v="577"/>
  </r>
  <r>
    <x v="2134"/>
    <x v="16"/>
  </r>
  <r>
    <x v="2135"/>
    <x v="971"/>
  </r>
  <r>
    <x v="2136"/>
    <x v="385"/>
  </r>
  <r>
    <x v="2137"/>
    <x v="577"/>
  </r>
  <r>
    <x v="2138"/>
    <x v="461"/>
  </r>
  <r>
    <x v="2139"/>
    <x v="16"/>
  </r>
  <r>
    <x v="2140"/>
    <x v="1045"/>
  </r>
  <r>
    <x v="2141"/>
    <x v="360"/>
  </r>
  <r>
    <x v="2142"/>
    <x v="577"/>
  </r>
  <r>
    <x v="2143"/>
    <x v="908"/>
  </r>
  <r>
    <x v="2144"/>
    <x v="195"/>
  </r>
  <r>
    <x v="2145"/>
    <x v="97"/>
  </r>
  <r>
    <x v="2146"/>
    <x v="656"/>
  </r>
  <r>
    <x v="2147"/>
    <x v="699"/>
  </r>
  <r>
    <x v="2148"/>
    <x v="739"/>
  </r>
  <r>
    <x v="2149"/>
    <x v="773"/>
  </r>
  <r>
    <x v="2150"/>
    <x v="0"/>
  </r>
  <r>
    <x v="2151"/>
    <x v="391"/>
  </r>
  <r>
    <x v="2152"/>
    <x v="1044"/>
  </r>
  <r>
    <x v="2153"/>
    <x v="421"/>
  </r>
  <r>
    <x v="2154"/>
    <x v="697"/>
  </r>
  <r>
    <x v="2155"/>
    <x v="96"/>
  </r>
  <r>
    <x v="2156"/>
    <x v="577"/>
  </r>
  <r>
    <x v="2157"/>
    <x v="186"/>
  </r>
  <r>
    <x v="2158"/>
    <x v="56"/>
  </r>
  <r>
    <x v="2159"/>
    <x v="577"/>
  </r>
  <r>
    <x v="2160"/>
    <x v="992"/>
  </r>
  <r>
    <x v="2161"/>
    <x v="393"/>
  </r>
  <r>
    <x v="2162"/>
    <x v="770"/>
  </r>
  <r>
    <x v="2163"/>
    <x v="822"/>
  </r>
  <r>
    <x v="2164"/>
    <x v="577"/>
  </r>
  <r>
    <x v="2165"/>
    <x v="57"/>
  </r>
  <r>
    <x v="2166"/>
    <x v="421"/>
  </r>
  <r>
    <x v="2167"/>
    <x v="275"/>
  </r>
  <r>
    <x v="2168"/>
    <x v="577"/>
  </r>
  <r>
    <x v="2169"/>
    <x v="765"/>
  </r>
  <r>
    <x v="2172"/>
    <x v="601"/>
  </r>
  <r>
    <x v="2170"/>
    <x v="192"/>
  </r>
  <r>
    <x v="2171"/>
    <x v="546"/>
  </r>
  <r>
    <x v="2173"/>
    <x v="577"/>
  </r>
  <r>
    <x v="2174"/>
    <x v="577"/>
  </r>
  <r>
    <x v="2175"/>
    <x v="408"/>
  </r>
  <r>
    <x v="2176"/>
    <x v="107"/>
  </r>
  <r>
    <x v="2177"/>
    <x v="627"/>
  </r>
  <r>
    <x v="2178"/>
    <x v="509"/>
  </r>
  <r>
    <x v="2179"/>
    <x v="133"/>
  </r>
  <r>
    <x v="2180"/>
    <x v="16"/>
  </r>
  <r>
    <x v="2181"/>
    <x v="60"/>
  </r>
  <r>
    <x v="2182"/>
    <x v="892"/>
  </r>
  <r>
    <x v="2183"/>
    <x v="202"/>
  </r>
  <r>
    <x v="2184"/>
    <x v="950"/>
  </r>
  <r>
    <x v="2185"/>
    <x v="51"/>
  </r>
  <r>
    <x v="2186"/>
    <x v="891"/>
  </r>
  <r>
    <x v="2187"/>
    <x v="234"/>
  </r>
  <r>
    <x v="2188"/>
    <x v="387"/>
  </r>
  <r>
    <x v="2189"/>
    <x v="577"/>
  </r>
  <r>
    <x v="2190"/>
    <x v="1005"/>
  </r>
  <r>
    <x v="2191"/>
    <x v="329"/>
  </r>
  <r>
    <x v="2192"/>
    <x v="198"/>
  </r>
  <r>
    <x v="2193"/>
    <x v="828"/>
  </r>
  <r>
    <x v="2194"/>
    <x v="329"/>
  </r>
  <r>
    <x v="2195"/>
    <x v="577"/>
  </r>
  <r>
    <x v="2196"/>
    <x v="607"/>
  </r>
  <r>
    <x v="2197"/>
    <x v="607"/>
  </r>
  <r>
    <x v="2198"/>
    <x v="805"/>
  </r>
  <r>
    <x v="2199"/>
    <x v="893"/>
  </r>
  <r>
    <x v="2200"/>
    <x v="577"/>
  </r>
  <r>
    <x v="2201"/>
    <x v="824"/>
  </r>
  <r>
    <x v="2202"/>
    <x v="26"/>
  </r>
  <r>
    <x v="2203"/>
    <x v="833"/>
  </r>
  <r>
    <x v="2204"/>
    <x v="99"/>
  </r>
  <r>
    <x v="2205"/>
    <x v="577"/>
  </r>
  <r>
    <x v="2206"/>
    <x v="0"/>
  </r>
  <r>
    <x v="2207"/>
    <x v="387"/>
  </r>
  <r>
    <x v="2208"/>
    <x v="801"/>
  </r>
  <r>
    <x v="2209"/>
    <x v="389"/>
  </r>
  <r>
    <x v="2210"/>
    <x v="112"/>
  </r>
  <r>
    <x v="2211"/>
    <x v="411"/>
  </r>
  <r>
    <x v="2212"/>
    <x v="577"/>
  </r>
  <r>
    <x v="2213"/>
    <x v="567"/>
  </r>
  <r>
    <x v="2214"/>
    <x v="684"/>
  </r>
  <r>
    <x v="2215"/>
    <x v="906"/>
  </r>
  <r>
    <x v="2216"/>
    <x v="577"/>
  </r>
  <r>
    <x v="2217"/>
    <x v="1003"/>
  </r>
  <r>
    <x v="2218"/>
    <x v="770"/>
  </r>
  <r>
    <x v="2219"/>
    <x v="546"/>
  </r>
  <r>
    <x v="2220"/>
    <x v="778"/>
  </r>
  <r>
    <x v="2221"/>
    <x v="405"/>
  </r>
  <r>
    <x v="2222"/>
    <x v="10"/>
  </r>
  <r>
    <x v="2223"/>
    <x v="484"/>
  </r>
  <r>
    <x v="2224"/>
    <x v="293"/>
  </r>
  <r>
    <x v="2225"/>
    <x v="132"/>
  </r>
  <r>
    <x v="2226"/>
    <x v="132"/>
  </r>
  <r>
    <x v="2227"/>
    <x v="387"/>
  </r>
  <r>
    <x v="2228"/>
    <x v="197"/>
  </r>
  <r>
    <x v="2229"/>
    <x v="102"/>
  </r>
  <r>
    <x v="2230"/>
    <x v="132"/>
  </r>
  <r>
    <x v="2231"/>
    <x v="685"/>
  </r>
  <r>
    <x v="2232"/>
    <x v="70"/>
  </r>
  <r>
    <x v="2233"/>
    <x v="577"/>
  </r>
  <r>
    <x v="2234"/>
    <x v="154"/>
  </r>
  <r>
    <x v="2235"/>
    <x v="577"/>
  </r>
  <r>
    <x v="2236"/>
    <x v="666"/>
  </r>
  <r>
    <x v="2237"/>
    <x v="32"/>
  </r>
  <r>
    <x v="2238"/>
    <x v="422"/>
  </r>
  <r>
    <x v="2239"/>
    <x v="684"/>
  </r>
  <r>
    <x v="2240"/>
    <x v="685"/>
  </r>
  <r>
    <x v="2241"/>
    <x v="182"/>
  </r>
  <r>
    <x v="2242"/>
    <x v="699"/>
  </r>
  <r>
    <x v="2243"/>
    <x v="385"/>
  </r>
  <r>
    <x v="2244"/>
    <x v="577"/>
  </r>
  <r>
    <x v="2245"/>
    <x v="0"/>
  </r>
  <r>
    <x v="2246"/>
    <x v="197"/>
  </r>
  <r>
    <x v="2247"/>
    <x v="360"/>
  </r>
  <r>
    <x v="2248"/>
    <x v="944"/>
  </r>
  <r>
    <x v="2249"/>
    <x v="577"/>
  </r>
  <r>
    <x v="2250"/>
    <x v="874"/>
  </r>
  <r>
    <x v="2251"/>
    <x v="261"/>
  </r>
  <r>
    <x v="2252"/>
    <x v="16"/>
  </r>
  <r>
    <x v="2253"/>
    <x v="788"/>
  </r>
  <r>
    <x v="2254"/>
    <x v="16"/>
  </r>
  <r>
    <x v="2255"/>
    <x v="721"/>
  </r>
  <r>
    <x v="2256"/>
    <x v="446"/>
  </r>
  <r>
    <x v="2257"/>
    <x v="132"/>
  </r>
  <r>
    <x v="2258"/>
    <x v="351"/>
  </r>
  <r>
    <x v="2259"/>
    <x v="805"/>
  </r>
  <r>
    <x v="2260"/>
    <x v="990"/>
  </r>
  <r>
    <x v="2261"/>
    <x v="577"/>
  </r>
  <r>
    <x v="2262"/>
    <x v="138"/>
  </r>
  <r>
    <x v="2263"/>
    <x v="521"/>
  </r>
  <r>
    <x v="2264"/>
    <x v="166"/>
  </r>
  <r>
    <x v="2265"/>
    <x v="577"/>
  </r>
  <r>
    <x v="2266"/>
    <x v="445"/>
  </r>
  <r>
    <x v="2267"/>
    <x v="1031"/>
  </r>
  <r>
    <x v="2268"/>
    <x v="577"/>
  </r>
  <r>
    <x v="2269"/>
    <x v="1028"/>
  </r>
  <r>
    <x v="2270"/>
    <x v="688"/>
  </r>
  <r>
    <x v="2271"/>
    <x v="577"/>
  </r>
  <r>
    <x v="2272"/>
    <x v="600"/>
  </r>
  <r>
    <x v="2273"/>
    <x v="546"/>
  </r>
  <r>
    <x v="2274"/>
    <x v="577"/>
  </r>
  <r>
    <x v="2275"/>
    <x v="38"/>
  </r>
  <r>
    <x v="2276"/>
    <x v="748"/>
  </r>
  <r>
    <x v="2277"/>
    <x v="854"/>
  </r>
  <r>
    <x v="2278"/>
    <x v="92"/>
  </r>
  <r>
    <x v="2279"/>
    <x v="577"/>
  </r>
  <r>
    <x v="2280"/>
    <x v="577"/>
  </r>
  <r>
    <x v="2281"/>
    <x v="62"/>
  </r>
  <r>
    <x v="2282"/>
    <x v="577"/>
  </r>
  <r>
    <x v="2283"/>
    <x v="112"/>
  </r>
  <r>
    <x v="2284"/>
    <x v="71"/>
  </r>
  <r>
    <x v="2285"/>
    <x v="800"/>
  </r>
  <r>
    <x v="2286"/>
    <x v="562"/>
  </r>
  <r>
    <x v="2287"/>
    <x v="968"/>
  </r>
  <r>
    <x v="2288"/>
    <x v="883"/>
  </r>
  <r>
    <x v="2289"/>
    <x v="351"/>
  </r>
  <r>
    <x v="2290"/>
    <x v="755"/>
  </r>
  <r>
    <x v="2291"/>
    <x v="100"/>
  </r>
  <r>
    <x v="2292"/>
    <x v="432"/>
  </r>
  <r>
    <x v="2293"/>
    <x v="577"/>
  </r>
  <r>
    <x v="2294"/>
    <x v="721"/>
  </r>
  <r>
    <x v="2295"/>
    <x v="256"/>
  </r>
  <r>
    <x v="2296"/>
    <x v="544"/>
  </r>
  <r>
    <x v="2297"/>
    <x v="306"/>
  </r>
  <r>
    <x v="2298"/>
    <x v="577"/>
  </r>
  <r>
    <x v="2299"/>
    <x v="132"/>
  </r>
  <r>
    <x v="2300"/>
    <x v="909"/>
  </r>
  <r>
    <x v="2301"/>
    <x v="658"/>
  </r>
  <r>
    <x v="2302"/>
    <x v="614"/>
  </r>
  <r>
    <x v="2303"/>
    <x v="685"/>
  </r>
  <r>
    <x v="2304"/>
    <x v="721"/>
  </r>
  <r>
    <x v="2305"/>
    <x v="544"/>
  </r>
  <r>
    <x v="2306"/>
    <x v="892"/>
  </r>
  <r>
    <x v="2307"/>
    <x v="577"/>
  </r>
  <r>
    <x v="2308"/>
    <x v="617"/>
  </r>
  <r>
    <x v="2309"/>
    <x v="131"/>
  </r>
  <r>
    <x v="2310"/>
    <x v="555"/>
  </r>
  <r>
    <x v="2311"/>
    <x v="446"/>
  </r>
  <r>
    <x v="2312"/>
    <x v="446"/>
  </r>
  <r>
    <x v="2313"/>
    <x v="223"/>
  </r>
  <r>
    <x v="2314"/>
    <x v="495"/>
  </r>
  <r>
    <x v="2315"/>
    <x v="205"/>
  </r>
  <r>
    <x v="2316"/>
    <x v="661"/>
  </r>
  <r>
    <x v="2317"/>
    <x v="824"/>
  </r>
  <r>
    <x v="2318"/>
    <x v="905"/>
  </r>
  <r>
    <x v="2319"/>
    <x v="478"/>
  </r>
  <r>
    <x v="2320"/>
    <x v="661"/>
  </r>
  <r>
    <x v="2321"/>
    <x v="166"/>
  </r>
  <r>
    <x v="2322"/>
    <x v="577"/>
  </r>
  <r>
    <x v="2323"/>
    <x v="193"/>
  </r>
  <r>
    <x v="2324"/>
    <x v="204"/>
  </r>
  <r>
    <x v="2325"/>
    <x v="238"/>
  </r>
  <r>
    <x v="2326"/>
    <x v="805"/>
  </r>
  <r>
    <x v="2327"/>
    <x v="896"/>
  </r>
  <r>
    <x v="2328"/>
    <x v="598"/>
  </r>
  <r>
    <x v="2329"/>
    <x v="488"/>
  </r>
  <r>
    <x v="2330"/>
    <x v="778"/>
  </r>
  <r>
    <x v="2331"/>
    <x v="577"/>
  </r>
  <r>
    <x v="2332"/>
    <x v="577"/>
  </r>
  <r>
    <x v="2333"/>
    <x v="577"/>
  </r>
  <r>
    <x v="2334"/>
    <x v="996"/>
  </r>
  <r>
    <x v="2335"/>
    <x v="577"/>
  </r>
  <r>
    <x v="2336"/>
    <x v="283"/>
  </r>
  <r>
    <x v="2337"/>
    <x v="610"/>
  </r>
  <r>
    <x v="2338"/>
    <x v="510"/>
  </r>
  <r>
    <x v="2339"/>
    <x v="387"/>
  </r>
  <r>
    <x v="2340"/>
    <x v="156"/>
  </r>
  <r>
    <x v="2341"/>
    <x v="78"/>
  </r>
  <r>
    <x v="2342"/>
    <x v="968"/>
  </r>
  <r>
    <x v="2343"/>
    <x v="462"/>
  </r>
  <r>
    <x v="2344"/>
    <x v="254"/>
  </r>
  <r>
    <x v="2345"/>
    <x v="0"/>
  </r>
  <r>
    <x v="2346"/>
    <x v="536"/>
  </r>
  <r>
    <x v="2347"/>
    <x v="607"/>
  </r>
  <r>
    <x v="2348"/>
    <x v="627"/>
  </r>
  <r>
    <x v="2349"/>
    <x v="544"/>
  </r>
  <r>
    <x v="2350"/>
    <x v="865"/>
  </r>
  <r>
    <x v="2351"/>
    <x v="727"/>
  </r>
  <r>
    <x v="2352"/>
    <x v="84"/>
  </r>
  <r>
    <x v="2353"/>
    <x v="491"/>
  </r>
  <r>
    <x v="2354"/>
    <x v="577"/>
  </r>
  <r>
    <x v="2355"/>
    <x v="682"/>
  </r>
  <r>
    <x v="2356"/>
    <x v="1032"/>
  </r>
  <r>
    <x v="2357"/>
    <x v="577"/>
  </r>
  <r>
    <x v="2358"/>
    <x v="577"/>
  </r>
  <r>
    <x v="2359"/>
    <x v="152"/>
  </r>
  <r>
    <x v="2360"/>
    <x v="577"/>
  </r>
  <r>
    <x v="2361"/>
    <x v="577"/>
  </r>
  <r>
    <x v="2362"/>
    <x v="871"/>
  </r>
  <r>
    <x v="2363"/>
    <x v="137"/>
  </r>
  <r>
    <x v="2364"/>
    <x v="577"/>
  </r>
  <r>
    <x v="2365"/>
    <x v="387"/>
  </r>
  <r>
    <x v="2366"/>
    <x v="957"/>
  </r>
  <r>
    <x v="2367"/>
    <x v="478"/>
  </r>
  <r>
    <x v="2368"/>
    <x v="138"/>
  </r>
  <r>
    <x v="2369"/>
    <x v="387"/>
  </r>
  <r>
    <x v="2370"/>
    <x v="944"/>
  </r>
  <r>
    <x v="2371"/>
    <x v="26"/>
  </r>
  <r>
    <x v="2372"/>
    <x v="315"/>
  </r>
  <r>
    <x v="2373"/>
    <x v="547"/>
  </r>
  <r>
    <x v="2374"/>
    <x v="706"/>
  </r>
  <r>
    <x v="2375"/>
    <x v="421"/>
  </r>
  <r>
    <x v="2376"/>
    <x v="644"/>
  </r>
  <r>
    <x v="2377"/>
    <x v="607"/>
  </r>
  <r>
    <x v="2378"/>
    <x v="14"/>
  </r>
  <r>
    <x v="2379"/>
    <x v="656"/>
  </r>
  <r>
    <x v="2380"/>
    <x v="728"/>
  </r>
  <r>
    <x v="2381"/>
    <x v="97"/>
  </r>
  <r>
    <x v="2382"/>
    <x v="197"/>
  </r>
  <r>
    <x v="2383"/>
    <x v="135"/>
  </r>
  <r>
    <x v="2384"/>
    <x v="942"/>
  </r>
  <r>
    <x v="2385"/>
    <x v="890"/>
  </r>
  <r>
    <x v="2386"/>
    <x v="577"/>
  </r>
  <r>
    <x v="2387"/>
    <x v="577"/>
  </r>
  <r>
    <x v="2388"/>
    <x v="473"/>
  </r>
  <r>
    <x v="2389"/>
    <x v="651"/>
  </r>
  <r>
    <x v="2390"/>
    <x v="351"/>
  </r>
  <r>
    <x v="2391"/>
    <x v="1035"/>
  </r>
  <r>
    <x v="2392"/>
    <x v="360"/>
  </r>
  <r>
    <x v="2393"/>
    <x v="543"/>
  </r>
  <r>
    <x v="2394"/>
    <x v="1024"/>
  </r>
  <r>
    <x v="2395"/>
    <x v="131"/>
  </r>
  <r>
    <x v="2396"/>
    <x v="577"/>
  </r>
  <r>
    <x v="2397"/>
    <x v="815"/>
  </r>
  <r>
    <x v="2398"/>
    <x v="309"/>
  </r>
  <r>
    <x v="2399"/>
    <x v="847"/>
  </r>
  <r>
    <x v="2400"/>
    <x v="847"/>
  </r>
  <r>
    <x v="2401"/>
    <x v="251"/>
  </r>
  <r>
    <x v="2402"/>
    <x v="987"/>
  </r>
  <r>
    <x v="2403"/>
    <x v="78"/>
  </r>
  <r>
    <x v="2404"/>
    <x v="685"/>
  </r>
  <r>
    <x v="2405"/>
    <x v="827"/>
  </r>
  <r>
    <x v="2406"/>
    <x v="577"/>
  </r>
  <r>
    <x v="2407"/>
    <x v="1024"/>
  </r>
  <r>
    <x v="2408"/>
    <x v="0"/>
  </r>
  <r>
    <x v="2409"/>
    <x v="577"/>
  </r>
  <r>
    <x v="2410"/>
    <x v="97"/>
  </r>
  <r>
    <x v="2411"/>
    <x v="577"/>
  </r>
  <r>
    <x v="2412"/>
    <x v="759"/>
  </r>
  <r>
    <x v="2413"/>
    <x v="723"/>
  </r>
  <r>
    <x v="2414"/>
    <x v="187"/>
  </r>
  <r>
    <x v="2415"/>
    <x v="166"/>
  </r>
  <r>
    <x v="2416"/>
    <x v="725"/>
  </r>
  <r>
    <x v="2417"/>
    <x v="357"/>
  </r>
  <r>
    <x v="2418"/>
    <x v="219"/>
  </r>
  <r>
    <x v="2419"/>
    <x v="684"/>
  </r>
  <r>
    <x v="2420"/>
    <x v="577"/>
  </r>
  <r>
    <x v="2421"/>
    <x v="577"/>
  </r>
  <r>
    <x v="2422"/>
    <x v="913"/>
  </r>
  <r>
    <x v="2423"/>
    <x v="577"/>
  </r>
  <r>
    <x v="2424"/>
    <x v="477"/>
  </r>
  <r>
    <x v="2425"/>
    <x v="696"/>
  </r>
  <r>
    <x v="2426"/>
    <x v="1044"/>
  </r>
  <r>
    <x v="2427"/>
    <x v="790"/>
  </r>
  <r>
    <x v="2428"/>
    <x v="1024"/>
  </r>
  <r>
    <x v="2429"/>
    <x v="73"/>
  </r>
  <r>
    <x v="2430"/>
    <x v="123"/>
  </r>
  <r>
    <x v="2431"/>
    <x v="211"/>
  </r>
  <r>
    <x v="2432"/>
    <x v="577"/>
  </r>
  <r>
    <x v="2433"/>
    <x v="247"/>
  </r>
  <r>
    <x v="2434"/>
    <x v="156"/>
  </r>
  <r>
    <x v="2435"/>
    <x v="351"/>
  </r>
  <r>
    <x v="2436"/>
    <x v="577"/>
  </r>
  <r>
    <x v="2437"/>
    <x v="577"/>
  </r>
  <r>
    <x v="2438"/>
    <x v="656"/>
  </r>
  <r>
    <x v="2439"/>
    <x v="236"/>
  </r>
  <r>
    <x v="2440"/>
    <x v="742"/>
  </r>
  <r>
    <x v="2441"/>
    <x v="577"/>
  </r>
  <r>
    <x v="2442"/>
    <x v="509"/>
  </r>
  <r>
    <x v="2443"/>
    <x v="19"/>
  </r>
  <r>
    <x v="2444"/>
    <x v="781"/>
  </r>
  <r>
    <x v="2445"/>
    <x v="727"/>
  </r>
  <r>
    <x v="2446"/>
    <x v="935"/>
  </r>
  <r>
    <x v="2447"/>
    <x v="374"/>
  </r>
  <r>
    <x v="2448"/>
    <x v="4"/>
  </r>
  <r>
    <x v="2449"/>
    <x v="291"/>
  </r>
  <r>
    <x v="2450"/>
    <x v="170"/>
  </r>
  <r>
    <x v="2451"/>
    <x v="388"/>
  </r>
  <r>
    <x v="2452"/>
    <x v="252"/>
  </r>
  <r>
    <x v="2453"/>
    <x v="219"/>
  </r>
  <r>
    <x v="2454"/>
    <x v="28"/>
  </r>
  <r>
    <x v="2455"/>
    <x v="964"/>
  </r>
  <r>
    <x v="2456"/>
    <x v="63"/>
  </r>
  <r>
    <x v="2457"/>
    <x v="0"/>
  </r>
  <r>
    <x v="2458"/>
    <x v="577"/>
  </r>
  <r>
    <x v="2459"/>
    <x v="793"/>
  </r>
  <r>
    <x v="2460"/>
    <x v="577"/>
  </r>
  <r>
    <x v="2461"/>
    <x v="684"/>
  </r>
  <r>
    <x v="2462"/>
    <x v="291"/>
  </r>
  <r>
    <x v="2463"/>
    <x v="1011"/>
  </r>
  <r>
    <x v="2464"/>
    <x v="477"/>
  </r>
  <r>
    <x v="2465"/>
    <x v="811"/>
  </r>
  <r>
    <x v="2466"/>
    <x v="684"/>
  </r>
  <r>
    <x v="2467"/>
    <x v="685"/>
  </r>
  <r>
    <x v="2468"/>
    <x v="132"/>
  </r>
  <r>
    <x v="2469"/>
    <x v="684"/>
  </r>
  <r>
    <x v="2470"/>
    <x v="847"/>
  </r>
  <r>
    <x v="2471"/>
    <x v="540"/>
  </r>
  <r>
    <x v="2472"/>
    <x v="577"/>
  </r>
  <r>
    <x v="2473"/>
    <x v="577"/>
  </r>
  <r>
    <x v="2474"/>
    <x v="412"/>
  </r>
  <r>
    <x v="2475"/>
    <x v="577"/>
  </r>
  <r>
    <x v="2476"/>
    <x v="28"/>
  </r>
  <r>
    <x v="2477"/>
    <x v="788"/>
  </r>
  <r>
    <x v="2478"/>
    <x v="577"/>
  </r>
  <r>
    <x v="2479"/>
    <x v="387"/>
  </r>
  <r>
    <x v="2480"/>
    <x v="577"/>
  </r>
  <r>
    <x v="2481"/>
    <x v="805"/>
  </r>
  <r>
    <x v="2482"/>
    <x v="643"/>
  </r>
  <r>
    <x v="2483"/>
    <x v="51"/>
  </r>
  <r>
    <x v="2484"/>
    <x v="326"/>
  </r>
  <r>
    <x v="2485"/>
    <x v="306"/>
  </r>
  <r>
    <x v="2486"/>
    <x v="555"/>
  </r>
  <r>
    <x v="2487"/>
    <x v="897"/>
  </r>
  <r>
    <x v="2488"/>
    <x v="950"/>
  </r>
  <r>
    <x v="2489"/>
    <x v="546"/>
  </r>
  <r>
    <x v="2490"/>
    <x v="166"/>
  </r>
  <r>
    <x v="2491"/>
    <x v="633"/>
  </r>
  <r>
    <x v="2492"/>
    <x v="376"/>
  </r>
  <r>
    <x v="2493"/>
    <x v="357"/>
  </r>
  <r>
    <x v="2494"/>
    <x v="577"/>
  </r>
  <r>
    <x v="2495"/>
    <x v="764"/>
  </r>
  <r>
    <x v="2496"/>
    <x v="577"/>
  </r>
  <r>
    <x v="2497"/>
    <x v="112"/>
  </r>
  <r>
    <x v="2498"/>
    <x v="716"/>
  </r>
  <r>
    <x v="2499"/>
    <x v="107"/>
  </r>
  <r>
    <x v="2500"/>
    <x v="387"/>
  </r>
  <r>
    <x v="2501"/>
    <x v="73"/>
  </r>
  <r>
    <x v="2502"/>
    <x v="718"/>
  </r>
  <r>
    <x v="2503"/>
    <x v="164"/>
  </r>
  <r>
    <x v="2504"/>
    <x v="847"/>
  </r>
  <r>
    <x v="2505"/>
    <x v="225"/>
  </r>
  <r>
    <x v="2506"/>
    <x v="707"/>
  </r>
  <r>
    <x v="2507"/>
    <x v="152"/>
  </r>
  <r>
    <x v="2508"/>
    <x v="132"/>
  </r>
  <r>
    <x v="2509"/>
    <x v="55"/>
  </r>
  <r>
    <x v="2510"/>
    <x v="145"/>
  </r>
  <r>
    <x v="2511"/>
    <x v="633"/>
  </r>
  <r>
    <x v="2512"/>
    <x v="132"/>
  </r>
  <r>
    <x v="2513"/>
    <x v="200"/>
  </r>
  <r>
    <x v="2514"/>
    <x v="387"/>
  </r>
  <r>
    <x v="2515"/>
    <x v="707"/>
  </r>
  <r>
    <x v="2516"/>
    <x v="395"/>
  </r>
  <r>
    <x v="2517"/>
    <x v="554"/>
  </r>
  <r>
    <x v="2518"/>
    <x v="1032"/>
  </r>
  <r>
    <x v="2519"/>
    <x v="91"/>
  </r>
  <r>
    <x v="2520"/>
    <x v="1012"/>
  </r>
  <r>
    <x v="2521"/>
    <x v="244"/>
  </r>
  <r>
    <x v="2522"/>
    <x v="761"/>
  </r>
  <r>
    <x v="2523"/>
    <x v="97"/>
  </r>
  <r>
    <x v="2524"/>
    <x v="577"/>
  </r>
  <r>
    <x v="2525"/>
    <x v="221"/>
  </r>
  <r>
    <x v="2526"/>
    <x v="511"/>
  </r>
  <r>
    <x v="2527"/>
    <x v="577"/>
  </r>
  <r>
    <x v="2528"/>
    <x v="549"/>
  </r>
  <r>
    <x v="2529"/>
    <x v="1023"/>
  </r>
  <r>
    <x v="2530"/>
    <x v="63"/>
  </r>
  <r>
    <x v="2531"/>
    <x v="243"/>
  </r>
  <r>
    <x v="2532"/>
    <x v="600"/>
  </r>
  <r>
    <x v="2533"/>
    <x v="175"/>
  </r>
  <r>
    <x v="2534"/>
    <x v="607"/>
  </r>
  <r>
    <x v="2535"/>
    <x v="577"/>
  </r>
  <r>
    <x v="2536"/>
    <x v="577"/>
  </r>
  <r>
    <x v="2537"/>
    <x v="1001"/>
  </r>
  <r>
    <x v="2538"/>
    <x v="546"/>
  </r>
  <r>
    <x v="2539"/>
    <x v="0"/>
  </r>
  <r>
    <x v="2540"/>
    <x v="724"/>
  </r>
  <r>
    <x v="2541"/>
    <x v="805"/>
  </r>
  <r>
    <x v="2542"/>
    <x v="614"/>
  </r>
  <r>
    <x v="2543"/>
    <x v="685"/>
  </r>
  <r>
    <x v="2544"/>
    <x v="195"/>
  </r>
  <r>
    <x v="2545"/>
    <x v="684"/>
  </r>
  <r>
    <x v="2546"/>
    <x v="680"/>
  </r>
  <r>
    <x v="2547"/>
    <x v="684"/>
  </r>
  <r>
    <x v="2548"/>
    <x v="544"/>
  </r>
  <r>
    <x v="2549"/>
    <x v="777"/>
  </r>
  <r>
    <x v="2550"/>
    <x v="727"/>
  </r>
  <r>
    <x v="2551"/>
    <x v="732"/>
  </r>
  <r>
    <x v="2552"/>
    <x v="197"/>
  </r>
  <r>
    <x v="2553"/>
    <x v="277"/>
  </r>
  <r>
    <x v="2554"/>
    <x v="167"/>
  </r>
  <r>
    <x v="2555"/>
    <x v="577"/>
  </r>
  <r>
    <x v="2556"/>
    <x v="26"/>
  </r>
  <r>
    <x v="2557"/>
    <x v="577"/>
  </r>
  <r>
    <x v="2558"/>
    <x v="544"/>
  </r>
  <r>
    <x v="2559"/>
    <x v="229"/>
  </r>
  <r>
    <x v="2560"/>
    <x v="865"/>
  </r>
  <r>
    <x v="2561"/>
    <x v="833"/>
  </r>
  <r>
    <x v="2562"/>
    <x v="74"/>
  </r>
  <r>
    <x v="2563"/>
    <x v="160"/>
  </r>
  <r>
    <x v="2564"/>
    <x v="967"/>
  </r>
  <r>
    <x v="2565"/>
    <x v="159"/>
  </r>
  <r>
    <x v="2566"/>
    <x v="540"/>
  </r>
  <r>
    <x v="2567"/>
    <x v="577"/>
  </r>
  <r>
    <x v="2568"/>
    <x v="16"/>
  </r>
  <r>
    <x v="2569"/>
    <x v="387"/>
  </r>
  <r>
    <x v="2570"/>
    <x v="590"/>
  </r>
  <r>
    <x v="2571"/>
    <x v="387"/>
  </r>
  <r>
    <x v="2572"/>
    <x v="607"/>
  </r>
  <r>
    <x v="2573"/>
    <x v="387"/>
  </r>
  <r>
    <x v="2574"/>
    <x v="655"/>
  </r>
  <r>
    <x v="2575"/>
    <x v="577"/>
  </r>
  <r>
    <x v="2576"/>
    <x v="97"/>
  </r>
  <r>
    <x v="2577"/>
    <x v="577"/>
  </r>
  <r>
    <x v="2578"/>
    <x v="0"/>
  </r>
  <r>
    <x v="2579"/>
    <x v="307"/>
  </r>
  <r>
    <x v="2580"/>
    <x v="533"/>
  </r>
  <r>
    <x v="2581"/>
    <x v="905"/>
  </r>
  <r>
    <x v="2582"/>
    <x v="167"/>
  </r>
  <r>
    <x v="2583"/>
    <x v="387"/>
  </r>
  <r>
    <x v="2584"/>
    <x v="81"/>
  </r>
  <r>
    <x v="2585"/>
    <x v="577"/>
  </r>
  <r>
    <x v="2586"/>
    <x v="0"/>
  </r>
  <r>
    <x v="2587"/>
    <x v="684"/>
  </r>
  <r>
    <x v="2588"/>
    <x v="497"/>
  </r>
  <r>
    <x v="2589"/>
    <x v="816"/>
  </r>
  <r>
    <x v="2590"/>
    <x v="414"/>
  </r>
  <r>
    <x v="2591"/>
    <x v="686"/>
  </r>
  <r>
    <x v="2592"/>
    <x v="292"/>
  </r>
  <r>
    <x v="2593"/>
    <x v="655"/>
  </r>
  <r>
    <x v="2594"/>
    <x v="577"/>
  </r>
  <r>
    <x v="2595"/>
    <x v="577"/>
  </r>
  <r>
    <x v="2596"/>
    <x v="607"/>
  </r>
  <r>
    <x v="2597"/>
    <x v="97"/>
  </r>
  <r>
    <x v="2598"/>
    <x v="479"/>
  </r>
  <r>
    <x v="2599"/>
    <x v="266"/>
  </r>
  <r>
    <x v="2600"/>
    <x v="436"/>
  </r>
  <r>
    <x v="2601"/>
    <x v="921"/>
  </r>
  <r>
    <x v="2602"/>
    <x v="509"/>
  </r>
  <r>
    <x v="2603"/>
    <x v="685"/>
  </r>
  <r>
    <x v="2604"/>
    <x v="33"/>
  </r>
  <r>
    <x v="2605"/>
    <x v="390"/>
  </r>
  <r>
    <x v="2606"/>
    <x v="400"/>
  </r>
  <r>
    <x v="2607"/>
    <x v="742"/>
  </r>
  <r>
    <x v="2608"/>
    <x v="577"/>
  </r>
  <r>
    <x v="2609"/>
    <x v="577"/>
  </r>
  <r>
    <x v="2610"/>
    <x v="555"/>
  </r>
  <r>
    <x v="2611"/>
    <x v="559"/>
  </r>
  <r>
    <x v="2612"/>
    <x v="937"/>
  </r>
  <r>
    <x v="2613"/>
    <x v="633"/>
  </r>
  <r>
    <x v="2614"/>
    <x v="657"/>
  </r>
  <r>
    <x v="2615"/>
    <x v="607"/>
  </r>
  <r>
    <x v="2616"/>
    <x v="195"/>
  </r>
  <r>
    <x v="2617"/>
    <x v="32"/>
  </r>
  <r>
    <x v="2618"/>
    <x v="996"/>
  </r>
  <r>
    <x v="2619"/>
    <x v="256"/>
  </r>
  <r>
    <x v="2620"/>
    <x v="703"/>
  </r>
  <r>
    <x v="2621"/>
    <x v="690"/>
  </r>
  <r>
    <x v="2622"/>
    <x v="577"/>
  </r>
  <r>
    <x v="2623"/>
    <x v="197"/>
  </r>
  <r>
    <x v="2624"/>
    <x v="577"/>
  </r>
  <r>
    <x v="2625"/>
    <x v="1044"/>
  </r>
  <r>
    <x v="2626"/>
    <x v="577"/>
  </r>
  <r>
    <x v="2627"/>
    <x v="774"/>
  </r>
  <r>
    <x v="2628"/>
    <x v="499"/>
  </r>
  <r>
    <x v="2629"/>
    <x v="166"/>
  </r>
  <r>
    <x v="2630"/>
    <x v="544"/>
  </r>
  <r>
    <x v="2631"/>
    <x v="577"/>
  </r>
  <r>
    <x v="2632"/>
    <x v="234"/>
  </r>
  <r>
    <x v="2633"/>
    <x v="73"/>
  </r>
  <r>
    <x v="2634"/>
    <x v="892"/>
  </r>
  <r>
    <x v="2635"/>
    <x v="161"/>
  </r>
  <r>
    <x v="2636"/>
    <x v="534"/>
  </r>
  <r>
    <x v="2637"/>
    <x v="1044"/>
  </r>
  <r>
    <x v="2638"/>
    <x v="775"/>
  </r>
  <r>
    <x v="2639"/>
    <x v="577"/>
  </r>
  <r>
    <x v="2640"/>
    <x v="753"/>
  </r>
  <r>
    <x v="2641"/>
    <x v="2"/>
  </r>
  <r>
    <x v="2642"/>
    <x v="92"/>
  </r>
  <r>
    <x v="2643"/>
    <x v="288"/>
  </r>
  <r>
    <x v="2644"/>
    <x v="45"/>
  </r>
  <r>
    <x v="2645"/>
    <x v="211"/>
  </r>
  <r>
    <x v="2646"/>
    <x v="577"/>
  </r>
  <r>
    <x v="2647"/>
    <x v="824"/>
  </r>
  <r>
    <x v="2648"/>
    <x v="303"/>
  </r>
  <r>
    <x v="2649"/>
    <x v="824"/>
  </r>
  <r>
    <x v="2650"/>
    <x v="727"/>
  </r>
  <r>
    <x v="2651"/>
    <x v="716"/>
  </r>
  <r>
    <x v="2652"/>
    <x v="254"/>
  </r>
  <r>
    <x v="2653"/>
    <x v="881"/>
  </r>
  <r>
    <x v="2654"/>
    <x v="166"/>
  </r>
  <r>
    <x v="2655"/>
    <x v="955"/>
  </r>
  <r>
    <x v="2656"/>
    <x v="634"/>
  </r>
  <r>
    <x v="2657"/>
    <x v="691"/>
  </r>
  <r>
    <x v="2658"/>
    <x v="760"/>
  </r>
  <r>
    <x v="2659"/>
    <x v="871"/>
  </r>
  <r>
    <x v="2660"/>
    <x v="577"/>
  </r>
  <r>
    <x v="2661"/>
    <x v="152"/>
  </r>
  <r>
    <x v="2662"/>
    <x v="1024"/>
  </r>
  <r>
    <x v="2663"/>
    <x v="263"/>
  </r>
  <r>
    <x v="2664"/>
    <x v="577"/>
  </r>
  <r>
    <x v="2665"/>
    <x v="17"/>
  </r>
  <r>
    <x v="2666"/>
    <x v="184"/>
  </r>
  <r>
    <x v="2667"/>
    <x v="577"/>
  </r>
  <r>
    <x v="2668"/>
    <x v="289"/>
  </r>
  <r>
    <x v="2669"/>
    <x v="152"/>
  </r>
  <r>
    <x v="2670"/>
    <x v="36"/>
  </r>
  <r>
    <x v="2671"/>
    <x v="520"/>
  </r>
  <r>
    <x v="2672"/>
    <x v="997"/>
  </r>
  <r>
    <x v="2673"/>
    <x v="763"/>
  </r>
  <r>
    <x v="2674"/>
    <x v="234"/>
  </r>
  <r>
    <x v="2675"/>
    <x v="577"/>
  </r>
  <r>
    <x v="2676"/>
    <x v="897"/>
  </r>
  <r>
    <x v="2677"/>
    <x v="211"/>
  </r>
  <r>
    <x v="2678"/>
    <x v="298"/>
  </r>
  <r>
    <x v="2679"/>
    <x v="694"/>
  </r>
  <r>
    <x v="2680"/>
    <x v="708"/>
  </r>
  <r>
    <x v="2681"/>
    <x v="1022"/>
  </r>
  <r>
    <x v="2682"/>
    <x v="902"/>
  </r>
  <r>
    <x v="2683"/>
    <x v="891"/>
  </r>
  <r>
    <x v="2684"/>
    <x v="213"/>
  </r>
  <r>
    <x v="2685"/>
    <x v="559"/>
  </r>
  <r>
    <x v="2686"/>
    <x v="1024"/>
  </r>
  <r>
    <x v="2687"/>
    <x v="842"/>
  </r>
  <r>
    <x v="2688"/>
    <x v="291"/>
  </r>
  <r>
    <x v="2689"/>
    <x v="868"/>
  </r>
  <r>
    <x v="2690"/>
    <x v="577"/>
  </r>
  <r>
    <x v="2691"/>
    <x v="1024"/>
  </r>
  <r>
    <x v="2692"/>
    <x v="136"/>
  </r>
  <r>
    <x v="2693"/>
    <x v="797"/>
  </r>
  <r>
    <x v="2694"/>
    <x v="833"/>
  </r>
  <r>
    <x v="2695"/>
    <x v="964"/>
  </r>
  <r>
    <x v="2696"/>
    <x v="598"/>
  </r>
  <r>
    <x v="2697"/>
    <x v="441"/>
  </r>
  <r>
    <x v="2698"/>
    <x v="607"/>
  </r>
  <r>
    <x v="2699"/>
    <x v="824"/>
  </r>
  <r>
    <x v="2700"/>
    <x v="401"/>
  </r>
  <r>
    <x v="2701"/>
    <x v="235"/>
  </r>
  <r>
    <x v="2702"/>
    <x v="598"/>
  </r>
  <r>
    <x v="2703"/>
    <x v="187"/>
  </r>
  <r>
    <x v="2704"/>
    <x v="607"/>
  </r>
  <r>
    <x v="2705"/>
    <x v="995"/>
  </r>
  <r>
    <x v="2706"/>
    <x v="833"/>
  </r>
  <r>
    <x v="2707"/>
    <x v="112"/>
  </r>
  <r>
    <x v="2708"/>
    <x v="680"/>
  </r>
  <r>
    <x v="2709"/>
    <x v="329"/>
  </r>
  <r>
    <x v="2710"/>
    <x v="387"/>
  </r>
  <r>
    <x v="2711"/>
    <x v="166"/>
  </r>
  <r>
    <x v="2712"/>
    <x v="655"/>
  </r>
  <r>
    <x v="2713"/>
    <x v="323"/>
  </r>
  <r>
    <x v="2714"/>
    <x v="1045"/>
  </r>
  <r>
    <x v="2715"/>
    <x v="982"/>
  </r>
  <r>
    <x v="2716"/>
    <x v="51"/>
  </r>
  <r>
    <x v="2717"/>
    <x v="526"/>
  </r>
  <r>
    <x v="2718"/>
    <x v="699"/>
  </r>
  <r>
    <x v="2719"/>
    <x v="805"/>
  </r>
  <r>
    <x v="2720"/>
    <x v="1011"/>
  </r>
  <r>
    <x v="2721"/>
    <x v="824"/>
  </r>
  <r>
    <x v="2722"/>
    <x v="495"/>
  </r>
  <r>
    <x v="2723"/>
    <x v="890"/>
  </r>
  <r>
    <x v="2724"/>
    <x v="699"/>
  </r>
  <r>
    <x v="2725"/>
    <x v="577"/>
  </r>
  <r>
    <x v="2726"/>
    <x v="323"/>
  </r>
  <r>
    <x v="2727"/>
    <x v="653"/>
  </r>
  <r>
    <x v="2728"/>
    <x v="1032"/>
  </r>
  <r>
    <x v="2729"/>
    <x v="132"/>
  </r>
  <r>
    <x v="2730"/>
    <x v="155"/>
  </r>
  <r>
    <x v="2731"/>
    <x v="607"/>
  </r>
  <r>
    <x v="2732"/>
    <x v="833"/>
  </r>
  <r>
    <x v="2733"/>
    <x v="701"/>
  </r>
  <r>
    <x v="2734"/>
    <x v="1011"/>
  </r>
  <r>
    <x v="2735"/>
    <x v="457"/>
  </r>
  <r>
    <x v="2736"/>
    <x v="577"/>
  </r>
  <r>
    <x v="2737"/>
    <x v="1022"/>
  </r>
  <r>
    <x v="2738"/>
    <x v="896"/>
  </r>
  <r>
    <x v="2739"/>
    <x v="22"/>
  </r>
  <r>
    <x v="2740"/>
    <x v="364"/>
  </r>
  <r>
    <x v="2741"/>
    <x v="506"/>
  </r>
  <r>
    <x v="2742"/>
    <x v="306"/>
  </r>
  <r>
    <x v="2743"/>
    <x v="67"/>
  </r>
  <r>
    <x v="2744"/>
    <x v="563"/>
  </r>
  <r>
    <x v="2745"/>
    <x v="97"/>
  </r>
  <r>
    <x v="2746"/>
    <x v="964"/>
  </r>
  <r>
    <x v="2747"/>
    <x v="805"/>
  </r>
  <r>
    <x v="2748"/>
    <x v="73"/>
  </r>
  <r>
    <x v="2749"/>
    <x v="2"/>
  </r>
  <r>
    <x v="2750"/>
    <x v="329"/>
  </r>
  <r>
    <x v="2751"/>
    <x v="73"/>
  </r>
  <r>
    <x v="2752"/>
    <x v="111"/>
  </r>
  <r>
    <x v="2753"/>
    <x v="246"/>
  </r>
  <r>
    <x v="2754"/>
    <x v="791"/>
  </r>
  <r>
    <x v="2755"/>
    <x v="907"/>
  </r>
  <r>
    <x v="2756"/>
    <x v="254"/>
  </r>
  <r>
    <x v="2757"/>
    <x v="991"/>
  </r>
  <r>
    <x v="2758"/>
    <x v="166"/>
  </r>
  <r>
    <x v="2759"/>
    <x v="197"/>
  </r>
  <r>
    <x v="2760"/>
    <x v="1044"/>
  </r>
  <r>
    <x v="2761"/>
    <x v="684"/>
  </r>
  <r>
    <x v="2762"/>
    <x v="661"/>
  </r>
  <r>
    <x v="2763"/>
    <x v="892"/>
  </r>
  <r>
    <x v="2764"/>
    <x v="291"/>
  </r>
  <r>
    <x v="2765"/>
    <x v="752"/>
  </r>
  <r>
    <x v="2766"/>
    <x v="871"/>
  </r>
  <r>
    <x v="2767"/>
    <x v="2"/>
  </r>
  <r>
    <x v="2768"/>
    <x v="521"/>
  </r>
  <r>
    <x v="2769"/>
    <x v="598"/>
  </r>
  <r>
    <x v="2770"/>
    <x v="753"/>
  </r>
  <r>
    <x v="2771"/>
    <x v="411"/>
  </r>
  <r>
    <x v="2772"/>
    <x v="665"/>
  </r>
  <r>
    <x v="2773"/>
    <x v="73"/>
  </r>
  <r>
    <x v="2774"/>
    <x v="890"/>
  </r>
  <r>
    <x v="2775"/>
    <x v="364"/>
  </r>
  <r>
    <x v="2776"/>
    <x v="504"/>
  </r>
  <r>
    <x v="2777"/>
    <x v="29"/>
  </r>
  <r>
    <x v="2778"/>
    <x v="805"/>
  </r>
  <r>
    <x v="2779"/>
    <x v="577"/>
  </r>
  <r>
    <x v="2780"/>
    <x v="742"/>
  </r>
  <r>
    <x v="2781"/>
    <x v="360"/>
  </r>
  <r>
    <x v="2782"/>
    <x v="387"/>
  </r>
  <r>
    <x v="2783"/>
    <x v="684"/>
  </r>
  <r>
    <x v="2784"/>
    <x v="784"/>
  </r>
  <r>
    <x v="2785"/>
    <x v="13"/>
  </r>
  <r>
    <x v="2786"/>
    <x v="833"/>
  </r>
  <r>
    <x v="2787"/>
    <x v="577"/>
  </r>
  <r>
    <x v="2788"/>
    <x v="166"/>
  </r>
  <r>
    <x v="2789"/>
    <x v="878"/>
  </r>
  <r>
    <x v="2790"/>
    <x v="452"/>
  </r>
  <r>
    <x v="2791"/>
    <x v="775"/>
  </r>
  <r>
    <x v="2792"/>
    <x v="627"/>
  </r>
  <r>
    <x v="2793"/>
    <x v="896"/>
  </r>
  <r>
    <x v="2794"/>
    <x v="878"/>
  </r>
  <r>
    <x v="2795"/>
    <x v="1011"/>
  </r>
  <r>
    <x v="2796"/>
    <x v="577"/>
  </r>
  <r>
    <x v="2797"/>
    <x v="728"/>
  </r>
  <r>
    <x v="2798"/>
    <x v="347"/>
  </r>
  <r>
    <x v="2799"/>
    <x v="462"/>
  </r>
  <r>
    <x v="2800"/>
    <x v="347"/>
  </r>
  <r>
    <x v="2801"/>
    <x v="642"/>
  </r>
  <r>
    <x v="2802"/>
    <x v="577"/>
  </r>
  <r>
    <x v="2803"/>
    <x v="329"/>
  </r>
  <r>
    <x v="2804"/>
    <x v="656"/>
  </r>
  <r>
    <x v="2805"/>
    <x v="700"/>
  </r>
  <r>
    <x v="2806"/>
    <x v="577"/>
  </r>
  <r>
    <x v="2807"/>
    <x v="107"/>
  </r>
  <r>
    <x v="2808"/>
    <x v="737"/>
  </r>
  <r>
    <x v="2809"/>
    <x v="847"/>
  </r>
  <r>
    <x v="2810"/>
    <x v="577"/>
  </r>
  <r>
    <x v="2811"/>
    <x v="623"/>
  </r>
  <r>
    <x v="2812"/>
    <x v="577"/>
  </r>
  <r>
    <x v="2813"/>
    <x v="99"/>
  </r>
  <r>
    <x v="2814"/>
    <x v="650"/>
  </r>
  <r>
    <x v="2815"/>
    <x v="200"/>
  </r>
  <r>
    <x v="2816"/>
    <x v="399"/>
  </r>
  <r>
    <x v="2817"/>
    <x v="104"/>
  </r>
  <r>
    <x v="2818"/>
    <x v="132"/>
  </r>
  <r>
    <x v="2819"/>
    <x v="911"/>
  </r>
  <r>
    <x v="2820"/>
    <x v="16"/>
  </r>
  <r>
    <x v="2821"/>
    <x v="499"/>
  </r>
  <r>
    <x v="2822"/>
    <x v="935"/>
  </r>
  <r>
    <x v="2823"/>
    <x v="387"/>
  </r>
  <r>
    <x v="2824"/>
    <x v="896"/>
  </r>
  <r>
    <x v="2825"/>
    <x v="387"/>
  </r>
  <r>
    <x v="2826"/>
    <x v="36"/>
  </r>
  <r>
    <x v="2827"/>
    <x v="577"/>
  </r>
  <r>
    <x v="2828"/>
    <x v="176"/>
  </r>
  <r>
    <x v="2829"/>
    <x v="282"/>
  </r>
  <r>
    <x v="2830"/>
    <x v="409"/>
  </r>
  <r>
    <x v="2831"/>
    <x v="231"/>
  </r>
  <r>
    <x v="2832"/>
    <x v="577"/>
  </r>
  <r>
    <x v="2833"/>
    <x v="386"/>
  </r>
  <r>
    <x v="2834"/>
    <x v="133"/>
  </r>
  <r>
    <x v="2835"/>
    <x v="905"/>
  </r>
  <r>
    <x v="2836"/>
    <x v="228"/>
  </r>
  <r>
    <x v="2837"/>
    <x v="73"/>
  </r>
  <r>
    <x v="2838"/>
    <x v="132"/>
  </r>
  <r>
    <x v="2839"/>
    <x v="945"/>
  </r>
  <r>
    <x v="2840"/>
    <x v="272"/>
  </r>
  <r>
    <x v="2841"/>
    <x v="456"/>
  </r>
  <r>
    <x v="2842"/>
    <x v="776"/>
  </r>
  <r>
    <x v="2843"/>
    <x v="474"/>
  </r>
  <r>
    <x v="2844"/>
    <x v="896"/>
  </r>
  <r>
    <x v="2845"/>
    <x v="390"/>
  </r>
  <r>
    <x v="2846"/>
    <x v="892"/>
  </r>
  <r>
    <x v="2847"/>
    <x v="598"/>
  </r>
  <r>
    <x v="2848"/>
    <x v="183"/>
  </r>
  <r>
    <x v="2849"/>
    <x v="145"/>
  </r>
  <r>
    <x v="2850"/>
    <x v="893"/>
  </r>
  <r>
    <x v="2851"/>
    <x v="905"/>
  </r>
  <r>
    <x v="2852"/>
    <x v="721"/>
  </r>
  <r>
    <x v="2853"/>
    <x v="577"/>
  </r>
  <r>
    <x v="2854"/>
    <x v="641"/>
  </r>
  <r>
    <x v="2855"/>
    <x v="573"/>
  </r>
  <r>
    <x v="2856"/>
    <x v="577"/>
  </r>
  <r>
    <x v="2857"/>
    <x v="685"/>
  </r>
  <r>
    <x v="2858"/>
    <x v="756"/>
  </r>
  <r>
    <x v="2859"/>
    <x v="328"/>
  </r>
  <r>
    <x v="2860"/>
    <x v="162"/>
  </r>
  <r>
    <x v="2861"/>
    <x v="888"/>
  </r>
  <r>
    <x v="2862"/>
    <x v="680"/>
  </r>
  <r>
    <x v="2863"/>
    <x v="577"/>
  </r>
  <r>
    <x v="2865"/>
    <x v="527"/>
  </r>
  <r>
    <x v="2866"/>
    <x v="307"/>
  </r>
  <r>
    <x v="2867"/>
    <x v="267"/>
  </r>
  <r>
    <x v="2868"/>
    <x v="934"/>
  </r>
  <r>
    <x v="2869"/>
    <x v="446"/>
  </r>
  <r>
    <x v="2864"/>
    <x v="934"/>
  </r>
  <r>
    <x v="2870"/>
    <x v="865"/>
  </r>
  <r>
    <x v="2871"/>
    <x v="470"/>
  </r>
  <r>
    <x v="2872"/>
    <x v="495"/>
  </r>
  <r>
    <x v="2873"/>
    <x v="868"/>
  </r>
  <r>
    <x v="2874"/>
    <x v="321"/>
  </r>
  <r>
    <x v="2875"/>
    <x v="364"/>
  </r>
  <r>
    <x v="2876"/>
    <x v="771"/>
  </r>
  <r>
    <x v="2877"/>
    <x v="731"/>
  </r>
  <r>
    <x v="2878"/>
    <x v="317"/>
  </r>
  <r>
    <x v="2879"/>
    <x v="152"/>
  </r>
  <r>
    <x v="2880"/>
    <x v="544"/>
  </r>
  <r>
    <x v="2881"/>
    <x v="422"/>
  </r>
  <r>
    <x v="2882"/>
    <x v="544"/>
  </r>
  <r>
    <x v="2883"/>
    <x v="26"/>
  </r>
  <r>
    <x v="2884"/>
    <x v="824"/>
  </r>
  <r>
    <x v="2885"/>
    <x v="197"/>
  </r>
  <r>
    <x v="2886"/>
    <x v="859"/>
  </r>
  <r>
    <x v="2887"/>
    <x v="716"/>
  </r>
  <r>
    <x v="2888"/>
    <x v="964"/>
  </r>
  <r>
    <x v="2889"/>
    <x v="147"/>
  </r>
  <r>
    <x v="2890"/>
    <x v="860"/>
  </r>
  <r>
    <x v="2891"/>
    <x v="471"/>
  </r>
  <r>
    <x v="2892"/>
    <x v="471"/>
  </r>
  <r>
    <x v="2893"/>
    <x v="935"/>
  </r>
  <r>
    <x v="2894"/>
    <x v="989"/>
  </r>
  <r>
    <x v="2895"/>
    <x v="700"/>
  </r>
  <r>
    <x v="2896"/>
    <x v="913"/>
  </r>
  <r>
    <x v="2897"/>
    <x v="1045"/>
  </r>
  <r>
    <x v="2898"/>
    <x v="544"/>
  </r>
  <r>
    <x v="2899"/>
    <x v="0"/>
  </r>
  <r>
    <x v="2900"/>
    <x v="577"/>
  </r>
  <r>
    <x v="2901"/>
    <x v="896"/>
  </r>
  <r>
    <x v="2902"/>
    <x v="577"/>
  </r>
  <r>
    <x v="2903"/>
    <x v="387"/>
  </r>
  <r>
    <x v="2904"/>
    <x v="408"/>
  </r>
  <r>
    <x v="2905"/>
    <x v="577"/>
  </r>
  <r>
    <x v="2906"/>
    <x v="453"/>
  </r>
  <r>
    <x v="2907"/>
    <x v="385"/>
  </r>
  <r>
    <x v="2908"/>
    <x v="359"/>
  </r>
  <r>
    <x v="2909"/>
    <x v="607"/>
  </r>
  <r>
    <x v="2910"/>
    <x v="577"/>
  </r>
  <r>
    <x v="2911"/>
    <x v="0"/>
  </r>
  <r>
    <x v="2912"/>
    <x v="577"/>
  </r>
  <r>
    <x v="2913"/>
    <x v="577"/>
  </r>
  <r>
    <x v="2914"/>
    <x v="387"/>
  </r>
  <r>
    <x v="2915"/>
    <x v="231"/>
  </r>
  <r>
    <x v="2916"/>
    <x v="661"/>
  </r>
  <r>
    <x v="2917"/>
    <x v="97"/>
  </r>
  <r>
    <x v="2919"/>
    <x v="577"/>
  </r>
  <r>
    <x v="2920"/>
    <x v="38"/>
  </r>
  <r>
    <x v="2921"/>
    <x v="320"/>
  </r>
  <r>
    <x v="2922"/>
    <x v="1022"/>
  </r>
  <r>
    <x v="2923"/>
    <x v="632"/>
  </r>
  <r>
    <x v="2924"/>
    <x v="833"/>
  </r>
  <r>
    <x v="2925"/>
    <x v="658"/>
  </r>
  <r>
    <x v="2926"/>
    <x v="1030"/>
  </r>
  <r>
    <x v="2927"/>
    <x v="132"/>
  </r>
  <r>
    <x v="2928"/>
    <x v="769"/>
  </r>
  <r>
    <x v="2929"/>
    <x v="779"/>
  </r>
  <r>
    <x v="2930"/>
    <x v="577"/>
  </r>
  <r>
    <x v="2931"/>
    <x v="857"/>
  </r>
  <r>
    <x v="2932"/>
    <x v="357"/>
  </r>
  <r>
    <x v="2933"/>
    <x v="36"/>
  </r>
  <r>
    <x v="2934"/>
    <x v="109"/>
  </r>
  <r>
    <x v="2935"/>
    <x v="219"/>
  </r>
  <r>
    <x v="2936"/>
    <x v="661"/>
  </r>
  <r>
    <x v="2937"/>
    <x v="799"/>
  </r>
  <r>
    <x v="2938"/>
    <x v="577"/>
  </r>
  <r>
    <x v="2939"/>
    <x v="890"/>
  </r>
  <r>
    <x v="2940"/>
    <x v="577"/>
  </r>
  <r>
    <x v="2941"/>
    <x v="364"/>
  </r>
  <r>
    <x v="2942"/>
    <x v="73"/>
  </r>
  <r>
    <x v="2943"/>
    <x v="738"/>
  </r>
  <r>
    <x v="2944"/>
    <x v="107"/>
  </r>
  <r>
    <x v="2945"/>
    <x v="449"/>
  </r>
  <r>
    <x v="2946"/>
    <x v="352"/>
  </r>
  <r>
    <x v="2947"/>
    <x v="577"/>
  </r>
  <r>
    <x v="2948"/>
    <x v="22"/>
  </r>
  <r>
    <x v="2949"/>
    <x v="387"/>
  </r>
  <r>
    <x v="2950"/>
    <x v="735"/>
  </r>
  <r>
    <x v="2951"/>
    <x v="1008"/>
  </r>
  <r>
    <x v="2952"/>
    <x v="0"/>
  </r>
  <r>
    <x v="2953"/>
    <x v="994"/>
  </r>
  <r>
    <x v="2954"/>
    <x v="73"/>
  </r>
  <r>
    <x v="2955"/>
    <x v="323"/>
  </r>
  <r>
    <x v="2956"/>
    <x v="577"/>
  </r>
  <r>
    <x v="2957"/>
    <x v="736"/>
  </r>
  <r>
    <x v="2958"/>
    <x v="872"/>
  </r>
  <r>
    <x v="2959"/>
    <x v="709"/>
  </r>
  <r>
    <x v="2960"/>
    <x v="101"/>
  </r>
  <r>
    <x v="2961"/>
    <x v="544"/>
  </r>
  <r>
    <x v="2962"/>
    <x v="568"/>
  </r>
  <r>
    <x v="2963"/>
    <x v="577"/>
  </r>
  <r>
    <x v="2964"/>
    <x v="607"/>
  </r>
  <r>
    <x v="2965"/>
    <x v="1"/>
  </r>
  <r>
    <x v="2966"/>
    <x v="577"/>
  </r>
  <r>
    <x v="2967"/>
    <x v="191"/>
  </r>
  <r>
    <x v="2968"/>
    <x v="577"/>
  </r>
  <r>
    <x v="2969"/>
    <x v="577"/>
  </r>
  <r>
    <x v="2970"/>
    <x v="2"/>
  </r>
  <r>
    <x v="2971"/>
    <x v="653"/>
  </r>
  <r>
    <x v="2972"/>
    <x v="57"/>
  </r>
  <r>
    <x v="2973"/>
    <x v="298"/>
  </r>
  <r>
    <x v="2974"/>
    <x v="1017"/>
  </r>
  <r>
    <x v="2975"/>
    <x v="459"/>
  </r>
  <r>
    <x v="2976"/>
    <x v="181"/>
  </r>
  <r>
    <x v="2977"/>
    <x v="782"/>
  </r>
  <r>
    <x v="2978"/>
    <x v="73"/>
  </r>
  <r>
    <x v="2979"/>
    <x v="557"/>
  </r>
  <r>
    <x v="2980"/>
    <x v="577"/>
  </r>
  <r>
    <x v="2981"/>
    <x v="187"/>
  </r>
  <r>
    <x v="2982"/>
    <x v="824"/>
  </r>
  <r>
    <x v="2983"/>
    <x v="546"/>
  </r>
  <r>
    <x v="2984"/>
    <x v="805"/>
  </r>
  <r>
    <x v="2985"/>
    <x v="544"/>
  </r>
  <r>
    <x v="2986"/>
    <x v="387"/>
  </r>
  <r>
    <x v="2987"/>
    <x v="732"/>
  </r>
  <r>
    <x v="2988"/>
    <x v="177"/>
  </r>
  <r>
    <x v="2989"/>
    <x v="577"/>
  </r>
  <r>
    <x v="2990"/>
    <x v="347"/>
  </r>
  <r>
    <x v="2991"/>
    <x v="591"/>
  </r>
  <r>
    <x v="2992"/>
    <x v="382"/>
  </r>
  <r>
    <x v="2993"/>
    <x v="727"/>
  </r>
  <r>
    <x v="2994"/>
    <x v="138"/>
  </r>
  <r>
    <x v="2995"/>
    <x v="577"/>
  </r>
  <r>
    <x v="2996"/>
    <x v="1045"/>
  </r>
  <r>
    <x v="2997"/>
    <x v="577"/>
  </r>
  <r>
    <x v="2998"/>
    <x v="577"/>
  </r>
  <r>
    <x v="2999"/>
    <x v="577"/>
  </r>
  <r>
    <x v="3000"/>
    <x v="577"/>
  </r>
  <r>
    <x v="3001"/>
    <x v="544"/>
  </r>
  <r>
    <x v="3002"/>
    <x v="378"/>
  </r>
  <r>
    <x v="3003"/>
    <x v="40"/>
  </r>
  <r>
    <x v="3004"/>
    <x v="612"/>
  </r>
  <r>
    <x v="3005"/>
    <x v="978"/>
  </r>
  <r>
    <x v="3006"/>
    <x v="852"/>
  </r>
  <r>
    <x v="3007"/>
    <x v="110"/>
  </r>
  <r>
    <x v="3008"/>
    <x v="0"/>
  </r>
  <r>
    <x v="3009"/>
    <x v="577"/>
  </r>
  <r>
    <x v="3010"/>
    <x v="0"/>
  </r>
  <r>
    <x v="3011"/>
    <x v="121"/>
  </r>
  <r>
    <x v="3012"/>
    <x v="453"/>
  </r>
  <r>
    <x v="3013"/>
    <x v="698"/>
  </r>
  <r>
    <x v="3014"/>
    <x v="1022"/>
  </r>
  <r>
    <x v="3015"/>
    <x v="729"/>
  </r>
  <r>
    <x v="3016"/>
    <x v="922"/>
  </r>
  <r>
    <x v="3017"/>
    <x v="298"/>
  </r>
  <r>
    <x v="3018"/>
    <x v="762"/>
  </r>
  <r>
    <x v="3019"/>
    <x v="117"/>
  </r>
  <r>
    <x v="3020"/>
    <x v="404"/>
  </r>
  <r>
    <x v="3021"/>
    <x v="186"/>
  </r>
  <r>
    <x v="3022"/>
    <x v="55"/>
  </r>
  <r>
    <x v="3023"/>
    <x v="698"/>
  </r>
  <r>
    <x v="3024"/>
    <x v="924"/>
  </r>
  <r>
    <x v="3025"/>
    <x v="247"/>
  </r>
  <r>
    <x v="3026"/>
    <x v="16"/>
  </r>
  <r>
    <x v="3027"/>
    <x v="16"/>
  </r>
  <r>
    <x v="3028"/>
    <x v="112"/>
  </r>
  <r>
    <x v="3029"/>
    <x v="991"/>
  </r>
  <r>
    <x v="3030"/>
    <x v="577"/>
  </r>
  <r>
    <x v="3031"/>
    <x v="944"/>
  </r>
  <r>
    <x v="3032"/>
    <x v="559"/>
  </r>
  <r>
    <x v="3033"/>
    <x v="577"/>
  </r>
  <r>
    <x v="3034"/>
    <x v="577"/>
  </r>
  <r>
    <x v="3035"/>
    <x v="291"/>
  </r>
  <r>
    <x v="3036"/>
    <x v="478"/>
  </r>
  <r>
    <x v="3037"/>
    <x v="872"/>
  </r>
  <r>
    <x v="3038"/>
    <x v="446"/>
  </r>
  <r>
    <x v="3039"/>
    <x v="352"/>
  </r>
  <r>
    <x v="3040"/>
    <x v="921"/>
  </r>
  <r>
    <x v="3041"/>
    <x v="351"/>
  </r>
  <r>
    <x v="3042"/>
    <x v="544"/>
  </r>
  <r>
    <x v="3043"/>
    <x v="112"/>
  </r>
  <r>
    <x v="3044"/>
    <x v="567"/>
  </r>
  <r>
    <x v="2918"/>
    <x v="329"/>
  </r>
  <r>
    <x v="3045"/>
    <x v="837"/>
  </r>
  <r>
    <x v="3046"/>
    <x v="905"/>
  </r>
  <r>
    <x v="3047"/>
    <x v="319"/>
  </r>
  <r>
    <x v="3048"/>
    <x v="833"/>
  </r>
  <r>
    <x v="3049"/>
    <x v="577"/>
  </r>
  <r>
    <x v="3050"/>
    <x v="577"/>
  </r>
  <r>
    <x v="3051"/>
    <x v="121"/>
  </r>
  <r>
    <x v="3052"/>
    <x v="0"/>
  </r>
  <r>
    <x v="3053"/>
    <x v="921"/>
  </r>
  <r>
    <x v="3054"/>
    <x v="414"/>
  </r>
  <r>
    <x v="3055"/>
    <x v="220"/>
  </r>
  <r>
    <x v="3056"/>
    <x v="969"/>
  </r>
  <r>
    <x v="3057"/>
    <x v="454"/>
  </r>
  <r>
    <x v="3058"/>
    <x v="742"/>
  </r>
  <r>
    <x v="3059"/>
    <x v="166"/>
  </r>
  <r>
    <x v="3060"/>
    <x v="551"/>
  </r>
  <r>
    <x v="3061"/>
    <x v="577"/>
  </r>
  <r>
    <x v="3062"/>
    <x v="865"/>
  </r>
  <r>
    <x v="3063"/>
    <x v="577"/>
  </r>
  <r>
    <x v="3064"/>
    <x v="577"/>
  </r>
  <r>
    <x v="3065"/>
    <x v="577"/>
  </r>
  <r>
    <x v="3066"/>
    <x v="348"/>
  </r>
  <r>
    <x v="3067"/>
    <x v="861"/>
  </r>
  <r>
    <x v="3068"/>
    <x v="450"/>
  </r>
  <r>
    <x v="3069"/>
    <x v="577"/>
  </r>
  <r>
    <x v="3070"/>
    <x v="577"/>
  </r>
  <r>
    <x v="3071"/>
    <x v="0"/>
  </r>
  <r>
    <x v="3072"/>
    <x v="577"/>
  </r>
  <r>
    <x v="3073"/>
    <x v="31"/>
  </r>
  <r>
    <x v="3074"/>
    <x v="577"/>
  </r>
  <r>
    <x v="3075"/>
    <x v="577"/>
  </r>
  <r>
    <x v="3076"/>
    <x v="704"/>
  </r>
  <r>
    <x v="3078"/>
    <x v="1025"/>
  </r>
  <r>
    <x v="3079"/>
    <x v="202"/>
  </r>
  <r>
    <x v="3080"/>
    <x v="577"/>
  </r>
  <r>
    <x v="3077"/>
    <x v="577"/>
  </r>
  <r>
    <x v="3081"/>
    <x v="742"/>
  </r>
  <r>
    <x v="3082"/>
    <x v="936"/>
  </r>
  <r>
    <x v="3083"/>
    <x v="847"/>
  </r>
  <r>
    <x v="3084"/>
    <x v="256"/>
  </r>
  <r>
    <x v="3085"/>
    <x v="590"/>
  </r>
  <r>
    <x v="3086"/>
    <x v="683"/>
  </r>
  <r>
    <x v="3087"/>
    <x v="658"/>
  </r>
  <r>
    <x v="3088"/>
    <x v="684"/>
  </r>
  <r>
    <x v="3089"/>
    <x v="684"/>
  </r>
  <r>
    <x v="3090"/>
    <x v="658"/>
  </r>
  <r>
    <x v="3091"/>
    <x v="381"/>
  </r>
  <r>
    <x v="3092"/>
    <x v="166"/>
  </r>
  <r>
    <x v="3093"/>
    <x v="567"/>
  </r>
  <r>
    <x v="3094"/>
    <x v="186"/>
  </r>
  <r>
    <x v="3095"/>
    <x v="689"/>
  </r>
  <r>
    <x v="3096"/>
    <x v="577"/>
  </r>
  <r>
    <x v="3097"/>
    <x v="684"/>
  </r>
  <r>
    <x v="3098"/>
    <x v="824"/>
  </r>
  <r>
    <x v="3099"/>
    <x v="947"/>
  </r>
  <r>
    <x v="3100"/>
    <x v="577"/>
  </r>
  <r>
    <x v="3101"/>
    <x v="187"/>
  </r>
  <r>
    <x v="3102"/>
    <x v="837"/>
  </r>
  <r>
    <x v="3103"/>
    <x v="588"/>
  </r>
  <r>
    <x v="3104"/>
    <x v="847"/>
  </r>
  <r>
    <x v="3105"/>
    <x v="842"/>
  </r>
  <r>
    <x v="3106"/>
    <x v="478"/>
  </r>
  <r>
    <x v="3107"/>
    <x v="577"/>
  </r>
  <r>
    <x v="3108"/>
    <x v="107"/>
  </r>
  <r>
    <x v="3109"/>
    <x v="577"/>
  </r>
  <r>
    <x v="3110"/>
    <x v="132"/>
  </r>
  <r>
    <x v="3111"/>
    <x v="16"/>
  </r>
  <r>
    <x v="3112"/>
    <x v="952"/>
  </r>
  <r>
    <x v="3113"/>
    <x v="928"/>
  </r>
  <r>
    <x v="3114"/>
    <x v="840"/>
  </r>
  <r>
    <x v="3115"/>
    <x v="818"/>
  </r>
  <r>
    <x v="3116"/>
    <x v="531"/>
  </r>
  <r>
    <x v="3117"/>
    <x v="421"/>
  </r>
  <r>
    <x v="3118"/>
    <x v="872"/>
  </r>
  <r>
    <x v="3119"/>
    <x v="462"/>
  </r>
  <r>
    <x v="3120"/>
    <x v="73"/>
  </r>
  <r>
    <x v="3121"/>
    <x v="577"/>
  </r>
  <r>
    <x v="3122"/>
    <x v="423"/>
  </r>
  <r>
    <x v="3123"/>
    <x v="0"/>
  </r>
  <r>
    <x v="3124"/>
    <x v="130"/>
  </r>
  <r>
    <x v="3125"/>
    <x v="387"/>
  </r>
  <r>
    <x v="3126"/>
    <x v="124"/>
  </r>
  <r>
    <x v="3127"/>
    <x v="205"/>
  </r>
  <r>
    <x v="3128"/>
    <x v="870"/>
  </r>
  <r>
    <x v="3129"/>
    <x v="837"/>
  </r>
  <r>
    <x v="3130"/>
    <x v="594"/>
  </r>
  <r>
    <x v="3134"/>
    <x v="577"/>
  </r>
  <r>
    <x v="3131"/>
    <x v="24"/>
  </r>
  <r>
    <x v="3132"/>
    <x v="183"/>
  </r>
  <r>
    <x v="3133"/>
    <x v="742"/>
  </r>
  <r>
    <x v="3135"/>
    <x v="546"/>
  </r>
  <r>
    <x v="3136"/>
    <x v="896"/>
  </r>
  <r>
    <x v="3137"/>
    <x v="577"/>
  </r>
  <r>
    <x v="3138"/>
    <x v="387"/>
  </r>
  <r>
    <x v="3139"/>
    <x v="187"/>
  </r>
  <r>
    <x v="3140"/>
    <x v="307"/>
  </r>
  <r>
    <x v="3141"/>
    <x v="506"/>
  </r>
  <r>
    <x v="3142"/>
    <x v="707"/>
  </r>
  <r>
    <x v="3143"/>
    <x v="544"/>
  </r>
  <r>
    <x v="3144"/>
    <x v="633"/>
  </r>
  <r>
    <x v="3145"/>
    <x v="329"/>
  </r>
  <r>
    <x v="3146"/>
    <x v="152"/>
  </r>
  <r>
    <x v="3147"/>
    <x v="387"/>
  </r>
  <r>
    <x v="3148"/>
    <x v="493"/>
  </r>
  <r>
    <x v="3149"/>
    <x v="890"/>
  </r>
  <r>
    <x v="3150"/>
    <x v="36"/>
  </r>
  <r>
    <x v="3151"/>
    <x v="839"/>
  </r>
  <r>
    <x v="3152"/>
    <x v="648"/>
  </r>
  <r>
    <x v="3153"/>
    <x v="286"/>
  </r>
  <r>
    <x v="3154"/>
    <x v="166"/>
  </r>
  <r>
    <x v="3155"/>
    <x v="123"/>
  </r>
  <r>
    <x v="3156"/>
    <x v="684"/>
  </r>
  <r>
    <x v="3157"/>
    <x v="357"/>
  </r>
  <r>
    <x v="3158"/>
    <x v="245"/>
  </r>
  <r>
    <x v="3159"/>
    <x v="882"/>
  </r>
  <r>
    <x v="3160"/>
    <x v="919"/>
  </r>
  <r>
    <x v="3161"/>
    <x v="1044"/>
  </r>
  <r>
    <x v="3162"/>
    <x v="235"/>
  </r>
  <r>
    <x v="3163"/>
    <x v="606"/>
  </r>
  <r>
    <x v="3164"/>
    <x v="685"/>
  </r>
  <r>
    <x v="3165"/>
    <x v="978"/>
  </r>
  <r>
    <x v="3166"/>
    <x v="577"/>
  </r>
  <r>
    <x v="3167"/>
    <x v="868"/>
  </r>
  <r>
    <x v="3168"/>
    <x v="330"/>
  </r>
  <r>
    <x v="3169"/>
    <x v="387"/>
  </r>
  <r>
    <x v="3170"/>
    <x v="941"/>
  </r>
  <r>
    <x v="3171"/>
    <x v="391"/>
  </r>
  <r>
    <x v="3172"/>
    <x v="499"/>
  </r>
  <r>
    <x v="3173"/>
    <x v="132"/>
  </r>
  <r>
    <x v="3174"/>
    <x v="782"/>
  </r>
  <r>
    <x v="3175"/>
    <x v="995"/>
  </r>
  <r>
    <x v="3176"/>
    <x v="495"/>
  </r>
  <r>
    <x v="3177"/>
    <x v="819"/>
  </r>
  <r>
    <x v="3178"/>
    <x v="684"/>
  </r>
  <r>
    <x v="3179"/>
    <x v="187"/>
  </r>
  <r>
    <x v="3180"/>
    <x v="97"/>
  </r>
  <r>
    <x v="3181"/>
    <x v="1044"/>
  </r>
  <r>
    <x v="3182"/>
    <x v="676"/>
  </r>
  <r>
    <x v="3183"/>
    <x v="544"/>
  </r>
  <r>
    <x v="3184"/>
    <x v="534"/>
  </r>
  <r>
    <x v="3185"/>
    <x v="752"/>
  </r>
  <r>
    <x v="3186"/>
    <x v="515"/>
  </r>
  <r>
    <x v="3187"/>
    <x v="198"/>
  </r>
  <r>
    <x v="3188"/>
    <x v="577"/>
  </r>
  <r>
    <x v="3189"/>
    <x v="763"/>
  </r>
  <r>
    <x v="3190"/>
    <x v="277"/>
  </r>
  <r>
    <x v="3191"/>
    <x v="576"/>
  </r>
  <r>
    <x v="3192"/>
    <x v="963"/>
  </r>
  <r>
    <x v="3193"/>
    <x v="886"/>
  </r>
  <r>
    <x v="3194"/>
    <x v="151"/>
  </r>
  <r>
    <x v="3195"/>
    <x v="855"/>
  </r>
  <r>
    <x v="3196"/>
    <x v="56"/>
  </r>
  <r>
    <x v="3197"/>
    <x v="479"/>
  </r>
  <r>
    <x v="3198"/>
    <x v="835"/>
  </r>
  <r>
    <x v="3199"/>
    <x v="896"/>
  </r>
  <r>
    <x v="3200"/>
    <x v="608"/>
  </r>
  <r>
    <x v="3201"/>
    <x v="546"/>
  </r>
  <r>
    <x v="3202"/>
    <x v="430"/>
  </r>
  <r>
    <x v="3203"/>
    <x v="615"/>
  </r>
  <r>
    <x v="3204"/>
    <x v="197"/>
  </r>
  <r>
    <x v="3205"/>
    <x v="577"/>
  </r>
  <r>
    <x v="3206"/>
    <x v="152"/>
  </r>
  <r>
    <x v="3207"/>
    <x v="1000"/>
  </r>
  <r>
    <x v="3208"/>
    <x v="544"/>
  </r>
  <r>
    <x v="3209"/>
    <x v="132"/>
  </r>
  <r>
    <x v="3210"/>
    <x v="200"/>
  </r>
  <r>
    <x v="3211"/>
    <x v="884"/>
  </r>
  <r>
    <x v="3212"/>
    <x v="387"/>
  </r>
  <r>
    <x v="3213"/>
    <x v="932"/>
  </r>
  <r>
    <x v="3214"/>
    <x v="92"/>
  </r>
  <r>
    <x v="3215"/>
    <x v="889"/>
  </r>
  <r>
    <x v="3216"/>
    <x v="354"/>
  </r>
  <r>
    <x v="3217"/>
    <x v="712"/>
  </r>
  <r>
    <x v="3218"/>
    <x v="965"/>
  </r>
  <r>
    <x v="3219"/>
    <x v="946"/>
  </r>
  <r>
    <x v="3220"/>
    <x v="684"/>
  </r>
  <r>
    <x v="3221"/>
    <x v="154"/>
  </r>
  <r>
    <x v="3222"/>
    <x v="321"/>
  </r>
  <r>
    <x v="3223"/>
    <x v="197"/>
  </r>
  <r>
    <x v="3224"/>
    <x v="291"/>
  </r>
  <r>
    <x v="3225"/>
    <x v="685"/>
  </r>
  <r>
    <x v="3226"/>
    <x v="329"/>
  </r>
  <r>
    <x v="3227"/>
    <x v="577"/>
  </r>
  <r>
    <x v="3228"/>
    <x v="577"/>
  </r>
  <r>
    <x v="3229"/>
    <x v="166"/>
  </r>
  <r>
    <x v="3230"/>
    <x v="577"/>
  </r>
  <r>
    <x v="3231"/>
    <x v="833"/>
  </r>
  <r>
    <x v="3232"/>
    <x v="577"/>
  </r>
  <r>
    <x v="3233"/>
    <x v="0"/>
  </r>
  <r>
    <x v="3234"/>
    <x v="892"/>
  </r>
  <r>
    <x v="3235"/>
    <x v="247"/>
  </r>
  <r>
    <x v="3236"/>
    <x v="897"/>
  </r>
  <r>
    <x v="3237"/>
    <x v="675"/>
  </r>
  <r>
    <x v="3238"/>
    <x v="145"/>
  </r>
  <r>
    <x v="3239"/>
    <x v="0"/>
  </r>
  <r>
    <x v="3240"/>
    <x v="920"/>
  </r>
  <r>
    <x v="3241"/>
    <x v="495"/>
  </r>
  <r>
    <x v="3242"/>
    <x v="963"/>
  </r>
  <r>
    <x v="3243"/>
    <x v="546"/>
  </r>
  <r>
    <x v="3244"/>
    <x v="767"/>
  </r>
  <r>
    <x v="3245"/>
    <x v="329"/>
  </r>
  <r>
    <x v="3246"/>
    <x v="577"/>
  </r>
  <r>
    <x v="3247"/>
    <x v="139"/>
  </r>
  <r>
    <x v="3248"/>
    <x v="0"/>
  </r>
  <r>
    <x v="3249"/>
    <x v="577"/>
  </r>
  <r>
    <x v="3250"/>
    <x v="882"/>
  </r>
  <r>
    <x v="3251"/>
    <x v="551"/>
  </r>
  <r>
    <x v="3252"/>
    <x v="295"/>
  </r>
  <r>
    <x v="3253"/>
    <x v="248"/>
  </r>
  <r>
    <x v="3254"/>
    <x v="577"/>
  </r>
  <r>
    <x v="3255"/>
    <x v="229"/>
  </r>
  <r>
    <x v="3256"/>
    <x v="577"/>
  </r>
  <r>
    <x v="3257"/>
    <x v="577"/>
  </r>
  <r>
    <x v="3258"/>
    <x v="323"/>
  </r>
  <r>
    <x v="3259"/>
    <x v="186"/>
  </r>
  <r>
    <x v="3260"/>
    <x v="567"/>
  </r>
  <r>
    <x v="3261"/>
    <x v="51"/>
  </r>
  <r>
    <x v="3262"/>
    <x v="73"/>
  </r>
  <r>
    <x v="3263"/>
    <x v="865"/>
  </r>
  <r>
    <x v="3264"/>
    <x v="128"/>
  </r>
  <r>
    <x v="3265"/>
    <x v="73"/>
  </r>
  <r>
    <x v="3266"/>
    <x v="124"/>
  </r>
  <r>
    <x v="3267"/>
    <x v="670"/>
  </r>
  <r>
    <x v="3268"/>
    <x v="387"/>
  </r>
  <r>
    <x v="3269"/>
    <x v="131"/>
  </r>
  <r>
    <x v="3270"/>
    <x v="0"/>
  </r>
  <r>
    <x v="3271"/>
    <x v="753"/>
  </r>
  <r>
    <x v="3272"/>
    <x v="1001"/>
  </r>
  <r>
    <x v="3273"/>
    <x v="197"/>
  </r>
  <r>
    <x v="3274"/>
    <x v="329"/>
  </r>
  <r>
    <x v="3275"/>
    <x v="2"/>
  </r>
  <r>
    <x v="3276"/>
    <x v="407"/>
  </r>
  <r>
    <x v="3277"/>
    <x v="392"/>
  </r>
  <r>
    <x v="3278"/>
    <x v="360"/>
  </r>
  <r>
    <x v="3279"/>
    <x v="926"/>
  </r>
  <r>
    <x v="3280"/>
    <x v="453"/>
  </r>
  <r>
    <x v="3281"/>
    <x v="0"/>
  </r>
  <r>
    <x v="3282"/>
    <x v="329"/>
  </r>
  <r>
    <x v="3283"/>
    <x v="493"/>
  </r>
  <r>
    <x v="3284"/>
    <x v="496"/>
  </r>
  <r>
    <x v="3285"/>
    <x v="734"/>
  </r>
  <r>
    <x v="3286"/>
    <x v="780"/>
  </r>
  <r>
    <x v="3287"/>
    <x v="613"/>
  </r>
  <r>
    <x v="3288"/>
    <x v="813"/>
  </r>
  <r>
    <x v="3289"/>
    <x v="329"/>
  </r>
  <r>
    <x v="3290"/>
    <x v="259"/>
  </r>
  <r>
    <x v="3291"/>
    <x v="455"/>
  </r>
  <r>
    <x v="3292"/>
    <x v="844"/>
  </r>
  <r>
    <x v="3293"/>
    <x v="73"/>
  </r>
  <r>
    <x v="3294"/>
    <x v="735"/>
  </r>
  <r>
    <x v="3295"/>
    <x v="306"/>
  </r>
  <r>
    <x v="3296"/>
    <x v="702"/>
  </r>
  <r>
    <x v="3297"/>
    <x v="1028"/>
  </r>
  <r>
    <x v="3298"/>
    <x v="398"/>
  </r>
  <r>
    <x v="3299"/>
    <x v="392"/>
  </r>
  <r>
    <x v="3300"/>
    <x v="685"/>
  </r>
  <r>
    <x v="3301"/>
    <x v="902"/>
  </r>
  <r>
    <x v="3302"/>
    <x v="577"/>
  </r>
  <r>
    <x v="3303"/>
    <x v="624"/>
  </r>
  <r>
    <x v="3304"/>
    <x v="185"/>
  </r>
  <r>
    <x v="3305"/>
    <x v="577"/>
  </r>
  <r>
    <x v="3306"/>
    <x v="191"/>
  </r>
  <r>
    <x v="3307"/>
    <x v="807"/>
  </r>
  <r>
    <x v="3308"/>
    <x v="577"/>
  </r>
  <r>
    <x v="3309"/>
    <x v="577"/>
  </r>
  <r>
    <x v="3310"/>
    <x v="726"/>
  </r>
  <r>
    <x v="3311"/>
    <x v="917"/>
  </r>
  <r>
    <x v="3312"/>
    <x v="132"/>
  </r>
  <r>
    <x v="3313"/>
    <x v="878"/>
  </r>
  <r>
    <x v="3314"/>
    <x v="764"/>
  </r>
  <r>
    <x v="3315"/>
    <x v="992"/>
  </r>
  <r>
    <x v="3316"/>
    <x v="295"/>
  </r>
  <r>
    <x v="3317"/>
    <x v="114"/>
  </r>
  <r>
    <x v="3318"/>
    <x v="577"/>
  </r>
  <r>
    <x v="3319"/>
    <x v="997"/>
  </r>
  <r>
    <x v="3320"/>
    <x v="1028"/>
  </r>
  <r>
    <x v="3321"/>
    <x v="577"/>
  </r>
  <r>
    <x v="3322"/>
    <x v="685"/>
  </r>
  <r>
    <x v="3323"/>
    <x v="697"/>
  </r>
  <r>
    <x v="3324"/>
    <x v="1006"/>
  </r>
  <r>
    <x v="3325"/>
    <x v="436"/>
  </r>
  <r>
    <x v="3326"/>
    <x v="805"/>
  </r>
  <r>
    <x v="3327"/>
    <x v="577"/>
  </r>
  <r>
    <x v="3328"/>
    <x v="966"/>
  </r>
  <r>
    <x v="3329"/>
    <x v="829"/>
  </r>
  <r>
    <x v="3330"/>
    <x v="306"/>
  </r>
  <r>
    <x v="3331"/>
    <x v="607"/>
  </r>
  <r>
    <x v="3332"/>
    <x v="577"/>
  </r>
  <r>
    <x v="3333"/>
    <x v="680"/>
  </r>
  <r>
    <x v="3334"/>
    <x v="97"/>
  </r>
  <r>
    <x v="3335"/>
    <x v="720"/>
  </r>
  <r>
    <x v="3336"/>
    <x v="107"/>
  </r>
  <r>
    <x v="3337"/>
    <x v="577"/>
  </r>
  <r>
    <x v="3338"/>
    <x v="79"/>
  </r>
  <r>
    <x v="3339"/>
    <x v="577"/>
  </r>
  <r>
    <x v="3340"/>
    <x v="607"/>
  </r>
  <r>
    <x v="3341"/>
    <x v="581"/>
  </r>
  <r>
    <x v="3342"/>
    <x v="191"/>
  </r>
  <r>
    <x v="3343"/>
    <x v="509"/>
  </r>
  <r>
    <x v="3344"/>
    <x v="680"/>
  </r>
  <r>
    <x v="3345"/>
    <x v="60"/>
  </r>
  <r>
    <x v="3346"/>
    <x v="437"/>
  </r>
  <r>
    <x v="3347"/>
    <x v="471"/>
  </r>
  <r>
    <x v="3348"/>
    <x v="906"/>
  </r>
  <r>
    <x v="3349"/>
    <x v="654"/>
  </r>
  <r>
    <x v="3350"/>
    <x v="585"/>
  </r>
  <r>
    <x v="3351"/>
    <x v="92"/>
  </r>
  <r>
    <x v="3352"/>
    <x v="238"/>
  </r>
  <r>
    <x v="3353"/>
    <x v="190"/>
  </r>
  <r>
    <x v="3354"/>
    <x v="490"/>
  </r>
  <r>
    <x v="3355"/>
    <x v="541"/>
  </r>
  <r>
    <x v="3356"/>
    <x v="329"/>
  </r>
  <r>
    <x v="3357"/>
    <x v="37"/>
  </r>
  <r>
    <x v="3358"/>
    <x v="656"/>
  </r>
  <r>
    <x v="3359"/>
    <x v="699"/>
  </r>
  <r>
    <x v="3360"/>
    <x v="511"/>
  </r>
  <r>
    <x v="3361"/>
    <x v="195"/>
  </r>
  <r>
    <x v="3362"/>
    <x v="562"/>
  </r>
  <r>
    <x v="3363"/>
    <x v="510"/>
  </r>
  <r>
    <x v="3364"/>
    <x v="1022"/>
  </r>
  <r>
    <x v="3365"/>
    <x v="909"/>
  </r>
  <r>
    <x v="3366"/>
    <x v="277"/>
  </r>
  <r>
    <x v="3367"/>
    <x v="277"/>
  </r>
  <r>
    <x v="3368"/>
    <x v="1024"/>
  </r>
  <r>
    <x v="3369"/>
    <x v="718"/>
  </r>
  <r>
    <x v="3370"/>
    <x v="63"/>
  </r>
  <r>
    <x v="3371"/>
    <x v="166"/>
  </r>
  <r>
    <x v="3372"/>
    <x v="865"/>
  </r>
  <r>
    <x v="3373"/>
    <x v="436"/>
  </r>
  <r>
    <x v="3374"/>
    <x v="211"/>
  </r>
  <r>
    <x v="3375"/>
    <x v="658"/>
  </r>
  <r>
    <x v="3376"/>
    <x v="197"/>
  </r>
  <r>
    <x v="3377"/>
    <x v="546"/>
  </r>
  <r>
    <x v="3378"/>
    <x v="945"/>
  </r>
  <r>
    <x v="3379"/>
    <x v="789"/>
  </r>
  <r>
    <x v="3380"/>
    <x v="317"/>
  </r>
  <r>
    <x v="3381"/>
    <x v="685"/>
  </r>
  <r>
    <x v="3382"/>
    <x v="607"/>
  </r>
  <r>
    <x v="3383"/>
    <x v="1032"/>
  </r>
  <r>
    <x v="3384"/>
    <x v="721"/>
  </r>
  <r>
    <x v="3385"/>
    <x v="577"/>
  </r>
  <r>
    <x v="3386"/>
    <x v="2"/>
  </r>
  <r>
    <x v="3387"/>
    <x v="407"/>
  </r>
  <r>
    <x v="3388"/>
    <x v="317"/>
  </r>
  <r>
    <x v="3389"/>
    <x v="79"/>
  </r>
  <r>
    <x v="3390"/>
    <x v="544"/>
  </r>
  <r>
    <x v="3391"/>
    <x v="780"/>
  </r>
  <r>
    <x v="3392"/>
    <x v="899"/>
  </r>
  <r>
    <x v="3393"/>
    <x v="905"/>
  </r>
  <r>
    <x v="3394"/>
    <x v="113"/>
  </r>
  <r>
    <x v="3395"/>
    <x v="662"/>
  </r>
  <r>
    <x v="3396"/>
    <x v="577"/>
  </r>
  <r>
    <x v="3397"/>
    <x v="82"/>
  </r>
  <r>
    <x v="3398"/>
    <x v="577"/>
  </r>
  <r>
    <x v="3399"/>
    <x v="577"/>
  </r>
  <r>
    <x v="3400"/>
    <x v="681"/>
  </r>
  <r>
    <x v="3401"/>
    <x v="645"/>
  </r>
  <r>
    <x v="3402"/>
    <x v="1011"/>
  </r>
  <r>
    <x v="3403"/>
    <x v="238"/>
  </r>
  <r>
    <x v="3404"/>
    <x v="208"/>
  </r>
  <r>
    <x v="3405"/>
    <x v="97"/>
  </r>
  <r>
    <x v="3406"/>
    <x v="70"/>
  </r>
  <r>
    <x v="3407"/>
    <x v="1024"/>
  </r>
  <r>
    <x v="3408"/>
    <x v="557"/>
  </r>
  <r>
    <x v="3409"/>
    <x v="972"/>
  </r>
  <r>
    <x v="3410"/>
    <x v="387"/>
  </r>
  <r>
    <x v="3411"/>
    <x v="577"/>
  </r>
  <r>
    <x v="3412"/>
    <x v="216"/>
  </r>
  <r>
    <x v="3413"/>
    <x v="1036"/>
  </r>
  <r>
    <x v="3414"/>
    <x v="52"/>
  </r>
  <r>
    <x v="3415"/>
    <x v="52"/>
  </r>
  <r>
    <x v="3416"/>
    <x v="684"/>
  </r>
  <r>
    <x v="3417"/>
    <x v="161"/>
  </r>
  <r>
    <x v="3418"/>
    <x v="680"/>
  </r>
  <r>
    <x v="3419"/>
    <x v="204"/>
  </r>
  <r>
    <x v="3420"/>
    <x v="521"/>
  </r>
  <r>
    <x v="3421"/>
    <x v="267"/>
  </r>
  <r>
    <x v="3422"/>
    <x v="546"/>
  </r>
  <r>
    <x v="3423"/>
    <x v="577"/>
  </r>
  <r>
    <x v="3424"/>
    <x v="232"/>
  </r>
  <r>
    <x v="3425"/>
    <x v="607"/>
  </r>
  <r>
    <x v="3426"/>
    <x v="0"/>
  </r>
  <r>
    <x v="3427"/>
    <x v="293"/>
  </r>
  <r>
    <x v="3428"/>
    <x v="68"/>
  </r>
  <r>
    <x v="3429"/>
    <x v="727"/>
  </r>
  <r>
    <x v="3430"/>
    <x v="132"/>
  </r>
  <r>
    <x v="3431"/>
    <x v="577"/>
  </r>
  <r>
    <x v="3432"/>
    <x v="132"/>
  </r>
  <r>
    <x v="3433"/>
    <x v="256"/>
  </r>
  <r>
    <x v="3434"/>
    <x v="387"/>
  </r>
  <r>
    <x v="3435"/>
    <x v="929"/>
  </r>
  <r>
    <x v="3436"/>
    <x v="1007"/>
  </r>
  <r>
    <x v="3437"/>
    <x v="824"/>
  </r>
  <r>
    <x v="3438"/>
    <x v="520"/>
  </r>
  <r>
    <x v="3439"/>
    <x v="141"/>
  </r>
  <r>
    <x v="3440"/>
    <x v="287"/>
  </r>
  <r>
    <x v="3441"/>
    <x v="997"/>
  </r>
  <r>
    <x v="3442"/>
    <x v="821"/>
  </r>
  <r>
    <x v="3443"/>
    <x v="658"/>
  </r>
  <r>
    <x v="3444"/>
    <x v="753"/>
  </r>
  <r>
    <x v="3445"/>
    <x v="0"/>
  </r>
  <r>
    <x v="3446"/>
    <x v="422"/>
  </r>
  <r>
    <x v="3447"/>
    <x v="1045"/>
  </r>
  <r>
    <x v="3448"/>
    <x v="161"/>
  </r>
  <r>
    <x v="3449"/>
    <x v="830"/>
  </r>
  <r>
    <x v="3450"/>
    <x v="486"/>
  </r>
  <r>
    <x v="3451"/>
    <x v="796"/>
  </r>
  <r>
    <x v="3452"/>
    <x v="577"/>
  </r>
  <r>
    <x v="3453"/>
    <x v="617"/>
  </r>
  <r>
    <x v="3454"/>
    <x v="577"/>
  </r>
  <r>
    <x v="3455"/>
    <x v="201"/>
  </r>
  <r>
    <x v="3456"/>
    <x v="685"/>
  </r>
  <r>
    <x v="3457"/>
    <x v="405"/>
  </r>
  <r>
    <x v="3458"/>
    <x v="1009"/>
  </r>
  <r>
    <x v="3459"/>
    <x v="661"/>
  </r>
  <r>
    <x v="3460"/>
    <x v="187"/>
  </r>
  <r>
    <x v="3461"/>
    <x v="577"/>
  </r>
  <r>
    <x v="3462"/>
    <x v="546"/>
  </r>
  <r>
    <x v="3463"/>
    <x v="742"/>
  </r>
  <r>
    <x v="3464"/>
    <x v="577"/>
  </r>
  <r>
    <x v="3465"/>
    <x v="387"/>
  </r>
  <r>
    <x v="3466"/>
    <x v="524"/>
  </r>
  <r>
    <x v="3467"/>
    <x v="398"/>
  </r>
  <r>
    <x v="3468"/>
    <x v="669"/>
  </r>
  <r>
    <x v="3469"/>
    <x v="495"/>
  </r>
  <r>
    <x v="3470"/>
    <x v="577"/>
  </r>
  <r>
    <x v="3471"/>
    <x v="577"/>
  </r>
  <r>
    <x v="3472"/>
    <x v="169"/>
  </r>
  <r>
    <x v="3473"/>
    <x v="63"/>
  </r>
  <r>
    <x v="3474"/>
    <x v="544"/>
  </r>
  <r>
    <x v="3475"/>
    <x v="897"/>
  </r>
  <r>
    <x v="3476"/>
    <x v="88"/>
  </r>
  <r>
    <x v="3477"/>
    <x v="897"/>
  </r>
  <r>
    <x v="3478"/>
    <x v="850"/>
  </r>
  <r>
    <x v="3479"/>
    <x v="607"/>
  </r>
  <r>
    <x v="3480"/>
    <x v="693"/>
  </r>
  <r>
    <x v="3481"/>
    <x v="329"/>
  </r>
  <r>
    <x v="3482"/>
    <x v="387"/>
  </r>
  <r>
    <x v="3483"/>
    <x v="813"/>
  </r>
  <r>
    <x v="3484"/>
    <x v="55"/>
  </r>
  <r>
    <x v="3485"/>
    <x v="152"/>
  </r>
  <r>
    <x v="3486"/>
    <x v="684"/>
  </r>
  <r>
    <x v="3487"/>
    <x v="868"/>
  </r>
  <r>
    <x v="3488"/>
    <x v="577"/>
  </r>
  <r>
    <x v="3489"/>
    <x v="1044"/>
  </r>
  <r>
    <x v="3490"/>
    <x v="219"/>
  </r>
  <r>
    <x v="3491"/>
    <x v="443"/>
  </r>
  <r>
    <x v="3492"/>
    <x v="112"/>
  </r>
  <r>
    <x v="3493"/>
    <x v="572"/>
  </r>
  <r>
    <x v="3494"/>
    <x v="323"/>
  </r>
  <r>
    <x v="3495"/>
    <x v="742"/>
  </r>
  <r>
    <x v="3496"/>
    <x v="161"/>
  </r>
  <r>
    <x v="3497"/>
    <x v="577"/>
  </r>
  <r>
    <x v="3498"/>
    <x v="892"/>
  </r>
  <r>
    <x v="3499"/>
    <x v="868"/>
  </r>
  <r>
    <x v="3500"/>
    <x v="56"/>
  </r>
  <r>
    <x v="3501"/>
    <x v="387"/>
  </r>
  <r>
    <x v="3502"/>
    <x v="868"/>
  </r>
  <r>
    <x v="3503"/>
    <x v="329"/>
  </r>
  <r>
    <x v="3504"/>
    <x v="685"/>
  </r>
  <r>
    <x v="3505"/>
    <x v="936"/>
  </r>
  <r>
    <x v="3506"/>
    <x v="265"/>
  </r>
  <r>
    <x v="3507"/>
    <x v="200"/>
  </r>
  <r>
    <x v="3508"/>
    <x v="172"/>
  </r>
  <r>
    <x v="3509"/>
    <x v="546"/>
  </r>
  <r>
    <x v="3510"/>
    <x v="577"/>
  </r>
  <r>
    <x v="3511"/>
    <x v="291"/>
  </r>
  <r>
    <x v="3512"/>
    <x v="432"/>
  </r>
  <r>
    <x v="3513"/>
    <x v="577"/>
  </r>
  <r>
    <x v="3514"/>
    <x v="387"/>
  </r>
  <r>
    <x v="3515"/>
    <x v="138"/>
  </r>
  <r>
    <x v="3516"/>
    <x v="166"/>
  </r>
  <r>
    <x v="3517"/>
    <x v="166"/>
  </r>
  <r>
    <x v="3518"/>
    <x v="607"/>
  </r>
  <r>
    <x v="3519"/>
    <x v="721"/>
  </r>
  <r>
    <x v="3520"/>
    <x v="387"/>
  </r>
  <r>
    <x v="3521"/>
    <x v="813"/>
  </r>
  <r>
    <x v="3522"/>
    <x v="682"/>
  </r>
  <r>
    <x v="3523"/>
    <x v="883"/>
  </r>
  <r>
    <x v="3524"/>
    <x v="1008"/>
  </r>
  <r>
    <x v="3525"/>
    <x v="449"/>
  </r>
  <r>
    <x v="3526"/>
    <x v="686"/>
  </r>
  <r>
    <x v="3527"/>
    <x v="641"/>
  </r>
  <r>
    <x v="3528"/>
    <x v="824"/>
  </r>
  <r>
    <x v="3529"/>
    <x v="205"/>
  </r>
  <r>
    <x v="3530"/>
    <x v="577"/>
  </r>
  <r>
    <x v="3531"/>
    <x v="291"/>
  </r>
  <r>
    <x v="3532"/>
    <x v="34"/>
  </r>
  <r>
    <x v="3533"/>
    <x v="809"/>
  </r>
  <r>
    <x v="3534"/>
    <x v="218"/>
  </r>
  <r>
    <x v="3535"/>
    <x v="805"/>
  </r>
  <r>
    <x v="3536"/>
    <x v="577"/>
  </r>
  <r>
    <x v="3537"/>
    <x v="217"/>
  </r>
  <r>
    <x v="3538"/>
    <x v="423"/>
  </r>
  <r>
    <x v="3539"/>
    <x v="132"/>
  </r>
  <r>
    <x v="3540"/>
    <x v="837"/>
  </r>
  <r>
    <x v="3541"/>
    <x v="577"/>
  </r>
  <r>
    <x v="3542"/>
    <x v="577"/>
  </r>
  <r>
    <x v="3543"/>
    <x v="132"/>
  </r>
  <r>
    <x v="3544"/>
    <x v="132"/>
  </r>
  <r>
    <x v="3545"/>
    <x v="577"/>
  </r>
  <r>
    <x v="3546"/>
    <x v="897"/>
  </r>
  <r>
    <x v="3547"/>
    <x v="889"/>
  </r>
  <r>
    <x v="3548"/>
    <x v="577"/>
  </r>
  <r>
    <x v="3549"/>
    <x v="73"/>
  </r>
  <r>
    <x v="3550"/>
    <x v="607"/>
  </r>
  <r>
    <x v="3551"/>
    <x v="567"/>
  </r>
  <r>
    <x v="3552"/>
    <x v="73"/>
  </r>
  <r>
    <x v="3553"/>
    <x v="546"/>
  </r>
  <r>
    <x v="3554"/>
    <x v="29"/>
  </r>
  <r>
    <x v="3555"/>
    <x v="56"/>
  </r>
  <r>
    <x v="3556"/>
    <x v="237"/>
  </r>
  <r>
    <x v="3557"/>
    <x v="1033"/>
  </r>
  <r>
    <x v="3558"/>
    <x v="577"/>
  </r>
  <r>
    <x v="3559"/>
    <x v="509"/>
  </r>
  <r>
    <x v="3560"/>
    <x v="891"/>
  </r>
  <r>
    <x v="3561"/>
    <x v="283"/>
  </r>
  <r>
    <x v="3562"/>
    <x v="685"/>
  </r>
  <r>
    <x v="3563"/>
    <x v="820"/>
  </r>
  <r>
    <x v="3564"/>
    <x v="152"/>
  </r>
  <r>
    <x v="3565"/>
    <x v="577"/>
  </r>
  <r>
    <x v="3566"/>
    <x v="577"/>
  </r>
  <r>
    <x v="3567"/>
    <x v="752"/>
  </r>
  <r>
    <x v="3568"/>
    <x v="478"/>
  </r>
  <r>
    <x v="3569"/>
    <x v="247"/>
  </r>
  <r>
    <x v="3570"/>
    <x v="871"/>
  </r>
  <r>
    <x v="3571"/>
    <x v="513"/>
  </r>
  <r>
    <x v="3572"/>
    <x v="824"/>
  </r>
  <r>
    <x v="3573"/>
    <x v="73"/>
  </r>
  <r>
    <x v="3574"/>
    <x v="357"/>
  </r>
  <r>
    <x v="3575"/>
    <x v="663"/>
  </r>
  <r>
    <x v="3576"/>
    <x v="1024"/>
  </r>
  <r>
    <x v="3577"/>
    <x v="1013"/>
  </r>
  <r>
    <x v="3578"/>
    <x v="161"/>
  </r>
  <r>
    <x v="3579"/>
    <x v="329"/>
  </r>
  <r>
    <x v="3580"/>
    <x v="479"/>
  </r>
  <r>
    <x v="3581"/>
    <x v="387"/>
  </r>
  <r>
    <x v="3582"/>
    <x v="97"/>
  </r>
  <r>
    <x v="3583"/>
    <x v="97"/>
  </r>
  <r>
    <x v="3584"/>
    <x v="805"/>
  </r>
  <r>
    <x v="3585"/>
    <x v="0"/>
  </r>
  <r>
    <x v="3586"/>
    <x v="238"/>
  </r>
  <r>
    <x v="3587"/>
    <x v="577"/>
  </r>
  <r>
    <x v="3588"/>
    <x v="661"/>
  </r>
  <r>
    <x v="3589"/>
    <x v="661"/>
  </r>
  <r>
    <x v="3590"/>
    <x v="124"/>
  </r>
  <r>
    <x v="3591"/>
    <x v="63"/>
  </r>
  <r>
    <x v="3592"/>
    <x v="1045"/>
  </r>
  <r>
    <x v="3593"/>
    <x v="495"/>
  </r>
  <r>
    <x v="3594"/>
    <x v="132"/>
  </r>
  <r>
    <x v="3595"/>
    <x v="725"/>
  </r>
  <r>
    <x v="3596"/>
    <x v="559"/>
  </r>
  <r>
    <x v="3597"/>
    <x v="212"/>
  </r>
  <r>
    <x v="3598"/>
    <x v="721"/>
  </r>
  <r>
    <x v="3599"/>
    <x v="114"/>
  </r>
  <r>
    <x v="3600"/>
    <x v="577"/>
  </r>
  <r>
    <x v="3601"/>
    <x v="67"/>
  </r>
  <r>
    <x v="3602"/>
    <x v="607"/>
  </r>
  <r>
    <x v="3603"/>
    <x v="580"/>
  </r>
  <r>
    <x v="3604"/>
    <x v="847"/>
  </r>
  <r>
    <x v="3605"/>
    <x v="577"/>
  </r>
  <r>
    <x v="3606"/>
    <x v="577"/>
  </r>
  <r>
    <x v="3607"/>
    <x v="886"/>
  </r>
  <r>
    <x v="3608"/>
    <x v="2"/>
  </r>
  <r>
    <x v="3609"/>
    <x v="329"/>
  </r>
  <r>
    <x v="3610"/>
    <x v="332"/>
  </r>
  <r>
    <x v="3611"/>
    <x v="474"/>
  </r>
  <r>
    <x v="3612"/>
    <x v="679"/>
  </r>
  <r>
    <x v="3613"/>
    <x v="170"/>
  </r>
  <r>
    <x v="3614"/>
    <x v="446"/>
  </r>
  <r>
    <x v="3615"/>
    <x v="73"/>
  </r>
  <r>
    <x v="3616"/>
    <x v="750"/>
  </r>
  <r>
    <x v="3617"/>
    <x v="833"/>
  </r>
  <r>
    <x v="3618"/>
    <x v="642"/>
  </r>
  <r>
    <x v="3619"/>
    <x v="878"/>
  </r>
  <r>
    <x v="3620"/>
    <x v="360"/>
  </r>
  <r>
    <x v="3621"/>
    <x v="462"/>
  </r>
  <r>
    <x v="3622"/>
    <x v="544"/>
  </r>
  <r>
    <x v="3623"/>
    <x v="462"/>
  </r>
  <r>
    <x v="3624"/>
    <x v="577"/>
  </r>
  <r>
    <x v="3625"/>
    <x v="753"/>
  </r>
  <r>
    <x v="3626"/>
    <x v="816"/>
  </r>
  <r>
    <x v="3627"/>
    <x v="577"/>
  </r>
  <r>
    <x v="3628"/>
    <x v="685"/>
  </r>
  <r>
    <x v="3629"/>
    <x v="577"/>
  </r>
  <r>
    <x v="3630"/>
    <x v="577"/>
  </r>
  <r>
    <x v="3631"/>
    <x v="870"/>
  </r>
  <r>
    <x v="3632"/>
    <x v="1032"/>
  </r>
  <r>
    <x v="3633"/>
    <x v="166"/>
  </r>
  <r>
    <x v="3634"/>
    <x v="731"/>
  </r>
  <r>
    <x v="3635"/>
    <x v="166"/>
  </r>
  <r>
    <x v="3636"/>
    <x v="577"/>
  </r>
  <r>
    <x v="3637"/>
    <x v="577"/>
  </r>
  <r>
    <x v="3638"/>
    <x v="226"/>
  </r>
  <r>
    <x v="3643"/>
    <x v="203"/>
  </r>
  <r>
    <x v="3644"/>
    <x v="810"/>
  </r>
  <r>
    <x v="3645"/>
    <x v="256"/>
  </r>
  <r>
    <x v="3646"/>
    <x v="902"/>
  </r>
  <r>
    <x v="3647"/>
    <x v="577"/>
  </r>
  <r>
    <x v="3648"/>
    <x v="884"/>
  </r>
  <r>
    <x v="3649"/>
    <x v="719"/>
  </r>
  <r>
    <x v="3650"/>
    <x v="577"/>
  </r>
  <r>
    <x v="3651"/>
    <x v="249"/>
  </r>
  <r>
    <x v="3652"/>
    <x v="992"/>
  </r>
  <r>
    <x v="3653"/>
    <x v="116"/>
  </r>
  <r>
    <x v="3654"/>
    <x v="577"/>
  </r>
  <r>
    <x v="3655"/>
    <x v="577"/>
  </r>
  <r>
    <x v="3656"/>
    <x v="131"/>
  </r>
  <r>
    <x v="3657"/>
    <x v="509"/>
  </r>
  <r>
    <x v="3658"/>
    <x v="577"/>
  </r>
  <r>
    <x v="3659"/>
    <x v="892"/>
  </r>
  <r>
    <x v="3660"/>
    <x v="851"/>
  </r>
  <r>
    <x v="3661"/>
    <x v="121"/>
  </r>
  <r>
    <x v="3662"/>
    <x v="234"/>
  </r>
  <r>
    <x v="3663"/>
    <x v="721"/>
  </r>
  <r>
    <x v="3664"/>
    <x v="366"/>
  </r>
  <r>
    <x v="3665"/>
    <x v="728"/>
  </r>
  <r>
    <x v="3666"/>
    <x v="577"/>
  </r>
  <r>
    <x v="3667"/>
    <x v="805"/>
  </r>
  <r>
    <x v="3668"/>
    <x v="577"/>
  </r>
  <r>
    <x v="3669"/>
    <x v="94"/>
  </r>
  <r>
    <x v="3639"/>
    <x v="856"/>
  </r>
  <r>
    <x v="3670"/>
    <x v="902"/>
  </r>
  <r>
    <x v="3671"/>
    <x v="0"/>
  </r>
  <r>
    <x v="3672"/>
    <x v="680"/>
  </r>
  <r>
    <x v="3640"/>
    <x v="680"/>
  </r>
  <r>
    <x v="3673"/>
    <x v="607"/>
  </r>
  <r>
    <x v="3674"/>
    <x v="0"/>
  </r>
  <r>
    <x v="3675"/>
    <x v="422"/>
  </r>
  <r>
    <x v="3676"/>
    <x v="577"/>
  </r>
  <r>
    <x v="3677"/>
    <x v="577"/>
  </r>
  <r>
    <x v="3678"/>
    <x v="577"/>
  </r>
  <r>
    <x v="3679"/>
    <x v="577"/>
  </r>
  <r>
    <x v="3680"/>
    <x v="187"/>
  </r>
  <r>
    <x v="3681"/>
    <x v="544"/>
  </r>
  <r>
    <x v="3682"/>
    <x v="825"/>
  </r>
  <r>
    <x v="3683"/>
    <x v="358"/>
  </r>
  <r>
    <x v="3684"/>
    <x v="647"/>
  </r>
  <r>
    <x v="3685"/>
    <x v="63"/>
  </r>
  <r>
    <x v="3686"/>
    <x v="832"/>
  </r>
  <r>
    <x v="3687"/>
    <x v="577"/>
  </r>
  <r>
    <x v="3688"/>
    <x v="847"/>
  </r>
  <r>
    <x v="3689"/>
    <x v="577"/>
  </r>
  <r>
    <x v="3690"/>
    <x v="405"/>
  </r>
  <r>
    <x v="3691"/>
    <x v="936"/>
  </r>
  <r>
    <x v="3692"/>
    <x v="656"/>
  </r>
  <r>
    <x v="3693"/>
    <x v="577"/>
  </r>
  <r>
    <x v="3694"/>
    <x v="429"/>
  </r>
  <r>
    <x v="3696"/>
    <x v="165"/>
  </r>
  <r>
    <x v="3697"/>
    <x v="523"/>
  </r>
  <r>
    <x v="3698"/>
    <x v="590"/>
  </r>
  <r>
    <x v="3695"/>
    <x v="325"/>
  </r>
  <r>
    <x v="3699"/>
    <x v="761"/>
  </r>
  <r>
    <x v="3700"/>
    <x v="309"/>
  </r>
  <r>
    <x v="3701"/>
    <x v="577"/>
  </r>
  <r>
    <x v="3702"/>
    <x v="752"/>
  </r>
  <r>
    <x v="3703"/>
    <x v="597"/>
  </r>
  <r>
    <x v="3704"/>
    <x v="897"/>
  </r>
  <r>
    <x v="3705"/>
    <x v="132"/>
  </r>
  <r>
    <x v="3706"/>
    <x v="170"/>
  </r>
  <r>
    <x v="3707"/>
    <x v="2"/>
  </r>
  <r>
    <x v="3708"/>
    <x v="790"/>
  </r>
  <r>
    <x v="3709"/>
    <x v="186"/>
  </r>
  <r>
    <x v="3710"/>
    <x v="219"/>
  </r>
  <r>
    <x v="3711"/>
    <x v="754"/>
  </r>
  <r>
    <x v="3712"/>
    <x v="933"/>
  </r>
  <r>
    <x v="3713"/>
    <x v="577"/>
  </r>
  <r>
    <x v="3714"/>
    <x v="732"/>
  </r>
  <r>
    <x v="3715"/>
    <x v="892"/>
  </r>
  <r>
    <x v="3716"/>
    <x v="577"/>
  </r>
  <r>
    <x v="3717"/>
    <x v="776"/>
  </r>
  <r>
    <x v="3718"/>
    <x v="888"/>
  </r>
  <r>
    <x v="3719"/>
    <x v="1044"/>
  </r>
  <r>
    <x v="3720"/>
    <x v="386"/>
  </r>
  <r>
    <x v="3721"/>
    <x v="617"/>
  </r>
  <r>
    <x v="3722"/>
    <x v="933"/>
  </r>
  <r>
    <x v="3723"/>
    <x v="927"/>
  </r>
  <r>
    <x v="3724"/>
    <x v="359"/>
  </r>
  <r>
    <x v="3725"/>
    <x v="570"/>
  </r>
  <r>
    <x v="3726"/>
    <x v="387"/>
  </r>
  <r>
    <x v="3727"/>
    <x v="495"/>
  </r>
  <r>
    <x v="3728"/>
    <x v="89"/>
  </r>
  <r>
    <x v="3729"/>
    <x v="890"/>
  </r>
  <r>
    <x v="3641"/>
    <x v="407"/>
  </r>
  <r>
    <x v="3642"/>
    <x v="680"/>
  </r>
  <r>
    <x v="3730"/>
    <x v="577"/>
  </r>
  <r>
    <x v="3731"/>
    <x v="702"/>
  </r>
  <r>
    <x v="3732"/>
    <x v="16"/>
  </r>
  <r>
    <x v="3733"/>
    <x v="822"/>
  </r>
  <r>
    <x v="3734"/>
    <x v="195"/>
  </r>
  <r>
    <x v="3735"/>
    <x v="931"/>
  </r>
  <r>
    <x v="3736"/>
    <x v="132"/>
  </r>
  <r>
    <x v="3737"/>
    <x v="577"/>
  </r>
  <r>
    <x v="3738"/>
    <x v="63"/>
  </r>
  <r>
    <x v="3739"/>
    <x v="636"/>
  </r>
  <r>
    <x v="3740"/>
    <x v="703"/>
  </r>
  <r>
    <x v="3741"/>
    <x v="833"/>
  </r>
  <r>
    <x v="3742"/>
    <x v="153"/>
  </r>
  <r>
    <x v="3743"/>
    <x v="833"/>
  </r>
  <r>
    <x v="3744"/>
    <x v="995"/>
  </r>
  <r>
    <x v="3745"/>
    <x v="1044"/>
  </r>
  <r>
    <x v="3746"/>
    <x v="215"/>
  </r>
  <r>
    <x v="3747"/>
    <x v="577"/>
  </r>
  <r>
    <x v="3748"/>
    <x v="968"/>
  </r>
  <r>
    <x v="3749"/>
    <x v="618"/>
  </r>
  <r>
    <x v="3750"/>
    <x v="256"/>
  </r>
  <r>
    <x v="3751"/>
    <x v="600"/>
  </r>
  <r>
    <x v="3752"/>
    <x v="655"/>
  </r>
  <r>
    <x v="3753"/>
    <x v="742"/>
  </r>
  <r>
    <x v="3754"/>
    <x v="183"/>
  </r>
  <r>
    <x v="3755"/>
    <x v="18"/>
  </r>
  <r>
    <x v="3756"/>
    <x v="508"/>
  </r>
  <r>
    <x v="3757"/>
    <x v="29"/>
  </r>
  <r>
    <x v="3758"/>
    <x v="427"/>
  </r>
  <r>
    <x v="3759"/>
    <x v="42"/>
  </r>
  <r>
    <x v="3760"/>
    <x v="775"/>
  </r>
  <r>
    <x v="3761"/>
    <x v="351"/>
  </r>
  <r>
    <x v="3762"/>
    <x v="73"/>
  </r>
  <r>
    <x v="3763"/>
    <x v="684"/>
  </r>
  <r>
    <x v="3764"/>
    <x v="446"/>
  </r>
  <r>
    <x v="3765"/>
    <x v="446"/>
  </r>
  <r>
    <x v="3766"/>
    <x v="685"/>
  </r>
  <r>
    <x v="3767"/>
    <x v="154"/>
  </r>
  <r>
    <x v="3768"/>
    <x v="513"/>
  </r>
  <r>
    <x v="3769"/>
    <x v="577"/>
  </r>
  <r>
    <x v="3770"/>
    <x v="652"/>
  </r>
  <r>
    <x v="3771"/>
    <x v="544"/>
  </r>
  <r>
    <x v="3772"/>
    <x v="577"/>
  </r>
  <r>
    <x v="3773"/>
    <x v="577"/>
  </r>
  <r>
    <x v="3774"/>
    <x v="936"/>
  </r>
  <r>
    <x v="3775"/>
    <x v="577"/>
  </r>
  <r>
    <x v="3776"/>
    <x v="577"/>
  </r>
  <r>
    <x v="3777"/>
    <x v="132"/>
  </r>
  <r>
    <x v="3778"/>
    <x v="544"/>
  </r>
  <r>
    <x v="3779"/>
    <x v="61"/>
  </r>
  <r>
    <x v="3780"/>
    <x v="937"/>
  </r>
  <r>
    <x v="3781"/>
    <x v="577"/>
  </r>
  <r>
    <x v="3782"/>
    <x v="577"/>
  </r>
  <r>
    <x v="3783"/>
    <x v="270"/>
  </r>
  <r>
    <x v="3784"/>
    <x v="607"/>
  </r>
  <r>
    <x v="3785"/>
    <x v="0"/>
  </r>
  <r>
    <x v="3786"/>
    <x v="609"/>
  </r>
  <r>
    <x v="3787"/>
    <x v="546"/>
  </r>
  <r>
    <x v="3788"/>
    <x v="655"/>
  </r>
  <r>
    <x v="3789"/>
    <x v="685"/>
  </r>
  <r>
    <x v="3790"/>
    <x v="567"/>
  </r>
  <r>
    <x v="3791"/>
    <x v="586"/>
  </r>
  <r>
    <x v="3792"/>
    <x v="166"/>
  </r>
  <r>
    <x v="3793"/>
    <x v="896"/>
  </r>
  <r>
    <x v="3794"/>
    <x v="544"/>
  </r>
  <r>
    <x v="3795"/>
    <x v="475"/>
  </r>
  <r>
    <x v="3796"/>
    <x v="406"/>
  </r>
  <r>
    <x v="3797"/>
    <x v="157"/>
  </r>
  <r>
    <x v="3798"/>
    <x v="577"/>
  </r>
  <r>
    <x v="3799"/>
    <x v="577"/>
  </r>
  <r>
    <x v="3800"/>
    <x v="577"/>
  </r>
  <r>
    <x v="3801"/>
    <x v="1044"/>
  </r>
  <r>
    <x v="3802"/>
    <x v="556"/>
  </r>
  <r>
    <x v="3803"/>
    <x v="346"/>
  </r>
  <r>
    <x v="3804"/>
    <x v="387"/>
  </r>
  <r>
    <x v="3805"/>
    <x v="387"/>
  </r>
  <r>
    <x v="3806"/>
    <x v="204"/>
  </r>
  <r>
    <x v="3807"/>
    <x v="257"/>
  </r>
  <r>
    <x v="3808"/>
    <x v="577"/>
  </r>
  <r>
    <x v="3809"/>
    <x v="577"/>
  </r>
  <r>
    <x v="3810"/>
    <x v="577"/>
  </r>
  <r>
    <x v="3811"/>
    <x v="633"/>
  </r>
  <r>
    <x v="3812"/>
    <x v="66"/>
  </r>
  <r>
    <x v="3813"/>
    <x v="544"/>
  </r>
  <r>
    <x v="3814"/>
    <x v="919"/>
  </r>
  <r>
    <x v="3815"/>
    <x v="919"/>
  </r>
  <r>
    <x v="3816"/>
    <x v="753"/>
  </r>
  <r>
    <x v="3817"/>
    <x v="219"/>
  </r>
  <r>
    <x v="3818"/>
    <x v="685"/>
  </r>
  <r>
    <x v="3819"/>
    <x v="215"/>
  </r>
  <r>
    <x v="3820"/>
    <x v="878"/>
  </r>
  <r>
    <x v="3821"/>
    <x v="738"/>
  </r>
  <r>
    <x v="3822"/>
    <x v="896"/>
  </r>
  <r>
    <x v="3823"/>
    <x v="97"/>
  </r>
  <r>
    <x v="3824"/>
    <x v="1017"/>
  </r>
  <r>
    <x v="3825"/>
    <x v="132"/>
  </r>
  <r>
    <x v="3826"/>
    <x v="387"/>
  </r>
  <r>
    <x v="3827"/>
    <x v="885"/>
  </r>
  <r>
    <x v="3828"/>
    <x v="598"/>
  </r>
  <r>
    <x v="3829"/>
    <x v="106"/>
  </r>
  <r>
    <x v="3830"/>
    <x v="123"/>
  </r>
  <r>
    <x v="3831"/>
    <x v="70"/>
  </r>
  <r>
    <x v="3832"/>
    <x v="924"/>
  </r>
  <r>
    <x v="3833"/>
    <x v="577"/>
  </r>
  <r>
    <x v="3834"/>
    <x v="534"/>
  </r>
  <r>
    <x v="3835"/>
    <x v="884"/>
  </r>
  <r>
    <x v="3836"/>
    <x v="132"/>
  </r>
  <r>
    <x v="3837"/>
    <x v="383"/>
  </r>
  <r>
    <x v="3838"/>
    <x v="619"/>
  </r>
  <r>
    <x v="3839"/>
    <x v="693"/>
  </r>
  <r>
    <x v="3840"/>
    <x v="99"/>
  </r>
  <r>
    <x v="3841"/>
    <x v="506"/>
  </r>
  <r>
    <x v="3842"/>
    <x v="577"/>
  </r>
  <r>
    <x v="3843"/>
    <x v="577"/>
  </r>
  <r>
    <x v="3844"/>
    <x v="577"/>
  </r>
  <r>
    <x v="3845"/>
    <x v="132"/>
  </r>
  <r>
    <x v="3846"/>
    <x v="189"/>
  </r>
  <r>
    <x v="3847"/>
    <x v="474"/>
  </r>
  <r>
    <x v="3848"/>
    <x v="131"/>
  </r>
  <r>
    <x v="3849"/>
    <x v="1045"/>
  </r>
  <r>
    <x v="3851"/>
    <x v="956"/>
  </r>
  <r>
    <x v="3852"/>
    <x v="166"/>
  </r>
  <r>
    <x v="3850"/>
    <x v="1044"/>
  </r>
  <r>
    <x v="3853"/>
    <x v="1022"/>
  </r>
  <r>
    <x v="3854"/>
    <x v="577"/>
  </r>
  <r>
    <x v="3855"/>
    <x v="693"/>
  </r>
  <r>
    <x v="3856"/>
    <x v="113"/>
  </r>
  <r>
    <x v="3857"/>
    <x v="997"/>
  </r>
  <r>
    <x v="3858"/>
    <x v="291"/>
  </r>
  <r>
    <x v="3859"/>
    <x v="387"/>
  </r>
  <r>
    <x v="3860"/>
    <x v="544"/>
  </r>
  <r>
    <x v="3861"/>
    <x v="329"/>
  </r>
  <r>
    <x v="3862"/>
    <x v="546"/>
  </r>
  <r>
    <x v="3863"/>
    <x v="121"/>
  </r>
  <r>
    <x v="3864"/>
    <x v="577"/>
  </r>
  <r>
    <x v="3865"/>
    <x v="67"/>
  </r>
  <r>
    <x v="3866"/>
    <x v="531"/>
  </r>
  <r>
    <x v="3867"/>
    <x v="607"/>
  </r>
  <r>
    <x v="3868"/>
    <x v="897"/>
  </r>
  <r>
    <x v="3869"/>
    <x v="684"/>
  </r>
  <r>
    <x v="3870"/>
    <x v="525"/>
  </r>
  <r>
    <x v="3871"/>
    <x v="1019"/>
  </r>
  <r>
    <x v="3872"/>
    <x v="577"/>
  </r>
  <r>
    <x v="3873"/>
    <x v="963"/>
  </r>
  <r>
    <x v="3874"/>
    <x v="577"/>
  </r>
  <r>
    <x v="3875"/>
    <x v="704"/>
  </r>
  <r>
    <x v="3876"/>
    <x v="383"/>
  </r>
  <r>
    <x v="3877"/>
    <x v="0"/>
  </r>
  <r>
    <x v="3878"/>
    <x v="577"/>
  </r>
  <r>
    <x v="3879"/>
    <x v="583"/>
  </r>
  <r>
    <x v="3880"/>
    <x v="56"/>
  </r>
  <r>
    <x v="3881"/>
    <x v="780"/>
  </r>
  <r>
    <x v="3882"/>
    <x v="200"/>
  </r>
  <r>
    <x v="3883"/>
    <x v="759"/>
  </r>
  <r>
    <x v="3884"/>
    <x v="546"/>
  </r>
  <r>
    <x v="3885"/>
    <x v="879"/>
  </r>
  <r>
    <x v="3886"/>
    <x v="247"/>
  </r>
  <r>
    <x v="3887"/>
    <x v="618"/>
  </r>
  <r>
    <x v="3888"/>
    <x v="387"/>
  </r>
  <r>
    <x v="3889"/>
    <x v="661"/>
  </r>
  <r>
    <x v="3890"/>
    <x v="227"/>
  </r>
  <r>
    <x v="3891"/>
    <x v="166"/>
  </r>
  <r>
    <x v="3892"/>
    <x v="478"/>
  </r>
  <r>
    <x v="3893"/>
    <x v="657"/>
  </r>
  <r>
    <x v="3894"/>
    <x v="658"/>
  </r>
  <r>
    <x v="3895"/>
    <x v="204"/>
  </r>
  <r>
    <x v="3896"/>
    <x v="805"/>
  </r>
  <r>
    <x v="3897"/>
    <x v="1027"/>
  </r>
  <r>
    <x v="3898"/>
    <x v="616"/>
  </r>
  <r>
    <x v="3899"/>
    <x v="633"/>
  </r>
  <r>
    <x v="3900"/>
    <x v="742"/>
  </r>
  <r>
    <x v="3901"/>
    <x v="577"/>
  </r>
  <r>
    <x v="3902"/>
    <x v="699"/>
  </r>
  <r>
    <x v="3903"/>
    <x v="577"/>
  </r>
  <r>
    <x v="3904"/>
    <x v="191"/>
  </r>
  <r>
    <x v="3905"/>
    <x v="21"/>
  </r>
  <r>
    <x v="3906"/>
    <x v="195"/>
  </r>
  <r>
    <x v="3907"/>
    <x v="294"/>
  </r>
  <r>
    <x v="3908"/>
    <x v="867"/>
  </r>
  <r>
    <x v="3909"/>
    <x v="665"/>
  </r>
  <r>
    <x v="3910"/>
    <x v="680"/>
  </r>
  <r>
    <x v="3911"/>
    <x v="891"/>
  </r>
  <r>
    <x v="3912"/>
    <x v="221"/>
  </r>
  <r>
    <x v="3913"/>
    <x v="92"/>
  </r>
  <r>
    <x v="3914"/>
    <x v="577"/>
  </r>
  <r>
    <x v="3915"/>
    <x v="387"/>
  </r>
  <r>
    <x v="3916"/>
    <x v="721"/>
  </r>
  <r>
    <x v="3917"/>
    <x v="769"/>
  </r>
  <r>
    <x v="3918"/>
    <x v="644"/>
  </r>
  <r>
    <x v="3919"/>
    <x v="685"/>
  </r>
  <r>
    <x v="3920"/>
    <x v="0"/>
  </r>
  <r>
    <x v="3921"/>
    <x v="714"/>
  </r>
  <r>
    <x v="3922"/>
    <x v="951"/>
  </r>
  <r>
    <x v="3923"/>
    <x v="90"/>
  </r>
  <r>
    <x v="3924"/>
    <x v="2"/>
  </r>
  <r>
    <x v="3925"/>
    <x v="195"/>
  </r>
  <r>
    <x v="3926"/>
    <x v="441"/>
  </r>
  <r>
    <x v="3927"/>
    <x v="732"/>
  </r>
  <r>
    <x v="3928"/>
    <x v="387"/>
  </r>
  <r>
    <x v="3929"/>
    <x v="73"/>
  </r>
  <r>
    <x v="3930"/>
    <x v="242"/>
  </r>
  <r>
    <x v="3931"/>
    <x v="749"/>
  </r>
  <r>
    <x v="3932"/>
    <x v="544"/>
  </r>
  <r>
    <x v="3933"/>
    <x v="165"/>
  </r>
  <r>
    <x v="3934"/>
    <x v="336"/>
  </r>
  <r>
    <x v="3935"/>
    <x v="721"/>
  </r>
  <r>
    <x v="3936"/>
    <x v="785"/>
  </r>
  <r>
    <x v="3937"/>
    <x v="874"/>
  </r>
  <r>
    <x v="3938"/>
    <x v="667"/>
  </r>
  <r>
    <x v="3939"/>
    <x v="78"/>
  </r>
  <r>
    <x v="3940"/>
    <x v="73"/>
  </r>
  <r>
    <x v="3941"/>
    <x v="19"/>
  </r>
  <r>
    <x v="3942"/>
    <x v="457"/>
  </r>
  <r>
    <x v="3943"/>
    <x v="56"/>
  </r>
  <r>
    <x v="3944"/>
    <x v="144"/>
  </r>
  <r>
    <x v="3945"/>
    <x v="854"/>
  </r>
  <r>
    <x v="3946"/>
    <x v="145"/>
  </r>
  <r>
    <x v="3947"/>
    <x v="137"/>
  </r>
  <r>
    <x v="3948"/>
    <x v="48"/>
  </r>
  <r>
    <x v="3949"/>
    <x v="206"/>
  </r>
  <r>
    <x v="3950"/>
    <x v="653"/>
  </r>
  <r>
    <x v="3951"/>
    <x v="577"/>
  </r>
  <r>
    <x v="3952"/>
    <x v="664"/>
  </r>
  <r>
    <x v="3953"/>
    <x v="478"/>
  </r>
  <r>
    <x v="3954"/>
    <x v="788"/>
  </r>
  <r>
    <x v="3955"/>
    <x v="394"/>
  </r>
  <r>
    <x v="3956"/>
    <x v="793"/>
  </r>
  <r>
    <x v="3957"/>
    <x v="1020"/>
  </r>
  <r>
    <x v="3958"/>
    <x v="501"/>
  </r>
  <r>
    <x v="3959"/>
    <x v="813"/>
  </r>
  <r>
    <x v="3960"/>
    <x v="787"/>
  </r>
  <r>
    <x v="3961"/>
    <x v="187"/>
  </r>
  <r>
    <x v="3962"/>
    <x v="46"/>
  </r>
  <r>
    <x v="3963"/>
    <x v="293"/>
  </r>
  <r>
    <x v="3964"/>
    <x v="958"/>
  </r>
  <r>
    <x v="3965"/>
    <x v="607"/>
  </r>
  <r>
    <x v="3966"/>
    <x v="681"/>
  </r>
  <r>
    <x v="3967"/>
    <x v="318"/>
  </r>
  <r>
    <x v="3968"/>
    <x v="756"/>
  </r>
  <r>
    <x v="3969"/>
    <x v="567"/>
  </r>
  <r>
    <x v="3970"/>
    <x v="1022"/>
  </r>
  <r>
    <x v="3971"/>
    <x v="716"/>
  </r>
  <r>
    <x v="3972"/>
    <x v="577"/>
  </r>
  <r>
    <x v="3973"/>
    <x v="292"/>
  </r>
  <r>
    <x v="3974"/>
    <x v="544"/>
  </r>
  <r>
    <x v="3975"/>
    <x v="780"/>
  </r>
  <r>
    <x v="3976"/>
    <x v="763"/>
  </r>
  <r>
    <x v="3977"/>
    <x v="763"/>
  </r>
  <r>
    <x v="3978"/>
    <x v="546"/>
  </r>
  <r>
    <x v="3979"/>
    <x v="577"/>
  </r>
  <r>
    <x v="3980"/>
    <x v="658"/>
  </r>
  <r>
    <x v="3981"/>
    <x v="436"/>
  </r>
  <r>
    <x v="3982"/>
    <x v="219"/>
  </r>
  <r>
    <x v="3983"/>
    <x v="601"/>
  </r>
  <r>
    <x v="3985"/>
    <x v="291"/>
  </r>
  <r>
    <x v="3986"/>
    <x v="693"/>
  </r>
  <r>
    <x v="3987"/>
    <x v="896"/>
  </r>
  <r>
    <x v="3988"/>
    <x v="871"/>
  </r>
  <r>
    <x v="3984"/>
    <x v="682"/>
  </r>
  <r>
    <x v="3989"/>
    <x v="279"/>
  </r>
  <r>
    <x v="3990"/>
    <x v="639"/>
  </r>
  <r>
    <x v="3991"/>
    <x v="16"/>
  </r>
  <r>
    <x v="3992"/>
    <x v="1044"/>
  </r>
  <r>
    <x v="3993"/>
    <x v="836"/>
  </r>
  <r>
    <x v="3994"/>
    <x v="513"/>
  </r>
  <r>
    <x v="3995"/>
    <x v="346"/>
  </r>
  <r>
    <x v="3996"/>
    <x v="1045"/>
  </r>
  <r>
    <x v="3997"/>
    <x v="682"/>
  </r>
  <r>
    <x v="3998"/>
    <x v="577"/>
  </r>
  <r>
    <x v="3999"/>
    <x v="788"/>
  </r>
  <r>
    <x v="4000"/>
    <x v="254"/>
  </r>
  <r>
    <x v="4001"/>
    <x v="824"/>
  </r>
  <r>
    <x v="4002"/>
    <x v="1024"/>
  </r>
  <r>
    <x v="4003"/>
    <x v="577"/>
  </r>
  <r>
    <x v="4004"/>
    <x v="287"/>
  </r>
  <r>
    <x v="4005"/>
    <x v="905"/>
  </r>
  <r>
    <x v="4006"/>
    <x v="577"/>
  </r>
  <r>
    <x v="4007"/>
    <x v="759"/>
  </r>
  <r>
    <x v="4008"/>
    <x v="577"/>
  </r>
  <r>
    <x v="4009"/>
    <x v="100"/>
  </r>
  <r>
    <x v="4010"/>
    <x v="577"/>
  </r>
  <r>
    <x v="4011"/>
    <x v="563"/>
  </r>
  <r>
    <x v="4012"/>
    <x v="805"/>
  </r>
  <r>
    <x v="4013"/>
    <x v="563"/>
  </r>
  <r>
    <x v="4014"/>
    <x v="212"/>
  </r>
  <r>
    <x v="4015"/>
    <x v="557"/>
  </r>
  <r>
    <x v="4016"/>
    <x v="58"/>
  </r>
  <r>
    <x v="4017"/>
    <x v="478"/>
  </r>
  <r>
    <x v="4018"/>
    <x v="138"/>
  </r>
  <r>
    <x v="4019"/>
    <x v="321"/>
  </r>
  <r>
    <x v="4020"/>
    <x v="97"/>
  </r>
  <r>
    <x v="4021"/>
    <x v="577"/>
  </r>
  <r>
    <x v="4022"/>
    <x v="577"/>
  </r>
  <r>
    <x v="4023"/>
    <x v="658"/>
  </r>
  <r>
    <x v="4024"/>
    <x v="813"/>
  </r>
  <r>
    <x v="4025"/>
    <x v="893"/>
  </r>
  <r>
    <x v="4026"/>
    <x v="524"/>
  </r>
  <r>
    <x v="4027"/>
    <x v="132"/>
  </r>
  <r>
    <x v="4028"/>
    <x v="146"/>
  </r>
  <r>
    <x v="4029"/>
    <x v="301"/>
  </r>
  <r>
    <x v="4030"/>
    <x v="267"/>
  </r>
  <r>
    <x v="4031"/>
    <x v="186"/>
  </r>
  <r>
    <x v="4032"/>
    <x v="474"/>
  </r>
  <r>
    <x v="4033"/>
    <x v="421"/>
  </r>
  <r>
    <x v="4034"/>
    <x v="544"/>
  </r>
  <r>
    <x v="4035"/>
    <x v="63"/>
  </r>
  <r>
    <x v="4036"/>
    <x v="1044"/>
  </r>
  <r>
    <x v="4037"/>
    <x v="577"/>
  </r>
  <r>
    <x v="4038"/>
    <x v="998"/>
  </r>
  <r>
    <x v="4039"/>
    <x v="896"/>
  </r>
  <r>
    <x v="4040"/>
    <x v="661"/>
  </r>
  <r>
    <x v="4041"/>
    <x v="684"/>
  </r>
  <r>
    <x v="4042"/>
    <x v="685"/>
  </r>
  <r>
    <x v="4043"/>
    <x v="617"/>
  </r>
  <r>
    <x v="4044"/>
    <x v="473"/>
  </r>
  <r>
    <x v="4045"/>
    <x v="905"/>
  </r>
  <r>
    <x v="4046"/>
    <x v="507"/>
  </r>
  <r>
    <x v="4047"/>
    <x v="161"/>
  </r>
  <r>
    <x v="4048"/>
    <x v="595"/>
  </r>
  <r>
    <x v="4049"/>
    <x v="846"/>
  </r>
  <r>
    <x v="4050"/>
    <x v="411"/>
  </r>
  <r>
    <x v="4051"/>
    <x v="77"/>
  </r>
  <r>
    <x v="4052"/>
    <x v="224"/>
  </r>
  <r>
    <x v="4053"/>
    <x v="890"/>
  </r>
  <r>
    <x v="4054"/>
    <x v="888"/>
  </r>
  <r>
    <x v="4055"/>
    <x v="107"/>
  </r>
  <r>
    <x v="4056"/>
    <x v="909"/>
  </r>
  <r>
    <x v="4057"/>
    <x v="405"/>
  </r>
  <r>
    <x v="4058"/>
    <x v="577"/>
  </r>
  <r>
    <x v="4059"/>
    <x v="312"/>
  </r>
  <r>
    <x v="4060"/>
    <x v="892"/>
  </r>
  <r>
    <x v="4061"/>
    <x v="959"/>
  </r>
  <r>
    <x v="4062"/>
    <x v="13"/>
  </r>
  <r>
    <x v="4063"/>
    <x v="447"/>
  </r>
  <r>
    <x v="4064"/>
    <x v="544"/>
  </r>
  <r>
    <x v="4065"/>
    <x v="214"/>
  </r>
  <r>
    <x v="4066"/>
    <x v="457"/>
  </r>
  <r>
    <x v="4067"/>
    <x v="72"/>
  </r>
  <r>
    <x v="4068"/>
    <x v="66"/>
  </r>
  <r>
    <x v="4069"/>
    <x v="383"/>
  </r>
  <r>
    <x v="4070"/>
    <x v="432"/>
  </r>
  <r>
    <x v="4071"/>
    <x v="871"/>
  </r>
  <r>
    <x v="4072"/>
    <x v="904"/>
  </r>
  <r>
    <x v="4073"/>
    <x v="0"/>
  </r>
  <r>
    <x v="4074"/>
    <x v="245"/>
  </r>
  <r>
    <x v="4076"/>
    <x v="107"/>
  </r>
  <r>
    <x v="4077"/>
    <x v="126"/>
  </r>
  <r>
    <x v="4078"/>
    <x v="772"/>
  </r>
  <r>
    <x v="4079"/>
    <x v="577"/>
  </r>
  <r>
    <x v="4080"/>
    <x v="97"/>
  </r>
  <r>
    <x v="4081"/>
    <x v="415"/>
  </r>
  <r>
    <x v="4082"/>
    <x v="356"/>
  </r>
  <r>
    <x v="4083"/>
    <x v="715"/>
  </r>
  <r>
    <x v="4084"/>
    <x v="0"/>
  </r>
  <r>
    <x v="4085"/>
    <x v="73"/>
  </r>
  <r>
    <x v="4086"/>
    <x v="56"/>
  </r>
  <r>
    <x v="4087"/>
    <x v="165"/>
  </r>
  <r>
    <x v="4088"/>
    <x v="148"/>
  </r>
  <r>
    <x v="4089"/>
    <x v="951"/>
  </r>
  <r>
    <x v="4090"/>
    <x v="1024"/>
  </r>
  <r>
    <x v="4091"/>
    <x v="264"/>
  </r>
  <r>
    <x v="4092"/>
    <x v="790"/>
  </r>
  <r>
    <x v="4093"/>
    <x v="658"/>
  </r>
  <r>
    <x v="4094"/>
    <x v="387"/>
  </r>
  <r>
    <x v="4095"/>
    <x v="742"/>
  </r>
  <r>
    <x v="4096"/>
    <x v="544"/>
  </r>
  <r>
    <x v="4097"/>
    <x v="544"/>
  </r>
  <r>
    <x v="4098"/>
    <x v="577"/>
  </r>
  <r>
    <x v="4099"/>
    <x v="600"/>
  </r>
  <r>
    <x v="4100"/>
    <x v="834"/>
  </r>
  <r>
    <x v="4101"/>
    <x v="390"/>
  </r>
  <r>
    <x v="4102"/>
    <x v="114"/>
  </r>
  <r>
    <x v="4103"/>
    <x v="73"/>
  </r>
  <r>
    <x v="4104"/>
    <x v="0"/>
  </r>
  <r>
    <x v="4105"/>
    <x v="208"/>
  </r>
  <r>
    <x v="4106"/>
    <x v="544"/>
  </r>
  <r>
    <x v="4107"/>
    <x v="680"/>
  </r>
  <r>
    <x v="4108"/>
    <x v="405"/>
  </r>
  <r>
    <x v="4109"/>
    <x v="102"/>
  </r>
  <r>
    <x v="4110"/>
    <x v="1006"/>
  </r>
  <r>
    <x v="4111"/>
    <x v="530"/>
  </r>
  <r>
    <x v="4112"/>
    <x v="254"/>
  </r>
  <r>
    <x v="4113"/>
    <x v="678"/>
  </r>
  <r>
    <x v="4114"/>
    <x v="772"/>
  </r>
  <r>
    <x v="4115"/>
    <x v="879"/>
  </r>
  <r>
    <x v="4116"/>
    <x v="132"/>
  </r>
  <r>
    <x v="4117"/>
    <x v="197"/>
  </r>
  <r>
    <x v="4118"/>
    <x v="637"/>
  </r>
  <r>
    <x v="4075"/>
    <x v="357"/>
  </r>
  <r>
    <x v="4119"/>
    <x v="298"/>
  </r>
  <r>
    <x v="4120"/>
    <x v="656"/>
  </r>
  <r>
    <x v="4121"/>
    <x v="109"/>
  </r>
  <r>
    <x v="4122"/>
    <x v="633"/>
  </r>
  <r>
    <x v="4123"/>
    <x v="924"/>
  </r>
  <r>
    <x v="4124"/>
    <x v="441"/>
  </r>
  <r>
    <x v="4125"/>
    <x v="183"/>
  </r>
  <r>
    <x v="4126"/>
    <x v="577"/>
  </r>
  <r>
    <x v="4127"/>
    <x v="553"/>
  </r>
  <r>
    <x v="4128"/>
    <x v="699"/>
  </r>
  <r>
    <x v="4129"/>
    <x v="351"/>
  </r>
  <r>
    <x v="4130"/>
    <x v="756"/>
  </r>
  <r>
    <x v="4131"/>
    <x v="546"/>
  </r>
  <r>
    <x v="4132"/>
    <x v="546"/>
  </r>
  <r>
    <x v="4133"/>
    <x v="450"/>
  </r>
  <r>
    <x v="4134"/>
    <x v="872"/>
  </r>
  <r>
    <x v="4135"/>
    <x v="577"/>
  </r>
  <r>
    <x v="4136"/>
    <x v="577"/>
  </r>
  <r>
    <x v="4137"/>
    <x v="577"/>
  </r>
  <r>
    <x v="4138"/>
    <x v="700"/>
  </r>
  <r>
    <x v="4139"/>
    <x v="450"/>
  </r>
  <r>
    <x v="4140"/>
    <x v="449"/>
  </r>
  <r>
    <x v="4141"/>
    <x v="166"/>
  </r>
  <r>
    <x v="4142"/>
    <x v="1044"/>
  </r>
  <r>
    <x v="4143"/>
    <x v="868"/>
  </r>
  <r>
    <x v="4144"/>
    <x v="197"/>
  </r>
  <r>
    <x v="4145"/>
    <x v="333"/>
  </r>
  <r>
    <x v="4146"/>
    <x v="567"/>
  </r>
  <r>
    <x v="4147"/>
    <x v="577"/>
  </r>
  <r>
    <x v="4148"/>
    <x v="996"/>
  </r>
  <r>
    <x v="4149"/>
    <x v="188"/>
  </r>
  <r>
    <x v="4150"/>
    <x v="805"/>
  </r>
  <r>
    <x v="4151"/>
    <x v="973"/>
  </r>
  <r>
    <x v="4152"/>
    <x v="665"/>
  </r>
  <r>
    <x v="4153"/>
    <x v="256"/>
  </r>
  <r>
    <x v="4154"/>
    <x v="577"/>
  </r>
  <r>
    <x v="4155"/>
    <x v="329"/>
  </r>
  <r>
    <x v="4156"/>
    <x v="531"/>
  </r>
  <r>
    <x v="4157"/>
    <x v="97"/>
  </r>
  <r>
    <x v="4158"/>
    <x v="577"/>
  </r>
  <r>
    <x v="4159"/>
    <x v="905"/>
  </r>
  <r>
    <x v="4160"/>
    <x v="1045"/>
  </r>
  <r>
    <x v="4161"/>
    <x v="422"/>
  </r>
  <r>
    <x v="4162"/>
    <x v="936"/>
  </r>
  <r>
    <x v="4163"/>
    <x v="763"/>
  </r>
  <r>
    <x v="4164"/>
    <x v="775"/>
  </r>
  <r>
    <x v="4165"/>
    <x v="101"/>
  </r>
  <r>
    <x v="4166"/>
    <x v="742"/>
  </r>
  <r>
    <x v="4167"/>
    <x v="874"/>
  </r>
  <r>
    <x v="4168"/>
    <x v="0"/>
  </r>
  <r>
    <x v="4169"/>
    <x v="577"/>
  </r>
  <r>
    <x v="4170"/>
    <x v="577"/>
  </r>
  <r>
    <x v="4171"/>
    <x v="577"/>
  </r>
  <r>
    <x v="4172"/>
    <x v="577"/>
  </r>
  <r>
    <x v="4173"/>
    <x v="247"/>
  </r>
  <r>
    <x v="4174"/>
    <x v="1043"/>
  </r>
  <r>
    <x v="4175"/>
    <x v="387"/>
  </r>
  <r>
    <x v="4176"/>
    <x v="353"/>
  </r>
  <r>
    <x v="4177"/>
    <x v="132"/>
  </r>
  <r>
    <x v="4178"/>
    <x v="390"/>
  </r>
  <r>
    <x v="4179"/>
    <x v="161"/>
  </r>
  <r>
    <x v="4180"/>
    <x v="731"/>
  </r>
  <r>
    <x v="4181"/>
    <x v="566"/>
  </r>
  <r>
    <x v="4182"/>
    <x v="577"/>
  </r>
  <r>
    <x v="4187"/>
    <x v="577"/>
  </r>
  <r>
    <x v="4183"/>
    <x v="609"/>
  </r>
  <r>
    <x v="4184"/>
    <x v="532"/>
  </r>
  <r>
    <x v="4185"/>
    <x v="347"/>
  </r>
  <r>
    <x v="4186"/>
    <x v="387"/>
  </r>
  <r>
    <x v="4188"/>
    <x v="685"/>
  </r>
  <r>
    <x v="4189"/>
    <x v="424"/>
  </r>
  <r>
    <x v="4190"/>
    <x v="833"/>
  </r>
  <r>
    <x v="4191"/>
    <x v="577"/>
  </r>
  <r>
    <x v="4192"/>
    <x v="600"/>
  </r>
  <r>
    <x v="4193"/>
    <x v="614"/>
  </r>
  <r>
    <x v="4194"/>
    <x v="2"/>
  </r>
  <r>
    <x v="4195"/>
    <x v="680"/>
  </r>
  <r>
    <x v="4196"/>
    <x v="817"/>
  </r>
  <r>
    <x v="4197"/>
    <x v="387"/>
  </r>
  <r>
    <x v="4198"/>
    <x v="851"/>
  </r>
  <r>
    <x v="4199"/>
    <x v="161"/>
  </r>
  <r>
    <x v="4200"/>
    <x v="29"/>
  </r>
  <r>
    <x v="4201"/>
    <x v="329"/>
  </r>
  <r>
    <x v="4202"/>
    <x v="577"/>
  </r>
  <r>
    <x v="4203"/>
    <x v="577"/>
  </r>
  <r>
    <x v="4204"/>
    <x v="442"/>
  </r>
  <r>
    <x v="4205"/>
    <x v="607"/>
  </r>
  <r>
    <x v="4206"/>
    <x v="125"/>
  </r>
  <r>
    <x v="4207"/>
    <x v="577"/>
  </r>
  <r>
    <x v="4208"/>
    <x v="73"/>
  </r>
  <r>
    <x v="4209"/>
    <x v="721"/>
  </r>
  <r>
    <x v="4210"/>
    <x v="685"/>
  </r>
  <r>
    <x v="4211"/>
    <x v="329"/>
  </r>
  <r>
    <x v="4212"/>
    <x v="387"/>
  </r>
  <r>
    <x v="4213"/>
    <x v="577"/>
  </r>
  <r>
    <x v="4214"/>
    <x v="0"/>
  </r>
  <r>
    <x v="4215"/>
    <x v="617"/>
  </r>
  <r>
    <x v="4216"/>
    <x v="506"/>
  </r>
  <r>
    <x v="4217"/>
    <x v="360"/>
  </r>
  <r>
    <x v="4218"/>
    <x v="539"/>
  </r>
  <r>
    <x v="4219"/>
    <x v="547"/>
  </r>
  <r>
    <x v="4220"/>
    <x v="329"/>
  </r>
  <r>
    <x v="4221"/>
    <x v="577"/>
  </r>
  <r>
    <x v="4222"/>
    <x v="13"/>
  </r>
  <r>
    <x v="4223"/>
    <x v="569"/>
  </r>
  <r>
    <x v="4224"/>
    <x v="686"/>
  </r>
  <r>
    <x v="4225"/>
    <x v="954"/>
  </r>
  <r>
    <x v="4226"/>
    <x v="596"/>
  </r>
  <r>
    <x v="4227"/>
    <x v="116"/>
  </r>
  <r>
    <x v="4228"/>
    <x v="1034"/>
  </r>
  <r>
    <x v="4229"/>
    <x v="825"/>
  </r>
  <r>
    <x v="4230"/>
    <x v="544"/>
  </r>
  <r>
    <x v="4231"/>
    <x v="968"/>
  </r>
  <r>
    <x v="4232"/>
    <x v="607"/>
  </r>
  <r>
    <x v="4233"/>
    <x v="614"/>
  </r>
  <r>
    <x v="4234"/>
    <x v="833"/>
  </r>
  <r>
    <x v="4235"/>
    <x v="197"/>
  </r>
  <r>
    <x v="4236"/>
    <x v="983"/>
  </r>
  <r>
    <x v="4237"/>
    <x v="145"/>
  </r>
  <r>
    <x v="4238"/>
    <x v="365"/>
  </r>
  <r>
    <x v="4239"/>
    <x v="669"/>
  </r>
  <r>
    <x v="4241"/>
    <x v="658"/>
  </r>
  <r>
    <x v="4242"/>
    <x v="658"/>
  </r>
  <r>
    <x v="4240"/>
    <x v="805"/>
  </r>
  <r>
    <x v="4243"/>
    <x v="132"/>
  </r>
  <r>
    <x v="4244"/>
    <x v="171"/>
  </r>
  <r>
    <x v="4245"/>
    <x v="160"/>
  </r>
  <r>
    <x v="4246"/>
    <x v="952"/>
  </r>
  <r>
    <x v="4247"/>
    <x v="833"/>
  </r>
  <r>
    <x v="4248"/>
    <x v="131"/>
  </r>
  <r>
    <x v="4249"/>
    <x v="422"/>
  </r>
  <r>
    <x v="4250"/>
    <x v="267"/>
  </r>
  <r>
    <x v="4251"/>
    <x v="577"/>
  </r>
  <r>
    <x v="4252"/>
    <x v="262"/>
  </r>
  <r>
    <x v="4253"/>
    <x v="625"/>
  </r>
  <r>
    <x v="4254"/>
    <x v="577"/>
  </r>
  <r>
    <x v="4255"/>
    <x v="875"/>
  </r>
  <r>
    <x v="4256"/>
    <x v="183"/>
  </r>
  <r>
    <x v="4257"/>
    <x v="577"/>
  </r>
  <r>
    <x v="4258"/>
    <x v="557"/>
  </r>
  <r>
    <x v="4259"/>
    <x v="577"/>
  </r>
  <r>
    <x v="4260"/>
    <x v="577"/>
  </r>
  <r>
    <x v="4261"/>
    <x v="816"/>
  </r>
  <r>
    <x v="4262"/>
    <x v="234"/>
  </r>
  <r>
    <x v="4263"/>
    <x v="290"/>
  </r>
  <r>
    <x v="4264"/>
    <x v="70"/>
  </r>
  <r>
    <x v="4265"/>
    <x v="105"/>
  </r>
  <r>
    <x v="4266"/>
    <x v="100"/>
  </r>
  <r>
    <x v="4267"/>
    <x v="629"/>
  </r>
  <r>
    <x v="4268"/>
    <x v="413"/>
  </r>
  <r>
    <x v="4269"/>
    <x v="327"/>
  </r>
  <r>
    <x v="4270"/>
    <x v="963"/>
  </r>
  <r>
    <x v="4271"/>
    <x v="897"/>
  </r>
  <r>
    <x v="4272"/>
    <x v="855"/>
  </r>
  <r>
    <x v="4273"/>
    <x v="980"/>
  </r>
  <r>
    <x v="4274"/>
    <x v="854"/>
  </r>
  <r>
    <x v="4275"/>
    <x v="196"/>
  </r>
  <r>
    <x v="4276"/>
    <x v="412"/>
  </r>
  <r>
    <x v="4277"/>
    <x v="912"/>
  </r>
  <r>
    <x v="4278"/>
    <x v="577"/>
  </r>
  <r>
    <x v="4279"/>
    <x v="546"/>
  </r>
  <r>
    <x v="4280"/>
    <x v="862"/>
  </r>
  <r>
    <x v="4281"/>
    <x v="239"/>
  </r>
  <r>
    <x v="4282"/>
    <x v="577"/>
  </r>
  <r>
    <x v="4283"/>
    <x v="115"/>
  </r>
  <r>
    <x v="4284"/>
    <x v="817"/>
  </r>
  <r>
    <x v="4285"/>
    <x v="277"/>
  </r>
  <r>
    <x v="4286"/>
    <x v="277"/>
  </r>
  <r>
    <x v="4287"/>
    <x v="1040"/>
  </r>
  <r>
    <x v="4288"/>
    <x v="383"/>
  </r>
  <r>
    <x v="4289"/>
    <x v="577"/>
  </r>
  <r>
    <x v="4290"/>
    <x v="387"/>
  </r>
  <r>
    <x v="4291"/>
    <x v="560"/>
  </r>
  <r>
    <x v="4292"/>
    <x v="577"/>
  </r>
  <r>
    <x v="4293"/>
    <x v="387"/>
  </r>
  <r>
    <x v="4294"/>
    <x v="436"/>
  </r>
  <r>
    <x v="4295"/>
    <x v="586"/>
  </r>
  <r>
    <x v="4296"/>
    <x v="479"/>
  </r>
  <r>
    <x v="4297"/>
    <x v="97"/>
  </r>
  <r>
    <x v="4298"/>
    <x v="224"/>
  </r>
  <r>
    <x v="4299"/>
    <x v="383"/>
  </r>
  <r>
    <x v="4300"/>
    <x v="907"/>
  </r>
  <r>
    <x v="4301"/>
    <x v="530"/>
  </r>
  <r>
    <x v="4302"/>
    <x v="0"/>
  </r>
  <r>
    <x v="4303"/>
    <x v="530"/>
  </r>
  <r>
    <x v="4304"/>
    <x v="902"/>
  </r>
  <r>
    <x v="4305"/>
    <x v="797"/>
  </r>
  <r>
    <x v="4306"/>
    <x v="577"/>
  </r>
  <r>
    <x v="4307"/>
    <x v="1011"/>
  </r>
  <r>
    <x v="4308"/>
    <x v="421"/>
  </r>
  <r>
    <x v="4309"/>
    <x v="661"/>
  </r>
  <r>
    <x v="4310"/>
    <x v="680"/>
  </r>
  <r>
    <x v="4311"/>
    <x v="752"/>
  </r>
  <r>
    <x v="4312"/>
    <x v="684"/>
  </r>
  <r>
    <x v="4313"/>
    <x v="607"/>
  </r>
  <r>
    <x v="4314"/>
    <x v="387"/>
  </r>
  <r>
    <x v="4315"/>
    <x v="302"/>
  </r>
  <r>
    <x v="4316"/>
    <x v="607"/>
  </r>
  <r>
    <x v="4317"/>
    <x v="347"/>
  </r>
  <r>
    <x v="4318"/>
    <x v="421"/>
  </r>
  <r>
    <x v="4319"/>
    <x v="672"/>
  </r>
  <r>
    <x v="4320"/>
    <x v="661"/>
  </r>
  <r>
    <x v="4321"/>
    <x v="325"/>
  </r>
  <r>
    <x v="4322"/>
    <x v="169"/>
  </r>
  <r>
    <x v="4323"/>
    <x v="663"/>
  </r>
  <r>
    <x v="4324"/>
    <x v="572"/>
  </r>
  <r>
    <x v="4325"/>
    <x v="684"/>
  </r>
  <r>
    <x v="4326"/>
    <x v="478"/>
  </r>
  <r>
    <x v="4327"/>
    <x v="577"/>
  </r>
  <r>
    <x v="4328"/>
    <x v="219"/>
  </r>
  <r>
    <x v="4329"/>
    <x v="1030"/>
  </r>
  <r>
    <x v="4330"/>
    <x v="607"/>
  </r>
  <r>
    <x v="4331"/>
    <x v="418"/>
  </r>
  <r>
    <x v="4332"/>
    <x v="53"/>
  </r>
  <r>
    <x v="4333"/>
    <x v="469"/>
  </r>
  <r>
    <x v="4334"/>
    <x v="658"/>
  </r>
  <r>
    <x v="4335"/>
    <x v="892"/>
  </r>
  <r>
    <x v="4336"/>
    <x v="329"/>
  </r>
  <r>
    <x v="4337"/>
    <x v="852"/>
  </r>
  <r>
    <x v="4338"/>
    <x v="187"/>
  </r>
  <r>
    <x v="4339"/>
    <x v="943"/>
  </r>
  <r>
    <x v="4340"/>
    <x v="577"/>
  </r>
  <r>
    <x v="4341"/>
    <x v="577"/>
  </r>
  <r>
    <x v="4342"/>
    <x v="745"/>
  </r>
  <r>
    <x v="4343"/>
    <x v="212"/>
  </r>
  <r>
    <x v="4344"/>
    <x v="577"/>
  </r>
  <r>
    <x v="4345"/>
    <x v="685"/>
  </r>
  <r>
    <x v="4346"/>
    <x v="775"/>
  </r>
  <r>
    <x v="4347"/>
    <x v="813"/>
  </r>
  <r>
    <x v="4348"/>
    <x v="577"/>
  </r>
  <r>
    <x v="4349"/>
    <x v="577"/>
  </r>
  <r>
    <x v="4350"/>
    <x v="712"/>
  </r>
  <r>
    <x v="4351"/>
    <x v="921"/>
  </r>
  <r>
    <x v="4352"/>
    <x v="405"/>
  </r>
  <r>
    <x v="4353"/>
    <x v="0"/>
  </r>
  <r>
    <x v="4354"/>
    <x v="287"/>
  </r>
  <r>
    <x v="4355"/>
    <x v="577"/>
  </r>
  <r>
    <x v="4356"/>
    <x v="577"/>
  </r>
  <r>
    <x v="4357"/>
    <x v="197"/>
  </r>
  <r>
    <x v="4358"/>
    <x v="387"/>
  </r>
  <r>
    <x v="4359"/>
    <x v="62"/>
  </r>
  <r>
    <x v="4360"/>
    <x v="772"/>
  </r>
  <r>
    <x v="4361"/>
    <x v="197"/>
  </r>
  <r>
    <x v="4362"/>
    <x v="250"/>
  </r>
  <r>
    <x v="4363"/>
    <x v="329"/>
  </r>
  <r>
    <x v="4364"/>
    <x v="293"/>
  </r>
  <r>
    <x v="4365"/>
    <x v="234"/>
  </r>
  <r>
    <x v="4366"/>
    <x v="577"/>
  </r>
  <r>
    <x v="4367"/>
    <x v="577"/>
  </r>
  <r>
    <x v="4368"/>
    <x v="577"/>
  </r>
  <r>
    <x v="4369"/>
    <x v="661"/>
  </r>
  <r>
    <x v="4370"/>
    <x v="575"/>
  </r>
  <r>
    <x v="4371"/>
    <x v="477"/>
  </r>
  <r>
    <x v="4372"/>
    <x v="132"/>
  </r>
  <r>
    <x v="4373"/>
    <x v="329"/>
  </r>
  <r>
    <x v="4374"/>
    <x v="790"/>
  </r>
  <r>
    <x v="4375"/>
    <x v="577"/>
  </r>
  <r>
    <x v="4376"/>
    <x v="101"/>
  </r>
  <r>
    <x v="4377"/>
    <x v="546"/>
  </r>
  <r>
    <x v="4378"/>
    <x v="217"/>
  </r>
  <r>
    <x v="4379"/>
    <x v="892"/>
  </r>
  <r>
    <x v="4380"/>
    <x v="849"/>
  </r>
  <r>
    <x v="4381"/>
    <x v="577"/>
  </r>
  <r>
    <x v="4382"/>
    <x v="947"/>
  </r>
  <r>
    <x v="4383"/>
    <x v="544"/>
  </r>
  <r>
    <x v="4384"/>
    <x v="546"/>
  </r>
  <r>
    <x v="4385"/>
    <x v="633"/>
  </r>
  <r>
    <x v="4386"/>
    <x v="499"/>
  </r>
  <r>
    <x v="4387"/>
    <x v="577"/>
  </r>
  <r>
    <x v="4388"/>
    <x v="391"/>
  </r>
  <r>
    <x v="4389"/>
    <x v="969"/>
  </r>
  <r>
    <x v="4390"/>
    <x v="540"/>
  </r>
  <r>
    <x v="4391"/>
    <x v="2"/>
  </r>
  <r>
    <x v="4392"/>
    <x v="577"/>
  </r>
  <r>
    <x v="4393"/>
    <x v="1045"/>
  </r>
  <r>
    <x v="4394"/>
    <x v="658"/>
  </r>
  <r>
    <x v="4395"/>
    <x v="568"/>
  </r>
  <r>
    <x v="4396"/>
    <x v="97"/>
  </r>
  <r>
    <x v="4397"/>
    <x v="607"/>
  </r>
  <r>
    <x v="4398"/>
    <x v="1044"/>
  </r>
  <r>
    <x v="4399"/>
    <x v="988"/>
  </r>
  <r>
    <x v="4400"/>
    <x v="446"/>
  </r>
  <r>
    <x v="4401"/>
    <x v="684"/>
  </r>
  <r>
    <x v="4402"/>
    <x v="892"/>
  </r>
  <r>
    <x v="4403"/>
    <x v="387"/>
  </r>
  <r>
    <x v="4404"/>
    <x v="1045"/>
  </r>
  <r>
    <x v="4405"/>
    <x v="564"/>
  </r>
  <r>
    <x v="4406"/>
    <x v="414"/>
  </r>
  <r>
    <x v="4410"/>
    <x v="317"/>
  </r>
  <r>
    <x v="4411"/>
    <x v="73"/>
  </r>
  <r>
    <x v="4412"/>
    <x v="607"/>
  </r>
  <r>
    <x v="4407"/>
    <x v="577"/>
  </r>
  <r>
    <x v="4408"/>
    <x v="387"/>
  </r>
  <r>
    <x v="4409"/>
    <x v="334"/>
  </r>
  <r>
    <x v="4413"/>
    <x v="425"/>
  </r>
  <r>
    <x v="4414"/>
    <x v="577"/>
  </r>
  <r>
    <x v="4415"/>
    <x v="351"/>
  </r>
  <r>
    <x v="4416"/>
    <x v="1009"/>
  </r>
  <r>
    <x v="4417"/>
    <x v="742"/>
  </r>
  <r>
    <x v="4418"/>
    <x v="477"/>
  </r>
  <r>
    <x v="4419"/>
    <x v="385"/>
  </r>
  <r>
    <x v="4420"/>
    <x v="577"/>
  </r>
  <r>
    <x v="4421"/>
    <x v="357"/>
  </r>
  <r>
    <x v="4422"/>
    <x v="577"/>
  </r>
  <r>
    <x v="4423"/>
    <x v="357"/>
  </r>
  <r>
    <x v="4424"/>
    <x v="502"/>
  </r>
  <r>
    <x v="4425"/>
    <x v="961"/>
  </r>
  <r>
    <x v="4426"/>
    <x v="607"/>
  </r>
  <r>
    <x v="4427"/>
    <x v="536"/>
  </r>
  <r>
    <x v="4428"/>
    <x v="85"/>
  </r>
  <r>
    <x v="4429"/>
    <x v="166"/>
  </r>
  <r>
    <x v="4430"/>
    <x v="773"/>
  </r>
  <r>
    <x v="4431"/>
    <x v="577"/>
  </r>
  <r>
    <x v="4432"/>
    <x v="835"/>
  </r>
  <r>
    <x v="4433"/>
    <x v="56"/>
  </r>
  <r>
    <x v="4434"/>
    <x v="938"/>
  </r>
  <r>
    <x v="4435"/>
    <x v="351"/>
  </r>
  <r>
    <x v="4436"/>
    <x v="584"/>
  </r>
  <r>
    <x v="4437"/>
    <x v="478"/>
  </r>
  <r>
    <x v="4438"/>
    <x v="823"/>
  </r>
  <r>
    <x v="4439"/>
    <x v="437"/>
  </r>
  <r>
    <x v="4440"/>
    <x v="577"/>
  </r>
  <r>
    <x v="4441"/>
    <x v="583"/>
  </r>
  <r>
    <x v="4442"/>
    <x v="577"/>
  </r>
  <r>
    <x v="4443"/>
    <x v="577"/>
  </r>
  <r>
    <x v="4444"/>
    <x v="577"/>
  </r>
  <r>
    <x v="4445"/>
    <x v="577"/>
  </r>
  <r>
    <x v="4446"/>
    <x v="348"/>
  </r>
  <r>
    <x v="4447"/>
    <x v="577"/>
  </r>
  <r>
    <x v="4448"/>
    <x v="935"/>
  </r>
  <r>
    <x v="4449"/>
    <x v="577"/>
  </r>
  <r>
    <x v="4450"/>
    <x v="387"/>
  </r>
  <r>
    <x v="4451"/>
    <x v="729"/>
  </r>
  <r>
    <x v="4452"/>
    <x v="577"/>
  </r>
  <r>
    <x v="4453"/>
    <x v="225"/>
  </r>
  <r>
    <x v="4454"/>
    <x v="186"/>
  </r>
  <r>
    <x v="4455"/>
    <x v="130"/>
  </r>
  <r>
    <x v="4456"/>
    <x v="125"/>
  </r>
  <r>
    <x v="4457"/>
    <x v="422"/>
  </r>
  <r>
    <x v="4458"/>
    <x v="577"/>
  </r>
  <r>
    <x v="4459"/>
    <x v="577"/>
  </r>
  <r>
    <x v="4460"/>
    <x v="329"/>
  </r>
  <r>
    <x v="4461"/>
    <x v="420"/>
  </r>
  <r>
    <x v="4462"/>
    <x v="577"/>
  </r>
  <r>
    <x v="4463"/>
    <x v="88"/>
  </r>
  <r>
    <x v="4464"/>
    <x v="329"/>
  </r>
  <r>
    <x v="4465"/>
    <x v="577"/>
  </r>
  <r>
    <x v="4466"/>
    <x v="132"/>
  </r>
  <r>
    <x v="4467"/>
    <x v="577"/>
  </r>
  <r>
    <x v="4468"/>
    <x v="532"/>
  </r>
  <r>
    <x v="4469"/>
    <x v="219"/>
  </r>
  <r>
    <x v="4470"/>
    <x v="935"/>
  </r>
  <r>
    <x v="4471"/>
    <x v="659"/>
  </r>
  <r>
    <x v="4472"/>
    <x v="351"/>
  </r>
  <r>
    <x v="4473"/>
    <x v="495"/>
  </r>
  <r>
    <x v="4474"/>
    <x v="385"/>
  </r>
  <r>
    <x v="4475"/>
    <x v="247"/>
  </r>
  <r>
    <x v="4476"/>
    <x v="191"/>
  </r>
  <r>
    <x v="4477"/>
    <x v="726"/>
  </r>
  <r>
    <x v="4478"/>
    <x v="940"/>
  </r>
  <r>
    <x v="4479"/>
    <x v="607"/>
  </r>
  <r>
    <x v="4480"/>
    <x v="329"/>
  </r>
  <r>
    <x v="4481"/>
    <x v="178"/>
  </r>
  <r>
    <x v="4482"/>
    <x v="871"/>
  </r>
  <r>
    <x v="4483"/>
    <x v="824"/>
  </r>
  <r>
    <x v="4484"/>
    <x v="1045"/>
  </r>
  <r>
    <x v="4485"/>
    <x v="882"/>
  </r>
  <r>
    <x v="4486"/>
    <x v="387"/>
  </r>
  <r>
    <x v="4487"/>
    <x v="577"/>
  </r>
  <r>
    <x v="4488"/>
    <x v="668"/>
  </r>
  <r>
    <x v="4489"/>
    <x v="685"/>
  </r>
  <r>
    <x v="4490"/>
    <x v="531"/>
  </r>
  <r>
    <x v="4491"/>
    <x v="697"/>
  </r>
  <r>
    <x v="4492"/>
    <x v="129"/>
  </r>
  <r>
    <x v="4493"/>
    <x v="577"/>
  </r>
  <r>
    <x v="4494"/>
    <x v="384"/>
  </r>
  <r>
    <x v="4495"/>
    <x v="235"/>
  </r>
  <r>
    <x v="4496"/>
    <x v="54"/>
  </r>
  <r>
    <x v="4497"/>
    <x v="158"/>
  </r>
  <r>
    <x v="4498"/>
    <x v="456"/>
  </r>
  <r>
    <x v="4499"/>
    <x v="941"/>
  </r>
  <r>
    <x v="4500"/>
    <x v="166"/>
  </r>
  <r>
    <x v="4501"/>
    <x v="577"/>
  </r>
  <r>
    <x v="4502"/>
    <x v="132"/>
  </r>
  <r>
    <x v="4503"/>
    <x v="329"/>
  </r>
  <r>
    <x v="4504"/>
    <x v="896"/>
  </r>
  <r>
    <x v="4505"/>
    <x v="124"/>
  </r>
  <r>
    <x v="4506"/>
    <x v="132"/>
  </r>
  <r>
    <x v="4507"/>
    <x v="999"/>
  </r>
  <r>
    <x v="4508"/>
    <x v="600"/>
  </r>
  <r>
    <x v="4509"/>
    <x v="577"/>
  </r>
  <r>
    <x v="4510"/>
    <x v="577"/>
  </r>
  <r>
    <x v="4511"/>
    <x v="559"/>
  </r>
  <r>
    <x v="4512"/>
    <x v="261"/>
  </r>
  <r>
    <x v="4513"/>
    <x v="577"/>
  </r>
  <r>
    <x v="4514"/>
    <x v="609"/>
  </r>
  <r>
    <x v="4515"/>
    <x v="450"/>
  </r>
  <r>
    <x v="4516"/>
    <x v="397"/>
  </r>
  <r>
    <x v="4517"/>
    <x v="250"/>
  </r>
  <r>
    <x v="4518"/>
    <x v="0"/>
  </r>
  <r>
    <x v="4519"/>
    <x v="463"/>
  </r>
  <r>
    <x v="4520"/>
    <x v="677"/>
  </r>
  <r>
    <x v="4521"/>
    <x v="546"/>
  </r>
  <r>
    <x v="4522"/>
    <x v="271"/>
  </r>
  <r>
    <x v="4523"/>
    <x v="833"/>
  </r>
  <r>
    <x v="4524"/>
    <x v="277"/>
  </r>
  <r>
    <x v="4525"/>
    <x v="831"/>
  </r>
  <r>
    <x v="4526"/>
    <x v="639"/>
  </r>
  <r>
    <x v="4527"/>
    <x v="1004"/>
  </r>
  <r>
    <x v="4528"/>
    <x v="683"/>
  </r>
  <r>
    <x v="4529"/>
    <x v="97"/>
  </r>
  <r>
    <x v="4530"/>
    <x v="552"/>
  </r>
  <r>
    <x v="4531"/>
    <x v="628"/>
  </r>
  <r>
    <x v="4532"/>
    <x v="351"/>
  </r>
  <r>
    <x v="4533"/>
    <x v="351"/>
  </r>
  <r>
    <x v="4534"/>
    <x v="885"/>
  </r>
  <r>
    <x v="4535"/>
    <x v="577"/>
  </r>
  <r>
    <x v="4536"/>
    <x v="577"/>
  </r>
  <r>
    <x v="4537"/>
    <x v="727"/>
  </r>
  <r>
    <x v="4538"/>
    <x v="105"/>
  </r>
  <r>
    <x v="4539"/>
    <x v="81"/>
  </r>
  <r>
    <x v="4540"/>
    <x v="197"/>
  </r>
  <r>
    <x v="4541"/>
    <x v="699"/>
  </r>
  <r>
    <x v="4542"/>
    <x v="392"/>
  </r>
  <r>
    <x v="4543"/>
    <x v="577"/>
  </r>
  <r>
    <x v="4544"/>
    <x v="205"/>
  </r>
  <r>
    <x v="4545"/>
    <x v="1024"/>
  </r>
  <r>
    <x v="4546"/>
    <x v="577"/>
  </r>
  <r>
    <x v="4547"/>
    <x v="814"/>
  </r>
  <r>
    <x v="4548"/>
    <x v="684"/>
  </r>
  <r>
    <x v="4549"/>
    <x v="277"/>
  </r>
  <r>
    <x v="4550"/>
    <x v="77"/>
  </r>
  <r>
    <x v="4551"/>
    <x v="1020"/>
  </r>
  <r>
    <x v="4552"/>
    <x v="436"/>
  </r>
  <r>
    <x v="4553"/>
    <x v="488"/>
  </r>
  <r>
    <x v="4554"/>
    <x v="914"/>
  </r>
  <r>
    <x v="4555"/>
    <x v="703"/>
  </r>
  <r>
    <x v="4556"/>
    <x v="850"/>
  </r>
  <r>
    <x v="4557"/>
    <x v="601"/>
  </r>
  <r>
    <x v="4558"/>
    <x v="1020"/>
  </r>
  <r>
    <x v="4559"/>
    <x v="290"/>
  </r>
  <r>
    <x v="4560"/>
    <x v="258"/>
  </r>
  <r>
    <x v="4561"/>
    <x v="897"/>
  </r>
  <r>
    <x v="4562"/>
    <x v="0"/>
  </r>
  <r>
    <x v="4563"/>
    <x v="224"/>
  </r>
  <r>
    <x v="4564"/>
    <x v="387"/>
  </r>
  <r>
    <x v="4565"/>
    <x v="387"/>
  </r>
  <r>
    <x v="4566"/>
    <x v="963"/>
  </r>
  <r>
    <x v="4567"/>
    <x v="279"/>
  </r>
  <r>
    <x v="4568"/>
    <x v="873"/>
  </r>
  <r>
    <x v="4569"/>
    <x v="498"/>
  </r>
  <r>
    <x v="4570"/>
    <x v="593"/>
  </r>
  <r>
    <x v="4571"/>
    <x v="775"/>
  </r>
  <r>
    <x v="4572"/>
    <x v="753"/>
  </r>
  <r>
    <x v="4573"/>
    <x v="539"/>
  </r>
  <r>
    <x v="4574"/>
    <x v="728"/>
  </r>
  <r>
    <x v="4575"/>
    <x v="478"/>
  </r>
  <r>
    <x v="4576"/>
    <x v="131"/>
  </r>
  <r>
    <x v="4577"/>
    <x v="577"/>
  </r>
  <r>
    <x v="4578"/>
    <x v="577"/>
  </r>
  <r>
    <x v="4579"/>
    <x v="726"/>
  </r>
  <r>
    <x v="4580"/>
    <x v="577"/>
  </r>
  <r>
    <x v="4581"/>
    <x v="137"/>
  </r>
  <r>
    <x v="4582"/>
    <x v="892"/>
  </r>
  <r>
    <x v="4583"/>
    <x v="661"/>
  </r>
  <r>
    <x v="4584"/>
    <x v="70"/>
  </r>
  <r>
    <x v="4585"/>
    <x v="517"/>
  </r>
  <r>
    <x v="4586"/>
    <x v="211"/>
  </r>
  <r>
    <x v="4587"/>
    <x v="577"/>
  </r>
  <r>
    <x v="4588"/>
    <x v="343"/>
  </r>
  <r>
    <x v="4589"/>
    <x v="219"/>
  </r>
  <r>
    <x v="4590"/>
    <x v="577"/>
  </r>
  <r>
    <x v="4591"/>
    <x v="1024"/>
  </r>
  <r>
    <x v="4592"/>
    <x v="820"/>
  </r>
  <r>
    <x v="4593"/>
    <x v="820"/>
  </r>
  <r>
    <x v="4594"/>
    <x v="509"/>
  </r>
  <r>
    <x v="4595"/>
    <x v="577"/>
  </r>
  <r>
    <x v="4596"/>
    <x v="616"/>
  </r>
  <r>
    <x v="4597"/>
    <x v="732"/>
  </r>
  <r>
    <x v="4598"/>
    <x v="805"/>
  </r>
  <r>
    <x v="4599"/>
    <x v="478"/>
  </r>
  <r>
    <x v="4600"/>
    <x v="156"/>
  </r>
  <r>
    <x v="4601"/>
    <x v="577"/>
  </r>
  <r>
    <x v="4602"/>
    <x v="477"/>
  </r>
  <r>
    <x v="4603"/>
    <x v="742"/>
  </r>
  <r>
    <x v="4604"/>
    <x v="607"/>
  </r>
  <r>
    <x v="4605"/>
    <x v="105"/>
  </r>
  <r>
    <x v="4606"/>
    <x v="567"/>
  </r>
  <r>
    <x v="4607"/>
    <x v="465"/>
  </r>
  <r>
    <x v="4608"/>
    <x v="567"/>
  </r>
  <r>
    <x v="4609"/>
    <x v="544"/>
  </r>
  <r>
    <x v="4610"/>
    <x v="302"/>
  </r>
  <r>
    <x v="4611"/>
    <x v="684"/>
  </r>
  <r>
    <x v="4612"/>
    <x v="533"/>
  </r>
  <r>
    <x v="4613"/>
    <x v="462"/>
  </r>
  <r>
    <x v="4614"/>
    <x v="910"/>
  </r>
  <r>
    <x v="4615"/>
    <x v="544"/>
  </r>
  <r>
    <x v="4616"/>
    <x v="577"/>
  </r>
  <r>
    <x v="4617"/>
    <x v="606"/>
  </r>
  <r>
    <x v="4618"/>
    <x v="577"/>
  </r>
  <r>
    <x v="4619"/>
    <x v="298"/>
  </r>
  <r>
    <x v="4620"/>
    <x v="577"/>
  </r>
  <r>
    <x v="4621"/>
    <x v="387"/>
  </r>
  <r>
    <x v="4622"/>
    <x v="217"/>
  </r>
  <r>
    <x v="4623"/>
    <x v="871"/>
  </r>
  <r>
    <x v="4624"/>
    <x v="825"/>
  </r>
  <r>
    <x v="4625"/>
    <x v="885"/>
  </r>
  <r>
    <x v="4626"/>
    <x v="199"/>
  </r>
  <r>
    <x v="4627"/>
    <x v="577"/>
  </r>
  <r>
    <x v="4628"/>
    <x v="684"/>
  </r>
  <r>
    <x v="4629"/>
    <x v="854"/>
  </r>
  <r>
    <x v="4630"/>
    <x v="114"/>
  </r>
  <r>
    <x v="4631"/>
    <x v="891"/>
  </r>
  <r>
    <x v="4632"/>
    <x v="727"/>
  </r>
  <r>
    <x v="4633"/>
    <x v="61"/>
  </r>
  <r>
    <x v="4634"/>
    <x v="429"/>
  </r>
  <r>
    <x v="4635"/>
    <x v="832"/>
  </r>
  <r>
    <x v="4636"/>
    <x v="577"/>
  </r>
  <r>
    <x v="4637"/>
    <x v="357"/>
  </r>
  <r>
    <x v="4638"/>
    <x v="802"/>
  </r>
  <r>
    <x v="4639"/>
    <x v="546"/>
  </r>
  <r>
    <x v="4640"/>
    <x v="291"/>
  </r>
  <r>
    <x v="4641"/>
    <x v="752"/>
  </r>
  <r>
    <x v="4642"/>
    <x v="577"/>
  </r>
  <r>
    <x v="4643"/>
    <x v="577"/>
  </r>
  <r>
    <x v="4644"/>
    <x v="577"/>
  </r>
  <r>
    <x v="4645"/>
    <x v="39"/>
  </r>
  <r>
    <x v="4646"/>
    <x v="557"/>
  </r>
  <r>
    <x v="4647"/>
    <x v="567"/>
  </r>
  <r>
    <x v="4648"/>
    <x v="1045"/>
  </r>
  <r>
    <x v="4649"/>
    <x v="73"/>
  </r>
  <r>
    <x v="4650"/>
    <x v="234"/>
  </r>
  <r>
    <x v="4651"/>
    <x v="66"/>
  </r>
  <r>
    <x v="4652"/>
    <x v="1023"/>
  </r>
  <r>
    <x v="4653"/>
    <x v="577"/>
  </r>
  <r>
    <x v="4654"/>
    <x v="614"/>
  </r>
  <r>
    <x v="4655"/>
    <x v="468"/>
  </r>
  <r>
    <x v="4656"/>
    <x v="47"/>
  </r>
  <r>
    <x v="4657"/>
    <x v="607"/>
  </r>
  <r>
    <x v="4658"/>
    <x v="577"/>
  </r>
  <r>
    <x v="4659"/>
    <x v="0"/>
  </r>
  <r>
    <x v="4660"/>
    <x v="61"/>
  </r>
  <r>
    <x v="4661"/>
    <x v="44"/>
  </r>
  <r>
    <x v="4662"/>
    <x v="590"/>
  </r>
  <r>
    <x v="4663"/>
    <x v="329"/>
  </r>
  <r>
    <x v="4664"/>
    <x v="749"/>
  </r>
  <r>
    <x v="4665"/>
    <x v="371"/>
  </r>
  <r>
    <x v="4666"/>
    <x v="138"/>
  </r>
  <r>
    <x v="4667"/>
    <x v="186"/>
  </r>
  <r>
    <x v="4668"/>
    <x v="309"/>
  </r>
  <r>
    <x v="4669"/>
    <x v="818"/>
  </r>
  <r>
    <x v="4670"/>
    <x v="228"/>
  </r>
  <r>
    <x v="4671"/>
    <x v="208"/>
  </r>
  <r>
    <x v="4672"/>
    <x v="577"/>
  </r>
  <r>
    <x v="4673"/>
    <x v="415"/>
  </r>
  <r>
    <x v="4674"/>
    <x v="577"/>
  </r>
  <r>
    <x v="4675"/>
    <x v="329"/>
  </r>
  <r>
    <x v="4676"/>
    <x v="577"/>
  </r>
  <r>
    <x v="4677"/>
    <x v="968"/>
  </r>
  <r>
    <x v="4678"/>
    <x v="770"/>
  </r>
  <r>
    <x v="4679"/>
    <x v="132"/>
  </r>
  <r>
    <x v="4680"/>
    <x v="120"/>
  </r>
  <r>
    <x v="4681"/>
    <x v="577"/>
  </r>
  <r>
    <x v="4682"/>
    <x v="278"/>
  </r>
  <r>
    <x v="4683"/>
    <x v="897"/>
  </r>
  <r>
    <x v="4684"/>
    <x v="835"/>
  </r>
  <r>
    <x v="4685"/>
    <x v="577"/>
  </r>
  <r>
    <x v="4686"/>
    <x v="207"/>
  </r>
  <r>
    <x v="4687"/>
    <x v="781"/>
  </r>
  <r>
    <x v="4688"/>
    <x v="88"/>
  </r>
  <r>
    <x v="4689"/>
    <x v="86"/>
  </r>
  <r>
    <x v="4690"/>
    <x v="880"/>
  </r>
  <r>
    <x v="4691"/>
    <x v="744"/>
  </r>
  <r>
    <x v="4692"/>
    <x v="0"/>
  </r>
  <r>
    <x v="4693"/>
    <x v="753"/>
  </r>
  <r>
    <x v="4694"/>
    <x v="152"/>
  </r>
  <r>
    <x v="4695"/>
    <x v="383"/>
  </r>
  <r>
    <x v="4696"/>
    <x v="804"/>
  </r>
  <r>
    <x v="4697"/>
    <x v="1045"/>
  </r>
  <r>
    <x v="4698"/>
    <x v="452"/>
  </r>
  <r>
    <x v="4699"/>
    <x v="721"/>
  </r>
  <r>
    <x v="4700"/>
    <x v="826"/>
  </r>
  <r>
    <x v="4701"/>
    <x v="281"/>
  </r>
  <r>
    <x v="4702"/>
    <x v="123"/>
  </r>
  <r>
    <x v="4704"/>
    <x v="0"/>
  </r>
  <r>
    <x v="4703"/>
    <x v="736"/>
  </r>
  <r>
    <x v="4705"/>
    <x v="5"/>
  </r>
  <r>
    <x v="4706"/>
    <x v="1024"/>
  </r>
  <r>
    <x v="4707"/>
    <x v="145"/>
  </r>
  <r>
    <x v="4708"/>
    <x v="685"/>
  </r>
  <r>
    <x v="4709"/>
    <x v="441"/>
  </r>
  <r>
    <x v="4710"/>
    <x v="398"/>
  </r>
  <r>
    <x v="4711"/>
    <x v="243"/>
  </r>
  <r>
    <x v="4712"/>
    <x v="577"/>
  </r>
  <r>
    <x v="4713"/>
    <x v="923"/>
  </r>
  <r>
    <x v="4714"/>
    <x v="775"/>
  </r>
  <r>
    <x v="4715"/>
    <x v="549"/>
  </r>
  <r>
    <x v="4716"/>
    <x v="740"/>
  </r>
  <r>
    <x v="4717"/>
    <x v="329"/>
  </r>
  <r>
    <x v="4718"/>
    <x v="944"/>
  </r>
  <r>
    <x v="4719"/>
    <x v="26"/>
  </r>
  <r>
    <x v="4720"/>
    <x v="786"/>
  </r>
  <r>
    <x v="4721"/>
    <x v="494"/>
  </r>
  <r>
    <x v="4722"/>
    <x v="387"/>
  </r>
  <r>
    <x v="4723"/>
    <x v="122"/>
  </r>
  <r>
    <x v="4724"/>
    <x v="211"/>
  </r>
  <r>
    <x v="4725"/>
    <x v="582"/>
  </r>
  <r>
    <x v="4726"/>
    <x v="495"/>
  </r>
  <r>
    <x v="4727"/>
    <x v="415"/>
  </r>
  <r>
    <x v="4728"/>
    <x v="477"/>
  </r>
  <r>
    <x v="4729"/>
    <x v="289"/>
  </r>
  <r>
    <x v="4730"/>
    <x v="970"/>
  </r>
  <r>
    <x v="4731"/>
    <x v="577"/>
  </r>
  <r>
    <x v="4732"/>
    <x v="577"/>
  </r>
  <r>
    <x v="4733"/>
    <x v="253"/>
  </r>
  <r>
    <x v="4734"/>
    <x v="577"/>
  </r>
  <r>
    <x v="4735"/>
    <x v="577"/>
  </r>
  <r>
    <x v="4736"/>
    <x v="577"/>
  </r>
  <r>
    <x v="4737"/>
    <x v="8"/>
  </r>
  <r>
    <x v="4738"/>
    <x v="831"/>
  </r>
  <r>
    <x v="4739"/>
    <x v="546"/>
  </r>
  <r>
    <x v="4740"/>
    <x v="100"/>
  </r>
  <r>
    <x v="4741"/>
    <x v="903"/>
  </r>
  <r>
    <x v="4742"/>
    <x v="996"/>
  </r>
  <r>
    <x v="4743"/>
    <x v="577"/>
  </r>
  <r>
    <x v="4744"/>
    <x v="195"/>
  </r>
  <r>
    <x v="4745"/>
    <x v="170"/>
  </r>
  <r>
    <x v="4746"/>
    <x v="665"/>
  </r>
  <r>
    <x v="4747"/>
    <x v="577"/>
  </r>
  <r>
    <x v="4748"/>
    <x v="833"/>
  </r>
  <r>
    <x v="4749"/>
    <x v="577"/>
  </r>
  <r>
    <x v="4750"/>
    <x v="810"/>
  </r>
  <r>
    <x v="4751"/>
    <x v="685"/>
  </r>
  <r>
    <x v="4752"/>
    <x v="577"/>
  </r>
  <r>
    <x v="4753"/>
    <x v="868"/>
  </r>
  <r>
    <x v="4754"/>
    <x v="387"/>
  </r>
  <r>
    <x v="4755"/>
    <x v="87"/>
  </r>
  <r>
    <x v="4756"/>
    <x v="577"/>
  </r>
  <r>
    <x v="4757"/>
    <x v="835"/>
  </r>
  <r>
    <x v="4758"/>
    <x v="601"/>
  </r>
  <r>
    <x v="4759"/>
    <x v="387"/>
  </r>
  <r>
    <x v="4760"/>
    <x v="112"/>
  </r>
  <r>
    <x v="4761"/>
    <x v="512"/>
  </r>
  <r>
    <x v="4762"/>
    <x v="0"/>
  </r>
  <r>
    <x v="4763"/>
    <x v="519"/>
  </r>
  <r>
    <x v="4764"/>
    <x v="36"/>
  </r>
  <r>
    <x v="4765"/>
    <x v="12"/>
  </r>
  <r>
    <x v="4766"/>
    <x v="577"/>
  </r>
  <r>
    <x v="4767"/>
    <x v="577"/>
  </r>
  <r>
    <x v="4768"/>
    <x v="607"/>
  </r>
  <r>
    <x v="4769"/>
    <x v="107"/>
  </r>
  <r>
    <x v="4770"/>
    <x v="559"/>
  </r>
  <r>
    <x v="4771"/>
    <x v="577"/>
  </r>
  <r>
    <x v="4772"/>
    <x v="765"/>
  </r>
  <r>
    <x v="4773"/>
    <x v="50"/>
  </r>
  <r>
    <x v="4774"/>
    <x v="412"/>
  </r>
  <r>
    <x v="4775"/>
    <x v="227"/>
  </r>
  <r>
    <x v="4776"/>
    <x v="221"/>
  </r>
  <r>
    <x v="4777"/>
    <x v="131"/>
  </r>
  <r>
    <x v="4778"/>
    <x v="597"/>
  </r>
  <r>
    <x v="4779"/>
    <x v="317"/>
  </r>
  <r>
    <x v="4780"/>
    <x v="317"/>
  </r>
  <r>
    <x v="4781"/>
    <x v="234"/>
  </r>
  <r>
    <x v="4782"/>
    <x v="727"/>
  </r>
  <r>
    <x v="4783"/>
    <x v="727"/>
  </r>
  <r>
    <x v="4784"/>
    <x v="727"/>
  </r>
  <r>
    <x v="4785"/>
    <x v="204"/>
  </r>
  <r>
    <x v="4786"/>
    <x v="557"/>
  </r>
  <r>
    <x v="4787"/>
    <x v="329"/>
  </r>
  <r>
    <x v="4788"/>
    <x v="577"/>
  </r>
  <r>
    <x v="4789"/>
    <x v="859"/>
  </r>
  <r>
    <x v="4790"/>
    <x v="647"/>
  </r>
  <r>
    <x v="4791"/>
    <x v="132"/>
  </r>
  <r>
    <x v="4792"/>
    <x v="453"/>
  </r>
  <r>
    <x v="4793"/>
    <x v="824"/>
  </r>
  <r>
    <x v="4794"/>
    <x v="847"/>
  </r>
  <r>
    <x v="4795"/>
    <x v="360"/>
  </r>
  <r>
    <x v="4796"/>
    <x v="405"/>
  </r>
  <r>
    <x v="4797"/>
    <x v="540"/>
  </r>
  <r>
    <x v="4798"/>
    <x v="705"/>
  </r>
  <r>
    <x v="4799"/>
    <x v="409"/>
  </r>
  <r>
    <x v="4800"/>
    <x v="607"/>
  </r>
  <r>
    <x v="4801"/>
    <x v="790"/>
  </r>
  <r>
    <x v="4802"/>
    <x v="329"/>
  </r>
  <r>
    <x v="4803"/>
    <x v="805"/>
  </r>
  <r>
    <x v="4804"/>
    <x v="788"/>
  </r>
  <r>
    <x v="4805"/>
    <x v="499"/>
  </r>
  <r>
    <x v="4806"/>
    <x v="805"/>
  </r>
  <r>
    <x v="4807"/>
    <x v="495"/>
  </r>
  <r>
    <x v="4808"/>
    <x v="0"/>
  </r>
  <r>
    <x v="4809"/>
    <x v="219"/>
  </r>
  <r>
    <x v="4810"/>
    <x v="661"/>
  </r>
  <r>
    <x v="4811"/>
    <x v="577"/>
  </r>
  <r>
    <x v="4812"/>
    <x v="517"/>
  </r>
  <r>
    <x v="4813"/>
    <x v="577"/>
  </r>
  <r>
    <x v="4814"/>
    <x v="333"/>
  </r>
  <r>
    <x v="4815"/>
    <x v="577"/>
  </r>
  <r>
    <x v="4816"/>
    <x v="847"/>
  </r>
  <r>
    <x v="4817"/>
    <x v="577"/>
  </r>
  <r>
    <x v="4818"/>
    <x v="896"/>
  </r>
  <r>
    <x v="4819"/>
    <x v="101"/>
  </r>
  <r>
    <x v="4820"/>
    <x v="173"/>
  </r>
  <r>
    <x v="4821"/>
    <x v="309"/>
  </r>
  <r>
    <x v="4822"/>
    <x v="825"/>
  </r>
  <r>
    <x v="4823"/>
    <x v="325"/>
  </r>
  <r>
    <x v="4824"/>
    <x v="577"/>
  </r>
  <r>
    <x v="4825"/>
    <x v="896"/>
  </r>
  <r>
    <x v="4826"/>
    <x v="0"/>
  </r>
  <r>
    <x v="4827"/>
    <x v="473"/>
  </r>
  <r>
    <x v="4828"/>
    <x v="684"/>
  </r>
  <r>
    <x v="4829"/>
    <x v="746"/>
  </r>
  <r>
    <x v="4830"/>
    <x v="132"/>
  </r>
  <r>
    <x v="4831"/>
    <x v="577"/>
  </r>
  <r>
    <x v="4832"/>
    <x v="29"/>
  </r>
  <r>
    <x v="4833"/>
    <x v="98"/>
  </r>
  <r>
    <x v="4834"/>
    <x v="824"/>
  </r>
  <r>
    <x v="4835"/>
    <x v="387"/>
  </r>
  <r>
    <x v="4836"/>
    <x v="577"/>
  </r>
  <r>
    <x v="4837"/>
    <x v="577"/>
  </r>
  <r>
    <x v="4838"/>
    <x v="462"/>
  </r>
  <r>
    <x v="4839"/>
    <x v="150"/>
  </r>
  <r>
    <x v="4840"/>
    <x v="577"/>
  </r>
  <r>
    <x v="4841"/>
    <x v="267"/>
  </r>
  <r>
    <x v="4842"/>
    <x v="1032"/>
  </r>
  <r>
    <x v="4843"/>
    <x v="577"/>
  </r>
  <r>
    <x v="4844"/>
    <x v="350"/>
  </r>
  <r>
    <x v="4845"/>
    <x v="26"/>
  </r>
  <r>
    <x v="4846"/>
    <x v="161"/>
  </r>
  <r>
    <x v="4847"/>
    <x v="107"/>
  </r>
  <r>
    <x v="4848"/>
    <x v="293"/>
  </r>
  <r>
    <x v="4849"/>
    <x v="658"/>
  </r>
  <r>
    <x v="4850"/>
    <x v="356"/>
  </r>
  <r>
    <x v="4851"/>
    <x v="648"/>
  </r>
  <r>
    <x v="4852"/>
    <x v="872"/>
  </r>
  <r>
    <x v="4853"/>
    <x v="346"/>
  </r>
  <r>
    <x v="4854"/>
    <x v="964"/>
  </r>
  <r>
    <x v="4855"/>
    <x v="848"/>
  </r>
  <r>
    <x v="4856"/>
    <x v="306"/>
  </r>
  <r>
    <x v="4857"/>
    <x v="166"/>
  </r>
  <r>
    <x v="4858"/>
    <x v="617"/>
  </r>
  <r>
    <x v="4859"/>
    <x v="99"/>
  </r>
  <r>
    <x v="4860"/>
    <x v="1037"/>
  </r>
  <r>
    <x v="4861"/>
    <x v="510"/>
  </r>
  <r>
    <x v="4862"/>
    <x v="577"/>
  </r>
  <r>
    <x v="4863"/>
    <x v="478"/>
  </r>
  <r>
    <x v="4864"/>
    <x v="0"/>
  </r>
  <r>
    <x v="4865"/>
    <x v="577"/>
  </r>
  <r>
    <x v="4866"/>
    <x v="1028"/>
  </r>
  <r>
    <x v="4867"/>
    <x v="695"/>
  </r>
  <r>
    <x v="4868"/>
    <x v="685"/>
  </r>
  <r>
    <x v="4869"/>
    <x v="577"/>
  </r>
  <r>
    <x v="4870"/>
    <x v="577"/>
  </r>
  <r>
    <x v="4871"/>
    <x v="609"/>
  </r>
  <r>
    <x v="4872"/>
    <x v="100"/>
  </r>
  <r>
    <x v="4873"/>
    <x v="860"/>
  </r>
  <r>
    <x v="4874"/>
    <x v="833"/>
  </r>
  <r>
    <x v="4875"/>
    <x v="544"/>
  </r>
  <r>
    <x v="4876"/>
    <x v="495"/>
  </r>
  <r>
    <x v="4877"/>
    <x v="602"/>
  </r>
  <r>
    <x v="4878"/>
    <x v="912"/>
  </r>
  <r>
    <x v="4879"/>
    <x v="577"/>
  </r>
  <r>
    <x v="4880"/>
    <x v="753"/>
  </r>
  <r>
    <x v="4881"/>
    <x v="837"/>
  </r>
  <r>
    <x v="4882"/>
    <x v="1044"/>
  </r>
  <r>
    <x v="4883"/>
    <x v="132"/>
  </r>
  <r>
    <x v="4884"/>
    <x v="492"/>
  </r>
  <r>
    <x v="4885"/>
    <x v="577"/>
  </r>
  <r>
    <x v="4886"/>
    <x v="577"/>
  </r>
  <r>
    <x v="4887"/>
    <x v="546"/>
  </r>
  <r>
    <x v="4888"/>
    <x v="186"/>
  </r>
  <r>
    <x v="4889"/>
    <x v="387"/>
  </r>
  <r>
    <x v="4890"/>
    <x v="387"/>
  </r>
  <r>
    <x v="4891"/>
    <x v="833"/>
  </r>
  <r>
    <x v="4892"/>
    <x v="132"/>
  </r>
  <r>
    <x v="4893"/>
    <x v="607"/>
  </r>
  <r>
    <x v="4894"/>
    <x v="633"/>
  </r>
  <r>
    <x v="4895"/>
    <x v="189"/>
  </r>
  <r>
    <x v="4896"/>
    <x v="1014"/>
  </r>
  <r>
    <x v="4897"/>
    <x v="763"/>
  </r>
  <r>
    <x v="4898"/>
    <x v="679"/>
  </r>
  <r>
    <x v="4899"/>
    <x v="351"/>
  </r>
  <r>
    <x v="4900"/>
    <x v="1024"/>
  </r>
  <r>
    <x v="4901"/>
    <x v="546"/>
  </r>
  <r>
    <x v="4902"/>
    <x v="200"/>
  </r>
  <r>
    <x v="4903"/>
    <x v="696"/>
  </r>
  <r>
    <x v="4904"/>
    <x v="130"/>
  </r>
  <r>
    <x v="4905"/>
    <x v="544"/>
  </r>
  <r>
    <x v="4906"/>
    <x v="837"/>
  </r>
  <r>
    <x v="4907"/>
    <x v="422"/>
  </r>
  <r>
    <x v="4908"/>
    <x v="123"/>
  </r>
  <r>
    <x v="4909"/>
    <x v="858"/>
  </r>
  <r>
    <x v="4910"/>
    <x v="685"/>
  </r>
  <r>
    <x v="4911"/>
    <x v="132"/>
  </r>
  <r>
    <x v="4912"/>
    <x v="137"/>
  </r>
  <r>
    <x v="4913"/>
    <x v="445"/>
  </r>
  <r>
    <x v="4914"/>
    <x v="1045"/>
  </r>
  <r>
    <x v="4915"/>
    <x v="607"/>
  </r>
  <r>
    <x v="4916"/>
    <x v="395"/>
  </r>
  <r>
    <x v="4917"/>
    <x v="452"/>
  </r>
  <r>
    <x v="4918"/>
    <x v="138"/>
  </r>
  <r>
    <x v="4919"/>
    <x v="387"/>
  </r>
  <r>
    <x v="4920"/>
    <x v="626"/>
  </r>
  <r>
    <x v="4921"/>
    <x v="1045"/>
  </r>
  <r>
    <x v="4922"/>
    <x v="344"/>
  </r>
  <r>
    <x v="4923"/>
    <x v="405"/>
  </r>
  <r>
    <x v="4924"/>
    <x v="577"/>
  </r>
  <r>
    <x v="4925"/>
    <x v="567"/>
  </r>
  <r>
    <x v="4926"/>
    <x v="132"/>
  </r>
  <r>
    <x v="4927"/>
    <x v="1011"/>
  </r>
  <r>
    <x v="4928"/>
    <x v="805"/>
  </r>
  <r>
    <x v="4929"/>
    <x v="661"/>
  </r>
  <r>
    <x v="4930"/>
    <x v="102"/>
  </r>
  <r>
    <x v="4931"/>
    <x v="0"/>
  </r>
  <r>
    <x v="4932"/>
    <x v="882"/>
  </r>
  <r>
    <x v="4933"/>
    <x v="474"/>
  </r>
  <r>
    <x v="4934"/>
    <x v="474"/>
  </r>
  <r>
    <x v="4935"/>
    <x v="66"/>
  </r>
  <r>
    <x v="4936"/>
    <x v="924"/>
  </r>
  <r>
    <x v="4937"/>
    <x v="805"/>
  </r>
  <r>
    <x v="4938"/>
    <x v="277"/>
  </r>
  <r>
    <x v="4939"/>
    <x v="299"/>
  </r>
  <r>
    <x v="4940"/>
    <x v="134"/>
  </r>
  <r>
    <x v="4941"/>
    <x v="902"/>
  </r>
  <r>
    <x v="4942"/>
    <x v="544"/>
  </r>
  <r>
    <x v="4943"/>
    <x v="544"/>
  </r>
  <r>
    <x v="4944"/>
    <x v="0"/>
  </r>
  <r>
    <x v="4945"/>
    <x v="753"/>
  </r>
  <r>
    <x v="4946"/>
    <x v="577"/>
  </r>
  <r>
    <x v="4947"/>
    <x v="329"/>
  </r>
  <r>
    <x v="4948"/>
    <x v="577"/>
  </r>
  <r>
    <x v="4949"/>
    <x v="600"/>
  </r>
  <r>
    <x v="4950"/>
    <x v="291"/>
  </r>
  <r>
    <x v="4951"/>
    <x v="896"/>
  </r>
  <r>
    <x v="4952"/>
    <x v="855"/>
  </r>
  <r>
    <x v="4953"/>
    <x v="722"/>
  </r>
  <r>
    <x v="4954"/>
    <x v="26"/>
  </r>
  <r>
    <x v="4955"/>
    <x v="194"/>
  </r>
  <r>
    <x v="4956"/>
    <x v="577"/>
  </r>
  <r>
    <x v="4957"/>
    <x v="371"/>
  </r>
  <r>
    <x v="4958"/>
    <x v="349"/>
  </r>
  <r>
    <x v="4959"/>
    <x v="187"/>
  </r>
  <r>
    <x v="4960"/>
    <x v="811"/>
  </r>
  <r>
    <x v="4961"/>
    <x v="26"/>
  </r>
  <r>
    <x v="4962"/>
    <x v="474"/>
  </r>
  <r>
    <x v="4963"/>
    <x v="898"/>
  </r>
  <r>
    <x v="4964"/>
    <x v="706"/>
  </r>
  <r>
    <x v="4965"/>
    <x v="302"/>
  </r>
  <r>
    <x v="4966"/>
    <x v="198"/>
  </r>
  <r>
    <x v="4967"/>
    <x v="567"/>
  </r>
  <r>
    <x v="4968"/>
    <x v="480"/>
  </r>
  <r>
    <x v="4969"/>
    <x v="577"/>
  </r>
  <r>
    <x v="4970"/>
    <x v="785"/>
  </r>
  <r>
    <x v="4971"/>
    <x v="283"/>
  </r>
  <r>
    <x v="4972"/>
    <x v="432"/>
  </r>
  <r>
    <x v="4973"/>
    <x v="577"/>
  </r>
  <r>
    <x v="4974"/>
    <x v="567"/>
  </r>
  <r>
    <x v="4975"/>
    <x v="132"/>
  </r>
  <r>
    <x v="4976"/>
    <x v="385"/>
  </r>
  <r>
    <x v="4977"/>
    <x v="972"/>
  </r>
  <r>
    <x v="4978"/>
    <x v="107"/>
  </r>
  <r>
    <x v="4979"/>
    <x v="158"/>
  </r>
  <r>
    <x v="4980"/>
    <x v="790"/>
  </r>
  <r>
    <x v="4981"/>
    <x v="559"/>
  </r>
  <r>
    <x v="4982"/>
    <x v="120"/>
  </r>
  <r>
    <x v="4983"/>
    <x v="495"/>
  </r>
  <r>
    <x v="4984"/>
    <x v="351"/>
  </r>
  <r>
    <x v="4985"/>
    <x v="961"/>
  </r>
  <r>
    <x v="4986"/>
    <x v="307"/>
  </r>
  <r>
    <x v="4987"/>
    <x v="0"/>
  </r>
  <r>
    <x v="4988"/>
    <x v="680"/>
  </r>
  <r>
    <x v="4989"/>
    <x v="577"/>
  </r>
  <r>
    <x v="4990"/>
    <x v="387"/>
  </r>
  <r>
    <x v="4991"/>
    <x v="577"/>
  </r>
  <r>
    <x v="4992"/>
    <x v="577"/>
  </r>
  <r>
    <x v="4993"/>
    <x v="768"/>
  </r>
  <r>
    <x v="4994"/>
    <x v="306"/>
  </r>
  <r>
    <x v="4995"/>
    <x v="306"/>
  </r>
  <r>
    <x v="4996"/>
    <x v="196"/>
  </r>
  <r>
    <x v="4997"/>
    <x v="607"/>
  </r>
  <r>
    <x v="4998"/>
    <x v="805"/>
  </r>
  <r>
    <x v="4999"/>
    <x v="273"/>
  </r>
  <r>
    <x v="5000"/>
    <x v="623"/>
  </r>
  <r>
    <x v="5001"/>
    <x v="759"/>
  </r>
  <r>
    <x v="5002"/>
    <x v="534"/>
  </r>
  <r>
    <x v="5003"/>
    <x v="577"/>
  </r>
  <r>
    <x v="5004"/>
    <x v="658"/>
  </r>
  <r>
    <x v="5005"/>
    <x v="658"/>
  </r>
  <r>
    <x v="5006"/>
    <x v="776"/>
  </r>
  <r>
    <x v="5007"/>
    <x v="161"/>
  </r>
  <r>
    <x v="5008"/>
    <x v="408"/>
  </r>
  <r>
    <x v="5009"/>
    <x v="577"/>
  </r>
  <r>
    <x v="5010"/>
    <x v="128"/>
  </r>
  <r>
    <x v="5011"/>
    <x v="813"/>
  </r>
  <r>
    <x v="5012"/>
    <x v="577"/>
  </r>
  <r>
    <x v="5013"/>
    <x v="673"/>
  </r>
  <r>
    <x v="5014"/>
    <x v="577"/>
  </r>
  <r>
    <x v="5015"/>
    <x v="577"/>
  </r>
  <r>
    <x v="5016"/>
    <x v="847"/>
  </r>
  <r>
    <x v="5017"/>
    <x v="422"/>
  </r>
  <r>
    <x v="5018"/>
    <x v="422"/>
  </r>
  <r>
    <x v="5019"/>
    <x v="132"/>
  </r>
  <r>
    <x v="5020"/>
    <x v="790"/>
  </r>
  <r>
    <x v="5021"/>
    <x v="114"/>
  </r>
  <r>
    <x v="5022"/>
    <x v="981"/>
  </r>
  <r>
    <x v="5023"/>
    <x v="546"/>
  </r>
  <r>
    <x v="5024"/>
    <x v="241"/>
  </r>
  <r>
    <x v="5025"/>
    <x v="311"/>
  </r>
  <r>
    <x v="5026"/>
    <x v="727"/>
  </r>
  <r>
    <x v="5027"/>
    <x v="615"/>
  </r>
  <r>
    <x v="5028"/>
    <x v="952"/>
  </r>
  <r>
    <x v="5029"/>
    <x v="627"/>
  </r>
  <r>
    <x v="5030"/>
    <x v="790"/>
  </r>
  <r>
    <x v="5031"/>
    <x v="742"/>
  </r>
  <r>
    <x v="5032"/>
    <x v="516"/>
  </r>
  <r>
    <x v="5033"/>
    <x v="577"/>
  </r>
  <r>
    <x v="5034"/>
    <x v="73"/>
  </r>
  <r>
    <x v="5035"/>
    <x v="607"/>
  </r>
  <r>
    <x v="5036"/>
    <x v="573"/>
  </r>
  <r>
    <x v="5037"/>
    <x v="132"/>
  </r>
  <r>
    <x v="5038"/>
    <x v="759"/>
  </r>
  <r>
    <x v="5039"/>
    <x v="652"/>
  </r>
  <r>
    <x v="5040"/>
    <x v="884"/>
  </r>
  <r>
    <x v="5041"/>
    <x v="555"/>
  </r>
  <r>
    <x v="5042"/>
    <x v="577"/>
  </r>
  <r>
    <x v="5043"/>
    <x v="394"/>
  </r>
  <r>
    <x v="5044"/>
    <x v="577"/>
  </r>
  <r>
    <x v="5045"/>
    <x v="210"/>
  </r>
  <r>
    <x v="5046"/>
    <x v="833"/>
  </r>
  <r>
    <x v="5047"/>
    <x v="868"/>
  </r>
  <r>
    <x v="5048"/>
    <x v="544"/>
  </r>
  <r>
    <x v="5049"/>
    <x v="99"/>
  </r>
  <r>
    <x v="5050"/>
    <x v="577"/>
  </r>
  <r>
    <x v="5051"/>
    <x v="772"/>
  </r>
  <r>
    <x v="5052"/>
    <x v="742"/>
  </r>
  <r>
    <x v="5053"/>
    <x v="577"/>
  </r>
  <r>
    <x v="5054"/>
    <x v="212"/>
  </r>
  <r>
    <x v="5055"/>
    <x v="373"/>
  </r>
  <r>
    <x v="5056"/>
    <x v="872"/>
  </r>
  <r>
    <x v="5057"/>
    <x v="293"/>
  </r>
  <r>
    <x v="5058"/>
    <x v="577"/>
  </r>
  <r>
    <x v="5059"/>
    <x v="583"/>
  </r>
  <r>
    <x v="5060"/>
    <x v="992"/>
  </r>
  <r>
    <x v="5061"/>
    <x v="399"/>
  </r>
  <r>
    <x v="5062"/>
    <x v="544"/>
  </r>
  <r>
    <x v="5063"/>
    <x v="577"/>
  </r>
  <r>
    <x v="5064"/>
    <x v="684"/>
  </r>
  <r>
    <x v="5065"/>
    <x v="470"/>
  </r>
  <r>
    <x v="5066"/>
    <x v="788"/>
  </r>
  <r>
    <x v="5067"/>
    <x v="204"/>
  </r>
  <r>
    <x v="5068"/>
    <x v="577"/>
  </r>
  <r>
    <x v="5069"/>
    <x v="152"/>
  </r>
  <r>
    <x v="5070"/>
    <x v="658"/>
  </r>
  <r>
    <x v="5071"/>
    <x v="658"/>
  </r>
  <r>
    <x v="5072"/>
    <x v="167"/>
  </r>
  <r>
    <x v="5073"/>
    <x v="13"/>
  </r>
  <r>
    <x v="5074"/>
    <x v="677"/>
  </r>
  <r>
    <x v="5075"/>
    <x v="847"/>
  </r>
  <r>
    <x v="5076"/>
    <x v="732"/>
  </r>
  <r>
    <x v="5077"/>
    <x v="974"/>
  </r>
  <r>
    <x v="5078"/>
    <x v="210"/>
  </r>
  <r>
    <x v="5079"/>
    <x v="788"/>
  </r>
  <r>
    <x v="5080"/>
    <x v="874"/>
  </r>
  <r>
    <x v="5081"/>
    <x v="577"/>
  </r>
  <r>
    <x v="5082"/>
    <x v="577"/>
  </r>
  <r>
    <x v="5083"/>
    <x v="888"/>
  </r>
  <r>
    <x v="5084"/>
    <x v="283"/>
  </r>
  <r>
    <x v="5085"/>
    <x v="23"/>
  </r>
  <r>
    <x v="5086"/>
    <x v="891"/>
  </r>
  <r>
    <x v="5087"/>
    <x v="577"/>
  </r>
  <r>
    <x v="5088"/>
    <x v="711"/>
  </r>
  <r>
    <x v="5089"/>
    <x v="800"/>
  </r>
  <r>
    <x v="5090"/>
    <x v="694"/>
  </r>
  <r>
    <x v="5091"/>
    <x v="297"/>
  </r>
  <r>
    <x v="5092"/>
    <x v="662"/>
  </r>
  <r>
    <x v="5093"/>
    <x v="742"/>
  </r>
  <r>
    <x v="5094"/>
    <x v="10"/>
  </r>
  <r>
    <x v="5095"/>
    <x v="577"/>
  </r>
  <r>
    <x v="5096"/>
    <x v="915"/>
  </r>
  <r>
    <x v="5097"/>
    <x v="577"/>
  </r>
  <r>
    <x v="5098"/>
    <x v="577"/>
  </r>
  <r>
    <x v="5099"/>
    <x v="577"/>
  </r>
  <r>
    <x v="5100"/>
    <x v="577"/>
  </r>
  <r>
    <x v="5101"/>
    <x v="685"/>
  </r>
  <r>
    <x v="5102"/>
    <x v="567"/>
  </r>
  <r>
    <x v="5103"/>
    <x v="54"/>
  </r>
  <r>
    <x v="5104"/>
    <x v="577"/>
  </r>
  <r>
    <x v="5105"/>
    <x v="483"/>
  </r>
  <r>
    <x v="5106"/>
    <x v="77"/>
  </r>
  <r>
    <x v="5107"/>
    <x v="577"/>
  </r>
  <r>
    <x v="5108"/>
    <x v="957"/>
  </r>
  <r>
    <x v="5109"/>
    <x v="577"/>
  </r>
  <r>
    <x v="5110"/>
    <x v="845"/>
  </r>
  <r>
    <x v="5111"/>
    <x v="667"/>
  </r>
  <r>
    <x v="5112"/>
    <x v="511"/>
  </r>
  <r>
    <x v="5113"/>
    <x v="357"/>
  </r>
  <r>
    <x v="5114"/>
    <x v="695"/>
  </r>
  <r>
    <x v="5115"/>
    <x v="960"/>
  </r>
  <r>
    <x v="5116"/>
    <x v="577"/>
  </r>
  <r>
    <x v="5117"/>
    <x v="387"/>
  </r>
  <r>
    <x v="5118"/>
    <x v="577"/>
  </r>
  <r>
    <x v="5119"/>
    <x v="577"/>
  </r>
  <r>
    <x v="5120"/>
    <x v="1001"/>
  </r>
  <r>
    <x v="5121"/>
    <x v="60"/>
  </r>
  <r>
    <x v="5122"/>
    <x v="901"/>
  </r>
  <r>
    <x v="5123"/>
    <x v="16"/>
  </r>
  <r>
    <x v="5124"/>
    <x v="166"/>
  </r>
  <r>
    <x v="5125"/>
    <x v="166"/>
  </r>
  <r>
    <x v="5126"/>
    <x v="968"/>
  </r>
  <r>
    <x v="5127"/>
    <x v="291"/>
  </r>
  <r>
    <x v="5128"/>
    <x v="654"/>
  </r>
  <r>
    <x v="5129"/>
    <x v="577"/>
  </r>
  <r>
    <x v="5130"/>
    <x v="577"/>
  </r>
  <r>
    <x v="5131"/>
    <x v="1019"/>
  </r>
  <r>
    <x v="5132"/>
    <x v="577"/>
  </r>
  <r>
    <x v="5133"/>
    <x v="753"/>
  </r>
  <r>
    <x v="5134"/>
    <x v="703"/>
  </r>
  <r>
    <x v="5135"/>
    <x v="995"/>
  </r>
  <r>
    <x v="5136"/>
    <x v="423"/>
  </r>
  <r>
    <x v="5137"/>
    <x v="329"/>
  </r>
  <r>
    <x v="5138"/>
    <x v="685"/>
  </r>
  <r>
    <x v="5139"/>
    <x v="753"/>
  </r>
  <r>
    <x v="5140"/>
    <x v="1045"/>
  </r>
  <r>
    <x v="5141"/>
    <x v="599"/>
  </r>
  <r>
    <x v="5142"/>
    <x v="966"/>
  </r>
  <r>
    <x v="5143"/>
    <x v="577"/>
  </r>
  <r>
    <x v="5144"/>
    <x v="577"/>
  </r>
  <r>
    <x v="5145"/>
    <x v="1045"/>
  </r>
  <r>
    <x v="5146"/>
    <x v="567"/>
  </r>
  <r>
    <x v="5147"/>
    <x v="511"/>
  </r>
  <r>
    <x v="5148"/>
    <x v="387"/>
  </r>
  <r>
    <x v="5149"/>
    <x v="306"/>
  </r>
  <r>
    <x v="5150"/>
    <x v="577"/>
  </r>
  <r>
    <x v="5151"/>
    <x v="261"/>
  </r>
  <r>
    <x v="5152"/>
    <x v="684"/>
  </r>
  <r>
    <x v="5153"/>
    <x v="436"/>
  </r>
  <r>
    <x v="5154"/>
    <x v="577"/>
  </r>
  <r>
    <x v="5155"/>
    <x v="577"/>
  </r>
  <r>
    <x v="5156"/>
    <x v="868"/>
  </r>
  <r>
    <x v="5157"/>
    <x v="1028"/>
  </r>
  <r>
    <x v="5158"/>
    <x v="577"/>
  </r>
  <r>
    <x v="5159"/>
    <x v="577"/>
  </r>
  <r>
    <x v="5160"/>
    <x v="577"/>
  </r>
  <r>
    <x v="5161"/>
    <x v="212"/>
  </r>
  <r>
    <x v="5162"/>
    <x v="625"/>
  </r>
  <r>
    <x v="5163"/>
    <x v="967"/>
  </r>
  <r>
    <x v="5164"/>
    <x v="952"/>
  </r>
  <r>
    <x v="5165"/>
    <x v="356"/>
  </r>
  <r>
    <x v="5166"/>
    <x v="976"/>
  </r>
  <r>
    <x v="5167"/>
    <x v="359"/>
  </r>
  <r>
    <x v="5168"/>
    <x v="661"/>
  </r>
  <r>
    <x v="5169"/>
    <x v="743"/>
  </r>
  <r>
    <x v="5170"/>
    <x v="633"/>
  </r>
  <r>
    <x v="5171"/>
    <x v="544"/>
  </r>
  <r>
    <x v="5172"/>
    <x v="577"/>
  </r>
  <r>
    <x v="5173"/>
    <x v="387"/>
  </r>
  <r>
    <x v="5174"/>
    <x v="486"/>
  </r>
  <r>
    <x v="5175"/>
    <x v="577"/>
  </r>
  <r>
    <x v="5176"/>
    <x v="357"/>
  </r>
  <r>
    <x v="5179"/>
    <x v="905"/>
  </r>
  <r>
    <x v="5177"/>
    <x v="544"/>
  </r>
  <r>
    <x v="5178"/>
    <x v="493"/>
  </r>
  <r>
    <x v="5180"/>
    <x v="577"/>
  </r>
  <r>
    <x v="5181"/>
    <x v="677"/>
  </r>
  <r>
    <x v="5182"/>
    <x v="29"/>
  </r>
  <r>
    <x v="5183"/>
    <x v="787"/>
  </r>
  <r>
    <x v="5184"/>
    <x v="473"/>
  </r>
  <r>
    <x v="5185"/>
    <x v="1044"/>
  </r>
  <r>
    <x v="5186"/>
    <x v="1045"/>
  </r>
  <r>
    <x v="5187"/>
    <x v="471"/>
  </r>
  <r>
    <x v="5188"/>
    <x v="306"/>
  </r>
  <r>
    <x v="5189"/>
    <x v="174"/>
  </r>
  <r>
    <x v="5190"/>
    <x v="838"/>
  </r>
  <r>
    <x v="5191"/>
    <x v="935"/>
  </r>
  <r>
    <x v="5192"/>
    <x v="889"/>
  </r>
  <r>
    <x v="5193"/>
    <x v="577"/>
  </r>
  <r>
    <x v="5194"/>
    <x v="847"/>
  </r>
  <r>
    <x v="5195"/>
    <x v="1011"/>
  </r>
  <r>
    <x v="5196"/>
    <x v="385"/>
  </r>
  <r>
    <x v="5197"/>
    <x v="577"/>
  </r>
  <r>
    <x v="5198"/>
    <x v="753"/>
  </r>
  <r>
    <x v="5199"/>
    <x v="357"/>
  </r>
  <r>
    <x v="5200"/>
    <x v="187"/>
  </r>
  <r>
    <x v="5201"/>
    <x v="868"/>
  </r>
  <r>
    <x v="5202"/>
    <x v="390"/>
  </r>
  <r>
    <x v="5203"/>
    <x v="452"/>
  </r>
  <r>
    <x v="5204"/>
    <x v="746"/>
  </r>
  <r>
    <x v="5205"/>
    <x v="964"/>
  </r>
  <r>
    <x v="5206"/>
    <x v="892"/>
  </r>
  <r>
    <x v="5207"/>
    <x v="444"/>
  </r>
  <r>
    <x v="5208"/>
    <x v="132"/>
  </r>
  <r>
    <x v="5209"/>
    <x v="561"/>
  </r>
  <r>
    <x v="5210"/>
    <x v="805"/>
  </r>
  <r>
    <x v="5211"/>
    <x v="740"/>
  </r>
  <r>
    <x v="5212"/>
    <x v="146"/>
  </r>
  <r>
    <x v="5213"/>
    <x v="546"/>
  </r>
  <r>
    <x v="5214"/>
    <x v="600"/>
  </r>
  <r>
    <x v="5215"/>
    <x v="80"/>
  </r>
  <r>
    <x v="5216"/>
    <x v="935"/>
  </r>
  <r>
    <x v="5217"/>
    <x v="945"/>
  </r>
  <r>
    <x v="5218"/>
    <x v="493"/>
  </r>
  <r>
    <x v="5219"/>
    <x v="47"/>
  </r>
  <r>
    <x v="5220"/>
    <x v="600"/>
  </r>
  <r>
    <x v="5221"/>
    <x v="132"/>
  </r>
  <r>
    <x v="5222"/>
    <x v="166"/>
  </r>
  <r>
    <x v="5223"/>
    <x v="577"/>
  </r>
  <r>
    <x v="5224"/>
    <x v="329"/>
  </r>
  <r>
    <x v="5225"/>
    <x v="16"/>
  </r>
  <r>
    <x v="5226"/>
    <x v="577"/>
  </r>
  <r>
    <x v="5227"/>
    <x v="577"/>
  </r>
  <r>
    <x v="5228"/>
    <x v="1044"/>
  </r>
  <r>
    <x v="5229"/>
    <x v="239"/>
  </r>
  <r>
    <x v="5230"/>
    <x v="633"/>
  </r>
  <r>
    <x v="5231"/>
    <x v="700"/>
  </r>
  <r>
    <x v="5232"/>
    <x v="567"/>
  </r>
  <r>
    <x v="5233"/>
    <x v="872"/>
  </r>
  <r>
    <x v="5234"/>
    <x v="985"/>
  </r>
  <r>
    <x v="5235"/>
    <x v="805"/>
  </r>
  <r>
    <x v="5236"/>
    <x v="145"/>
  </r>
  <r>
    <x v="5237"/>
    <x v="589"/>
  </r>
  <r>
    <x v="5238"/>
    <x v="312"/>
  </r>
  <r>
    <x v="5239"/>
    <x v="411"/>
  </r>
  <r>
    <x v="5240"/>
    <x v="97"/>
  </r>
  <r>
    <x v="5241"/>
    <x v="170"/>
  </r>
  <r>
    <x v="5242"/>
    <x v="539"/>
  </r>
  <r>
    <x v="5243"/>
    <x v="152"/>
  </r>
  <r>
    <x v="5244"/>
    <x v="993"/>
  </r>
  <r>
    <x v="5245"/>
    <x v="329"/>
  </r>
  <r>
    <x v="5246"/>
    <x v="577"/>
  </r>
  <r>
    <x v="5247"/>
    <x v="721"/>
  </r>
  <r>
    <x v="5248"/>
    <x v="132"/>
  </r>
  <r>
    <x v="5249"/>
    <x v="120"/>
  </r>
  <r>
    <x v="5250"/>
    <x v="577"/>
  </r>
  <r>
    <x v="5251"/>
    <x v="3"/>
  </r>
  <r>
    <x v="5252"/>
    <x v="97"/>
  </r>
  <r>
    <x v="5253"/>
    <x v="902"/>
  </r>
  <r>
    <x v="5254"/>
    <x v="1012"/>
  </r>
  <r>
    <x v="5255"/>
    <x v="337"/>
  </r>
  <r>
    <x v="5256"/>
    <x v="971"/>
  </r>
  <r>
    <x v="5257"/>
    <x v="564"/>
  </r>
  <r>
    <x v="5258"/>
    <x v="367"/>
  </r>
  <r>
    <x v="5259"/>
    <x v="387"/>
  </r>
  <r>
    <x v="5260"/>
    <x v="936"/>
  </r>
  <r>
    <x v="5261"/>
    <x v="306"/>
  </r>
  <r>
    <x v="5262"/>
    <x v="642"/>
  </r>
  <r>
    <x v="5263"/>
    <x v="577"/>
  </r>
  <r>
    <x v="5264"/>
    <x v="34"/>
  </r>
  <r>
    <x v="5265"/>
    <x v="979"/>
  </r>
  <r>
    <x v="5266"/>
    <x v="97"/>
  </r>
  <r>
    <x v="5267"/>
    <x v="803"/>
  </r>
  <r>
    <x v="5268"/>
    <x v="803"/>
  </r>
  <r>
    <x v="5269"/>
    <x v="1020"/>
  </r>
  <r>
    <x v="5270"/>
    <x v="727"/>
  </r>
  <r>
    <x v="5271"/>
    <x v="457"/>
  </r>
  <r>
    <x v="5272"/>
    <x v="1028"/>
  </r>
  <r>
    <x v="5273"/>
    <x v="544"/>
  </r>
  <r>
    <x v="5274"/>
    <x v="175"/>
  </r>
  <r>
    <x v="5275"/>
    <x v="577"/>
  </r>
  <r>
    <x v="5276"/>
    <x v="40"/>
  </r>
  <r>
    <x v="5277"/>
    <x v="351"/>
  </r>
  <r>
    <x v="5278"/>
    <x v="805"/>
  </r>
  <r>
    <x v="5279"/>
    <x v="546"/>
  </r>
  <r>
    <x v="5280"/>
    <x v="905"/>
  </r>
  <r>
    <x v="5281"/>
    <x v="577"/>
  </r>
  <r>
    <x v="5282"/>
    <x v="132"/>
  </r>
  <r>
    <x v="5283"/>
    <x v="274"/>
  </r>
  <r>
    <x v="5284"/>
    <x v="577"/>
  </r>
  <r>
    <x v="5285"/>
    <x v="0"/>
  </r>
  <r>
    <x v="5286"/>
    <x v="919"/>
  </r>
  <r>
    <x v="5287"/>
    <x v="405"/>
  </r>
  <r>
    <x v="5288"/>
    <x v="176"/>
  </r>
  <r>
    <x v="5289"/>
    <x v="577"/>
  </r>
  <r>
    <x v="5290"/>
    <x v="97"/>
  </r>
  <r>
    <x v="5291"/>
    <x v="449"/>
  </r>
  <r>
    <x v="5292"/>
    <x v="921"/>
  </r>
  <r>
    <x v="5293"/>
    <x v="169"/>
  </r>
  <r>
    <x v="5294"/>
    <x v="1044"/>
  </r>
  <r>
    <x v="5295"/>
    <x v="166"/>
  </r>
  <r>
    <x v="5296"/>
    <x v="592"/>
  </r>
  <r>
    <x v="5297"/>
    <x v="986"/>
  </r>
  <r>
    <x v="5298"/>
    <x v="132"/>
  </r>
  <r>
    <x v="5299"/>
    <x v="726"/>
  </r>
  <r>
    <x v="5300"/>
    <x v="97"/>
  </r>
  <r>
    <x v="5301"/>
    <x v="423"/>
  </r>
  <r>
    <x v="5302"/>
    <x v="878"/>
  </r>
  <r>
    <x v="5303"/>
    <x v="412"/>
  </r>
  <r>
    <x v="5304"/>
    <x v="138"/>
  </r>
  <r>
    <x v="5305"/>
    <x v="199"/>
  </r>
  <r>
    <x v="5306"/>
    <x v="11"/>
  </r>
  <r>
    <x v="5307"/>
    <x v="107"/>
  </r>
  <r>
    <x v="5308"/>
    <x v="601"/>
  </r>
  <r>
    <x v="5309"/>
    <x v="1018"/>
  </r>
  <r>
    <x v="5310"/>
    <x v="577"/>
  </r>
  <r>
    <x v="5311"/>
    <x v="0"/>
  </r>
  <r>
    <x v="5312"/>
    <x v="449"/>
  </r>
  <r>
    <x v="5313"/>
    <x v="170"/>
  </r>
  <r>
    <x v="5314"/>
    <x v="577"/>
  </r>
  <r>
    <x v="5315"/>
    <x v="775"/>
  </r>
  <r>
    <x v="5316"/>
    <x v="843"/>
  </r>
  <r>
    <x v="5317"/>
    <x v="833"/>
  </r>
  <r>
    <x v="5318"/>
    <x v="577"/>
  </r>
  <r>
    <x v="5319"/>
    <x v="577"/>
  </r>
  <r>
    <x v="5320"/>
    <x v="567"/>
  </r>
  <r>
    <x v="5321"/>
    <x v="729"/>
  </r>
  <r>
    <x v="5322"/>
    <x v="598"/>
  </r>
  <r>
    <x v="5323"/>
    <x v="592"/>
  </r>
  <r>
    <x v="5324"/>
    <x v="544"/>
  </r>
  <r>
    <x v="5325"/>
    <x v="329"/>
  </r>
  <r>
    <x v="5326"/>
    <x v="546"/>
  </r>
  <r>
    <x v="5327"/>
    <x v="143"/>
  </r>
  <r>
    <x v="5328"/>
    <x v="794"/>
  </r>
  <r>
    <x v="5329"/>
    <x v="6"/>
  </r>
  <r>
    <x v="5330"/>
    <x v="152"/>
  </r>
  <r>
    <x v="5331"/>
    <x v="283"/>
  </r>
  <r>
    <x v="5332"/>
    <x v="97"/>
  </r>
  <r>
    <x v="5333"/>
    <x v="233"/>
  </r>
  <r>
    <x v="5334"/>
    <x v="381"/>
  </r>
  <r>
    <x v="5335"/>
    <x v="886"/>
  </r>
  <r>
    <x v="5336"/>
    <x v="1034"/>
  </r>
  <r>
    <x v="5337"/>
    <x v="422"/>
  </r>
  <r>
    <x v="5338"/>
    <x v="73"/>
  </r>
  <r>
    <x v="5339"/>
    <x v="835"/>
  </r>
  <r>
    <x v="5340"/>
    <x v="912"/>
  </r>
  <r>
    <x v="5341"/>
    <x v="335"/>
  </r>
  <r>
    <x v="5342"/>
    <x v="186"/>
  </r>
  <r>
    <x v="5343"/>
    <x v="600"/>
  </r>
  <r>
    <x v="5344"/>
    <x v="92"/>
  </r>
  <r>
    <x v="5345"/>
    <x v="934"/>
  </r>
  <r>
    <x v="5346"/>
    <x v="1012"/>
  </r>
  <r>
    <x v="5347"/>
    <x v="0"/>
  </r>
  <r>
    <x v="5348"/>
    <x v="597"/>
  </r>
  <r>
    <x v="5349"/>
    <x v="0"/>
  </r>
  <r>
    <x v="5350"/>
    <x v="790"/>
  </r>
  <r>
    <x v="5351"/>
    <x v="422"/>
  </r>
  <r>
    <x v="5352"/>
    <x v="422"/>
  </r>
  <r>
    <x v="5353"/>
    <x v="138"/>
  </r>
  <r>
    <x v="5354"/>
    <x v="176"/>
  </r>
  <r>
    <x v="5355"/>
    <x v="837"/>
  </r>
  <r>
    <x v="5356"/>
    <x v="577"/>
  </r>
  <r>
    <x v="5357"/>
    <x v="1017"/>
  </r>
  <r>
    <x v="5358"/>
    <x v="985"/>
  </r>
  <r>
    <x v="5359"/>
    <x v="387"/>
  </r>
  <r>
    <x v="5360"/>
    <x v="202"/>
  </r>
  <r>
    <x v="5361"/>
    <x v="577"/>
  </r>
  <r>
    <x v="5362"/>
    <x v="778"/>
  </r>
  <r>
    <x v="5363"/>
    <x v="0"/>
  </r>
  <r>
    <x v="5364"/>
    <x v="559"/>
  </r>
  <r>
    <x v="5365"/>
    <x v="577"/>
  </r>
  <r>
    <x v="5366"/>
    <x v="234"/>
  </r>
  <r>
    <x v="5367"/>
    <x v="166"/>
  </r>
  <r>
    <x v="5368"/>
    <x v="546"/>
  </r>
  <r>
    <x v="5369"/>
    <x v="306"/>
  </r>
  <r>
    <x v="5370"/>
    <x v="658"/>
  </r>
  <r>
    <x v="5371"/>
    <x v="966"/>
  </r>
  <r>
    <x v="5372"/>
    <x v="230"/>
  </r>
  <r>
    <x v="5373"/>
    <x v="287"/>
  </r>
  <r>
    <x v="5374"/>
    <x v="219"/>
  </r>
  <r>
    <x v="5375"/>
    <x v="673"/>
  </r>
  <r>
    <x v="5376"/>
    <x v="79"/>
  </r>
  <r>
    <x v="5377"/>
    <x v="495"/>
  </r>
  <r>
    <x v="5378"/>
    <x v="805"/>
  </r>
  <r>
    <x v="5379"/>
    <x v="521"/>
  </r>
  <r>
    <x v="5380"/>
    <x v="73"/>
  </r>
  <r>
    <x v="5381"/>
    <x v="935"/>
  </r>
  <r>
    <x v="5382"/>
    <x v="658"/>
  </r>
  <r>
    <x v="5383"/>
    <x v="577"/>
  </r>
  <r>
    <x v="5384"/>
    <x v="685"/>
  </r>
  <r>
    <x v="5385"/>
    <x v="950"/>
  </r>
  <r>
    <x v="5386"/>
    <x v="387"/>
  </r>
  <r>
    <x v="5387"/>
    <x v="577"/>
  </r>
  <r>
    <x v="5388"/>
    <x v="370"/>
  </r>
  <r>
    <x v="5389"/>
    <x v="916"/>
  </r>
  <r>
    <x v="5390"/>
    <x v="769"/>
  </r>
  <r>
    <x v="5391"/>
    <x v="132"/>
  </r>
  <r>
    <x v="5392"/>
    <x v="919"/>
  </r>
  <r>
    <x v="5393"/>
    <x v="646"/>
  </r>
  <r>
    <x v="5394"/>
    <x v="27"/>
  </r>
  <r>
    <x v="5395"/>
    <x v="963"/>
  </r>
  <r>
    <x v="5396"/>
    <x v="495"/>
  </r>
  <r>
    <x v="5397"/>
    <x v="577"/>
  </r>
  <r>
    <x v="5398"/>
    <x v="577"/>
  </r>
  <r>
    <x v="5399"/>
    <x v="788"/>
  </r>
  <r>
    <x v="5400"/>
    <x v="199"/>
  </r>
  <r>
    <x v="5401"/>
    <x v="421"/>
  </r>
  <r>
    <x v="5402"/>
    <x v="351"/>
  </r>
  <r>
    <x v="5403"/>
    <x v="219"/>
  </r>
  <r>
    <x v="5404"/>
    <x v="578"/>
  </r>
  <r>
    <x v="5405"/>
    <x v="577"/>
  </r>
  <r>
    <x v="5406"/>
    <x v="269"/>
  </r>
  <r>
    <x v="5407"/>
    <x v="1044"/>
  </r>
  <r>
    <x v="5408"/>
    <x v="544"/>
  </r>
  <r>
    <x v="5409"/>
    <x v="577"/>
  </r>
  <r>
    <x v="5410"/>
    <x v="898"/>
  </r>
  <r>
    <x v="5411"/>
    <x v="897"/>
  </r>
  <r>
    <x v="5412"/>
    <x v="833"/>
  </r>
  <r>
    <x v="5413"/>
    <x v="2"/>
  </r>
  <r>
    <x v="5414"/>
    <x v="544"/>
  </r>
  <r>
    <x v="5415"/>
    <x v="164"/>
  </r>
  <r>
    <x v="5416"/>
    <x v="577"/>
  </r>
  <r>
    <x v="5417"/>
    <x v="607"/>
  </r>
  <r>
    <x v="5418"/>
    <x v="577"/>
  </r>
  <r>
    <x v="5419"/>
    <x v="577"/>
  </r>
  <r>
    <x v="5420"/>
    <x v="947"/>
  </r>
  <r>
    <x v="5421"/>
    <x v="57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500-000000000000}" name="PivotTable1" cacheId="7" applyNumberFormats="0" applyBorderFormats="0" applyFontFormats="0" applyPatternFormats="0" applyAlignmentFormats="0" applyWidthHeightFormats="0" dataCaption="Values" itemPrintTitles="1" indent="0" compact="0" outline="1" outlineData="1" compactData="0">
  <location ref="A3:B1050" firstHeaderRow="1" firstDataRow="1" firstDataCol="1"/>
  <pivotFields count="2">
    <pivotField dataField="1" compact="0" showAll="0"/>
    <pivotField axis="axisRow" compact="0" showAll="0">
      <items count="10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t="default"/>
      </items>
    </pivotField>
  </pivotFields>
  <rowFields count="1">
    <field x="1"/>
  </rowFields>
  <dataFields count="1">
    <dataField name="Count of Company " fld="0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le2" displayName="Table2" ref="A3:B78" totalsRowShown="0">
  <autoFilter ref="A3:B78" xr:uid="{00000000-0009-0000-0100-00000B000000}"/>
  <tableColumns count="2">
    <tableColumn id="1" xr3:uid="{00000000-0010-0000-0000-000001000000}" name="Company "/>
    <tableColumn id="2" xr3:uid="{00000000-0010-0000-0000-000002000000}" name="Location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9000000}" name="Table11" displayName="Table11" ref="A3:B38" totalsRowShown="0">
  <autoFilter ref="A3:B38" xr:uid="{00000000-0009-0000-0100-000002000000}"/>
  <tableColumns count="2">
    <tableColumn id="1" xr3:uid="{00000000-0010-0000-0900-000001000000}" name="Company "/>
    <tableColumn id="2" xr3:uid="{00000000-0010-0000-0900-000002000000}" name="Location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A000000}" name="Table12" displayName="Table12" ref="A3:B36" totalsRowShown="0">
  <autoFilter ref="A3:B36" xr:uid="{00000000-0009-0000-0100-000003000000}"/>
  <tableColumns count="2">
    <tableColumn id="1" xr3:uid="{00000000-0010-0000-0A00-000001000000}" name="Company "/>
    <tableColumn id="2" xr3:uid="{00000000-0010-0000-0A00-000002000000}" name="Location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B000000}" name="Table13" displayName="Table13" ref="A3:B35" totalsRowShown="0">
  <autoFilter ref="A3:B35" xr:uid="{00000000-0009-0000-0100-000004000000}"/>
  <tableColumns count="2">
    <tableColumn id="1" xr3:uid="{00000000-0010-0000-0B00-000001000000}" name="Company "/>
    <tableColumn id="2" xr3:uid="{00000000-0010-0000-0B00-000002000000}" name="Location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C000000}" name="Table14" displayName="Table14" ref="A3:B34" totalsRowShown="0">
  <autoFilter ref="A3:B34" xr:uid="{00000000-0009-0000-0100-000005000000}"/>
  <tableColumns count="2">
    <tableColumn id="1" xr3:uid="{00000000-0010-0000-0C00-000001000000}" name="Company "/>
    <tableColumn id="2" xr3:uid="{00000000-0010-0000-0C00-000002000000}" name="Location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D000000}" name="Table15" displayName="Table15" ref="A3:B34" totalsRowShown="0">
  <autoFilter ref="A3:B34" xr:uid="{00000000-0009-0000-0100-000006000000}"/>
  <tableColumns count="2">
    <tableColumn id="1" xr3:uid="{00000000-0010-0000-0D00-000001000000}" name="Company "/>
    <tableColumn id="2" xr3:uid="{00000000-0010-0000-0D00-000002000000}" name="Location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E000000}" name="Table16" displayName="Table16" ref="A3:B31" totalsRowShown="0">
  <autoFilter ref="A3:B31" xr:uid="{00000000-0009-0000-0100-000007000000}"/>
  <tableColumns count="2">
    <tableColumn id="1" xr3:uid="{00000000-0010-0000-0E00-000001000000}" name="Company "/>
    <tableColumn id="2" xr3:uid="{00000000-0010-0000-0E00-000002000000}" name="Location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F000000}" name="Table17" displayName="Table17" ref="A3:B31" totalsRowShown="0">
  <autoFilter ref="A3:B31" xr:uid="{00000000-0009-0000-0100-000008000000}"/>
  <tableColumns count="2">
    <tableColumn id="1" xr3:uid="{00000000-0010-0000-0F00-000001000000}" name="Company "/>
    <tableColumn id="2" xr3:uid="{00000000-0010-0000-0F00-000002000000}" name="Location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0000000}" name="Table18" displayName="Table18" ref="A3:B31" totalsRowShown="0">
  <autoFilter ref="A3:B31" xr:uid="{00000000-0009-0000-0100-000009000000}"/>
  <tableColumns count="2">
    <tableColumn id="1" xr3:uid="{00000000-0010-0000-1000-000001000000}" name="Company "/>
    <tableColumn id="2" xr3:uid="{00000000-0010-0000-1000-000002000000}" name="Location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1000000}" name="Table19" displayName="Table19" ref="A3:B28" totalsRowShown="0">
  <autoFilter ref="A3:B28" xr:uid="{00000000-0009-0000-0100-00000A000000}"/>
  <tableColumns count="2">
    <tableColumn id="1" xr3:uid="{00000000-0010-0000-1100-000001000000}" name="Company "/>
    <tableColumn id="2" xr3:uid="{00000000-0010-0000-1100-000002000000}" name="Location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2000000}" name="Table20" displayName="Table20" ref="A3:B28" totalsRowShown="0">
  <autoFilter ref="A3:B28" xr:uid="{00000000-0009-0000-0100-00000C000000}"/>
  <tableColumns count="2">
    <tableColumn id="1" xr3:uid="{00000000-0010-0000-1200-000001000000}" name="Company "/>
    <tableColumn id="2" xr3:uid="{00000000-0010-0000-1200-000002000000}" name="Location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1000000}" name="Table3" displayName="Table3" ref="A3:B84" totalsRowShown="0">
  <autoFilter ref="A3:B84" xr:uid="{00000000-0009-0000-0100-000016000000}"/>
  <tableColumns count="2">
    <tableColumn id="1" xr3:uid="{00000000-0010-0000-0100-000001000000}" name="Company "/>
    <tableColumn id="2" xr3:uid="{00000000-0010-0000-0100-000002000000}" name="Location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3000000}" name="Table21" displayName="Table21" ref="A3:B27" totalsRowShown="0">
  <autoFilter ref="A3:B27" xr:uid="{00000000-0009-0000-0100-00000D000000}"/>
  <tableColumns count="2">
    <tableColumn id="1" xr3:uid="{00000000-0010-0000-1300-000001000000}" name="Company "/>
    <tableColumn id="2" xr3:uid="{00000000-0010-0000-1300-000002000000}" name="Location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4000000}" name="Table22" displayName="Table22" ref="A3:B27" totalsRowShown="0">
  <autoFilter ref="A3:B27" xr:uid="{00000000-0009-0000-0100-00000E000000}"/>
  <tableColumns count="2">
    <tableColumn id="1" xr3:uid="{00000000-0010-0000-1400-000001000000}" name="Company "/>
    <tableColumn id="2" xr3:uid="{00000000-0010-0000-1400-000002000000}" name="Location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5000000}" name="Table23" displayName="Table23" ref="A3:B27" totalsRowShown="0">
  <autoFilter ref="A3:B27" xr:uid="{00000000-0009-0000-0100-00000F000000}"/>
  <tableColumns count="2">
    <tableColumn id="1" xr3:uid="{00000000-0010-0000-1500-000001000000}" name="Company "/>
    <tableColumn id="2" xr3:uid="{00000000-0010-0000-1500-000002000000}" name="Location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6000000}" name="Table24" displayName="Table24" ref="A3:B26" totalsRowShown="0">
  <autoFilter ref="A3:B26" xr:uid="{00000000-0009-0000-0100-000010000000}"/>
  <tableColumns count="2">
    <tableColumn id="1" xr3:uid="{00000000-0010-0000-1600-000001000000}" name="Company "/>
    <tableColumn id="2" xr3:uid="{00000000-0010-0000-1600-000002000000}" name="Location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7000000}" name="Table25" displayName="Table25" ref="A3:B26" totalsRowShown="0">
  <autoFilter ref="A3:B26" xr:uid="{00000000-0009-0000-0100-000011000000}"/>
  <tableColumns count="2">
    <tableColumn id="1" xr3:uid="{00000000-0010-0000-1700-000001000000}" name="Company "/>
    <tableColumn id="2" xr3:uid="{00000000-0010-0000-1700-000002000000}" name="Location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8000000}" name="Table26" displayName="Table26" ref="A3:B25" totalsRowShown="0">
  <autoFilter ref="A3:B25" xr:uid="{00000000-0009-0000-0100-000012000000}"/>
  <tableColumns count="2">
    <tableColumn id="1" xr3:uid="{00000000-0010-0000-1800-000001000000}" name="Company "/>
    <tableColumn id="2" xr3:uid="{00000000-0010-0000-1800-000002000000}" name="Location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9000000}" name="Table27" displayName="Table27" ref="A3:B25" totalsRowShown="0">
  <autoFilter ref="A3:B25" xr:uid="{00000000-0009-0000-0100-000013000000}"/>
  <tableColumns count="2">
    <tableColumn id="1" xr3:uid="{00000000-0010-0000-1900-000001000000}" name="Company "/>
    <tableColumn id="2" xr3:uid="{00000000-0010-0000-1900-000002000000}" name="Location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A000000}" name="Table28" displayName="Table28" ref="A3:B25" totalsRowShown="0">
  <autoFilter ref="A3:B25" xr:uid="{00000000-0009-0000-0100-000014000000}"/>
  <tableColumns count="2">
    <tableColumn id="1" xr3:uid="{00000000-0010-0000-1A00-000001000000}" name="Company "/>
    <tableColumn id="2" xr3:uid="{00000000-0010-0000-1A00-000002000000}" name="Location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B000000}" name="Table29" displayName="Table29" ref="A3:B24" totalsRowShown="0">
  <autoFilter ref="A3:B24" xr:uid="{00000000-0009-0000-0100-000015000000}"/>
  <tableColumns count="2">
    <tableColumn id="1" xr3:uid="{00000000-0010-0000-1B00-000001000000}" name="Company "/>
    <tableColumn id="2" xr3:uid="{00000000-0010-0000-1B00-000002000000}" name="Location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C000000}" name="Table30" displayName="Table30" ref="A3:B24" totalsRowShown="0">
  <autoFilter ref="A3:B24" xr:uid="{00000000-0009-0000-0100-000017000000}"/>
  <tableColumns count="2">
    <tableColumn id="1" xr3:uid="{00000000-0010-0000-1C00-000001000000}" name="Company "/>
    <tableColumn id="2" xr3:uid="{00000000-0010-0000-1C00-000002000000}" name="Location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2000000}" name="Table4" displayName="Table4" ref="A3:B57" totalsRowShown="0">
  <autoFilter ref="A3:B57" xr:uid="{00000000-0009-0000-0100-00001C000000}"/>
  <tableColumns count="2">
    <tableColumn id="1" xr3:uid="{00000000-0010-0000-0200-000001000000}" name="Company "/>
    <tableColumn id="2" xr3:uid="{00000000-0010-0000-0200-000002000000}" name="Location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D000000}" name="Table31" displayName="Table31" ref="A3:B24" totalsRowShown="0">
  <autoFilter ref="A3:B24" xr:uid="{00000000-0009-0000-0100-000018000000}"/>
  <tableColumns count="2">
    <tableColumn id="1" xr3:uid="{00000000-0010-0000-1D00-000001000000}" name="Company "/>
    <tableColumn id="2" xr3:uid="{00000000-0010-0000-1D00-000002000000}" name="Location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E000000}" name="Table32" displayName="Table32" ref="A3:B23" totalsRowShown="0">
  <autoFilter ref="A3:B23" xr:uid="{00000000-0009-0000-0100-000019000000}"/>
  <tableColumns count="2">
    <tableColumn id="1" xr3:uid="{00000000-0010-0000-1E00-000001000000}" name="Company "/>
    <tableColumn id="2" xr3:uid="{00000000-0010-0000-1E00-000002000000}" name="Location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F000000}" name="Table33" displayName="Table33" ref="A3:B23" totalsRowShown="0">
  <autoFilter ref="A3:B23" xr:uid="{00000000-0009-0000-0100-00001A000000}"/>
  <tableColumns count="2">
    <tableColumn id="1" xr3:uid="{00000000-0010-0000-1F00-000001000000}" name="Company "/>
    <tableColumn id="2" xr3:uid="{00000000-0010-0000-1F00-000002000000}" name="Location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0000000}" name="Table34" displayName="Table34" ref="A1:XFB5685" totalsRowShown="0">
  <autoFilter ref="A1:XFB5685" xr:uid="{00000000-0009-0000-0100-00001B000000}">
    <filterColumn colId="17">
      <filters>
        <filter val="0.15"/>
        <filter val="0.17"/>
        <filter val="0.19"/>
        <filter val="0.2"/>
        <filter val="0.21"/>
        <filter val="0.22"/>
        <filter val="0.24"/>
        <filter val="0.25"/>
        <filter val="0.26"/>
        <filter val="0.27"/>
        <filter val="0.28"/>
        <filter val="0.283"/>
        <filter val="0.29"/>
        <filter val="0.31"/>
        <filter val="0.32"/>
        <filter val="0.33"/>
        <filter val="0.36"/>
        <filter val="0.42"/>
        <filter val="0.45"/>
      </filters>
    </filterColumn>
  </autoFilter>
  <tableColumns count="16382">
    <tableColumn id="1" xr3:uid="{00000000-0010-0000-2000-000001000000}" name="FRN"/>
    <tableColumn id="2" xr3:uid="{00000000-0010-0000-2000-000002000000}" name="FirmName"/>
    <tableColumn id="3" xr3:uid="{00000000-0010-0000-2000-000003000000}" name="Website"/>
    <tableColumn id="4" xr3:uid="{00000000-0010-0000-2000-000004000000}" name="Staff size"/>
    <tableColumn id="5" xr3:uid="{00000000-0010-0000-2000-000005000000}" name="Column1"/>
    <tableColumn id="6" xr3:uid="{00000000-0010-0000-2000-000006000000}" name="INT"/>
    <tableColumn id="8" xr3:uid="{00000000-0010-0000-2000-000008000000}" name="PC"/>
    <tableColumn id="9" xr3:uid="{00000000-0010-0000-2000-000009000000}" name="InitialFee"/>
    <tableColumn id="10" xr3:uid="{00000000-0010-0000-2000-00000A000000}" name="OngoingFee (plus Platform fee)"/>
    <tableColumn id="11" xr3:uid="{00000000-0010-0000-2000-00000B000000}" name="PDF_initial fee"/>
    <tableColumn id="12" xr3:uid="{00000000-0010-0000-2000-00000C000000}" name="PDF ongoing fee"/>
    <tableColumn id="13" xr3:uid="{00000000-0010-0000-2000-00000D000000}" name="TC"/>
    <tableColumn id="14" xr3:uid="{00000000-0010-0000-2000-00000E000000}" name="Column2"/>
    <tableColumn id="15" xr3:uid="{00000000-0010-0000-2000-00000F000000}" name="Fee plus product annual cost"/>
    <tableColumn id="16" xr3:uid="{00000000-0010-0000-2000-000010000000}" name="Comments and back up"/>
    <tableColumn id="17" xr3:uid="{00000000-0010-0000-2000-000011000000}" name="TC backup"/>
    <tableColumn id="18" xr3:uid="{00000000-0010-0000-2000-000012000000}" name="PC backup"/>
    <tableColumn id="7" xr3:uid="{DBED3E2D-BAE5-4FC0-9807-6A35D70704F9}" name="Net 5yrs return (mostly up to 28th of Feb 2026)"/>
    <tableColumn id="27" xr3:uid="{829811C9-BD76-4E5C-8240-79654731CDAD}" name="Investment after initial charge" dataDxfId="6">
      <calculatedColumnFormula>100%-Table34[[#This Row],[PDF_initial fee]]</calculatedColumnFormula>
    </tableColumn>
    <tableColumn id="28" xr3:uid="{2FF60447-02D5-477F-BF15-1CFA61C3FAE4}" name="Cummulative 5yrs ongoing advice charge" dataDxfId="5"/>
    <tableColumn id="25" xr3:uid="{DB7F26E5-6A00-430E-AB08-2D43B55678FB}" name="ROI after advice cost"/>
    <tableColumn id="19" xr3:uid="{00000000-0010-0000-2000-000013000000}" name="Total Asset"/>
    <tableColumn id="20" xr3:uid="{00000000-0010-0000-2000-000014000000}" name="Listed"/>
    <tableColumn id="21" xr3:uid="{00000000-0010-0000-2000-000015000000}" name="Net Asset"/>
    <tableColumn id="22" xr3:uid="{00000000-0010-0000-2000-000016000000}" name="Net Asset/Total Assets"/>
    <tableColumn id="23" xr3:uid="{00000000-0010-0000-2000-000017000000}" name="Network"/>
    <tableColumn id="24" xr3:uid="{00000000-0010-0000-2000-000018000000}" name="financial stm backup  (2024 data)"/>
    <tableColumn id="26" xr3:uid="{00000000-0010-0000-2000-00001A000000}" name="Fixed Fee"/>
    <tableColumn id="29" xr3:uid="{00000000-0010-0000-2000-00001D000000}" name="Low Fee"/>
    <tableColumn id="32" xr3:uid="{00000000-0010-0000-2000-000020000000}" name="Other backups"/>
    <tableColumn id="33" xr3:uid="{00000000-0010-0000-2000-000021000000}" name="Column6"/>
    <tableColumn id="34" xr3:uid="{00000000-0010-0000-2000-000022000000}" name="Column7"/>
    <tableColumn id="35" xr3:uid="{00000000-0010-0000-2000-000023000000}" name="Column8"/>
    <tableColumn id="36" xr3:uid="{00000000-0010-0000-2000-000024000000}" name="Column9"/>
    <tableColumn id="37" xr3:uid="{00000000-0010-0000-2000-000025000000}" name="Column10"/>
    <tableColumn id="38" xr3:uid="{00000000-0010-0000-2000-000026000000}" name="Column11"/>
    <tableColumn id="39" xr3:uid="{00000000-0010-0000-2000-000027000000}" name="Column12"/>
    <tableColumn id="40" xr3:uid="{00000000-0010-0000-2000-000028000000}" name="Column13"/>
    <tableColumn id="41" xr3:uid="{00000000-0010-0000-2000-000029000000}" name="Column14"/>
    <tableColumn id="42" xr3:uid="{00000000-0010-0000-2000-00002A000000}" name="Column15"/>
    <tableColumn id="43" xr3:uid="{00000000-0010-0000-2000-00002B000000}" name="Column16"/>
    <tableColumn id="44" xr3:uid="{00000000-0010-0000-2000-00002C000000}" name="Column17"/>
    <tableColumn id="45" xr3:uid="{00000000-0010-0000-2000-00002D000000}" name="Column18"/>
    <tableColumn id="46" xr3:uid="{00000000-0010-0000-2000-00002E000000}" name="Column19"/>
    <tableColumn id="47" xr3:uid="{00000000-0010-0000-2000-00002F000000}" name="Column20"/>
    <tableColumn id="48" xr3:uid="{00000000-0010-0000-2000-000030000000}" name="Column21"/>
    <tableColumn id="49" xr3:uid="{00000000-0010-0000-2000-000031000000}" name="Column22"/>
    <tableColumn id="50" xr3:uid="{00000000-0010-0000-2000-000032000000}" name="Column23"/>
    <tableColumn id="51" xr3:uid="{00000000-0010-0000-2000-000033000000}" name="Column24"/>
    <tableColumn id="52" xr3:uid="{00000000-0010-0000-2000-000034000000}" name="Column25"/>
    <tableColumn id="53" xr3:uid="{00000000-0010-0000-2000-000035000000}" name="Column26"/>
    <tableColumn id="54" xr3:uid="{00000000-0010-0000-2000-000036000000}" name="Column27"/>
    <tableColumn id="55" xr3:uid="{00000000-0010-0000-2000-000037000000}" name="Column28"/>
    <tableColumn id="56" xr3:uid="{00000000-0010-0000-2000-000038000000}" name="Column29"/>
    <tableColumn id="57" xr3:uid="{00000000-0010-0000-2000-000039000000}" name="Column30"/>
    <tableColumn id="58" xr3:uid="{00000000-0010-0000-2000-00003A000000}" name="Column31"/>
    <tableColumn id="59" xr3:uid="{00000000-0010-0000-2000-00003B000000}" name="Column32"/>
    <tableColumn id="60" xr3:uid="{00000000-0010-0000-2000-00003C000000}" name="Column33"/>
    <tableColumn id="61" xr3:uid="{00000000-0010-0000-2000-00003D000000}" name="Column34"/>
    <tableColumn id="62" xr3:uid="{00000000-0010-0000-2000-00003E000000}" name="Column35"/>
    <tableColumn id="63" xr3:uid="{00000000-0010-0000-2000-00003F000000}" name="Column36"/>
    <tableColumn id="64" xr3:uid="{00000000-0010-0000-2000-000040000000}" name="Column37"/>
    <tableColumn id="65" xr3:uid="{00000000-0010-0000-2000-000041000000}" name="Column38"/>
    <tableColumn id="66" xr3:uid="{00000000-0010-0000-2000-000042000000}" name="Column39"/>
    <tableColumn id="67" xr3:uid="{00000000-0010-0000-2000-000043000000}" name="Column40"/>
    <tableColumn id="68" xr3:uid="{00000000-0010-0000-2000-000044000000}" name="Column41"/>
    <tableColumn id="69" xr3:uid="{00000000-0010-0000-2000-000045000000}" name="Column42"/>
    <tableColumn id="70" xr3:uid="{00000000-0010-0000-2000-000046000000}" name="Column43"/>
    <tableColumn id="71" xr3:uid="{00000000-0010-0000-2000-000047000000}" name="Column44"/>
    <tableColumn id="72" xr3:uid="{00000000-0010-0000-2000-000048000000}" name="Column45"/>
    <tableColumn id="73" xr3:uid="{00000000-0010-0000-2000-000049000000}" name="Column46"/>
    <tableColumn id="74" xr3:uid="{00000000-0010-0000-2000-00004A000000}" name="Column47"/>
    <tableColumn id="75" xr3:uid="{00000000-0010-0000-2000-00004B000000}" name="Column48"/>
    <tableColumn id="76" xr3:uid="{00000000-0010-0000-2000-00004C000000}" name="Column49"/>
    <tableColumn id="77" xr3:uid="{00000000-0010-0000-2000-00004D000000}" name="Column50"/>
    <tableColumn id="78" xr3:uid="{00000000-0010-0000-2000-00004E000000}" name="Column51"/>
    <tableColumn id="79" xr3:uid="{00000000-0010-0000-2000-00004F000000}" name="Column52"/>
    <tableColumn id="80" xr3:uid="{00000000-0010-0000-2000-000050000000}" name="Column53"/>
    <tableColumn id="81" xr3:uid="{00000000-0010-0000-2000-000051000000}" name="Column54"/>
    <tableColumn id="82" xr3:uid="{00000000-0010-0000-2000-000052000000}" name="Column55"/>
    <tableColumn id="83" xr3:uid="{00000000-0010-0000-2000-000053000000}" name="Column56"/>
    <tableColumn id="84" xr3:uid="{00000000-0010-0000-2000-000054000000}" name="Column57"/>
    <tableColumn id="85" xr3:uid="{00000000-0010-0000-2000-000055000000}" name="Column58"/>
    <tableColumn id="86" xr3:uid="{00000000-0010-0000-2000-000056000000}" name="Column59"/>
    <tableColumn id="87" xr3:uid="{00000000-0010-0000-2000-000057000000}" name="Column60"/>
    <tableColumn id="88" xr3:uid="{00000000-0010-0000-2000-000058000000}" name="Column61"/>
    <tableColumn id="89" xr3:uid="{00000000-0010-0000-2000-000059000000}" name="Column62"/>
    <tableColumn id="90" xr3:uid="{00000000-0010-0000-2000-00005A000000}" name="Column63"/>
    <tableColumn id="91" xr3:uid="{00000000-0010-0000-2000-00005B000000}" name="Column64"/>
    <tableColumn id="92" xr3:uid="{00000000-0010-0000-2000-00005C000000}" name="Column65"/>
    <tableColumn id="93" xr3:uid="{00000000-0010-0000-2000-00005D000000}" name="Column66"/>
    <tableColumn id="94" xr3:uid="{00000000-0010-0000-2000-00005E000000}" name="Column67"/>
    <tableColumn id="95" xr3:uid="{00000000-0010-0000-2000-00005F000000}" name="Column68"/>
    <tableColumn id="96" xr3:uid="{00000000-0010-0000-2000-000060000000}" name="Column69"/>
    <tableColumn id="97" xr3:uid="{00000000-0010-0000-2000-000061000000}" name="Column70"/>
    <tableColumn id="98" xr3:uid="{00000000-0010-0000-2000-000062000000}" name="Column71"/>
    <tableColumn id="99" xr3:uid="{00000000-0010-0000-2000-000063000000}" name="Column72"/>
    <tableColumn id="100" xr3:uid="{00000000-0010-0000-2000-000064000000}" name="Column73"/>
    <tableColumn id="101" xr3:uid="{00000000-0010-0000-2000-000065000000}" name="Column74"/>
    <tableColumn id="102" xr3:uid="{00000000-0010-0000-2000-000066000000}" name="Column75"/>
    <tableColumn id="103" xr3:uid="{00000000-0010-0000-2000-000067000000}" name="Column76"/>
    <tableColumn id="104" xr3:uid="{00000000-0010-0000-2000-000068000000}" name="Column77"/>
    <tableColumn id="105" xr3:uid="{00000000-0010-0000-2000-000069000000}" name="Column78"/>
    <tableColumn id="106" xr3:uid="{00000000-0010-0000-2000-00006A000000}" name="Column79"/>
    <tableColumn id="107" xr3:uid="{00000000-0010-0000-2000-00006B000000}" name="Column80"/>
    <tableColumn id="108" xr3:uid="{00000000-0010-0000-2000-00006C000000}" name="Column81"/>
    <tableColumn id="109" xr3:uid="{00000000-0010-0000-2000-00006D000000}" name="Column82"/>
    <tableColumn id="110" xr3:uid="{00000000-0010-0000-2000-00006E000000}" name="Column83"/>
    <tableColumn id="111" xr3:uid="{00000000-0010-0000-2000-00006F000000}" name="Column84"/>
    <tableColumn id="112" xr3:uid="{00000000-0010-0000-2000-000070000000}" name="Column85"/>
    <tableColumn id="113" xr3:uid="{00000000-0010-0000-2000-000071000000}" name="Column86"/>
    <tableColumn id="114" xr3:uid="{00000000-0010-0000-2000-000072000000}" name="Column87"/>
    <tableColumn id="115" xr3:uid="{00000000-0010-0000-2000-000073000000}" name="Column88"/>
    <tableColumn id="116" xr3:uid="{00000000-0010-0000-2000-000074000000}" name="Column89"/>
    <tableColumn id="117" xr3:uid="{00000000-0010-0000-2000-000075000000}" name="Column90"/>
    <tableColumn id="118" xr3:uid="{00000000-0010-0000-2000-000076000000}" name="Column91"/>
    <tableColumn id="119" xr3:uid="{00000000-0010-0000-2000-000077000000}" name="Column92"/>
    <tableColumn id="120" xr3:uid="{00000000-0010-0000-2000-000078000000}" name="Column93"/>
    <tableColumn id="121" xr3:uid="{00000000-0010-0000-2000-000079000000}" name="Column94"/>
    <tableColumn id="122" xr3:uid="{00000000-0010-0000-2000-00007A000000}" name="Column95"/>
    <tableColumn id="123" xr3:uid="{00000000-0010-0000-2000-00007B000000}" name="Column96"/>
    <tableColumn id="124" xr3:uid="{00000000-0010-0000-2000-00007C000000}" name="Column97"/>
    <tableColumn id="125" xr3:uid="{00000000-0010-0000-2000-00007D000000}" name="Column98"/>
    <tableColumn id="126" xr3:uid="{00000000-0010-0000-2000-00007E000000}" name="Column99"/>
    <tableColumn id="127" xr3:uid="{00000000-0010-0000-2000-00007F000000}" name="Column100"/>
    <tableColumn id="128" xr3:uid="{00000000-0010-0000-2000-000080000000}" name="Column101"/>
    <tableColumn id="129" xr3:uid="{00000000-0010-0000-2000-000081000000}" name="Column102"/>
    <tableColumn id="130" xr3:uid="{00000000-0010-0000-2000-000082000000}" name="Column103"/>
    <tableColumn id="131" xr3:uid="{00000000-0010-0000-2000-000083000000}" name="Column104"/>
    <tableColumn id="132" xr3:uid="{00000000-0010-0000-2000-000084000000}" name="Column105"/>
    <tableColumn id="133" xr3:uid="{00000000-0010-0000-2000-000085000000}" name="Column106"/>
    <tableColumn id="134" xr3:uid="{00000000-0010-0000-2000-000086000000}" name="Column107"/>
    <tableColumn id="135" xr3:uid="{00000000-0010-0000-2000-000087000000}" name="Column108"/>
    <tableColumn id="136" xr3:uid="{00000000-0010-0000-2000-000088000000}" name="Column109"/>
    <tableColumn id="137" xr3:uid="{00000000-0010-0000-2000-000089000000}" name="Column110"/>
    <tableColumn id="138" xr3:uid="{00000000-0010-0000-2000-00008A000000}" name="Column111"/>
    <tableColumn id="139" xr3:uid="{00000000-0010-0000-2000-00008B000000}" name="Column112"/>
    <tableColumn id="140" xr3:uid="{00000000-0010-0000-2000-00008C000000}" name="Column113"/>
    <tableColumn id="141" xr3:uid="{00000000-0010-0000-2000-00008D000000}" name="Column114"/>
    <tableColumn id="142" xr3:uid="{00000000-0010-0000-2000-00008E000000}" name="Column115"/>
    <tableColumn id="143" xr3:uid="{00000000-0010-0000-2000-00008F000000}" name="Column116"/>
    <tableColumn id="144" xr3:uid="{00000000-0010-0000-2000-000090000000}" name="Column117"/>
    <tableColumn id="145" xr3:uid="{00000000-0010-0000-2000-000091000000}" name="Column118"/>
    <tableColumn id="146" xr3:uid="{00000000-0010-0000-2000-000092000000}" name="Column119"/>
    <tableColumn id="147" xr3:uid="{00000000-0010-0000-2000-000093000000}" name="Column120"/>
    <tableColumn id="148" xr3:uid="{00000000-0010-0000-2000-000094000000}" name="Column121"/>
    <tableColumn id="149" xr3:uid="{00000000-0010-0000-2000-000095000000}" name="Column122"/>
    <tableColumn id="150" xr3:uid="{00000000-0010-0000-2000-000096000000}" name="Column123"/>
    <tableColumn id="151" xr3:uid="{00000000-0010-0000-2000-000097000000}" name="Column124"/>
    <tableColumn id="152" xr3:uid="{00000000-0010-0000-2000-000098000000}" name="Column125"/>
    <tableColumn id="153" xr3:uid="{00000000-0010-0000-2000-000099000000}" name="Column126"/>
    <tableColumn id="154" xr3:uid="{00000000-0010-0000-2000-00009A000000}" name="Column127"/>
    <tableColumn id="155" xr3:uid="{00000000-0010-0000-2000-00009B000000}" name="Column128"/>
    <tableColumn id="156" xr3:uid="{00000000-0010-0000-2000-00009C000000}" name="Column129"/>
    <tableColumn id="157" xr3:uid="{00000000-0010-0000-2000-00009D000000}" name="Column130"/>
    <tableColumn id="158" xr3:uid="{00000000-0010-0000-2000-00009E000000}" name="Column131"/>
    <tableColumn id="159" xr3:uid="{00000000-0010-0000-2000-00009F000000}" name="Column132"/>
    <tableColumn id="160" xr3:uid="{00000000-0010-0000-2000-0000A0000000}" name="Column133"/>
    <tableColumn id="161" xr3:uid="{00000000-0010-0000-2000-0000A1000000}" name="Column134"/>
    <tableColumn id="162" xr3:uid="{00000000-0010-0000-2000-0000A2000000}" name="Column135"/>
    <tableColumn id="163" xr3:uid="{00000000-0010-0000-2000-0000A3000000}" name="Column136"/>
    <tableColumn id="164" xr3:uid="{00000000-0010-0000-2000-0000A4000000}" name="Column137"/>
    <tableColumn id="165" xr3:uid="{00000000-0010-0000-2000-0000A5000000}" name="Column138"/>
    <tableColumn id="166" xr3:uid="{00000000-0010-0000-2000-0000A6000000}" name="Column139"/>
    <tableColumn id="167" xr3:uid="{00000000-0010-0000-2000-0000A7000000}" name="Column140"/>
    <tableColumn id="168" xr3:uid="{00000000-0010-0000-2000-0000A8000000}" name="Column141"/>
    <tableColumn id="169" xr3:uid="{00000000-0010-0000-2000-0000A9000000}" name="Column142"/>
    <tableColumn id="170" xr3:uid="{00000000-0010-0000-2000-0000AA000000}" name="Column143"/>
    <tableColumn id="171" xr3:uid="{00000000-0010-0000-2000-0000AB000000}" name="Column144"/>
    <tableColumn id="172" xr3:uid="{00000000-0010-0000-2000-0000AC000000}" name="Column145"/>
    <tableColumn id="173" xr3:uid="{00000000-0010-0000-2000-0000AD000000}" name="Column146"/>
    <tableColumn id="174" xr3:uid="{00000000-0010-0000-2000-0000AE000000}" name="Column147"/>
    <tableColumn id="175" xr3:uid="{00000000-0010-0000-2000-0000AF000000}" name="Column148"/>
    <tableColumn id="176" xr3:uid="{00000000-0010-0000-2000-0000B0000000}" name="Column149"/>
    <tableColumn id="177" xr3:uid="{00000000-0010-0000-2000-0000B1000000}" name="Column150"/>
    <tableColumn id="178" xr3:uid="{00000000-0010-0000-2000-0000B2000000}" name="Column151"/>
    <tableColumn id="179" xr3:uid="{00000000-0010-0000-2000-0000B3000000}" name="Column152"/>
    <tableColumn id="180" xr3:uid="{00000000-0010-0000-2000-0000B4000000}" name="Column153"/>
    <tableColumn id="181" xr3:uid="{00000000-0010-0000-2000-0000B5000000}" name="Column154"/>
    <tableColumn id="182" xr3:uid="{00000000-0010-0000-2000-0000B6000000}" name="Column155"/>
    <tableColumn id="183" xr3:uid="{00000000-0010-0000-2000-0000B7000000}" name="Column156"/>
    <tableColumn id="184" xr3:uid="{00000000-0010-0000-2000-0000B8000000}" name="Column157"/>
    <tableColumn id="185" xr3:uid="{00000000-0010-0000-2000-0000B9000000}" name="Column158"/>
    <tableColumn id="186" xr3:uid="{00000000-0010-0000-2000-0000BA000000}" name="Column159"/>
    <tableColumn id="187" xr3:uid="{00000000-0010-0000-2000-0000BB000000}" name="Column160"/>
    <tableColumn id="188" xr3:uid="{00000000-0010-0000-2000-0000BC000000}" name="Column161"/>
    <tableColumn id="189" xr3:uid="{00000000-0010-0000-2000-0000BD000000}" name="Column162"/>
    <tableColumn id="190" xr3:uid="{00000000-0010-0000-2000-0000BE000000}" name="Column163"/>
    <tableColumn id="191" xr3:uid="{00000000-0010-0000-2000-0000BF000000}" name="Column164"/>
    <tableColumn id="192" xr3:uid="{00000000-0010-0000-2000-0000C0000000}" name="Column165"/>
    <tableColumn id="193" xr3:uid="{00000000-0010-0000-2000-0000C1000000}" name="Column166"/>
    <tableColumn id="194" xr3:uid="{00000000-0010-0000-2000-0000C2000000}" name="Column167"/>
    <tableColumn id="195" xr3:uid="{00000000-0010-0000-2000-0000C3000000}" name="Column168"/>
    <tableColumn id="196" xr3:uid="{00000000-0010-0000-2000-0000C4000000}" name="Column169"/>
    <tableColumn id="197" xr3:uid="{00000000-0010-0000-2000-0000C5000000}" name="Column170"/>
    <tableColumn id="198" xr3:uid="{00000000-0010-0000-2000-0000C6000000}" name="Column171"/>
    <tableColumn id="199" xr3:uid="{00000000-0010-0000-2000-0000C7000000}" name="Column172"/>
    <tableColumn id="200" xr3:uid="{00000000-0010-0000-2000-0000C8000000}" name="Column173"/>
    <tableColumn id="201" xr3:uid="{00000000-0010-0000-2000-0000C9000000}" name="Column174"/>
    <tableColumn id="202" xr3:uid="{00000000-0010-0000-2000-0000CA000000}" name="Column175"/>
    <tableColumn id="203" xr3:uid="{00000000-0010-0000-2000-0000CB000000}" name="Column176"/>
    <tableColumn id="204" xr3:uid="{00000000-0010-0000-2000-0000CC000000}" name="Column177"/>
    <tableColumn id="205" xr3:uid="{00000000-0010-0000-2000-0000CD000000}" name="Column178"/>
    <tableColumn id="206" xr3:uid="{00000000-0010-0000-2000-0000CE000000}" name="Column179"/>
    <tableColumn id="207" xr3:uid="{00000000-0010-0000-2000-0000CF000000}" name="Column180"/>
    <tableColumn id="208" xr3:uid="{00000000-0010-0000-2000-0000D0000000}" name="Column181"/>
    <tableColumn id="209" xr3:uid="{00000000-0010-0000-2000-0000D1000000}" name="Column182"/>
    <tableColumn id="210" xr3:uid="{00000000-0010-0000-2000-0000D2000000}" name="Column183"/>
    <tableColumn id="211" xr3:uid="{00000000-0010-0000-2000-0000D3000000}" name="Column184"/>
    <tableColumn id="212" xr3:uid="{00000000-0010-0000-2000-0000D4000000}" name="Column185"/>
    <tableColumn id="213" xr3:uid="{00000000-0010-0000-2000-0000D5000000}" name="Column186"/>
    <tableColumn id="214" xr3:uid="{00000000-0010-0000-2000-0000D6000000}" name="Column187"/>
    <tableColumn id="215" xr3:uid="{00000000-0010-0000-2000-0000D7000000}" name="Column188"/>
    <tableColumn id="216" xr3:uid="{00000000-0010-0000-2000-0000D8000000}" name="Column189"/>
    <tableColumn id="217" xr3:uid="{00000000-0010-0000-2000-0000D9000000}" name="Column190"/>
    <tableColumn id="218" xr3:uid="{00000000-0010-0000-2000-0000DA000000}" name="Column191"/>
    <tableColumn id="219" xr3:uid="{00000000-0010-0000-2000-0000DB000000}" name="Column192"/>
    <tableColumn id="220" xr3:uid="{00000000-0010-0000-2000-0000DC000000}" name="Column193"/>
    <tableColumn id="221" xr3:uid="{00000000-0010-0000-2000-0000DD000000}" name="Column194"/>
    <tableColumn id="222" xr3:uid="{00000000-0010-0000-2000-0000DE000000}" name="Column195"/>
    <tableColumn id="223" xr3:uid="{00000000-0010-0000-2000-0000DF000000}" name="Column196"/>
    <tableColumn id="224" xr3:uid="{00000000-0010-0000-2000-0000E0000000}" name="Column197"/>
    <tableColumn id="225" xr3:uid="{00000000-0010-0000-2000-0000E1000000}" name="Column198"/>
    <tableColumn id="226" xr3:uid="{00000000-0010-0000-2000-0000E2000000}" name="Column199"/>
    <tableColumn id="227" xr3:uid="{00000000-0010-0000-2000-0000E3000000}" name="Column200"/>
    <tableColumn id="228" xr3:uid="{00000000-0010-0000-2000-0000E4000000}" name="Column201"/>
    <tableColumn id="229" xr3:uid="{00000000-0010-0000-2000-0000E5000000}" name="Column202"/>
    <tableColumn id="230" xr3:uid="{00000000-0010-0000-2000-0000E6000000}" name="Column203"/>
    <tableColumn id="231" xr3:uid="{00000000-0010-0000-2000-0000E7000000}" name="Column204"/>
    <tableColumn id="232" xr3:uid="{00000000-0010-0000-2000-0000E8000000}" name="Column205"/>
    <tableColumn id="233" xr3:uid="{00000000-0010-0000-2000-0000E9000000}" name="Column206"/>
    <tableColumn id="234" xr3:uid="{00000000-0010-0000-2000-0000EA000000}" name="Column207"/>
    <tableColumn id="235" xr3:uid="{00000000-0010-0000-2000-0000EB000000}" name="Column208"/>
    <tableColumn id="236" xr3:uid="{00000000-0010-0000-2000-0000EC000000}" name="Column209"/>
    <tableColumn id="237" xr3:uid="{00000000-0010-0000-2000-0000ED000000}" name="Column210"/>
    <tableColumn id="238" xr3:uid="{00000000-0010-0000-2000-0000EE000000}" name="Column211"/>
    <tableColumn id="239" xr3:uid="{00000000-0010-0000-2000-0000EF000000}" name="Column212"/>
    <tableColumn id="240" xr3:uid="{00000000-0010-0000-2000-0000F0000000}" name="Column213"/>
    <tableColumn id="241" xr3:uid="{00000000-0010-0000-2000-0000F1000000}" name="Column214"/>
    <tableColumn id="242" xr3:uid="{00000000-0010-0000-2000-0000F2000000}" name="Column215"/>
    <tableColumn id="243" xr3:uid="{00000000-0010-0000-2000-0000F3000000}" name="Column216"/>
    <tableColumn id="244" xr3:uid="{00000000-0010-0000-2000-0000F4000000}" name="Column217"/>
    <tableColumn id="245" xr3:uid="{00000000-0010-0000-2000-0000F5000000}" name="Column218"/>
    <tableColumn id="246" xr3:uid="{00000000-0010-0000-2000-0000F6000000}" name="Column219"/>
    <tableColumn id="247" xr3:uid="{00000000-0010-0000-2000-0000F7000000}" name="Column220"/>
    <tableColumn id="248" xr3:uid="{00000000-0010-0000-2000-0000F8000000}" name="Column221"/>
    <tableColumn id="249" xr3:uid="{00000000-0010-0000-2000-0000F9000000}" name="Column222"/>
    <tableColumn id="250" xr3:uid="{00000000-0010-0000-2000-0000FA000000}" name="Column223"/>
    <tableColumn id="251" xr3:uid="{00000000-0010-0000-2000-0000FB000000}" name="Column224"/>
    <tableColumn id="252" xr3:uid="{00000000-0010-0000-2000-0000FC000000}" name="Column225"/>
    <tableColumn id="253" xr3:uid="{00000000-0010-0000-2000-0000FD000000}" name="Column226"/>
    <tableColumn id="254" xr3:uid="{00000000-0010-0000-2000-0000FE000000}" name="Column227"/>
    <tableColumn id="255" xr3:uid="{00000000-0010-0000-2000-0000FF000000}" name="Column228"/>
    <tableColumn id="256" xr3:uid="{00000000-0010-0000-2000-000000010000}" name="Column229"/>
    <tableColumn id="257" xr3:uid="{00000000-0010-0000-2000-000001010000}" name="Column230"/>
    <tableColumn id="258" xr3:uid="{00000000-0010-0000-2000-000002010000}" name="Column231"/>
    <tableColumn id="259" xr3:uid="{00000000-0010-0000-2000-000003010000}" name="Column232"/>
    <tableColumn id="260" xr3:uid="{00000000-0010-0000-2000-000004010000}" name="Column233"/>
    <tableColumn id="261" xr3:uid="{00000000-0010-0000-2000-000005010000}" name="Column234"/>
    <tableColumn id="262" xr3:uid="{00000000-0010-0000-2000-000006010000}" name="Column235"/>
    <tableColumn id="263" xr3:uid="{00000000-0010-0000-2000-000007010000}" name="Column236"/>
    <tableColumn id="264" xr3:uid="{00000000-0010-0000-2000-000008010000}" name="Column237"/>
    <tableColumn id="265" xr3:uid="{00000000-0010-0000-2000-000009010000}" name="Column238"/>
    <tableColumn id="266" xr3:uid="{00000000-0010-0000-2000-00000A010000}" name="Column239"/>
    <tableColumn id="267" xr3:uid="{00000000-0010-0000-2000-00000B010000}" name="Column240"/>
    <tableColumn id="268" xr3:uid="{00000000-0010-0000-2000-00000C010000}" name="Column241"/>
    <tableColumn id="269" xr3:uid="{00000000-0010-0000-2000-00000D010000}" name="Column242"/>
    <tableColumn id="270" xr3:uid="{00000000-0010-0000-2000-00000E010000}" name="Column243"/>
    <tableColumn id="271" xr3:uid="{00000000-0010-0000-2000-00000F010000}" name="Column244"/>
    <tableColumn id="272" xr3:uid="{00000000-0010-0000-2000-000010010000}" name="Column245"/>
    <tableColumn id="273" xr3:uid="{00000000-0010-0000-2000-000011010000}" name="Column246"/>
    <tableColumn id="274" xr3:uid="{00000000-0010-0000-2000-000012010000}" name="Column247"/>
    <tableColumn id="275" xr3:uid="{00000000-0010-0000-2000-000013010000}" name="Column248"/>
    <tableColumn id="276" xr3:uid="{00000000-0010-0000-2000-000014010000}" name="Column249"/>
    <tableColumn id="277" xr3:uid="{00000000-0010-0000-2000-000015010000}" name="Column250"/>
    <tableColumn id="278" xr3:uid="{00000000-0010-0000-2000-000016010000}" name="Column251"/>
    <tableColumn id="279" xr3:uid="{00000000-0010-0000-2000-000017010000}" name="Column252"/>
    <tableColumn id="280" xr3:uid="{00000000-0010-0000-2000-000018010000}" name="Column253"/>
    <tableColumn id="281" xr3:uid="{00000000-0010-0000-2000-000019010000}" name="Column254"/>
    <tableColumn id="282" xr3:uid="{00000000-0010-0000-2000-00001A010000}" name="Column255"/>
    <tableColumn id="283" xr3:uid="{00000000-0010-0000-2000-00001B010000}" name="Column256"/>
    <tableColumn id="284" xr3:uid="{00000000-0010-0000-2000-00001C010000}" name="Column257"/>
    <tableColumn id="285" xr3:uid="{00000000-0010-0000-2000-00001D010000}" name="Column258"/>
    <tableColumn id="286" xr3:uid="{00000000-0010-0000-2000-00001E010000}" name="Column259"/>
    <tableColumn id="287" xr3:uid="{00000000-0010-0000-2000-00001F010000}" name="Column260"/>
    <tableColumn id="288" xr3:uid="{00000000-0010-0000-2000-000020010000}" name="Column261"/>
    <tableColumn id="289" xr3:uid="{00000000-0010-0000-2000-000021010000}" name="Column262"/>
    <tableColumn id="290" xr3:uid="{00000000-0010-0000-2000-000022010000}" name="Column263"/>
    <tableColumn id="291" xr3:uid="{00000000-0010-0000-2000-000023010000}" name="Column264"/>
    <tableColumn id="292" xr3:uid="{00000000-0010-0000-2000-000024010000}" name="Column265"/>
    <tableColumn id="293" xr3:uid="{00000000-0010-0000-2000-000025010000}" name="Column266"/>
    <tableColumn id="294" xr3:uid="{00000000-0010-0000-2000-000026010000}" name="Column267"/>
    <tableColumn id="295" xr3:uid="{00000000-0010-0000-2000-000027010000}" name="Column268"/>
    <tableColumn id="296" xr3:uid="{00000000-0010-0000-2000-000028010000}" name="Column269"/>
    <tableColumn id="297" xr3:uid="{00000000-0010-0000-2000-000029010000}" name="Column270"/>
    <tableColumn id="298" xr3:uid="{00000000-0010-0000-2000-00002A010000}" name="Column271"/>
    <tableColumn id="299" xr3:uid="{00000000-0010-0000-2000-00002B010000}" name="Column272"/>
    <tableColumn id="300" xr3:uid="{00000000-0010-0000-2000-00002C010000}" name="Column273"/>
    <tableColumn id="301" xr3:uid="{00000000-0010-0000-2000-00002D010000}" name="Column274"/>
    <tableColumn id="302" xr3:uid="{00000000-0010-0000-2000-00002E010000}" name="Column275"/>
    <tableColumn id="303" xr3:uid="{00000000-0010-0000-2000-00002F010000}" name="Column276"/>
    <tableColumn id="304" xr3:uid="{00000000-0010-0000-2000-000030010000}" name="Column277"/>
    <tableColumn id="305" xr3:uid="{00000000-0010-0000-2000-000031010000}" name="Column278"/>
    <tableColumn id="306" xr3:uid="{00000000-0010-0000-2000-000032010000}" name="Column279"/>
    <tableColumn id="307" xr3:uid="{00000000-0010-0000-2000-000033010000}" name="Column280"/>
    <tableColumn id="308" xr3:uid="{00000000-0010-0000-2000-000034010000}" name="Column281"/>
    <tableColumn id="309" xr3:uid="{00000000-0010-0000-2000-000035010000}" name="Column282"/>
    <tableColumn id="310" xr3:uid="{00000000-0010-0000-2000-000036010000}" name="Column283"/>
    <tableColumn id="311" xr3:uid="{00000000-0010-0000-2000-000037010000}" name="Column284"/>
    <tableColumn id="312" xr3:uid="{00000000-0010-0000-2000-000038010000}" name="Column285"/>
    <tableColumn id="313" xr3:uid="{00000000-0010-0000-2000-000039010000}" name="Column286"/>
    <tableColumn id="314" xr3:uid="{00000000-0010-0000-2000-00003A010000}" name="Column287"/>
    <tableColumn id="315" xr3:uid="{00000000-0010-0000-2000-00003B010000}" name="Column288"/>
    <tableColumn id="316" xr3:uid="{00000000-0010-0000-2000-00003C010000}" name="Column289"/>
    <tableColumn id="317" xr3:uid="{00000000-0010-0000-2000-00003D010000}" name="Column290"/>
    <tableColumn id="318" xr3:uid="{00000000-0010-0000-2000-00003E010000}" name="Column291"/>
    <tableColumn id="319" xr3:uid="{00000000-0010-0000-2000-00003F010000}" name="Column292"/>
    <tableColumn id="320" xr3:uid="{00000000-0010-0000-2000-000040010000}" name="Column293"/>
    <tableColumn id="321" xr3:uid="{00000000-0010-0000-2000-000041010000}" name="Column294"/>
    <tableColumn id="322" xr3:uid="{00000000-0010-0000-2000-000042010000}" name="Column295"/>
    <tableColumn id="323" xr3:uid="{00000000-0010-0000-2000-000043010000}" name="Column296"/>
    <tableColumn id="324" xr3:uid="{00000000-0010-0000-2000-000044010000}" name="Column297"/>
    <tableColumn id="325" xr3:uid="{00000000-0010-0000-2000-000045010000}" name="Column298"/>
    <tableColumn id="326" xr3:uid="{00000000-0010-0000-2000-000046010000}" name="Column299"/>
    <tableColumn id="327" xr3:uid="{00000000-0010-0000-2000-000047010000}" name="Column300"/>
    <tableColumn id="328" xr3:uid="{00000000-0010-0000-2000-000048010000}" name="Column301"/>
    <tableColumn id="329" xr3:uid="{00000000-0010-0000-2000-000049010000}" name="Column302"/>
    <tableColumn id="330" xr3:uid="{00000000-0010-0000-2000-00004A010000}" name="Column303"/>
    <tableColumn id="331" xr3:uid="{00000000-0010-0000-2000-00004B010000}" name="Column304"/>
    <tableColumn id="332" xr3:uid="{00000000-0010-0000-2000-00004C010000}" name="Column305"/>
    <tableColumn id="333" xr3:uid="{00000000-0010-0000-2000-00004D010000}" name="Column306"/>
    <tableColumn id="334" xr3:uid="{00000000-0010-0000-2000-00004E010000}" name="Column307"/>
    <tableColumn id="335" xr3:uid="{00000000-0010-0000-2000-00004F010000}" name="Column308"/>
    <tableColumn id="336" xr3:uid="{00000000-0010-0000-2000-000050010000}" name="Column309"/>
    <tableColumn id="337" xr3:uid="{00000000-0010-0000-2000-000051010000}" name="Column310"/>
    <tableColumn id="338" xr3:uid="{00000000-0010-0000-2000-000052010000}" name="Column311"/>
    <tableColumn id="339" xr3:uid="{00000000-0010-0000-2000-000053010000}" name="Column312"/>
    <tableColumn id="340" xr3:uid="{00000000-0010-0000-2000-000054010000}" name="Column313"/>
    <tableColumn id="341" xr3:uid="{00000000-0010-0000-2000-000055010000}" name="Column314"/>
    <tableColumn id="342" xr3:uid="{00000000-0010-0000-2000-000056010000}" name="Column315"/>
    <tableColumn id="343" xr3:uid="{00000000-0010-0000-2000-000057010000}" name="Column316"/>
    <tableColumn id="344" xr3:uid="{00000000-0010-0000-2000-000058010000}" name="Column317"/>
    <tableColumn id="345" xr3:uid="{00000000-0010-0000-2000-000059010000}" name="Column318"/>
    <tableColumn id="346" xr3:uid="{00000000-0010-0000-2000-00005A010000}" name="Column319"/>
    <tableColumn id="347" xr3:uid="{00000000-0010-0000-2000-00005B010000}" name="Column320"/>
    <tableColumn id="348" xr3:uid="{00000000-0010-0000-2000-00005C010000}" name="Column321"/>
    <tableColumn id="349" xr3:uid="{00000000-0010-0000-2000-00005D010000}" name="Column322"/>
    <tableColumn id="350" xr3:uid="{00000000-0010-0000-2000-00005E010000}" name="Column323"/>
    <tableColumn id="351" xr3:uid="{00000000-0010-0000-2000-00005F010000}" name="Column324"/>
    <tableColumn id="352" xr3:uid="{00000000-0010-0000-2000-000060010000}" name="Column325"/>
    <tableColumn id="353" xr3:uid="{00000000-0010-0000-2000-000061010000}" name="Column326"/>
    <tableColumn id="354" xr3:uid="{00000000-0010-0000-2000-000062010000}" name="Column327"/>
    <tableColumn id="355" xr3:uid="{00000000-0010-0000-2000-000063010000}" name="Column328"/>
    <tableColumn id="356" xr3:uid="{00000000-0010-0000-2000-000064010000}" name="Column329"/>
    <tableColumn id="357" xr3:uid="{00000000-0010-0000-2000-000065010000}" name="Column330"/>
    <tableColumn id="358" xr3:uid="{00000000-0010-0000-2000-000066010000}" name="Column331"/>
    <tableColumn id="359" xr3:uid="{00000000-0010-0000-2000-000067010000}" name="Column332"/>
    <tableColumn id="360" xr3:uid="{00000000-0010-0000-2000-000068010000}" name="Column333"/>
    <tableColumn id="361" xr3:uid="{00000000-0010-0000-2000-000069010000}" name="Column334"/>
    <tableColumn id="362" xr3:uid="{00000000-0010-0000-2000-00006A010000}" name="Column335"/>
    <tableColumn id="363" xr3:uid="{00000000-0010-0000-2000-00006B010000}" name="Column336"/>
    <tableColumn id="364" xr3:uid="{00000000-0010-0000-2000-00006C010000}" name="Column337"/>
    <tableColumn id="365" xr3:uid="{00000000-0010-0000-2000-00006D010000}" name="Column338"/>
    <tableColumn id="366" xr3:uid="{00000000-0010-0000-2000-00006E010000}" name="Column339"/>
    <tableColumn id="367" xr3:uid="{00000000-0010-0000-2000-00006F010000}" name="Column340"/>
    <tableColumn id="368" xr3:uid="{00000000-0010-0000-2000-000070010000}" name="Column341"/>
    <tableColumn id="369" xr3:uid="{00000000-0010-0000-2000-000071010000}" name="Column342"/>
    <tableColumn id="370" xr3:uid="{00000000-0010-0000-2000-000072010000}" name="Column343"/>
    <tableColumn id="371" xr3:uid="{00000000-0010-0000-2000-000073010000}" name="Column344"/>
    <tableColumn id="372" xr3:uid="{00000000-0010-0000-2000-000074010000}" name="Column345"/>
    <tableColumn id="373" xr3:uid="{00000000-0010-0000-2000-000075010000}" name="Column346"/>
    <tableColumn id="374" xr3:uid="{00000000-0010-0000-2000-000076010000}" name="Column347"/>
    <tableColumn id="375" xr3:uid="{00000000-0010-0000-2000-000077010000}" name="Column348"/>
    <tableColumn id="376" xr3:uid="{00000000-0010-0000-2000-000078010000}" name="Column349"/>
    <tableColumn id="377" xr3:uid="{00000000-0010-0000-2000-000079010000}" name="Column350"/>
    <tableColumn id="378" xr3:uid="{00000000-0010-0000-2000-00007A010000}" name="Column351"/>
    <tableColumn id="379" xr3:uid="{00000000-0010-0000-2000-00007B010000}" name="Column352"/>
    <tableColumn id="380" xr3:uid="{00000000-0010-0000-2000-00007C010000}" name="Column353"/>
    <tableColumn id="381" xr3:uid="{00000000-0010-0000-2000-00007D010000}" name="Column354"/>
    <tableColumn id="382" xr3:uid="{00000000-0010-0000-2000-00007E010000}" name="Column355"/>
    <tableColumn id="383" xr3:uid="{00000000-0010-0000-2000-00007F010000}" name="Column356"/>
    <tableColumn id="384" xr3:uid="{00000000-0010-0000-2000-000080010000}" name="Column357"/>
    <tableColumn id="385" xr3:uid="{00000000-0010-0000-2000-000081010000}" name="Column358"/>
    <tableColumn id="386" xr3:uid="{00000000-0010-0000-2000-000082010000}" name="Column359"/>
    <tableColumn id="387" xr3:uid="{00000000-0010-0000-2000-000083010000}" name="Column360"/>
    <tableColumn id="388" xr3:uid="{00000000-0010-0000-2000-000084010000}" name="Column361"/>
    <tableColumn id="389" xr3:uid="{00000000-0010-0000-2000-000085010000}" name="Column362"/>
    <tableColumn id="390" xr3:uid="{00000000-0010-0000-2000-000086010000}" name="Column363"/>
    <tableColumn id="391" xr3:uid="{00000000-0010-0000-2000-000087010000}" name="Column364"/>
    <tableColumn id="392" xr3:uid="{00000000-0010-0000-2000-000088010000}" name="Column365"/>
    <tableColumn id="393" xr3:uid="{00000000-0010-0000-2000-000089010000}" name="Column366"/>
    <tableColumn id="394" xr3:uid="{00000000-0010-0000-2000-00008A010000}" name="Column367"/>
    <tableColumn id="395" xr3:uid="{00000000-0010-0000-2000-00008B010000}" name="Column368"/>
    <tableColumn id="396" xr3:uid="{00000000-0010-0000-2000-00008C010000}" name="Column369"/>
    <tableColumn id="397" xr3:uid="{00000000-0010-0000-2000-00008D010000}" name="Column370"/>
    <tableColumn id="398" xr3:uid="{00000000-0010-0000-2000-00008E010000}" name="Column371"/>
    <tableColumn id="399" xr3:uid="{00000000-0010-0000-2000-00008F010000}" name="Column372"/>
    <tableColumn id="400" xr3:uid="{00000000-0010-0000-2000-000090010000}" name="Column373"/>
    <tableColumn id="401" xr3:uid="{00000000-0010-0000-2000-000091010000}" name="Column374"/>
    <tableColumn id="402" xr3:uid="{00000000-0010-0000-2000-000092010000}" name="Column375"/>
    <tableColumn id="403" xr3:uid="{00000000-0010-0000-2000-000093010000}" name="Column376"/>
    <tableColumn id="404" xr3:uid="{00000000-0010-0000-2000-000094010000}" name="Column377"/>
    <tableColumn id="405" xr3:uid="{00000000-0010-0000-2000-000095010000}" name="Column378"/>
    <tableColumn id="406" xr3:uid="{00000000-0010-0000-2000-000096010000}" name="Column379"/>
    <tableColumn id="407" xr3:uid="{00000000-0010-0000-2000-000097010000}" name="Column380"/>
    <tableColumn id="408" xr3:uid="{00000000-0010-0000-2000-000098010000}" name="Column381"/>
    <tableColumn id="409" xr3:uid="{00000000-0010-0000-2000-000099010000}" name="Column382"/>
    <tableColumn id="410" xr3:uid="{00000000-0010-0000-2000-00009A010000}" name="Column383"/>
    <tableColumn id="411" xr3:uid="{00000000-0010-0000-2000-00009B010000}" name="Column384"/>
    <tableColumn id="412" xr3:uid="{00000000-0010-0000-2000-00009C010000}" name="Column385"/>
    <tableColumn id="413" xr3:uid="{00000000-0010-0000-2000-00009D010000}" name="Column386"/>
    <tableColumn id="414" xr3:uid="{00000000-0010-0000-2000-00009E010000}" name="Column387"/>
    <tableColumn id="415" xr3:uid="{00000000-0010-0000-2000-00009F010000}" name="Column388"/>
    <tableColumn id="416" xr3:uid="{00000000-0010-0000-2000-0000A0010000}" name="Column389"/>
    <tableColumn id="417" xr3:uid="{00000000-0010-0000-2000-0000A1010000}" name="Column390"/>
    <tableColumn id="418" xr3:uid="{00000000-0010-0000-2000-0000A2010000}" name="Column391"/>
    <tableColumn id="419" xr3:uid="{00000000-0010-0000-2000-0000A3010000}" name="Column392"/>
    <tableColumn id="420" xr3:uid="{00000000-0010-0000-2000-0000A4010000}" name="Column393"/>
    <tableColumn id="421" xr3:uid="{00000000-0010-0000-2000-0000A5010000}" name="Column394"/>
    <tableColumn id="422" xr3:uid="{00000000-0010-0000-2000-0000A6010000}" name="Column395"/>
    <tableColumn id="423" xr3:uid="{00000000-0010-0000-2000-0000A7010000}" name="Column396"/>
    <tableColumn id="424" xr3:uid="{00000000-0010-0000-2000-0000A8010000}" name="Column397"/>
    <tableColumn id="425" xr3:uid="{00000000-0010-0000-2000-0000A9010000}" name="Column398"/>
    <tableColumn id="426" xr3:uid="{00000000-0010-0000-2000-0000AA010000}" name="Column399"/>
    <tableColumn id="427" xr3:uid="{00000000-0010-0000-2000-0000AB010000}" name="Column400"/>
    <tableColumn id="428" xr3:uid="{00000000-0010-0000-2000-0000AC010000}" name="Column401"/>
    <tableColumn id="429" xr3:uid="{00000000-0010-0000-2000-0000AD010000}" name="Column402"/>
    <tableColumn id="430" xr3:uid="{00000000-0010-0000-2000-0000AE010000}" name="Column403"/>
    <tableColumn id="431" xr3:uid="{00000000-0010-0000-2000-0000AF010000}" name="Column404"/>
    <tableColumn id="432" xr3:uid="{00000000-0010-0000-2000-0000B0010000}" name="Column405"/>
    <tableColumn id="433" xr3:uid="{00000000-0010-0000-2000-0000B1010000}" name="Column406"/>
    <tableColumn id="434" xr3:uid="{00000000-0010-0000-2000-0000B2010000}" name="Column407"/>
    <tableColumn id="435" xr3:uid="{00000000-0010-0000-2000-0000B3010000}" name="Column408"/>
    <tableColumn id="436" xr3:uid="{00000000-0010-0000-2000-0000B4010000}" name="Column409"/>
    <tableColumn id="437" xr3:uid="{00000000-0010-0000-2000-0000B5010000}" name="Column410"/>
    <tableColumn id="438" xr3:uid="{00000000-0010-0000-2000-0000B6010000}" name="Column411"/>
    <tableColumn id="439" xr3:uid="{00000000-0010-0000-2000-0000B7010000}" name="Column412"/>
    <tableColumn id="440" xr3:uid="{00000000-0010-0000-2000-0000B8010000}" name="Column413"/>
    <tableColumn id="441" xr3:uid="{00000000-0010-0000-2000-0000B9010000}" name="Column414"/>
    <tableColumn id="442" xr3:uid="{00000000-0010-0000-2000-0000BA010000}" name="Column415"/>
    <tableColumn id="443" xr3:uid="{00000000-0010-0000-2000-0000BB010000}" name="Column416"/>
    <tableColumn id="444" xr3:uid="{00000000-0010-0000-2000-0000BC010000}" name="Column417"/>
    <tableColumn id="445" xr3:uid="{00000000-0010-0000-2000-0000BD010000}" name="Column418"/>
    <tableColumn id="446" xr3:uid="{00000000-0010-0000-2000-0000BE010000}" name="Column419"/>
    <tableColumn id="447" xr3:uid="{00000000-0010-0000-2000-0000BF010000}" name="Column420"/>
    <tableColumn id="448" xr3:uid="{00000000-0010-0000-2000-0000C0010000}" name="Column421"/>
    <tableColumn id="449" xr3:uid="{00000000-0010-0000-2000-0000C1010000}" name="Column422"/>
    <tableColumn id="450" xr3:uid="{00000000-0010-0000-2000-0000C2010000}" name="Column423"/>
    <tableColumn id="451" xr3:uid="{00000000-0010-0000-2000-0000C3010000}" name="Column424"/>
    <tableColumn id="452" xr3:uid="{00000000-0010-0000-2000-0000C4010000}" name="Column425"/>
    <tableColumn id="453" xr3:uid="{00000000-0010-0000-2000-0000C5010000}" name="Column426"/>
    <tableColumn id="454" xr3:uid="{00000000-0010-0000-2000-0000C6010000}" name="Column427"/>
    <tableColumn id="455" xr3:uid="{00000000-0010-0000-2000-0000C7010000}" name="Column428"/>
    <tableColumn id="456" xr3:uid="{00000000-0010-0000-2000-0000C8010000}" name="Column429"/>
    <tableColumn id="457" xr3:uid="{00000000-0010-0000-2000-0000C9010000}" name="Column430"/>
    <tableColumn id="458" xr3:uid="{00000000-0010-0000-2000-0000CA010000}" name="Column431"/>
    <tableColumn id="459" xr3:uid="{00000000-0010-0000-2000-0000CB010000}" name="Column432"/>
    <tableColumn id="460" xr3:uid="{00000000-0010-0000-2000-0000CC010000}" name="Column433"/>
    <tableColumn id="461" xr3:uid="{00000000-0010-0000-2000-0000CD010000}" name="Column434"/>
    <tableColumn id="462" xr3:uid="{00000000-0010-0000-2000-0000CE010000}" name="Column435"/>
    <tableColumn id="463" xr3:uid="{00000000-0010-0000-2000-0000CF010000}" name="Column436"/>
    <tableColumn id="464" xr3:uid="{00000000-0010-0000-2000-0000D0010000}" name="Column437"/>
    <tableColumn id="465" xr3:uid="{00000000-0010-0000-2000-0000D1010000}" name="Column438"/>
    <tableColumn id="466" xr3:uid="{00000000-0010-0000-2000-0000D2010000}" name="Column439"/>
    <tableColumn id="467" xr3:uid="{00000000-0010-0000-2000-0000D3010000}" name="Column440"/>
    <tableColumn id="468" xr3:uid="{00000000-0010-0000-2000-0000D4010000}" name="Column441"/>
    <tableColumn id="469" xr3:uid="{00000000-0010-0000-2000-0000D5010000}" name="Column442"/>
    <tableColumn id="470" xr3:uid="{00000000-0010-0000-2000-0000D6010000}" name="Column443"/>
    <tableColumn id="471" xr3:uid="{00000000-0010-0000-2000-0000D7010000}" name="Column444"/>
    <tableColumn id="472" xr3:uid="{00000000-0010-0000-2000-0000D8010000}" name="Column445"/>
    <tableColumn id="473" xr3:uid="{00000000-0010-0000-2000-0000D9010000}" name="Column446"/>
    <tableColumn id="474" xr3:uid="{00000000-0010-0000-2000-0000DA010000}" name="Column447"/>
    <tableColumn id="475" xr3:uid="{00000000-0010-0000-2000-0000DB010000}" name="Column448"/>
    <tableColumn id="476" xr3:uid="{00000000-0010-0000-2000-0000DC010000}" name="Column449"/>
    <tableColumn id="477" xr3:uid="{00000000-0010-0000-2000-0000DD010000}" name="Column450"/>
    <tableColumn id="478" xr3:uid="{00000000-0010-0000-2000-0000DE010000}" name="Column451"/>
    <tableColumn id="479" xr3:uid="{00000000-0010-0000-2000-0000DF010000}" name="Column452"/>
    <tableColumn id="480" xr3:uid="{00000000-0010-0000-2000-0000E0010000}" name="Column453"/>
    <tableColumn id="481" xr3:uid="{00000000-0010-0000-2000-0000E1010000}" name="Column454"/>
    <tableColumn id="482" xr3:uid="{00000000-0010-0000-2000-0000E2010000}" name="Column455"/>
    <tableColumn id="483" xr3:uid="{00000000-0010-0000-2000-0000E3010000}" name="Column456"/>
    <tableColumn id="484" xr3:uid="{00000000-0010-0000-2000-0000E4010000}" name="Column457"/>
    <tableColumn id="485" xr3:uid="{00000000-0010-0000-2000-0000E5010000}" name="Column458"/>
    <tableColumn id="486" xr3:uid="{00000000-0010-0000-2000-0000E6010000}" name="Column459"/>
    <tableColumn id="487" xr3:uid="{00000000-0010-0000-2000-0000E7010000}" name="Column460"/>
    <tableColumn id="488" xr3:uid="{00000000-0010-0000-2000-0000E8010000}" name="Column461"/>
    <tableColumn id="489" xr3:uid="{00000000-0010-0000-2000-0000E9010000}" name="Column462"/>
    <tableColumn id="490" xr3:uid="{00000000-0010-0000-2000-0000EA010000}" name="Column463"/>
    <tableColumn id="491" xr3:uid="{00000000-0010-0000-2000-0000EB010000}" name="Column464"/>
    <tableColumn id="492" xr3:uid="{00000000-0010-0000-2000-0000EC010000}" name="Column465"/>
    <tableColumn id="493" xr3:uid="{00000000-0010-0000-2000-0000ED010000}" name="Column466"/>
    <tableColumn id="494" xr3:uid="{00000000-0010-0000-2000-0000EE010000}" name="Column467"/>
    <tableColumn id="495" xr3:uid="{00000000-0010-0000-2000-0000EF010000}" name="Column468"/>
    <tableColumn id="496" xr3:uid="{00000000-0010-0000-2000-0000F0010000}" name="Column469"/>
    <tableColumn id="497" xr3:uid="{00000000-0010-0000-2000-0000F1010000}" name="Column470"/>
    <tableColumn id="498" xr3:uid="{00000000-0010-0000-2000-0000F2010000}" name="Column471"/>
    <tableColumn id="499" xr3:uid="{00000000-0010-0000-2000-0000F3010000}" name="Column472"/>
    <tableColumn id="500" xr3:uid="{00000000-0010-0000-2000-0000F4010000}" name="Column473"/>
    <tableColumn id="501" xr3:uid="{00000000-0010-0000-2000-0000F5010000}" name="Column474"/>
    <tableColumn id="502" xr3:uid="{00000000-0010-0000-2000-0000F6010000}" name="Column475"/>
    <tableColumn id="503" xr3:uid="{00000000-0010-0000-2000-0000F7010000}" name="Column476"/>
    <tableColumn id="504" xr3:uid="{00000000-0010-0000-2000-0000F8010000}" name="Column477"/>
    <tableColumn id="505" xr3:uid="{00000000-0010-0000-2000-0000F9010000}" name="Column478"/>
    <tableColumn id="506" xr3:uid="{00000000-0010-0000-2000-0000FA010000}" name="Column479"/>
    <tableColumn id="507" xr3:uid="{00000000-0010-0000-2000-0000FB010000}" name="Column480"/>
    <tableColumn id="508" xr3:uid="{00000000-0010-0000-2000-0000FC010000}" name="Column481"/>
    <tableColumn id="509" xr3:uid="{00000000-0010-0000-2000-0000FD010000}" name="Column482"/>
    <tableColumn id="510" xr3:uid="{00000000-0010-0000-2000-0000FE010000}" name="Column483"/>
    <tableColumn id="511" xr3:uid="{00000000-0010-0000-2000-0000FF010000}" name="Column484"/>
    <tableColumn id="512" xr3:uid="{00000000-0010-0000-2000-000000020000}" name="Column485"/>
    <tableColumn id="513" xr3:uid="{00000000-0010-0000-2000-000001020000}" name="Column486"/>
    <tableColumn id="514" xr3:uid="{00000000-0010-0000-2000-000002020000}" name="Column487"/>
    <tableColumn id="515" xr3:uid="{00000000-0010-0000-2000-000003020000}" name="Column488"/>
    <tableColumn id="516" xr3:uid="{00000000-0010-0000-2000-000004020000}" name="Column489"/>
    <tableColumn id="517" xr3:uid="{00000000-0010-0000-2000-000005020000}" name="Column490"/>
    <tableColumn id="518" xr3:uid="{00000000-0010-0000-2000-000006020000}" name="Column491"/>
    <tableColumn id="519" xr3:uid="{00000000-0010-0000-2000-000007020000}" name="Column492"/>
    <tableColumn id="520" xr3:uid="{00000000-0010-0000-2000-000008020000}" name="Column493"/>
    <tableColumn id="521" xr3:uid="{00000000-0010-0000-2000-000009020000}" name="Column494"/>
    <tableColumn id="522" xr3:uid="{00000000-0010-0000-2000-00000A020000}" name="Column495"/>
    <tableColumn id="523" xr3:uid="{00000000-0010-0000-2000-00000B020000}" name="Column496"/>
    <tableColumn id="524" xr3:uid="{00000000-0010-0000-2000-00000C020000}" name="Column497"/>
    <tableColumn id="525" xr3:uid="{00000000-0010-0000-2000-00000D020000}" name="Column498"/>
    <tableColumn id="526" xr3:uid="{00000000-0010-0000-2000-00000E020000}" name="Column499"/>
    <tableColumn id="527" xr3:uid="{00000000-0010-0000-2000-00000F020000}" name="Column500"/>
    <tableColumn id="528" xr3:uid="{00000000-0010-0000-2000-000010020000}" name="Column501"/>
    <tableColumn id="529" xr3:uid="{00000000-0010-0000-2000-000011020000}" name="Column502"/>
    <tableColumn id="530" xr3:uid="{00000000-0010-0000-2000-000012020000}" name="Column503"/>
    <tableColumn id="531" xr3:uid="{00000000-0010-0000-2000-000013020000}" name="Column504"/>
    <tableColumn id="532" xr3:uid="{00000000-0010-0000-2000-000014020000}" name="Column505"/>
    <tableColumn id="533" xr3:uid="{00000000-0010-0000-2000-000015020000}" name="Column506"/>
    <tableColumn id="534" xr3:uid="{00000000-0010-0000-2000-000016020000}" name="Column507"/>
    <tableColumn id="535" xr3:uid="{00000000-0010-0000-2000-000017020000}" name="Column508"/>
    <tableColumn id="536" xr3:uid="{00000000-0010-0000-2000-000018020000}" name="Column509"/>
    <tableColumn id="537" xr3:uid="{00000000-0010-0000-2000-000019020000}" name="Column510"/>
    <tableColumn id="538" xr3:uid="{00000000-0010-0000-2000-00001A020000}" name="Column511"/>
    <tableColumn id="539" xr3:uid="{00000000-0010-0000-2000-00001B020000}" name="Column512"/>
    <tableColumn id="540" xr3:uid="{00000000-0010-0000-2000-00001C020000}" name="Column513"/>
    <tableColumn id="541" xr3:uid="{00000000-0010-0000-2000-00001D020000}" name="Column514"/>
    <tableColumn id="542" xr3:uid="{00000000-0010-0000-2000-00001E020000}" name="Column515"/>
    <tableColumn id="543" xr3:uid="{00000000-0010-0000-2000-00001F020000}" name="Column516"/>
    <tableColumn id="544" xr3:uid="{00000000-0010-0000-2000-000020020000}" name="Column517"/>
    <tableColumn id="545" xr3:uid="{00000000-0010-0000-2000-000021020000}" name="Column518"/>
    <tableColumn id="546" xr3:uid="{00000000-0010-0000-2000-000022020000}" name="Column519"/>
    <tableColumn id="547" xr3:uid="{00000000-0010-0000-2000-000023020000}" name="Column520"/>
    <tableColumn id="548" xr3:uid="{00000000-0010-0000-2000-000024020000}" name="Column521"/>
    <tableColumn id="549" xr3:uid="{00000000-0010-0000-2000-000025020000}" name="Column522"/>
    <tableColumn id="550" xr3:uid="{00000000-0010-0000-2000-000026020000}" name="Column523"/>
    <tableColumn id="551" xr3:uid="{00000000-0010-0000-2000-000027020000}" name="Column524"/>
    <tableColumn id="552" xr3:uid="{00000000-0010-0000-2000-000028020000}" name="Column525"/>
    <tableColumn id="553" xr3:uid="{00000000-0010-0000-2000-000029020000}" name="Column526"/>
    <tableColumn id="554" xr3:uid="{00000000-0010-0000-2000-00002A020000}" name="Column527"/>
    <tableColumn id="555" xr3:uid="{00000000-0010-0000-2000-00002B020000}" name="Column528"/>
    <tableColumn id="556" xr3:uid="{00000000-0010-0000-2000-00002C020000}" name="Column529"/>
    <tableColumn id="557" xr3:uid="{00000000-0010-0000-2000-00002D020000}" name="Column530"/>
    <tableColumn id="558" xr3:uid="{00000000-0010-0000-2000-00002E020000}" name="Column531"/>
    <tableColumn id="559" xr3:uid="{00000000-0010-0000-2000-00002F020000}" name="Column532"/>
    <tableColumn id="560" xr3:uid="{00000000-0010-0000-2000-000030020000}" name="Column533"/>
    <tableColumn id="561" xr3:uid="{00000000-0010-0000-2000-000031020000}" name="Column534"/>
    <tableColumn id="562" xr3:uid="{00000000-0010-0000-2000-000032020000}" name="Column535"/>
    <tableColumn id="563" xr3:uid="{00000000-0010-0000-2000-000033020000}" name="Column536"/>
    <tableColumn id="564" xr3:uid="{00000000-0010-0000-2000-000034020000}" name="Column537"/>
    <tableColumn id="565" xr3:uid="{00000000-0010-0000-2000-000035020000}" name="Column538"/>
    <tableColumn id="566" xr3:uid="{00000000-0010-0000-2000-000036020000}" name="Column539"/>
    <tableColumn id="567" xr3:uid="{00000000-0010-0000-2000-000037020000}" name="Column540"/>
    <tableColumn id="568" xr3:uid="{00000000-0010-0000-2000-000038020000}" name="Column541"/>
    <tableColumn id="569" xr3:uid="{00000000-0010-0000-2000-000039020000}" name="Column542"/>
    <tableColumn id="570" xr3:uid="{00000000-0010-0000-2000-00003A020000}" name="Column543"/>
    <tableColumn id="571" xr3:uid="{00000000-0010-0000-2000-00003B020000}" name="Column544"/>
    <tableColumn id="572" xr3:uid="{00000000-0010-0000-2000-00003C020000}" name="Column545"/>
    <tableColumn id="573" xr3:uid="{00000000-0010-0000-2000-00003D020000}" name="Column546"/>
    <tableColumn id="574" xr3:uid="{00000000-0010-0000-2000-00003E020000}" name="Column547"/>
    <tableColumn id="575" xr3:uid="{00000000-0010-0000-2000-00003F020000}" name="Column548"/>
    <tableColumn id="576" xr3:uid="{00000000-0010-0000-2000-000040020000}" name="Column549"/>
    <tableColumn id="577" xr3:uid="{00000000-0010-0000-2000-000041020000}" name="Column550"/>
    <tableColumn id="578" xr3:uid="{00000000-0010-0000-2000-000042020000}" name="Column551"/>
    <tableColumn id="579" xr3:uid="{00000000-0010-0000-2000-000043020000}" name="Column552"/>
    <tableColumn id="580" xr3:uid="{00000000-0010-0000-2000-000044020000}" name="Column553"/>
    <tableColumn id="581" xr3:uid="{00000000-0010-0000-2000-000045020000}" name="Column554"/>
    <tableColumn id="582" xr3:uid="{00000000-0010-0000-2000-000046020000}" name="Column555"/>
    <tableColumn id="583" xr3:uid="{00000000-0010-0000-2000-000047020000}" name="Column556"/>
    <tableColumn id="584" xr3:uid="{00000000-0010-0000-2000-000048020000}" name="Column557"/>
    <tableColumn id="585" xr3:uid="{00000000-0010-0000-2000-000049020000}" name="Column558"/>
    <tableColumn id="586" xr3:uid="{00000000-0010-0000-2000-00004A020000}" name="Column559"/>
    <tableColumn id="587" xr3:uid="{00000000-0010-0000-2000-00004B020000}" name="Column560"/>
    <tableColumn id="588" xr3:uid="{00000000-0010-0000-2000-00004C020000}" name="Column561"/>
    <tableColumn id="589" xr3:uid="{00000000-0010-0000-2000-00004D020000}" name="Column562"/>
    <tableColumn id="590" xr3:uid="{00000000-0010-0000-2000-00004E020000}" name="Column563"/>
    <tableColumn id="591" xr3:uid="{00000000-0010-0000-2000-00004F020000}" name="Column564"/>
    <tableColumn id="592" xr3:uid="{00000000-0010-0000-2000-000050020000}" name="Column565"/>
    <tableColumn id="593" xr3:uid="{00000000-0010-0000-2000-000051020000}" name="Column566"/>
    <tableColumn id="594" xr3:uid="{00000000-0010-0000-2000-000052020000}" name="Column567"/>
    <tableColumn id="595" xr3:uid="{00000000-0010-0000-2000-000053020000}" name="Column568"/>
    <tableColumn id="596" xr3:uid="{00000000-0010-0000-2000-000054020000}" name="Column569"/>
    <tableColumn id="597" xr3:uid="{00000000-0010-0000-2000-000055020000}" name="Column570"/>
    <tableColumn id="598" xr3:uid="{00000000-0010-0000-2000-000056020000}" name="Column571"/>
    <tableColumn id="599" xr3:uid="{00000000-0010-0000-2000-000057020000}" name="Column572"/>
    <tableColumn id="600" xr3:uid="{00000000-0010-0000-2000-000058020000}" name="Column573"/>
    <tableColumn id="601" xr3:uid="{00000000-0010-0000-2000-000059020000}" name="Column574"/>
    <tableColumn id="602" xr3:uid="{00000000-0010-0000-2000-00005A020000}" name="Column575"/>
    <tableColumn id="603" xr3:uid="{00000000-0010-0000-2000-00005B020000}" name="Column576"/>
    <tableColumn id="604" xr3:uid="{00000000-0010-0000-2000-00005C020000}" name="Column577"/>
    <tableColumn id="605" xr3:uid="{00000000-0010-0000-2000-00005D020000}" name="Column578"/>
    <tableColumn id="606" xr3:uid="{00000000-0010-0000-2000-00005E020000}" name="Column579"/>
    <tableColumn id="607" xr3:uid="{00000000-0010-0000-2000-00005F020000}" name="Column580"/>
    <tableColumn id="608" xr3:uid="{00000000-0010-0000-2000-000060020000}" name="Column581"/>
    <tableColumn id="609" xr3:uid="{00000000-0010-0000-2000-000061020000}" name="Column582"/>
    <tableColumn id="610" xr3:uid="{00000000-0010-0000-2000-000062020000}" name="Column583"/>
    <tableColumn id="611" xr3:uid="{00000000-0010-0000-2000-000063020000}" name="Column584"/>
    <tableColumn id="612" xr3:uid="{00000000-0010-0000-2000-000064020000}" name="Column585"/>
    <tableColumn id="613" xr3:uid="{00000000-0010-0000-2000-000065020000}" name="Column586"/>
    <tableColumn id="614" xr3:uid="{00000000-0010-0000-2000-000066020000}" name="Column587"/>
    <tableColumn id="615" xr3:uid="{00000000-0010-0000-2000-000067020000}" name="Column588"/>
    <tableColumn id="616" xr3:uid="{00000000-0010-0000-2000-000068020000}" name="Column589"/>
    <tableColumn id="617" xr3:uid="{00000000-0010-0000-2000-000069020000}" name="Column590"/>
    <tableColumn id="618" xr3:uid="{00000000-0010-0000-2000-00006A020000}" name="Column591"/>
    <tableColumn id="619" xr3:uid="{00000000-0010-0000-2000-00006B020000}" name="Column592"/>
    <tableColumn id="620" xr3:uid="{00000000-0010-0000-2000-00006C020000}" name="Column593"/>
    <tableColumn id="621" xr3:uid="{00000000-0010-0000-2000-00006D020000}" name="Column594"/>
    <tableColumn id="622" xr3:uid="{00000000-0010-0000-2000-00006E020000}" name="Column595"/>
    <tableColumn id="623" xr3:uid="{00000000-0010-0000-2000-00006F020000}" name="Column596"/>
    <tableColumn id="624" xr3:uid="{00000000-0010-0000-2000-000070020000}" name="Column597"/>
    <tableColumn id="625" xr3:uid="{00000000-0010-0000-2000-000071020000}" name="Column598"/>
    <tableColumn id="626" xr3:uid="{00000000-0010-0000-2000-000072020000}" name="Column599"/>
    <tableColumn id="627" xr3:uid="{00000000-0010-0000-2000-000073020000}" name="Column600"/>
    <tableColumn id="628" xr3:uid="{00000000-0010-0000-2000-000074020000}" name="Column601"/>
    <tableColumn id="629" xr3:uid="{00000000-0010-0000-2000-000075020000}" name="Column602"/>
    <tableColumn id="630" xr3:uid="{00000000-0010-0000-2000-000076020000}" name="Column603"/>
    <tableColumn id="631" xr3:uid="{00000000-0010-0000-2000-000077020000}" name="Column604"/>
    <tableColumn id="632" xr3:uid="{00000000-0010-0000-2000-000078020000}" name="Column605"/>
    <tableColumn id="633" xr3:uid="{00000000-0010-0000-2000-000079020000}" name="Column606"/>
    <tableColumn id="634" xr3:uid="{00000000-0010-0000-2000-00007A020000}" name="Column607"/>
    <tableColumn id="635" xr3:uid="{00000000-0010-0000-2000-00007B020000}" name="Column608"/>
    <tableColumn id="636" xr3:uid="{00000000-0010-0000-2000-00007C020000}" name="Column609"/>
    <tableColumn id="637" xr3:uid="{00000000-0010-0000-2000-00007D020000}" name="Column610"/>
    <tableColumn id="638" xr3:uid="{00000000-0010-0000-2000-00007E020000}" name="Column611"/>
    <tableColumn id="639" xr3:uid="{00000000-0010-0000-2000-00007F020000}" name="Column612"/>
    <tableColumn id="640" xr3:uid="{00000000-0010-0000-2000-000080020000}" name="Column613"/>
    <tableColumn id="641" xr3:uid="{00000000-0010-0000-2000-000081020000}" name="Column614"/>
    <tableColumn id="642" xr3:uid="{00000000-0010-0000-2000-000082020000}" name="Column615"/>
    <tableColumn id="643" xr3:uid="{00000000-0010-0000-2000-000083020000}" name="Column616"/>
    <tableColumn id="644" xr3:uid="{00000000-0010-0000-2000-000084020000}" name="Column617"/>
    <tableColumn id="645" xr3:uid="{00000000-0010-0000-2000-000085020000}" name="Column618"/>
    <tableColumn id="646" xr3:uid="{00000000-0010-0000-2000-000086020000}" name="Column619"/>
    <tableColumn id="647" xr3:uid="{00000000-0010-0000-2000-000087020000}" name="Column620"/>
    <tableColumn id="648" xr3:uid="{00000000-0010-0000-2000-000088020000}" name="Column621"/>
    <tableColumn id="649" xr3:uid="{00000000-0010-0000-2000-000089020000}" name="Column622"/>
    <tableColumn id="650" xr3:uid="{00000000-0010-0000-2000-00008A020000}" name="Column623"/>
    <tableColumn id="651" xr3:uid="{00000000-0010-0000-2000-00008B020000}" name="Column624"/>
    <tableColumn id="652" xr3:uid="{00000000-0010-0000-2000-00008C020000}" name="Column625"/>
    <tableColumn id="653" xr3:uid="{00000000-0010-0000-2000-00008D020000}" name="Column626"/>
    <tableColumn id="654" xr3:uid="{00000000-0010-0000-2000-00008E020000}" name="Column627"/>
    <tableColumn id="655" xr3:uid="{00000000-0010-0000-2000-00008F020000}" name="Column628"/>
    <tableColumn id="656" xr3:uid="{00000000-0010-0000-2000-000090020000}" name="Column629"/>
    <tableColumn id="657" xr3:uid="{00000000-0010-0000-2000-000091020000}" name="Column630"/>
    <tableColumn id="658" xr3:uid="{00000000-0010-0000-2000-000092020000}" name="Column631"/>
    <tableColumn id="659" xr3:uid="{00000000-0010-0000-2000-000093020000}" name="Column632"/>
    <tableColumn id="660" xr3:uid="{00000000-0010-0000-2000-000094020000}" name="Column633"/>
    <tableColumn id="661" xr3:uid="{00000000-0010-0000-2000-000095020000}" name="Column634"/>
    <tableColumn id="662" xr3:uid="{00000000-0010-0000-2000-000096020000}" name="Column635"/>
    <tableColumn id="663" xr3:uid="{00000000-0010-0000-2000-000097020000}" name="Column636"/>
    <tableColumn id="664" xr3:uid="{00000000-0010-0000-2000-000098020000}" name="Column637"/>
    <tableColumn id="665" xr3:uid="{00000000-0010-0000-2000-000099020000}" name="Column638"/>
    <tableColumn id="666" xr3:uid="{00000000-0010-0000-2000-00009A020000}" name="Column639"/>
    <tableColumn id="667" xr3:uid="{00000000-0010-0000-2000-00009B020000}" name="Column640"/>
    <tableColumn id="668" xr3:uid="{00000000-0010-0000-2000-00009C020000}" name="Column641"/>
    <tableColumn id="669" xr3:uid="{00000000-0010-0000-2000-00009D020000}" name="Column642"/>
    <tableColumn id="670" xr3:uid="{00000000-0010-0000-2000-00009E020000}" name="Column643"/>
    <tableColumn id="671" xr3:uid="{00000000-0010-0000-2000-00009F020000}" name="Column644"/>
    <tableColumn id="672" xr3:uid="{00000000-0010-0000-2000-0000A0020000}" name="Column645"/>
    <tableColumn id="673" xr3:uid="{00000000-0010-0000-2000-0000A1020000}" name="Column646"/>
    <tableColumn id="674" xr3:uid="{00000000-0010-0000-2000-0000A2020000}" name="Column647"/>
    <tableColumn id="675" xr3:uid="{00000000-0010-0000-2000-0000A3020000}" name="Column648"/>
    <tableColumn id="676" xr3:uid="{00000000-0010-0000-2000-0000A4020000}" name="Column649"/>
    <tableColumn id="677" xr3:uid="{00000000-0010-0000-2000-0000A5020000}" name="Column650"/>
    <tableColumn id="678" xr3:uid="{00000000-0010-0000-2000-0000A6020000}" name="Column651"/>
    <tableColumn id="679" xr3:uid="{00000000-0010-0000-2000-0000A7020000}" name="Column652"/>
    <tableColumn id="680" xr3:uid="{00000000-0010-0000-2000-0000A8020000}" name="Column653"/>
    <tableColumn id="681" xr3:uid="{00000000-0010-0000-2000-0000A9020000}" name="Column654"/>
    <tableColumn id="682" xr3:uid="{00000000-0010-0000-2000-0000AA020000}" name="Column655"/>
    <tableColumn id="683" xr3:uid="{00000000-0010-0000-2000-0000AB020000}" name="Column656"/>
    <tableColumn id="684" xr3:uid="{00000000-0010-0000-2000-0000AC020000}" name="Column657"/>
    <tableColumn id="685" xr3:uid="{00000000-0010-0000-2000-0000AD020000}" name="Column658"/>
    <tableColumn id="686" xr3:uid="{00000000-0010-0000-2000-0000AE020000}" name="Column659"/>
    <tableColumn id="687" xr3:uid="{00000000-0010-0000-2000-0000AF020000}" name="Column660"/>
    <tableColumn id="688" xr3:uid="{00000000-0010-0000-2000-0000B0020000}" name="Column661"/>
    <tableColumn id="689" xr3:uid="{00000000-0010-0000-2000-0000B1020000}" name="Column662"/>
    <tableColumn id="690" xr3:uid="{00000000-0010-0000-2000-0000B2020000}" name="Column663"/>
    <tableColumn id="691" xr3:uid="{00000000-0010-0000-2000-0000B3020000}" name="Column664"/>
    <tableColumn id="692" xr3:uid="{00000000-0010-0000-2000-0000B4020000}" name="Column665"/>
    <tableColumn id="693" xr3:uid="{00000000-0010-0000-2000-0000B5020000}" name="Column666"/>
    <tableColumn id="694" xr3:uid="{00000000-0010-0000-2000-0000B6020000}" name="Column667"/>
    <tableColumn id="695" xr3:uid="{00000000-0010-0000-2000-0000B7020000}" name="Column668"/>
    <tableColumn id="696" xr3:uid="{00000000-0010-0000-2000-0000B8020000}" name="Column669"/>
    <tableColumn id="697" xr3:uid="{00000000-0010-0000-2000-0000B9020000}" name="Column670"/>
    <tableColumn id="698" xr3:uid="{00000000-0010-0000-2000-0000BA020000}" name="Column671"/>
    <tableColumn id="699" xr3:uid="{00000000-0010-0000-2000-0000BB020000}" name="Column672"/>
    <tableColumn id="700" xr3:uid="{00000000-0010-0000-2000-0000BC020000}" name="Column673"/>
    <tableColumn id="701" xr3:uid="{00000000-0010-0000-2000-0000BD020000}" name="Column674"/>
    <tableColumn id="702" xr3:uid="{00000000-0010-0000-2000-0000BE020000}" name="Column675"/>
    <tableColumn id="703" xr3:uid="{00000000-0010-0000-2000-0000BF020000}" name="Column676"/>
    <tableColumn id="704" xr3:uid="{00000000-0010-0000-2000-0000C0020000}" name="Column677"/>
    <tableColumn id="705" xr3:uid="{00000000-0010-0000-2000-0000C1020000}" name="Column678"/>
    <tableColumn id="706" xr3:uid="{00000000-0010-0000-2000-0000C2020000}" name="Column679"/>
    <tableColumn id="707" xr3:uid="{00000000-0010-0000-2000-0000C3020000}" name="Column680"/>
    <tableColumn id="708" xr3:uid="{00000000-0010-0000-2000-0000C4020000}" name="Column681"/>
    <tableColumn id="709" xr3:uid="{00000000-0010-0000-2000-0000C5020000}" name="Column682"/>
    <tableColumn id="710" xr3:uid="{00000000-0010-0000-2000-0000C6020000}" name="Column683"/>
    <tableColumn id="711" xr3:uid="{00000000-0010-0000-2000-0000C7020000}" name="Column684"/>
    <tableColumn id="712" xr3:uid="{00000000-0010-0000-2000-0000C8020000}" name="Column685"/>
    <tableColumn id="713" xr3:uid="{00000000-0010-0000-2000-0000C9020000}" name="Column686"/>
    <tableColumn id="714" xr3:uid="{00000000-0010-0000-2000-0000CA020000}" name="Column687"/>
    <tableColumn id="715" xr3:uid="{00000000-0010-0000-2000-0000CB020000}" name="Column688"/>
    <tableColumn id="716" xr3:uid="{00000000-0010-0000-2000-0000CC020000}" name="Column689"/>
    <tableColumn id="717" xr3:uid="{00000000-0010-0000-2000-0000CD020000}" name="Column690"/>
    <tableColumn id="718" xr3:uid="{00000000-0010-0000-2000-0000CE020000}" name="Column691"/>
    <tableColumn id="719" xr3:uid="{00000000-0010-0000-2000-0000CF020000}" name="Column692"/>
    <tableColumn id="720" xr3:uid="{00000000-0010-0000-2000-0000D0020000}" name="Column693"/>
    <tableColumn id="721" xr3:uid="{00000000-0010-0000-2000-0000D1020000}" name="Column694"/>
    <tableColumn id="722" xr3:uid="{00000000-0010-0000-2000-0000D2020000}" name="Column695"/>
    <tableColumn id="723" xr3:uid="{00000000-0010-0000-2000-0000D3020000}" name="Column696"/>
    <tableColumn id="724" xr3:uid="{00000000-0010-0000-2000-0000D4020000}" name="Column697"/>
    <tableColumn id="725" xr3:uid="{00000000-0010-0000-2000-0000D5020000}" name="Column698"/>
    <tableColumn id="726" xr3:uid="{00000000-0010-0000-2000-0000D6020000}" name="Column699"/>
    <tableColumn id="727" xr3:uid="{00000000-0010-0000-2000-0000D7020000}" name="Column700"/>
    <tableColumn id="728" xr3:uid="{00000000-0010-0000-2000-0000D8020000}" name="Column701"/>
    <tableColumn id="729" xr3:uid="{00000000-0010-0000-2000-0000D9020000}" name="Column702"/>
    <tableColumn id="730" xr3:uid="{00000000-0010-0000-2000-0000DA020000}" name="Column703"/>
    <tableColumn id="731" xr3:uid="{00000000-0010-0000-2000-0000DB020000}" name="Column704"/>
    <tableColumn id="732" xr3:uid="{00000000-0010-0000-2000-0000DC020000}" name="Column705"/>
    <tableColumn id="733" xr3:uid="{00000000-0010-0000-2000-0000DD020000}" name="Column706"/>
    <tableColumn id="734" xr3:uid="{00000000-0010-0000-2000-0000DE020000}" name="Column707"/>
    <tableColumn id="735" xr3:uid="{00000000-0010-0000-2000-0000DF020000}" name="Column708"/>
    <tableColumn id="736" xr3:uid="{00000000-0010-0000-2000-0000E0020000}" name="Column709"/>
    <tableColumn id="737" xr3:uid="{00000000-0010-0000-2000-0000E1020000}" name="Column710"/>
    <tableColumn id="738" xr3:uid="{00000000-0010-0000-2000-0000E2020000}" name="Column711"/>
    <tableColumn id="739" xr3:uid="{00000000-0010-0000-2000-0000E3020000}" name="Column712"/>
    <tableColumn id="740" xr3:uid="{00000000-0010-0000-2000-0000E4020000}" name="Column713"/>
    <tableColumn id="741" xr3:uid="{00000000-0010-0000-2000-0000E5020000}" name="Column714"/>
    <tableColumn id="742" xr3:uid="{00000000-0010-0000-2000-0000E6020000}" name="Column715"/>
    <tableColumn id="743" xr3:uid="{00000000-0010-0000-2000-0000E7020000}" name="Column716"/>
    <tableColumn id="744" xr3:uid="{00000000-0010-0000-2000-0000E8020000}" name="Column717"/>
    <tableColumn id="745" xr3:uid="{00000000-0010-0000-2000-0000E9020000}" name="Column718"/>
    <tableColumn id="746" xr3:uid="{00000000-0010-0000-2000-0000EA020000}" name="Column719"/>
    <tableColumn id="747" xr3:uid="{00000000-0010-0000-2000-0000EB020000}" name="Column720"/>
    <tableColumn id="748" xr3:uid="{00000000-0010-0000-2000-0000EC020000}" name="Column721"/>
    <tableColumn id="749" xr3:uid="{00000000-0010-0000-2000-0000ED020000}" name="Column722"/>
    <tableColumn id="750" xr3:uid="{00000000-0010-0000-2000-0000EE020000}" name="Column723"/>
    <tableColumn id="751" xr3:uid="{00000000-0010-0000-2000-0000EF020000}" name="Column724"/>
    <tableColumn id="752" xr3:uid="{00000000-0010-0000-2000-0000F0020000}" name="Column725"/>
    <tableColumn id="753" xr3:uid="{00000000-0010-0000-2000-0000F1020000}" name="Column726"/>
    <tableColumn id="754" xr3:uid="{00000000-0010-0000-2000-0000F2020000}" name="Column727"/>
    <tableColumn id="755" xr3:uid="{00000000-0010-0000-2000-0000F3020000}" name="Column728"/>
    <tableColumn id="756" xr3:uid="{00000000-0010-0000-2000-0000F4020000}" name="Column729"/>
    <tableColumn id="757" xr3:uid="{00000000-0010-0000-2000-0000F5020000}" name="Column730"/>
    <tableColumn id="758" xr3:uid="{00000000-0010-0000-2000-0000F6020000}" name="Column731"/>
    <tableColumn id="759" xr3:uid="{00000000-0010-0000-2000-0000F7020000}" name="Column732"/>
    <tableColumn id="760" xr3:uid="{00000000-0010-0000-2000-0000F8020000}" name="Column733"/>
    <tableColumn id="761" xr3:uid="{00000000-0010-0000-2000-0000F9020000}" name="Column734"/>
    <tableColumn id="762" xr3:uid="{00000000-0010-0000-2000-0000FA020000}" name="Column735"/>
    <tableColumn id="763" xr3:uid="{00000000-0010-0000-2000-0000FB020000}" name="Column736"/>
    <tableColumn id="764" xr3:uid="{00000000-0010-0000-2000-0000FC020000}" name="Column737"/>
    <tableColumn id="765" xr3:uid="{00000000-0010-0000-2000-0000FD020000}" name="Column738"/>
    <tableColumn id="766" xr3:uid="{00000000-0010-0000-2000-0000FE020000}" name="Column739"/>
    <tableColumn id="767" xr3:uid="{00000000-0010-0000-2000-0000FF020000}" name="Column740"/>
    <tableColumn id="768" xr3:uid="{00000000-0010-0000-2000-000000030000}" name="Column741"/>
    <tableColumn id="769" xr3:uid="{00000000-0010-0000-2000-000001030000}" name="Column742"/>
    <tableColumn id="770" xr3:uid="{00000000-0010-0000-2000-000002030000}" name="Column743"/>
    <tableColumn id="771" xr3:uid="{00000000-0010-0000-2000-000003030000}" name="Column744"/>
    <tableColumn id="772" xr3:uid="{00000000-0010-0000-2000-000004030000}" name="Column745"/>
    <tableColumn id="773" xr3:uid="{00000000-0010-0000-2000-000005030000}" name="Column746"/>
    <tableColumn id="774" xr3:uid="{00000000-0010-0000-2000-000006030000}" name="Column747"/>
    <tableColumn id="775" xr3:uid="{00000000-0010-0000-2000-000007030000}" name="Column748"/>
    <tableColumn id="776" xr3:uid="{00000000-0010-0000-2000-000008030000}" name="Column749"/>
    <tableColumn id="777" xr3:uid="{00000000-0010-0000-2000-000009030000}" name="Column750"/>
    <tableColumn id="778" xr3:uid="{00000000-0010-0000-2000-00000A030000}" name="Column751"/>
    <tableColumn id="779" xr3:uid="{00000000-0010-0000-2000-00000B030000}" name="Column752"/>
    <tableColumn id="780" xr3:uid="{00000000-0010-0000-2000-00000C030000}" name="Column753"/>
    <tableColumn id="781" xr3:uid="{00000000-0010-0000-2000-00000D030000}" name="Column754"/>
    <tableColumn id="782" xr3:uid="{00000000-0010-0000-2000-00000E030000}" name="Column755"/>
    <tableColumn id="783" xr3:uid="{00000000-0010-0000-2000-00000F030000}" name="Column756"/>
    <tableColumn id="784" xr3:uid="{00000000-0010-0000-2000-000010030000}" name="Column757"/>
    <tableColumn id="785" xr3:uid="{00000000-0010-0000-2000-000011030000}" name="Column758"/>
    <tableColumn id="786" xr3:uid="{00000000-0010-0000-2000-000012030000}" name="Column759"/>
    <tableColumn id="787" xr3:uid="{00000000-0010-0000-2000-000013030000}" name="Column760"/>
    <tableColumn id="788" xr3:uid="{00000000-0010-0000-2000-000014030000}" name="Column761"/>
    <tableColumn id="789" xr3:uid="{00000000-0010-0000-2000-000015030000}" name="Column762"/>
    <tableColumn id="790" xr3:uid="{00000000-0010-0000-2000-000016030000}" name="Column763"/>
    <tableColumn id="791" xr3:uid="{00000000-0010-0000-2000-000017030000}" name="Column764"/>
    <tableColumn id="792" xr3:uid="{00000000-0010-0000-2000-000018030000}" name="Column765"/>
    <tableColumn id="793" xr3:uid="{00000000-0010-0000-2000-000019030000}" name="Column766"/>
    <tableColumn id="794" xr3:uid="{00000000-0010-0000-2000-00001A030000}" name="Column767"/>
    <tableColumn id="795" xr3:uid="{00000000-0010-0000-2000-00001B030000}" name="Column768"/>
    <tableColumn id="796" xr3:uid="{00000000-0010-0000-2000-00001C030000}" name="Column769"/>
    <tableColumn id="797" xr3:uid="{00000000-0010-0000-2000-00001D030000}" name="Column770"/>
    <tableColumn id="798" xr3:uid="{00000000-0010-0000-2000-00001E030000}" name="Column771"/>
    <tableColumn id="799" xr3:uid="{00000000-0010-0000-2000-00001F030000}" name="Column772"/>
    <tableColumn id="800" xr3:uid="{00000000-0010-0000-2000-000020030000}" name="Column773"/>
    <tableColumn id="801" xr3:uid="{00000000-0010-0000-2000-000021030000}" name="Column774"/>
    <tableColumn id="802" xr3:uid="{00000000-0010-0000-2000-000022030000}" name="Column775"/>
    <tableColumn id="803" xr3:uid="{00000000-0010-0000-2000-000023030000}" name="Column776"/>
    <tableColumn id="804" xr3:uid="{00000000-0010-0000-2000-000024030000}" name="Column777"/>
    <tableColumn id="805" xr3:uid="{00000000-0010-0000-2000-000025030000}" name="Column778"/>
    <tableColumn id="806" xr3:uid="{00000000-0010-0000-2000-000026030000}" name="Column779"/>
    <tableColumn id="807" xr3:uid="{00000000-0010-0000-2000-000027030000}" name="Column780"/>
    <tableColumn id="808" xr3:uid="{00000000-0010-0000-2000-000028030000}" name="Column781"/>
    <tableColumn id="809" xr3:uid="{00000000-0010-0000-2000-000029030000}" name="Column782"/>
    <tableColumn id="810" xr3:uid="{00000000-0010-0000-2000-00002A030000}" name="Column783"/>
    <tableColumn id="811" xr3:uid="{00000000-0010-0000-2000-00002B030000}" name="Column784"/>
    <tableColumn id="812" xr3:uid="{00000000-0010-0000-2000-00002C030000}" name="Column785"/>
    <tableColumn id="813" xr3:uid="{00000000-0010-0000-2000-00002D030000}" name="Column786"/>
    <tableColumn id="814" xr3:uid="{00000000-0010-0000-2000-00002E030000}" name="Column787"/>
    <tableColumn id="815" xr3:uid="{00000000-0010-0000-2000-00002F030000}" name="Column788"/>
    <tableColumn id="816" xr3:uid="{00000000-0010-0000-2000-000030030000}" name="Column789"/>
    <tableColumn id="817" xr3:uid="{00000000-0010-0000-2000-000031030000}" name="Column790"/>
    <tableColumn id="818" xr3:uid="{00000000-0010-0000-2000-000032030000}" name="Column791"/>
    <tableColumn id="819" xr3:uid="{00000000-0010-0000-2000-000033030000}" name="Column792"/>
    <tableColumn id="820" xr3:uid="{00000000-0010-0000-2000-000034030000}" name="Column793"/>
    <tableColumn id="821" xr3:uid="{00000000-0010-0000-2000-000035030000}" name="Column794"/>
    <tableColumn id="822" xr3:uid="{00000000-0010-0000-2000-000036030000}" name="Column795"/>
    <tableColumn id="823" xr3:uid="{00000000-0010-0000-2000-000037030000}" name="Column796"/>
    <tableColumn id="824" xr3:uid="{00000000-0010-0000-2000-000038030000}" name="Column797"/>
    <tableColumn id="825" xr3:uid="{00000000-0010-0000-2000-000039030000}" name="Column798"/>
    <tableColumn id="826" xr3:uid="{00000000-0010-0000-2000-00003A030000}" name="Column799"/>
    <tableColumn id="827" xr3:uid="{00000000-0010-0000-2000-00003B030000}" name="Column800"/>
    <tableColumn id="828" xr3:uid="{00000000-0010-0000-2000-00003C030000}" name="Column801"/>
    <tableColumn id="829" xr3:uid="{00000000-0010-0000-2000-00003D030000}" name="Column802"/>
    <tableColumn id="830" xr3:uid="{00000000-0010-0000-2000-00003E030000}" name="Column803"/>
    <tableColumn id="831" xr3:uid="{00000000-0010-0000-2000-00003F030000}" name="Column804"/>
    <tableColumn id="832" xr3:uid="{00000000-0010-0000-2000-000040030000}" name="Column805"/>
    <tableColumn id="833" xr3:uid="{00000000-0010-0000-2000-000041030000}" name="Column806"/>
    <tableColumn id="834" xr3:uid="{00000000-0010-0000-2000-000042030000}" name="Column807"/>
    <tableColumn id="835" xr3:uid="{00000000-0010-0000-2000-000043030000}" name="Column808"/>
    <tableColumn id="836" xr3:uid="{00000000-0010-0000-2000-000044030000}" name="Column809"/>
    <tableColumn id="837" xr3:uid="{00000000-0010-0000-2000-000045030000}" name="Column810"/>
    <tableColumn id="838" xr3:uid="{00000000-0010-0000-2000-000046030000}" name="Column811"/>
    <tableColumn id="839" xr3:uid="{00000000-0010-0000-2000-000047030000}" name="Column812"/>
    <tableColumn id="840" xr3:uid="{00000000-0010-0000-2000-000048030000}" name="Column813"/>
    <tableColumn id="841" xr3:uid="{00000000-0010-0000-2000-000049030000}" name="Column814"/>
    <tableColumn id="842" xr3:uid="{00000000-0010-0000-2000-00004A030000}" name="Column815"/>
    <tableColumn id="843" xr3:uid="{00000000-0010-0000-2000-00004B030000}" name="Column816"/>
    <tableColumn id="844" xr3:uid="{00000000-0010-0000-2000-00004C030000}" name="Column817"/>
    <tableColumn id="845" xr3:uid="{00000000-0010-0000-2000-00004D030000}" name="Column818"/>
    <tableColumn id="846" xr3:uid="{00000000-0010-0000-2000-00004E030000}" name="Column819"/>
    <tableColumn id="847" xr3:uid="{00000000-0010-0000-2000-00004F030000}" name="Column820"/>
    <tableColumn id="848" xr3:uid="{00000000-0010-0000-2000-000050030000}" name="Column821"/>
    <tableColumn id="849" xr3:uid="{00000000-0010-0000-2000-000051030000}" name="Column822"/>
    <tableColumn id="850" xr3:uid="{00000000-0010-0000-2000-000052030000}" name="Column823"/>
    <tableColumn id="851" xr3:uid="{00000000-0010-0000-2000-000053030000}" name="Column824"/>
    <tableColumn id="852" xr3:uid="{00000000-0010-0000-2000-000054030000}" name="Column825"/>
    <tableColumn id="853" xr3:uid="{00000000-0010-0000-2000-000055030000}" name="Column826"/>
    <tableColumn id="854" xr3:uid="{00000000-0010-0000-2000-000056030000}" name="Column827"/>
    <tableColumn id="855" xr3:uid="{00000000-0010-0000-2000-000057030000}" name="Column828"/>
    <tableColumn id="856" xr3:uid="{00000000-0010-0000-2000-000058030000}" name="Column829"/>
    <tableColumn id="857" xr3:uid="{00000000-0010-0000-2000-000059030000}" name="Column830"/>
    <tableColumn id="858" xr3:uid="{00000000-0010-0000-2000-00005A030000}" name="Column831"/>
    <tableColumn id="859" xr3:uid="{00000000-0010-0000-2000-00005B030000}" name="Column832"/>
    <tableColumn id="860" xr3:uid="{00000000-0010-0000-2000-00005C030000}" name="Column833"/>
    <tableColumn id="861" xr3:uid="{00000000-0010-0000-2000-00005D030000}" name="Column834"/>
    <tableColumn id="862" xr3:uid="{00000000-0010-0000-2000-00005E030000}" name="Column835"/>
    <tableColumn id="863" xr3:uid="{00000000-0010-0000-2000-00005F030000}" name="Column836"/>
    <tableColumn id="864" xr3:uid="{00000000-0010-0000-2000-000060030000}" name="Column837"/>
    <tableColumn id="865" xr3:uid="{00000000-0010-0000-2000-000061030000}" name="Column838"/>
    <tableColumn id="866" xr3:uid="{00000000-0010-0000-2000-000062030000}" name="Column839"/>
    <tableColumn id="867" xr3:uid="{00000000-0010-0000-2000-000063030000}" name="Column840"/>
    <tableColumn id="868" xr3:uid="{00000000-0010-0000-2000-000064030000}" name="Column841"/>
    <tableColumn id="869" xr3:uid="{00000000-0010-0000-2000-000065030000}" name="Column842"/>
    <tableColumn id="870" xr3:uid="{00000000-0010-0000-2000-000066030000}" name="Column843"/>
    <tableColumn id="871" xr3:uid="{00000000-0010-0000-2000-000067030000}" name="Column844"/>
    <tableColumn id="872" xr3:uid="{00000000-0010-0000-2000-000068030000}" name="Column845"/>
    <tableColumn id="873" xr3:uid="{00000000-0010-0000-2000-000069030000}" name="Column846"/>
    <tableColumn id="874" xr3:uid="{00000000-0010-0000-2000-00006A030000}" name="Column847"/>
    <tableColumn id="875" xr3:uid="{00000000-0010-0000-2000-00006B030000}" name="Column848"/>
    <tableColumn id="876" xr3:uid="{00000000-0010-0000-2000-00006C030000}" name="Column849"/>
    <tableColumn id="877" xr3:uid="{00000000-0010-0000-2000-00006D030000}" name="Column850"/>
    <tableColumn id="878" xr3:uid="{00000000-0010-0000-2000-00006E030000}" name="Column851"/>
    <tableColumn id="879" xr3:uid="{00000000-0010-0000-2000-00006F030000}" name="Column852"/>
    <tableColumn id="880" xr3:uid="{00000000-0010-0000-2000-000070030000}" name="Column853"/>
    <tableColumn id="881" xr3:uid="{00000000-0010-0000-2000-000071030000}" name="Column854"/>
    <tableColumn id="882" xr3:uid="{00000000-0010-0000-2000-000072030000}" name="Column855"/>
    <tableColumn id="883" xr3:uid="{00000000-0010-0000-2000-000073030000}" name="Column856"/>
    <tableColumn id="884" xr3:uid="{00000000-0010-0000-2000-000074030000}" name="Column857"/>
    <tableColumn id="885" xr3:uid="{00000000-0010-0000-2000-000075030000}" name="Column858"/>
    <tableColumn id="886" xr3:uid="{00000000-0010-0000-2000-000076030000}" name="Column859"/>
    <tableColumn id="887" xr3:uid="{00000000-0010-0000-2000-000077030000}" name="Column860"/>
    <tableColumn id="888" xr3:uid="{00000000-0010-0000-2000-000078030000}" name="Column861"/>
    <tableColumn id="889" xr3:uid="{00000000-0010-0000-2000-000079030000}" name="Column862"/>
    <tableColumn id="890" xr3:uid="{00000000-0010-0000-2000-00007A030000}" name="Column863"/>
    <tableColumn id="891" xr3:uid="{00000000-0010-0000-2000-00007B030000}" name="Column864"/>
    <tableColumn id="892" xr3:uid="{00000000-0010-0000-2000-00007C030000}" name="Column865"/>
    <tableColumn id="893" xr3:uid="{00000000-0010-0000-2000-00007D030000}" name="Column866"/>
    <tableColumn id="894" xr3:uid="{00000000-0010-0000-2000-00007E030000}" name="Column867"/>
    <tableColumn id="895" xr3:uid="{00000000-0010-0000-2000-00007F030000}" name="Column868"/>
    <tableColumn id="896" xr3:uid="{00000000-0010-0000-2000-000080030000}" name="Column869"/>
    <tableColumn id="897" xr3:uid="{00000000-0010-0000-2000-000081030000}" name="Column870"/>
    <tableColumn id="898" xr3:uid="{00000000-0010-0000-2000-000082030000}" name="Column871"/>
    <tableColumn id="899" xr3:uid="{00000000-0010-0000-2000-000083030000}" name="Column872"/>
    <tableColumn id="900" xr3:uid="{00000000-0010-0000-2000-000084030000}" name="Column873"/>
    <tableColumn id="901" xr3:uid="{00000000-0010-0000-2000-000085030000}" name="Column874"/>
    <tableColumn id="902" xr3:uid="{00000000-0010-0000-2000-000086030000}" name="Column875"/>
    <tableColumn id="903" xr3:uid="{00000000-0010-0000-2000-000087030000}" name="Column876"/>
    <tableColumn id="904" xr3:uid="{00000000-0010-0000-2000-000088030000}" name="Column877"/>
    <tableColumn id="905" xr3:uid="{00000000-0010-0000-2000-000089030000}" name="Column878"/>
    <tableColumn id="906" xr3:uid="{00000000-0010-0000-2000-00008A030000}" name="Column879"/>
    <tableColumn id="907" xr3:uid="{00000000-0010-0000-2000-00008B030000}" name="Column880"/>
    <tableColumn id="908" xr3:uid="{00000000-0010-0000-2000-00008C030000}" name="Column881"/>
    <tableColumn id="909" xr3:uid="{00000000-0010-0000-2000-00008D030000}" name="Column882"/>
    <tableColumn id="910" xr3:uid="{00000000-0010-0000-2000-00008E030000}" name="Column883"/>
    <tableColumn id="911" xr3:uid="{00000000-0010-0000-2000-00008F030000}" name="Column884"/>
    <tableColumn id="912" xr3:uid="{00000000-0010-0000-2000-000090030000}" name="Column885"/>
    <tableColumn id="913" xr3:uid="{00000000-0010-0000-2000-000091030000}" name="Column886"/>
    <tableColumn id="914" xr3:uid="{00000000-0010-0000-2000-000092030000}" name="Column887"/>
    <tableColumn id="915" xr3:uid="{00000000-0010-0000-2000-000093030000}" name="Column888"/>
    <tableColumn id="916" xr3:uid="{00000000-0010-0000-2000-000094030000}" name="Column889"/>
    <tableColumn id="917" xr3:uid="{00000000-0010-0000-2000-000095030000}" name="Column890"/>
    <tableColumn id="918" xr3:uid="{00000000-0010-0000-2000-000096030000}" name="Column891"/>
    <tableColumn id="919" xr3:uid="{00000000-0010-0000-2000-000097030000}" name="Column892"/>
    <tableColumn id="920" xr3:uid="{00000000-0010-0000-2000-000098030000}" name="Column893"/>
    <tableColumn id="921" xr3:uid="{00000000-0010-0000-2000-000099030000}" name="Column894"/>
    <tableColumn id="922" xr3:uid="{00000000-0010-0000-2000-00009A030000}" name="Column895"/>
    <tableColumn id="923" xr3:uid="{00000000-0010-0000-2000-00009B030000}" name="Column896"/>
    <tableColumn id="924" xr3:uid="{00000000-0010-0000-2000-00009C030000}" name="Column897"/>
    <tableColumn id="925" xr3:uid="{00000000-0010-0000-2000-00009D030000}" name="Column898"/>
    <tableColumn id="926" xr3:uid="{00000000-0010-0000-2000-00009E030000}" name="Column899"/>
    <tableColumn id="927" xr3:uid="{00000000-0010-0000-2000-00009F030000}" name="Column900"/>
    <tableColumn id="928" xr3:uid="{00000000-0010-0000-2000-0000A0030000}" name="Column901"/>
    <tableColumn id="929" xr3:uid="{00000000-0010-0000-2000-0000A1030000}" name="Column902"/>
    <tableColumn id="930" xr3:uid="{00000000-0010-0000-2000-0000A2030000}" name="Column903"/>
    <tableColumn id="931" xr3:uid="{00000000-0010-0000-2000-0000A3030000}" name="Column904"/>
    <tableColumn id="932" xr3:uid="{00000000-0010-0000-2000-0000A4030000}" name="Column905"/>
    <tableColumn id="933" xr3:uid="{00000000-0010-0000-2000-0000A5030000}" name="Column906"/>
    <tableColumn id="934" xr3:uid="{00000000-0010-0000-2000-0000A6030000}" name="Column907"/>
    <tableColumn id="935" xr3:uid="{00000000-0010-0000-2000-0000A7030000}" name="Column908"/>
    <tableColumn id="936" xr3:uid="{00000000-0010-0000-2000-0000A8030000}" name="Column909"/>
    <tableColumn id="937" xr3:uid="{00000000-0010-0000-2000-0000A9030000}" name="Column910"/>
    <tableColumn id="938" xr3:uid="{00000000-0010-0000-2000-0000AA030000}" name="Column911"/>
    <tableColumn id="939" xr3:uid="{00000000-0010-0000-2000-0000AB030000}" name="Column912"/>
    <tableColumn id="940" xr3:uid="{00000000-0010-0000-2000-0000AC030000}" name="Column913"/>
    <tableColumn id="941" xr3:uid="{00000000-0010-0000-2000-0000AD030000}" name="Column914"/>
    <tableColumn id="942" xr3:uid="{00000000-0010-0000-2000-0000AE030000}" name="Column915"/>
    <tableColumn id="943" xr3:uid="{00000000-0010-0000-2000-0000AF030000}" name="Column916"/>
    <tableColumn id="944" xr3:uid="{00000000-0010-0000-2000-0000B0030000}" name="Column917"/>
    <tableColumn id="945" xr3:uid="{00000000-0010-0000-2000-0000B1030000}" name="Column918"/>
    <tableColumn id="946" xr3:uid="{00000000-0010-0000-2000-0000B2030000}" name="Column919"/>
    <tableColumn id="947" xr3:uid="{00000000-0010-0000-2000-0000B3030000}" name="Column920"/>
    <tableColumn id="948" xr3:uid="{00000000-0010-0000-2000-0000B4030000}" name="Column921"/>
    <tableColumn id="949" xr3:uid="{00000000-0010-0000-2000-0000B5030000}" name="Column922"/>
    <tableColumn id="950" xr3:uid="{00000000-0010-0000-2000-0000B6030000}" name="Column923"/>
    <tableColumn id="951" xr3:uid="{00000000-0010-0000-2000-0000B7030000}" name="Column924"/>
    <tableColumn id="952" xr3:uid="{00000000-0010-0000-2000-0000B8030000}" name="Column925"/>
    <tableColumn id="953" xr3:uid="{00000000-0010-0000-2000-0000B9030000}" name="Column926"/>
    <tableColumn id="954" xr3:uid="{00000000-0010-0000-2000-0000BA030000}" name="Column927"/>
    <tableColumn id="955" xr3:uid="{00000000-0010-0000-2000-0000BB030000}" name="Column928"/>
    <tableColumn id="956" xr3:uid="{00000000-0010-0000-2000-0000BC030000}" name="Column929"/>
    <tableColumn id="957" xr3:uid="{00000000-0010-0000-2000-0000BD030000}" name="Column930"/>
    <tableColumn id="958" xr3:uid="{00000000-0010-0000-2000-0000BE030000}" name="Column931"/>
    <tableColumn id="959" xr3:uid="{00000000-0010-0000-2000-0000BF030000}" name="Column932"/>
    <tableColumn id="960" xr3:uid="{00000000-0010-0000-2000-0000C0030000}" name="Column933"/>
    <tableColumn id="961" xr3:uid="{00000000-0010-0000-2000-0000C1030000}" name="Column934"/>
    <tableColumn id="962" xr3:uid="{00000000-0010-0000-2000-0000C2030000}" name="Column935"/>
    <tableColumn id="963" xr3:uid="{00000000-0010-0000-2000-0000C3030000}" name="Column936"/>
    <tableColumn id="964" xr3:uid="{00000000-0010-0000-2000-0000C4030000}" name="Column937"/>
    <tableColumn id="965" xr3:uid="{00000000-0010-0000-2000-0000C5030000}" name="Column938"/>
    <tableColumn id="966" xr3:uid="{00000000-0010-0000-2000-0000C6030000}" name="Column939"/>
    <tableColumn id="967" xr3:uid="{00000000-0010-0000-2000-0000C7030000}" name="Column940"/>
    <tableColumn id="968" xr3:uid="{00000000-0010-0000-2000-0000C8030000}" name="Column941"/>
    <tableColumn id="969" xr3:uid="{00000000-0010-0000-2000-0000C9030000}" name="Column942"/>
    <tableColumn id="970" xr3:uid="{00000000-0010-0000-2000-0000CA030000}" name="Column943"/>
    <tableColumn id="971" xr3:uid="{00000000-0010-0000-2000-0000CB030000}" name="Column944"/>
    <tableColumn id="972" xr3:uid="{00000000-0010-0000-2000-0000CC030000}" name="Column945"/>
    <tableColumn id="973" xr3:uid="{00000000-0010-0000-2000-0000CD030000}" name="Column946"/>
    <tableColumn id="974" xr3:uid="{00000000-0010-0000-2000-0000CE030000}" name="Column947"/>
    <tableColumn id="975" xr3:uid="{00000000-0010-0000-2000-0000CF030000}" name="Column948"/>
    <tableColumn id="976" xr3:uid="{00000000-0010-0000-2000-0000D0030000}" name="Column949"/>
    <tableColumn id="977" xr3:uid="{00000000-0010-0000-2000-0000D1030000}" name="Column950"/>
    <tableColumn id="978" xr3:uid="{00000000-0010-0000-2000-0000D2030000}" name="Column951"/>
    <tableColumn id="979" xr3:uid="{00000000-0010-0000-2000-0000D3030000}" name="Column952"/>
    <tableColumn id="980" xr3:uid="{00000000-0010-0000-2000-0000D4030000}" name="Column953"/>
    <tableColumn id="981" xr3:uid="{00000000-0010-0000-2000-0000D5030000}" name="Column954"/>
    <tableColumn id="982" xr3:uid="{00000000-0010-0000-2000-0000D6030000}" name="Column955"/>
    <tableColumn id="983" xr3:uid="{00000000-0010-0000-2000-0000D7030000}" name="Column956"/>
    <tableColumn id="984" xr3:uid="{00000000-0010-0000-2000-0000D8030000}" name="Column957"/>
    <tableColumn id="985" xr3:uid="{00000000-0010-0000-2000-0000D9030000}" name="Column958"/>
    <tableColumn id="986" xr3:uid="{00000000-0010-0000-2000-0000DA030000}" name="Column959"/>
    <tableColumn id="987" xr3:uid="{00000000-0010-0000-2000-0000DB030000}" name="Column960"/>
    <tableColumn id="988" xr3:uid="{00000000-0010-0000-2000-0000DC030000}" name="Column961"/>
    <tableColumn id="989" xr3:uid="{00000000-0010-0000-2000-0000DD030000}" name="Column962"/>
    <tableColumn id="990" xr3:uid="{00000000-0010-0000-2000-0000DE030000}" name="Column963"/>
    <tableColumn id="991" xr3:uid="{00000000-0010-0000-2000-0000DF030000}" name="Column964"/>
    <tableColumn id="992" xr3:uid="{00000000-0010-0000-2000-0000E0030000}" name="Column965"/>
    <tableColumn id="993" xr3:uid="{00000000-0010-0000-2000-0000E1030000}" name="Column966"/>
    <tableColumn id="994" xr3:uid="{00000000-0010-0000-2000-0000E2030000}" name="Column967"/>
    <tableColumn id="995" xr3:uid="{00000000-0010-0000-2000-0000E3030000}" name="Column968"/>
    <tableColumn id="996" xr3:uid="{00000000-0010-0000-2000-0000E4030000}" name="Column969"/>
    <tableColumn id="997" xr3:uid="{00000000-0010-0000-2000-0000E5030000}" name="Column970"/>
    <tableColumn id="998" xr3:uid="{00000000-0010-0000-2000-0000E6030000}" name="Column971"/>
    <tableColumn id="999" xr3:uid="{00000000-0010-0000-2000-0000E7030000}" name="Column972"/>
    <tableColumn id="1000" xr3:uid="{00000000-0010-0000-2000-0000E8030000}" name="Column973"/>
    <tableColumn id="1001" xr3:uid="{00000000-0010-0000-2000-0000E9030000}" name="Column974"/>
    <tableColumn id="1002" xr3:uid="{00000000-0010-0000-2000-0000EA030000}" name="Column975"/>
    <tableColumn id="1003" xr3:uid="{00000000-0010-0000-2000-0000EB030000}" name="Column976"/>
    <tableColumn id="1004" xr3:uid="{00000000-0010-0000-2000-0000EC030000}" name="Column977"/>
    <tableColumn id="1005" xr3:uid="{00000000-0010-0000-2000-0000ED030000}" name="Column978"/>
    <tableColumn id="1006" xr3:uid="{00000000-0010-0000-2000-0000EE030000}" name="Column979"/>
    <tableColumn id="1007" xr3:uid="{00000000-0010-0000-2000-0000EF030000}" name="Column980"/>
    <tableColumn id="1008" xr3:uid="{00000000-0010-0000-2000-0000F0030000}" name="Column981"/>
    <tableColumn id="1009" xr3:uid="{00000000-0010-0000-2000-0000F1030000}" name="Column982"/>
    <tableColumn id="1010" xr3:uid="{00000000-0010-0000-2000-0000F2030000}" name="Column983"/>
    <tableColumn id="1011" xr3:uid="{00000000-0010-0000-2000-0000F3030000}" name="Column984"/>
    <tableColumn id="1012" xr3:uid="{00000000-0010-0000-2000-0000F4030000}" name="Column985"/>
    <tableColumn id="1013" xr3:uid="{00000000-0010-0000-2000-0000F5030000}" name="Column986"/>
    <tableColumn id="1014" xr3:uid="{00000000-0010-0000-2000-0000F6030000}" name="Column987"/>
    <tableColumn id="1015" xr3:uid="{00000000-0010-0000-2000-0000F7030000}" name="Column988"/>
    <tableColumn id="1016" xr3:uid="{00000000-0010-0000-2000-0000F8030000}" name="Column989"/>
    <tableColumn id="1017" xr3:uid="{00000000-0010-0000-2000-0000F9030000}" name="Column990"/>
    <tableColumn id="1018" xr3:uid="{00000000-0010-0000-2000-0000FA030000}" name="Column991"/>
    <tableColumn id="1019" xr3:uid="{00000000-0010-0000-2000-0000FB030000}" name="Column992"/>
    <tableColumn id="1020" xr3:uid="{00000000-0010-0000-2000-0000FC030000}" name="Column993"/>
    <tableColumn id="1021" xr3:uid="{00000000-0010-0000-2000-0000FD030000}" name="Column994"/>
    <tableColumn id="1022" xr3:uid="{00000000-0010-0000-2000-0000FE030000}" name="Column995"/>
    <tableColumn id="1023" xr3:uid="{00000000-0010-0000-2000-0000FF030000}" name="Column996"/>
    <tableColumn id="1024" xr3:uid="{00000000-0010-0000-2000-000000040000}" name="Column997"/>
    <tableColumn id="1025" xr3:uid="{00000000-0010-0000-2000-000001040000}" name="Column998"/>
    <tableColumn id="1026" xr3:uid="{00000000-0010-0000-2000-000002040000}" name="Column999"/>
    <tableColumn id="1027" xr3:uid="{00000000-0010-0000-2000-000003040000}" name="Column1000"/>
    <tableColumn id="1028" xr3:uid="{00000000-0010-0000-2000-000004040000}" name="Column1001"/>
    <tableColumn id="1029" xr3:uid="{00000000-0010-0000-2000-000005040000}" name="Column1002"/>
    <tableColumn id="1030" xr3:uid="{00000000-0010-0000-2000-000006040000}" name="Column1003"/>
    <tableColumn id="1031" xr3:uid="{00000000-0010-0000-2000-000007040000}" name="Column1004"/>
    <tableColumn id="1032" xr3:uid="{00000000-0010-0000-2000-000008040000}" name="Column1005"/>
    <tableColumn id="1033" xr3:uid="{00000000-0010-0000-2000-000009040000}" name="Column1006"/>
    <tableColumn id="1034" xr3:uid="{00000000-0010-0000-2000-00000A040000}" name="Column1007"/>
    <tableColumn id="1035" xr3:uid="{00000000-0010-0000-2000-00000B040000}" name="Column1008"/>
    <tableColumn id="1036" xr3:uid="{00000000-0010-0000-2000-00000C040000}" name="Column1009"/>
    <tableColumn id="1037" xr3:uid="{00000000-0010-0000-2000-00000D040000}" name="Column1010"/>
    <tableColumn id="1038" xr3:uid="{00000000-0010-0000-2000-00000E040000}" name="Column1011"/>
    <tableColumn id="1039" xr3:uid="{00000000-0010-0000-2000-00000F040000}" name="Column1012"/>
    <tableColumn id="1040" xr3:uid="{00000000-0010-0000-2000-000010040000}" name="Column1013"/>
    <tableColumn id="1041" xr3:uid="{00000000-0010-0000-2000-000011040000}" name="Column1014"/>
    <tableColumn id="1042" xr3:uid="{00000000-0010-0000-2000-000012040000}" name="Column1015"/>
    <tableColumn id="1043" xr3:uid="{00000000-0010-0000-2000-000013040000}" name="Column1016"/>
    <tableColumn id="1044" xr3:uid="{00000000-0010-0000-2000-000014040000}" name="Column1017"/>
    <tableColumn id="1045" xr3:uid="{00000000-0010-0000-2000-000015040000}" name="Column1018"/>
    <tableColumn id="1046" xr3:uid="{00000000-0010-0000-2000-000016040000}" name="Column1019"/>
    <tableColumn id="1047" xr3:uid="{00000000-0010-0000-2000-000017040000}" name="Column1020"/>
    <tableColumn id="1048" xr3:uid="{00000000-0010-0000-2000-000018040000}" name="Column1021"/>
    <tableColumn id="1049" xr3:uid="{00000000-0010-0000-2000-000019040000}" name="Column1022"/>
    <tableColumn id="1050" xr3:uid="{00000000-0010-0000-2000-00001A040000}" name="Column1023"/>
    <tableColumn id="1051" xr3:uid="{00000000-0010-0000-2000-00001B040000}" name="Column1024"/>
    <tableColumn id="1052" xr3:uid="{00000000-0010-0000-2000-00001C040000}" name="Column1025"/>
    <tableColumn id="1053" xr3:uid="{00000000-0010-0000-2000-00001D040000}" name="Column1026"/>
    <tableColumn id="1054" xr3:uid="{00000000-0010-0000-2000-00001E040000}" name="Column1027"/>
    <tableColumn id="1055" xr3:uid="{00000000-0010-0000-2000-00001F040000}" name="Column1028"/>
    <tableColumn id="1056" xr3:uid="{00000000-0010-0000-2000-000020040000}" name="Column1029"/>
    <tableColumn id="1057" xr3:uid="{00000000-0010-0000-2000-000021040000}" name="Column1030"/>
    <tableColumn id="1058" xr3:uid="{00000000-0010-0000-2000-000022040000}" name="Column1031"/>
    <tableColumn id="1059" xr3:uid="{00000000-0010-0000-2000-000023040000}" name="Column1032"/>
    <tableColumn id="1060" xr3:uid="{00000000-0010-0000-2000-000024040000}" name="Column1033"/>
    <tableColumn id="1061" xr3:uid="{00000000-0010-0000-2000-000025040000}" name="Column1034"/>
    <tableColumn id="1062" xr3:uid="{00000000-0010-0000-2000-000026040000}" name="Column1035"/>
    <tableColumn id="1063" xr3:uid="{00000000-0010-0000-2000-000027040000}" name="Column1036"/>
    <tableColumn id="1064" xr3:uid="{00000000-0010-0000-2000-000028040000}" name="Column1037"/>
    <tableColumn id="1065" xr3:uid="{00000000-0010-0000-2000-000029040000}" name="Column1038"/>
    <tableColumn id="1066" xr3:uid="{00000000-0010-0000-2000-00002A040000}" name="Column1039"/>
    <tableColumn id="1067" xr3:uid="{00000000-0010-0000-2000-00002B040000}" name="Column1040"/>
    <tableColumn id="1068" xr3:uid="{00000000-0010-0000-2000-00002C040000}" name="Column1041"/>
    <tableColumn id="1069" xr3:uid="{00000000-0010-0000-2000-00002D040000}" name="Column1042"/>
    <tableColumn id="1070" xr3:uid="{00000000-0010-0000-2000-00002E040000}" name="Column1043"/>
    <tableColumn id="1071" xr3:uid="{00000000-0010-0000-2000-00002F040000}" name="Column1044"/>
    <tableColumn id="1072" xr3:uid="{00000000-0010-0000-2000-000030040000}" name="Column1045"/>
    <tableColumn id="1073" xr3:uid="{00000000-0010-0000-2000-000031040000}" name="Column1046"/>
    <tableColumn id="1074" xr3:uid="{00000000-0010-0000-2000-000032040000}" name="Column1047"/>
    <tableColumn id="1075" xr3:uid="{00000000-0010-0000-2000-000033040000}" name="Column1048"/>
    <tableColumn id="1076" xr3:uid="{00000000-0010-0000-2000-000034040000}" name="Column1049"/>
    <tableColumn id="1077" xr3:uid="{00000000-0010-0000-2000-000035040000}" name="Column1050"/>
    <tableColumn id="1078" xr3:uid="{00000000-0010-0000-2000-000036040000}" name="Column1051"/>
    <tableColumn id="1079" xr3:uid="{00000000-0010-0000-2000-000037040000}" name="Column1052"/>
    <tableColumn id="1080" xr3:uid="{00000000-0010-0000-2000-000038040000}" name="Column1053"/>
    <tableColumn id="1081" xr3:uid="{00000000-0010-0000-2000-000039040000}" name="Column1054"/>
    <tableColumn id="1082" xr3:uid="{00000000-0010-0000-2000-00003A040000}" name="Column1055"/>
    <tableColumn id="1083" xr3:uid="{00000000-0010-0000-2000-00003B040000}" name="Column1056"/>
    <tableColumn id="1084" xr3:uid="{00000000-0010-0000-2000-00003C040000}" name="Column1057"/>
    <tableColumn id="1085" xr3:uid="{00000000-0010-0000-2000-00003D040000}" name="Column1058"/>
    <tableColumn id="1086" xr3:uid="{00000000-0010-0000-2000-00003E040000}" name="Column1059"/>
    <tableColumn id="1087" xr3:uid="{00000000-0010-0000-2000-00003F040000}" name="Column1060"/>
    <tableColumn id="1088" xr3:uid="{00000000-0010-0000-2000-000040040000}" name="Column1061"/>
    <tableColumn id="1089" xr3:uid="{00000000-0010-0000-2000-000041040000}" name="Column1062"/>
    <tableColumn id="1090" xr3:uid="{00000000-0010-0000-2000-000042040000}" name="Column1063"/>
    <tableColumn id="1091" xr3:uid="{00000000-0010-0000-2000-000043040000}" name="Column1064"/>
    <tableColumn id="1092" xr3:uid="{00000000-0010-0000-2000-000044040000}" name="Column1065"/>
    <tableColumn id="1093" xr3:uid="{00000000-0010-0000-2000-000045040000}" name="Column1066"/>
    <tableColumn id="1094" xr3:uid="{00000000-0010-0000-2000-000046040000}" name="Column1067"/>
    <tableColumn id="1095" xr3:uid="{00000000-0010-0000-2000-000047040000}" name="Column1068"/>
    <tableColumn id="1096" xr3:uid="{00000000-0010-0000-2000-000048040000}" name="Column1069"/>
    <tableColumn id="1097" xr3:uid="{00000000-0010-0000-2000-000049040000}" name="Column1070"/>
    <tableColumn id="1098" xr3:uid="{00000000-0010-0000-2000-00004A040000}" name="Column1071"/>
    <tableColumn id="1099" xr3:uid="{00000000-0010-0000-2000-00004B040000}" name="Column1072"/>
    <tableColumn id="1100" xr3:uid="{00000000-0010-0000-2000-00004C040000}" name="Column1073"/>
    <tableColumn id="1101" xr3:uid="{00000000-0010-0000-2000-00004D040000}" name="Column1074"/>
    <tableColumn id="1102" xr3:uid="{00000000-0010-0000-2000-00004E040000}" name="Column1075"/>
    <tableColumn id="1103" xr3:uid="{00000000-0010-0000-2000-00004F040000}" name="Column1076"/>
    <tableColumn id="1104" xr3:uid="{00000000-0010-0000-2000-000050040000}" name="Column1077"/>
    <tableColumn id="1105" xr3:uid="{00000000-0010-0000-2000-000051040000}" name="Column1078"/>
    <tableColumn id="1106" xr3:uid="{00000000-0010-0000-2000-000052040000}" name="Column1079"/>
    <tableColumn id="1107" xr3:uid="{00000000-0010-0000-2000-000053040000}" name="Column1080"/>
    <tableColumn id="1108" xr3:uid="{00000000-0010-0000-2000-000054040000}" name="Column1081"/>
    <tableColumn id="1109" xr3:uid="{00000000-0010-0000-2000-000055040000}" name="Column1082"/>
    <tableColumn id="1110" xr3:uid="{00000000-0010-0000-2000-000056040000}" name="Column1083"/>
    <tableColumn id="1111" xr3:uid="{00000000-0010-0000-2000-000057040000}" name="Column1084"/>
    <tableColumn id="1112" xr3:uid="{00000000-0010-0000-2000-000058040000}" name="Column1085"/>
    <tableColumn id="1113" xr3:uid="{00000000-0010-0000-2000-000059040000}" name="Column1086"/>
    <tableColumn id="1114" xr3:uid="{00000000-0010-0000-2000-00005A040000}" name="Column1087"/>
    <tableColumn id="1115" xr3:uid="{00000000-0010-0000-2000-00005B040000}" name="Column1088"/>
    <tableColumn id="1116" xr3:uid="{00000000-0010-0000-2000-00005C040000}" name="Column1089"/>
    <tableColumn id="1117" xr3:uid="{00000000-0010-0000-2000-00005D040000}" name="Column1090"/>
    <tableColumn id="1118" xr3:uid="{00000000-0010-0000-2000-00005E040000}" name="Column1091"/>
    <tableColumn id="1119" xr3:uid="{00000000-0010-0000-2000-00005F040000}" name="Column1092"/>
    <tableColumn id="1120" xr3:uid="{00000000-0010-0000-2000-000060040000}" name="Column1093"/>
    <tableColumn id="1121" xr3:uid="{00000000-0010-0000-2000-000061040000}" name="Column1094"/>
    <tableColumn id="1122" xr3:uid="{00000000-0010-0000-2000-000062040000}" name="Column1095"/>
    <tableColumn id="1123" xr3:uid="{00000000-0010-0000-2000-000063040000}" name="Column1096"/>
    <tableColumn id="1124" xr3:uid="{00000000-0010-0000-2000-000064040000}" name="Column1097"/>
    <tableColumn id="1125" xr3:uid="{00000000-0010-0000-2000-000065040000}" name="Column1098"/>
    <tableColumn id="1126" xr3:uid="{00000000-0010-0000-2000-000066040000}" name="Column1099"/>
    <tableColumn id="1127" xr3:uid="{00000000-0010-0000-2000-000067040000}" name="Column1100"/>
    <tableColumn id="1128" xr3:uid="{00000000-0010-0000-2000-000068040000}" name="Column1101"/>
    <tableColumn id="1129" xr3:uid="{00000000-0010-0000-2000-000069040000}" name="Column1102"/>
    <tableColumn id="1130" xr3:uid="{00000000-0010-0000-2000-00006A040000}" name="Column1103"/>
    <tableColumn id="1131" xr3:uid="{00000000-0010-0000-2000-00006B040000}" name="Column1104"/>
    <tableColumn id="1132" xr3:uid="{00000000-0010-0000-2000-00006C040000}" name="Column1105"/>
    <tableColumn id="1133" xr3:uid="{00000000-0010-0000-2000-00006D040000}" name="Column1106"/>
    <tableColumn id="1134" xr3:uid="{00000000-0010-0000-2000-00006E040000}" name="Column1107"/>
    <tableColumn id="1135" xr3:uid="{00000000-0010-0000-2000-00006F040000}" name="Column1108"/>
    <tableColumn id="1136" xr3:uid="{00000000-0010-0000-2000-000070040000}" name="Column1109"/>
    <tableColumn id="1137" xr3:uid="{00000000-0010-0000-2000-000071040000}" name="Column1110"/>
    <tableColumn id="1138" xr3:uid="{00000000-0010-0000-2000-000072040000}" name="Column1111"/>
    <tableColumn id="1139" xr3:uid="{00000000-0010-0000-2000-000073040000}" name="Column1112"/>
    <tableColumn id="1140" xr3:uid="{00000000-0010-0000-2000-000074040000}" name="Column1113"/>
    <tableColumn id="1141" xr3:uid="{00000000-0010-0000-2000-000075040000}" name="Column1114"/>
    <tableColumn id="1142" xr3:uid="{00000000-0010-0000-2000-000076040000}" name="Column1115"/>
    <tableColumn id="1143" xr3:uid="{00000000-0010-0000-2000-000077040000}" name="Column1116"/>
    <tableColumn id="1144" xr3:uid="{00000000-0010-0000-2000-000078040000}" name="Column1117"/>
    <tableColumn id="1145" xr3:uid="{00000000-0010-0000-2000-000079040000}" name="Column1118"/>
    <tableColumn id="1146" xr3:uid="{00000000-0010-0000-2000-00007A040000}" name="Column1119"/>
    <tableColumn id="1147" xr3:uid="{00000000-0010-0000-2000-00007B040000}" name="Column1120"/>
    <tableColumn id="1148" xr3:uid="{00000000-0010-0000-2000-00007C040000}" name="Column1121"/>
    <tableColumn id="1149" xr3:uid="{00000000-0010-0000-2000-00007D040000}" name="Column1122"/>
    <tableColumn id="1150" xr3:uid="{00000000-0010-0000-2000-00007E040000}" name="Column1123"/>
    <tableColumn id="1151" xr3:uid="{00000000-0010-0000-2000-00007F040000}" name="Column1124"/>
    <tableColumn id="1152" xr3:uid="{00000000-0010-0000-2000-000080040000}" name="Column1125"/>
    <tableColumn id="1153" xr3:uid="{00000000-0010-0000-2000-000081040000}" name="Column1126"/>
    <tableColumn id="1154" xr3:uid="{00000000-0010-0000-2000-000082040000}" name="Column1127"/>
    <tableColumn id="1155" xr3:uid="{00000000-0010-0000-2000-000083040000}" name="Column1128"/>
    <tableColumn id="1156" xr3:uid="{00000000-0010-0000-2000-000084040000}" name="Column1129"/>
    <tableColumn id="1157" xr3:uid="{00000000-0010-0000-2000-000085040000}" name="Column1130"/>
    <tableColumn id="1158" xr3:uid="{00000000-0010-0000-2000-000086040000}" name="Column1131"/>
    <tableColumn id="1159" xr3:uid="{00000000-0010-0000-2000-000087040000}" name="Column1132"/>
    <tableColumn id="1160" xr3:uid="{00000000-0010-0000-2000-000088040000}" name="Column1133"/>
    <tableColumn id="1161" xr3:uid="{00000000-0010-0000-2000-000089040000}" name="Column1134"/>
    <tableColumn id="1162" xr3:uid="{00000000-0010-0000-2000-00008A040000}" name="Column1135"/>
    <tableColumn id="1163" xr3:uid="{00000000-0010-0000-2000-00008B040000}" name="Column1136"/>
    <tableColumn id="1164" xr3:uid="{00000000-0010-0000-2000-00008C040000}" name="Column1137"/>
    <tableColumn id="1165" xr3:uid="{00000000-0010-0000-2000-00008D040000}" name="Column1138"/>
    <tableColumn id="1166" xr3:uid="{00000000-0010-0000-2000-00008E040000}" name="Column1139"/>
    <tableColumn id="1167" xr3:uid="{00000000-0010-0000-2000-00008F040000}" name="Column1140"/>
    <tableColumn id="1168" xr3:uid="{00000000-0010-0000-2000-000090040000}" name="Column1141"/>
    <tableColumn id="1169" xr3:uid="{00000000-0010-0000-2000-000091040000}" name="Column1142"/>
    <tableColumn id="1170" xr3:uid="{00000000-0010-0000-2000-000092040000}" name="Column1143"/>
    <tableColumn id="1171" xr3:uid="{00000000-0010-0000-2000-000093040000}" name="Column1144"/>
    <tableColumn id="1172" xr3:uid="{00000000-0010-0000-2000-000094040000}" name="Column1145"/>
    <tableColumn id="1173" xr3:uid="{00000000-0010-0000-2000-000095040000}" name="Column1146"/>
    <tableColumn id="1174" xr3:uid="{00000000-0010-0000-2000-000096040000}" name="Column1147"/>
    <tableColumn id="1175" xr3:uid="{00000000-0010-0000-2000-000097040000}" name="Column1148"/>
    <tableColumn id="1176" xr3:uid="{00000000-0010-0000-2000-000098040000}" name="Column1149"/>
    <tableColumn id="1177" xr3:uid="{00000000-0010-0000-2000-000099040000}" name="Column1150"/>
    <tableColumn id="1178" xr3:uid="{00000000-0010-0000-2000-00009A040000}" name="Column1151"/>
    <tableColumn id="1179" xr3:uid="{00000000-0010-0000-2000-00009B040000}" name="Column1152"/>
    <tableColumn id="1180" xr3:uid="{00000000-0010-0000-2000-00009C040000}" name="Column1153"/>
    <tableColumn id="1181" xr3:uid="{00000000-0010-0000-2000-00009D040000}" name="Column1154"/>
    <tableColumn id="1182" xr3:uid="{00000000-0010-0000-2000-00009E040000}" name="Column1155"/>
    <tableColumn id="1183" xr3:uid="{00000000-0010-0000-2000-00009F040000}" name="Column1156"/>
    <tableColumn id="1184" xr3:uid="{00000000-0010-0000-2000-0000A0040000}" name="Column1157"/>
    <tableColumn id="1185" xr3:uid="{00000000-0010-0000-2000-0000A1040000}" name="Column1158"/>
    <tableColumn id="1186" xr3:uid="{00000000-0010-0000-2000-0000A2040000}" name="Column1159"/>
    <tableColumn id="1187" xr3:uid="{00000000-0010-0000-2000-0000A3040000}" name="Column1160"/>
    <tableColumn id="1188" xr3:uid="{00000000-0010-0000-2000-0000A4040000}" name="Column1161"/>
    <tableColumn id="1189" xr3:uid="{00000000-0010-0000-2000-0000A5040000}" name="Column1162"/>
    <tableColumn id="1190" xr3:uid="{00000000-0010-0000-2000-0000A6040000}" name="Column1163"/>
    <tableColumn id="1191" xr3:uid="{00000000-0010-0000-2000-0000A7040000}" name="Column1164"/>
    <tableColumn id="1192" xr3:uid="{00000000-0010-0000-2000-0000A8040000}" name="Column1165"/>
    <tableColumn id="1193" xr3:uid="{00000000-0010-0000-2000-0000A9040000}" name="Column1166"/>
    <tableColumn id="1194" xr3:uid="{00000000-0010-0000-2000-0000AA040000}" name="Column1167"/>
    <tableColumn id="1195" xr3:uid="{00000000-0010-0000-2000-0000AB040000}" name="Column1168"/>
    <tableColumn id="1196" xr3:uid="{00000000-0010-0000-2000-0000AC040000}" name="Column1169"/>
    <tableColumn id="1197" xr3:uid="{00000000-0010-0000-2000-0000AD040000}" name="Column1170"/>
    <tableColumn id="1198" xr3:uid="{00000000-0010-0000-2000-0000AE040000}" name="Column1171"/>
    <tableColumn id="1199" xr3:uid="{00000000-0010-0000-2000-0000AF040000}" name="Column1172"/>
    <tableColumn id="1200" xr3:uid="{00000000-0010-0000-2000-0000B0040000}" name="Column1173"/>
    <tableColumn id="1201" xr3:uid="{00000000-0010-0000-2000-0000B1040000}" name="Column1174"/>
    <tableColumn id="1202" xr3:uid="{00000000-0010-0000-2000-0000B2040000}" name="Column1175"/>
    <tableColumn id="1203" xr3:uid="{00000000-0010-0000-2000-0000B3040000}" name="Column1176"/>
    <tableColumn id="1204" xr3:uid="{00000000-0010-0000-2000-0000B4040000}" name="Column1177"/>
    <tableColumn id="1205" xr3:uid="{00000000-0010-0000-2000-0000B5040000}" name="Column1178"/>
    <tableColumn id="1206" xr3:uid="{00000000-0010-0000-2000-0000B6040000}" name="Column1179"/>
    <tableColumn id="1207" xr3:uid="{00000000-0010-0000-2000-0000B7040000}" name="Column1180"/>
    <tableColumn id="1208" xr3:uid="{00000000-0010-0000-2000-0000B8040000}" name="Column1181"/>
    <tableColumn id="1209" xr3:uid="{00000000-0010-0000-2000-0000B9040000}" name="Column1182"/>
    <tableColumn id="1210" xr3:uid="{00000000-0010-0000-2000-0000BA040000}" name="Column1183"/>
    <tableColumn id="1211" xr3:uid="{00000000-0010-0000-2000-0000BB040000}" name="Column1184"/>
    <tableColumn id="1212" xr3:uid="{00000000-0010-0000-2000-0000BC040000}" name="Column1185"/>
    <tableColumn id="1213" xr3:uid="{00000000-0010-0000-2000-0000BD040000}" name="Column1186"/>
    <tableColumn id="1214" xr3:uid="{00000000-0010-0000-2000-0000BE040000}" name="Column1187"/>
    <tableColumn id="1215" xr3:uid="{00000000-0010-0000-2000-0000BF040000}" name="Column1188"/>
    <tableColumn id="1216" xr3:uid="{00000000-0010-0000-2000-0000C0040000}" name="Column1189"/>
    <tableColumn id="1217" xr3:uid="{00000000-0010-0000-2000-0000C1040000}" name="Column1190"/>
    <tableColumn id="1218" xr3:uid="{00000000-0010-0000-2000-0000C2040000}" name="Column1191"/>
    <tableColumn id="1219" xr3:uid="{00000000-0010-0000-2000-0000C3040000}" name="Column1192"/>
    <tableColumn id="1220" xr3:uid="{00000000-0010-0000-2000-0000C4040000}" name="Column1193"/>
    <tableColumn id="1221" xr3:uid="{00000000-0010-0000-2000-0000C5040000}" name="Column1194"/>
    <tableColumn id="1222" xr3:uid="{00000000-0010-0000-2000-0000C6040000}" name="Column1195"/>
    <tableColumn id="1223" xr3:uid="{00000000-0010-0000-2000-0000C7040000}" name="Column1196"/>
    <tableColumn id="1224" xr3:uid="{00000000-0010-0000-2000-0000C8040000}" name="Column1197"/>
    <tableColumn id="1225" xr3:uid="{00000000-0010-0000-2000-0000C9040000}" name="Column1198"/>
    <tableColumn id="1226" xr3:uid="{00000000-0010-0000-2000-0000CA040000}" name="Column1199"/>
    <tableColumn id="1227" xr3:uid="{00000000-0010-0000-2000-0000CB040000}" name="Column1200"/>
    <tableColumn id="1228" xr3:uid="{00000000-0010-0000-2000-0000CC040000}" name="Column1201"/>
    <tableColumn id="1229" xr3:uid="{00000000-0010-0000-2000-0000CD040000}" name="Column1202"/>
    <tableColumn id="1230" xr3:uid="{00000000-0010-0000-2000-0000CE040000}" name="Column1203"/>
    <tableColumn id="1231" xr3:uid="{00000000-0010-0000-2000-0000CF040000}" name="Column1204"/>
    <tableColumn id="1232" xr3:uid="{00000000-0010-0000-2000-0000D0040000}" name="Column1205"/>
    <tableColumn id="1233" xr3:uid="{00000000-0010-0000-2000-0000D1040000}" name="Column1206"/>
    <tableColumn id="1234" xr3:uid="{00000000-0010-0000-2000-0000D2040000}" name="Column1207"/>
    <tableColumn id="1235" xr3:uid="{00000000-0010-0000-2000-0000D3040000}" name="Column1208"/>
    <tableColumn id="1236" xr3:uid="{00000000-0010-0000-2000-0000D4040000}" name="Column1209"/>
    <tableColumn id="1237" xr3:uid="{00000000-0010-0000-2000-0000D5040000}" name="Column1210"/>
    <tableColumn id="1238" xr3:uid="{00000000-0010-0000-2000-0000D6040000}" name="Column1211"/>
    <tableColumn id="1239" xr3:uid="{00000000-0010-0000-2000-0000D7040000}" name="Column1212"/>
    <tableColumn id="1240" xr3:uid="{00000000-0010-0000-2000-0000D8040000}" name="Column1213"/>
    <tableColumn id="1241" xr3:uid="{00000000-0010-0000-2000-0000D9040000}" name="Column1214"/>
    <tableColumn id="1242" xr3:uid="{00000000-0010-0000-2000-0000DA040000}" name="Column1215"/>
    <tableColumn id="1243" xr3:uid="{00000000-0010-0000-2000-0000DB040000}" name="Column1216"/>
    <tableColumn id="1244" xr3:uid="{00000000-0010-0000-2000-0000DC040000}" name="Column1217"/>
    <tableColumn id="1245" xr3:uid="{00000000-0010-0000-2000-0000DD040000}" name="Column1218"/>
    <tableColumn id="1246" xr3:uid="{00000000-0010-0000-2000-0000DE040000}" name="Column1219"/>
    <tableColumn id="1247" xr3:uid="{00000000-0010-0000-2000-0000DF040000}" name="Column1220"/>
    <tableColumn id="1248" xr3:uid="{00000000-0010-0000-2000-0000E0040000}" name="Column1221"/>
    <tableColumn id="1249" xr3:uid="{00000000-0010-0000-2000-0000E1040000}" name="Column1222"/>
    <tableColumn id="1250" xr3:uid="{00000000-0010-0000-2000-0000E2040000}" name="Column1223"/>
    <tableColumn id="1251" xr3:uid="{00000000-0010-0000-2000-0000E3040000}" name="Column1224"/>
    <tableColumn id="1252" xr3:uid="{00000000-0010-0000-2000-0000E4040000}" name="Column1225"/>
    <tableColumn id="1253" xr3:uid="{00000000-0010-0000-2000-0000E5040000}" name="Column1226"/>
    <tableColumn id="1254" xr3:uid="{00000000-0010-0000-2000-0000E6040000}" name="Column1227"/>
    <tableColumn id="1255" xr3:uid="{00000000-0010-0000-2000-0000E7040000}" name="Column1228"/>
    <tableColumn id="1256" xr3:uid="{00000000-0010-0000-2000-0000E8040000}" name="Column1229"/>
    <tableColumn id="1257" xr3:uid="{00000000-0010-0000-2000-0000E9040000}" name="Column1230"/>
    <tableColumn id="1258" xr3:uid="{00000000-0010-0000-2000-0000EA040000}" name="Column1231"/>
    <tableColumn id="1259" xr3:uid="{00000000-0010-0000-2000-0000EB040000}" name="Column1232"/>
    <tableColumn id="1260" xr3:uid="{00000000-0010-0000-2000-0000EC040000}" name="Column1233"/>
    <tableColumn id="1261" xr3:uid="{00000000-0010-0000-2000-0000ED040000}" name="Column1234"/>
    <tableColumn id="1262" xr3:uid="{00000000-0010-0000-2000-0000EE040000}" name="Column1235"/>
    <tableColumn id="1263" xr3:uid="{00000000-0010-0000-2000-0000EF040000}" name="Column1236"/>
    <tableColumn id="1264" xr3:uid="{00000000-0010-0000-2000-0000F0040000}" name="Column1237"/>
    <tableColumn id="1265" xr3:uid="{00000000-0010-0000-2000-0000F1040000}" name="Column1238"/>
    <tableColumn id="1266" xr3:uid="{00000000-0010-0000-2000-0000F2040000}" name="Column1239"/>
    <tableColumn id="1267" xr3:uid="{00000000-0010-0000-2000-0000F3040000}" name="Column1240"/>
    <tableColumn id="1268" xr3:uid="{00000000-0010-0000-2000-0000F4040000}" name="Column1241"/>
    <tableColumn id="1269" xr3:uid="{00000000-0010-0000-2000-0000F5040000}" name="Column1242"/>
    <tableColumn id="1270" xr3:uid="{00000000-0010-0000-2000-0000F6040000}" name="Column1243"/>
    <tableColumn id="1271" xr3:uid="{00000000-0010-0000-2000-0000F7040000}" name="Column1244"/>
    <tableColumn id="1272" xr3:uid="{00000000-0010-0000-2000-0000F8040000}" name="Column1245"/>
    <tableColumn id="1273" xr3:uid="{00000000-0010-0000-2000-0000F9040000}" name="Column1246"/>
    <tableColumn id="1274" xr3:uid="{00000000-0010-0000-2000-0000FA040000}" name="Column1247"/>
    <tableColumn id="1275" xr3:uid="{00000000-0010-0000-2000-0000FB040000}" name="Column1248"/>
    <tableColumn id="1276" xr3:uid="{00000000-0010-0000-2000-0000FC040000}" name="Column1249"/>
    <tableColumn id="1277" xr3:uid="{00000000-0010-0000-2000-0000FD040000}" name="Column1250"/>
    <tableColumn id="1278" xr3:uid="{00000000-0010-0000-2000-0000FE040000}" name="Column1251"/>
    <tableColumn id="1279" xr3:uid="{00000000-0010-0000-2000-0000FF040000}" name="Column1252"/>
    <tableColumn id="1280" xr3:uid="{00000000-0010-0000-2000-000000050000}" name="Column1253"/>
    <tableColumn id="1281" xr3:uid="{00000000-0010-0000-2000-000001050000}" name="Column1254"/>
    <tableColumn id="1282" xr3:uid="{00000000-0010-0000-2000-000002050000}" name="Column1255"/>
    <tableColumn id="1283" xr3:uid="{00000000-0010-0000-2000-000003050000}" name="Column1256"/>
    <tableColumn id="1284" xr3:uid="{00000000-0010-0000-2000-000004050000}" name="Column1257"/>
    <tableColumn id="1285" xr3:uid="{00000000-0010-0000-2000-000005050000}" name="Column1258"/>
    <tableColumn id="1286" xr3:uid="{00000000-0010-0000-2000-000006050000}" name="Column1259"/>
    <tableColumn id="1287" xr3:uid="{00000000-0010-0000-2000-000007050000}" name="Column1260"/>
    <tableColumn id="1288" xr3:uid="{00000000-0010-0000-2000-000008050000}" name="Column1261"/>
    <tableColumn id="1289" xr3:uid="{00000000-0010-0000-2000-000009050000}" name="Column1262"/>
    <tableColumn id="1290" xr3:uid="{00000000-0010-0000-2000-00000A050000}" name="Column1263"/>
    <tableColumn id="1291" xr3:uid="{00000000-0010-0000-2000-00000B050000}" name="Column1264"/>
    <tableColumn id="1292" xr3:uid="{00000000-0010-0000-2000-00000C050000}" name="Column1265"/>
    <tableColumn id="1293" xr3:uid="{00000000-0010-0000-2000-00000D050000}" name="Column1266"/>
    <tableColumn id="1294" xr3:uid="{00000000-0010-0000-2000-00000E050000}" name="Column1267"/>
    <tableColumn id="1295" xr3:uid="{00000000-0010-0000-2000-00000F050000}" name="Column1268"/>
    <tableColumn id="1296" xr3:uid="{00000000-0010-0000-2000-000010050000}" name="Column1269"/>
    <tableColumn id="1297" xr3:uid="{00000000-0010-0000-2000-000011050000}" name="Column1270"/>
    <tableColumn id="1298" xr3:uid="{00000000-0010-0000-2000-000012050000}" name="Column1271"/>
    <tableColumn id="1299" xr3:uid="{00000000-0010-0000-2000-000013050000}" name="Column1272"/>
    <tableColumn id="1300" xr3:uid="{00000000-0010-0000-2000-000014050000}" name="Column1273"/>
    <tableColumn id="1301" xr3:uid="{00000000-0010-0000-2000-000015050000}" name="Column1274"/>
    <tableColumn id="1302" xr3:uid="{00000000-0010-0000-2000-000016050000}" name="Column1275"/>
    <tableColumn id="1303" xr3:uid="{00000000-0010-0000-2000-000017050000}" name="Column1276"/>
    <tableColumn id="1304" xr3:uid="{00000000-0010-0000-2000-000018050000}" name="Column1277"/>
    <tableColumn id="1305" xr3:uid="{00000000-0010-0000-2000-000019050000}" name="Column1278"/>
    <tableColumn id="1306" xr3:uid="{00000000-0010-0000-2000-00001A050000}" name="Column1279"/>
    <tableColumn id="1307" xr3:uid="{00000000-0010-0000-2000-00001B050000}" name="Column1280"/>
    <tableColumn id="1308" xr3:uid="{00000000-0010-0000-2000-00001C050000}" name="Column1281"/>
    <tableColumn id="1309" xr3:uid="{00000000-0010-0000-2000-00001D050000}" name="Column1282"/>
    <tableColumn id="1310" xr3:uid="{00000000-0010-0000-2000-00001E050000}" name="Column1283"/>
    <tableColumn id="1311" xr3:uid="{00000000-0010-0000-2000-00001F050000}" name="Column1284"/>
    <tableColumn id="1312" xr3:uid="{00000000-0010-0000-2000-000020050000}" name="Column1285"/>
    <tableColumn id="1313" xr3:uid="{00000000-0010-0000-2000-000021050000}" name="Column1286"/>
    <tableColumn id="1314" xr3:uid="{00000000-0010-0000-2000-000022050000}" name="Column1287"/>
    <tableColumn id="1315" xr3:uid="{00000000-0010-0000-2000-000023050000}" name="Column1288"/>
    <tableColumn id="1316" xr3:uid="{00000000-0010-0000-2000-000024050000}" name="Column1289"/>
    <tableColumn id="1317" xr3:uid="{00000000-0010-0000-2000-000025050000}" name="Column1290"/>
    <tableColumn id="1318" xr3:uid="{00000000-0010-0000-2000-000026050000}" name="Column1291"/>
    <tableColumn id="1319" xr3:uid="{00000000-0010-0000-2000-000027050000}" name="Column1292"/>
    <tableColumn id="1320" xr3:uid="{00000000-0010-0000-2000-000028050000}" name="Column1293"/>
    <tableColumn id="1321" xr3:uid="{00000000-0010-0000-2000-000029050000}" name="Column1294"/>
    <tableColumn id="1322" xr3:uid="{00000000-0010-0000-2000-00002A050000}" name="Column1295"/>
    <tableColumn id="1323" xr3:uid="{00000000-0010-0000-2000-00002B050000}" name="Column1296"/>
    <tableColumn id="1324" xr3:uid="{00000000-0010-0000-2000-00002C050000}" name="Column1297"/>
    <tableColumn id="1325" xr3:uid="{00000000-0010-0000-2000-00002D050000}" name="Column1298"/>
    <tableColumn id="1326" xr3:uid="{00000000-0010-0000-2000-00002E050000}" name="Column1299"/>
    <tableColumn id="1327" xr3:uid="{00000000-0010-0000-2000-00002F050000}" name="Column1300"/>
    <tableColumn id="1328" xr3:uid="{00000000-0010-0000-2000-000030050000}" name="Column1301"/>
    <tableColumn id="1329" xr3:uid="{00000000-0010-0000-2000-000031050000}" name="Column1302"/>
    <tableColumn id="1330" xr3:uid="{00000000-0010-0000-2000-000032050000}" name="Column1303"/>
    <tableColumn id="1331" xr3:uid="{00000000-0010-0000-2000-000033050000}" name="Column1304"/>
    <tableColumn id="1332" xr3:uid="{00000000-0010-0000-2000-000034050000}" name="Column1305"/>
    <tableColumn id="1333" xr3:uid="{00000000-0010-0000-2000-000035050000}" name="Column1306"/>
    <tableColumn id="1334" xr3:uid="{00000000-0010-0000-2000-000036050000}" name="Column1307"/>
    <tableColumn id="1335" xr3:uid="{00000000-0010-0000-2000-000037050000}" name="Column1308"/>
    <tableColumn id="1336" xr3:uid="{00000000-0010-0000-2000-000038050000}" name="Column1309"/>
    <tableColumn id="1337" xr3:uid="{00000000-0010-0000-2000-000039050000}" name="Column1310"/>
    <tableColumn id="1338" xr3:uid="{00000000-0010-0000-2000-00003A050000}" name="Column1311"/>
    <tableColumn id="1339" xr3:uid="{00000000-0010-0000-2000-00003B050000}" name="Column1312"/>
    <tableColumn id="1340" xr3:uid="{00000000-0010-0000-2000-00003C050000}" name="Column1313"/>
    <tableColumn id="1341" xr3:uid="{00000000-0010-0000-2000-00003D050000}" name="Column1314"/>
    <tableColumn id="1342" xr3:uid="{00000000-0010-0000-2000-00003E050000}" name="Column1315"/>
    <tableColumn id="1343" xr3:uid="{00000000-0010-0000-2000-00003F050000}" name="Column1316"/>
    <tableColumn id="1344" xr3:uid="{00000000-0010-0000-2000-000040050000}" name="Column1317"/>
    <tableColumn id="1345" xr3:uid="{00000000-0010-0000-2000-000041050000}" name="Column1318"/>
    <tableColumn id="1346" xr3:uid="{00000000-0010-0000-2000-000042050000}" name="Column1319"/>
    <tableColumn id="1347" xr3:uid="{00000000-0010-0000-2000-000043050000}" name="Column1320"/>
    <tableColumn id="1348" xr3:uid="{00000000-0010-0000-2000-000044050000}" name="Column1321"/>
    <tableColumn id="1349" xr3:uid="{00000000-0010-0000-2000-000045050000}" name="Column1322"/>
    <tableColumn id="1350" xr3:uid="{00000000-0010-0000-2000-000046050000}" name="Column1323"/>
    <tableColumn id="1351" xr3:uid="{00000000-0010-0000-2000-000047050000}" name="Column1324"/>
    <tableColumn id="1352" xr3:uid="{00000000-0010-0000-2000-000048050000}" name="Column1325"/>
    <tableColumn id="1353" xr3:uid="{00000000-0010-0000-2000-000049050000}" name="Column1326"/>
    <tableColumn id="1354" xr3:uid="{00000000-0010-0000-2000-00004A050000}" name="Column1327"/>
    <tableColumn id="1355" xr3:uid="{00000000-0010-0000-2000-00004B050000}" name="Column1328"/>
    <tableColumn id="1356" xr3:uid="{00000000-0010-0000-2000-00004C050000}" name="Column1329"/>
    <tableColumn id="1357" xr3:uid="{00000000-0010-0000-2000-00004D050000}" name="Column1330"/>
    <tableColumn id="1358" xr3:uid="{00000000-0010-0000-2000-00004E050000}" name="Column1331"/>
    <tableColumn id="1359" xr3:uid="{00000000-0010-0000-2000-00004F050000}" name="Column1332"/>
    <tableColumn id="1360" xr3:uid="{00000000-0010-0000-2000-000050050000}" name="Column1333"/>
    <tableColumn id="1361" xr3:uid="{00000000-0010-0000-2000-000051050000}" name="Column1334"/>
    <tableColumn id="1362" xr3:uid="{00000000-0010-0000-2000-000052050000}" name="Column1335"/>
    <tableColumn id="1363" xr3:uid="{00000000-0010-0000-2000-000053050000}" name="Column1336"/>
    <tableColumn id="1364" xr3:uid="{00000000-0010-0000-2000-000054050000}" name="Column1337"/>
    <tableColumn id="1365" xr3:uid="{00000000-0010-0000-2000-000055050000}" name="Column1338"/>
    <tableColumn id="1366" xr3:uid="{00000000-0010-0000-2000-000056050000}" name="Column1339"/>
    <tableColumn id="1367" xr3:uid="{00000000-0010-0000-2000-000057050000}" name="Column1340"/>
    <tableColumn id="1368" xr3:uid="{00000000-0010-0000-2000-000058050000}" name="Column1341"/>
    <tableColumn id="1369" xr3:uid="{00000000-0010-0000-2000-000059050000}" name="Column1342"/>
    <tableColumn id="1370" xr3:uid="{00000000-0010-0000-2000-00005A050000}" name="Column1343"/>
    <tableColumn id="1371" xr3:uid="{00000000-0010-0000-2000-00005B050000}" name="Column1344"/>
    <tableColumn id="1372" xr3:uid="{00000000-0010-0000-2000-00005C050000}" name="Column1345"/>
    <tableColumn id="1373" xr3:uid="{00000000-0010-0000-2000-00005D050000}" name="Column1346"/>
    <tableColumn id="1374" xr3:uid="{00000000-0010-0000-2000-00005E050000}" name="Column1347"/>
    <tableColumn id="1375" xr3:uid="{00000000-0010-0000-2000-00005F050000}" name="Column1348"/>
    <tableColumn id="1376" xr3:uid="{00000000-0010-0000-2000-000060050000}" name="Column1349"/>
    <tableColumn id="1377" xr3:uid="{00000000-0010-0000-2000-000061050000}" name="Column1350"/>
    <tableColumn id="1378" xr3:uid="{00000000-0010-0000-2000-000062050000}" name="Column1351"/>
    <tableColumn id="1379" xr3:uid="{00000000-0010-0000-2000-000063050000}" name="Column1352"/>
    <tableColumn id="1380" xr3:uid="{00000000-0010-0000-2000-000064050000}" name="Column1353"/>
    <tableColumn id="1381" xr3:uid="{00000000-0010-0000-2000-000065050000}" name="Column1354"/>
    <tableColumn id="1382" xr3:uid="{00000000-0010-0000-2000-000066050000}" name="Column1355"/>
    <tableColumn id="1383" xr3:uid="{00000000-0010-0000-2000-000067050000}" name="Column1356"/>
    <tableColumn id="1384" xr3:uid="{00000000-0010-0000-2000-000068050000}" name="Column1357"/>
    <tableColumn id="1385" xr3:uid="{00000000-0010-0000-2000-000069050000}" name="Column1358"/>
    <tableColumn id="1386" xr3:uid="{00000000-0010-0000-2000-00006A050000}" name="Column1359"/>
    <tableColumn id="1387" xr3:uid="{00000000-0010-0000-2000-00006B050000}" name="Column1360"/>
    <tableColumn id="1388" xr3:uid="{00000000-0010-0000-2000-00006C050000}" name="Column1361"/>
    <tableColumn id="1389" xr3:uid="{00000000-0010-0000-2000-00006D050000}" name="Column1362"/>
    <tableColumn id="1390" xr3:uid="{00000000-0010-0000-2000-00006E050000}" name="Column1363"/>
    <tableColumn id="1391" xr3:uid="{00000000-0010-0000-2000-00006F050000}" name="Column1364"/>
    <tableColumn id="1392" xr3:uid="{00000000-0010-0000-2000-000070050000}" name="Column1365"/>
    <tableColumn id="1393" xr3:uid="{00000000-0010-0000-2000-000071050000}" name="Column1366"/>
    <tableColumn id="1394" xr3:uid="{00000000-0010-0000-2000-000072050000}" name="Column1367"/>
    <tableColumn id="1395" xr3:uid="{00000000-0010-0000-2000-000073050000}" name="Column1368"/>
    <tableColumn id="1396" xr3:uid="{00000000-0010-0000-2000-000074050000}" name="Column1369"/>
    <tableColumn id="1397" xr3:uid="{00000000-0010-0000-2000-000075050000}" name="Column1370"/>
    <tableColumn id="1398" xr3:uid="{00000000-0010-0000-2000-000076050000}" name="Column1371"/>
    <tableColumn id="1399" xr3:uid="{00000000-0010-0000-2000-000077050000}" name="Column1372"/>
    <tableColumn id="1400" xr3:uid="{00000000-0010-0000-2000-000078050000}" name="Column1373"/>
    <tableColumn id="1401" xr3:uid="{00000000-0010-0000-2000-000079050000}" name="Column1374"/>
    <tableColumn id="1402" xr3:uid="{00000000-0010-0000-2000-00007A050000}" name="Column1375"/>
    <tableColumn id="1403" xr3:uid="{00000000-0010-0000-2000-00007B050000}" name="Column1376"/>
    <tableColumn id="1404" xr3:uid="{00000000-0010-0000-2000-00007C050000}" name="Column1377"/>
    <tableColumn id="1405" xr3:uid="{00000000-0010-0000-2000-00007D050000}" name="Column1378"/>
    <tableColumn id="1406" xr3:uid="{00000000-0010-0000-2000-00007E050000}" name="Column1379"/>
    <tableColumn id="1407" xr3:uid="{00000000-0010-0000-2000-00007F050000}" name="Column1380"/>
    <tableColumn id="1408" xr3:uid="{00000000-0010-0000-2000-000080050000}" name="Column1381"/>
    <tableColumn id="1409" xr3:uid="{00000000-0010-0000-2000-000081050000}" name="Column1382"/>
    <tableColumn id="1410" xr3:uid="{00000000-0010-0000-2000-000082050000}" name="Column1383"/>
    <tableColumn id="1411" xr3:uid="{00000000-0010-0000-2000-000083050000}" name="Column1384"/>
    <tableColumn id="1412" xr3:uid="{00000000-0010-0000-2000-000084050000}" name="Column1385"/>
    <tableColumn id="1413" xr3:uid="{00000000-0010-0000-2000-000085050000}" name="Column1386"/>
    <tableColumn id="1414" xr3:uid="{00000000-0010-0000-2000-000086050000}" name="Column1387"/>
    <tableColumn id="1415" xr3:uid="{00000000-0010-0000-2000-000087050000}" name="Column1388"/>
    <tableColumn id="1416" xr3:uid="{00000000-0010-0000-2000-000088050000}" name="Column1389"/>
    <tableColumn id="1417" xr3:uid="{00000000-0010-0000-2000-000089050000}" name="Column1390"/>
    <tableColumn id="1418" xr3:uid="{00000000-0010-0000-2000-00008A050000}" name="Column1391"/>
    <tableColumn id="1419" xr3:uid="{00000000-0010-0000-2000-00008B050000}" name="Column1392"/>
    <tableColumn id="1420" xr3:uid="{00000000-0010-0000-2000-00008C050000}" name="Column1393"/>
    <tableColumn id="1421" xr3:uid="{00000000-0010-0000-2000-00008D050000}" name="Column1394"/>
    <tableColumn id="1422" xr3:uid="{00000000-0010-0000-2000-00008E050000}" name="Column1395"/>
    <tableColumn id="1423" xr3:uid="{00000000-0010-0000-2000-00008F050000}" name="Column1396"/>
    <tableColumn id="1424" xr3:uid="{00000000-0010-0000-2000-000090050000}" name="Column1397"/>
    <tableColumn id="1425" xr3:uid="{00000000-0010-0000-2000-000091050000}" name="Column1398"/>
    <tableColumn id="1426" xr3:uid="{00000000-0010-0000-2000-000092050000}" name="Column1399"/>
    <tableColumn id="1427" xr3:uid="{00000000-0010-0000-2000-000093050000}" name="Column1400"/>
    <tableColumn id="1428" xr3:uid="{00000000-0010-0000-2000-000094050000}" name="Column1401"/>
    <tableColumn id="1429" xr3:uid="{00000000-0010-0000-2000-000095050000}" name="Column1402"/>
    <tableColumn id="1430" xr3:uid="{00000000-0010-0000-2000-000096050000}" name="Column1403"/>
    <tableColumn id="1431" xr3:uid="{00000000-0010-0000-2000-000097050000}" name="Column1404"/>
    <tableColumn id="1432" xr3:uid="{00000000-0010-0000-2000-000098050000}" name="Column1405"/>
    <tableColumn id="1433" xr3:uid="{00000000-0010-0000-2000-000099050000}" name="Column1406"/>
    <tableColumn id="1434" xr3:uid="{00000000-0010-0000-2000-00009A050000}" name="Column1407"/>
    <tableColumn id="1435" xr3:uid="{00000000-0010-0000-2000-00009B050000}" name="Column1408"/>
    <tableColumn id="1436" xr3:uid="{00000000-0010-0000-2000-00009C050000}" name="Column1409"/>
    <tableColumn id="1437" xr3:uid="{00000000-0010-0000-2000-00009D050000}" name="Column1410"/>
    <tableColumn id="1438" xr3:uid="{00000000-0010-0000-2000-00009E050000}" name="Column1411"/>
    <tableColumn id="1439" xr3:uid="{00000000-0010-0000-2000-00009F050000}" name="Column1412"/>
    <tableColumn id="1440" xr3:uid="{00000000-0010-0000-2000-0000A0050000}" name="Column1413"/>
    <tableColumn id="1441" xr3:uid="{00000000-0010-0000-2000-0000A1050000}" name="Column1414"/>
    <tableColumn id="1442" xr3:uid="{00000000-0010-0000-2000-0000A2050000}" name="Column1415"/>
    <tableColumn id="1443" xr3:uid="{00000000-0010-0000-2000-0000A3050000}" name="Column1416"/>
    <tableColumn id="1444" xr3:uid="{00000000-0010-0000-2000-0000A4050000}" name="Column1417"/>
    <tableColumn id="1445" xr3:uid="{00000000-0010-0000-2000-0000A5050000}" name="Column1418"/>
    <tableColumn id="1446" xr3:uid="{00000000-0010-0000-2000-0000A6050000}" name="Column1419"/>
    <tableColumn id="1447" xr3:uid="{00000000-0010-0000-2000-0000A7050000}" name="Column1420"/>
    <tableColumn id="1448" xr3:uid="{00000000-0010-0000-2000-0000A8050000}" name="Column1421"/>
    <tableColumn id="1449" xr3:uid="{00000000-0010-0000-2000-0000A9050000}" name="Column1422"/>
    <tableColumn id="1450" xr3:uid="{00000000-0010-0000-2000-0000AA050000}" name="Column1423"/>
    <tableColumn id="1451" xr3:uid="{00000000-0010-0000-2000-0000AB050000}" name="Column1424"/>
    <tableColumn id="1452" xr3:uid="{00000000-0010-0000-2000-0000AC050000}" name="Column1425"/>
    <tableColumn id="1453" xr3:uid="{00000000-0010-0000-2000-0000AD050000}" name="Column1426"/>
    <tableColumn id="1454" xr3:uid="{00000000-0010-0000-2000-0000AE050000}" name="Column1427"/>
    <tableColumn id="1455" xr3:uid="{00000000-0010-0000-2000-0000AF050000}" name="Column1428"/>
    <tableColumn id="1456" xr3:uid="{00000000-0010-0000-2000-0000B0050000}" name="Column1429"/>
    <tableColumn id="1457" xr3:uid="{00000000-0010-0000-2000-0000B1050000}" name="Column1430"/>
    <tableColumn id="1458" xr3:uid="{00000000-0010-0000-2000-0000B2050000}" name="Column1431"/>
    <tableColumn id="1459" xr3:uid="{00000000-0010-0000-2000-0000B3050000}" name="Column1432"/>
    <tableColumn id="1460" xr3:uid="{00000000-0010-0000-2000-0000B4050000}" name="Column1433"/>
    <tableColumn id="1461" xr3:uid="{00000000-0010-0000-2000-0000B5050000}" name="Column1434"/>
    <tableColumn id="1462" xr3:uid="{00000000-0010-0000-2000-0000B6050000}" name="Column1435"/>
    <tableColumn id="1463" xr3:uid="{00000000-0010-0000-2000-0000B7050000}" name="Column1436"/>
    <tableColumn id="1464" xr3:uid="{00000000-0010-0000-2000-0000B8050000}" name="Column1437"/>
    <tableColumn id="1465" xr3:uid="{00000000-0010-0000-2000-0000B9050000}" name="Column1438"/>
    <tableColumn id="1466" xr3:uid="{00000000-0010-0000-2000-0000BA050000}" name="Column1439"/>
    <tableColumn id="1467" xr3:uid="{00000000-0010-0000-2000-0000BB050000}" name="Column1440"/>
    <tableColumn id="1468" xr3:uid="{00000000-0010-0000-2000-0000BC050000}" name="Column1441"/>
    <tableColumn id="1469" xr3:uid="{00000000-0010-0000-2000-0000BD050000}" name="Column1442"/>
    <tableColumn id="1470" xr3:uid="{00000000-0010-0000-2000-0000BE050000}" name="Column1443"/>
    <tableColumn id="1471" xr3:uid="{00000000-0010-0000-2000-0000BF050000}" name="Column1444"/>
    <tableColumn id="1472" xr3:uid="{00000000-0010-0000-2000-0000C0050000}" name="Column1445"/>
    <tableColumn id="1473" xr3:uid="{00000000-0010-0000-2000-0000C1050000}" name="Column1446"/>
    <tableColumn id="1474" xr3:uid="{00000000-0010-0000-2000-0000C2050000}" name="Column1447"/>
    <tableColumn id="1475" xr3:uid="{00000000-0010-0000-2000-0000C3050000}" name="Column1448"/>
    <tableColumn id="1476" xr3:uid="{00000000-0010-0000-2000-0000C4050000}" name="Column1449"/>
    <tableColumn id="1477" xr3:uid="{00000000-0010-0000-2000-0000C5050000}" name="Column1450"/>
    <tableColumn id="1478" xr3:uid="{00000000-0010-0000-2000-0000C6050000}" name="Column1451"/>
    <tableColumn id="1479" xr3:uid="{00000000-0010-0000-2000-0000C7050000}" name="Column1452"/>
    <tableColumn id="1480" xr3:uid="{00000000-0010-0000-2000-0000C8050000}" name="Column1453"/>
    <tableColumn id="1481" xr3:uid="{00000000-0010-0000-2000-0000C9050000}" name="Column1454"/>
    <tableColumn id="1482" xr3:uid="{00000000-0010-0000-2000-0000CA050000}" name="Column1455"/>
    <tableColumn id="1483" xr3:uid="{00000000-0010-0000-2000-0000CB050000}" name="Column1456"/>
    <tableColumn id="1484" xr3:uid="{00000000-0010-0000-2000-0000CC050000}" name="Column1457"/>
    <tableColumn id="1485" xr3:uid="{00000000-0010-0000-2000-0000CD050000}" name="Column1458"/>
    <tableColumn id="1486" xr3:uid="{00000000-0010-0000-2000-0000CE050000}" name="Column1459"/>
    <tableColumn id="1487" xr3:uid="{00000000-0010-0000-2000-0000CF050000}" name="Column1460"/>
    <tableColumn id="1488" xr3:uid="{00000000-0010-0000-2000-0000D0050000}" name="Column1461"/>
    <tableColumn id="1489" xr3:uid="{00000000-0010-0000-2000-0000D1050000}" name="Column1462"/>
    <tableColumn id="1490" xr3:uid="{00000000-0010-0000-2000-0000D2050000}" name="Column1463"/>
    <tableColumn id="1491" xr3:uid="{00000000-0010-0000-2000-0000D3050000}" name="Column1464"/>
    <tableColumn id="1492" xr3:uid="{00000000-0010-0000-2000-0000D4050000}" name="Column1465"/>
    <tableColumn id="1493" xr3:uid="{00000000-0010-0000-2000-0000D5050000}" name="Column1466"/>
    <tableColumn id="1494" xr3:uid="{00000000-0010-0000-2000-0000D6050000}" name="Column1467"/>
    <tableColumn id="1495" xr3:uid="{00000000-0010-0000-2000-0000D7050000}" name="Column1468"/>
    <tableColumn id="1496" xr3:uid="{00000000-0010-0000-2000-0000D8050000}" name="Column1469"/>
    <tableColumn id="1497" xr3:uid="{00000000-0010-0000-2000-0000D9050000}" name="Column1470"/>
    <tableColumn id="1498" xr3:uid="{00000000-0010-0000-2000-0000DA050000}" name="Column1471"/>
    <tableColumn id="1499" xr3:uid="{00000000-0010-0000-2000-0000DB050000}" name="Column1472"/>
    <tableColumn id="1500" xr3:uid="{00000000-0010-0000-2000-0000DC050000}" name="Column1473"/>
    <tableColumn id="1501" xr3:uid="{00000000-0010-0000-2000-0000DD050000}" name="Column1474"/>
    <tableColumn id="1502" xr3:uid="{00000000-0010-0000-2000-0000DE050000}" name="Column1475"/>
    <tableColumn id="1503" xr3:uid="{00000000-0010-0000-2000-0000DF050000}" name="Column1476"/>
    <tableColumn id="1504" xr3:uid="{00000000-0010-0000-2000-0000E0050000}" name="Column1477"/>
    <tableColumn id="1505" xr3:uid="{00000000-0010-0000-2000-0000E1050000}" name="Column1478"/>
    <tableColumn id="1506" xr3:uid="{00000000-0010-0000-2000-0000E2050000}" name="Column1479"/>
    <tableColumn id="1507" xr3:uid="{00000000-0010-0000-2000-0000E3050000}" name="Column1480"/>
    <tableColumn id="1508" xr3:uid="{00000000-0010-0000-2000-0000E4050000}" name="Column1481"/>
    <tableColumn id="1509" xr3:uid="{00000000-0010-0000-2000-0000E5050000}" name="Column1482"/>
    <tableColumn id="1510" xr3:uid="{00000000-0010-0000-2000-0000E6050000}" name="Column1483"/>
    <tableColumn id="1511" xr3:uid="{00000000-0010-0000-2000-0000E7050000}" name="Column1484"/>
    <tableColumn id="1512" xr3:uid="{00000000-0010-0000-2000-0000E8050000}" name="Column1485"/>
    <tableColumn id="1513" xr3:uid="{00000000-0010-0000-2000-0000E9050000}" name="Column1486"/>
    <tableColumn id="1514" xr3:uid="{00000000-0010-0000-2000-0000EA050000}" name="Column1487"/>
    <tableColumn id="1515" xr3:uid="{00000000-0010-0000-2000-0000EB050000}" name="Column1488"/>
    <tableColumn id="1516" xr3:uid="{00000000-0010-0000-2000-0000EC050000}" name="Column1489"/>
    <tableColumn id="1517" xr3:uid="{00000000-0010-0000-2000-0000ED050000}" name="Column1490"/>
    <tableColumn id="1518" xr3:uid="{00000000-0010-0000-2000-0000EE050000}" name="Column1491"/>
    <tableColumn id="1519" xr3:uid="{00000000-0010-0000-2000-0000EF050000}" name="Column1492"/>
    <tableColumn id="1520" xr3:uid="{00000000-0010-0000-2000-0000F0050000}" name="Column1493"/>
    <tableColumn id="1521" xr3:uid="{00000000-0010-0000-2000-0000F1050000}" name="Column1494"/>
    <tableColumn id="1522" xr3:uid="{00000000-0010-0000-2000-0000F2050000}" name="Column1495"/>
    <tableColumn id="1523" xr3:uid="{00000000-0010-0000-2000-0000F3050000}" name="Column1496"/>
    <tableColumn id="1524" xr3:uid="{00000000-0010-0000-2000-0000F4050000}" name="Column1497"/>
    <tableColumn id="1525" xr3:uid="{00000000-0010-0000-2000-0000F5050000}" name="Column1498"/>
    <tableColumn id="1526" xr3:uid="{00000000-0010-0000-2000-0000F6050000}" name="Column1499"/>
    <tableColumn id="1527" xr3:uid="{00000000-0010-0000-2000-0000F7050000}" name="Column1500"/>
    <tableColumn id="1528" xr3:uid="{00000000-0010-0000-2000-0000F8050000}" name="Column1501"/>
    <tableColumn id="1529" xr3:uid="{00000000-0010-0000-2000-0000F9050000}" name="Column1502"/>
    <tableColumn id="1530" xr3:uid="{00000000-0010-0000-2000-0000FA050000}" name="Column1503"/>
    <tableColumn id="1531" xr3:uid="{00000000-0010-0000-2000-0000FB050000}" name="Column1504"/>
    <tableColumn id="1532" xr3:uid="{00000000-0010-0000-2000-0000FC050000}" name="Column1505"/>
    <tableColumn id="1533" xr3:uid="{00000000-0010-0000-2000-0000FD050000}" name="Column1506"/>
    <tableColumn id="1534" xr3:uid="{00000000-0010-0000-2000-0000FE050000}" name="Column1507"/>
    <tableColumn id="1535" xr3:uid="{00000000-0010-0000-2000-0000FF050000}" name="Column1508"/>
    <tableColumn id="1536" xr3:uid="{00000000-0010-0000-2000-000000060000}" name="Column1509"/>
    <tableColumn id="1537" xr3:uid="{00000000-0010-0000-2000-000001060000}" name="Column1510"/>
    <tableColumn id="1538" xr3:uid="{00000000-0010-0000-2000-000002060000}" name="Column1511"/>
    <tableColumn id="1539" xr3:uid="{00000000-0010-0000-2000-000003060000}" name="Column1512"/>
    <tableColumn id="1540" xr3:uid="{00000000-0010-0000-2000-000004060000}" name="Column1513"/>
    <tableColumn id="1541" xr3:uid="{00000000-0010-0000-2000-000005060000}" name="Column1514"/>
    <tableColumn id="1542" xr3:uid="{00000000-0010-0000-2000-000006060000}" name="Column1515"/>
    <tableColumn id="1543" xr3:uid="{00000000-0010-0000-2000-000007060000}" name="Column1516"/>
    <tableColumn id="1544" xr3:uid="{00000000-0010-0000-2000-000008060000}" name="Column1517"/>
    <tableColumn id="1545" xr3:uid="{00000000-0010-0000-2000-000009060000}" name="Column1518"/>
    <tableColumn id="1546" xr3:uid="{00000000-0010-0000-2000-00000A060000}" name="Column1519"/>
    <tableColumn id="1547" xr3:uid="{00000000-0010-0000-2000-00000B060000}" name="Column1520"/>
    <tableColumn id="1548" xr3:uid="{00000000-0010-0000-2000-00000C060000}" name="Column1521"/>
    <tableColumn id="1549" xr3:uid="{00000000-0010-0000-2000-00000D060000}" name="Column1522"/>
    <tableColumn id="1550" xr3:uid="{00000000-0010-0000-2000-00000E060000}" name="Column1523"/>
    <tableColumn id="1551" xr3:uid="{00000000-0010-0000-2000-00000F060000}" name="Column1524"/>
    <tableColumn id="1552" xr3:uid="{00000000-0010-0000-2000-000010060000}" name="Column1525"/>
    <tableColumn id="1553" xr3:uid="{00000000-0010-0000-2000-000011060000}" name="Column1526"/>
    <tableColumn id="1554" xr3:uid="{00000000-0010-0000-2000-000012060000}" name="Column1527"/>
    <tableColumn id="1555" xr3:uid="{00000000-0010-0000-2000-000013060000}" name="Column1528"/>
    <tableColumn id="1556" xr3:uid="{00000000-0010-0000-2000-000014060000}" name="Column1529"/>
    <tableColumn id="1557" xr3:uid="{00000000-0010-0000-2000-000015060000}" name="Column1530"/>
    <tableColumn id="1558" xr3:uid="{00000000-0010-0000-2000-000016060000}" name="Column1531"/>
    <tableColumn id="1559" xr3:uid="{00000000-0010-0000-2000-000017060000}" name="Column1532"/>
    <tableColumn id="1560" xr3:uid="{00000000-0010-0000-2000-000018060000}" name="Column1533"/>
    <tableColumn id="1561" xr3:uid="{00000000-0010-0000-2000-000019060000}" name="Column1534"/>
    <tableColumn id="1562" xr3:uid="{00000000-0010-0000-2000-00001A060000}" name="Column1535"/>
    <tableColumn id="1563" xr3:uid="{00000000-0010-0000-2000-00001B060000}" name="Column1536"/>
    <tableColumn id="1564" xr3:uid="{00000000-0010-0000-2000-00001C060000}" name="Column1537"/>
    <tableColumn id="1565" xr3:uid="{00000000-0010-0000-2000-00001D060000}" name="Column1538"/>
    <tableColumn id="1566" xr3:uid="{00000000-0010-0000-2000-00001E060000}" name="Column1539"/>
    <tableColumn id="1567" xr3:uid="{00000000-0010-0000-2000-00001F060000}" name="Column1540"/>
    <tableColumn id="1568" xr3:uid="{00000000-0010-0000-2000-000020060000}" name="Column1541"/>
    <tableColumn id="1569" xr3:uid="{00000000-0010-0000-2000-000021060000}" name="Column1542"/>
    <tableColumn id="1570" xr3:uid="{00000000-0010-0000-2000-000022060000}" name="Column1543"/>
    <tableColumn id="1571" xr3:uid="{00000000-0010-0000-2000-000023060000}" name="Column1544"/>
    <tableColumn id="1572" xr3:uid="{00000000-0010-0000-2000-000024060000}" name="Column1545"/>
    <tableColumn id="1573" xr3:uid="{00000000-0010-0000-2000-000025060000}" name="Column1546"/>
    <tableColumn id="1574" xr3:uid="{00000000-0010-0000-2000-000026060000}" name="Column1547"/>
    <tableColumn id="1575" xr3:uid="{00000000-0010-0000-2000-000027060000}" name="Column1548"/>
    <tableColumn id="1576" xr3:uid="{00000000-0010-0000-2000-000028060000}" name="Column1549"/>
    <tableColumn id="1577" xr3:uid="{00000000-0010-0000-2000-000029060000}" name="Column1550"/>
    <tableColumn id="1578" xr3:uid="{00000000-0010-0000-2000-00002A060000}" name="Column1551"/>
    <tableColumn id="1579" xr3:uid="{00000000-0010-0000-2000-00002B060000}" name="Column1552"/>
    <tableColumn id="1580" xr3:uid="{00000000-0010-0000-2000-00002C060000}" name="Column1553"/>
    <tableColumn id="1581" xr3:uid="{00000000-0010-0000-2000-00002D060000}" name="Column1554"/>
    <tableColumn id="1582" xr3:uid="{00000000-0010-0000-2000-00002E060000}" name="Column1555"/>
    <tableColumn id="1583" xr3:uid="{00000000-0010-0000-2000-00002F060000}" name="Column1556"/>
    <tableColumn id="1584" xr3:uid="{00000000-0010-0000-2000-000030060000}" name="Column1557"/>
    <tableColumn id="1585" xr3:uid="{00000000-0010-0000-2000-000031060000}" name="Column1558"/>
    <tableColumn id="1586" xr3:uid="{00000000-0010-0000-2000-000032060000}" name="Column1559"/>
    <tableColumn id="1587" xr3:uid="{00000000-0010-0000-2000-000033060000}" name="Column1560"/>
    <tableColumn id="1588" xr3:uid="{00000000-0010-0000-2000-000034060000}" name="Column1561"/>
    <tableColumn id="1589" xr3:uid="{00000000-0010-0000-2000-000035060000}" name="Column1562"/>
    <tableColumn id="1590" xr3:uid="{00000000-0010-0000-2000-000036060000}" name="Column1563"/>
    <tableColumn id="1591" xr3:uid="{00000000-0010-0000-2000-000037060000}" name="Column1564"/>
    <tableColumn id="1592" xr3:uid="{00000000-0010-0000-2000-000038060000}" name="Column1565"/>
    <tableColumn id="1593" xr3:uid="{00000000-0010-0000-2000-000039060000}" name="Column1566"/>
    <tableColumn id="1594" xr3:uid="{00000000-0010-0000-2000-00003A060000}" name="Column1567"/>
    <tableColumn id="1595" xr3:uid="{00000000-0010-0000-2000-00003B060000}" name="Column1568"/>
    <tableColumn id="1596" xr3:uid="{00000000-0010-0000-2000-00003C060000}" name="Column1569"/>
    <tableColumn id="1597" xr3:uid="{00000000-0010-0000-2000-00003D060000}" name="Column1570"/>
    <tableColumn id="1598" xr3:uid="{00000000-0010-0000-2000-00003E060000}" name="Column1571"/>
    <tableColumn id="1599" xr3:uid="{00000000-0010-0000-2000-00003F060000}" name="Column1572"/>
    <tableColumn id="1600" xr3:uid="{00000000-0010-0000-2000-000040060000}" name="Column1573"/>
    <tableColumn id="1601" xr3:uid="{00000000-0010-0000-2000-000041060000}" name="Column1574"/>
    <tableColumn id="1602" xr3:uid="{00000000-0010-0000-2000-000042060000}" name="Column1575"/>
    <tableColumn id="1603" xr3:uid="{00000000-0010-0000-2000-000043060000}" name="Column1576"/>
    <tableColumn id="1604" xr3:uid="{00000000-0010-0000-2000-000044060000}" name="Column1577"/>
    <tableColumn id="1605" xr3:uid="{00000000-0010-0000-2000-000045060000}" name="Column1578"/>
    <tableColumn id="1606" xr3:uid="{00000000-0010-0000-2000-000046060000}" name="Column1579"/>
    <tableColumn id="1607" xr3:uid="{00000000-0010-0000-2000-000047060000}" name="Column1580"/>
    <tableColumn id="1608" xr3:uid="{00000000-0010-0000-2000-000048060000}" name="Column1581"/>
    <tableColumn id="1609" xr3:uid="{00000000-0010-0000-2000-000049060000}" name="Column1582"/>
    <tableColumn id="1610" xr3:uid="{00000000-0010-0000-2000-00004A060000}" name="Column1583"/>
    <tableColumn id="1611" xr3:uid="{00000000-0010-0000-2000-00004B060000}" name="Column1584"/>
    <tableColumn id="1612" xr3:uid="{00000000-0010-0000-2000-00004C060000}" name="Column1585"/>
    <tableColumn id="1613" xr3:uid="{00000000-0010-0000-2000-00004D060000}" name="Column1586"/>
    <tableColumn id="1614" xr3:uid="{00000000-0010-0000-2000-00004E060000}" name="Column1587"/>
    <tableColumn id="1615" xr3:uid="{00000000-0010-0000-2000-00004F060000}" name="Column1588"/>
    <tableColumn id="1616" xr3:uid="{00000000-0010-0000-2000-000050060000}" name="Column1589"/>
    <tableColumn id="1617" xr3:uid="{00000000-0010-0000-2000-000051060000}" name="Column1590"/>
    <tableColumn id="1618" xr3:uid="{00000000-0010-0000-2000-000052060000}" name="Column1591"/>
    <tableColumn id="1619" xr3:uid="{00000000-0010-0000-2000-000053060000}" name="Column1592"/>
    <tableColumn id="1620" xr3:uid="{00000000-0010-0000-2000-000054060000}" name="Column1593"/>
    <tableColumn id="1621" xr3:uid="{00000000-0010-0000-2000-000055060000}" name="Column1594"/>
    <tableColumn id="1622" xr3:uid="{00000000-0010-0000-2000-000056060000}" name="Column1595"/>
    <tableColumn id="1623" xr3:uid="{00000000-0010-0000-2000-000057060000}" name="Column1596"/>
    <tableColumn id="1624" xr3:uid="{00000000-0010-0000-2000-000058060000}" name="Column1597"/>
    <tableColumn id="1625" xr3:uid="{00000000-0010-0000-2000-000059060000}" name="Column1598"/>
    <tableColumn id="1626" xr3:uid="{00000000-0010-0000-2000-00005A060000}" name="Column1599"/>
    <tableColumn id="1627" xr3:uid="{00000000-0010-0000-2000-00005B060000}" name="Column1600"/>
    <tableColumn id="1628" xr3:uid="{00000000-0010-0000-2000-00005C060000}" name="Column1601"/>
    <tableColumn id="1629" xr3:uid="{00000000-0010-0000-2000-00005D060000}" name="Column1602"/>
    <tableColumn id="1630" xr3:uid="{00000000-0010-0000-2000-00005E060000}" name="Column1603"/>
    <tableColumn id="1631" xr3:uid="{00000000-0010-0000-2000-00005F060000}" name="Column1604"/>
    <tableColumn id="1632" xr3:uid="{00000000-0010-0000-2000-000060060000}" name="Column1605"/>
    <tableColumn id="1633" xr3:uid="{00000000-0010-0000-2000-000061060000}" name="Column1606"/>
    <tableColumn id="1634" xr3:uid="{00000000-0010-0000-2000-000062060000}" name="Column1607"/>
    <tableColumn id="1635" xr3:uid="{00000000-0010-0000-2000-000063060000}" name="Column1608"/>
    <tableColumn id="1636" xr3:uid="{00000000-0010-0000-2000-000064060000}" name="Column1609"/>
    <tableColumn id="1637" xr3:uid="{00000000-0010-0000-2000-000065060000}" name="Column1610"/>
    <tableColumn id="1638" xr3:uid="{00000000-0010-0000-2000-000066060000}" name="Column1611"/>
    <tableColumn id="1639" xr3:uid="{00000000-0010-0000-2000-000067060000}" name="Column1612"/>
    <tableColumn id="1640" xr3:uid="{00000000-0010-0000-2000-000068060000}" name="Column1613"/>
    <tableColumn id="1641" xr3:uid="{00000000-0010-0000-2000-000069060000}" name="Column1614"/>
    <tableColumn id="1642" xr3:uid="{00000000-0010-0000-2000-00006A060000}" name="Column1615"/>
    <tableColumn id="1643" xr3:uid="{00000000-0010-0000-2000-00006B060000}" name="Column1616"/>
    <tableColumn id="1644" xr3:uid="{00000000-0010-0000-2000-00006C060000}" name="Column1617"/>
    <tableColumn id="1645" xr3:uid="{00000000-0010-0000-2000-00006D060000}" name="Column1618"/>
    <tableColumn id="1646" xr3:uid="{00000000-0010-0000-2000-00006E060000}" name="Column1619"/>
    <tableColumn id="1647" xr3:uid="{00000000-0010-0000-2000-00006F060000}" name="Column1620"/>
    <tableColumn id="1648" xr3:uid="{00000000-0010-0000-2000-000070060000}" name="Column1621"/>
    <tableColumn id="1649" xr3:uid="{00000000-0010-0000-2000-000071060000}" name="Column1622"/>
    <tableColumn id="1650" xr3:uid="{00000000-0010-0000-2000-000072060000}" name="Column1623"/>
    <tableColumn id="1651" xr3:uid="{00000000-0010-0000-2000-000073060000}" name="Column1624"/>
    <tableColumn id="1652" xr3:uid="{00000000-0010-0000-2000-000074060000}" name="Column1625"/>
    <tableColumn id="1653" xr3:uid="{00000000-0010-0000-2000-000075060000}" name="Column1626"/>
    <tableColumn id="1654" xr3:uid="{00000000-0010-0000-2000-000076060000}" name="Column1627"/>
    <tableColumn id="1655" xr3:uid="{00000000-0010-0000-2000-000077060000}" name="Column1628"/>
    <tableColumn id="1656" xr3:uid="{00000000-0010-0000-2000-000078060000}" name="Column1629"/>
    <tableColumn id="1657" xr3:uid="{00000000-0010-0000-2000-000079060000}" name="Column1630"/>
    <tableColumn id="1658" xr3:uid="{00000000-0010-0000-2000-00007A060000}" name="Column1631"/>
    <tableColumn id="1659" xr3:uid="{00000000-0010-0000-2000-00007B060000}" name="Column1632"/>
    <tableColumn id="1660" xr3:uid="{00000000-0010-0000-2000-00007C060000}" name="Column1633"/>
    <tableColumn id="1661" xr3:uid="{00000000-0010-0000-2000-00007D060000}" name="Column1634"/>
    <tableColumn id="1662" xr3:uid="{00000000-0010-0000-2000-00007E060000}" name="Column1635"/>
    <tableColumn id="1663" xr3:uid="{00000000-0010-0000-2000-00007F060000}" name="Column1636"/>
    <tableColumn id="1664" xr3:uid="{00000000-0010-0000-2000-000080060000}" name="Column1637"/>
    <tableColumn id="1665" xr3:uid="{00000000-0010-0000-2000-000081060000}" name="Column1638"/>
    <tableColumn id="1666" xr3:uid="{00000000-0010-0000-2000-000082060000}" name="Column1639"/>
    <tableColumn id="1667" xr3:uid="{00000000-0010-0000-2000-000083060000}" name="Column1640"/>
    <tableColumn id="1668" xr3:uid="{00000000-0010-0000-2000-000084060000}" name="Column1641"/>
    <tableColumn id="1669" xr3:uid="{00000000-0010-0000-2000-000085060000}" name="Column1642"/>
    <tableColumn id="1670" xr3:uid="{00000000-0010-0000-2000-000086060000}" name="Column1643"/>
    <tableColumn id="1671" xr3:uid="{00000000-0010-0000-2000-000087060000}" name="Column1644"/>
    <tableColumn id="1672" xr3:uid="{00000000-0010-0000-2000-000088060000}" name="Column1645"/>
    <tableColumn id="1673" xr3:uid="{00000000-0010-0000-2000-000089060000}" name="Column1646"/>
    <tableColumn id="1674" xr3:uid="{00000000-0010-0000-2000-00008A060000}" name="Column1647"/>
    <tableColumn id="1675" xr3:uid="{00000000-0010-0000-2000-00008B060000}" name="Column1648"/>
    <tableColumn id="1676" xr3:uid="{00000000-0010-0000-2000-00008C060000}" name="Column1649"/>
    <tableColumn id="1677" xr3:uid="{00000000-0010-0000-2000-00008D060000}" name="Column1650"/>
    <tableColumn id="1678" xr3:uid="{00000000-0010-0000-2000-00008E060000}" name="Column1651"/>
    <tableColumn id="1679" xr3:uid="{00000000-0010-0000-2000-00008F060000}" name="Column1652"/>
    <tableColumn id="1680" xr3:uid="{00000000-0010-0000-2000-000090060000}" name="Column1653"/>
    <tableColumn id="1681" xr3:uid="{00000000-0010-0000-2000-000091060000}" name="Column1654"/>
    <tableColumn id="1682" xr3:uid="{00000000-0010-0000-2000-000092060000}" name="Column1655"/>
    <tableColumn id="1683" xr3:uid="{00000000-0010-0000-2000-000093060000}" name="Column1656"/>
    <tableColumn id="1684" xr3:uid="{00000000-0010-0000-2000-000094060000}" name="Column1657"/>
    <tableColumn id="1685" xr3:uid="{00000000-0010-0000-2000-000095060000}" name="Column1658"/>
    <tableColumn id="1686" xr3:uid="{00000000-0010-0000-2000-000096060000}" name="Column1659"/>
    <tableColumn id="1687" xr3:uid="{00000000-0010-0000-2000-000097060000}" name="Column1660"/>
    <tableColumn id="1688" xr3:uid="{00000000-0010-0000-2000-000098060000}" name="Column1661"/>
    <tableColumn id="1689" xr3:uid="{00000000-0010-0000-2000-000099060000}" name="Column1662"/>
    <tableColumn id="1690" xr3:uid="{00000000-0010-0000-2000-00009A060000}" name="Column1663"/>
    <tableColumn id="1691" xr3:uid="{00000000-0010-0000-2000-00009B060000}" name="Column1664"/>
    <tableColumn id="1692" xr3:uid="{00000000-0010-0000-2000-00009C060000}" name="Column1665"/>
    <tableColumn id="1693" xr3:uid="{00000000-0010-0000-2000-00009D060000}" name="Column1666"/>
    <tableColumn id="1694" xr3:uid="{00000000-0010-0000-2000-00009E060000}" name="Column1667"/>
    <tableColumn id="1695" xr3:uid="{00000000-0010-0000-2000-00009F060000}" name="Column1668"/>
    <tableColumn id="1696" xr3:uid="{00000000-0010-0000-2000-0000A0060000}" name="Column1669"/>
    <tableColumn id="1697" xr3:uid="{00000000-0010-0000-2000-0000A1060000}" name="Column1670"/>
    <tableColumn id="1698" xr3:uid="{00000000-0010-0000-2000-0000A2060000}" name="Column1671"/>
    <tableColumn id="1699" xr3:uid="{00000000-0010-0000-2000-0000A3060000}" name="Column1672"/>
    <tableColumn id="1700" xr3:uid="{00000000-0010-0000-2000-0000A4060000}" name="Column1673"/>
    <tableColumn id="1701" xr3:uid="{00000000-0010-0000-2000-0000A5060000}" name="Column1674"/>
    <tableColumn id="1702" xr3:uid="{00000000-0010-0000-2000-0000A6060000}" name="Column1675"/>
    <tableColumn id="1703" xr3:uid="{00000000-0010-0000-2000-0000A7060000}" name="Column1676"/>
    <tableColumn id="1704" xr3:uid="{00000000-0010-0000-2000-0000A8060000}" name="Column1677"/>
    <tableColumn id="1705" xr3:uid="{00000000-0010-0000-2000-0000A9060000}" name="Column1678"/>
    <tableColumn id="1706" xr3:uid="{00000000-0010-0000-2000-0000AA060000}" name="Column1679"/>
    <tableColumn id="1707" xr3:uid="{00000000-0010-0000-2000-0000AB060000}" name="Column1680"/>
    <tableColumn id="1708" xr3:uid="{00000000-0010-0000-2000-0000AC060000}" name="Column1681"/>
    <tableColumn id="1709" xr3:uid="{00000000-0010-0000-2000-0000AD060000}" name="Column1682"/>
    <tableColumn id="1710" xr3:uid="{00000000-0010-0000-2000-0000AE060000}" name="Column1683"/>
    <tableColumn id="1711" xr3:uid="{00000000-0010-0000-2000-0000AF060000}" name="Column1684"/>
    <tableColumn id="1712" xr3:uid="{00000000-0010-0000-2000-0000B0060000}" name="Column1685"/>
    <tableColumn id="1713" xr3:uid="{00000000-0010-0000-2000-0000B1060000}" name="Column1686"/>
    <tableColumn id="1714" xr3:uid="{00000000-0010-0000-2000-0000B2060000}" name="Column1687"/>
    <tableColumn id="1715" xr3:uid="{00000000-0010-0000-2000-0000B3060000}" name="Column1688"/>
    <tableColumn id="1716" xr3:uid="{00000000-0010-0000-2000-0000B4060000}" name="Column1689"/>
    <tableColumn id="1717" xr3:uid="{00000000-0010-0000-2000-0000B5060000}" name="Column1690"/>
    <tableColumn id="1718" xr3:uid="{00000000-0010-0000-2000-0000B6060000}" name="Column1691"/>
    <tableColumn id="1719" xr3:uid="{00000000-0010-0000-2000-0000B7060000}" name="Column1692"/>
    <tableColumn id="1720" xr3:uid="{00000000-0010-0000-2000-0000B8060000}" name="Column1693"/>
    <tableColumn id="1721" xr3:uid="{00000000-0010-0000-2000-0000B9060000}" name="Column1694"/>
    <tableColumn id="1722" xr3:uid="{00000000-0010-0000-2000-0000BA060000}" name="Column1695"/>
    <tableColumn id="1723" xr3:uid="{00000000-0010-0000-2000-0000BB060000}" name="Column1696"/>
    <tableColumn id="1724" xr3:uid="{00000000-0010-0000-2000-0000BC060000}" name="Column1697"/>
    <tableColumn id="1725" xr3:uid="{00000000-0010-0000-2000-0000BD060000}" name="Column1698"/>
    <tableColumn id="1726" xr3:uid="{00000000-0010-0000-2000-0000BE060000}" name="Column1699"/>
    <tableColumn id="1727" xr3:uid="{00000000-0010-0000-2000-0000BF060000}" name="Column1700"/>
    <tableColumn id="1728" xr3:uid="{00000000-0010-0000-2000-0000C0060000}" name="Column1701"/>
    <tableColumn id="1729" xr3:uid="{00000000-0010-0000-2000-0000C1060000}" name="Column1702"/>
    <tableColumn id="1730" xr3:uid="{00000000-0010-0000-2000-0000C2060000}" name="Column1703"/>
    <tableColumn id="1731" xr3:uid="{00000000-0010-0000-2000-0000C3060000}" name="Column1704"/>
    <tableColumn id="1732" xr3:uid="{00000000-0010-0000-2000-0000C4060000}" name="Column1705"/>
    <tableColumn id="1733" xr3:uid="{00000000-0010-0000-2000-0000C5060000}" name="Column1706"/>
    <tableColumn id="1734" xr3:uid="{00000000-0010-0000-2000-0000C6060000}" name="Column1707"/>
    <tableColumn id="1735" xr3:uid="{00000000-0010-0000-2000-0000C7060000}" name="Column1708"/>
    <tableColumn id="1736" xr3:uid="{00000000-0010-0000-2000-0000C8060000}" name="Column1709"/>
    <tableColumn id="1737" xr3:uid="{00000000-0010-0000-2000-0000C9060000}" name="Column1710"/>
    <tableColumn id="1738" xr3:uid="{00000000-0010-0000-2000-0000CA060000}" name="Column1711"/>
    <tableColumn id="1739" xr3:uid="{00000000-0010-0000-2000-0000CB060000}" name="Column1712"/>
    <tableColumn id="1740" xr3:uid="{00000000-0010-0000-2000-0000CC060000}" name="Column1713"/>
    <tableColumn id="1741" xr3:uid="{00000000-0010-0000-2000-0000CD060000}" name="Column1714"/>
    <tableColumn id="1742" xr3:uid="{00000000-0010-0000-2000-0000CE060000}" name="Column1715"/>
    <tableColumn id="1743" xr3:uid="{00000000-0010-0000-2000-0000CF060000}" name="Column1716"/>
    <tableColumn id="1744" xr3:uid="{00000000-0010-0000-2000-0000D0060000}" name="Column1717"/>
    <tableColumn id="1745" xr3:uid="{00000000-0010-0000-2000-0000D1060000}" name="Column1718"/>
    <tableColumn id="1746" xr3:uid="{00000000-0010-0000-2000-0000D2060000}" name="Column1719"/>
    <tableColumn id="1747" xr3:uid="{00000000-0010-0000-2000-0000D3060000}" name="Column1720"/>
    <tableColumn id="1748" xr3:uid="{00000000-0010-0000-2000-0000D4060000}" name="Column1721"/>
    <tableColumn id="1749" xr3:uid="{00000000-0010-0000-2000-0000D5060000}" name="Column1722"/>
    <tableColumn id="1750" xr3:uid="{00000000-0010-0000-2000-0000D6060000}" name="Column1723"/>
    <tableColumn id="1751" xr3:uid="{00000000-0010-0000-2000-0000D7060000}" name="Column1724"/>
    <tableColumn id="1752" xr3:uid="{00000000-0010-0000-2000-0000D8060000}" name="Column1725"/>
    <tableColumn id="1753" xr3:uid="{00000000-0010-0000-2000-0000D9060000}" name="Column1726"/>
    <tableColumn id="1754" xr3:uid="{00000000-0010-0000-2000-0000DA060000}" name="Column1727"/>
    <tableColumn id="1755" xr3:uid="{00000000-0010-0000-2000-0000DB060000}" name="Column1728"/>
    <tableColumn id="1756" xr3:uid="{00000000-0010-0000-2000-0000DC060000}" name="Column1729"/>
    <tableColumn id="1757" xr3:uid="{00000000-0010-0000-2000-0000DD060000}" name="Column1730"/>
    <tableColumn id="1758" xr3:uid="{00000000-0010-0000-2000-0000DE060000}" name="Column1731"/>
    <tableColumn id="1759" xr3:uid="{00000000-0010-0000-2000-0000DF060000}" name="Column1732"/>
    <tableColumn id="1760" xr3:uid="{00000000-0010-0000-2000-0000E0060000}" name="Column1733"/>
    <tableColumn id="1761" xr3:uid="{00000000-0010-0000-2000-0000E1060000}" name="Column1734"/>
    <tableColumn id="1762" xr3:uid="{00000000-0010-0000-2000-0000E2060000}" name="Column1735"/>
    <tableColumn id="1763" xr3:uid="{00000000-0010-0000-2000-0000E3060000}" name="Column1736"/>
    <tableColumn id="1764" xr3:uid="{00000000-0010-0000-2000-0000E4060000}" name="Column1737"/>
    <tableColumn id="1765" xr3:uid="{00000000-0010-0000-2000-0000E5060000}" name="Column1738"/>
    <tableColumn id="1766" xr3:uid="{00000000-0010-0000-2000-0000E6060000}" name="Column1739"/>
    <tableColumn id="1767" xr3:uid="{00000000-0010-0000-2000-0000E7060000}" name="Column1740"/>
    <tableColumn id="1768" xr3:uid="{00000000-0010-0000-2000-0000E8060000}" name="Column1741"/>
    <tableColumn id="1769" xr3:uid="{00000000-0010-0000-2000-0000E9060000}" name="Column1742"/>
    <tableColumn id="1770" xr3:uid="{00000000-0010-0000-2000-0000EA060000}" name="Column1743"/>
    <tableColumn id="1771" xr3:uid="{00000000-0010-0000-2000-0000EB060000}" name="Column1744"/>
    <tableColumn id="1772" xr3:uid="{00000000-0010-0000-2000-0000EC060000}" name="Column1745"/>
    <tableColumn id="1773" xr3:uid="{00000000-0010-0000-2000-0000ED060000}" name="Column1746"/>
    <tableColumn id="1774" xr3:uid="{00000000-0010-0000-2000-0000EE060000}" name="Column1747"/>
    <tableColumn id="1775" xr3:uid="{00000000-0010-0000-2000-0000EF060000}" name="Column1748"/>
    <tableColumn id="1776" xr3:uid="{00000000-0010-0000-2000-0000F0060000}" name="Column1749"/>
    <tableColumn id="1777" xr3:uid="{00000000-0010-0000-2000-0000F1060000}" name="Column1750"/>
    <tableColumn id="1778" xr3:uid="{00000000-0010-0000-2000-0000F2060000}" name="Column1751"/>
    <tableColumn id="1779" xr3:uid="{00000000-0010-0000-2000-0000F3060000}" name="Column1752"/>
    <tableColumn id="1780" xr3:uid="{00000000-0010-0000-2000-0000F4060000}" name="Column1753"/>
    <tableColumn id="1781" xr3:uid="{00000000-0010-0000-2000-0000F5060000}" name="Column1754"/>
    <tableColumn id="1782" xr3:uid="{00000000-0010-0000-2000-0000F6060000}" name="Column1755"/>
    <tableColumn id="1783" xr3:uid="{00000000-0010-0000-2000-0000F7060000}" name="Column1756"/>
    <tableColumn id="1784" xr3:uid="{00000000-0010-0000-2000-0000F8060000}" name="Column1757"/>
    <tableColumn id="1785" xr3:uid="{00000000-0010-0000-2000-0000F9060000}" name="Column1758"/>
    <tableColumn id="1786" xr3:uid="{00000000-0010-0000-2000-0000FA060000}" name="Column1759"/>
    <tableColumn id="1787" xr3:uid="{00000000-0010-0000-2000-0000FB060000}" name="Column1760"/>
    <tableColumn id="1788" xr3:uid="{00000000-0010-0000-2000-0000FC060000}" name="Column1761"/>
    <tableColumn id="1789" xr3:uid="{00000000-0010-0000-2000-0000FD060000}" name="Column1762"/>
    <tableColumn id="1790" xr3:uid="{00000000-0010-0000-2000-0000FE060000}" name="Column1763"/>
    <tableColumn id="1791" xr3:uid="{00000000-0010-0000-2000-0000FF060000}" name="Column1764"/>
    <tableColumn id="1792" xr3:uid="{00000000-0010-0000-2000-000000070000}" name="Column1765"/>
    <tableColumn id="1793" xr3:uid="{00000000-0010-0000-2000-000001070000}" name="Column1766"/>
    <tableColumn id="1794" xr3:uid="{00000000-0010-0000-2000-000002070000}" name="Column1767"/>
    <tableColumn id="1795" xr3:uid="{00000000-0010-0000-2000-000003070000}" name="Column1768"/>
    <tableColumn id="1796" xr3:uid="{00000000-0010-0000-2000-000004070000}" name="Column1769"/>
    <tableColumn id="1797" xr3:uid="{00000000-0010-0000-2000-000005070000}" name="Column1770"/>
    <tableColumn id="1798" xr3:uid="{00000000-0010-0000-2000-000006070000}" name="Column1771"/>
    <tableColumn id="1799" xr3:uid="{00000000-0010-0000-2000-000007070000}" name="Column1772"/>
    <tableColumn id="1800" xr3:uid="{00000000-0010-0000-2000-000008070000}" name="Column1773"/>
    <tableColumn id="1801" xr3:uid="{00000000-0010-0000-2000-000009070000}" name="Column1774"/>
    <tableColumn id="1802" xr3:uid="{00000000-0010-0000-2000-00000A070000}" name="Column1775"/>
    <tableColumn id="1803" xr3:uid="{00000000-0010-0000-2000-00000B070000}" name="Column1776"/>
    <tableColumn id="1804" xr3:uid="{00000000-0010-0000-2000-00000C070000}" name="Column1777"/>
    <tableColumn id="1805" xr3:uid="{00000000-0010-0000-2000-00000D070000}" name="Column1778"/>
    <tableColumn id="1806" xr3:uid="{00000000-0010-0000-2000-00000E070000}" name="Column1779"/>
    <tableColumn id="1807" xr3:uid="{00000000-0010-0000-2000-00000F070000}" name="Column1780"/>
    <tableColumn id="1808" xr3:uid="{00000000-0010-0000-2000-000010070000}" name="Column1781"/>
    <tableColumn id="1809" xr3:uid="{00000000-0010-0000-2000-000011070000}" name="Column1782"/>
    <tableColumn id="1810" xr3:uid="{00000000-0010-0000-2000-000012070000}" name="Column1783"/>
    <tableColumn id="1811" xr3:uid="{00000000-0010-0000-2000-000013070000}" name="Column1784"/>
    <tableColumn id="1812" xr3:uid="{00000000-0010-0000-2000-000014070000}" name="Column1785"/>
    <tableColumn id="1813" xr3:uid="{00000000-0010-0000-2000-000015070000}" name="Column1786"/>
    <tableColumn id="1814" xr3:uid="{00000000-0010-0000-2000-000016070000}" name="Column1787"/>
    <tableColumn id="1815" xr3:uid="{00000000-0010-0000-2000-000017070000}" name="Column1788"/>
    <tableColumn id="1816" xr3:uid="{00000000-0010-0000-2000-000018070000}" name="Column1789"/>
    <tableColumn id="1817" xr3:uid="{00000000-0010-0000-2000-000019070000}" name="Column1790"/>
    <tableColumn id="1818" xr3:uid="{00000000-0010-0000-2000-00001A070000}" name="Column1791"/>
    <tableColumn id="1819" xr3:uid="{00000000-0010-0000-2000-00001B070000}" name="Column1792"/>
    <tableColumn id="1820" xr3:uid="{00000000-0010-0000-2000-00001C070000}" name="Column1793"/>
    <tableColumn id="1821" xr3:uid="{00000000-0010-0000-2000-00001D070000}" name="Column1794"/>
    <tableColumn id="1822" xr3:uid="{00000000-0010-0000-2000-00001E070000}" name="Column1795"/>
    <tableColumn id="1823" xr3:uid="{00000000-0010-0000-2000-00001F070000}" name="Column1796"/>
    <tableColumn id="1824" xr3:uid="{00000000-0010-0000-2000-000020070000}" name="Column1797"/>
    <tableColumn id="1825" xr3:uid="{00000000-0010-0000-2000-000021070000}" name="Column1798"/>
    <tableColumn id="1826" xr3:uid="{00000000-0010-0000-2000-000022070000}" name="Column1799"/>
    <tableColumn id="1827" xr3:uid="{00000000-0010-0000-2000-000023070000}" name="Column1800"/>
    <tableColumn id="1828" xr3:uid="{00000000-0010-0000-2000-000024070000}" name="Column1801"/>
    <tableColumn id="1829" xr3:uid="{00000000-0010-0000-2000-000025070000}" name="Column1802"/>
    <tableColumn id="1830" xr3:uid="{00000000-0010-0000-2000-000026070000}" name="Column1803"/>
    <tableColumn id="1831" xr3:uid="{00000000-0010-0000-2000-000027070000}" name="Column1804"/>
    <tableColumn id="1832" xr3:uid="{00000000-0010-0000-2000-000028070000}" name="Column1805"/>
    <tableColumn id="1833" xr3:uid="{00000000-0010-0000-2000-000029070000}" name="Column1806"/>
    <tableColumn id="1834" xr3:uid="{00000000-0010-0000-2000-00002A070000}" name="Column1807"/>
    <tableColumn id="1835" xr3:uid="{00000000-0010-0000-2000-00002B070000}" name="Column1808"/>
    <tableColumn id="1836" xr3:uid="{00000000-0010-0000-2000-00002C070000}" name="Column1809"/>
    <tableColumn id="1837" xr3:uid="{00000000-0010-0000-2000-00002D070000}" name="Column1810"/>
    <tableColumn id="1838" xr3:uid="{00000000-0010-0000-2000-00002E070000}" name="Column1811"/>
    <tableColumn id="1839" xr3:uid="{00000000-0010-0000-2000-00002F070000}" name="Column1812"/>
    <tableColumn id="1840" xr3:uid="{00000000-0010-0000-2000-000030070000}" name="Column1813"/>
    <tableColumn id="1841" xr3:uid="{00000000-0010-0000-2000-000031070000}" name="Column1814"/>
    <tableColumn id="1842" xr3:uid="{00000000-0010-0000-2000-000032070000}" name="Column1815"/>
    <tableColumn id="1843" xr3:uid="{00000000-0010-0000-2000-000033070000}" name="Column1816"/>
    <tableColumn id="1844" xr3:uid="{00000000-0010-0000-2000-000034070000}" name="Column1817"/>
    <tableColumn id="1845" xr3:uid="{00000000-0010-0000-2000-000035070000}" name="Column1818"/>
    <tableColumn id="1846" xr3:uid="{00000000-0010-0000-2000-000036070000}" name="Column1819"/>
    <tableColumn id="1847" xr3:uid="{00000000-0010-0000-2000-000037070000}" name="Column1820"/>
    <tableColumn id="1848" xr3:uid="{00000000-0010-0000-2000-000038070000}" name="Column1821"/>
    <tableColumn id="1849" xr3:uid="{00000000-0010-0000-2000-000039070000}" name="Column1822"/>
    <tableColumn id="1850" xr3:uid="{00000000-0010-0000-2000-00003A070000}" name="Column1823"/>
    <tableColumn id="1851" xr3:uid="{00000000-0010-0000-2000-00003B070000}" name="Column1824"/>
    <tableColumn id="1852" xr3:uid="{00000000-0010-0000-2000-00003C070000}" name="Column1825"/>
    <tableColumn id="1853" xr3:uid="{00000000-0010-0000-2000-00003D070000}" name="Column1826"/>
    <tableColumn id="1854" xr3:uid="{00000000-0010-0000-2000-00003E070000}" name="Column1827"/>
    <tableColumn id="1855" xr3:uid="{00000000-0010-0000-2000-00003F070000}" name="Column1828"/>
    <tableColumn id="1856" xr3:uid="{00000000-0010-0000-2000-000040070000}" name="Column1829"/>
    <tableColumn id="1857" xr3:uid="{00000000-0010-0000-2000-000041070000}" name="Column1830"/>
    <tableColumn id="1858" xr3:uid="{00000000-0010-0000-2000-000042070000}" name="Column1831"/>
    <tableColumn id="1859" xr3:uid="{00000000-0010-0000-2000-000043070000}" name="Column1832"/>
    <tableColumn id="1860" xr3:uid="{00000000-0010-0000-2000-000044070000}" name="Column1833"/>
    <tableColumn id="1861" xr3:uid="{00000000-0010-0000-2000-000045070000}" name="Column1834"/>
    <tableColumn id="1862" xr3:uid="{00000000-0010-0000-2000-000046070000}" name="Column1835"/>
    <tableColumn id="1863" xr3:uid="{00000000-0010-0000-2000-000047070000}" name="Column1836"/>
    <tableColumn id="1864" xr3:uid="{00000000-0010-0000-2000-000048070000}" name="Column1837"/>
    <tableColumn id="1865" xr3:uid="{00000000-0010-0000-2000-000049070000}" name="Column1838"/>
    <tableColumn id="1866" xr3:uid="{00000000-0010-0000-2000-00004A070000}" name="Column1839"/>
    <tableColumn id="1867" xr3:uid="{00000000-0010-0000-2000-00004B070000}" name="Column1840"/>
    <tableColumn id="1868" xr3:uid="{00000000-0010-0000-2000-00004C070000}" name="Column1841"/>
    <tableColumn id="1869" xr3:uid="{00000000-0010-0000-2000-00004D070000}" name="Column1842"/>
    <tableColumn id="1870" xr3:uid="{00000000-0010-0000-2000-00004E070000}" name="Column1843"/>
    <tableColumn id="1871" xr3:uid="{00000000-0010-0000-2000-00004F070000}" name="Column1844"/>
    <tableColumn id="1872" xr3:uid="{00000000-0010-0000-2000-000050070000}" name="Column1845"/>
    <tableColumn id="1873" xr3:uid="{00000000-0010-0000-2000-000051070000}" name="Column1846"/>
    <tableColumn id="1874" xr3:uid="{00000000-0010-0000-2000-000052070000}" name="Column1847"/>
    <tableColumn id="1875" xr3:uid="{00000000-0010-0000-2000-000053070000}" name="Column1848"/>
    <tableColumn id="1876" xr3:uid="{00000000-0010-0000-2000-000054070000}" name="Column1849"/>
    <tableColumn id="1877" xr3:uid="{00000000-0010-0000-2000-000055070000}" name="Column1850"/>
    <tableColumn id="1878" xr3:uid="{00000000-0010-0000-2000-000056070000}" name="Column1851"/>
    <tableColumn id="1879" xr3:uid="{00000000-0010-0000-2000-000057070000}" name="Column1852"/>
    <tableColumn id="1880" xr3:uid="{00000000-0010-0000-2000-000058070000}" name="Column1853"/>
    <tableColumn id="1881" xr3:uid="{00000000-0010-0000-2000-000059070000}" name="Column1854"/>
    <tableColumn id="1882" xr3:uid="{00000000-0010-0000-2000-00005A070000}" name="Column1855"/>
    <tableColumn id="1883" xr3:uid="{00000000-0010-0000-2000-00005B070000}" name="Column1856"/>
    <tableColumn id="1884" xr3:uid="{00000000-0010-0000-2000-00005C070000}" name="Column1857"/>
    <tableColumn id="1885" xr3:uid="{00000000-0010-0000-2000-00005D070000}" name="Column1858"/>
    <tableColumn id="1886" xr3:uid="{00000000-0010-0000-2000-00005E070000}" name="Column1859"/>
    <tableColumn id="1887" xr3:uid="{00000000-0010-0000-2000-00005F070000}" name="Column1860"/>
    <tableColumn id="1888" xr3:uid="{00000000-0010-0000-2000-000060070000}" name="Column1861"/>
    <tableColumn id="1889" xr3:uid="{00000000-0010-0000-2000-000061070000}" name="Column1862"/>
    <tableColumn id="1890" xr3:uid="{00000000-0010-0000-2000-000062070000}" name="Column1863"/>
    <tableColumn id="1891" xr3:uid="{00000000-0010-0000-2000-000063070000}" name="Column1864"/>
    <tableColumn id="1892" xr3:uid="{00000000-0010-0000-2000-000064070000}" name="Column1865"/>
    <tableColumn id="1893" xr3:uid="{00000000-0010-0000-2000-000065070000}" name="Column1866"/>
    <tableColumn id="1894" xr3:uid="{00000000-0010-0000-2000-000066070000}" name="Column1867"/>
    <tableColumn id="1895" xr3:uid="{00000000-0010-0000-2000-000067070000}" name="Column1868"/>
    <tableColumn id="1896" xr3:uid="{00000000-0010-0000-2000-000068070000}" name="Column1869"/>
    <tableColumn id="1897" xr3:uid="{00000000-0010-0000-2000-000069070000}" name="Column1870"/>
    <tableColumn id="1898" xr3:uid="{00000000-0010-0000-2000-00006A070000}" name="Column1871"/>
    <tableColumn id="1899" xr3:uid="{00000000-0010-0000-2000-00006B070000}" name="Column1872"/>
    <tableColumn id="1900" xr3:uid="{00000000-0010-0000-2000-00006C070000}" name="Column1873"/>
    <tableColumn id="1901" xr3:uid="{00000000-0010-0000-2000-00006D070000}" name="Column1874"/>
    <tableColumn id="1902" xr3:uid="{00000000-0010-0000-2000-00006E070000}" name="Column1875"/>
    <tableColumn id="1903" xr3:uid="{00000000-0010-0000-2000-00006F070000}" name="Column1876"/>
    <tableColumn id="1904" xr3:uid="{00000000-0010-0000-2000-000070070000}" name="Column1877"/>
    <tableColumn id="1905" xr3:uid="{00000000-0010-0000-2000-000071070000}" name="Column1878"/>
    <tableColumn id="1906" xr3:uid="{00000000-0010-0000-2000-000072070000}" name="Column1879"/>
    <tableColumn id="1907" xr3:uid="{00000000-0010-0000-2000-000073070000}" name="Column1880"/>
    <tableColumn id="1908" xr3:uid="{00000000-0010-0000-2000-000074070000}" name="Column1881"/>
    <tableColumn id="1909" xr3:uid="{00000000-0010-0000-2000-000075070000}" name="Column1882"/>
    <tableColumn id="1910" xr3:uid="{00000000-0010-0000-2000-000076070000}" name="Column1883"/>
    <tableColumn id="1911" xr3:uid="{00000000-0010-0000-2000-000077070000}" name="Column1884"/>
    <tableColumn id="1912" xr3:uid="{00000000-0010-0000-2000-000078070000}" name="Column1885"/>
    <tableColumn id="1913" xr3:uid="{00000000-0010-0000-2000-000079070000}" name="Column1886"/>
    <tableColumn id="1914" xr3:uid="{00000000-0010-0000-2000-00007A070000}" name="Column1887"/>
    <tableColumn id="1915" xr3:uid="{00000000-0010-0000-2000-00007B070000}" name="Column1888"/>
    <tableColumn id="1916" xr3:uid="{00000000-0010-0000-2000-00007C070000}" name="Column1889"/>
    <tableColumn id="1917" xr3:uid="{00000000-0010-0000-2000-00007D070000}" name="Column1890"/>
    <tableColumn id="1918" xr3:uid="{00000000-0010-0000-2000-00007E070000}" name="Column1891"/>
    <tableColumn id="1919" xr3:uid="{00000000-0010-0000-2000-00007F070000}" name="Column1892"/>
    <tableColumn id="1920" xr3:uid="{00000000-0010-0000-2000-000080070000}" name="Column1893"/>
    <tableColumn id="1921" xr3:uid="{00000000-0010-0000-2000-000081070000}" name="Column1894"/>
    <tableColumn id="1922" xr3:uid="{00000000-0010-0000-2000-000082070000}" name="Column1895"/>
    <tableColumn id="1923" xr3:uid="{00000000-0010-0000-2000-000083070000}" name="Column1896"/>
    <tableColumn id="1924" xr3:uid="{00000000-0010-0000-2000-000084070000}" name="Column1897"/>
    <tableColumn id="1925" xr3:uid="{00000000-0010-0000-2000-000085070000}" name="Column1898"/>
    <tableColumn id="1926" xr3:uid="{00000000-0010-0000-2000-000086070000}" name="Column1899"/>
    <tableColumn id="1927" xr3:uid="{00000000-0010-0000-2000-000087070000}" name="Column1900"/>
    <tableColumn id="1928" xr3:uid="{00000000-0010-0000-2000-000088070000}" name="Column1901"/>
    <tableColumn id="1929" xr3:uid="{00000000-0010-0000-2000-000089070000}" name="Column1902"/>
    <tableColumn id="1930" xr3:uid="{00000000-0010-0000-2000-00008A070000}" name="Column1903"/>
    <tableColumn id="1931" xr3:uid="{00000000-0010-0000-2000-00008B070000}" name="Column1904"/>
    <tableColumn id="1932" xr3:uid="{00000000-0010-0000-2000-00008C070000}" name="Column1905"/>
    <tableColumn id="1933" xr3:uid="{00000000-0010-0000-2000-00008D070000}" name="Column1906"/>
    <tableColumn id="1934" xr3:uid="{00000000-0010-0000-2000-00008E070000}" name="Column1907"/>
    <tableColumn id="1935" xr3:uid="{00000000-0010-0000-2000-00008F070000}" name="Column1908"/>
    <tableColumn id="1936" xr3:uid="{00000000-0010-0000-2000-000090070000}" name="Column1909"/>
    <tableColumn id="1937" xr3:uid="{00000000-0010-0000-2000-000091070000}" name="Column1910"/>
    <tableColumn id="1938" xr3:uid="{00000000-0010-0000-2000-000092070000}" name="Column1911"/>
    <tableColumn id="1939" xr3:uid="{00000000-0010-0000-2000-000093070000}" name="Column1912"/>
    <tableColumn id="1940" xr3:uid="{00000000-0010-0000-2000-000094070000}" name="Column1913"/>
    <tableColumn id="1941" xr3:uid="{00000000-0010-0000-2000-000095070000}" name="Column1914"/>
    <tableColumn id="1942" xr3:uid="{00000000-0010-0000-2000-000096070000}" name="Column1915"/>
    <tableColumn id="1943" xr3:uid="{00000000-0010-0000-2000-000097070000}" name="Column1916"/>
    <tableColumn id="1944" xr3:uid="{00000000-0010-0000-2000-000098070000}" name="Column1917"/>
    <tableColumn id="1945" xr3:uid="{00000000-0010-0000-2000-000099070000}" name="Column1918"/>
    <tableColumn id="1946" xr3:uid="{00000000-0010-0000-2000-00009A070000}" name="Column1919"/>
    <tableColumn id="1947" xr3:uid="{00000000-0010-0000-2000-00009B070000}" name="Column1920"/>
    <tableColumn id="1948" xr3:uid="{00000000-0010-0000-2000-00009C070000}" name="Column1921"/>
    <tableColumn id="1949" xr3:uid="{00000000-0010-0000-2000-00009D070000}" name="Column1922"/>
    <tableColumn id="1950" xr3:uid="{00000000-0010-0000-2000-00009E070000}" name="Column1923"/>
    <tableColumn id="1951" xr3:uid="{00000000-0010-0000-2000-00009F070000}" name="Column1924"/>
    <tableColumn id="1952" xr3:uid="{00000000-0010-0000-2000-0000A0070000}" name="Column1925"/>
    <tableColumn id="1953" xr3:uid="{00000000-0010-0000-2000-0000A1070000}" name="Column1926"/>
    <tableColumn id="1954" xr3:uid="{00000000-0010-0000-2000-0000A2070000}" name="Column1927"/>
    <tableColumn id="1955" xr3:uid="{00000000-0010-0000-2000-0000A3070000}" name="Column1928"/>
    <tableColumn id="1956" xr3:uid="{00000000-0010-0000-2000-0000A4070000}" name="Column1929"/>
    <tableColumn id="1957" xr3:uid="{00000000-0010-0000-2000-0000A5070000}" name="Column1930"/>
    <tableColumn id="1958" xr3:uid="{00000000-0010-0000-2000-0000A6070000}" name="Column1931"/>
    <tableColumn id="1959" xr3:uid="{00000000-0010-0000-2000-0000A7070000}" name="Column1932"/>
    <tableColumn id="1960" xr3:uid="{00000000-0010-0000-2000-0000A8070000}" name="Column1933"/>
    <tableColumn id="1961" xr3:uid="{00000000-0010-0000-2000-0000A9070000}" name="Column1934"/>
    <tableColumn id="1962" xr3:uid="{00000000-0010-0000-2000-0000AA070000}" name="Column1935"/>
    <tableColumn id="1963" xr3:uid="{00000000-0010-0000-2000-0000AB070000}" name="Column1936"/>
    <tableColumn id="1964" xr3:uid="{00000000-0010-0000-2000-0000AC070000}" name="Column1937"/>
    <tableColumn id="1965" xr3:uid="{00000000-0010-0000-2000-0000AD070000}" name="Column1938"/>
    <tableColumn id="1966" xr3:uid="{00000000-0010-0000-2000-0000AE070000}" name="Column1939"/>
    <tableColumn id="1967" xr3:uid="{00000000-0010-0000-2000-0000AF070000}" name="Column1940"/>
    <tableColumn id="1968" xr3:uid="{00000000-0010-0000-2000-0000B0070000}" name="Column1941"/>
    <tableColumn id="1969" xr3:uid="{00000000-0010-0000-2000-0000B1070000}" name="Column1942"/>
    <tableColumn id="1970" xr3:uid="{00000000-0010-0000-2000-0000B2070000}" name="Column1943"/>
    <tableColumn id="1971" xr3:uid="{00000000-0010-0000-2000-0000B3070000}" name="Column1944"/>
    <tableColumn id="1972" xr3:uid="{00000000-0010-0000-2000-0000B4070000}" name="Column1945"/>
    <tableColumn id="1973" xr3:uid="{00000000-0010-0000-2000-0000B5070000}" name="Column1946"/>
    <tableColumn id="1974" xr3:uid="{00000000-0010-0000-2000-0000B6070000}" name="Column1947"/>
    <tableColumn id="1975" xr3:uid="{00000000-0010-0000-2000-0000B7070000}" name="Column1948"/>
    <tableColumn id="1976" xr3:uid="{00000000-0010-0000-2000-0000B8070000}" name="Column1949"/>
    <tableColumn id="1977" xr3:uid="{00000000-0010-0000-2000-0000B9070000}" name="Column1950"/>
    <tableColumn id="1978" xr3:uid="{00000000-0010-0000-2000-0000BA070000}" name="Column1951"/>
    <tableColumn id="1979" xr3:uid="{00000000-0010-0000-2000-0000BB070000}" name="Column1952"/>
    <tableColumn id="1980" xr3:uid="{00000000-0010-0000-2000-0000BC070000}" name="Column1953"/>
    <tableColumn id="1981" xr3:uid="{00000000-0010-0000-2000-0000BD070000}" name="Column1954"/>
    <tableColumn id="1982" xr3:uid="{00000000-0010-0000-2000-0000BE070000}" name="Column1955"/>
    <tableColumn id="1983" xr3:uid="{00000000-0010-0000-2000-0000BF070000}" name="Column1956"/>
    <tableColumn id="1984" xr3:uid="{00000000-0010-0000-2000-0000C0070000}" name="Column1957"/>
    <tableColumn id="1985" xr3:uid="{00000000-0010-0000-2000-0000C1070000}" name="Column1958"/>
    <tableColumn id="1986" xr3:uid="{00000000-0010-0000-2000-0000C2070000}" name="Column1959"/>
    <tableColumn id="1987" xr3:uid="{00000000-0010-0000-2000-0000C3070000}" name="Column1960"/>
    <tableColumn id="1988" xr3:uid="{00000000-0010-0000-2000-0000C4070000}" name="Column1961"/>
    <tableColumn id="1989" xr3:uid="{00000000-0010-0000-2000-0000C5070000}" name="Column1962"/>
    <tableColumn id="1990" xr3:uid="{00000000-0010-0000-2000-0000C6070000}" name="Column1963"/>
    <tableColumn id="1991" xr3:uid="{00000000-0010-0000-2000-0000C7070000}" name="Column1964"/>
    <tableColumn id="1992" xr3:uid="{00000000-0010-0000-2000-0000C8070000}" name="Column1965"/>
    <tableColumn id="1993" xr3:uid="{00000000-0010-0000-2000-0000C9070000}" name="Column1966"/>
    <tableColumn id="1994" xr3:uid="{00000000-0010-0000-2000-0000CA070000}" name="Column1967"/>
    <tableColumn id="1995" xr3:uid="{00000000-0010-0000-2000-0000CB070000}" name="Column1968"/>
    <tableColumn id="1996" xr3:uid="{00000000-0010-0000-2000-0000CC070000}" name="Column1969"/>
    <tableColumn id="1997" xr3:uid="{00000000-0010-0000-2000-0000CD070000}" name="Column1970"/>
    <tableColumn id="1998" xr3:uid="{00000000-0010-0000-2000-0000CE070000}" name="Column1971"/>
    <tableColumn id="1999" xr3:uid="{00000000-0010-0000-2000-0000CF070000}" name="Column1972"/>
    <tableColumn id="2000" xr3:uid="{00000000-0010-0000-2000-0000D0070000}" name="Column1973"/>
    <tableColumn id="2001" xr3:uid="{00000000-0010-0000-2000-0000D1070000}" name="Column1974"/>
    <tableColumn id="2002" xr3:uid="{00000000-0010-0000-2000-0000D2070000}" name="Column1975"/>
    <tableColumn id="2003" xr3:uid="{00000000-0010-0000-2000-0000D3070000}" name="Column1976"/>
    <tableColumn id="2004" xr3:uid="{00000000-0010-0000-2000-0000D4070000}" name="Column1977"/>
    <tableColumn id="2005" xr3:uid="{00000000-0010-0000-2000-0000D5070000}" name="Column1978"/>
    <tableColumn id="2006" xr3:uid="{00000000-0010-0000-2000-0000D6070000}" name="Column1979"/>
    <tableColumn id="2007" xr3:uid="{00000000-0010-0000-2000-0000D7070000}" name="Column1980"/>
    <tableColumn id="2008" xr3:uid="{00000000-0010-0000-2000-0000D8070000}" name="Column1981"/>
    <tableColumn id="2009" xr3:uid="{00000000-0010-0000-2000-0000D9070000}" name="Column1982"/>
    <tableColumn id="2010" xr3:uid="{00000000-0010-0000-2000-0000DA070000}" name="Column1983"/>
    <tableColumn id="2011" xr3:uid="{00000000-0010-0000-2000-0000DB070000}" name="Column1984"/>
    <tableColumn id="2012" xr3:uid="{00000000-0010-0000-2000-0000DC070000}" name="Column1985"/>
    <tableColumn id="2013" xr3:uid="{00000000-0010-0000-2000-0000DD070000}" name="Column1986"/>
    <tableColumn id="2014" xr3:uid="{00000000-0010-0000-2000-0000DE070000}" name="Column1987"/>
    <tableColumn id="2015" xr3:uid="{00000000-0010-0000-2000-0000DF070000}" name="Column1988"/>
    <tableColumn id="2016" xr3:uid="{00000000-0010-0000-2000-0000E0070000}" name="Column1989"/>
    <tableColumn id="2017" xr3:uid="{00000000-0010-0000-2000-0000E1070000}" name="Column1990"/>
    <tableColumn id="2018" xr3:uid="{00000000-0010-0000-2000-0000E2070000}" name="Column1991"/>
    <tableColumn id="2019" xr3:uid="{00000000-0010-0000-2000-0000E3070000}" name="Column1992"/>
    <tableColumn id="2020" xr3:uid="{00000000-0010-0000-2000-0000E4070000}" name="Column1993"/>
    <tableColumn id="2021" xr3:uid="{00000000-0010-0000-2000-0000E5070000}" name="Column1994"/>
    <tableColumn id="2022" xr3:uid="{00000000-0010-0000-2000-0000E6070000}" name="Column1995"/>
    <tableColumn id="2023" xr3:uid="{00000000-0010-0000-2000-0000E7070000}" name="Column1996"/>
    <tableColumn id="2024" xr3:uid="{00000000-0010-0000-2000-0000E8070000}" name="Column1997"/>
    <tableColumn id="2025" xr3:uid="{00000000-0010-0000-2000-0000E9070000}" name="Column1998"/>
    <tableColumn id="2026" xr3:uid="{00000000-0010-0000-2000-0000EA070000}" name="Column1999"/>
    <tableColumn id="2027" xr3:uid="{00000000-0010-0000-2000-0000EB070000}" name="Column2000"/>
    <tableColumn id="2028" xr3:uid="{00000000-0010-0000-2000-0000EC070000}" name="Column2001"/>
    <tableColumn id="2029" xr3:uid="{00000000-0010-0000-2000-0000ED070000}" name="Column2002"/>
    <tableColumn id="2030" xr3:uid="{00000000-0010-0000-2000-0000EE070000}" name="Column2003"/>
    <tableColumn id="2031" xr3:uid="{00000000-0010-0000-2000-0000EF070000}" name="Column2004"/>
    <tableColumn id="2032" xr3:uid="{00000000-0010-0000-2000-0000F0070000}" name="Column2005"/>
    <tableColumn id="2033" xr3:uid="{00000000-0010-0000-2000-0000F1070000}" name="Column2006"/>
    <tableColumn id="2034" xr3:uid="{00000000-0010-0000-2000-0000F2070000}" name="Column2007"/>
    <tableColumn id="2035" xr3:uid="{00000000-0010-0000-2000-0000F3070000}" name="Column2008"/>
    <tableColumn id="2036" xr3:uid="{00000000-0010-0000-2000-0000F4070000}" name="Column2009"/>
    <tableColumn id="2037" xr3:uid="{00000000-0010-0000-2000-0000F5070000}" name="Column2010"/>
    <tableColumn id="2038" xr3:uid="{00000000-0010-0000-2000-0000F6070000}" name="Column2011"/>
    <tableColumn id="2039" xr3:uid="{00000000-0010-0000-2000-0000F7070000}" name="Column2012"/>
    <tableColumn id="2040" xr3:uid="{00000000-0010-0000-2000-0000F8070000}" name="Column2013"/>
    <tableColumn id="2041" xr3:uid="{00000000-0010-0000-2000-0000F9070000}" name="Column2014"/>
    <tableColumn id="2042" xr3:uid="{00000000-0010-0000-2000-0000FA070000}" name="Column2015"/>
    <tableColumn id="2043" xr3:uid="{00000000-0010-0000-2000-0000FB070000}" name="Column2016"/>
    <tableColumn id="2044" xr3:uid="{00000000-0010-0000-2000-0000FC070000}" name="Column2017"/>
    <tableColumn id="2045" xr3:uid="{00000000-0010-0000-2000-0000FD070000}" name="Column2018"/>
    <tableColumn id="2046" xr3:uid="{00000000-0010-0000-2000-0000FE070000}" name="Column2019"/>
    <tableColumn id="2047" xr3:uid="{00000000-0010-0000-2000-0000FF070000}" name="Column2020"/>
    <tableColumn id="2048" xr3:uid="{00000000-0010-0000-2000-000000080000}" name="Column2021"/>
    <tableColumn id="2049" xr3:uid="{00000000-0010-0000-2000-000001080000}" name="Column2022"/>
    <tableColumn id="2050" xr3:uid="{00000000-0010-0000-2000-000002080000}" name="Column2023"/>
    <tableColumn id="2051" xr3:uid="{00000000-0010-0000-2000-000003080000}" name="Column2024"/>
    <tableColumn id="2052" xr3:uid="{00000000-0010-0000-2000-000004080000}" name="Column2025"/>
    <tableColumn id="2053" xr3:uid="{00000000-0010-0000-2000-000005080000}" name="Column2026"/>
    <tableColumn id="2054" xr3:uid="{00000000-0010-0000-2000-000006080000}" name="Column2027"/>
    <tableColumn id="2055" xr3:uid="{00000000-0010-0000-2000-000007080000}" name="Column2028"/>
    <tableColumn id="2056" xr3:uid="{00000000-0010-0000-2000-000008080000}" name="Column2029"/>
    <tableColumn id="2057" xr3:uid="{00000000-0010-0000-2000-000009080000}" name="Column2030"/>
    <tableColumn id="2058" xr3:uid="{00000000-0010-0000-2000-00000A080000}" name="Column2031"/>
    <tableColumn id="2059" xr3:uid="{00000000-0010-0000-2000-00000B080000}" name="Column2032"/>
    <tableColumn id="2060" xr3:uid="{00000000-0010-0000-2000-00000C080000}" name="Column2033"/>
    <tableColumn id="2061" xr3:uid="{00000000-0010-0000-2000-00000D080000}" name="Column2034"/>
    <tableColumn id="2062" xr3:uid="{00000000-0010-0000-2000-00000E080000}" name="Column2035"/>
    <tableColumn id="2063" xr3:uid="{00000000-0010-0000-2000-00000F080000}" name="Column2036"/>
    <tableColumn id="2064" xr3:uid="{00000000-0010-0000-2000-000010080000}" name="Column2037"/>
    <tableColumn id="2065" xr3:uid="{00000000-0010-0000-2000-000011080000}" name="Column2038"/>
    <tableColumn id="2066" xr3:uid="{00000000-0010-0000-2000-000012080000}" name="Column2039"/>
    <tableColumn id="2067" xr3:uid="{00000000-0010-0000-2000-000013080000}" name="Column2040"/>
    <tableColumn id="2068" xr3:uid="{00000000-0010-0000-2000-000014080000}" name="Column2041"/>
    <tableColumn id="2069" xr3:uid="{00000000-0010-0000-2000-000015080000}" name="Column2042"/>
    <tableColumn id="2070" xr3:uid="{00000000-0010-0000-2000-000016080000}" name="Column2043"/>
    <tableColumn id="2071" xr3:uid="{00000000-0010-0000-2000-000017080000}" name="Column2044"/>
    <tableColumn id="2072" xr3:uid="{00000000-0010-0000-2000-000018080000}" name="Column2045"/>
    <tableColumn id="2073" xr3:uid="{00000000-0010-0000-2000-000019080000}" name="Column2046"/>
    <tableColumn id="2074" xr3:uid="{00000000-0010-0000-2000-00001A080000}" name="Column2047"/>
    <tableColumn id="2075" xr3:uid="{00000000-0010-0000-2000-00001B080000}" name="Column2048"/>
    <tableColumn id="2076" xr3:uid="{00000000-0010-0000-2000-00001C080000}" name="Column2049"/>
    <tableColumn id="2077" xr3:uid="{00000000-0010-0000-2000-00001D080000}" name="Column2050"/>
    <tableColumn id="2078" xr3:uid="{00000000-0010-0000-2000-00001E080000}" name="Column2051"/>
    <tableColumn id="2079" xr3:uid="{00000000-0010-0000-2000-00001F080000}" name="Column2052"/>
    <tableColumn id="2080" xr3:uid="{00000000-0010-0000-2000-000020080000}" name="Column2053"/>
    <tableColumn id="2081" xr3:uid="{00000000-0010-0000-2000-000021080000}" name="Column2054"/>
    <tableColumn id="2082" xr3:uid="{00000000-0010-0000-2000-000022080000}" name="Column2055"/>
    <tableColumn id="2083" xr3:uid="{00000000-0010-0000-2000-000023080000}" name="Column2056"/>
    <tableColumn id="2084" xr3:uid="{00000000-0010-0000-2000-000024080000}" name="Column2057"/>
    <tableColumn id="2085" xr3:uid="{00000000-0010-0000-2000-000025080000}" name="Column2058"/>
    <tableColumn id="2086" xr3:uid="{00000000-0010-0000-2000-000026080000}" name="Column2059"/>
    <tableColumn id="2087" xr3:uid="{00000000-0010-0000-2000-000027080000}" name="Column2060"/>
    <tableColumn id="2088" xr3:uid="{00000000-0010-0000-2000-000028080000}" name="Column2061"/>
    <tableColumn id="2089" xr3:uid="{00000000-0010-0000-2000-000029080000}" name="Column2062"/>
    <tableColumn id="2090" xr3:uid="{00000000-0010-0000-2000-00002A080000}" name="Column2063"/>
    <tableColumn id="2091" xr3:uid="{00000000-0010-0000-2000-00002B080000}" name="Column2064"/>
    <tableColumn id="2092" xr3:uid="{00000000-0010-0000-2000-00002C080000}" name="Column2065"/>
    <tableColumn id="2093" xr3:uid="{00000000-0010-0000-2000-00002D080000}" name="Column2066"/>
    <tableColumn id="2094" xr3:uid="{00000000-0010-0000-2000-00002E080000}" name="Column2067"/>
    <tableColumn id="2095" xr3:uid="{00000000-0010-0000-2000-00002F080000}" name="Column2068"/>
    <tableColumn id="2096" xr3:uid="{00000000-0010-0000-2000-000030080000}" name="Column2069"/>
    <tableColumn id="2097" xr3:uid="{00000000-0010-0000-2000-000031080000}" name="Column2070"/>
    <tableColumn id="2098" xr3:uid="{00000000-0010-0000-2000-000032080000}" name="Column2071"/>
    <tableColumn id="2099" xr3:uid="{00000000-0010-0000-2000-000033080000}" name="Column2072"/>
    <tableColumn id="2100" xr3:uid="{00000000-0010-0000-2000-000034080000}" name="Column2073"/>
    <tableColumn id="2101" xr3:uid="{00000000-0010-0000-2000-000035080000}" name="Column2074"/>
    <tableColumn id="2102" xr3:uid="{00000000-0010-0000-2000-000036080000}" name="Column2075"/>
    <tableColumn id="2103" xr3:uid="{00000000-0010-0000-2000-000037080000}" name="Column2076"/>
    <tableColumn id="2104" xr3:uid="{00000000-0010-0000-2000-000038080000}" name="Column2077"/>
    <tableColumn id="2105" xr3:uid="{00000000-0010-0000-2000-000039080000}" name="Column2078"/>
    <tableColumn id="2106" xr3:uid="{00000000-0010-0000-2000-00003A080000}" name="Column2079"/>
    <tableColumn id="2107" xr3:uid="{00000000-0010-0000-2000-00003B080000}" name="Column2080"/>
    <tableColumn id="2108" xr3:uid="{00000000-0010-0000-2000-00003C080000}" name="Column2081"/>
    <tableColumn id="2109" xr3:uid="{00000000-0010-0000-2000-00003D080000}" name="Column2082"/>
    <tableColumn id="2110" xr3:uid="{00000000-0010-0000-2000-00003E080000}" name="Column2083"/>
    <tableColumn id="2111" xr3:uid="{00000000-0010-0000-2000-00003F080000}" name="Column2084"/>
    <tableColumn id="2112" xr3:uid="{00000000-0010-0000-2000-000040080000}" name="Column2085"/>
    <tableColumn id="2113" xr3:uid="{00000000-0010-0000-2000-000041080000}" name="Column2086"/>
    <tableColumn id="2114" xr3:uid="{00000000-0010-0000-2000-000042080000}" name="Column2087"/>
    <tableColumn id="2115" xr3:uid="{00000000-0010-0000-2000-000043080000}" name="Column2088"/>
    <tableColumn id="2116" xr3:uid="{00000000-0010-0000-2000-000044080000}" name="Column2089"/>
    <tableColumn id="2117" xr3:uid="{00000000-0010-0000-2000-000045080000}" name="Column2090"/>
    <tableColumn id="2118" xr3:uid="{00000000-0010-0000-2000-000046080000}" name="Column2091"/>
    <tableColumn id="2119" xr3:uid="{00000000-0010-0000-2000-000047080000}" name="Column2092"/>
    <tableColumn id="2120" xr3:uid="{00000000-0010-0000-2000-000048080000}" name="Column2093"/>
    <tableColumn id="2121" xr3:uid="{00000000-0010-0000-2000-000049080000}" name="Column2094"/>
    <tableColumn id="2122" xr3:uid="{00000000-0010-0000-2000-00004A080000}" name="Column2095"/>
    <tableColumn id="2123" xr3:uid="{00000000-0010-0000-2000-00004B080000}" name="Column2096"/>
    <tableColumn id="2124" xr3:uid="{00000000-0010-0000-2000-00004C080000}" name="Column2097"/>
    <tableColumn id="2125" xr3:uid="{00000000-0010-0000-2000-00004D080000}" name="Column2098"/>
    <tableColumn id="2126" xr3:uid="{00000000-0010-0000-2000-00004E080000}" name="Column2099"/>
    <tableColumn id="2127" xr3:uid="{00000000-0010-0000-2000-00004F080000}" name="Column2100"/>
    <tableColumn id="2128" xr3:uid="{00000000-0010-0000-2000-000050080000}" name="Column2101"/>
    <tableColumn id="2129" xr3:uid="{00000000-0010-0000-2000-000051080000}" name="Column2102"/>
    <tableColumn id="2130" xr3:uid="{00000000-0010-0000-2000-000052080000}" name="Column2103"/>
    <tableColumn id="2131" xr3:uid="{00000000-0010-0000-2000-000053080000}" name="Column2104"/>
    <tableColumn id="2132" xr3:uid="{00000000-0010-0000-2000-000054080000}" name="Column2105"/>
    <tableColumn id="2133" xr3:uid="{00000000-0010-0000-2000-000055080000}" name="Column2106"/>
    <tableColumn id="2134" xr3:uid="{00000000-0010-0000-2000-000056080000}" name="Column2107"/>
    <tableColumn id="2135" xr3:uid="{00000000-0010-0000-2000-000057080000}" name="Column2108"/>
    <tableColumn id="2136" xr3:uid="{00000000-0010-0000-2000-000058080000}" name="Column2109"/>
    <tableColumn id="2137" xr3:uid="{00000000-0010-0000-2000-000059080000}" name="Column2110"/>
    <tableColumn id="2138" xr3:uid="{00000000-0010-0000-2000-00005A080000}" name="Column2111"/>
    <tableColumn id="2139" xr3:uid="{00000000-0010-0000-2000-00005B080000}" name="Column2112"/>
    <tableColumn id="2140" xr3:uid="{00000000-0010-0000-2000-00005C080000}" name="Column2113"/>
    <tableColumn id="2141" xr3:uid="{00000000-0010-0000-2000-00005D080000}" name="Column2114"/>
    <tableColumn id="2142" xr3:uid="{00000000-0010-0000-2000-00005E080000}" name="Column2115"/>
    <tableColumn id="2143" xr3:uid="{00000000-0010-0000-2000-00005F080000}" name="Column2116"/>
    <tableColumn id="2144" xr3:uid="{00000000-0010-0000-2000-000060080000}" name="Column2117"/>
    <tableColumn id="2145" xr3:uid="{00000000-0010-0000-2000-000061080000}" name="Column2118"/>
    <tableColumn id="2146" xr3:uid="{00000000-0010-0000-2000-000062080000}" name="Column2119"/>
    <tableColumn id="2147" xr3:uid="{00000000-0010-0000-2000-000063080000}" name="Column2120"/>
    <tableColumn id="2148" xr3:uid="{00000000-0010-0000-2000-000064080000}" name="Column2121"/>
    <tableColumn id="2149" xr3:uid="{00000000-0010-0000-2000-000065080000}" name="Column2122"/>
    <tableColumn id="2150" xr3:uid="{00000000-0010-0000-2000-000066080000}" name="Column2123"/>
    <tableColumn id="2151" xr3:uid="{00000000-0010-0000-2000-000067080000}" name="Column2124"/>
    <tableColumn id="2152" xr3:uid="{00000000-0010-0000-2000-000068080000}" name="Column2125"/>
    <tableColumn id="2153" xr3:uid="{00000000-0010-0000-2000-000069080000}" name="Column2126"/>
    <tableColumn id="2154" xr3:uid="{00000000-0010-0000-2000-00006A080000}" name="Column2127"/>
    <tableColumn id="2155" xr3:uid="{00000000-0010-0000-2000-00006B080000}" name="Column2128"/>
    <tableColumn id="2156" xr3:uid="{00000000-0010-0000-2000-00006C080000}" name="Column2129"/>
    <tableColumn id="2157" xr3:uid="{00000000-0010-0000-2000-00006D080000}" name="Column2130"/>
    <tableColumn id="2158" xr3:uid="{00000000-0010-0000-2000-00006E080000}" name="Column2131"/>
    <tableColumn id="2159" xr3:uid="{00000000-0010-0000-2000-00006F080000}" name="Column2132"/>
    <tableColumn id="2160" xr3:uid="{00000000-0010-0000-2000-000070080000}" name="Column2133"/>
    <tableColumn id="2161" xr3:uid="{00000000-0010-0000-2000-000071080000}" name="Column2134"/>
    <tableColumn id="2162" xr3:uid="{00000000-0010-0000-2000-000072080000}" name="Column2135"/>
    <tableColumn id="2163" xr3:uid="{00000000-0010-0000-2000-000073080000}" name="Column2136"/>
    <tableColumn id="2164" xr3:uid="{00000000-0010-0000-2000-000074080000}" name="Column2137"/>
    <tableColumn id="2165" xr3:uid="{00000000-0010-0000-2000-000075080000}" name="Column2138"/>
    <tableColumn id="2166" xr3:uid="{00000000-0010-0000-2000-000076080000}" name="Column2139"/>
    <tableColumn id="2167" xr3:uid="{00000000-0010-0000-2000-000077080000}" name="Column2140"/>
    <tableColumn id="2168" xr3:uid="{00000000-0010-0000-2000-000078080000}" name="Column2141"/>
    <tableColumn id="2169" xr3:uid="{00000000-0010-0000-2000-000079080000}" name="Column2142"/>
    <tableColumn id="2170" xr3:uid="{00000000-0010-0000-2000-00007A080000}" name="Column2143"/>
    <tableColumn id="2171" xr3:uid="{00000000-0010-0000-2000-00007B080000}" name="Column2144"/>
    <tableColumn id="2172" xr3:uid="{00000000-0010-0000-2000-00007C080000}" name="Column2145"/>
    <tableColumn id="2173" xr3:uid="{00000000-0010-0000-2000-00007D080000}" name="Column2146"/>
    <tableColumn id="2174" xr3:uid="{00000000-0010-0000-2000-00007E080000}" name="Column2147"/>
    <tableColumn id="2175" xr3:uid="{00000000-0010-0000-2000-00007F080000}" name="Column2148"/>
    <tableColumn id="2176" xr3:uid="{00000000-0010-0000-2000-000080080000}" name="Column2149"/>
    <tableColumn id="2177" xr3:uid="{00000000-0010-0000-2000-000081080000}" name="Column2150"/>
    <tableColumn id="2178" xr3:uid="{00000000-0010-0000-2000-000082080000}" name="Column2151"/>
    <tableColumn id="2179" xr3:uid="{00000000-0010-0000-2000-000083080000}" name="Column2152"/>
    <tableColumn id="2180" xr3:uid="{00000000-0010-0000-2000-000084080000}" name="Column2153"/>
    <tableColumn id="2181" xr3:uid="{00000000-0010-0000-2000-000085080000}" name="Column2154"/>
    <tableColumn id="2182" xr3:uid="{00000000-0010-0000-2000-000086080000}" name="Column2155"/>
    <tableColumn id="2183" xr3:uid="{00000000-0010-0000-2000-000087080000}" name="Column2156"/>
    <tableColumn id="2184" xr3:uid="{00000000-0010-0000-2000-000088080000}" name="Column2157"/>
    <tableColumn id="2185" xr3:uid="{00000000-0010-0000-2000-000089080000}" name="Column2158"/>
    <tableColumn id="2186" xr3:uid="{00000000-0010-0000-2000-00008A080000}" name="Column2159"/>
    <tableColumn id="2187" xr3:uid="{00000000-0010-0000-2000-00008B080000}" name="Column2160"/>
    <tableColumn id="2188" xr3:uid="{00000000-0010-0000-2000-00008C080000}" name="Column2161"/>
    <tableColumn id="2189" xr3:uid="{00000000-0010-0000-2000-00008D080000}" name="Column2162"/>
    <tableColumn id="2190" xr3:uid="{00000000-0010-0000-2000-00008E080000}" name="Column2163"/>
    <tableColumn id="2191" xr3:uid="{00000000-0010-0000-2000-00008F080000}" name="Column2164"/>
    <tableColumn id="2192" xr3:uid="{00000000-0010-0000-2000-000090080000}" name="Column2165"/>
    <tableColumn id="2193" xr3:uid="{00000000-0010-0000-2000-000091080000}" name="Column2166"/>
    <tableColumn id="2194" xr3:uid="{00000000-0010-0000-2000-000092080000}" name="Column2167"/>
    <tableColumn id="2195" xr3:uid="{00000000-0010-0000-2000-000093080000}" name="Column2168"/>
    <tableColumn id="2196" xr3:uid="{00000000-0010-0000-2000-000094080000}" name="Column2169"/>
    <tableColumn id="2197" xr3:uid="{00000000-0010-0000-2000-000095080000}" name="Column2170"/>
    <tableColumn id="2198" xr3:uid="{00000000-0010-0000-2000-000096080000}" name="Column2171"/>
    <tableColumn id="2199" xr3:uid="{00000000-0010-0000-2000-000097080000}" name="Column2172"/>
    <tableColumn id="2200" xr3:uid="{00000000-0010-0000-2000-000098080000}" name="Column2173"/>
    <tableColumn id="2201" xr3:uid="{00000000-0010-0000-2000-000099080000}" name="Column2174"/>
    <tableColumn id="2202" xr3:uid="{00000000-0010-0000-2000-00009A080000}" name="Column2175"/>
    <tableColumn id="2203" xr3:uid="{00000000-0010-0000-2000-00009B080000}" name="Column2176"/>
    <tableColumn id="2204" xr3:uid="{00000000-0010-0000-2000-00009C080000}" name="Column2177"/>
    <tableColumn id="2205" xr3:uid="{00000000-0010-0000-2000-00009D080000}" name="Column2178"/>
    <tableColumn id="2206" xr3:uid="{00000000-0010-0000-2000-00009E080000}" name="Column2179"/>
    <tableColumn id="2207" xr3:uid="{00000000-0010-0000-2000-00009F080000}" name="Column2180"/>
    <tableColumn id="2208" xr3:uid="{00000000-0010-0000-2000-0000A0080000}" name="Column2181"/>
    <tableColumn id="2209" xr3:uid="{00000000-0010-0000-2000-0000A1080000}" name="Column2182"/>
    <tableColumn id="2210" xr3:uid="{00000000-0010-0000-2000-0000A2080000}" name="Column2183"/>
    <tableColumn id="2211" xr3:uid="{00000000-0010-0000-2000-0000A3080000}" name="Column2184"/>
    <tableColumn id="2212" xr3:uid="{00000000-0010-0000-2000-0000A4080000}" name="Column2185"/>
    <tableColumn id="2213" xr3:uid="{00000000-0010-0000-2000-0000A5080000}" name="Column2186"/>
    <tableColumn id="2214" xr3:uid="{00000000-0010-0000-2000-0000A6080000}" name="Column2187"/>
    <tableColumn id="2215" xr3:uid="{00000000-0010-0000-2000-0000A7080000}" name="Column2188"/>
    <tableColumn id="2216" xr3:uid="{00000000-0010-0000-2000-0000A8080000}" name="Column2189"/>
    <tableColumn id="2217" xr3:uid="{00000000-0010-0000-2000-0000A9080000}" name="Column2190"/>
    <tableColumn id="2218" xr3:uid="{00000000-0010-0000-2000-0000AA080000}" name="Column2191"/>
    <tableColumn id="2219" xr3:uid="{00000000-0010-0000-2000-0000AB080000}" name="Column2192"/>
    <tableColumn id="2220" xr3:uid="{00000000-0010-0000-2000-0000AC080000}" name="Column2193"/>
    <tableColumn id="2221" xr3:uid="{00000000-0010-0000-2000-0000AD080000}" name="Column2194"/>
    <tableColumn id="2222" xr3:uid="{00000000-0010-0000-2000-0000AE080000}" name="Column2195"/>
    <tableColumn id="2223" xr3:uid="{00000000-0010-0000-2000-0000AF080000}" name="Column2196"/>
    <tableColumn id="2224" xr3:uid="{00000000-0010-0000-2000-0000B0080000}" name="Column2197"/>
    <tableColumn id="2225" xr3:uid="{00000000-0010-0000-2000-0000B1080000}" name="Column2198"/>
    <tableColumn id="2226" xr3:uid="{00000000-0010-0000-2000-0000B2080000}" name="Column2199"/>
    <tableColumn id="2227" xr3:uid="{00000000-0010-0000-2000-0000B3080000}" name="Column2200"/>
    <tableColumn id="2228" xr3:uid="{00000000-0010-0000-2000-0000B4080000}" name="Column2201"/>
    <tableColumn id="2229" xr3:uid="{00000000-0010-0000-2000-0000B5080000}" name="Column2202"/>
    <tableColumn id="2230" xr3:uid="{00000000-0010-0000-2000-0000B6080000}" name="Column2203"/>
    <tableColumn id="2231" xr3:uid="{00000000-0010-0000-2000-0000B7080000}" name="Column2204"/>
    <tableColumn id="2232" xr3:uid="{00000000-0010-0000-2000-0000B8080000}" name="Column2205"/>
    <tableColumn id="2233" xr3:uid="{00000000-0010-0000-2000-0000B9080000}" name="Column2206"/>
    <tableColumn id="2234" xr3:uid="{00000000-0010-0000-2000-0000BA080000}" name="Column2207"/>
    <tableColumn id="2235" xr3:uid="{00000000-0010-0000-2000-0000BB080000}" name="Column2208"/>
    <tableColumn id="2236" xr3:uid="{00000000-0010-0000-2000-0000BC080000}" name="Column2209"/>
    <tableColumn id="2237" xr3:uid="{00000000-0010-0000-2000-0000BD080000}" name="Column2210"/>
    <tableColumn id="2238" xr3:uid="{00000000-0010-0000-2000-0000BE080000}" name="Column2211"/>
    <tableColumn id="2239" xr3:uid="{00000000-0010-0000-2000-0000BF080000}" name="Column2212"/>
    <tableColumn id="2240" xr3:uid="{00000000-0010-0000-2000-0000C0080000}" name="Column2213"/>
    <tableColumn id="2241" xr3:uid="{00000000-0010-0000-2000-0000C1080000}" name="Column2214"/>
    <tableColumn id="2242" xr3:uid="{00000000-0010-0000-2000-0000C2080000}" name="Column2215"/>
    <tableColumn id="2243" xr3:uid="{00000000-0010-0000-2000-0000C3080000}" name="Column2216"/>
    <tableColumn id="2244" xr3:uid="{00000000-0010-0000-2000-0000C4080000}" name="Column2217"/>
    <tableColumn id="2245" xr3:uid="{00000000-0010-0000-2000-0000C5080000}" name="Column2218"/>
    <tableColumn id="2246" xr3:uid="{00000000-0010-0000-2000-0000C6080000}" name="Column2219"/>
    <tableColumn id="2247" xr3:uid="{00000000-0010-0000-2000-0000C7080000}" name="Column2220"/>
    <tableColumn id="2248" xr3:uid="{00000000-0010-0000-2000-0000C8080000}" name="Column2221"/>
    <tableColumn id="2249" xr3:uid="{00000000-0010-0000-2000-0000C9080000}" name="Column2222"/>
    <tableColumn id="2250" xr3:uid="{00000000-0010-0000-2000-0000CA080000}" name="Column2223"/>
    <tableColumn id="2251" xr3:uid="{00000000-0010-0000-2000-0000CB080000}" name="Column2224"/>
    <tableColumn id="2252" xr3:uid="{00000000-0010-0000-2000-0000CC080000}" name="Column2225"/>
    <tableColumn id="2253" xr3:uid="{00000000-0010-0000-2000-0000CD080000}" name="Column2226"/>
    <tableColumn id="2254" xr3:uid="{00000000-0010-0000-2000-0000CE080000}" name="Column2227"/>
    <tableColumn id="2255" xr3:uid="{00000000-0010-0000-2000-0000CF080000}" name="Column2228"/>
    <tableColumn id="2256" xr3:uid="{00000000-0010-0000-2000-0000D0080000}" name="Column2229"/>
    <tableColumn id="2257" xr3:uid="{00000000-0010-0000-2000-0000D1080000}" name="Column2230"/>
    <tableColumn id="2258" xr3:uid="{00000000-0010-0000-2000-0000D2080000}" name="Column2231"/>
    <tableColumn id="2259" xr3:uid="{00000000-0010-0000-2000-0000D3080000}" name="Column2232"/>
    <tableColumn id="2260" xr3:uid="{00000000-0010-0000-2000-0000D4080000}" name="Column2233"/>
    <tableColumn id="2261" xr3:uid="{00000000-0010-0000-2000-0000D5080000}" name="Column2234"/>
    <tableColumn id="2262" xr3:uid="{00000000-0010-0000-2000-0000D6080000}" name="Column2235"/>
    <tableColumn id="2263" xr3:uid="{00000000-0010-0000-2000-0000D7080000}" name="Column2236"/>
    <tableColumn id="2264" xr3:uid="{00000000-0010-0000-2000-0000D8080000}" name="Column2237"/>
    <tableColumn id="2265" xr3:uid="{00000000-0010-0000-2000-0000D9080000}" name="Column2238"/>
    <tableColumn id="2266" xr3:uid="{00000000-0010-0000-2000-0000DA080000}" name="Column2239"/>
    <tableColumn id="2267" xr3:uid="{00000000-0010-0000-2000-0000DB080000}" name="Column2240"/>
    <tableColumn id="2268" xr3:uid="{00000000-0010-0000-2000-0000DC080000}" name="Column2241"/>
    <tableColumn id="2269" xr3:uid="{00000000-0010-0000-2000-0000DD080000}" name="Column2242"/>
    <tableColumn id="2270" xr3:uid="{00000000-0010-0000-2000-0000DE080000}" name="Column2243"/>
    <tableColumn id="2271" xr3:uid="{00000000-0010-0000-2000-0000DF080000}" name="Column2244"/>
    <tableColumn id="2272" xr3:uid="{00000000-0010-0000-2000-0000E0080000}" name="Column2245"/>
    <tableColumn id="2273" xr3:uid="{00000000-0010-0000-2000-0000E1080000}" name="Column2246"/>
    <tableColumn id="2274" xr3:uid="{00000000-0010-0000-2000-0000E2080000}" name="Column2247"/>
    <tableColumn id="2275" xr3:uid="{00000000-0010-0000-2000-0000E3080000}" name="Column2248"/>
    <tableColumn id="2276" xr3:uid="{00000000-0010-0000-2000-0000E4080000}" name="Column2249"/>
    <tableColumn id="2277" xr3:uid="{00000000-0010-0000-2000-0000E5080000}" name="Column2250"/>
    <tableColumn id="2278" xr3:uid="{00000000-0010-0000-2000-0000E6080000}" name="Column2251"/>
    <tableColumn id="2279" xr3:uid="{00000000-0010-0000-2000-0000E7080000}" name="Column2252"/>
    <tableColumn id="2280" xr3:uid="{00000000-0010-0000-2000-0000E8080000}" name="Column2253"/>
    <tableColumn id="2281" xr3:uid="{00000000-0010-0000-2000-0000E9080000}" name="Column2254"/>
    <tableColumn id="2282" xr3:uid="{00000000-0010-0000-2000-0000EA080000}" name="Column2255"/>
    <tableColumn id="2283" xr3:uid="{00000000-0010-0000-2000-0000EB080000}" name="Column2256"/>
    <tableColumn id="2284" xr3:uid="{00000000-0010-0000-2000-0000EC080000}" name="Column2257"/>
    <tableColumn id="2285" xr3:uid="{00000000-0010-0000-2000-0000ED080000}" name="Column2258"/>
    <tableColumn id="2286" xr3:uid="{00000000-0010-0000-2000-0000EE080000}" name="Column2259"/>
    <tableColumn id="2287" xr3:uid="{00000000-0010-0000-2000-0000EF080000}" name="Column2260"/>
    <tableColumn id="2288" xr3:uid="{00000000-0010-0000-2000-0000F0080000}" name="Column2261"/>
    <tableColumn id="2289" xr3:uid="{00000000-0010-0000-2000-0000F1080000}" name="Column2262"/>
    <tableColumn id="2290" xr3:uid="{00000000-0010-0000-2000-0000F2080000}" name="Column2263"/>
    <tableColumn id="2291" xr3:uid="{00000000-0010-0000-2000-0000F3080000}" name="Column2264"/>
    <tableColumn id="2292" xr3:uid="{00000000-0010-0000-2000-0000F4080000}" name="Column2265"/>
    <tableColumn id="2293" xr3:uid="{00000000-0010-0000-2000-0000F5080000}" name="Column2266"/>
    <tableColumn id="2294" xr3:uid="{00000000-0010-0000-2000-0000F6080000}" name="Column2267"/>
    <tableColumn id="2295" xr3:uid="{00000000-0010-0000-2000-0000F7080000}" name="Column2268"/>
    <tableColumn id="2296" xr3:uid="{00000000-0010-0000-2000-0000F8080000}" name="Column2269"/>
    <tableColumn id="2297" xr3:uid="{00000000-0010-0000-2000-0000F9080000}" name="Column2270"/>
    <tableColumn id="2298" xr3:uid="{00000000-0010-0000-2000-0000FA080000}" name="Column2271"/>
    <tableColumn id="2299" xr3:uid="{00000000-0010-0000-2000-0000FB080000}" name="Column2272"/>
    <tableColumn id="2300" xr3:uid="{00000000-0010-0000-2000-0000FC080000}" name="Column2273"/>
    <tableColumn id="2301" xr3:uid="{00000000-0010-0000-2000-0000FD080000}" name="Column2274"/>
    <tableColumn id="2302" xr3:uid="{00000000-0010-0000-2000-0000FE080000}" name="Column2275"/>
    <tableColumn id="2303" xr3:uid="{00000000-0010-0000-2000-0000FF080000}" name="Column2276"/>
    <tableColumn id="2304" xr3:uid="{00000000-0010-0000-2000-000000090000}" name="Column2277"/>
    <tableColumn id="2305" xr3:uid="{00000000-0010-0000-2000-000001090000}" name="Column2278"/>
    <tableColumn id="2306" xr3:uid="{00000000-0010-0000-2000-000002090000}" name="Column2279"/>
    <tableColumn id="2307" xr3:uid="{00000000-0010-0000-2000-000003090000}" name="Column2280"/>
    <tableColumn id="2308" xr3:uid="{00000000-0010-0000-2000-000004090000}" name="Column2281"/>
    <tableColumn id="2309" xr3:uid="{00000000-0010-0000-2000-000005090000}" name="Column2282"/>
    <tableColumn id="2310" xr3:uid="{00000000-0010-0000-2000-000006090000}" name="Column2283"/>
    <tableColumn id="2311" xr3:uid="{00000000-0010-0000-2000-000007090000}" name="Column2284"/>
    <tableColumn id="2312" xr3:uid="{00000000-0010-0000-2000-000008090000}" name="Column2285"/>
    <tableColumn id="2313" xr3:uid="{00000000-0010-0000-2000-000009090000}" name="Column2286"/>
    <tableColumn id="2314" xr3:uid="{00000000-0010-0000-2000-00000A090000}" name="Column2287"/>
    <tableColumn id="2315" xr3:uid="{00000000-0010-0000-2000-00000B090000}" name="Column2288"/>
    <tableColumn id="2316" xr3:uid="{00000000-0010-0000-2000-00000C090000}" name="Column2289"/>
    <tableColumn id="2317" xr3:uid="{00000000-0010-0000-2000-00000D090000}" name="Column2290"/>
    <tableColumn id="2318" xr3:uid="{00000000-0010-0000-2000-00000E090000}" name="Column2291"/>
    <tableColumn id="2319" xr3:uid="{00000000-0010-0000-2000-00000F090000}" name="Column2292"/>
    <tableColumn id="2320" xr3:uid="{00000000-0010-0000-2000-000010090000}" name="Column2293"/>
    <tableColumn id="2321" xr3:uid="{00000000-0010-0000-2000-000011090000}" name="Column2294"/>
    <tableColumn id="2322" xr3:uid="{00000000-0010-0000-2000-000012090000}" name="Column2295"/>
    <tableColumn id="2323" xr3:uid="{00000000-0010-0000-2000-000013090000}" name="Column2296"/>
    <tableColumn id="2324" xr3:uid="{00000000-0010-0000-2000-000014090000}" name="Column2297"/>
    <tableColumn id="2325" xr3:uid="{00000000-0010-0000-2000-000015090000}" name="Column2298"/>
    <tableColumn id="2326" xr3:uid="{00000000-0010-0000-2000-000016090000}" name="Column2299"/>
    <tableColumn id="2327" xr3:uid="{00000000-0010-0000-2000-000017090000}" name="Column2300"/>
    <tableColumn id="2328" xr3:uid="{00000000-0010-0000-2000-000018090000}" name="Column2301"/>
    <tableColumn id="2329" xr3:uid="{00000000-0010-0000-2000-000019090000}" name="Column2302"/>
    <tableColumn id="2330" xr3:uid="{00000000-0010-0000-2000-00001A090000}" name="Column2303"/>
    <tableColumn id="2331" xr3:uid="{00000000-0010-0000-2000-00001B090000}" name="Column2304"/>
    <tableColumn id="2332" xr3:uid="{00000000-0010-0000-2000-00001C090000}" name="Column2305"/>
    <tableColumn id="2333" xr3:uid="{00000000-0010-0000-2000-00001D090000}" name="Column2306"/>
    <tableColumn id="2334" xr3:uid="{00000000-0010-0000-2000-00001E090000}" name="Column2307"/>
    <tableColumn id="2335" xr3:uid="{00000000-0010-0000-2000-00001F090000}" name="Column2308"/>
    <tableColumn id="2336" xr3:uid="{00000000-0010-0000-2000-000020090000}" name="Column2309"/>
    <tableColumn id="2337" xr3:uid="{00000000-0010-0000-2000-000021090000}" name="Column2310"/>
    <tableColumn id="2338" xr3:uid="{00000000-0010-0000-2000-000022090000}" name="Column2311"/>
    <tableColumn id="2339" xr3:uid="{00000000-0010-0000-2000-000023090000}" name="Column2312"/>
    <tableColumn id="2340" xr3:uid="{00000000-0010-0000-2000-000024090000}" name="Column2313"/>
    <tableColumn id="2341" xr3:uid="{00000000-0010-0000-2000-000025090000}" name="Column2314"/>
    <tableColumn id="2342" xr3:uid="{00000000-0010-0000-2000-000026090000}" name="Column2315"/>
    <tableColumn id="2343" xr3:uid="{00000000-0010-0000-2000-000027090000}" name="Column2316"/>
    <tableColumn id="2344" xr3:uid="{00000000-0010-0000-2000-000028090000}" name="Column2317"/>
    <tableColumn id="2345" xr3:uid="{00000000-0010-0000-2000-000029090000}" name="Column2318"/>
    <tableColumn id="2346" xr3:uid="{00000000-0010-0000-2000-00002A090000}" name="Column2319"/>
    <tableColumn id="2347" xr3:uid="{00000000-0010-0000-2000-00002B090000}" name="Column2320"/>
    <tableColumn id="2348" xr3:uid="{00000000-0010-0000-2000-00002C090000}" name="Column2321"/>
    <tableColumn id="2349" xr3:uid="{00000000-0010-0000-2000-00002D090000}" name="Column2322"/>
    <tableColumn id="2350" xr3:uid="{00000000-0010-0000-2000-00002E090000}" name="Column2323"/>
    <tableColumn id="2351" xr3:uid="{00000000-0010-0000-2000-00002F090000}" name="Column2324"/>
    <tableColumn id="2352" xr3:uid="{00000000-0010-0000-2000-000030090000}" name="Column2325"/>
    <tableColumn id="2353" xr3:uid="{00000000-0010-0000-2000-000031090000}" name="Column2326"/>
    <tableColumn id="2354" xr3:uid="{00000000-0010-0000-2000-000032090000}" name="Column2327"/>
    <tableColumn id="2355" xr3:uid="{00000000-0010-0000-2000-000033090000}" name="Column2328"/>
    <tableColumn id="2356" xr3:uid="{00000000-0010-0000-2000-000034090000}" name="Column2329"/>
    <tableColumn id="2357" xr3:uid="{00000000-0010-0000-2000-000035090000}" name="Column2330"/>
    <tableColumn id="2358" xr3:uid="{00000000-0010-0000-2000-000036090000}" name="Column2331"/>
    <tableColumn id="2359" xr3:uid="{00000000-0010-0000-2000-000037090000}" name="Column2332"/>
    <tableColumn id="2360" xr3:uid="{00000000-0010-0000-2000-000038090000}" name="Column2333"/>
    <tableColumn id="2361" xr3:uid="{00000000-0010-0000-2000-000039090000}" name="Column2334"/>
    <tableColumn id="2362" xr3:uid="{00000000-0010-0000-2000-00003A090000}" name="Column2335"/>
    <tableColumn id="2363" xr3:uid="{00000000-0010-0000-2000-00003B090000}" name="Column2336"/>
    <tableColumn id="2364" xr3:uid="{00000000-0010-0000-2000-00003C090000}" name="Column2337"/>
    <tableColumn id="2365" xr3:uid="{00000000-0010-0000-2000-00003D090000}" name="Column2338"/>
    <tableColumn id="2366" xr3:uid="{00000000-0010-0000-2000-00003E090000}" name="Column2339"/>
    <tableColumn id="2367" xr3:uid="{00000000-0010-0000-2000-00003F090000}" name="Column2340"/>
    <tableColumn id="2368" xr3:uid="{00000000-0010-0000-2000-000040090000}" name="Column2341"/>
    <tableColumn id="2369" xr3:uid="{00000000-0010-0000-2000-000041090000}" name="Column2342"/>
    <tableColumn id="2370" xr3:uid="{00000000-0010-0000-2000-000042090000}" name="Column2343"/>
    <tableColumn id="2371" xr3:uid="{00000000-0010-0000-2000-000043090000}" name="Column2344"/>
    <tableColumn id="2372" xr3:uid="{00000000-0010-0000-2000-000044090000}" name="Column2345"/>
    <tableColumn id="2373" xr3:uid="{00000000-0010-0000-2000-000045090000}" name="Column2346"/>
    <tableColumn id="2374" xr3:uid="{00000000-0010-0000-2000-000046090000}" name="Column2347"/>
    <tableColumn id="2375" xr3:uid="{00000000-0010-0000-2000-000047090000}" name="Column2348"/>
    <tableColumn id="2376" xr3:uid="{00000000-0010-0000-2000-000048090000}" name="Column2349"/>
    <tableColumn id="2377" xr3:uid="{00000000-0010-0000-2000-000049090000}" name="Column2350"/>
    <tableColumn id="2378" xr3:uid="{00000000-0010-0000-2000-00004A090000}" name="Column2351"/>
    <tableColumn id="2379" xr3:uid="{00000000-0010-0000-2000-00004B090000}" name="Column2352"/>
    <tableColumn id="2380" xr3:uid="{00000000-0010-0000-2000-00004C090000}" name="Column2353"/>
    <tableColumn id="2381" xr3:uid="{00000000-0010-0000-2000-00004D090000}" name="Column2354"/>
    <tableColumn id="2382" xr3:uid="{00000000-0010-0000-2000-00004E090000}" name="Column2355"/>
    <tableColumn id="2383" xr3:uid="{00000000-0010-0000-2000-00004F090000}" name="Column2356"/>
    <tableColumn id="2384" xr3:uid="{00000000-0010-0000-2000-000050090000}" name="Column2357"/>
    <tableColumn id="2385" xr3:uid="{00000000-0010-0000-2000-000051090000}" name="Column2358"/>
    <tableColumn id="2386" xr3:uid="{00000000-0010-0000-2000-000052090000}" name="Column2359"/>
    <tableColumn id="2387" xr3:uid="{00000000-0010-0000-2000-000053090000}" name="Column2360"/>
    <tableColumn id="2388" xr3:uid="{00000000-0010-0000-2000-000054090000}" name="Column2361"/>
    <tableColumn id="2389" xr3:uid="{00000000-0010-0000-2000-000055090000}" name="Column2362"/>
    <tableColumn id="2390" xr3:uid="{00000000-0010-0000-2000-000056090000}" name="Column2363"/>
    <tableColumn id="2391" xr3:uid="{00000000-0010-0000-2000-000057090000}" name="Column2364"/>
    <tableColumn id="2392" xr3:uid="{00000000-0010-0000-2000-000058090000}" name="Column2365"/>
    <tableColumn id="2393" xr3:uid="{00000000-0010-0000-2000-000059090000}" name="Column2366"/>
    <tableColumn id="2394" xr3:uid="{00000000-0010-0000-2000-00005A090000}" name="Column2367"/>
    <tableColumn id="2395" xr3:uid="{00000000-0010-0000-2000-00005B090000}" name="Column2368"/>
    <tableColumn id="2396" xr3:uid="{00000000-0010-0000-2000-00005C090000}" name="Column2369"/>
    <tableColumn id="2397" xr3:uid="{00000000-0010-0000-2000-00005D090000}" name="Column2370"/>
    <tableColumn id="2398" xr3:uid="{00000000-0010-0000-2000-00005E090000}" name="Column2371"/>
    <tableColumn id="2399" xr3:uid="{00000000-0010-0000-2000-00005F090000}" name="Column2372"/>
    <tableColumn id="2400" xr3:uid="{00000000-0010-0000-2000-000060090000}" name="Column2373"/>
    <tableColumn id="2401" xr3:uid="{00000000-0010-0000-2000-000061090000}" name="Column2374"/>
    <tableColumn id="2402" xr3:uid="{00000000-0010-0000-2000-000062090000}" name="Column2375"/>
    <tableColumn id="2403" xr3:uid="{00000000-0010-0000-2000-000063090000}" name="Column2376"/>
    <tableColumn id="2404" xr3:uid="{00000000-0010-0000-2000-000064090000}" name="Column2377"/>
    <tableColumn id="2405" xr3:uid="{00000000-0010-0000-2000-000065090000}" name="Column2378"/>
    <tableColumn id="2406" xr3:uid="{00000000-0010-0000-2000-000066090000}" name="Column2379"/>
    <tableColumn id="2407" xr3:uid="{00000000-0010-0000-2000-000067090000}" name="Column2380"/>
    <tableColumn id="2408" xr3:uid="{00000000-0010-0000-2000-000068090000}" name="Column2381"/>
    <tableColumn id="2409" xr3:uid="{00000000-0010-0000-2000-000069090000}" name="Column2382"/>
    <tableColumn id="2410" xr3:uid="{00000000-0010-0000-2000-00006A090000}" name="Column2383"/>
    <tableColumn id="2411" xr3:uid="{00000000-0010-0000-2000-00006B090000}" name="Column2384"/>
    <tableColumn id="2412" xr3:uid="{00000000-0010-0000-2000-00006C090000}" name="Column2385"/>
    <tableColumn id="2413" xr3:uid="{00000000-0010-0000-2000-00006D090000}" name="Column2386"/>
    <tableColumn id="2414" xr3:uid="{00000000-0010-0000-2000-00006E090000}" name="Column2387"/>
    <tableColumn id="2415" xr3:uid="{00000000-0010-0000-2000-00006F090000}" name="Column2388"/>
    <tableColumn id="2416" xr3:uid="{00000000-0010-0000-2000-000070090000}" name="Column2389"/>
    <tableColumn id="2417" xr3:uid="{00000000-0010-0000-2000-000071090000}" name="Column2390"/>
    <tableColumn id="2418" xr3:uid="{00000000-0010-0000-2000-000072090000}" name="Column2391"/>
    <tableColumn id="2419" xr3:uid="{00000000-0010-0000-2000-000073090000}" name="Column2392"/>
    <tableColumn id="2420" xr3:uid="{00000000-0010-0000-2000-000074090000}" name="Column2393"/>
    <tableColumn id="2421" xr3:uid="{00000000-0010-0000-2000-000075090000}" name="Column2394"/>
    <tableColumn id="2422" xr3:uid="{00000000-0010-0000-2000-000076090000}" name="Column2395"/>
    <tableColumn id="2423" xr3:uid="{00000000-0010-0000-2000-000077090000}" name="Column2396"/>
    <tableColumn id="2424" xr3:uid="{00000000-0010-0000-2000-000078090000}" name="Column2397"/>
    <tableColumn id="2425" xr3:uid="{00000000-0010-0000-2000-000079090000}" name="Column2398"/>
    <tableColumn id="2426" xr3:uid="{00000000-0010-0000-2000-00007A090000}" name="Column2399"/>
    <tableColumn id="2427" xr3:uid="{00000000-0010-0000-2000-00007B090000}" name="Column2400"/>
    <tableColumn id="2428" xr3:uid="{00000000-0010-0000-2000-00007C090000}" name="Column2401"/>
    <tableColumn id="2429" xr3:uid="{00000000-0010-0000-2000-00007D090000}" name="Column2402"/>
    <tableColumn id="2430" xr3:uid="{00000000-0010-0000-2000-00007E090000}" name="Column2403"/>
    <tableColumn id="2431" xr3:uid="{00000000-0010-0000-2000-00007F090000}" name="Column2404"/>
    <tableColumn id="2432" xr3:uid="{00000000-0010-0000-2000-000080090000}" name="Column2405"/>
    <tableColumn id="2433" xr3:uid="{00000000-0010-0000-2000-000081090000}" name="Column2406"/>
    <tableColumn id="2434" xr3:uid="{00000000-0010-0000-2000-000082090000}" name="Column2407"/>
    <tableColumn id="2435" xr3:uid="{00000000-0010-0000-2000-000083090000}" name="Column2408"/>
    <tableColumn id="2436" xr3:uid="{00000000-0010-0000-2000-000084090000}" name="Column2409"/>
    <tableColumn id="2437" xr3:uid="{00000000-0010-0000-2000-000085090000}" name="Column2410"/>
    <tableColumn id="2438" xr3:uid="{00000000-0010-0000-2000-000086090000}" name="Column2411"/>
    <tableColumn id="2439" xr3:uid="{00000000-0010-0000-2000-000087090000}" name="Column2412"/>
    <tableColumn id="2440" xr3:uid="{00000000-0010-0000-2000-000088090000}" name="Column2413"/>
    <tableColumn id="2441" xr3:uid="{00000000-0010-0000-2000-000089090000}" name="Column2414"/>
    <tableColumn id="2442" xr3:uid="{00000000-0010-0000-2000-00008A090000}" name="Column2415"/>
    <tableColumn id="2443" xr3:uid="{00000000-0010-0000-2000-00008B090000}" name="Column2416"/>
    <tableColumn id="2444" xr3:uid="{00000000-0010-0000-2000-00008C090000}" name="Column2417"/>
    <tableColumn id="2445" xr3:uid="{00000000-0010-0000-2000-00008D090000}" name="Column2418"/>
    <tableColumn id="2446" xr3:uid="{00000000-0010-0000-2000-00008E090000}" name="Column2419"/>
    <tableColumn id="2447" xr3:uid="{00000000-0010-0000-2000-00008F090000}" name="Column2420"/>
    <tableColumn id="2448" xr3:uid="{00000000-0010-0000-2000-000090090000}" name="Column2421"/>
    <tableColumn id="2449" xr3:uid="{00000000-0010-0000-2000-000091090000}" name="Column2422"/>
    <tableColumn id="2450" xr3:uid="{00000000-0010-0000-2000-000092090000}" name="Column2423"/>
    <tableColumn id="2451" xr3:uid="{00000000-0010-0000-2000-000093090000}" name="Column2424"/>
    <tableColumn id="2452" xr3:uid="{00000000-0010-0000-2000-000094090000}" name="Column2425"/>
    <tableColumn id="2453" xr3:uid="{00000000-0010-0000-2000-000095090000}" name="Column2426"/>
    <tableColumn id="2454" xr3:uid="{00000000-0010-0000-2000-000096090000}" name="Column2427"/>
    <tableColumn id="2455" xr3:uid="{00000000-0010-0000-2000-000097090000}" name="Column2428"/>
    <tableColumn id="2456" xr3:uid="{00000000-0010-0000-2000-000098090000}" name="Column2429"/>
    <tableColumn id="2457" xr3:uid="{00000000-0010-0000-2000-000099090000}" name="Column2430"/>
    <tableColumn id="2458" xr3:uid="{00000000-0010-0000-2000-00009A090000}" name="Column2431"/>
    <tableColumn id="2459" xr3:uid="{00000000-0010-0000-2000-00009B090000}" name="Column2432"/>
    <tableColumn id="2460" xr3:uid="{00000000-0010-0000-2000-00009C090000}" name="Column2433"/>
    <tableColumn id="2461" xr3:uid="{00000000-0010-0000-2000-00009D090000}" name="Column2434"/>
    <tableColumn id="2462" xr3:uid="{00000000-0010-0000-2000-00009E090000}" name="Column2435"/>
    <tableColumn id="2463" xr3:uid="{00000000-0010-0000-2000-00009F090000}" name="Column2436"/>
    <tableColumn id="2464" xr3:uid="{00000000-0010-0000-2000-0000A0090000}" name="Column2437"/>
    <tableColumn id="2465" xr3:uid="{00000000-0010-0000-2000-0000A1090000}" name="Column2438"/>
    <tableColumn id="2466" xr3:uid="{00000000-0010-0000-2000-0000A2090000}" name="Column2439"/>
    <tableColumn id="2467" xr3:uid="{00000000-0010-0000-2000-0000A3090000}" name="Column2440"/>
    <tableColumn id="2468" xr3:uid="{00000000-0010-0000-2000-0000A4090000}" name="Column2441"/>
    <tableColumn id="2469" xr3:uid="{00000000-0010-0000-2000-0000A5090000}" name="Column2442"/>
    <tableColumn id="2470" xr3:uid="{00000000-0010-0000-2000-0000A6090000}" name="Column2443"/>
    <tableColumn id="2471" xr3:uid="{00000000-0010-0000-2000-0000A7090000}" name="Column2444"/>
    <tableColumn id="2472" xr3:uid="{00000000-0010-0000-2000-0000A8090000}" name="Column2445"/>
    <tableColumn id="2473" xr3:uid="{00000000-0010-0000-2000-0000A9090000}" name="Column2446"/>
    <tableColumn id="2474" xr3:uid="{00000000-0010-0000-2000-0000AA090000}" name="Column2447"/>
    <tableColumn id="2475" xr3:uid="{00000000-0010-0000-2000-0000AB090000}" name="Column2448"/>
    <tableColumn id="2476" xr3:uid="{00000000-0010-0000-2000-0000AC090000}" name="Column2449"/>
    <tableColumn id="2477" xr3:uid="{00000000-0010-0000-2000-0000AD090000}" name="Column2450"/>
    <tableColumn id="2478" xr3:uid="{00000000-0010-0000-2000-0000AE090000}" name="Column2451"/>
    <tableColumn id="2479" xr3:uid="{00000000-0010-0000-2000-0000AF090000}" name="Column2452"/>
    <tableColumn id="2480" xr3:uid="{00000000-0010-0000-2000-0000B0090000}" name="Column2453"/>
    <tableColumn id="2481" xr3:uid="{00000000-0010-0000-2000-0000B1090000}" name="Column2454"/>
    <tableColumn id="2482" xr3:uid="{00000000-0010-0000-2000-0000B2090000}" name="Column2455"/>
    <tableColumn id="2483" xr3:uid="{00000000-0010-0000-2000-0000B3090000}" name="Column2456"/>
    <tableColumn id="2484" xr3:uid="{00000000-0010-0000-2000-0000B4090000}" name="Column2457"/>
    <tableColumn id="2485" xr3:uid="{00000000-0010-0000-2000-0000B5090000}" name="Column2458"/>
    <tableColumn id="2486" xr3:uid="{00000000-0010-0000-2000-0000B6090000}" name="Column2459"/>
    <tableColumn id="2487" xr3:uid="{00000000-0010-0000-2000-0000B7090000}" name="Column2460"/>
    <tableColumn id="2488" xr3:uid="{00000000-0010-0000-2000-0000B8090000}" name="Column2461"/>
    <tableColumn id="2489" xr3:uid="{00000000-0010-0000-2000-0000B9090000}" name="Column2462"/>
    <tableColumn id="2490" xr3:uid="{00000000-0010-0000-2000-0000BA090000}" name="Column2463"/>
    <tableColumn id="2491" xr3:uid="{00000000-0010-0000-2000-0000BB090000}" name="Column2464"/>
    <tableColumn id="2492" xr3:uid="{00000000-0010-0000-2000-0000BC090000}" name="Column2465"/>
    <tableColumn id="2493" xr3:uid="{00000000-0010-0000-2000-0000BD090000}" name="Column2466"/>
    <tableColumn id="2494" xr3:uid="{00000000-0010-0000-2000-0000BE090000}" name="Column2467"/>
    <tableColumn id="2495" xr3:uid="{00000000-0010-0000-2000-0000BF090000}" name="Column2468"/>
    <tableColumn id="2496" xr3:uid="{00000000-0010-0000-2000-0000C0090000}" name="Column2469"/>
    <tableColumn id="2497" xr3:uid="{00000000-0010-0000-2000-0000C1090000}" name="Column2470"/>
    <tableColumn id="2498" xr3:uid="{00000000-0010-0000-2000-0000C2090000}" name="Column2471"/>
    <tableColumn id="2499" xr3:uid="{00000000-0010-0000-2000-0000C3090000}" name="Column2472"/>
    <tableColumn id="2500" xr3:uid="{00000000-0010-0000-2000-0000C4090000}" name="Column2473"/>
    <tableColumn id="2501" xr3:uid="{00000000-0010-0000-2000-0000C5090000}" name="Column2474"/>
    <tableColumn id="2502" xr3:uid="{00000000-0010-0000-2000-0000C6090000}" name="Column2475"/>
    <tableColumn id="2503" xr3:uid="{00000000-0010-0000-2000-0000C7090000}" name="Column2476"/>
    <tableColumn id="2504" xr3:uid="{00000000-0010-0000-2000-0000C8090000}" name="Column2477"/>
    <tableColumn id="2505" xr3:uid="{00000000-0010-0000-2000-0000C9090000}" name="Column2478"/>
    <tableColumn id="2506" xr3:uid="{00000000-0010-0000-2000-0000CA090000}" name="Column2479"/>
    <tableColumn id="2507" xr3:uid="{00000000-0010-0000-2000-0000CB090000}" name="Column2480"/>
    <tableColumn id="2508" xr3:uid="{00000000-0010-0000-2000-0000CC090000}" name="Column2481"/>
    <tableColumn id="2509" xr3:uid="{00000000-0010-0000-2000-0000CD090000}" name="Column2482"/>
    <tableColumn id="2510" xr3:uid="{00000000-0010-0000-2000-0000CE090000}" name="Column2483"/>
    <tableColumn id="2511" xr3:uid="{00000000-0010-0000-2000-0000CF090000}" name="Column2484"/>
    <tableColumn id="2512" xr3:uid="{00000000-0010-0000-2000-0000D0090000}" name="Column2485"/>
    <tableColumn id="2513" xr3:uid="{00000000-0010-0000-2000-0000D1090000}" name="Column2486"/>
    <tableColumn id="2514" xr3:uid="{00000000-0010-0000-2000-0000D2090000}" name="Column2487"/>
    <tableColumn id="2515" xr3:uid="{00000000-0010-0000-2000-0000D3090000}" name="Column2488"/>
    <tableColumn id="2516" xr3:uid="{00000000-0010-0000-2000-0000D4090000}" name="Column2489"/>
    <tableColumn id="2517" xr3:uid="{00000000-0010-0000-2000-0000D5090000}" name="Column2490"/>
    <tableColumn id="2518" xr3:uid="{00000000-0010-0000-2000-0000D6090000}" name="Column2491"/>
    <tableColumn id="2519" xr3:uid="{00000000-0010-0000-2000-0000D7090000}" name="Column2492"/>
    <tableColumn id="2520" xr3:uid="{00000000-0010-0000-2000-0000D8090000}" name="Column2493"/>
    <tableColumn id="2521" xr3:uid="{00000000-0010-0000-2000-0000D9090000}" name="Column2494"/>
    <tableColumn id="2522" xr3:uid="{00000000-0010-0000-2000-0000DA090000}" name="Column2495"/>
    <tableColumn id="2523" xr3:uid="{00000000-0010-0000-2000-0000DB090000}" name="Column2496"/>
    <tableColumn id="2524" xr3:uid="{00000000-0010-0000-2000-0000DC090000}" name="Column2497"/>
    <tableColumn id="2525" xr3:uid="{00000000-0010-0000-2000-0000DD090000}" name="Column2498"/>
    <tableColumn id="2526" xr3:uid="{00000000-0010-0000-2000-0000DE090000}" name="Column2499"/>
    <tableColumn id="2527" xr3:uid="{00000000-0010-0000-2000-0000DF090000}" name="Column2500"/>
    <tableColumn id="2528" xr3:uid="{00000000-0010-0000-2000-0000E0090000}" name="Column2501"/>
    <tableColumn id="2529" xr3:uid="{00000000-0010-0000-2000-0000E1090000}" name="Column2502"/>
    <tableColumn id="2530" xr3:uid="{00000000-0010-0000-2000-0000E2090000}" name="Column2503"/>
    <tableColumn id="2531" xr3:uid="{00000000-0010-0000-2000-0000E3090000}" name="Column2504"/>
    <tableColumn id="2532" xr3:uid="{00000000-0010-0000-2000-0000E4090000}" name="Column2505"/>
    <tableColumn id="2533" xr3:uid="{00000000-0010-0000-2000-0000E5090000}" name="Column2506"/>
    <tableColumn id="2534" xr3:uid="{00000000-0010-0000-2000-0000E6090000}" name="Column2507"/>
    <tableColumn id="2535" xr3:uid="{00000000-0010-0000-2000-0000E7090000}" name="Column2508"/>
    <tableColumn id="2536" xr3:uid="{00000000-0010-0000-2000-0000E8090000}" name="Column2509"/>
    <tableColumn id="2537" xr3:uid="{00000000-0010-0000-2000-0000E9090000}" name="Column2510"/>
    <tableColumn id="2538" xr3:uid="{00000000-0010-0000-2000-0000EA090000}" name="Column2511"/>
    <tableColumn id="2539" xr3:uid="{00000000-0010-0000-2000-0000EB090000}" name="Column2512"/>
    <tableColumn id="2540" xr3:uid="{00000000-0010-0000-2000-0000EC090000}" name="Column2513"/>
    <tableColumn id="2541" xr3:uid="{00000000-0010-0000-2000-0000ED090000}" name="Column2514"/>
    <tableColumn id="2542" xr3:uid="{00000000-0010-0000-2000-0000EE090000}" name="Column2515"/>
    <tableColumn id="2543" xr3:uid="{00000000-0010-0000-2000-0000EF090000}" name="Column2516"/>
    <tableColumn id="2544" xr3:uid="{00000000-0010-0000-2000-0000F0090000}" name="Column2517"/>
    <tableColumn id="2545" xr3:uid="{00000000-0010-0000-2000-0000F1090000}" name="Column2518"/>
    <tableColumn id="2546" xr3:uid="{00000000-0010-0000-2000-0000F2090000}" name="Column2519"/>
    <tableColumn id="2547" xr3:uid="{00000000-0010-0000-2000-0000F3090000}" name="Column2520"/>
    <tableColumn id="2548" xr3:uid="{00000000-0010-0000-2000-0000F4090000}" name="Column2521"/>
    <tableColumn id="2549" xr3:uid="{00000000-0010-0000-2000-0000F5090000}" name="Column2522"/>
    <tableColumn id="2550" xr3:uid="{00000000-0010-0000-2000-0000F6090000}" name="Column2523"/>
    <tableColumn id="2551" xr3:uid="{00000000-0010-0000-2000-0000F7090000}" name="Column2524"/>
    <tableColumn id="2552" xr3:uid="{00000000-0010-0000-2000-0000F8090000}" name="Column2525"/>
    <tableColumn id="2553" xr3:uid="{00000000-0010-0000-2000-0000F9090000}" name="Column2526"/>
    <tableColumn id="2554" xr3:uid="{00000000-0010-0000-2000-0000FA090000}" name="Column2527"/>
    <tableColumn id="2555" xr3:uid="{00000000-0010-0000-2000-0000FB090000}" name="Column2528"/>
    <tableColumn id="2556" xr3:uid="{00000000-0010-0000-2000-0000FC090000}" name="Column2529"/>
    <tableColumn id="2557" xr3:uid="{00000000-0010-0000-2000-0000FD090000}" name="Column2530"/>
    <tableColumn id="2558" xr3:uid="{00000000-0010-0000-2000-0000FE090000}" name="Column2531"/>
    <tableColumn id="2559" xr3:uid="{00000000-0010-0000-2000-0000FF090000}" name="Column2532"/>
    <tableColumn id="2560" xr3:uid="{00000000-0010-0000-2000-0000000A0000}" name="Column2533"/>
    <tableColumn id="2561" xr3:uid="{00000000-0010-0000-2000-0000010A0000}" name="Column2534"/>
    <tableColumn id="2562" xr3:uid="{00000000-0010-0000-2000-0000020A0000}" name="Column2535"/>
    <tableColumn id="2563" xr3:uid="{00000000-0010-0000-2000-0000030A0000}" name="Column2536"/>
    <tableColumn id="2564" xr3:uid="{00000000-0010-0000-2000-0000040A0000}" name="Column2537"/>
    <tableColumn id="2565" xr3:uid="{00000000-0010-0000-2000-0000050A0000}" name="Column2538"/>
    <tableColumn id="2566" xr3:uid="{00000000-0010-0000-2000-0000060A0000}" name="Column2539"/>
    <tableColumn id="2567" xr3:uid="{00000000-0010-0000-2000-0000070A0000}" name="Column2540"/>
    <tableColumn id="2568" xr3:uid="{00000000-0010-0000-2000-0000080A0000}" name="Column2541"/>
    <tableColumn id="2569" xr3:uid="{00000000-0010-0000-2000-0000090A0000}" name="Column2542"/>
    <tableColumn id="2570" xr3:uid="{00000000-0010-0000-2000-00000A0A0000}" name="Column2543"/>
    <tableColumn id="2571" xr3:uid="{00000000-0010-0000-2000-00000B0A0000}" name="Column2544"/>
    <tableColumn id="2572" xr3:uid="{00000000-0010-0000-2000-00000C0A0000}" name="Column2545"/>
    <tableColumn id="2573" xr3:uid="{00000000-0010-0000-2000-00000D0A0000}" name="Column2546"/>
    <tableColumn id="2574" xr3:uid="{00000000-0010-0000-2000-00000E0A0000}" name="Column2547"/>
    <tableColumn id="2575" xr3:uid="{00000000-0010-0000-2000-00000F0A0000}" name="Column2548"/>
    <tableColumn id="2576" xr3:uid="{00000000-0010-0000-2000-0000100A0000}" name="Column2549"/>
    <tableColumn id="2577" xr3:uid="{00000000-0010-0000-2000-0000110A0000}" name="Column2550"/>
    <tableColumn id="2578" xr3:uid="{00000000-0010-0000-2000-0000120A0000}" name="Column2551"/>
    <tableColumn id="2579" xr3:uid="{00000000-0010-0000-2000-0000130A0000}" name="Column2552"/>
    <tableColumn id="2580" xr3:uid="{00000000-0010-0000-2000-0000140A0000}" name="Column2553"/>
    <tableColumn id="2581" xr3:uid="{00000000-0010-0000-2000-0000150A0000}" name="Column2554"/>
    <tableColumn id="2582" xr3:uid="{00000000-0010-0000-2000-0000160A0000}" name="Column2555"/>
    <tableColumn id="2583" xr3:uid="{00000000-0010-0000-2000-0000170A0000}" name="Column2556"/>
    <tableColumn id="2584" xr3:uid="{00000000-0010-0000-2000-0000180A0000}" name="Column2557"/>
    <tableColumn id="2585" xr3:uid="{00000000-0010-0000-2000-0000190A0000}" name="Column2558"/>
    <tableColumn id="2586" xr3:uid="{00000000-0010-0000-2000-00001A0A0000}" name="Column2559"/>
    <tableColumn id="2587" xr3:uid="{00000000-0010-0000-2000-00001B0A0000}" name="Column2560"/>
    <tableColumn id="2588" xr3:uid="{00000000-0010-0000-2000-00001C0A0000}" name="Column2561"/>
    <tableColumn id="2589" xr3:uid="{00000000-0010-0000-2000-00001D0A0000}" name="Column2562"/>
    <tableColumn id="2590" xr3:uid="{00000000-0010-0000-2000-00001E0A0000}" name="Column2563"/>
    <tableColumn id="2591" xr3:uid="{00000000-0010-0000-2000-00001F0A0000}" name="Column2564"/>
    <tableColumn id="2592" xr3:uid="{00000000-0010-0000-2000-0000200A0000}" name="Column2565"/>
    <tableColumn id="2593" xr3:uid="{00000000-0010-0000-2000-0000210A0000}" name="Column2566"/>
    <tableColumn id="2594" xr3:uid="{00000000-0010-0000-2000-0000220A0000}" name="Column2567"/>
    <tableColumn id="2595" xr3:uid="{00000000-0010-0000-2000-0000230A0000}" name="Column2568"/>
    <tableColumn id="2596" xr3:uid="{00000000-0010-0000-2000-0000240A0000}" name="Column2569"/>
    <tableColumn id="2597" xr3:uid="{00000000-0010-0000-2000-0000250A0000}" name="Column2570"/>
    <tableColumn id="2598" xr3:uid="{00000000-0010-0000-2000-0000260A0000}" name="Column2571"/>
    <tableColumn id="2599" xr3:uid="{00000000-0010-0000-2000-0000270A0000}" name="Column2572"/>
    <tableColumn id="2600" xr3:uid="{00000000-0010-0000-2000-0000280A0000}" name="Column2573"/>
    <tableColumn id="2601" xr3:uid="{00000000-0010-0000-2000-0000290A0000}" name="Column2574"/>
    <tableColumn id="2602" xr3:uid="{00000000-0010-0000-2000-00002A0A0000}" name="Column2575"/>
    <tableColumn id="2603" xr3:uid="{00000000-0010-0000-2000-00002B0A0000}" name="Column2576"/>
    <tableColumn id="2604" xr3:uid="{00000000-0010-0000-2000-00002C0A0000}" name="Column2577"/>
    <tableColumn id="2605" xr3:uid="{00000000-0010-0000-2000-00002D0A0000}" name="Column2578"/>
    <tableColumn id="2606" xr3:uid="{00000000-0010-0000-2000-00002E0A0000}" name="Column2579"/>
    <tableColumn id="2607" xr3:uid="{00000000-0010-0000-2000-00002F0A0000}" name="Column2580"/>
    <tableColumn id="2608" xr3:uid="{00000000-0010-0000-2000-0000300A0000}" name="Column2581"/>
    <tableColumn id="2609" xr3:uid="{00000000-0010-0000-2000-0000310A0000}" name="Column2582"/>
    <tableColumn id="2610" xr3:uid="{00000000-0010-0000-2000-0000320A0000}" name="Column2583"/>
    <tableColumn id="2611" xr3:uid="{00000000-0010-0000-2000-0000330A0000}" name="Column2584"/>
    <tableColumn id="2612" xr3:uid="{00000000-0010-0000-2000-0000340A0000}" name="Column2585"/>
    <tableColumn id="2613" xr3:uid="{00000000-0010-0000-2000-0000350A0000}" name="Column2586"/>
    <tableColumn id="2614" xr3:uid="{00000000-0010-0000-2000-0000360A0000}" name="Column2587"/>
    <tableColumn id="2615" xr3:uid="{00000000-0010-0000-2000-0000370A0000}" name="Column2588"/>
    <tableColumn id="2616" xr3:uid="{00000000-0010-0000-2000-0000380A0000}" name="Column2589"/>
    <tableColumn id="2617" xr3:uid="{00000000-0010-0000-2000-0000390A0000}" name="Column2590"/>
    <tableColumn id="2618" xr3:uid="{00000000-0010-0000-2000-00003A0A0000}" name="Column2591"/>
    <tableColumn id="2619" xr3:uid="{00000000-0010-0000-2000-00003B0A0000}" name="Column2592"/>
    <tableColumn id="2620" xr3:uid="{00000000-0010-0000-2000-00003C0A0000}" name="Column2593"/>
    <tableColumn id="2621" xr3:uid="{00000000-0010-0000-2000-00003D0A0000}" name="Column2594"/>
    <tableColumn id="2622" xr3:uid="{00000000-0010-0000-2000-00003E0A0000}" name="Column2595"/>
    <tableColumn id="2623" xr3:uid="{00000000-0010-0000-2000-00003F0A0000}" name="Column2596"/>
    <tableColumn id="2624" xr3:uid="{00000000-0010-0000-2000-0000400A0000}" name="Column2597"/>
    <tableColumn id="2625" xr3:uid="{00000000-0010-0000-2000-0000410A0000}" name="Column2598"/>
    <tableColumn id="2626" xr3:uid="{00000000-0010-0000-2000-0000420A0000}" name="Column2599"/>
    <tableColumn id="2627" xr3:uid="{00000000-0010-0000-2000-0000430A0000}" name="Column2600"/>
    <tableColumn id="2628" xr3:uid="{00000000-0010-0000-2000-0000440A0000}" name="Column2601"/>
    <tableColumn id="2629" xr3:uid="{00000000-0010-0000-2000-0000450A0000}" name="Column2602"/>
    <tableColumn id="2630" xr3:uid="{00000000-0010-0000-2000-0000460A0000}" name="Column2603"/>
    <tableColumn id="2631" xr3:uid="{00000000-0010-0000-2000-0000470A0000}" name="Column2604"/>
    <tableColumn id="2632" xr3:uid="{00000000-0010-0000-2000-0000480A0000}" name="Column2605"/>
    <tableColumn id="2633" xr3:uid="{00000000-0010-0000-2000-0000490A0000}" name="Column2606"/>
    <tableColumn id="2634" xr3:uid="{00000000-0010-0000-2000-00004A0A0000}" name="Column2607"/>
    <tableColumn id="2635" xr3:uid="{00000000-0010-0000-2000-00004B0A0000}" name="Column2608"/>
    <tableColumn id="2636" xr3:uid="{00000000-0010-0000-2000-00004C0A0000}" name="Column2609"/>
    <tableColumn id="2637" xr3:uid="{00000000-0010-0000-2000-00004D0A0000}" name="Column2610"/>
    <tableColumn id="2638" xr3:uid="{00000000-0010-0000-2000-00004E0A0000}" name="Column2611"/>
    <tableColumn id="2639" xr3:uid="{00000000-0010-0000-2000-00004F0A0000}" name="Column2612"/>
    <tableColumn id="2640" xr3:uid="{00000000-0010-0000-2000-0000500A0000}" name="Column2613"/>
    <tableColumn id="2641" xr3:uid="{00000000-0010-0000-2000-0000510A0000}" name="Column2614"/>
    <tableColumn id="2642" xr3:uid="{00000000-0010-0000-2000-0000520A0000}" name="Column2615"/>
    <tableColumn id="2643" xr3:uid="{00000000-0010-0000-2000-0000530A0000}" name="Column2616"/>
    <tableColumn id="2644" xr3:uid="{00000000-0010-0000-2000-0000540A0000}" name="Column2617"/>
    <tableColumn id="2645" xr3:uid="{00000000-0010-0000-2000-0000550A0000}" name="Column2618"/>
    <tableColumn id="2646" xr3:uid="{00000000-0010-0000-2000-0000560A0000}" name="Column2619"/>
    <tableColumn id="2647" xr3:uid="{00000000-0010-0000-2000-0000570A0000}" name="Column2620"/>
    <tableColumn id="2648" xr3:uid="{00000000-0010-0000-2000-0000580A0000}" name="Column2621"/>
    <tableColumn id="2649" xr3:uid="{00000000-0010-0000-2000-0000590A0000}" name="Column2622"/>
    <tableColumn id="2650" xr3:uid="{00000000-0010-0000-2000-00005A0A0000}" name="Column2623"/>
    <tableColumn id="2651" xr3:uid="{00000000-0010-0000-2000-00005B0A0000}" name="Column2624"/>
    <tableColumn id="2652" xr3:uid="{00000000-0010-0000-2000-00005C0A0000}" name="Column2625"/>
    <tableColumn id="2653" xr3:uid="{00000000-0010-0000-2000-00005D0A0000}" name="Column2626"/>
    <tableColumn id="2654" xr3:uid="{00000000-0010-0000-2000-00005E0A0000}" name="Column2627"/>
    <tableColumn id="2655" xr3:uid="{00000000-0010-0000-2000-00005F0A0000}" name="Column2628"/>
    <tableColumn id="2656" xr3:uid="{00000000-0010-0000-2000-0000600A0000}" name="Column2629"/>
    <tableColumn id="2657" xr3:uid="{00000000-0010-0000-2000-0000610A0000}" name="Column2630"/>
    <tableColumn id="2658" xr3:uid="{00000000-0010-0000-2000-0000620A0000}" name="Column2631"/>
    <tableColumn id="2659" xr3:uid="{00000000-0010-0000-2000-0000630A0000}" name="Column2632"/>
    <tableColumn id="2660" xr3:uid="{00000000-0010-0000-2000-0000640A0000}" name="Column2633"/>
    <tableColumn id="2661" xr3:uid="{00000000-0010-0000-2000-0000650A0000}" name="Column2634"/>
    <tableColumn id="2662" xr3:uid="{00000000-0010-0000-2000-0000660A0000}" name="Column2635"/>
    <tableColumn id="2663" xr3:uid="{00000000-0010-0000-2000-0000670A0000}" name="Column2636"/>
    <tableColumn id="2664" xr3:uid="{00000000-0010-0000-2000-0000680A0000}" name="Column2637"/>
    <tableColumn id="2665" xr3:uid="{00000000-0010-0000-2000-0000690A0000}" name="Column2638"/>
    <tableColumn id="2666" xr3:uid="{00000000-0010-0000-2000-00006A0A0000}" name="Column2639"/>
    <tableColumn id="2667" xr3:uid="{00000000-0010-0000-2000-00006B0A0000}" name="Column2640"/>
    <tableColumn id="2668" xr3:uid="{00000000-0010-0000-2000-00006C0A0000}" name="Column2641"/>
    <tableColumn id="2669" xr3:uid="{00000000-0010-0000-2000-00006D0A0000}" name="Column2642"/>
    <tableColumn id="2670" xr3:uid="{00000000-0010-0000-2000-00006E0A0000}" name="Column2643"/>
    <tableColumn id="2671" xr3:uid="{00000000-0010-0000-2000-00006F0A0000}" name="Column2644"/>
    <tableColumn id="2672" xr3:uid="{00000000-0010-0000-2000-0000700A0000}" name="Column2645"/>
    <tableColumn id="2673" xr3:uid="{00000000-0010-0000-2000-0000710A0000}" name="Column2646"/>
    <tableColumn id="2674" xr3:uid="{00000000-0010-0000-2000-0000720A0000}" name="Column2647"/>
    <tableColumn id="2675" xr3:uid="{00000000-0010-0000-2000-0000730A0000}" name="Column2648"/>
    <tableColumn id="2676" xr3:uid="{00000000-0010-0000-2000-0000740A0000}" name="Column2649"/>
    <tableColumn id="2677" xr3:uid="{00000000-0010-0000-2000-0000750A0000}" name="Column2650"/>
    <tableColumn id="2678" xr3:uid="{00000000-0010-0000-2000-0000760A0000}" name="Column2651"/>
    <tableColumn id="2679" xr3:uid="{00000000-0010-0000-2000-0000770A0000}" name="Column2652"/>
    <tableColumn id="2680" xr3:uid="{00000000-0010-0000-2000-0000780A0000}" name="Column2653"/>
    <tableColumn id="2681" xr3:uid="{00000000-0010-0000-2000-0000790A0000}" name="Column2654"/>
    <tableColumn id="2682" xr3:uid="{00000000-0010-0000-2000-00007A0A0000}" name="Column2655"/>
    <tableColumn id="2683" xr3:uid="{00000000-0010-0000-2000-00007B0A0000}" name="Column2656"/>
    <tableColumn id="2684" xr3:uid="{00000000-0010-0000-2000-00007C0A0000}" name="Column2657"/>
    <tableColumn id="2685" xr3:uid="{00000000-0010-0000-2000-00007D0A0000}" name="Column2658"/>
    <tableColumn id="2686" xr3:uid="{00000000-0010-0000-2000-00007E0A0000}" name="Column2659"/>
    <tableColumn id="2687" xr3:uid="{00000000-0010-0000-2000-00007F0A0000}" name="Column2660"/>
    <tableColumn id="2688" xr3:uid="{00000000-0010-0000-2000-0000800A0000}" name="Column2661"/>
    <tableColumn id="2689" xr3:uid="{00000000-0010-0000-2000-0000810A0000}" name="Column2662"/>
    <tableColumn id="2690" xr3:uid="{00000000-0010-0000-2000-0000820A0000}" name="Column2663"/>
    <tableColumn id="2691" xr3:uid="{00000000-0010-0000-2000-0000830A0000}" name="Column2664"/>
    <tableColumn id="2692" xr3:uid="{00000000-0010-0000-2000-0000840A0000}" name="Column2665"/>
    <tableColumn id="2693" xr3:uid="{00000000-0010-0000-2000-0000850A0000}" name="Column2666"/>
    <tableColumn id="2694" xr3:uid="{00000000-0010-0000-2000-0000860A0000}" name="Column2667"/>
    <tableColumn id="2695" xr3:uid="{00000000-0010-0000-2000-0000870A0000}" name="Column2668"/>
    <tableColumn id="2696" xr3:uid="{00000000-0010-0000-2000-0000880A0000}" name="Column2669"/>
    <tableColumn id="2697" xr3:uid="{00000000-0010-0000-2000-0000890A0000}" name="Column2670"/>
    <tableColumn id="2698" xr3:uid="{00000000-0010-0000-2000-00008A0A0000}" name="Column2671"/>
    <tableColumn id="2699" xr3:uid="{00000000-0010-0000-2000-00008B0A0000}" name="Column2672"/>
    <tableColumn id="2700" xr3:uid="{00000000-0010-0000-2000-00008C0A0000}" name="Column2673"/>
    <tableColumn id="2701" xr3:uid="{00000000-0010-0000-2000-00008D0A0000}" name="Column2674"/>
    <tableColumn id="2702" xr3:uid="{00000000-0010-0000-2000-00008E0A0000}" name="Column2675"/>
    <tableColumn id="2703" xr3:uid="{00000000-0010-0000-2000-00008F0A0000}" name="Column2676"/>
    <tableColumn id="2704" xr3:uid="{00000000-0010-0000-2000-0000900A0000}" name="Column2677"/>
    <tableColumn id="2705" xr3:uid="{00000000-0010-0000-2000-0000910A0000}" name="Column2678"/>
    <tableColumn id="2706" xr3:uid="{00000000-0010-0000-2000-0000920A0000}" name="Column2679"/>
    <tableColumn id="2707" xr3:uid="{00000000-0010-0000-2000-0000930A0000}" name="Column2680"/>
    <tableColumn id="2708" xr3:uid="{00000000-0010-0000-2000-0000940A0000}" name="Column2681"/>
    <tableColumn id="2709" xr3:uid="{00000000-0010-0000-2000-0000950A0000}" name="Column2682"/>
    <tableColumn id="2710" xr3:uid="{00000000-0010-0000-2000-0000960A0000}" name="Column2683"/>
    <tableColumn id="2711" xr3:uid="{00000000-0010-0000-2000-0000970A0000}" name="Column2684"/>
    <tableColumn id="2712" xr3:uid="{00000000-0010-0000-2000-0000980A0000}" name="Column2685"/>
    <tableColumn id="2713" xr3:uid="{00000000-0010-0000-2000-0000990A0000}" name="Column2686"/>
    <tableColumn id="2714" xr3:uid="{00000000-0010-0000-2000-00009A0A0000}" name="Column2687"/>
    <tableColumn id="2715" xr3:uid="{00000000-0010-0000-2000-00009B0A0000}" name="Column2688"/>
    <tableColumn id="2716" xr3:uid="{00000000-0010-0000-2000-00009C0A0000}" name="Column2689"/>
    <tableColumn id="2717" xr3:uid="{00000000-0010-0000-2000-00009D0A0000}" name="Column2690"/>
    <tableColumn id="2718" xr3:uid="{00000000-0010-0000-2000-00009E0A0000}" name="Column2691"/>
    <tableColumn id="2719" xr3:uid="{00000000-0010-0000-2000-00009F0A0000}" name="Column2692"/>
    <tableColumn id="2720" xr3:uid="{00000000-0010-0000-2000-0000A00A0000}" name="Column2693"/>
    <tableColumn id="2721" xr3:uid="{00000000-0010-0000-2000-0000A10A0000}" name="Column2694"/>
    <tableColumn id="2722" xr3:uid="{00000000-0010-0000-2000-0000A20A0000}" name="Column2695"/>
    <tableColumn id="2723" xr3:uid="{00000000-0010-0000-2000-0000A30A0000}" name="Column2696"/>
    <tableColumn id="2724" xr3:uid="{00000000-0010-0000-2000-0000A40A0000}" name="Column2697"/>
    <tableColumn id="2725" xr3:uid="{00000000-0010-0000-2000-0000A50A0000}" name="Column2698"/>
    <tableColumn id="2726" xr3:uid="{00000000-0010-0000-2000-0000A60A0000}" name="Column2699"/>
    <tableColumn id="2727" xr3:uid="{00000000-0010-0000-2000-0000A70A0000}" name="Column2700"/>
    <tableColumn id="2728" xr3:uid="{00000000-0010-0000-2000-0000A80A0000}" name="Column2701"/>
    <tableColumn id="2729" xr3:uid="{00000000-0010-0000-2000-0000A90A0000}" name="Column2702"/>
    <tableColumn id="2730" xr3:uid="{00000000-0010-0000-2000-0000AA0A0000}" name="Column2703"/>
    <tableColumn id="2731" xr3:uid="{00000000-0010-0000-2000-0000AB0A0000}" name="Column2704"/>
    <tableColumn id="2732" xr3:uid="{00000000-0010-0000-2000-0000AC0A0000}" name="Column2705"/>
    <tableColumn id="2733" xr3:uid="{00000000-0010-0000-2000-0000AD0A0000}" name="Column2706"/>
    <tableColumn id="2734" xr3:uid="{00000000-0010-0000-2000-0000AE0A0000}" name="Column2707"/>
    <tableColumn id="2735" xr3:uid="{00000000-0010-0000-2000-0000AF0A0000}" name="Column2708"/>
    <tableColumn id="2736" xr3:uid="{00000000-0010-0000-2000-0000B00A0000}" name="Column2709"/>
    <tableColumn id="2737" xr3:uid="{00000000-0010-0000-2000-0000B10A0000}" name="Column2710"/>
    <tableColumn id="2738" xr3:uid="{00000000-0010-0000-2000-0000B20A0000}" name="Column2711"/>
    <tableColumn id="2739" xr3:uid="{00000000-0010-0000-2000-0000B30A0000}" name="Column2712"/>
    <tableColumn id="2740" xr3:uid="{00000000-0010-0000-2000-0000B40A0000}" name="Column2713"/>
    <tableColumn id="2741" xr3:uid="{00000000-0010-0000-2000-0000B50A0000}" name="Column2714"/>
    <tableColumn id="2742" xr3:uid="{00000000-0010-0000-2000-0000B60A0000}" name="Column2715"/>
    <tableColumn id="2743" xr3:uid="{00000000-0010-0000-2000-0000B70A0000}" name="Column2716"/>
    <tableColumn id="2744" xr3:uid="{00000000-0010-0000-2000-0000B80A0000}" name="Column2717"/>
    <tableColumn id="2745" xr3:uid="{00000000-0010-0000-2000-0000B90A0000}" name="Column2718"/>
    <tableColumn id="2746" xr3:uid="{00000000-0010-0000-2000-0000BA0A0000}" name="Column2719"/>
    <tableColumn id="2747" xr3:uid="{00000000-0010-0000-2000-0000BB0A0000}" name="Column2720"/>
    <tableColumn id="2748" xr3:uid="{00000000-0010-0000-2000-0000BC0A0000}" name="Column2721"/>
    <tableColumn id="2749" xr3:uid="{00000000-0010-0000-2000-0000BD0A0000}" name="Column2722"/>
    <tableColumn id="2750" xr3:uid="{00000000-0010-0000-2000-0000BE0A0000}" name="Column2723"/>
    <tableColumn id="2751" xr3:uid="{00000000-0010-0000-2000-0000BF0A0000}" name="Column2724"/>
    <tableColumn id="2752" xr3:uid="{00000000-0010-0000-2000-0000C00A0000}" name="Column2725"/>
    <tableColumn id="2753" xr3:uid="{00000000-0010-0000-2000-0000C10A0000}" name="Column2726"/>
    <tableColumn id="2754" xr3:uid="{00000000-0010-0000-2000-0000C20A0000}" name="Column2727"/>
    <tableColumn id="2755" xr3:uid="{00000000-0010-0000-2000-0000C30A0000}" name="Column2728"/>
    <tableColumn id="2756" xr3:uid="{00000000-0010-0000-2000-0000C40A0000}" name="Column2729"/>
    <tableColumn id="2757" xr3:uid="{00000000-0010-0000-2000-0000C50A0000}" name="Column2730"/>
    <tableColumn id="2758" xr3:uid="{00000000-0010-0000-2000-0000C60A0000}" name="Column2731"/>
    <tableColumn id="2759" xr3:uid="{00000000-0010-0000-2000-0000C70A0000}" name="Column2732"/>
    <tableColumn id="2760" xr3:uid="{00000000-0010-0000-2000-0000C80A0000}" name="Column2733"/>
    <tableColumn id="2761" xr3:uid="{00000000-0010-0000-2000-0000C90A0000}" name="Column2734"/>
    <tableColumn id="2762" xr3:uid="{00000000-0010-0000-2000-0000CA0A0000}" name="Column2735"/>
    <tableColumn id="2763" xr3:uid="{00000000-0010-0000-2000-0000CB0A0000}" name="Column2736"/>
    <tableColumn id="2764" xr3:uid="{00000000-0010-0000-2000-0000CC0A0000}" name="Column2737"/>
    <tableColumn id="2765" xr3:uid="{00000000-0010-0000-2000-0000CD0A0000}" name="Column2738"/>
    <tableColumn id="2766" xr3:uid="{00000000-0010-0000-2000-0000CE0A0000}" name="Column2739"/>
    <tableColumn id="2767" xr3:uid="{00000000-0010-0000-2000-0000CF0A0000}" name="Column2740"/>
    <tableColumn id="2768" xr3:uid="{00000000-0010-0000-2000-0000D00A0000}" name="Column2741"/>
    <tableColumn id="2769" xr3:uid="{00000000-0010-0000-2000-0000D10A0000}" name="Column2742"/>
    <tableColumn id="2770" xr3:uid="{00000000-0010-0000-2000-0000D20A0000}" name="Column2743"/>
    <tableColumn id="2771" xr3:uid="{00000000-0010-0000-2000-0000D30A0000}" name="Column2744"/>
    <tableColumn id="2772" xr3:uid="{00000000-0010-0000-2000-0000D40A0000}" name="Column2745"/>
    <tableColumn id="2773" xr3:uid="{00000000-0010-0000-2000-0000D50A0000}" name="Column2746"/>
    <tableColumn id="2774" xr3:uid="{00000000-0010-0000-2000-0000D60A0000}" name="Column2747"/>
    <tableColumn id="2775" xr3:uid="{00000000-0010-0000-2000-0000D70A0000}" name="Column2748"/>
    <tableColumn id="2776" xr3:uid="{00000000-0010-0000-2000-0000D80A0000}" name="Column2749"/>
    <tableColumn id="2777" xr3:uid="{00000000-0010-0000-2000-0000D90A0000}" name="Column2750"/>
    <tableColumn id="2778" xr3:uid="{00000000-0010-0000-2000-0000DA0A0000}" name="Column2751"/>
    <tableColumn id="2779" xr3:uid="{00000000-0010-0000-2000-0000DB0A0000}" name="Column2752"/>
    <tableColumn id="2780" xr3:uid="{00000000-0010-0000-2000-0000DC0A0000}" name="Column2753"/>
    <tableColumn id="2781" xr3:uid="{00000000-0010-0000-2000-0000DD0A0000}" name="Column2754"/>
    <tableColumn id="2782" xr3:uid="{00000000-0010-0000-2000-0000DE0A0000}" name="Column2755"/>
    <tableColumn id="2783" xr3:uid="{00000000-0010-0000-2000-0000DF0A0000}" name="Column2756"/>
    <tableColumn id="2784" xr3:uid="{00000000-0010-0000-2000-0000E00A0000}" name="Column2757"/>
    <tableColumn id="2785" xr3:uid="{00000000-0010-0000-2000-0000E10A0000}" name="Column2758"/>
    <tableColumn id="2786" xr3:uid="{00000000-0010-0000-2000-0000E20A0000}" name="Column2759"/>
    <tableColumn id="2787" xr3:uid="{00000000-0010-0000-2000-0000E30A0000}" name="Column2760"/>
    <tableColumn id="2788" xr3:uid="{00000000-0010-0000-2000-0000E40A0000}" name="Column2761"/>
    <tableColumn id="2789" xr3:uid="{00000000-0010-0000-2000-0000E50A0000}" name="Column2762"/>
    <tableColumn id="2790" xr3:uid="{00000000-0010-0000-2000-0000E60A0000}" name="Column2763"/>
    <tableColumn id="2791" xr3:uid="{00000000-0010-0000-2000-0000E70A0000}" name="Column2764"/>
    <tableColumn id="2792" xr3:uid="{00000000-0010-0000-2000-0000E80A0000}" name="Column2765"/>
    <tableColumn id="2793" xr3:uid="{00000000-0010-0000-2000-0000E90A0000}" name="Column2766"/>
    <tableColumn id="2794" xr3:uid="{00000000-0010-0000-2000-0000EA0A0000}" name="Column2767"/>
    <tableColumn id="2795" xr3:uid="{00000000-0010-0000-2000-0000EB0A0000}" name="Column2768"/>
    <tableColumn id="2796" xr3:uid="{00000000-0010-0000-2000-0000EC0A0000}" name="Column2769"/>
    <tableColumn id="2797" xr3:uid="{00000000-0010-0000-2000-0000ED0A0000}" name="Column2770"/>
    <tableColumn id="2798" xr3:uid="{00000000-0010-0000-2000-0000EE0A0000}" name="Column2771"/>
    <tableColumn id="2799" xr3:uid="{00000000-0010-0000-2000-0000EF0A0000}" name="Column2772"/>
    <tableColumn id="2800" xr3:uid="{00000000-0010-0000-2000-0000F00A0000}" name="Column2773"/>
    <tableColumn id="2801" xr3:uid="{00000000-0010-0000-2000-0000F10A0000}" name="Column2774"/>
    <tableColumn id="2802" xr3:uid="{00000000-0010-0000-2000-0000F20A0000}" name="Column2775"/>
    <tableColumn id="2803" xr3:uid="{00000000-0010-0000-2000-0000F30A0000}" name="Column2776"/>
    <tableColumn id="2804" xr3:uid="{00000000-0010-0000-2000-0000F40A0000}" name="Column2777"/>
    <tableColumn id="2805" xr3:uid="{00000000-0010-0000-2000-0000F50A0000}" name="Column2778"/>
    <tableColumn id="2806" xr3:uid="{00000000-0010-0000-2000-0000F60A0000}" name="Column2779"/>
    <tableColumn id="2807" xr3:uid="{00000000-0010-0000-2000-0000F70A0000}" name="Column2780"/>
    <tableColumn id="2808" xr3:uid="{00000000-0010-0000-2000-0000F80A0000}" name="Column2781"/>
    <tableColumn id="2809" xr3:uid="{00000000-0010-0000-2000-0000F90A0000}" name="Column2782"/>
    <tableColumn id="2810" xr3:uid="{00000000-0010-0000-2000-0000FA0A0000}" name="Column2783"/>
    <tableColumn id="2811" xr3:uid="{00000000-0010-0000-2000-0000FB0A0000}" name="Column2784"/>
    <tableColumn id="2812" xr3:uid="{00000000-0010-0000-2000-0000FC0A0000}" name="Column2785"/>
    <tableColumn id="2813" xr3:uid="{00000000-0010-0000-2000-0000FD0A0000}" name="Column2786"/>
    <tableColumn id="2814" xr3:uid="{00000000-0010-0000-2000-0000FE0A0000}" name="Column2787"/>
    <tableColumn id="2815" xr3:uid="{00000000-0010-0000-2000-0000FF0A0000}" name="Column2788"/>
    <tableColumn id="2816" xr3:uid="{00000000-0010-0000-2000-0000000B0000}" name="Column2789"/>
    <tableColumn id="2817" xr3:uid="{00000000-0010-0000-2000-0000010B0000}" name="Column2790"/>
    <tableColumn id="2818" xr3:uid="{00000000-0010-0000-2000-0000020B0000}" name="Column2791"/>
    <tableColumn id="2819" xr3:uid="{00000000-0010-0000-2000-0000030B0000}" name="Column2792"/>
    <tableColumn id="2820" xr3:uid="{00000000-0010-0000-2000-0000040B0000}" name="Column2793"/>
    <tableColumn id="2821" xr3:uid="{00000000-0010-0000-2000-0000050B0000}" name="Column2794"/>
    <tableColumn id="2822" xr3:uid="{00000000-0010-0000-2000-0000060B0000}" name="Column2795"/>
    <tableColumn id="2823" xr3:uid="{00000000-0010-0000-2000-0000070B0000}" name="Column2796"/>
    <tableColumn id="2824" xr3:uid="{00000000-0010-0000-2000-0000080B0000}" name="Column2797"/>
    <tableColumn id="2825" xr3:uid="{00000000-0010-0000-2000-0000090B0000}" name="Column2798"/>
    <tableColumn id="2826" xr3:uid="{00000000-0010-0000-2000-00000A0B0000}" name="Column2799"/>
    <tableColumn id="2827" xr3:uid="{00000000-0010-0000-2000-00000B0B0000}" name="Column2800"/>
    <tableColumn id="2828" xr3:uid="{00000000-0010-0000-2000-00000C0B0000}" name="Column2801"/>
    <tableColumn id="2829" xr3:uid="{00000000-0010-0000-2000-00000D0B0000}" name="Column2802"/>
    <tableColumn id="2830" xr3:uid="{00000000-0010-0000-2000-00000E0B0000}" name="Column2803"/>
    <tableColumn id="2831" xr3:uid="{00000000-0010-0000-2000-00000F0B0000}" name="Column2804"/>
    <tableColumn id="2832" xr3:uid="{00000000-0010-0000-2000-0000100B0000}" name="Column2805"/>
    <tableColumn id="2833" xr3:uid="{00000000-0010-0000-2000-0000110B0000}" name="Column2806"/>
    <tableColumn id="2834" xr3:uid="{00000000-0010-0000-2000-0000120B0000}" name="Column2807"/>
    <tableColumn id="2835" xr3:uid="{00000000-0010-0000-2000-0000130B0000}" name="Column2808"/>
    <tableColumn id="2836" xr3:uid="{00000000-0010-0000-2000-0000140B0000}" name="Column2809"/>
    <tableColumn id="2837" xr3:uid="{00000000-0010-0000-2000-0000150B0000}" name="Column2810"/>
    <tableColumn id="2838" xr3:uid="{00000000-0010-0000-2000-0000160B0000}" name="Column2811"/>
    <tableColumn id="2839" xr3:uid="{00000000-0010-0000-2000-0000170B0000}" name="Column2812"/>
    <tableColumn id="2840" xr3:uid="{00000000-0010-0000-2000-0000180B0000}" name="Column2813"/>
    <tableColumn id="2841" xr3:uid="{00000000-0010-0000-2000-0000190B0000}" name="Column2814"/>
    <tableColumn id="2842" xr3:uid="{00000000-0010-0000-2000-00001A0B0000}" name="Column2815"/>
    <tableColumn id="2843" xr3:uid="{00000000-0010-0000-2000-00001B0B0000}" name="Column2816"/>
    <tableColumn id="2844" xr3:uid="{00000000-0010-0000-2000-00001C0B0000}" name="Column2817"/>
    <tableColumn id="2845" xr3:uid="{00000000-0010-0000-2000-00001D0B0000}" name="Column2818"/>
    <tableColumn id="2846" xr3:uid="{00000000-0010-0000-2000-00001E0B0000}" name="Column2819"/>
    <tableColumn id="2847" xr3:uid="{00000000-0010-0000-2000-00001F0B0000}" name="Column2820"/>
    <tableColumn id="2848" xr3:uid="{00000000-0010-0000-2000-0000200B0000}" name="Column2821"/>
    <tableColumn id="2849" xr3:uid="{00000000-0010-0000-2000-0000210B0000}" name="Column2822"/>
    <tableColumn id="2850" xr3:uid="{00000000-0010-0000-2000-0000220B0000}" name="Column2823"/>
    <tableColumn id="2851" xr3:uid="{00000000-0010-0000-2000-0000230B0000}" name="Column2824"/>
    <tableColumn id="2852" xr3:uid="{00000000-0010-0000-2000-0000240B0000}" name="Column2825"/>
    <tableColumn id="2853" xr3:uid="{00000000-0010-0000-2000-0000250B0000}" name="Column2826"/>
    <tableColumn id="2854" xr3:uid="{00000000-0010-0000-2000-0000260B0000}" name="Column2827"/>
    <tableColumn id="2855" xr3:uid="{00000000-0010-0000-2000-0000270B0000}" name="Column2828"/>
    <tableColumn id="2856" xr3:uid="{00000000-0010-0000-2000-0000280B0000}" name="Column2829"/>
    <tableColumn id="2857" xr3:uid="{00000000-0010-0000-2000-0000290B0000}" name="Column2830"/>
    <tableColumn id="2858" xr3:uid="{00000000-0010-0000-2000-00002A0B0000}" name="Column2831"/>
    <tableColumn id="2859" xr3:uid="{00000000-0010-0000-2000-00002B0B0000}" name="Column2832"/>
    <tableColumn id="2860" xr3:uid="{00000000-0010-0000-2000-00002C0B0000}" name="Column2833"/>
    <tableColumn id="2861" xr3:uid="{00000000-0010-0000-2000-00002D0B0000}" name="Column2834"/>
    <tableColumn id="2862" xr3:uid="{00000000-0010-0000-2000-00002E0B0000}" name="Column2835"/>
    <tableColumn id="2863" xr3:uid="{00000000-0010-0000-2000-00002F0B0000}" name="Column2836"/>
    <tableColumn id="2864" xr3:uid="{00000000-0010-0000-2000-0000300B0000}" name="Column2837"/>
    <tableColumn id="2865" xr3:uid="{00000000-0010-0000-2000-0000310B0000}" name="Column2838"/>
    <tableColumn id="2866" xr3:uid="{00000000-0010-0000-2000-0000320B0000}" name="Column2839"/>
    <tableColumn id="2867" xr3:uid="{00000000-0010-0000-2000-0000330B0000}" name="Column2840"/>
    <tableColumn id="2868" xr3:uid="{00000000-0010-0000-2000-0000340B0000}" name="Column2841"/>
    <tableColumn id="2869" xr3:uid="{00000000-0010-0000-2000-0000350B0000}" name="Column2842"/>
    <tableColumn id="2870" xr3:uid="{00000000-0010-0000-2000-0000360B0000}" name="Column2843"/>
    <tableColumn id="2871" xr3:uid="{00000000-0010-0000-2000-0000370B0000}" name="Column2844"/>
    <tableColumn id="2872" xr3:uid="{00000000-0010-0000-2000-0000380B0000}" name="Column2845"/>
    <tableColumn id="2873" xr3:uid="{00000000-0010-0000-2000-0000390B0000}" name="Column2846"/>
    <tableColumn id="2874" xr3:uid="{00000000-0010-0000-2000-00003A0B0000}" name="Column2847"/>
    <tableColumn id="2875" xr3:uid="{00000000-0010-0000-2000-00003B0B0000}" name="Column2848"/>
    <tableColumn id="2876" xr3:uid="{00000000-0010-0000-2000-00003C0B0000}" name="Column2849"/>
    <tableColumn id="2877" xr3:uid="{00000000-0010-0000-2000-00003D0B0000}" name="Column2850"/>
    <tableColumn id="2878" xr3:uid="{00000000-0010-0000-2000-00003E0B0000}" name="Column2851"/>
    <tableColumn id="2879" xr3:uid="{00000000-0010-0000-2000-00003F0B0000}" name="Column2852"/>
    <tableColumn id="2880" xr3:uid="{00000000-0010-0000-2000-0000400B0000}" name="Column2853"/>
    <tableColumn id="2881" xr3:uid="{00000000-0010-0000-2000-0000410B0000}" name="Column2854"/>
    <tableColumn id="2882" xr3:uid="{00000000-0010-0000-2000-0000420B0000}" name="Column2855"/>
    <tableColumn id="2883" xr3:uid="{00000000-0010-0000-2000-0000430B0000}" name="Column2856"/>
    <tableColumn id="2884" xr3:uid="{00000000-0010-0000-2000-0000440B0000}" name="Column2857"/>
    <tableColumn id="2885" xr3:uid="{00000000-0010-0000-2000-0000450B0000}" name="Column2858"/>
    <tableColumn id="2886" xr3:uid="{00000000-0010-0000-2000-0000460B0000}" name="Column2859"/>
    <tableColumn id="2887" xr3:uid="{00000000-0010-0000-2000-0000470B0000}" name="Column2860"/>
    <tableColumn id="2888" xr3:uid="{00000000-0010-0000-2000-0000480B0000}" name="Column2861"/>
    <tableColumn id="2889" xr3:uid="{00000000-0010-0000-2000-0000490B0000}" name="Column2862"/>
    <tableColumn id="2890" xr3:uid="{00000000-0010-0000-2000-00004A0B0000}" name="Column2863"/>
    <tableColumn id="2891" xr3:uid="{00000000-0010-0000-2000-00004B0B0000}" name="Column2864"/>
    <tableColumn id="2892" xr3:uid="{00000000-0010-0000-2000-00004C0B0000}" name="Column2865"/>
    <tableColumn id="2893" xr3:uid="{00000000-0010-0000-2000-00004D0B0000}" name="Column2866"/>
    <tableColumn id="2894" xr3:uid="{00000000-0010-0000-2000-00004E0B0000}" name="Column2867"/>
    <tableColumn id="2895" xr3:uid="{00000000-0010-0000-2000-00004F0B0000}" name="Column2868"/>
    <tableColumn id="2896" xr3:uid="{00000000-0010-0000-2000-0000500B0000}" name="Column2869"/>
    <tableColumn id="2897" xr3:uid="{00000000-0010-0000-2000-0000510B0000}" name="Column2870"/>
    <tableColumn id="2898" xr3:uid="{00000000-0010-0000-2000-0000520B0000}" name="Column2871"/>
    <tableColumn id="2899" xr3:uid="{00000000-0010-0000-2000-0000530B0000}" name="Column2872"/>
    <tableColumn id="2900" xr3:uid="{00000000-0010-0000-2000-0000540B0000}" name="Column2873"/>
    <tableColumn id="2901" xr3:uid="{00000000-0010-0000-2000-0000550B0000}" name="Column2874"/>
    <tableColumn id="2902" xr3:uid="{00000000-0010-0000-2000-0000560B0000}" name="Column2875"/>
    <tableColumn id="2903" xr3:uid="{00000000-0010-0000-2000-0000570B0000}" name="Column2876"/>
    <tableColumn id="2904" xr3:uid="{00000000-0010-0000-2000-0000580B0000}" name="Column2877"/>
    <tableColumn id="2905" xr3:uid="{00000000-0010-0000-2000-0000590B0000}" name="Column2878"/>
    <tableColumn id="2906" xr3:uid="{00000000-0010-0000-2000-00005A0B0000}" name="Column2879"/>
    <tableColumn id="2907" xr3:uid="{00000000-0010-0000-2000-00005B0B0000}" name="Column2880"/>
    <tableColumn id="2908" xr3:uid="{00000000-0010-0000-2000-00005C0B0000}" name="Column2881"/>
    <tableColumn id="2909" xr3:uid="{00000000-0010-0000-2000-00005D0B0000}" name="Column2882"/>
    <tableColumn id="2910" xr3:uid="{00000000-0010-0000-2000-00005E0B0000}" name="Column2883"/>
    <tableColumn id="2911" xr3:uid="{00000000-0010-0000-2000-00005F0B0000}" name="Column2884"/>
    <tableColumn id="2912" xr3:uid="{00000000-0010-0000-2000-0000600B0000}" name="Column2885"/>
    <tableColumn id="2913" xr3:uid="{00000000-0010-0000-2000-0000610B0000}" name="Column2886"/>
    <tableColumn id="2914" xr3:uid="{00000000-0010-0000-2000-0000620B0000}" name="Column2887"/>
    <tableColumn id="2915" xr3:uid="{00000000-0010-0000-2000-0000630B0000}" name="Column2888"/>
    <tableColumn id="2916" xr3:uid="{00000000-0010-0000-2000-0000640B0000}" name="Column2889"/>
    <tableColumn id="2917" xr3:uid="{00000000-0010-0000-2000-0000650B0000}" name="Column2890"/>
    <tableColumn id="2918" xr3:uid="{00000000-0010-0000-2000-0000660B0000}" name="Column2891"/>
    <tableColumn id="2919" xr3:uid="{00000000-0010-0000-2000-0000670B0000}" name="Column2892"/>
    <tableColumn id="2920" xr3:uid="{00000000-0010-0000-2000-0000680B0000}" name="Column2893"/>
    <tableColumn id="2921" xr3:uid="{00000000-0010-0000-2000-0000690B0000}" name="Column2894"/>
    <tableColumn id="2922" xr3:uid="{00000000-0010-0000-2000-00006A0B0000}" name="Column2895"/>
    <tableColumn id="2923" xr3:uid="{00000000-0010-0000-2000-00006B0B0000}" name="Column2896"/>
    <tableColumn id="2924" xr3:uid="{00000000-0010-0000-2000-00006C0B0000}" name="Column2897"/>
    <tableColumn id="2925" xr3:uid="{00000000-0010-0000-2000-00006D0B0000}" name="Column2898"/>
    <tableColumn id="2926" xr3:uid="{00000000-0010-0000-2000-00006E0B0000}" name="Column2899"/>
    <tableColumn id="2927" xr3:uid="{00000000-0010-0000-2000-00006F0B0000}" name="Column2900"/>
    <tableColumn id="2928" xr3:uid="{00000000-0010-0000-2000-0000700B0000}" name="Column2901"/>
    <tableColumn id="2929" xr3:uid="{00000000-0010-0000-2000-0000710B0000}" name="Column2902"/>
    <tableColumn id="2930" xr3:uid="{00000000-0010-0000-2000-0000720B0000}" name="Column2903"/>
    <tableColumn id="2931" xr3:uid="{00000000-0010-0000-2000-0000730B0000}" name="Column2904"/>
    <tableColumn id="2932" xr3:uid="{00000000-0010-0000-2000-0000740B0000}" name="Column2905"/>
    <tableColumn id="2933" xr3:uid="{00000000-0010-0000-2000-0000750B0000}" name="Column2906"/>
    <tableColumn id="2934" xr3:uid="{00000000-0010-0000-2000-0000760B0000}" name="Column2907"/>
    <tableColumn id="2935" xr3:uid="{00000000-0010-0000-2000-0000770B0000}" name="Column2908"/>
    <tableColumn id="2936" xr3:uid="{00000000-0010-0000-2000-0000780B0000}" name="Column2909"/>
    <tableColumn id="2937" xr3:uid="{00000000-0010-0000-2000-0000790B0000}" name="Column2910"/>
    <tableColumn id="2938" xr3:uid="{00000000-0010-0000-2000-00007A0B0000}" name="Column2911"/>
    <tableColumn id="2939" xr3:uid="{00000000-0010-0000-2000-00007B0B0000}" name="Column2912"/>
    <tableColumn id="2940" xr3:uid="{00000000-0010-0000-2000-00007C0B0000}" name="Column2913"/>
    <tableColumn id="2941" xr3:uid="{00000000-0010-0000-2000-00007D0B0000}" name="Column2914"/>
    <tableColumn id="2942" xr3:uid="{00000000-0010-0000-2000-00007E0B0000}" name="Column2915"/>
    <tableColumn id="2943" xr3:uid="{00000000-0010-0000-2000-00007F0B0000}" name="Column2916"/>
    <tableColumn id="2944" xr3:uid="{00000000-0010-0000-2000-0000800B0000}" name="Column2917"/>
    <tableColumn id="2945" xr3:uid="{00000000-0010-0000-2000-0000810B0000}" name="Column2918"/>
    <tableColumn id="2946" xr3:uid="{00000000-0010-0000-2000-0000820B0000}" name="Column2919"/>
    <tableColumn id="2947" xr3:uid="{00000000-0010-0000-2000-0000830B0000}" name="Column2920"/>
    <tableColumn id="2948" xr3:uid="{00000000-0010-0000-2000-0000840B0000}" name="Column2921"/>
    <tableColumn id="2949" xr3:uid="{00000000-0010-0000-2000-0000850B0000}" name="Column2922"/>
    <tableColumn id="2950" xr3:uid="{00000000-0010-0000-2000-0000860B0000}" name="Column2923"/>
    <tableColumn id="2951" xr3:uid="{00000000-0010-0000-2000-0000870B0000}" name="Column2924"/>
    <tableColumn id="2952" xr3:uid="{00000000-0010-0000-2000-0000880B0000}" name="Column2925"/>
    <tableColumn id="2953" xr3:uid="{00000000-0010-0000-2000-0000890B0000}" name="Column2926"/>
    <tableColumn id="2954" xr3:uid="{00000000-0010-0000-2000-00008A0B0000}" name="Column2927"/>
    <tableColumn id="2955" xr3:uid="{00000000-0010-0000-2000-00008B0B0000}" name="Column2928"/>
    <tableColumn id="2956" xr3:uid="{00000000-0010-0000-2000-00008C0B0000}" name="Column2929"/>
    <tableColumn id="2957" xr3:uid="{00000000-0010-0000-2000-00008D0B0000}" name="Column2930"/>
    <tableColumn id="2958" xr3:uid="{00000000-0010-0000-2000-00008E0B0000}" name="Column2931"/>
    <tableColumn id="2959" xr3:uid="{00000000-0010-0000-2000-00008F0B0000}" name="Column2932"/>
    <tableColumn id="2960" xr3:uid="{00000000-0010-0000-2000-0000900B0000}" name="Column2933"/>
    <tableColumn id="2961" xr3:uid="{00000000-0010-0000-2000-0000910B0000}" name="Column2934"/>
    <tableColumn id="2962" xr3:uid="{00000000-0010-0000-2000-0000920B0000}" name="Column2935"/>
    <tableColumn id="2963" xr3:uid="{00000000-0010-0000-2000-0000930B0000}" name="Column2936"/>
    <tableColumn id="2964" xr3:uid="{00000000-0010-0000-2000-0000940B0000}" name="Column2937"/>
    <tableColumn id="2965" xr3:uid="{00000000-0010-0000-2000-0000950B0000}" name="Column2938"/>
    <tableColumn id="2966" xr3:uid="{00000000-0010-0000-2000-0000960B0000}" name="Column2939"/>
    <tableColumn id="2967" xr3:uid="{00000000-0010-0000-2000-0000970B0000}" name="Column2940"/>
    <tableColumn id="2968" xr3:uid="{00000000-0010-0000-2000-0000980B0000}" name="Column2941"/>
    <tableColumn id="2969" xr3:uid="{00000000-0010-0000-2000-0000990B0000}" name="Column2942"/>
    <tableColumn id="2970" xr3:uid="{00000000-0010-0000-2000-00009A0B0000}" name="Column2943"/>
    <tableColumn id="2971" xr3:uid="{00000000-0010-0000-2000-00009B0B0000}" name="Column2944"/>
    <tableColumn id="2972" xr3:uid="{00000000-0010-0000-2000-00009C0B0000}" name="Column2945"/>
    <tableColumn id="2973" xr3:uid="{00000000-0010-0000-2000-00009D0B0000}" name="Column2946"/>
    <tableColumn id="2974" xr3:uid="{00000000-0010-0000-2000-00009E0B0000}" name="Column2947"/>
    <tableColumn id="2975" xr3:uid="{00000000-0010-0000-2000-00009F0B0000}" name="Column2948"/>
    <tableColumn id="2976" xr3:uid="{00000000-0010-0000-2000-0000A00B0000}" name="Column2949"/>
    <tableColumn id="2977" xr3:uid="{00000000-0010-0000-2000-0000A10B0000}" name="Column2950"/>
    <tableColumn id="2978" xr3:uid="{00000000-0010-0000-2000-0000A20B0000}" name="Column2951"/>
    <tableColumn id="2979" xr3:uid="{00000000-0010-0000-2000-0000A30B0000}" name="Column2952"/>
    <tableColumn id="2980" xr3:uid="{00000000-0010-0000-2000-0000A40B0000}" name="Column2953"/>
    <tableColumn id="2981" xr3:uid="{00000000-0010-0000-2000-0000A50B0000}" name="Column2954"/>
    <tableColumn id="2982" xr3:uid="{00000000-0010-0000-2000-0000A60B0000}" name="Column2955"/>
    <tableColumn id="2983" xr3:uid="{00000000-0010-0000-2000-0000A70B0000}" name="Column2956"/>
    <tableColumn id="2984" xr3:uid="{00000000-0010-0000-2000-0000A80B0000}" name="Column2957"/>
    <tableColumn id="2985" xr3:uid="{00000000-0010-0000-2000-0000A90B0000}" name="Column2958"/>
    <tableColumn id="2986" xr3:uid="{00000000-0010-0000-2000-0000AA0B0000}" name="Column2959"/>
    <tableColumn id="2987" xr3:uid="{00000000-0010-0000-2000-0000AB0B0000}" name="Column2960"/>
    <tableColumn id="2988" xr3:uid="{00000000-0010-0000-2000-0000AC0B0000}" name="Column2961"/>
    <tableColumn id="2989" xr3:uid="{00000000-0010-0000-2000-0000AD0B0000}" name="Column2962"/>
    <tableColumn id="2990" xr3:uid="{00000000-0010-0000-2000-0000AE0B0000}" name="Column2963"/>
    <tableColumn id="2991" xr3:uid="{00000000-0010-0000-2000-0000AF0B0000}" name="Column2964"/>
    <tableColumn id="2992" xr3:uid="{00000000-0010-0000-2000-0000B00B0000}" name="Column2965"/>
    <tableColumn id="2993" xr3:uid="{00000000-0010-0000-2000-0000B10B0000}" name="Column2966"/>
    <tableColumn id="2994" xr3:uid="{00000000-0010-0000-2000-0000B20B0000}" name="Column2967"/>
    <tableColumn id="2995" xr3:uid="{00000000-0010-0000-2000-0000B30B0000}" name="Column2968"/>
    <tableColumn id="2996" xr3:uid="{00000000-0010-0000-2000-0000B40B0000}" name="Column2969"/>
    <tableColumn id="2997" xr3:uid="{00000000-0010-0000-2000-0000B50B0000}" name="Column2970"/>
    <tableColumn id="2998" xr3:uid="{00000000-0010-0000-2000-0000B60B0000}" name="Column2971"/>
    <tableColumn id="2999" xr3:uid="{00000000-0010-0000-2000-0000B70B0000}" name="Column2972"/>
    <tableColumn id="3000" xr3:uid="{00000000-0010-0000-2000-0000B80B0000}" name="Column2973"/>
    <tableColumn id="3001" xr3:uid="{00000000-0010-0000-2000-0000B90B0000}" name="Column2974"/>
    <tableColumn id="3002" xr3:uid="{00000000-0010-0000-2000-0000BA0B0000}" name="Column2975"/>
    <tableColumn id="3003" xr3:uid="{00000000-0010-0000-2000-0000BB0B0000}" name="Column2976"/>
    <tableColumn id="3004" xr3:uid="{00000000-0010-0000-2000-0000BC0B0000}" name="Column2977"/>
    <tableColumn id="3005" xr3:uid="{00000000-0010-0000-2000-0000BD0B0000}" name="Column2978"/>
    <tableColumn id="3006" xr3:uid="{00000000-0010-0000-2000-0000BE0B0000}" name="Column2979"/>
    <tableColumn id="3007" xr3:uid="{00000000-0010-0000-2000-0000BF0B0000}" name="Column2980"/>
    <tableColumn id="3008" xr3:uid="{00000000-0010-0000-2000-0000C00B0000}" name="Column2981"/>
    <tableColumn id="3009" xr3:uid="{00000000-0010-0000-2000-0000C10B0000}" name="Column2982"/>
    <tableColumn id="3010" xr3:uid="{00000000-0010-0000-2000-0000C20B0000}" name="Column2983"/>
    <tableColumn id="3011" xr3:uid="{00000000-0010-0000-2000-0000C30B0000}" name="Column2984"/>
    <tableColumn id="3012" xr3:uid="{00000000-0010-0000-2000-0000C40B0000}" name="Column2985"/>
    <tableColumn id="3013" xr3:uid="{00000000-0010-0000-2000-0000C50B0000}" name="Column2986"/>
    <tableColumn id="3014" xr3:uid="{00000000-0010-0000-2000-0000C60B0000}" name="Column2987"/>
    <tableColumn id="3015" xr3:uid="{00000000-0010-0000-2000-0000C70B0000}" name="Column2988"/>
    <tableColumn id="3016" xr3:uid="{00000000-0010-0000-2000-0000C80B0000}" name="Column2989"/>
    <tableColumn id="3017" xr3:uid="{00000000-0010-0000-2000-0000C90B0000}" name="Column2990"/>
    <tableColumn id="3018" xr3:uid="{00000000-0010-0000-2000-0000CA0B0000}" name="Column2991"/>
    <tableColumn id="3019" xr3:uid="{00000000-0010-0000-2000-0000CB0B0000}" name="Column2992"/>
    <tableColumn id="3020" xr3:uid="{00000000-0010-0000-2000-0000CC0B0000}" name="Column2993"/>
    <tableColumn id="3021" xr3:uid="{00000000-0010-0000-2000-0000CD0B0000}" name="Column2994"/>
    <tableColumn id="3022" xr3:uid="{00000000-0010-0000-2000-0000CE0B0000}" name="Column2995"/>
    <tableColumn id="3023" xr3:uid="{00000000-0010-0000-2000-0000CF0B0000}" name="Column2996"/>
    <tableColumn id="3024" xr3:uid="{00000000-0010-0000-2000-0000D00B0000}" name="Column2997"/>
    <tableColumn id="3025" xr3:uid="{00000000-0010-0000-2000-0000D10B0000}" name="Column2998"/>
    <tableColumn id="3026" xr3:uid="{00000000-0010-0000-2000-0000D20B0000}" name="Column2999"/>
    <tableColumn id="3027" xr3:uid="{00000000-0010-0000-2000-0000D30B0000}" name="Column3000"/>
    <tableColumn id="3028" xr3:uid="{00000000-0010-0000-2000-0000D40B0000}" name="Column3001"/>
    <tableColumn id="3029" xr3:uid="{00000000-0010-0000-2000-0000D50B0000}" name="Column3002"/>
    <tableColumn id="3030" xr3:uid="{00000000-0010-0000-2000-0000D60B0000}" name="Column3003"/>
    <tableColumn id="3031" xr3:uid="{00000000-0010-0000-2000-0000D70B0000}" name="Column3004"/>
    <tableColumn id="3032" xr3:uid="{00000000-0010-0000-2000-0000D80B0000}" name="Column3005"/>
    <tableColumn id="3033" xr3:uid="{00000000-0010-0000-2000-0000D90B0000}" name="Column3006"/>
    <tableColumn id="3034" xr3:uid="{00000000-0010-0000-2000-0000DA0B0000}" name="Column3007"/>
    <tableColumn id="3035" xr3:uid="{00000000-0010-0000-2000-0000DB0B0000}" name="Column3008"/>
    <tableColumn id="3036" xr3:uid="{00000000-0010-0000-2000-0000DC0B0000}" name="Column3009"/>
    <tableColumn id="3037" xr3:uid="{00000000-0010-0000-2000-0000DD0B0000}" name="Column3010"/>
    <tableColumn id="3038" xr3:uid="{00000000-0010-0000-2000-0000DE0B0000}" name="Column3011"/>
    <tableColumn id="3039" xr3:uid="{00000000-0010-0000-2000-0000DF0B0000}" name="Column3012"/>
    <tableColumn id="3040" xr3:uid="{00000000-0010-0000-2000-0000E00B0000}" name="Column3013"/>
    <tableColumn id="3041" xr3:uid="{00000000-0010-0000-2000-0000E10B0000}" name="Column3014"/>
    <tableColumn id="3042" xr3:uid="{00000000-0010-0000-2000-0000E20B0000}" name="Column3015"/>
    <tableColumn id="3043" xr3:uid="{00000000-0010-0000-2000-0000E30B0000}" name="Column3016"/>
    <tableColumn id="3044" xr3:uid="{00000000-0010-0000-2000-0000E40B0000}" name="Column3017"/>
    <tableColumn id="3045" xr3:uid="{00000000-0010-0000-2000-0000E50B0000}" name="Column3018"/>
    <tableColumn id="3046" xr3:uid="{00000000-0010-0000-2000-0000E60B0000}" name="Column3019"/>
    <tableColumn id="3047" xr3:uid="{00000000-0010-0000-2000-0000E70B0000}" name="Column3020"/>
    <tableColumn id="3048" xr3:uid="{00000000-0010-0000-2000-0000E80B0000}" name="Column3021"/>
    <tableColumn id="3049" xr3:uid="{00000000-0010-0000-2000-0000E90B0000}" name="Column3022"/>
    <tableColumn id="3050" xr3:uid="{00000000-0010-0000-2000-0000EA0B0000}" name="Column3023"/>
    <tableColumn id="3051" xr3:uid="{00000000-0010-0000-2000-0000EB0B0000}" name="Column3024"/>
    <tableColumn id="3052" xr3:uid="{00000000-0010-0000-2000-0000EC0B0000}" name="Column3025"/>
    <tableColumn id="3053" xr3:uid="{00000000-0010-0000-2000-0000ED0B0000}" name="Column3026"/>
    <tableColumn id="3054" xr3:uid="{00000000-0010-0000-2000-0000EE0B0000}" name="Column3027"/>
    <tableColumn id="3055" xr3:uid="{00000000-0010-0000-2000-0000EF0B0000}" name="Column3028"/>
    <tableColumn id="3056" xr3:uid="{00000000-0010-0000-2000-0000F00B0000}" name="Column3029"/>
    <tableColumn id="3057" xr3:uid="{00000000-0010-0000-2000-0000F10B0000}" name="Column3030"/>
    <tableColumn id="3058" xr3:uid="{00000000-0010-0000-2000-0000F20B0000}" name="Column3031"/>
    <tableColumn id="3059" xr3:uid="{00000000-0010-0000-2000-0000F30B0000}" name="Column3032"/>
    <tableColumn id="3060" xr3:uid="{00000000-0010-0000-2000-0000F40B0000}" name="Column3033"/>
    <tableColumn id="3061" xr3:uid="{00000000-0010-0000-2000-0000F50B0000}" name="Column3034"/>
    <tableColumn id="3062" xr3:uid="{00000000-0010-0000-2000-0000F60B0000}" name="Column3035"/>
    <tableColumn id="3063" xr3:uid="{00000000-0010-0000-2000-0000F70B0000}" name="Column3036"/>
    <tableColumn id="3064" xr3:uid="{00000000-0010-0000-2000-0000F80B0000}" name="Column3037"/>
    <tableColumn id="3065" xr3:uid="{00000000-0010-0000-2000-0000F90B0000}" name="Column3038"/>
    <tableColumn id="3066" xr3:uid="{00000000-0010-0000-2000-0000FA0B0000}" name="Column3039"/>
    <tableColumn id="3067" xr3:uid="{00000000-0010-0000-2000-0000FB0B0000}" name="Column3040"/>
    <tableColumn id="3068" xr3:uid="{00000000-0010-0000-2000-0000FC0B0000}" name="Column3041"/>
    <tableColumn id="3069" xr3:uid="{00000000-0010-0000-2000-0000FD0B0000}" name="Column3042"/>
    <tableColumn id="3070" xr3:uid="{00000000-0010-0000-2000-0000FE0B0000}" name="Column3043"/>
    <tableColumn id="3071" xr3:uid="{00000000-0010-0000-2000-0000FF0B0000}" name="Column3044"/>
    <tableColumn id="3072" xr3:uid="{00000000-0010-0000-2000-0000000C0000}" name="Column3045"/>
    <tableColumn id="3073" xr3:uid="{00000000-0010-0000-2000-0000010C0000}" name="Column3046"/>
    <tableColumn id="3074" xr3:uid="{00000000-0010-0000-2000-0000020C0000}" name="Column3047"/>
    <tableColumn id="3075" xr3:uid="{00000000-0010-0000-2000-0000030C0000}" name="Column3048"/>
    <tableColumn id="3076" xr3:uid="{00000000-0010-0000-2000-0000040C0000}" name="Column3049"/>
    <tableColumn id="3077" xr3:uid="{00000000-0010-0000-2000-0000050C0000}" name="Column3050"/>
    <tableColumn id="3078" xr3:uid="{00000000-0010-0000-2000-0000060C0000}" name="Column3051"/>
    <tableColumn id="3079" xr3:uid="{00000000-0010-0000-2000-0000070C0000}" name="Column3052"/>
    <tableColumn id="3080" xr3:uid="{00000000-0010-0000-2000-0000080C0000}" name="Column3053"/>
    <tableColumn id="3081" xr3:uid="{00000000-0010-0000-2000-0000090C0000}" name="Column3054"/>
    <tableColumn id="3082" xr3:uid="{00000000-0010-0000-2000-00000A0C0000}" name="Column3055"/>
    <tableColumn id="3083" xr3:uid="{00000000-0010-0000-2000-00000B0C0000}" name="Column3056"/>
    <tableColumn id="3084" xr3:uid="{00000000-0010-0000-2000-00000C0C0000}" name="Column3057"/>
    <tableColumn id="3085" xr3:uid="{00000000-0010-0000-2000-00000D0C0000}" name="Column3058"/>
    <tableColumn id="3086" xr3:uid="{00000000-0010-0000-2000-00000E0C0000}" name="Column3059"/>
    <tableColumn id="3087" xr3:uid="{00000000-0010-0000-2000-00000F0C0000}" name="Column3060"/>
    <tableColumn id="3088" xr3:uid="{00000000-0010-0000-2000-0000100C0000}" name="Column3061"/>
    <tableColumn id="3089" xr3:uid="{00000000-0010-0000-2000-0000110C0000}" name="Column3062"/>
    <tableColumn id="3090" xr3:uid="{00000000-0010-0000-2000-0000120C0000}" name="Column3063"/>
    <tableColumn id="3091" xr3:uid="{00000000-0010-0000-2000-0000130C0000}" name="Column3064"/>
    <tableColumn id="3092" xr3:uid="{00000000-0010-0000-2000-0000140C0000}" name="Column3065"/>
    <tableColumn id="3093" xr3:uid="{00000000-0010-0000-2000-0000150C0000}" name="Column3066"/>
    <tableColumn id="3094" xr3:uid="{00000000-0010-0000-2000-0000160C0000}" name="Column3067"/>
    <tableColumn id="3095" xr3:uid="{00000000-0010-0000-2000-0000170C0000}" name="Column3068"/>
    <tableColumn id="3096" xr3:uid="{00000000-0010-0000-2000-0000180C0000}" name="Column3069"/>
    <tableColumn id="3097" xr3:uid="{00000000-0010-0000-2000-0000190C0000}" name="Column3070"/>
    <tableColumn id="3098" xr3:uid="{00000000-0010-0000-2000-00001A0C0000}" name="Column3071"/>
    <tableColumn id="3099" xr3:uid="{00000000-0010-0000-2000-00001B0C0000}" name="Column3072"/>
    <tableColumn id="3100" xr3:uid="{00000000-0010-0000-2000-00001C0C0000}" name="Column3073"/>
    <tableColumn id="3101" xr3:uid="{00000000-0010-0000-2000-00001D0C0000}" name="Column3074"/>
    <tableColumn id="3102" xr3:uid="{00000000-0010-0000-2000-00001E0C0000}" name="Column3075"/>
    <tableColumn id="3103" xr3:uid="{00000000-0010-0000-2000-00001F0C0000}" name="Column3076"/>
    <tableColumn id="3104" xr3:uid="{00000000-0010-0000-2000-0000200C0000}" name="Column3077"/>
    <tableColumn id="3105" xr3:uid="{00000000-0010-0000-2000-0000210C0000}" name="Column3078"/>
    <tableColumn id="3106" xr3:uid="{00000000-0010-0000-2000-0000220C0000}" name="Column3079"/>
    <tableColumn id="3107" xr3:uid="{00000000-0010-0000-2000-0000230C0000}" name="Column3080"/>
    <tableColumn id="3108" xr3:uid="{00000000-0010-0000-2000-0000240C0000}" name="Column3081"/>
    <tableColumn id="3109" xr3:uid="{00000000-0010-0000-2000-0000250C0000}" name="Column3082"/>
    <tableColumn id="3110" xr3:uid="{00000000-0010-0000-2000-0000260C0000}" name="Column3083"/>
    <tableColumn id="3111" xr3:uid="{00000000-0010-0000-2000-0000270C0000}" name="Column3084"/>
    <tableColumn id="3112" xr3:uid="{00000000-0010-0000-2000-0000280C0000}" name="Column3085"/>
    <tableColumn id="3113" xr3:uid="{00000000-0010-0000-2000-0000290C0000}" name="Column3086"/>
    <tableColumn id="3114" xr3:uid="{00000000-0010-0000-2000-00002A0C0000}" name="Column3087"/>
    <tableColumn id="3115" xr3:uid="{00000000-0010-0000-2000-00002B0C0000}" name="Column3088"/>
    <tableColumn id="3116" xr3:uid="{00000000-0010-0000-2000-00002C0C0000}" name="Column3089"/>
    <tableColumn id="3117" xr3:uid="{00000000-0010-0000-2000-00002D0C0000}" name="Column3090"/>
    <tableColumn id="3118" xr3:uid="{00000000-0010-0000-2000-00002E0C0000}" name="Column3091"/>
    <tableColumn id="3119" xr3:uid="{00000000-0010-0000-2000-00002F0C0000}" name="Column3092"/>
    <tableColumn id="3120" xr3:uid="{00000000-0010-0000-2000-0000300C0000}" name="Column3093"/>
    <tableColumn id="3121" xr3:uid="{00000000-0010-0000-2000-0000310C0000}" name="Column3094"/>
    <tableColumn id="3122" xr3:uid="{00000000-0010-0000-2000-0000320C0000}" name="Column3095"/>
    <tableColumn id="3123" xr3:uid="{00000000-0010-0000-2000-0000330C0000}" name="Column3096"/>
    <tableColumn id="3124" xr3:uid="{00000000-0010-0000-2000-0000340C0000}" name="Column3097"/>
    <tableColumn id="3125" xr3:uid="{00000000-0010-0000-2000-0000350C0000}" name="Column3098"/>
    <tableColumn id="3126" xr3:uid="{00000000-0010-0000-2000-0000360C0000}" name="Column3099"/>
    <tableColumn id="3127" xr3:uid="{00000000-0010-0000-2000-0000370C0000}" name="Column3100"/>
    <tableColumn id="3128" xr3:uid="{00000000-0010-0000-2000-0000380C0000}" name="Column3101"/>
    <tableColumn id="3129" xr3:uid="{00000000-0010-0000-2000-0000390C0000}" name="Column3102"/>
    <tableColumn id="3130" xr3:uid="{00000000-0010-0000-2000-00003A0C0000}" name="Column3103"/>
    <tableColumn id="3131" xr3:uid="{00000000-0010-0000-2000-00003B0C0000}" name="Column3104"/>
    <tableColumn id="3132" xr3:uid="{00000000-0010-0000-2000-00003C0C0000}" name="Column3105"/>
    <tableColumn id="3133" xr3:uid="{00000000-0010-0000-2000-00003D0C0000}" name="Column3106"/>
    <tableColumn id="3134" xr3:uid="{00000000-0010-0000-2000-00003E0C0000}" name="Column3107"/>
    <tableColumn id="3135" xr3:uid="{00000000-0010-0000-2000-00003F0C0000}" name="Column3108"/>
    <tableColumn id="3136" xr3:uid="{00000000-0010-0000-2000-0000400C0000}" name="Column3109"/>
    <tableColumn id="3137" xr3:uid="{00000000-0010-0000-2000-0000410C0000}" name="Column3110"/>
    <tableColumn id="3138" xr3:uid="{00000000-0010-0000-2000-0000420C0000}" name="Column3111"/>
    <tableColumn id="3139" xr3:uid="{00000000-0010-0000-2000-0000430C0000}" name="Column3112"/>
    <tableColumn id="3140" xr3:uid="{00000000-0010-0000-2000-0000440C0000}" name="Column3113"/>
    <tableColumn id="3141" xr3:uid="{00000000-0010-0000-2000-0000450C0000}" name="Column3114"/>
    <tableColumn id="3142" xr3:uid="{00000000-0010-0000-2000-0000460C0000}" name="Column3115"/>
    <tableColumn id="3143" xr3:uid="{00000000-0010-0000-2000-0000470C0000}" name="Column3116"/>
    <tableColumn id="3144" xr3:uid="{00000000-0010-0000-2000-0000480C0000}" name="Column3117"/>
    <tableColumn id="3145" xr3:uid="{00000000-0010-0000-2000-0000490C0000}" name="Column3118"/>
    <tableColumn id="3146" xr3:uid="{00000000-0010-0000-2000-00004A0C0000}" name="Column3119"/>
    <tableColumn id="3147" xr3:uid="{00000000-0010-0000-2000-00004B0C0000}" name="Column3120"/>
    <tableColumn id="3148" xr3:uid="{00000000-0010-0000-2000-00004C0C0000}" name="Column3121"/>
    <tableColumn id="3149" xr3:uid="{00000000-0010-0000-2000-00004D0C0000}" name="Column3122"/>
    <tableColumn id="3150" xr3:uid="{00000000-0010-0000-2000-00004E0C0000}" name="Column3123"/>
    <tableColumn id="3151" xr3:uid="{00000000-0010-0000-2000-00004F0C0000}" name="Column3124"/>
    <tableColumn id="3152" xr3:uid="{00000000-0010-0000-2000-0000500C0000}" name="Column3125"/>
    <tableColumn id="3153" xr3:uid="{00000000-0010-0000-2000-0000510C0000}" name="Column3126"/>
    <tableColumn id="3154" xr3:uid="{00000000-0010-0000-2000-0000520C0000}" name="Column3127"/>
    <tableColumn id="3155" xr3:uid="{00000000-0010-0000-2000-0000530C0000}" name="Column3128"/>
    <tableColumn id="3156" xr3:uid="{00000000-0010-0000-2000-0000540C0000}" name="Column3129"/>
    <tableColumn id="3157" xr3:uid="{00000000-0010-0000-2000-0000550C0000}" name="Column3130"/>
    <tableColumn id="3158" xr3:uid="{00000000-0010-0000-2000-0000560C0000}" name="Column3131"/>
    <tableColumn id="3159" xr3:uid="{00000000-0010-0000-2000-0000570C0000}" name="Column3132"/>
    <tableColumn id="3160" xr3:uid="{00000000-0010-0000-2000-0000580C0000}" name="Column3133"/>
    <tableColumn id="3161" xr3:uid="{00000000-0010-0000-2000-0000590C0000}" name="Column3134"/>
    <tableColumn id="3162" xr3:uid="{00000000-0010-0000-2000-00005A0C0000}" name="Column3135"/>
    <tableColumn id="3163" xr3:uid="{00000000-0010-0000-2000-00005B0C0000}" name="Column3136"/>
    <tableColumn id="3164" xr3:uid="{00000000-0010-0000-2000-00005C0C0000}" name="Column3137"/>
    <tableColumn id="3165" xr3:uid="{00000000-0010-0000-2000-00005D0C0000}" name="Column3138"/>
    <tableColumn id="3166" xr3:uid="{00000000-0010-0000-2000-00005E0C0000}" name="Column3139"/>
    <tableColumn id="3167" xr3:uid="{00000000-0010-0000-2000-00005F0C0000}" name="Column3140"/>
    <tableColumn id="3168" xr3:uid="{00000000-0010-0000-2000-0000600C0000}" name="Column3141"/>
    <tableColumn id="3169" xr3:uid="{00000000-0010-0000-2000-0000610C0000}" name="Column3142"/>
    <tableColumn id="3170" xr3:uid="{00000000-0010-0000-2000-0000620C0000}" name="Column3143"/>
    <tableColumn id="3171" xr3:uid="{00000000-0010-0000-2000-0000630C0000}" name="Column3144"/>
    <tableColumn id="3172" xr3:uid="{00000000-0010-0000-2000-0000640C0000}" name="Column3145"/>
    <tableColumn id="3173" xr3:uid="{00000000-0010-0000-2000-0000650C0000}" name="Column3146"/>
    <tableColumn id="3174" xr3:uid="{00000000-0010-0000-2000-0000660C0000}" name="Column3147"/>
    <tableColumn id="3175" xr3:uid="{00000000-0010-0000-2000-0000670C0000}" name="Column3148"/>
    <tableColumn id="3176" xr3:uid="{00000000-0010-0000-2000-0000680C0000}" name="Column3149"/>
    <tableColumn id="3177" xr3:uid="{00000000-0010-0000-2000-0000690C0000}" name="Column3150"/>
    <tableColumn id="3178" xr3:uid="{00000000-0010-0000-2000-00006A0C0000}" name="Column3151"/>
    <tableColumn id="3179" xr3:uid="{00000000-0010-0000-2000-00006B0C0000}" name="Column3152"/>
    <tableColumn id="3180" xr3:uid="{00000000-0010-0000-2000-00006C0C0000}" name="Column3153"/>
    <tableColumn id="3181" xr3:uid="{00000000-0010-0000-2000-00006D0C0000}" name="Column3154"/>
    <tableColumn id="3182" xr3:uid="{00000000-0010-0000-2000-00006E0C0000}" name="Column3155"/>
    <tableColumn id="3183" xr3:uid="{00000000-0010-0000-2000-00006F0C0000}" name="Column3156"/>
    <tableColumn id="3184" xr3:uid="{00000000-0010-0000-2000-0000700C0000}" name="Column3157"/>
    <tableColumn id="3185" xr3:uid="{00000000-0010-0000-2000-0000710C0000}" name="Column3158"/>
    <tableColumn id="3186" xr3:uid="{00000000-0010-0000-2000-0000720C0000}" name="Column3159"/>
    <tableColumn id="3187" xr3:uid="{00000000-0010-0000-2000-0000730C0000}" name="Column3160"/>
    <tableColumn id="3188" xr3:uid="{00000000-0010-0000-2000-0000740C0000}" name="Column3161"/>
    <tableColumn id="3189" xr3:uid="{00000000-0010-0000-2000-0000750C0000}" name="Column3162"/>
    <tableColumn id="3190" xr3:uid="{00000000-0010-0000-2000-0000760C0000}" name="Column3163"/>
    <tableColumn id="3191" xr3:uid="{00000000-0010-0000-2000-0000770C0000}" name="Column3164"/>
    <tableColumn id="3192" xr3:uid="{00000000-0010-0000-2000-0000780C0000}" name="Column3165"/>
    <tableColumn id="3193" xr3:uid="{00000000-0010-0000-2000-0000790C0000}" name="Column3166"/>
    <tableColumn id="3194" xr3:uid="{00000000-0010-0000-2000-00007A0C0000}" name="Column3167"/>
    <tableColumn id="3195" xr3:uid="{00000000-0010-0000-2000-00007B0C0000}" name="Column3168"/>
    <tableColumn id="3196" xr3:uid="{00000000-0010-0000-2000-00007C0C0000}" name="Column3169"/>
    <tableColumn id="3197" xr3:uid="{00000000-0010-0000-2000-00007D0C0000}" name="Column3170"/>
    <tableColumn id="3198" xr3:uid="{00000000-0010-0000-2000-00007E0C0000}" name="Column3171"/>
    <tableColumn id="3199" xr3:uid="{00000000-0010-0000-2000-00007F0C0000}" name="Column3172"/>
    <tableColumn id="3200" xr3:uid="{00000000-0010-0000-2000-0000800C0000}" name="Column3173"/>
    <tableColumn id="3201" xr3:uid="{00000000-0010-0000-2000-0000810C0000}" name="Column3174"/>
    <tableColumn id="3202" xr3:uid="{00000000-0010-0000-2000-0000820C0000}" name="Column3175"/>
    <tableColumn id="3203" xr3:uid="{00000000-0010-0000-2000-0000830C0000}" name="Column3176"/>
    <tableColumn id="3204" xr3:uid="{00000000-0010-0000-2000-0000840C0000}" name="Column3177"/>
    <tableColumn id="3205" xr3:uid="{00000000-0010-0000-2000-0000850C0000}" name="Column3178"/>
    <tableColumn id="3206" xr3:uid="{00000000-0010-0000-2000-0000860C0000}" name="Column3179"/>
    <tableColumn id="3207" xr3:uid="{00000000-0010-0000-2000-0000870C0000}" name="Column3180"/>
    <tableColumn id="3208" xr3:uid="{00000000-0010-0000-2000-0000880C0000}" name="Column3181"/>
    <tableColumn id="3209" xr3:uid="{00000000-0010-0000-2000-0000890C0000}" name="Column3182"/>
    <tableColumn id="3210" xr3:uid="{00000000-0010-0000-2000-00008A0C0000}" name="Column3183"/>
    <tableColumn id="3211" xr3:uid="{00000000-0010-0000-2000-00008B0C0000}" name="Column3184"/>
    <tableColumn id="3212" xr3:uid="{00000000-0010-0000-2000-00008C0C0000}" name="Column3185"/>
    <tableColumn id="3213" xr3:uid="{00000000-0010-0000-2000-00008D0C0000}" name="Column3186"/>
    <tableColumn id="3214" xr3:uid="{00000000-0010-0000-2000-00008E0C0000}" name="Column3187"/>
    <tableColumn id="3215" xr3:uid="{00000000-0010-0000-2000-00008F0C0000}" name="Column3188"/>
    <tableColumn id="3216" xr3:uid="{00000000-0010-0000-2000-0000900C0000}" name="Column3189"/>
    <tableColumn id="3217" xr3:uid="{00000000-0010-0000-2000-0000910C0000}" name="Column3190"/>
    <tableColumn id="3218" xr3:uid="{00000000-0010-0000-2000-0000920C0000}" name="Column3191"/>
    <tableColumn id="3219" xr3:uid="{00000000-0010-0000-2000-0000930C0000}" name="Column3192"/>
    <tableColumn id="3220" xr3:uid="{00000000-0010-0000-2000-0000940C0000}" name="Column3193"/>
    <tableColumn id="3221" xr3:uid="{00000000-0010-0000-2000-0000950C0000}" name="Column3194"/>
    <tableColumn id="3222" xr3:uid="{00000000-0010-0000-2000-0000960C0000}" name="Column3195"/>
    <tableColumn id="3223" xr3:uid="{00000000-0010-0000-2000-0000970C0000}" name="Column3196"/>
    <tableColumn id="3224" xr3:uid="{00000000-0010-0000-2000-0000980C0000}" name="Column3197"/>
    <tableColumn id="3225" xr3:uid="{00000000-0010-0000-2000-0000990C0000}" name="Column3198"/>
    <tableColumn id="3226" xr3:uid="{00000000-0010-0000-2000-00009A0C0000}" name="Column3199"/>
    <tableColumn id="3227" xr3:uid="{00000000-0010-0000-2000-00009B0C0000}" name="Column3200"/>
    <tableColumn id="3228" xr3:uid="{00000000-0010-0000-2000-00009C0C0000}" name="Column3201"/>
    <tableColumn id="3229" xr3:uid="{00000000-0010-0000-2000-00009D0C0000}" name="Column3202"/>
    <tableColumn id="3230" xr3:uid="{00000000-0010-0000-2000-00009E0C0000}" name="Column3203"/>
    <tableColumn id="3231" xr3:uid="{00000000-0010-0000-2000-00009F0C0000}" name="Column3204"/>
    <tableColumn id="3232" xr3:uid="{00000000-0010-0000-2000-0000A00C0000}" name="Column3205"/>
    <tableColumn id="3233" xr3:uid="{00000000-0010-0000-2000-0000A10C0000}" name="Column3206"/>
    <tableColumn id="3234" xr3:uid="{00000000-0010-0000-2000-0000A20C0000}" name="Column3207"/>
    <tableColumn id="3235" xr3:uid="{00000000-0010-0000-2000-0000A30C0000}" name="Column3208"/>
    <tableColumn id="3236" xr3:uid="{00000000-0010-0000-2000-0000A40C0000}" name="Column3209"/>
    <tableColumn id="3237" xr3:uid="{00000000-0010-0000-2000-0000A50C0000}" name="Column3210"/>
    <tableColumn id="3238" xr3:uid="{00000000-0010-0000-2000-0000A60C0000}" name="Column3211"/>
    <tableColumn id="3239" xr3:uid="{00000000-0010-0000-2000-0000A70C0000}" name="Column3212"/>
    <tableColumn id="3240" xr3:uid="{00000000-0010-0000-2000-0000A80C0000}" name="Column3213"/>
    <tableColumn id="3241" xr3:uid="{00000000-0010-0000-2000-0000A90C0000}" name="Column3214"/>
    <tableColumn id="3242" xr3:uid="{00000000-0010-0000-2000-0000AA0C0000}" name="Column3215"/>
    <tableColumn id="3243" xr3:uid="{00000000-0010-0000-2000-0000AB0C0000}" name="Column3216"/>
    <tableColumn id="3244" xr3:uid="{00000000-0010-0000-2000-0000AC0C0000}" name="Column3217"/>
    <tableColumn id="3245" xr3:uid="{00000000-0010-0000-2000-0000AD0C0000}" name="Column3218"/>
    <tableColumn id="3246" xr3:uid="{00000000-0010-0000-2000-0000AE0C0000}" name="Column3219"/>
    <tableColumn id="3247" xr3:uid="{00000000-0010-0000-2000-0000AF0C0000}" name="Column3220"/>
    <tableColumn id="3248" xr3:uid="{00000000-0010-0000-2000-0000B00C0000}" name="Column3221"/>
    <tableColumn id="3249" xr3:uid="{00000000-0010-0000-2000-0000B10C0000}" name="Column3222"/>
    <tableColumn id="3250" xr3:uid="{00000000-0010-0000-2000-0000B20C0000}" name="Column3223"/>
    <tableColumn id="3251" xr3:uid="{00000000-0010-0000-2000-0000B30C0000}" name="Column3224"/>
    <tableColumn id="3252" xr3:uid="{00000000-0010-0000-2000-0000B40C0000}" name="Column3225"/>
    <tableColumn id="3253" xr3:uid="{00000000-0010-0000-2000-0000B50C0000}" name="Column3226"/>
    <tableColumn id="3254" xr3:uid="{00000000-0010-0000-2000-0000B60C0000}" name="Column3227"/>
    <tableColumn id="3255" xr3:uid="{00000000-0010-0000-2000-0000B70C0000}" name="Column3228"/>
    <tableColumn id="3256" xr3:uid="{00000000-0010-0000-2000-0000B80C0000}" name="Column3229"/>
    <tableColumn id="3257" xr3:uid="{00000000-0010-0000-2000-0000B90C0000}" name="Column3230"/>
    <tableColumn id="3258" xr3:uid="{00000000-0010-0000-2000-0000BA0C0000}" name="Column3231"/>
    <tableColumn id="3259" xr3:uid="{00000000-0010-0000-2000-0000BB0C0000}" name="Column3232"/>
    <tableColumn id="3260" xr3:uid="{00000000-0010-0000-2000-0000BC0C0000}" name="Column3233"/>
    <tableColumn id="3261" xr3:uid="{00000000-0010-0000-2000-0000BD0C0000}" name="Column3234"/>
    <tableColumn id="3262" xr3:uid="{00000000-0010-0000-2000-0000BE0C0000}" name="Column3235"/>
    <tableColumn id="3263" xr3:uid="{00000000-0010-0000-2000-0000BF0C0000}" name="Column3236"/>
    <tableColumn id="3264" xr3:uid="{00000000-0010-0000-2000-0000C00C0000}" name="Column3237"/>
    <tableColumn id="3265" xr3:uid="{00000000-0010-0000-2000-0000C10C0000}" name="Column3238"/>
    <tableColumn id="3266" xr3:uid="{00000000-0010-0000-2000-0000C20C0000}" name="Column3239"/>
    <tableColumn id="3267" xr3:uid="{00000000-0010-0000-2000-0000C30C0000}" name="Column3240"/>
    <tableColumn id="3268" xr3:uid="{00000000-0010-0000-2000-0000C40C0000}" name="Column3241"/>
    <tableColumn id="3269" xr3:uid="{00000000-0010-0000-2000-0000C50C0000}" name="Column3242"/>
    <tableColumn id="3270" xr3:uid="{00000000-0010-0000-2000-0000C60C0000}" name="Column3243"/>
    <tableColumn id="3271" xr3:uid="{00000000-0010-0000-2000-0000C70C0000}" name="Column3244"/>
    <tableColumn id="3272" xr3:uid="{00000000-0010-0000-2000-0000C80C0000}" name="Column3245"/>
    <tableColumn id="3273" xr3:uid="{00000000-0010-0000-2000-0000C90C0000}" name="Column3246"/>
    <tableColumn id="3274" xr3:uid="{00000000-0010-0000-2000-0000CA0C0000}" name="Column3247"/>
    <tableColumn id="3275" xr3:uid="{00000000-0010-0000-2000-0000CB0C0000}" name="Column3248"/>
    <tableColumn id="3276" xr3:uid="{00000000-0010-0000-2000-0000CC0C0000}" name="Column3249"/>
    <tableColumn id="3277" xr3:uid="{00000000-0010-0000-2000-0000CD0C0000}" name="Column3250"/>
    <tableColumn id="3278" xr3:uid="{00000000-0010-0000-2000-0000CE0C0000}" name="Column3251"/>
    <tableColumn id="3279" xr3:uid="{00000000-0010-0000-2000-0000CF0C0000}" name="Column3252"/>
    <tableColumn id="3280" xr3:uid="{00000000-0010-0000-2000-0000D00C0000}" name="Column3253"/>
    <tableColumn id="3281" xr3:uid="{00000000-0010-0000-2000-0000D10C0000}" name="Column3254"/>
    <tableColumn id="3282" xr3:uid="{00000000-0010-0000-2000-0000D20C0000}" name="Column3255"/>
    <tableColumn id="3283" xr3:uid="{00000000-0010-0000-2000-0000D30C0000}" name="Column3256"/>
    <tableColumn id="3284" xr3:uid="{00000000-0010-0000-2000-0000D40C0000}" name="Column3257"/>
    <tableColumn id="3285" xr3:uid="{00000000-0010-0000-2000-0000D50C0000}" name="Column3258"/>
    <tableColumn id="3286" xr3:uid="{00000000-0010-0000-2000-0000D60C0000}" name="Column3259"/>
    <tableColumn id="3287" xr3:uid="{00000000-0010-0000-2000-0000D70C0000}" name="Column3260"/>
    <tableColumn id="3288" xr3:uid="{00000000-0010-0000-2000-0000D80C0000}" name="Column3261"/>
    <tableColumn id="3289" xr3:uid="{00000000-0010-0000-2000-0000D90C0000}" name="Column3262"/>
    <tableColumn id="3290" xr3:uid="{00000000-0010-0000-2000-0000DA0C0000}" name="Column3263"/>
    <tableColumn id="3291" xr3:uid="{00000000-0010-0000-2000-0000DB0C0000}" name="Column3264"/>
    <tableColumn id="3292" xr3:uid="{00000000-0010-0000-2000-0000DC0C0000}" name="Column3265"/>
    <tableColumn id="3293" xr3:uid="{00000000-0010-0000-2000-0000DD0C0000}" name="Column3266"/>
    <tableColumn id="3294" xr3:uid="{00000000-0010-0000-2000-0000DE0C0000}" name="Column3267"/>
    <tableColumn id="3295" xr3:uid="{00000000-0010-0000-2000-0000DF0C0000}" name="Column3268"/>
    <tableColumn id="3296" xr3:uid="{00000000-0010-0000-2000-0000E00C0000}" name="Column3269"/>
    <tableColumn id="3297" xr3:uid="{00000000-0010-0000-2000-0000E10C0000}" name="Column3270"/>
    <tableColumn id="3298" xr3:uid="{00000000-0010-0000-2000-0000E20C0000}" name="Column3271"/>
    <tableColumn id="3299" xr3:uid="{00000000-0010-0000-2000-0000E30C0000}" name="Column3272"/>
    <tableColumn id="3300" xr3:uid="{00000000-0010-0000-2000-0000E40C0000}" name="Column3273"/>
    <tableColumn id="3301" xr3:uid="{00000000-0010-0000-2000-0000E50C0000}" name="Column3274"/>
    <tableColumn id="3302" xr3:uid="{00000000-0010-0000-2000-0000E60C0000}" name="Column3275"/>
    <tableColumn id="3303" xr3:uid="{00000000-0010-0000-2000-0000E70C0000}" name="Column3276"/>
    <tableColumn id="3304" xr3:uid="{00000000-0010-0000-2000-0000E80C0000}" name="Column3277"/>
    <tableColumn id="3305" xr3:uid="{00000000-0010-0000-2000-0000E90C0000}" name="Column3278"/>
    <tableColumn id="3306" xr3:uid="{00000000-0010-0000-2000-0000EA0C0000}" name="Column3279"/>
    <tableColumn id="3307" xr3:uid="{00000000-0010-0000-2000-0000EB0C0000}" name="Column3280"/>
    <tableColumn id="3308" xr3:uid="{00000000-0010-0000-2000-0000EC0C0000}" name="Column3281"/>
    <tableColumn id="3309" xr3:uid="{00000000-0010-0000-2000-0000ED0C0000}" name="Column3282"/>
    <tableColumn id="3310" xr3:uid="{00000000-0010-0000-2000-0000EE0C0000}" name="Column3283"/>
    <tableColumn id="3311" xr3:uid="{00000000-0010-0000-2000-0000EF0C0000}" name="Column3284"/>
    <tableColumn id="3312" xr3:uid="{00000000-0010-0000-2000-0000F00C0000}" name="Column3285"/>
    <tableColumn id="3313" xr3:uid="{00000000-0010-0000-2000-0000F10C0000}" name="Column3286"/>
    <tableColumn id="3314" xr3:uid="{00000000-0010-0000-2000-0000F20C0000}" name="Column3287"/>
    <tableColumn id="3315" xr3:uid="{00000000-0010-0000-2000-0000F30C0000}" name="Column3288"/>
    <tableColumn id="3316" xr3:uid="{00000000-0010-0000-2000-0000F40C0000}" name="Column3289"/>
    <tableColumn id="3317" xr3:uid="{00000000-0010-0000-2000-0000F50C0000}" name="Column3290"/>
    <tableColumn id="3318" xr3:uid="{00000000-0010-0000-2000-0000F60C0000}" name="Column3291"/>
    <tableColumn id="3319" xr3:uid="{00000000-0010-0000-2000-0000F70C0000}" name="Column3292"/>
    <tableColumn id="3320" xr3:uid="{00000000-0010-0000-2000-0000F80C0000}" name="Column3293"/>
    <tableColumn id="3321" xr3:uid="{00000000-0010-0000-2000-0000F90C0000}" name="Column3294"/>
    <tableColumn id="3322" xr3:uid="{00000000-0010-0000-2000-0000FA0C0000}" name="Column3295"/>
    <tableColumn id="3323" xr3:uid="{00000000-0010-0000-2000-0000FB0C0000}" name="Column3296"/>
    <tableColumn id="3324" xr3:uid="{00000000-0010-0000-2000-0000FC0C0000}" name="Column3297"/>
    <tableColumn id="3325" xr3:uid="{00000000-0010-0000-2000-0000FD0C0000}" name="Column3298"/>
    <tableColumn id="3326" xr3:uid="{00000000-0010-0000-2000-0000FE0C0000}" name="Column3299"/>
    <tableColumn id="3327" xr3:uid="{00000000-0010-0000-2000-0000FF0C0000}" name="Column3300"/>
    <tableColumn id="3328" xr3:uid="{00000000-0010-0000-2000-0000000D0000}" name="Column3301"/>
    <tableColumn id="3329" xr3:uid="{00000000-0010-0000-2000-0000010D0000}" name="Column3302"/>
    <tableColumn id="3330" xr3:uid="{00000000-0010-0000-2000-0000020D0000}" name="Column3303"/>
    <tableColumn id="3331" xr3:uid="{00000000-0010-0000-2000-0000030D0000}" name="Column3304"/>
    <tableColumn id="3332" xr3:uid="{00000000-0010-0000-2000-0000040D0000}" name="Column3305"/>
    <tableColumn id="3333" xr3:uid="{00000000-0010-0000-2000-0000050D0000}" name="Column3306"/>
    <tableColumn id="3334" xr3:uid="{00000000-0010-0000-2000-0000060D0000}" name="Column3307"/>
    <tableColumn id="3335" xr3:uid="{00000000-0010-0000-2000-0000070D0000}" name="Column3308"/>
    <tableColumn id="3336" xr3:uid="{00000000-0010-0000-2000-0000080D0000}" name="Column3309"/>
    <tableColumn id="3337" xr3:uid="{00000000-0010-0000-2000-0000090D0000}" name="Column3310"/>
    <tableColumn id="3338" xr3:uid="{00000000-0010-0000-2000-00000A0D0000}" name="Column3311"/>
    <tableColumn id="3339" xr3:uid="{00000000-0010-0000-2000-00000B0D0000}" name="Column3312"/>
    <tableColumn id="3340" xr3:uid="{00000000-0010-0000-2000-00000C0D0000}" name="Column3313"/>
    <tableColumn id="3341" xr3:uid="{00000000-0010-0000-2000-00000D0D0000}" name="Column3314"/>
    <tableColumn id="3342" xr3:uid="{00000000-0010-0000-2000-00000E0D0000}" name="Column3315"/>
    <tableColumn id="3343" xr3:uid="{00000000-0010-0000-2000-00000F0D0000}" name="Column3316"/>
    <tableColumn id="3344" xr3:uid="{00000000-0010-0000-2000-0000100D0000}" name="Column3317"/>
    <tableColumn id="3345" xr3:uid="{00000000-0010-0000-2000-0000110D0000}" name="Column3318"/>
    <tableColumn id="3346" xr3:uid="{00000000-0010-0000-2000-0000120D0000}" name="Column3319"/>
    <tableColumn id="3347" xr3:uid="{00000000-0010-0000-2000-0000130D0000}" name="Column3320"/>
    <tableColumn id="3348" xr3:uid="{00000000-0010-0000-2000-0000140D0000}" name="Column3321"/>
    <tableColumn id="3349" xr3:uid="{00000000-0010-0000-2000-0000150D0000}" name="Column3322"/>
    <tableColumn id="3350" xr3:uid="{00000000-0010-0000-2000-0000160D0000}" name="Column3323"/>
    <tableColumn id="3351" xr3:uid="{00000000-0010-0000-2000-0000170D0000}" name="Column3324"/>
    <tableColumn id="3352" xr3:uid="{00000000-0010-0000-2000-0000180D0000}" name="Column3325"/>
    <tableColumn id="3353" xr3:uid="{00000000-0010-0000-2000-0000190D0000}" name="Column3326"/>
    <tableColumn id="3354" xr3:uid="{00000000-0010-0000-2000-00001A0D0000}" name="Column3327"/>
    <tableColumn id="3355" xr3:uid="{00000000-0010-0000-2000-00001B0D0000}" name="Column3328"/>
    <tableColumn id="3356" xr3:uid="{00000000-0010-0000-2000-00001C0D0000}" name="Column3329"/>
    <tableColumn id="3357" xr3:uid="{00000000-0010-0000-2000-00001D0D0000}" name="Column3330"/>
    <tableColumn id="3358" xr3:uid="{00000000-0010-0000-2000-00001E0D0000}" name="Column3331"/>
    <tableColumn id="3359" xr3:uid="{00000000-0010-0000-2000-00001F0D0000}" name="Column3332"/>
    <tableColumn id="3360" xr3:uid="{00000000-0010-0000-2000-0000200D0000}" name="Column3333"/>
    <tableColumn id="3361" xr3:uid="{00000000-0010-0000-2000-0000210D0000}" name="Column3334"/>
    <tableColumn id="3362" xr3:uid="{00000000-0010-0000-2000-0000220D0000}" name="Column3335"/>
    <tableColumn id="3363" xr3:uid="{00000000-0010-0000-2000-0000230D0000}" name="Column3336"/>
    <tableColumn id="3364" xr3:uid="{00000000-0010-0000-2000-0000240D0000}" name="Column3337"/>
    <tableColumn id="3365" xr3:uid="{00000000-0010-0000-2000-0000250D0000}" name="Column3338"/>
    <tableColumn id="3366" xr3:uid="{00000000-0010-0000-2000-0000260D0000}" name="Column3339"/>
    <tableColumn id="3367" xr3:uid="{00000000-0010-0000-2000-0000270D0000}" name="Column3340"/>
    <tableColumn id="3368" xr3:uid="{00000000-0010-0000-2000-0000280D0000}" name="Column3341"/>
    <tableColumn id="3369" xr3:uid="{00000000-0010-0000-2000-0000290D0000}" name="Column3342"/>
    <tableColumn id="3370" xr3:uid="{00000000-0010-0000-2000-00002A0D0000}" name="Column3343"/>
    <tableColumn id="3371" xr3:uid="{00000000-0010-0000-2000-00002B0D0000}" name="Column3344"/>
    <tableColumn id="3372" xr3:uid="{00000000-0010-0000-2000-00002C0D0000}" name="Column3345"/>
    <tableColumn id="3373" xr3:uid="{00000000-0010-0000-2000-00002D0D0000}" name="Column3346"/>
    <tableColumn id="3374" xr3:uid="{00000000-0010-0000-2000-00002E0D0000}" name="Column3347"/>
    <tableColumn id="3375" xr3:uid="{00000000-0010-0000-2000-00002F0D0000}" name="Column3348"/>
    <tableColumn id="3376" xr3:uid="{00000000-0010-0000-2000-0000300D0000}" name="Column3349"/>
    <tableColumn id="3377" xr3:uid="{00000000-0010-0000-2000-0000310D0000}" name="Column3350"/>
    <tableColumn id="3378" xr3:uid="{00000000-0010-0000-2000-0000320D0000}" name="Column3351"/>
    <tableColumn id="3379" xr3:uid="{00000000-0010-0000-2000-0000330D0000}" name="Column3352"/>
    <tableColumn id="3380" xr3:uid="{00000000-0010-0000-2000-0000340D0000}" name="Column3353"/>
    <tableColumn id="3381" xr3:uid="{00000000-0010-0000-2000-0000350D0000}" name="Column3354"/>
    <tableColumn id="3382" xr3:uid="{00000000-0010-0000-2000-0000360D0000}" name="Column3355"/>
    <tableColumn id="3383" xr3:uid="{00000000-0010-0000-2000-0000370D0000}" name="Column3356"/>
    <tableColumn id="3384" xr3:uid="{00000000-0010-0000-2000-0000380D0000}" name="Column3357"/>
    <tableColumn id="3385" xr3:uid="{00000000-0010-0000-2000-0000390D0000}" name="Column3358"/>
    <tableColumn id="3386" xr3:uid="{00000000-0010-0000-2000-00003A0D0000}" name="Column3359"/>
    <tableColumn id="3387" xr3:uid="{00000000-0010-0000-2000-00003B0D0000}" name="Column3360"/>
    <tableColumn id="3388" xr3:uid="{00000000-0010-0000-2000-00003C0D0000}" name="Column3361"/>
    <tableColumn id="3389" xr3:uid="{00000000-0010-0000-2000-00003D0D0000}" name="Column3362"/>
    <tableColumn id="3390" xr3:uid="{00000000-0010-0000-2000-00003E0D0000}" name="Column3363"/>
    <tableColumn id="3391" xr3:uid="{00000000-0010-0000-2000-00003F0D0000}" name="Column3364"/>
    <tableColumn id="3392" xr3:uid="{00000000-0010-0000-2000-0000400D0000}" name="Column3365"/>
    <tableColumn id="3393" xr3:uid="{00000000-0010-0000-2000-0000410D0000}" name="Column3366"/>
    <tableColumn id="3394" xr3:uid="{00000000-0010-0000-2000-0000420D0000}" name="Column3367"/>
    <tableColumn id="3395" xr3:uid="{00000000-0010-0000-2000-0000430D0000}" name="Column3368"/>
    <tableColumn id="3396" xr3:uid="{00000000-0010-0000-2000-0000440D0000}" name="Column3369"/>
    <tableColumn id="3397" xr3:uid="{00000000-0010-0000-2000-0000450D0000}" name="Column3370"/>
    <tableColumn id="3398" xr3:uid="{00000000-0010-0000-2000-0000460D0000}" name="Column3371"/>
    <tableColumn id="3399" xr3:uid="{00000000-0010-0000-2000-0000470D0000}" name="Column3372"/>
    <tableColumn id="3400" xr3:uid="{00000000-0010-0000-2000-0000480D0000}" name="Column3373"/>
    <tableColumn id="3401" xr3:uid="{00000000-0010-0000-2000-0000490D0000}" name="Column3374"/>
    <tableColumn id="3402" xr3:uid="{00000000-0010-0000-2000-00004A0D0000}" name="Column3375"/>
    <tableColumn id="3403" xr3:uid="{00000000-0010-0000-2000-00004B0D0000}" name="Column3376"/>
    <tableColumn id="3404" xr3:uid="{00000000-0010-0000-2000-00004C0D0000}" name="Column3377"/>
    <tableColumn id="3405" xr3:uid="{00000000-0010-0000-2000-00004D0D0000}" name="Column3378"/>
    <tableColumn id="3406" xr3:uid="{00000000-0010-0000-2000-00004E0D0000}" name="Column3379"/>
    <tableColumn id="3407" xr3:uid="{00000000-0010-0000-2000-00004F0D0000}" name="Column3380"/>
    <tableColumn id="3408" xr3:uid="{00000000-0010-0000-2000-0000500D0000}" name="Column3381"/>
    <tableColumn id="3409" xr3:uid="{00000000-0010-0000-2000-0000510D0000}" name="Column3382"/>
    <tableColumn id="3410" xr3:uid="{00000000-0010-0000-2000-0000520D0000}" name="Column3383"/>
    <tableColumn id="3411" xr3:uid="{00000000-0010-0000-2000-0000530D0000}" name="Column3384"/>
    <tableColumn id="3412" xr3:uid="{00000000-0010-0000-2000-0000540D0000}" name="Column3385"/>
    <tableColumn id="3413" xr3:uid="{00000000-0010-0000-2000-0000550D0000}" name="Column3386"/>
    <tableColumn id="3414" xr3:uid="{00000000-0010-0000-2000-0000560D0000}" name="Column3387"/>
    <tableColumn id="3415" xr3:uid="{00000000-0010-0000-2000-0000570D0000}" name="Column3388"/>
    <tableColumn id="3416" xr3:uid="{00000000-0010-0000-2000-0000580D0000}" name="Column3389"/>
    <tableColumn id="3417" xr3:uid="{00000000-0010-0000-2000-0000590D0000}" name="Column3390"/>
    <tableColumn id="3418" xr3:uid="{00000000-0010-0000-2000-00005A0D0000}" name="Column3391"/>
    <tableColumn id="3419" xr3:uid="{00000000-0010-0000-2000-00005B0D0000}" name="Column3392"/>
    <tableColumn id="3420" xr3:uid="{00000000-0010-0000-2000-00005C0D0000}" name="Column3393"/>
    <tableColumn id="3421" xr3:uid="{00000000-0010-0000-2000-00005D0D0000}" name="Column3394"/>
    <tableColumn id="3422" xr3:uid="{00000000-0010-0000-2000-00005E0D0000}" name="Column3395"/>
    <tableColumn id="3423" xr3:uid="{00000000-0010-0000-2000-00005F0D0000}" name="Column3396"/>
    <tableColumn id="3424" xr3:uid="{00000000-0010-0000-2000-0000600D0000}" name="Column3397"/>
    <tableColumn id="3425" xr3:uid="{00000000-0010-0000-2000-0000610D0000}" name="Column3398"/>
    <tableColumn id="3426" xr3:uid="{00000000-0010-0000-2000-0000620D0000}" name="Column3399"/>
    <tableColumn id="3427" xr3:uid="{00000000-0010-0000-2000-0000630D0000}" name="Column3400"/>
    <tableColumn id="3428" xr3:uid="{00000000-0010-0000-2000-0000640D0000}" name="Column3401"/>
    <tableColumn id="3429" xr3:uid="{00000000-0010-0000-2000-0000650D0000}" name="Column3402"/>
    <tableColumn id="3430" xr3:uid="{00000000-0010-0000-2000-0000660D0000}" name="Column3403"/>
    <tableColumn id="3431" xr3:uid="{00000000-0010-0000-2000-0000670D0000}" name="Column3404"/>
    <tableColumn id="3432" xr3:uid="{00000000-0010-0000-2000-0000680D0000}" name="Column3405"/>
    <tableColumn id="3433" xr3:uid="{00000000-0010-0000-2000-0000690D0000}" name="Column3406"/>
    <tableColumn id="3434" xr3:uid="{00000000-0010-0000-2000-00006A0D0000}" name="Column3407"/>
    <tableColumn id="3435" xr3:uid="{00000000-0010-0000-2000-00006B0D0000}" name="Column3408"/>
    <tableColumn id="3436" xr3:uid="{00000000-0010-0000-2000-00006C0D0000}" name="Column3409"/>
    <tableColumn id="3437" xr3:uid="{00000000-0010-0000-2000-00006D0D0000}" name="Column3410"/>
    <tableColumn id="3438" xr3:uid="{00000000-0010-0000-2000-00006E0D0000}" name="Column3411"/>
    <tableColumn id="3439" xr3:uid="{00000000-0010-0000-2000-00006F0D0000}" name="Column3412"/>
    <tableColumn id="3440" xr3:uid="{00000000-0010-0000-2000-0000700D0000}" name="Column3413"/>
    <tableColumn id="3441" xr3:uid="{00000000-0010-0000-2000-0000710D0000}" name="Column3414"/>
    <tableColumn id="3442" xr3:uid="{00000000-0010-0000-2000-0000720D0000}" name="Column3415"/>
    <tableColumn id="3443" xr3:uid="{00000000-0010-0000-2000-0000730D0000}" name="Column3416"/>
    <tableColumn id="3444" xr3:uid="{00000000-0010-0000-2000-0000740D0000}" name="Column3417"/>
    <tableColumn id="3445" xr3:uid="{00000000-0010-0000-2000-0000750D0000}" name="Column3418"/>
    <tableColumn id="3446" xr3:uid="{00000000-0010-0000-2000-0000760D0000}" name="Column3419"/>
    <tableColumn id="3447" xr3:uid="{00000000-0010-0000-2000-0000770D0000}" name="Column3420"/>
    <tableColumn id="3448" xr3:uid="{00000000-0010-0000-2000-0000780D0000}" name="Column3421"/>
    <tableColumn id="3449" xr3:uid="{00000000-0010-0000-2000-0000790D0000}" name="Column3422"/>
    <tableColumn id="3450" xr3:uid="{00000000-0010-0000-2000-00007A0D0000}" name="Column3423"/>
    <tableColumn id="3451" xr3:uid="{00000000-0010-0000-2000-00007B0D0000}" name="Column3424"/>
    <tableColumn id="3452" xr3:uid="{00000000-0010-0000-2000-00007C0D0000}" name="Column3425"/>
    <tableColumn id="3453" xr3:uid="{00000000-0010-0000-2000-00007D0D0000}" name="Column3426"/>
    <tableColumn id="3454" xr3:uid="{00000000-0010-0000-2000-00007E0D0000}" name="Column3427"/>
    <tableColumn id="3455" xr3:uid="{00000000-0010-0000-2000-00007F0D0000}" name="Column3428"/>
    <tableColumn id="3456" xr3:uid="{00000000-0010-0000-2000-0000800D0000}" name="Column3429"/>
    <tableColumn id="3457" xr3:uid="{00000000-0010-0000-2000-0000810D0000}" name="Column3430"/>
    <tableColumn id="3458" xr3:uid="{00000000-0010-0000-2000-0000820D0000}" name="Column3431"/>
    <tableColumn id="3459" xr3:uid="{00000000-0010-0000-2000-0000830D0000}" name="Column3432"/>
    <tableColumn id="3460" xr3:uid="{00000000-0010-0000-2000-0000840D0000}" name="Column3433"/>
    <tableColumn id="3461" xr3:uid="{00000000-0010-0000-2000-0000850D0000}" name="Column3434"/>
    <tableColumn id="3462" xr3:uid="{00000000-0010-0000-2000-0000860D0000}" name="Column3435"/>
    <tableColumn id="3463" xr3:uid="{00000000-0010-0000-2000-0000870D0000}" name="Column3436"/>
    <tableColumn id="3464" xr3:uid="{00000000-0010-0000-2000-0000880D0000}" name="Column3437"/>
    <tableColumn id="3465" xr3:uid="{00000000-0010-0000-2000-0000890D0000}" name="Column3438"/>
    <tableColumn id="3466" xr3:uid="{00000000-0010-0000-2000-00008A0D0000}" name="Column3439"/>
    <tableColumn id="3467" xr3:uid="{00000000-0010-0000-2000-00008B0D0000}" name="Column3440"/>
    <tableColumn id="3468" xr3:uid="{00000000-0010-0000-2000-00008C0D0000}" name="Column3441"/>
    <tableColumn id="3469" xr3:uid="{00000000-0010-0000-2000-00008D0D0000}" name="Column3442"/>
    <tableColumn id="3470" xr3:uid="{00000000-0010-0000-2000-00008E0D0000}" name="Column3443"/>
    <tableColumn id="3471" xr3:uid="{00000000-0010-0000-2000-00008F0D0000}" name="Column3444"/>
    <tableColumn id="3472" xr3:uid="{00000000-0010-0000-2000-0000900D0000}" name="Column3445"/>
    <tableColumn id="3473" xr3:uid="{00000000-0010-0000-2000-0000910D0000}" name="Column3446"/>
    <tableColumn id="3474" xr3:uid="{00000000-0010-0000-2000-0000920D0000}" name="Column3447"/>
    <tableColumn id="3475" xr3:uid="{00000000-0010-0000-2000-0000930D0000}" name="Column3448"/>
    <tableColumn id="3476" xr3:uid="{00000000-0010-0000-2000-0000940D0000}" name="Column3449"/>
    <tableColumn id="3477" xr3:uid="{00000000-0010-0000-2000-0000950D0000}" name="Column3450"/>
    <tableColumn id="3478" xr3:uid="{00000000-0010-0000-2000-0000960D0000}" name="Column3451"/>
    <tableColumn id="3479" xr3:uid="{00000000-0010-0000-2000-0000970D0000}" name="Column3452"/>
    <tableColumn id="3480" xr3:uid="{00000000-0010-0000-2000-0000980D0000}" name="Column3453"/>
    <tableColumn id="3481" xr3:uid="{00000000-0010-0000-2000-0000990D0000}" name="Column3454"/>
    <tableColumn id="3482" xr3:uid="{00000000-0010-0000-2000-00009A0D0000}" name="Column3455"/>
    <tableColumn id="3483" xr3:uid="{00000000-0010-0000-2000-00009B0D0000}" name="Column3456"/>
    <tableColumn id="3484" xr3:uid="{00000000-0010-0000-2000-00009C0D0000}" name="Column3457"/>
    <tableColumn id="3485" xr3:uid="{00000000-0010-0000-2000-00009D0D0000}" name="Column3458"/>
    <tableColumn id="3486" xr3:uid="{00000000-0010-0000-2000-00009E0D0000}" name="Column3459"/>
    <tableColumn id="3487" xr3:uid="{00000000-0010-0000-2000-00009F0D0000}" name="Column3460"/>
    <tableColumn id="3488" xr3:uid="{00000000-0010-0000-2000-0000A00D0000}" name="Column3461"/>
    <tableColumn id="3489" xr3:uid="{00000000-0010-0000-2000-0000A10D0000}" name="Column3462"/>
    <tableColumn id="3490" xr3:uid="{00000000-0010-0000-2000-0000A20D0000}" name="Column3463"/>
    <tableColumn id="3491" xr3:uid="{00000000-0010-0000-2000-0000A30D0000}" name="Column3464"/>
    <tableColumn id="3492" xr3:uid="{00000000-0010-0000-2000-0000A40D0000}" name="Column3465"/>
    <tableColumn id="3493" xr3:uid="{00000000-0010-0000-2000-0000A50D0000}" name="Column3466"/>
    <tableColumn id="3494" xr3:uid="{00000000-0010-0000-2000-0000A60D0000}" name="Column3467"/>
    <tableColumn id="3495" xr3:uid="{00000000-0010-0000-2000-0000A70D0000}" name="Column3468"/>
    <tableColumn id="3496" xr3:uid="{00000000-0010-0000-2000-0000A80D0000}" name="Column3469"/>
    <tableColumn id="3497" xr3:uid="{00000000-0010-0000-2000-0000A90D0000}" name="Column3470"/>
    <tableColumn id="3498" xr3:uid="{00000000-0010-0000-2000-0000AA0D0000}" name="Column3471"/>
    <tableColumn id="3499" xr3:uid="{00000000-0010-0000-2000-0000AB0D0000}" name="Column3472"/>
    <tableColumn id="3500" xr3:uid="{00000000-0010-0000-2000-0000AC0D0000}" name="Column3473"/>
    <tableColumn id="3501" xr3:uid="{00000000-0010-0000-2000-0000AD0D0000}" name="Column3474"/>
    <tableColumn id="3502" xr3:uid="{00000000-0010-0000-2000-0000AE0D0000}" name="Column3475"/>
    <tableColumn id="3503" xr3:uid="{00000000-0010-0000-2000-0000AF0D0000}" name="Column3476"/>
    <tableColumn id="3504" xr3:uid="{00000000-0010-0000-2000-0000B00D0000}" name="Column3477"/>
    <tableColumn id="3505" xr3:uid="{00000000-0010-0000-2000-0000B10D0000}" name="Column3478"/>
    <tableColumn id="3506" xr3:uid="{00000000-0010-0000-2000-0000B20D0000}" name="Column3479"/>
    <tableColumn id="3507" xr3:uid="{00000000-0010-0000-2000-0000B30D0000}" name="Column3480"/>
    <tableColumn id="3508" xr3:uid="{00000000-0010-0000-2000-0000B40D0000}" name="Column3481"/>
    <tableColumn id="3509" xr3:uid="{00000000-0010-0000-2000-0000B50D0000}" name="Column3482"/>
    <tableColumn id="3510" xr3:uid="{00000000-0010-0000-2000-0000B60D0000}" name="Column3483"/>
    <tableColumn id="3511" xr3:uid="{00000000-0010-0000-2000-0000B70D0000}" name="Column3484"/>
    <tableColumn id="3512" xr3:uid="{00000000-0010-0000-2000-0000B80D0000}" name="Column3485"/>
    <tableColumn id="3513" xr3:uid="{00000000-0010-0000-2000-0000B90D0000}" name="Column3486"/>
    <tableColumn id="3514" xr3:uid="{00000000-0010-0000-2000-0000BA0D0000}" name="Column3487"/>
    <tableColumn id="3515" xr3:uid="{00000000-0010-0000-2000-0000BB0D0000}" name="Column3488"/>
    <tableColumn id="3516" xr3:uid="{00000000-0010-0000-2000-0000BC0D0000}" name="Column3489"/>
    <tableColumn id="3517" xr3:uid="{00000000-0010-0000-2000-0000BD0D0000}" name="Column3490"/>
    <tableColumn id="3518" xr3:uid="{00000000-0010-0000-2000-0000BE0D0000}" name="Column3491"/>
    <tableColumn id="3519" xr3:uid="{00000000-0010-0000-2000-0000BF0D0000}" name="Column3492"/>
    <tableColumn id="3520" xr3:uid="{00000000-0010-0000-2000-0000C00D0000}" name="Column3493"/>
    <tableColumn id="3521" xr3:uid="{00000000-0010-0000-2000-0000C10D0000}" name="Column3494"/>
    <tableColumn id="3522" xr3:uid="{00000000-0010-0000-2000-0000C20D0000}" name="Column3495"/>
    <tableColumn id="3523" xr3:uid="{00000000-0010-0000-2000-0000C30D0000}" name="Column3496"/>
    <tableColumn id="3524" xr3:uid="{00000000-0010-0000-2000-0000C40D0000}" name="Column3497"/>
    <tableColumn id="3525" xr3:uid="{00000000-0010-0000-2000-0000C50D0000}" name="Column3498"/>
    <tableColumn id="3526" xr3:uid="{00000000-0010-0000-2000-0000C60D0000}" name="Column3499"/>
    <tableColumn id="3527" xr3:uid="{00000000-0010-0000-2000-0000C70D0000}" name="Column3500"/>
    <tableColumn id="3528" xr3:uid="{00000000-0010-0000-2000-0000C80D0000}" name="Column3501"/>
    <tableColumn id="3529" xr3:uid="{00000000-0010-0000-2000-0000C90D0000}" name="Column3502"/>
    <tableColumn id="3530" xr3:uid="{00000000-0010-0000-2000-0000CA0D0000}" name="Column3503"/>
    <tableColumn id="3531" xr3:uid="{00000000-0010-0000-2000-0000CB0D0000}" name="Column3504"/>
    <tableColumn id="3532" xr3:uid="{00000000-0010-0000-2000-0000CC0D0000}" name="Column3505"/>
    <tableColumn id="3533" xr3:uid="{00000000-0010-0000-2000-0000CD0D0000}" name="Column3506"/>
    <tableColumn id="3534" xr3:uid="{00000000-0010-0000-2000-0000CE0D0000}" name="Column3507"/>
    <tableColumn id="3535" xr3:uid="{00000000-0010-0000-2000-0000CF0D0000}" name="Column3508"/>
    <tableColumn id="3536" xr3:uid="{00000000-0010-0000-2000-0000D00D0000}" name="Column3509"/>
    <tableColumn id="3537" xr3:uid="{00000000-0010-0000-2000-0000D10D0000}" name="Column3510"/>
    <tableColumn id="3538" xr3:uid="{00000000-0010-0000-2000-0000D20D0000}" name="Column3511"/>
    <tableColumn id="3539" xr3:uid="{00000000-0010-0000-2000-0000D30D0000}" name="Column3512"/>
    <tableColumn id="3540" xr3:uid="{00000000-0010-0000-2000-0000D40D0000}" name="Column3513"/>
    <tableColumn id="3541" xr3:uid="{00000000-0010-0000-2000-0000D50D0000}" name="Column3514"/>
    <tableColumn id="3542" xr3:uid="{00000000-0010-0000-2000-0000D60D0000}" name="Column3515"/>
    <tableColumn id="3543" xr3:uid="{00000000-0010-0000-2000-0000D70D0000}" name="Column3516"/>
    <tableColumn id="3544" xr3:uid="{00000000-0010-0000-2000-0000D80D0000}" name="Column3517"/>
    <tableColumn id="3545" xr3:uid="{00000000-0010-0000-2000-0000D90D0000}" name="Column3518"/>
    <tableColumn id="3546" xr3:uid="{00000000-0010-0000-2000-0000DA0D0000}" name="Column3519"/>
    <tableColumn id="3547" xr3:uid="{00000000-0010-0000-2000-0000DB0D0000}" name="Column3520"/>
    <tableColumn id="3548" xr3:uid="{00000000-0010-0000-2000-0000DC0D0000}" name="Column3521"/>
    <tableColumn id="3549" xr3:uid="{00000000-0010-0000-2000-0000DD0D0000}" name="Column3522"/>
    <tableColumn id="3550" xr3:uid="{00000000-0010-0000-2000-0000DE0D0000}" name="Column3523"/>
    <tableColumn id="3551" xr3:uid="{00000000-0010-0000-2000-0000DF0D0000}" name="Column3524"/>
    <tableColumn id="3552" xr3:uid="{00000000-0010-0000-2000-0000E00D0000}" name="Column3525"/>
    <tableColumn id="3553" xr3:uid="{00000000-0010-0000-2000-0000E10D0000}" name="Column3526"/>
    <tableColumn id="3554" xr3:uid="{00000000-0010-0000-2000-0000E20D0000}" name="Column3527"/>
    <tableColumn id="3555" xr3:uid="{00000000-0010-0000-2000-0000E30D0000}" name="Column3528"/>
    <tableColumn id="3556" xr3:uid="{00000000-0010-0000-2000-0000E40D0000}" name="Column3529"/>
    <tableColumn id="3557" xr3:uid="{00000000-0010-0000-2000-0000E50D0000}" name="Column3530"/>
    <tableColumn id="3558" xr3:uid="{00000000-0010-0000-2000-0000E60D0000}" name="Column3531"/>
    <tableColumn id="3559" xr3:uid="{00000000-0010-0000-2000-0000E70D0000}" name="Column3532"/>
    <tableColumn id="3560" xr3:uid="{00000000-0010-0000-2000-0000E80D0000}" name="Column3533"/>
    <tableColumn id="3561" xr3:uid="{00000000-0010-0000-2000-0000E90D0000}" name="Column3534"/>
    <tableColumn id="3562" xr3:uid="{00000000-0010-0000-2000-0000EA0D0000}" name="Column3535"/>
    <tableColumn id="3563" xr3:uid="{00000000-0010-0000-2000-0000EB0D0000}" name="Column3536"/>
    <tableColumn id="3564" xr3:uid="{00000000-0010-0000-2000-0000EC0D0000}" name="Column3537"/>
    <tableColumn id="3565" xr3:uid="{00000000-0010-0000-2000-0000ED0D0000}" name="Column3538"/>
    <tableColumn id="3566" xr3:uid="{00000000-0010-0000-2000-0000EE0D0000}" name="Column3539"/>
    <tableColumn id="3567" xr3:uid="{00000000-0010-0000-2000-0000EF0D0000}" name="Column3540"/>
    <tableColumn id="3568" xr3:uid="{00000000-0010-0000-2000-0000F00D0000}" name="Column3541"/>
    <tableColumn id="3569" xr3:uid="{00000000-0010-0000-2000-0000F10D0000}" name="Column3542"/>
    <tableColumn id="3570" xr3:uid="{00000000-0010-0000-2000-0000F20D0000}" name="Column3543"/>
    <tableColumn id="3571" xr3:uid="{00000000-0010-0000-2000-0000F30D0000}" name="Column3544"/>
    <tableColumn id="3572" xr3:uid="{00000000-0010-0000-2000-0000F40D0000}" name="Column3545"/>
    <tableColumn id="3573" xr3:uid="{00000000-0010-0000-2000-0000F50D0000}" name="Column3546"/>
    <tableColumn id="3574" xr3:uid="{00000000-0010-0000-2000-0000F60D0000}" name="Column3547"/>
    <tableColumn id="3575" xr3:uid="{00000000-0010-0000-2000-0000F70D0000}" name="Column3548"/>
    <tableColumn id="3576" xr3:uid="{00000000-0010-0000-2000-0000F80D0000}" name="Column3549"/>
    <tableColumn id="3577" xr3:uid="{00000000-0010-0000-2000-0000F90D0000}" name="Column3550"/>
    <tableColumn id="3578" xr3:uid="{00000000-0010-0000-2000-0000FA0D0000}" name="Column3551"/>
    <tableColumn id="3579" xr3:uid="{00000000-0010-0000-2000-0000FB0D0000}" name="Column3552"/>
    <tableColumn id="3580" xr3:uid="{00000000-0010-0000-2000-0000FC0D0000}" name="Column3553"/>
    <tableColumn id="3581" xr3:uid="{00000000-0010-0000-2000-0000FD0D0000}" name="Column3554"/>
    <tableColumn id="3582" xr3:uid="{00000000-0010-0000-2000-0000FE0D0000}" name="Column3555"/>
    <tableColumn id="3583" xr3:uid="{00000000-0010-0000-2000-0000FF0D0000}" name="Column3556"/>
    <tableColumn id="3584" xr3:uid="{00000000-0010-0000-2000-0000000E0000}" name="Column3557"/>
    <tableColumn id="3585" xr3:uid="{00000000-0010-0000-2000-0000010E0000}" name="Column3558"/>
    <tableColumn id="3586" xr3:uid="{00000000-0010-0000-2000-0000020E0000}" name="Column3559"/>
    <tableColumn id="3587" xr3:uid="{00000000-0010-0000-2000-0000030E0000}" name="Column3560"/>
    <tableColumn id="3588" xr3:uid="{00000000-0010-0000-2000-0000040E0000}" name="Column3561"/>
    <tableColumn id="3589" xr3:uid="{00000000-0010-0000-2000-0000050E0000}" name="Column3562"/>
    <tableColumn id="3590" xr3:uid="{00000000-0010-0000-2000-0000060E0000}" name="Column3563"/>
    <tableColumn id="3591" xr3:uid="{00000000-0010-0000-2000-0000070E0000}" name="Column3564"/>
    <tableColumn id="3592" xr3:uid="{00000000-0010-0000-2000-0000080E0000}" name="Column3565"/>
    <tableColumn id="3593" xr3:uid="{00000000-0010-0000-2000-0000090E0000}" name="Column3566"/>
    <tableColumn id="3594" xr3:uid="{00000000-0010-0000-2000-00000A0E0000}" name="Column3567"/>
    <tableColumn id="3595" xr3:uid="{00000000-0010-0000-2000-00000B0E0000}" name="Column3568"/>
    <tableColumn id="3596" xr3:uid="{00000000-0010-0000-2000-00000C0E0000}" name="Column3569"/>
    <tableColumn id="3597" xr3:uid="{00000000-0010-0000-2000-00000D0E0000}" name="Column3570"/>
    <tableColumn id="3598" xr3:uid="{00000000-0010-0000-2000-00000E0E0000}" name="Column3571"/>
    <tableColumn id="3599" xr3:uid="{00000000-0010-0000-2000-00000F0E0000}" name="Column3572"/>
    <tableColumn id="3600" xr3:uid="{00000000-0010-0000-2000-0000100E0000}" name="Column3573"/>
    <tableColumn id="3601" xr3:uid="{00000000-0010-0000-2000-0000110E0000}" name="Column3574"/>
    <tableColumn id="3602" xr3:uid="{00000000-0010-0000-2000-0000120E0000}" name="Column3575"/>
    <tableColumn id="3603" xr3:uid="{00000000-0010-0000-2000-0000130E0000}" name="Column3576"/>
    <tableColumn id="3604" xr3:uid="{00000000-0010-0000-2000-0000140E0000}" name="Column3577"/>
    <tableColumn id="3605" xr3:uid="{00000000-0010-0000-2000-0000150E0000}" name="Column3578"/>
    <tableColumn id="3606" xr3:uid="{00000000-0010-0000-2000-0000160E0000}" name="Column3579"/>
    <tableColumn id="3607" xr3:uid="{00000000-0010-0000-2000-0000170E0000}" name="Column3580"/>
    <tableColumn id="3608" xr3:uid="{00000000-0010-0000-2000-0000180E0000}" name="Column3581"/>
    <tableColumn id="3609" xr3:uid="{00000000-0010-0000-2000-0000190E0000}" name="Column3582"/>
    <tableColumn id="3610" xr3:uid="{00000000-0010-0000-2000-00001A0E0000}" name="Column3583"/>
    <tableColumn id="3611" xr3:uid="{00000000-0010-0000-2000-00001B0E0000}" name="Column3584"/>
    <tableColumn id="3612" xr3:uid="{00000000-0010-0000-2000-00001C0E0000}" name="Column3585"/>
    <tableColumn id="3613" xr3:uid="{00000000-0010-0000-2000-00001D0E0000}" name="Column3586"/>
    <tableColumn id="3614" xr3:uid="{00000000-0010-0000-2000-00001E0E0000}" name="Column3587"/>
    <tableColumn id="3615" xr3:uid="{00000000-0010-0000-2000-00001F0E0000}" name="Column3588"/>
    <tableColumn id="3616" xr3:uid="{00000000-0010-0000-2000-0000200E0000}" name="Column3589"/>
    <tableColumn id="3617" xr3:uid="{00000000-0010-0000-2000-0000210E0000}" name="Column3590"/>
    <tableColumn id="3618" xr3:uid="{00000000-0010-0000-2000-0000220E0000}" name="Column3591"/>
    <tableColumn id="3619" xr3:uid="{00000000-0010-0000-2000-0000230E0000}" name="Column3592"/>
    <tableColumn id="3620" xr3:uid="{00000000-0010-0000-2000-0000240E0000}" name="Column3593"/>
    <tableColumn id="3621" xr3:uid="{00000000-0010-0000-2000-0000250E0000}" name="Column3594"/>
    <tableColumn id="3622" xr3:uid="{00000000-0010-0000-2000-0000260E0000}" name="Column3595"/>
    <tableColumn id="3623" xr3:uid="{00000000-0010-0000-2000-0000270E0000}" name="Column3596"/>
    <tableColumn id="3624" xr3:uid="{00000000-0010-0000-2000-0000280E0000}" name="Column3597"/>
    <tableColumn id="3625" xr3:uid="{00000000-0010-0000-2000-0000290E0000}" name="Column3598"/>
    <tableColumn id="3626" xr3:uid="{00000000-0010-0000-2000-00002A0E0000}" name="Column3599"/>
    <tableColumn id="3627" xr3:uid="{00000000-0010-0000-2000-00002B0E0000}" name="Column3600"/>
    <tableColumn id="3628" xr3:uid="{00000000-0010-0000-2000-00002C0E0000}" name="Column3601"/>
    <tableColumn id="3629" xr3:uid="{00000000-0010-0000-2000-00002D0E0000}" name="Column3602"/>
    <tableColumn id="3630" xr3:uid="{00000000-0010-0000-2000-00002E0E0000}" name="Column3603"/>
    <tableColumn id="3631" xr3:uid="{00000000-0010-0000-2000-00002F0E0000}" name="Column3604"/>
    <tableColumn id="3632" xr3:uid="{00000000-0010-0000-2000-0000300E0000}" name="Column3605"/>
    <tableColumn id="3633" xr3:uid="{00000000-0010-0000-2000-0000310E0000}" name="Column3606"/>
    <tableColumn id="3634" xr3:uid="{00000000-0010-0000-2000-0000320E0000}" name="Column3607"/>
    <tableColumn id="3635" xr3:uid="{00000000-0010-0000-2000-0000330E0000}" name="Column3608"/>
    <tableColumn id="3636" xr3:uid="{00000000-0010-0000-2000-0000340E0000}" name="Column3609"/>
    <tableColumn id="3637" xr3:uid="{00000000-0010-0000-2000-0000350E0000}" name="Column3610"/>
    <tableColumn id="3638" xr3:uid="{00000000-0010-0000-2000-0000360E0000}" name="Column3611"/>
    <tableColumn id="3639" xr3:uid="{00000000-0010-0000-2000-0000370E0000}" name="Column3612"/>
    <tableColumn id="3640" xr3:uid="{00000000-0010-0000-2000-0000380E0000}" name="Column3613"/>
    <tableColumn id="3641" xr3:uid="{00000000-0010-0000-2000-0000390E0000}" name="Column3614"/>
    <tableColumn id="3642" xr3:uid="{00000000-0010-0000-2000-00003A0E0000}" name="Column3615"/>
    <tableColumn id="3643" xr3:uid="{00000000-0010-0000-2000-00003B0E0000}" name="Column3616"/>
    <tableColumn id="3644" xr3:uid="{00000000-0010-0000-2000-00003C0E0000}" name="Column3617"/>
    <tableColumn id="3645" xr3:uid="{00000000-0010-0000-2000-00003D0E0000}" name="Column3618"/>
    <tableColumn id="3646" xr3:uid="{00000000-0010-0000-2000-00003E0E0000}" name="Column3619"/>
    <tableColumn id="3647" xr3:uid="{00000000-0010-0000-2000-00003F0E0000}" name="Column3620"/>
    <tableColumn id="3648" xr3:uid="{00000000-0010-0000-2000-0000400E0000}" name="Column3621"/>
    <tableColumn id="3649" xr3:uid="{00000000-0010-0000-2000-0000410E0000}" name="Column3622"/>
    <tableColumn id="3650" xr3:uid="{00000000-0010-0000-2000-0000420E0000}" name="Column3623"/>
    <tableColumn id="3651" xr3:uid="{00000000-0010-0000-2000-0000430E0000}" name="Column3624"/>
    <tableColumn id="3652" xr3:uid="{00000000-0010-0000-2000-0000440E0000}" name="Column3625"/>
    <tableColumn id="3653" xr3:uid="{00000000-0010-0000-2000-0000450E0000}" name="Column3626"/>
    <tableColumn id="3654" xr3:uid="{00000000-0010-0000-2000-0000460E0000}" name="Column3627"/>
    <tableColumn id="3655" xr3:uid="{00000000-0010-0000-2000-0000470E0000}" name="Column3628"/>
    <tableColumn id="3656" xr3:uid="{00000000-0010-0000-2000-0000480E0000}" name="Column3629"/>
    <tableColumn id="3657" xr3:uid="{00000000-0010-0000-2000-0000490E0000}" name="Column3630"/>
    <tableColumn id="3658" xr3:uid="{00000000-0010-0000-2000-00004A0E0000}" name="Column3631"/>
    <tableColumn id="3659" xr3:uid="{00000000-0010-0000-2000-00004B0E0000}" name="Column3632"/>
    <tableColumn id="3660" xr3:uid="{00000000-0010-0000-2000-00004C0E0000}" name="Column3633"/>
    <tableColumn id="3661" xr3:uid="{00000000-0010-0000-2000-00004D0E0000}" name="Column3634"/>
    <tableColumn id="3662" xr3:uid="{00000000-0010-0000-2000-00004E0E0000}" name="Column3635"/>
    <tableColumn id="3663" xr3:uid="{00000000-0010-0000-2000-00004F0E0000}" name="Column3636"/>
    <tableColumn id="3664" xr3:uid="{00000000-0010-0000-2000-0000500E0000}" name="Column3637"/>
    <tableColumn id="3665" xr3:uid="{00000000-0010-0000-2000-0000510E0000}" name="Column3638"/>
    <tableColumn id="3666" xr3:uid="{00000000-0010-0000-2000-0000520E0000}" name="Column3639"/>
    <tableColumn id="3667" xr3:uid="{00000000-0010-0000-2000-0000530E0000}" name="Column3640"/>
    <tableColumn id="3668" xr3:uid="{00000000-0010-0000-2000-0000540E0000}" name="Column3641"/>
    <tableColumn id="3669" xr3:uid="{00000000-0010-0000-2000-0000550E0000}" name="Column3642"/>
    <tableColumn id="3670" xr3:uid="{00000000-0010-0000-2000-0000560E0000}" name="Column3643"/>
    <tableColumn id="3671" xr3:uid="{00000000-0010-0000-2000-0000570E0000}" name="Column3644"/>
    <tableColumn id="3672" xr3:uid="{00000000-0010-0000-2000-0000580E0000}" name="Column3645"/>
    <tableColumn id="3673" xr3:uid="{00000000-0010-0000-2000-0000590E0000}" name="Column3646"/>
    <tableColumn id="3674" xr3:uid="{00000000-0010-0000-2000-00005A0E0000}" name="Column3647"/>
    <tableColumn id="3675" xr3:uid="{00000000-0010-0000-2000-00005B0E0000}" name="Column3648"/>
    <tableColumn id="3676" xr3:uid="{00000000-0010-0000-2000-00005C0E0000}" name="Column3649"/>
    <tableColumn id="3677" xr3:uid="{00000000-0010-0000-2000-00005D0E0000}" name="Column3650"/>
    <tableColumn id="3678" xr3:uid="{00000000-0010-0000-2000-00005E0E0000}" name="Column3651"/>
    <tableColumn id="3679" xr3:uid="{00000000-0010-0000-2000-00005F0E0000}" name="Column3652"/>
    <tableColumn id="3680" xr3:uid="{00000000-0010-0000-2000-0000600E0000}" name="Column3653"/>
    <tableColumn id="3681" xr3:uid="{00000000-0010-0000-2000-0000610E0000}" name="Column3654"/>
    <tableColumn id="3682" xr3:uid="{00000000-0010-0000-2000-0000620E0000}" name="Column3655"/>
    <tableColumn id="3683" xr3:uid="{00000000-0010-0000-2000-0000630E0000}" name="Column3656"/>
    <tableColumn id="3684" xr3:uid="{00000000-0010-0000-2000-0000640E0000}" name="Column3657"/>
    <tableColumn id="3685" xr3:uid="{00000000-0010-0000-2000-0000650E0000}" name="Column3658"/>
    <tableColumn id="3686" xr3:uid="{00000000-0010-0000-2000-0000660E0000}" name="Column3659"/>
    <tableColumn id="3687" xr3:uid="{00000000-0010-0000-2000-0000670E0000}" name="Column3660"/>
    <tableColumn id="3688" xr3:uid="{00000000-0010-0000-2000-0000680E0000}" name="Column3661"/>
    <tableColumn id="3689" xr3:uid="{00000000-0010-0000-2000-0000690E0000}" name="Column3662"/>
    <tableColumn id="3690" xr3:uid="{00000000-0010-0000-2000-00006A0E0000}" name="Column3663"/>
    <tableColumn id="3691" xr3:uid="{00000000-0010-0000-2000-00006B0E0000}" name="Column3664"/>
    <tableColumn id="3692" xr3:uid="{00000000-0010-0000-2000-00006C0E0000}" name="Column3665"/>
    <tableColumn id="3693" xr3:uid="{00000000-0010-0000-2000-00006D0E0000}" name="Column3666"/>
    <tableColumn id="3694" xr3:uid="{00000000-0010-0000-2000-00006E0E0000}" name="Column3667"/>
    <tableColumn id="3695" xr3:uid="{00000000-0010-0000-2000-00006F0E0000}" name="Column3668"/>
    <tableColumn id="3696" xr3:uid="{00000000-0010-0000-2000-0000700E0000}" name="Column3669"/>
    <tableColumn id="3697" xr3:uid="{00000000-0010-0000-2000-0000710E0000}" name="Column3670"/>
    <tableColumn id="3698" xr3:uid="{00000000-0010-0000-2000-0000720E0000}" name="Column3671"/>
    <tableColumn id="3699" xr3:uid="{00000000-0010-0000-2000-0000730E0000}" name="Column3672"/>
    <tableColumn id="3700" xr3:uid="{00000000-0010-0000-2000-0000740E0000}" name="Column3673"/>
    <tableColumn id="3701" xr3:uid="{00000000-0010-0000-2000-0000750E0000}" name="Column3674"/>
    <tableColumn id="3702" xr3:uid="{00000000-0010-0000-2000-0000760E0000}" name="Column3675"/>
    <tableColumn id="3703" xr3:uid="{00000000-0010-0000-2000-0000770E0000}" name="Column3676"/>
    <tableColumn id="3704" xr3:uid="{00000000-0010-0000-2000-0000780E0000}" name="Column3677"/>
    <tableColumn id="3705" xr3:uid="{00000000-0010-0000-2000-0000790E0000}" name="Column3678"/>
    <tableColumn id="3706" xr3:uid="{00000000-0010-0000-2000-00007A0E0000}" name="Column3679"/>
    <tableColumn id="3707" xr3:uid="{00000000-0010-0000-2000-00007B0E0000}" name="Column3680"/>
    <tableColumn id="3708" xr3:uid="{00000000-0010-0000-2000-00007C0E0000}" name="Column3681"/>
    <tableColumn id="3709" xr3:uid="{00000000-0010-0000-2000-00007D0E0000}" name="Column3682"/>
    <tableColumn id="3710" xr3:uid="{00000000-0010-0000-2000-00007E0E0000}" name="Column3683"/>
    <tableColumn id="3711" xr3:uid="{00000000-0010-0000-2000-00007F0E0000}" name="Column3684"/>
    <tableColumn id="3712" xr3:uid="{00000000-0010-0000-2000-0000800E0000}" name="Column3685"/>
    <tableColumn id="3713" xr3:uid="{00000000-0010-0000-2000-0000810E0000}" name="Column3686"/>
    <tableColumn id="3714" xr3:uid="{00000000-0010-0000-2000-0000820E0000}" name="Column3687"/>
    <tableColumn id="3715" xr3:uid="{00000000-0010-0000-2000-0000830E0000}" name="Column3688"/>
    <tableColumn id="3716" xr3:uid="{00000000-0010-0000-2000-0000840E0000}" name="Column3689"/>
    <tableColumn id="3717" xr3:uid="{00000000-0010-0000-2000-0000850E0000}" name="Column3690"/>
    <tableColumn id="3718" xr3:uid="{00000000-0010-0000-2000-0000860E0000}" name="Column3691"/>
    <tableColumn id="3719" xr3:uid="{00000000-0010-0000-2000-0000870E0000}" name="Column3692"/>
    <tableColumn id="3720" xr3:uid="{00000000-0010-0000-2000-0000880E0000}" name="Column3693"/>
    <tableColumn id="3721" xr3:uid="{00000000-0010-0000-2000-0000890E0000}" name="Column3694"/>
    <tableColumn id="3722" xr3:uid="{00000000-0010-0000-2000-00008A0E0000}" name="Column3695"/>
    <tableColumn id="3723" xr3:uid="{00000000-0010-0000-2000-00008B0E0000}" name="Column3696"/>
    <tableColumn id="3724" xr3:uid="{00000000-0010-0000-2000-00008C0E0000}" name="Column3697"/>
    <tableColumn id="3725" xr3:uid="{00000000-0010-0000-2000-00008D0E0000}" name="Column3698"/>
    <tableColumn id="3726" xr3:uid="{00000000-0010-0000-2000-00008E0E0000}" name="Column3699"/>
    <tableColumn id="3727" xr3:uid="{00000000-0010-0000-2000-00008F0E0000}" name="Column3700"/>
    <tableColumn id="3728" xr3:uid="{00000000-0010-0000-2000-0000900E0000}" name="Column3701"/>
    <tableColumn id="3729" xr3:uid="{00000000-0010-0000-2000-0000910E0000}" name="Column3702"/>
    <tableColumn id="3730" xr3:uid="{00000000-0010-0000-2000-0000920E0000}" name="Column3703"/>
    <tableColumn id="3731" xr3:uid="{00000000-0010-0000-2000-0000930E0000}" name="Column3704"/>
    <tableColumn id="3732" xr3:uid="{00000000-0010-0000-2000-0000940E0000}" name="Column3705"/>
    <tableColumn id="3733" xr3:uid="{00000000-0010-0000-2000-0000950E0000}" name="Column3706"/>
    <tableColumn id="3734" xr3:uid="{00000000-0010-0000-2000-0000960E0000}" name="Column3707"/>
    <tableColumn id="3735" xr3:uid="{00000000-0010-0000-2000-0000970E0000}" name="Column3708"/>
    <tableColumn id="3736" xr3:uid="{00000000-0010-0000-2000-0000980E0000}" name="Column3709"/>
    <tableColumn id="3737" xr3:uid="{00000000-0010-0000-2000-0000990E0000}" name="Column3710"/>
    <tableColumn id="3738" xr3:uid="{00000000-0010-0000-2000-00009A0E0000}" name="Column3711"/>
    <tableColumn id="3739" xr3:uid="{00000000-0010-0000-2000-00009B0E0000}" name="Column3712"/>
    <tableColumn id="3740" xr3:uid="{00000000-0010-0000-2000-00009C0E0000}" name="Column3713"/>
    <tableColumn id="3741" xr3:uid="{00000000-0010-0000-2000-00009D0E0000}" name="Column3714"/>
    <tableColumn id="3742" xr3:uid="{00000000-0010-0000-2000-00009E0E0000}" name="Column3715"/>
    <tableColumn id="3743" xr3:uid="{00000000-0010-0000-2000-00009F0E0000}" name="Column3716"/>
    <tableColumn id="3744" xr3:uid="{00000000-0010-0000-2000-0000A00E0000}" name="Column3717"/>
    <tableColumn id="3745" xr3:uid="{00000000-0010-0000-2000-0000A10E0000}" name="Column3718"/>
    <tableColumn id="3746" xr3:uid="{00000000-0010-0000-2000-0000A20E0000}" name="Column3719"/>
    <tableColumn id="3747" xr3:uid="{00000000-0010-0000-2000-0000A30E0000}" name="Column3720"/>
    <tableColumn id="3748" xr3:uid="{00000000-0010-0000-2000-0000A40E0000}" name="Column3721"/>
    <tableColumn id="3749" xr3:uid="{00000000-0010-0000-2000-0000A50E0000}" name="Column3722"/>
    <tableColumn id="3750" xr3:uid="{00000000-0010-0000-2000-0000A60E0000}" name="Column3723"/>
    <tableColumn id="3751" xr3:uid="{00000000-0010-0000-2000-0000A70E0000}" name="Column3724"/>
    <tableColumn id="3752" xr3:uid="{00000000-0010-0000-2000-0000A80E0000}" name="Column3725"/>
    <tableColumn id="3753" xr3:uid="{00000000-0010-0000-2000-0000A90E0000}" name="Column3726"/>
    <tableColumn id="3754" xr3:uid="{00000000-0010-0000-2000-0000AA0E0000}" name="Column3727"/>
    <tableColumn id="3755" xr3:uid="{00000000-0010-0000-2000-0000AB0E0000}" name="Column3728"/>
    <tableColumn id="3756" xr3:uid="{00000000-0010-0000-2000-0000AC0E0000}" name="Column3729"/>
    <tableColumn id="3757" xr3:uid="{00000000-0010-0000-2000-0000AD0E0000}" name="Column3730"/>
    <tableColumn id="3758" xr3:uid="{00000000-0010-0000-2000-0000AE0E0000}" name="Column3731"/>
    <tableColumn id="3759" xr3:uid="{00000000-0010-0000-2000-0000AF0E0000}" name="Column3732"/>
    <tableColumn id="3760" xr3:uid="{00000000-0010-0000-2000-0000B00E0000}" name="Column3733"/>
    <tableColumn id="3761" xr3:uid="{00000000-0010-0000-2000-0000B10E0000}" name="Column3734"/>
    <tableColumn id="3762" xr3:uid="{00000000-0010-0000-2000-0000B20E0000}" name="Column3735"/>
    <tableColumn id="3763" xr3:uid="{00000000-0010-0000-2000-0000B30E0000}" name="Column3736"/>
    <tableColumn id="3764" xr3:uid="{00000000-0010-0000-2000-0000B40E0000}" name="Column3737"/>
    <tableColumn id="3765" xr3:uid="{00000000-0010-0000-2000-0000B50E0000}" name="Column3738"/>
    <tableColumn id="3766" xr3:uid="{00000000-0010-0000-2000-0000B60E0000}" name="Column3739"/>
    <tableColumn id="3767" xr3:uid="{00000000-0010-0000-2000-0000B70E0000}" name="Column3740"/>
    <tableColumn id="3768" xr3:uid="{00000000-0010-0000-2000-0000B80E0000}" name="Column3741"/>
    <tableColumn id="3769" xr3:uid="{00000000-0010-0000-2000-0000B90E0000}" name="Column3742"/>
    <tableColumn id="3770" xr3:uid="{00000000-0010-0000-2000-0000BA0E0000}" name="Column3743"/>
    <tableColumn id="3771" xr3:uid="{00000000-0010-0000-2000-0000BB0E0000}" name="Column3744"/>
    <tableColumn id="3772" xr3:uid="{00000000-0010-0000-2000-0000BC0E0000}" name="Column3745"/>
    <tableColumn id="3773" xr3:uid="{00000000-0010-0000-2000-0000BD0E0000}" name="Column3746"/>
    <tableColumn id="3774" xr3:uid="{00000000-0010-0000-2000-0000BE0E0000}" name="Column3747"/>
    <tableColumn id="3775" xr3:uid="{00000000-0010-0000-2000-0000BF0E0000}" name="Column3748"/>
    <tableColumn id="3776" xr3:uid="{00000000-0010-0000-2000-0000C00E0000}" name="Column3749"/>
    <tableColumn id="3777" xr3:uid="{00000000-0010-0000-2000-0000C10E0000}" name="Column3750"/>
    <tableColumn id="3778" xr3:uid="{00000000-0010-0000-2000-0000C20E0000}" name="Column3751"/>
    <tableColumn id="3779" xr3:uid="{00000000-0010-0000-2000-0000C30E0000}" name="Column3752"/>
    <tableColumn id="3780" xr3:uid="{00000000-0010-0000-2000-0000C40E0000}" name="Column3753"/>
    <tableColumn id="3781" xr3:uid="{00000000-0010-0000-2000-0000C50E0000}" name="Column3754"/>
    <tableColumn id="3782" xr3:uid="{00000000-0010-0000-2000-0000C60E0000}" name="Column3755"/>
    <tableColumn id="3783" xr3:uid="{00000000-0010-0000-2000-0000C70E0000}" name="Column3756"/>
    <tableColumn id="3784" xr3:uid="{00000000-0010-0000-2000-0000C80E0000}" name="Column3757"/>
    <tableColumn id="3785" xr3:uid="{00000000-0010-0000-2000-0000C90E0000}" name="Column3758"/>
    <tableColumn id="3786" xr3:uid="{00000000-0010-0000-2000-0000CA0E0000}" name="Column3759"/>
    <tableColumn id="3787" xr3:uid="{00000000-0010-0000-2000-0000CB0E0000}" name="Column3760"/>
    <tableColumn id="3788" xr3:uid="{00000000-0010-0000-2000-0000CC0E0000}" name="Column3761"/>
    <tableColumn id="3789" xr3:uid="{00000000-0010-0000-2000-0000CD0E0000}" name="Column3762"/>
    <tableColumn id="3790" xr3:uid="{00000000-0010-0000-2000-0000CE0E0000}" name="Column3763"/>
    <tableColumn id="3791" xr3:uid="{00000000-0010-0000-2000-0000CF0E0000}" name="Column3764"/>
    <tableColumn id="3792" xr3:uid="{00000000-0010-0000-2000-0000D00E0000}" name="Column3765"/>
    <tableColumn id="3793" xr3:uid="{00000000-0010-0000-2000-0000D10E0000}" name="Column3766"/>
    <tableColumn id="3794" xr3:uid="{00000000-0010-0000-2000-0000D20E0000}" name="Column3767"/>
    <tableColumn id="3795" xr3:uid="{00000000-0010-0000-2000-0000D30E0000}" name="Column3768"/>
    <tableColumn id="3796" xr3:uid="{00000000-0010-0000-2000-0000D40E0000}" name="Column3769"/>
    <tableColumn id="3797" xr3:uid="{00000000-0010-0000-2000-0000D50E0000}" name="Column3770"/>
    <tableColumn id="3798" xr3:uid="{00000000-0010-0000-2000-0000D60E0000}" name="Column3771"/>
    <tableColumn id="3799" xr3:uid="{00000000-0010-0000-2000-0000D70E0000}" name="Column3772"/>
    <tableColumn id="3800" xr3:uid="{00000000-0010-0000-2000-0000D80E0000}" name="Column3773"/>
    <tableColumn id="3801" xr3:uid="{00000000-0010-0000-2000-0000D90E0000}" name="Column3774"/>
    <tableColumn id="3802" xr3:uid="{00000000-0010-0000-2000-0000DA0E0000}" name="Column3775"/>
    <tableColumn id="3803" xr3:uid="{00000000-0010-0000-2000-0000DB0E0000}" name="Column3776"/>
    <tableColumn id="3804" xr3:uid="{00000000-0010-0000-2000-0000DC0E0000}" name="Column3777"/>
    <tableColumn id="3805" xr3:uid="{00000000-0010-0000-2000-0000DD0E0000}" name="Column3778"/>
    <tableColumn id="3806" xr3:uid="{00000000-0010-0000-2000-0000DE0E0000}" name="Column3779"/>
    <tableColumn id="3807" xr3:uid="{00000000-0010-0000-2000-0000DF0E0000}" name="Column3780"/>
    <tableColumn id="3808" xr3:uid="{00000000-0010-0000-2000-0000E00E0000}" name="Column3781"/>
    <tableColumn id="3809" xr3:uid="{00000000-0010-0000-2000-0000E10E0000}" name="Column3782"/>
    <tableColumn id="3810" xr3:uid="{00000000-0010-0000-2000-0000E20E0000}" name="Column3783"/>
    <tableColumn id="3811" xr3:uid="{00000000-0010-0000-2000-0000E30E0000}" name="Column3784"/>
    <tableColumn id="3812" xr3:uid="{00000000-0010-0000-2000-0000E40E0000}" name="Column3785"/>
    <tableColumn id="3813" xr3:uid="{00000000-0010-0000-2000-0000E50E0000}" name="Column3786"/>
    <tableColumn id="3814" xr3:uid="{00000000-0010-0000-2000-0000E60E0000}" name="Column3787"/>
    <tableColumn id="3815" xr3:uid="{00000000-0010-0000-2000-0000E70E0000}" name="Column3788"/>
    <tableColumn id="3816" xr3:uid="{00000000-0010-0000-2000-0000E80E0000}" name="Column3789"/>
    <tableColumn id="3817" xr3:uid="{00000000-0010-0000-2000-0000E90E0000}" name="Column3790"/>
    <tableColumn id="3818" xr3:uid="{00000000-0010-0000-2000-0000EA0E0000}" name="Column3791"/>
    <tableColumn id="3819" xr3:uid="{00000000-0010-0000-2000-0000EB0E0000}" name="Column3792"/>
    <tableColumn id="3820" xr3:uid="{00000000-0010-0000-2000-0000EC0E0000}" name="Column3793"/>
    <tableColumn id="3821" xr3:uid="{00000000-0010-0000-2000-0000ED0E0000}" name="Column3794"/>
    <tableColumn id="3822" xr3:uid="{00000000-0010-0000-2000-0000EE0E0000}" name="Column3795"/>
    <tableColumn id="3823" xr3:uid="{00000000-0010-0000-2000-0000EF0E0000}" name="Column3796"/>
    <tableColumn id="3824" xr3:uid="{00000000-0010-0000-2000-0000F00E0000}" name="Column3797"/>
    <tableColumn id="3825" xr3:uid="{00000000-0010-0000-2000-0000F10E0000}" name="Column3798"/>
    <tableColumn id="3826" xr3:uid="{00000000-0010-0000-2000-0000F20E0000}" name="Column3799"/>
    <tableColumn id="3827" xr3:uid="{00000000-0010-0000-2000-0000F30E0000}" name="Column3800"/>
    <tableColumn id="3828" xr3:uid="{00000000-0010-0000-2000-0000F40E0000}" name="Column3801"/>
    <tableColumn id="3829" xr3:uid="{00000000-0010-0000-2000-0000F50E0000}" name="Column3802"/>
    <tableColumn id="3830" xr3:uid="{00000000-0010-0000-2000-0000F60E0000}" name="Column3803"/>
    <tableColumn id="3831" xr3:uid="{00000000-0010-0000-2000-0000F70E0000}" name="Column3804"/>
    <tableColumn id="3832" xr3:uid="{00000000-0010-0000-2000-0000F80E0000}" name="Column3805"/>
    <tableColumn id="3833" xr3:uid="{00000000-0010-0000-2000-0000F90E0000}" name="Column3806"/>
    <tableColumn id="3834" xr3:uid="{00000000-0010-0000-2000-0000FA0E0000}" name="Column3807"/>
    <tableColumn id="3835" xr3:uid="{00000000-0010-0000-2000-0000FB0E0000}" name="Column3808"/>
    <tableColumn id="3836" xr3:uid="{00000000-0010-0000-2000-0000FC0E0000}" name="Column3809"/>
    <tableColumn id="3837" xr3:uid="{00000000-0010-0000-2000-0000FD0E0000}" name="Column3810"/>
    <tableColumn id="3838" xr3:uid="{00000000-0010-0000-2000-0000FE0E0000}" name="Column3811"/>
    <tableColumn id="3839" xr3:uid="{00000000-0010-0000-2000-0000FF0E0000}" name="Column3812"/>
    <tableColumn id="3840" xr3:uid="{00000000-0010-0000-2000-0000000F0000}" name="Column3813"/>
    <tableColumn id="3841" xr3:uid="{00000000-0010-0000-2000-0000010F0000}" name="Column3814"/>
    <tableColumn id="3842" xr3:uid="{00000000-0010-0000-2000-0000020F0000}" name="Column3815"/>
    <tableColumn id="3843" xr3:uid="{00000000-0010-0000-2000-0000030F0000}" name="Column3816"/>
    <tableColumn id="3844" xr3:uid="{00000000-0010-0000-2000-0000040F0000}" name="Column3817"/>
    <tableColumn id="3845" xr3:uid="{00000000-0010-0000-2000-0000050F0000}" name="Column3818"/>
    <tableColumn id="3846" xr3:uid="{00000000-0010-0000-2000-0000060F0000}" name="Column3819"/>
    <tableColumn id="3847" xr3:uid="{00000000-0010-0000-2000-0000070F0000}" name="Column3820"/>
    <tableColumn id="3848" xr3:uid="{00000000-0010-0000-2000-0000080F0000}" name="Column3821"/>
    <tableColumn id="3849" xr3:uid="{00000000-0010-0000-2000-0000090F0000}" name="Column3822"/>
    <tableColumn id="3850" xr3:uid="{00000000-0010-0000-2000-00000A0F0000}" name="Column3823"/>
    <tableColumn id="3851" xr3:uid="{00000000-0010-0000-2000-00000B0F0000}" name="Column3824"/>
    <tableColumn id="3852" xr3:uid="{00000000-0010-0000-2000-00000C0F0000}" name="Column3825"/>
    <tableColumn id="3853" xr3:uid="{00000000-0010-0000-2000-00000D0F0000}" name="Column3826"/>
    <tableColumn id="3854" xr3:uid="{00000000-0010-0000-2000-00000E0F0000}" name="Column3827"/>
    <tableColumn id="3855" xr3:uid="{00000000-0010-0000-2000-00000F0F0000}" name="Column3828"/>
    <tableColumn id="3856" xr3:uid="{00000000-0010-0000-2000-0000100F0000}" name="Column3829"/>
    <tableColumn id="3857" xr3:uid="{00000000-0010-0000-2000-0000110F0000}" name="Column3830"/>
    <tableColumn id="3858" xr3:uid="{00000000-0010-0000-2000-0000120F0000}" name="Column3831"/>
    <tableColumn id="3859" xr3:uid="{00000000-0010-0000-2000-0000130F0000}" name="Column3832"/>
    <tableColumn id="3860" xr3:uid="{00000000-0010-0000-2000-0000140F0000}" name="Column3833"/>
    <tableColumn id="3861" xr3:uid="{00000000-0010-0000-2000-0000150F0000}" name="Column3834"/>
    <tableColumn id="3862" xr3:uid="{00000000-0010-0000-2000-0000160F0000}" name="Column3835"/>
    <tableColumn id="3863" xr3:uid="{00000000-0010-0000-2000-0000170F0000}" name="Column3836"/>
    <tableColumn id="3864" xr3:uid="{00000000-0010-0000-2000-0000180F0000}" name="Column3837"/>
    <tableColumn id="3865" xr3:uid="{00000000-0010-0000-2000-0000190F0000}" name="Column3838"/>
    <tableColumn id="3866" xr3:uid="{00000000-0010-0000-2000-00001A0F0000}" name="Column3839"/>
    <tableColumn id="3867" xr3:uid="{00000000-0010-0000-2000-00001B0F0000}" name="Column3840"/>
    <tableColumn id="3868" xr3:uid="{00000000-0010-0000-2000-00001C0F0000}" name="Column3841"/>
    <tableColumn id="3869" xr3:uid="{00000000-0010-0000-2000-00001D0F0000}" name="Column3842"/>
    <tableColumn id="3870" xr3:uid="{00000000-0010-0000-2000-00001E0F0000}" name="Column3843"/>
    <tableColumn id="3871" xr3:uid="{00000000-0010-0000-2000-00001F0F0000}" name="Column3844"/>
    <tableColumn id="3872" xr3:uid="{00000000-0010-0000-2000-0000200F0000}" name="Column3845"/>
    <tableColumn id="3873" xr3:uid="{00000000-0010-0000-2000-0000210F0000}" name="Column3846"/>
    <tableColumn id="3874" xr3:uid="{00000000-0010-0000-2000-0000220F0000}" name="Column3847"/>
    <tableColumn id="3875" xr3:uid="{00000000-0010-0000-2000-0000230F0000}" name="Column3848"/>
    <tableColumn id="3876" xr3:uid="{00000000-0010-0000-2000-0000240F0000}" name="Column3849"/>
    <tableColumn id="3877" xr3:uid="{00000000-0010-0000-2000-0000250F0000}" name="Column3850"/>
    <tableColumn id="3878" xr3:uid="{00000000-0010-0000-2000-0000260F0000}" name="Column3851"/>
    <tableColumn id="3879" xr3:uid="{00000000-0010-0000-2000-0000270F0000}" name="Column3852"/>
    <tableColumn id="3880" xr3:uid="{00000000-0010-0000-2000-0000280F0000}" name="Column3853"/>
    <tableColumn id="3881" xr3:uid="{00000000-0010-0000-2000-0000290F0000}" name="Column3854"/>
    <tableColumn id="3882" xr3:uid="{00000000-0010-0000-2000-00002A0F0000}" name="Column3855"/>
    <tableColumn id="3883" xr3:uid="{00000000-0010-0000-2000-00002B0F0000}" name="Column3856"/>
    <tableColumn id="3884" xr3:uid="{00000000-0010-0000-2000-00002C0F0000}" name="Column3857"/>
    <tableColumn id="3885" xr3:uid="{00000000-0010-0000-2000-00002D0F0000}" name="Column3858"/>
    <tableColumn id="3886" xr3:uid="{00000000-0010-0000-2000-00002E0F0000}" name="Column3859"/>
    <tableColumn id="3887" xr3:uid="{00000000-0010-0000-2000-00002F0F0000}" name="Column3860"/>
    <tableColumn id="3888" xr3:uid="{00000000-0010-0000-2000-0000300F0000}" name="Column3861"/>
    <tableColumn id="3889" xr3:uid="{00000000-0010-0000-2000-0000310F0000}" name="Column3862"/>
    <tableColumn id="3890" xr3:uid="{00000000-0010-0000-2000-0000320F0000}" name="Column3863"/>
    <tableColumn id="3891" xr3:uid="{00000000-0010-0000-2000-0000330F0000}" name="Column3864"/>
    <tableColumn id="3892" xr3:uid="{00000000-0010-0000-2000-0000340F0000}" name="Column3865"/>
    <tableColumn id="3893" xr3:uid="{00000000-0010-0000-2000-0000350F0000}" name="Column3866"/>
    <tableColumn id="3894" xr3:uid="{00000000-0010-0000-2000-0000360F0000}" name="Column3867"/>
    <tableColumn id="3895" xr3:uid="{00000000-0010-0000-2000-0000370F0000}" name="Column3868"/>
    <tableColumn id="3896" xr3:uid="{00000000-0010-0000-2000-0000380F0000}" name="Column3869"/>
    <tableColumn id="3897" xr3:uid="{00000000-0010-0000-2000-0000390F0000}" name="Column3870"/>
    <tableColumn id="3898" xr3:uid="{00000000-0010-0000-2000-00003A0F0000}" name="Column3871"/>
    <tableColumn id="3899" xr3:uid="{00000000-0010-0000-2000-00003B0F0000}" name="Column3872"/>
    <tableColumn id="3900" xr3:uid="{00000000-0010-0000-2000-00003C0F0000}" name="Column3873"/>
    <tableColumn id="3901" xr3:uid="{00000000-0010-0000-2000-00003D0F0000}" name="Column3874"/>
    <tableColumn id="3902" xr3:uid="{00000000-0010-0000-2000-00003E0F0000}" name="Column3875"/>
    <tableColumn id="3903" xr3:uid="{00000000-0010-0000-2000-00003F0F0000}" name="Column3876"/>
    <tableColumn id="3904" xr3:uid="{00000000-0010-0000-2000-0000400F0000}" name="Column3877"/>
    <tableColumn id="3905" xr3:uid="{00000000-0010-0000-2000-0000410F0000}" name="Column3878"/>
    <tableColumn id="3906" xr3:uid="{00000000-0010-0000-2000-0000420F0000}" name="Column3879"/>
    <tableColumn id="3907" xr3:uid="{00000000-0010-0000-2000-0000430F0000}" name="Column3880"/>
    <tableColumn id="3908" xr3:uid="{00000000-0010-0000-2000-0000440F0000}" name="Column3881"/>
    <tableColumn id="3909" xr3:uid="{00000000-0010-0000-2000-0000450F0000}" name="Column3882"/>
    <tableColumn id="3910" xr3:uid="{00000000-0010-0000-2000-0000460F0000}" name="Column3883"/>
    <tableColumn id="3911" xr3:uid="{00000000-0010-0000-2000-0000470F0000}" name="Column3884"/>
    <tableColumn id="3912" xr3:uid="{00000000-0010-0000-2000-0000480F0000}" name="Column3885"/>
    <tableColumn id="3913" xr3:uid="{00000000-0010-0000-2000-0000490F0000}" name="Column3886"/>
    <tableColumn id="3914" xr3:uid="{00000000-0010-0000-2000-00004A0F0000}" name="Column3887"/>
    <tableColumn id="3915" xr3:uid="{00000000-0010-0000-2000-00004B0F0000}" name="Column3888"/>
    <tableColumn id="3916" xr3:uid="{00000000-0010-0000-2000-00004C0F0000}" name="Column3889"/>
    <tableColumn id="3917" xr3:uid="{00000000-0010-0000-2000-00004D0F0000}" name="Column3890"/>
    <tableColumn id="3918" xr3:uid="{00000000-0010-0000-2000-00004E0F0000}" name="Column3891"/>
    <tableColumn id="3919" xr3:uid="{00000000-0010-0000-2000-00004F0F0000}" name="Column3892"/>
    <tableColumn id="3920" xr3:uid="{00000000-0010-0000-2000-0000500F0000}" name="Column3893"/>
    <tableColumn id="3921" xr3:uid="{00000000-0010-0000-2000-0000510F0000}" name="Column3894"/>
    <tableColumn id="3922" xr3:uid="{00000000-0010-0000-2000-0000520F0000}" name="Column3895"/>
    <tableColumn id="3923" xr3:uid="{00000000-0010-0000-2000-0000530F0000}" name="Column3896"/>
    <tableColumn id="3924" xr3:uid="{00000000-0010-0000-2000-0000540F0000}" name="Column3897"/>
    <tableColumn id="3925" xr3:uid="{00000000-0010-0000-2000-0000550F0000}" name="Column3898"/>
    <tableColumn id="3926" xr3:uid="{00000000-0010-0000-2000-0000560F0000}" name="Column3899"/>
    <tableColumn id="3927" xr3:uid="{00000000-0010-0000-2000-0000570F0000}" name="Column3900"/>
    <tableColumn id="3928" xr3:uid="{00000000-0010-0000-2000-0000580F0000}" name="Column3901"/>
    <tableColumn id="3929" xr3:uid="{00000000-0010-0000-2000-0000590F0000}" name="Column3902"/>
    <tableColumn id="3930" xr3:uid="{00000000-0010-0000-2000-00005A0F0000}" name="Column3903"/>
    <tableColumn id="3931" xr3:uid="{00000000-0010-0000-2000-00005B0F0000}" name="Column3904"/>
    <tableColumn id="3932" xr3:uid="{00000000-0010-0000-2000-00005C0F0000}" name="Column3905"/>
    <tableColumn id="3933" xr3:uid="{00000000-0010-0000-2000-00005D0F0000}" name="Column3906"/>
    <tableColumn id="3934" xr3:uid="{00000000-0010-0000-2000-00005E0F0000}" name="Column3907"/>
    <tableColumn id="3935" xr3:uid="{00000000-0010-0000-2000-00005F0F0000}" name="Column3908"/>
    <tableColumn id="3936" xr3:uid="{00000000-0010-0000-2000-0000600F0000}" name="Column3909"/>
    <tableColumn id="3937" xr3:uid="{00000000-0010-0000-2000-0000610F0000}" name="Column3910"/>
    <tableColumn id="3938" xr3:uid="{00000000-0010-0000-2000-0000620F0000}" name="Column3911"/>
    <tableColumn id="3939" xr3:uid="{00000000-0010-0000-2000-0000630F0000}" name="Column3912"/>
    <tableColumn id="3940" xr3:uid="{00000000-0010-0000-2000-0000640F0000}" name="Column3913"/>
    <tableColumn id="3941" xr3:uid="{00000000-0010-0000-2000-0000650F0000}" name="Column3914"/>
    <tableColumn id="3942" xr3:uid="{00000000-0010-0000-2000-0000660F0000}" name="Column3915"/>
    <tableColumn id="3943" xr3:uid="{00000000-0010-0000-2000-0000670F0000}" name="Column3916"/>
    <tableColumn id="3944" xr3:uid="{00000000-0010-0000-2000-0000680F0000}" name="Column3917"/>
    <tableColumn id="3945" xr3:uid="{00000000-0010-0000-2000-0000690F0000}" name="Column3918"/>
    <tableColumn id="3946" xr3:uid="{00000000-0010-0000-2000-00006A0F0000}" name="Column3919"/>
    <tableColumn id="3947" xr3:uid="{00000000-0010-0000-2000-00006B0F0000}" name="Column3920"/>
    <tableColumn id="3948" xr3:uid="{00000000-0010-0000-2000-00006C0F0000}" name="Column3921"/>
    <tableColumn id="3949" xr3:uid="{00000000-0010-0000-2000-00006D0F0000}" name="Column3922"/>
    <tableColumn id="3950" xr3:uid="{00000000-0010-0000-2000-00006E0F0000}" name="Column3923"/>
    <tableColumn id="3951" xr3:uid="{00000000-0010-0000-2000-00006F0F0000}" name="Column3924"/>
    <tableColumn id="3952" xr3:uid="{00000000-0010-0000-2000-0000700F0000}" name="Column3925"/>
    <tableColumn id="3953" xr3:uid="{00000000-0010-0000-2000-0000710F0000}" name="Column3926"/>
    <tableColumn id="3954" xr3:uid="{00000000-0010-0000-2000-0000720F0000}" name="Column3927"/>
    <tableColumn id="3955" xr3:uid="{00000000-0010-0000-2000-0000730F0000}" name="Column3928"/>
    <tableColumn id="3956" xr3:uid="{00000000-0010-0000-2000-0000740F0000}" name="Column3929"/>
    <tableColumn id="3957" xr3:uid="{00000000-0010-0000-2000-0000750F0000}" name="Column3930"/>
    <tableColumn id="3958" xr3:uid="{00000000-0010-0000-2000-0000760F0000}" name="Column3931"/>
    <tableColumn id="3959" xr3:uid="{00000000-0010-0000-2000-0000770F0000}" name="Column3932"/>
    <tableColumn id="3960" xr3:uid="{00000000-0010-0000-2000-0000780F0000}" name="Column3933"/>
    <tableColumn id="3961" xr3:uid="{00000000-0010-0000-2000-0000790F0000}" name="Column3934"/>
    <tableColumn id="3962" xr3:uid="{00000000-0010-0000-2000-00007A0F0000}" name="Column3935"/>
    <tableColumn id="3963" xr3:uid="{00000000-0010-0000-2000-00007B0F0000}" name="Column3936"/>
    <tableColumn id="3964" xr3:uid="{00000000-0010-0000-2000-00007C0F0000}" name="Column3937"/>
    <tableColumn id="3965" xr3:uid="{00000000-0010-0000-2000-00007D0F0000}" name="Column3938"/>
    <tableColumn id="3966" xr3:uid="{00000000-0010-0000-2000-00007E0F0000}" name="Column3939"/>
    <tableColumn id="3967" xr3:uid="{00000000-0010-0000-2000-00007F0F0000}" name="Column3940"/>
    <tableColumn id="3968" xr3:uid="{00000000-0010-0000-2000-0000800F0000}" name="Column3941"/>
    <tableColumn id="3969" xr3:uid="{00000000-0010-0000-2000-0000810F0000}" name="Column3942"/>
    <tableColumn id="3970" xr3:uid="{00000000-0010-0000-2000-0000820F0000}" name="Column3943"/>
    <tableColumn id="3971" xr3:uid="{00000000-0010-0000-2000-0000830F0000}" name="Column3944"/>
    <tableColumn id="3972" xr3:uid="{00000000-0010-0000-2000-0000840F0000}" name="Column3945"/>
    <tableColumn id="3973" xr3:uid="{00000000-0010-0000-2000-0000850F0000}" name="Column3946"/>
    <tableColumn id="3974" xr3:uid="{00000000-0010-0000-2000-0000860F0000}" name="Column3947"/>
    <tableColumn id="3975" xr3:uid="{00000000-0010-0000-2000-0000870F0000}" name="Column3948"/>
    <tableColumn id="3976" xr3:uid="{00000000-0010-0000-2000-0000880F0000}" name="Column3949"/>
    <tableColumn id="3977" xr3:uid="{00000000-0010-0000-2000-0000890F0000}" name="Column3950"/>
    <tableColumn id="3978" xr3:uid="{00000000-0010-0000-2000-00008A0F0000}" name="Column3951"/>
    <tableColumn id="3979" xr3:uid="{00000000-0010-0000-2000-00008B0F0000}" name="Column3952"/>
    <tableColumn id="3980" xr3:uid="{00000000-0010-0000-2000-00008C0F0000}" name="Column3953"/>
    <tableColumn id="3981" xr3:uid="{00000000-0010-0000-2000-00008D0F0000}" name="Column3954"/>
    <tableColumn id="3982" xr3:uid="{00000000-0010-0000-2000-00008E0F0000}" name="Column3955"/>
    <tableColumn id="3983" xr3:uid="{00000000-0010-0000-2000-00008F0F0000}" name="Column3956"/>
    <tableColumn id="3984" xr3:uid="{00000000-0010-0000-2000-0000900F0000}" name="Column3957"/>
    <tableColumn id="3985" xr3:uid="{00000000-0010-0000-2000-0000910F0000}" name="Column3958"/>
    <tableColumn id="3986" xr3:uid="{00000000-0010-0000-2000-0000920F0000}" name="Column3959"/>
    <tableColumn id="3987" xr3:uid="{00000000-0010-0000-2000-0000930F0000}" name="Column3960"/>
    <tableColumn id="3988" xr3:uid="{00000000-0010-0000-2000-0000940F0000}" name="Column3961"/>
    <tableColumn id="3989" xr3:uid="{00000000-0010-0000-2000-0000950F0000}" name="Column3962"/>
    <tableColumn id="3990" xr3:uid="{00000000-0010-0000-2000-0000960F0000}" name="Column3963"/>
    <tableColumn id="3991" xr3:uid="{00000000-0010-0000-2000-0000970F0000}" name="Column3964"/>
    <tableColumn id="3992" xr3:uid="{00000000-0010-0000-2000-0000980F0000}" name="Column3965"/>
    <tableColumn id="3993" xr3:uid="{00000000-0010-0000-2000-0000990F0000}" name="Column3966"/>
    <tableColumn id="3994" xr3:uid="{00000000-0010-0000-2000-00009A0F0000}" name="Column3967"/>
    <tableColumn id="3995" xr3:uid="{00000000-0010-0000-2000-00009B0F0000}" name="Column3968"/>
    <tableColumn id="3996" xr3:uid="{00000000-0010-0000-2000-00009C0F0000}" name="Column3969"/>
    <tableColumn id="3997" xr3:uid="{00000000-0010-0000-2000-00009D0F0000}" name="Column3970"/>
    <tableColumn id="3998" xr3:uid="{00000000-0010-0000-2000-00009E0F0000}" name="Column3971"/>
    <tableColumn id="3999" xr3:uid="{00000000-0010-0000-2000-00009F0F0000}" name="Column3972"/>
    <tableColumn id="4000" xr3:uid="{00000000-0010-0000-2000-0000A00F0000}" name="Column3973"/>
    <tableColumn id="4001" xr3:uid="{00000000-0010-0000-2000-0000A10F0000}" name="Column3974"/>
    <tableColumn id="4002" xr3:uid="{00000000-0010-0000-2000-0000A20F0000}" name="Column3975"/>
    <tableColumn id="4003" xr3:uid="{00000000-0010-0000-2000-0000A30F0000}" name="Column3976"/>
    <tableColumn id="4004" xr3:uid="{00000000-0010-0000-2000-0000A40F0000}" name="Column3977"/>
    <tableColumn id="4005" xr3:uid="{00000000-0010-0000-2000-0000A50F0000}" name="Column3978"/>
    <tableColumn id="4006" xr3:uid="{00000000-0010-0000-2000-0000A60F0000}" name="Column3979"/>
    <tableColumn id="4007" xr3:uid="{00000000-0010-0000-2000-0000A70F0000}" name="Column3980"/>
    <tableColumn id="4008" xr3:uid="{00000000-0010-0000-2000-0000A80F0000}" name="Column3981"/>
    <tableColumn id="4009" xr3:uid="{00000000-0010-0000-2000-0000A90F0000}" name="Column3982"/>
    <tableColumn id="4010" xr3:uid="{00000000-0010-0000-2000-0000AA0F0000}" name="Column3983"/>
    <tableColumn id="4011" xr3:uid="{00000000-0010-0000-2000-0000AB0F0000}" name="Column3984"/>
    <tableColumn id="4012" xr3:uid="{00000000-0010-0000-2000-0000AC0F0000}" name="Column3985"/>
    <tableColumn id="4013" xr3:uid="{00000000-0010-0000-2000-0000AD0F0000}" name="Column3986"/>
    <tableColumn id="4014" xr3:uid="{00000000-0010-0000-2000-0000AE0F0000}" name="Column3987"/>
    <tableColumn id="4015" xr3:uid="{00000000-0010-0000-2000-0000AF0F0000}" name="Column3988"/>
    <tableColumn id="4016" xr3:uid="{00000000-0010-0000-2000-0000B00F0000}" name="Column3989"/>
    <tableColumn id="4017" xr3:uid="{00000000-0010-0000-2000-0000B10F0000}" name="Column3990"/>
    <tableColumn id="4018" xr3:uid="{00000000-0010-0000-2000-0000B20F0000}" name="Column3991"/>
    <tableColumn id="4019" xr3:uid="{00000000-0010-0000-2000-0000B30F0000}" name="Column3992"/>
    <tableColumn id="4020" xr3:uid="{00000000-0010-0000-2000-0000B40F0000}" name="Column3993"/>
    <tableColumn id="4021" xr3:uid="{00000000-0010-0000-2000-0000B50F0000}" name="Column3994"/>
    <tableColumn id="4022" xr3:uid="{00000000-0010-0000-2000-0000B60F0000}" name="Column3995"/>
    <tableColumn id="4023" xr3:uid="{00000000-0010-0000-2000-0000B70F0000}" name="Column3996"/>
    <tableColumn id="4024" xr3:uid="{00000000-0010-0000-2000-0000B80F0000}" name="Column3997"/>
    <tableColumn id="4025" xr3:uid="{00000000-0010-0000-2000-0000B90F0000}" name="Column3998"/>
    <tableColumn id="4026" xr3:uid="{00000000-0010-0000-2000-0000BA0F0000}" name="Column3999"/>
    <tableColumn id="4027" xr3:uid="{00000000-0010-0000-2000-0000BB0F0000}" name="Column4000"/>
    <tableColumn id="4028" xr3:uid="{00000000-0010-0000-2000-0000BC0F0000}" name="Column4001"/>
    <tableColumn id="4029" xr3:uid="{00000000-0010-0000-2000-0000BD0F0000}" name="Column4002"/>
    <tableColumn id="4030" xr3:uid="{00000000-0010-0000-2000-0000BE0F0000}" name="Column4003"/>
    <tableColumn id="4031" xr3:uid="{00000000-0010-0000-2000-0000BF0F0000}" name="Column4004"/>
    <tableColumn id="4032" xr3:uid="{00000000-0010-0000-2000-0000C00F0000}" name="Column4005"/>
    <tableColumn id="4033" xr3:uid="{00000000-0010-0000-2000-0000C10F0000}" name="Column4006"/>
    <tableColumn id="4034" xr3:uid="{00000000-0010-0000-2000-0000C20F0000}" name="Column4007"/>
    <tableColumn id="4035" xr3:uid="{00000000-0010-0000-2000-0000C30F0000}" name="Column4008"/>
    <tableColumn id="4036" xr3:uid="{00000000-0010-0000-2000-0000C40F0000}" name="Column4009"/>
    <tableColumn id="4037" xr3:uid="{00000000-0010-0000-2000-0000C50F0000}" name="Column4010"/>
    <tableColumn id="4038" xr3:uid="{00000000-0010-0000-2000-0000C60F0000}" name="Column4011"/>
    <tableColumn id="4039" xr3:uid="{00000000-0010-0000-2000-0000C70F0000}" name="Column4012"/>
    <tableColumn id="4040" xr3:uid="{00000000-0010-0000-2000-0000C80F0000}" name="Column4013"/>
    <tableColumn id="4041" xr3:uid="{00000000-0010-0000-2000-0000C90F0000}" name="Column4014"/>
    <tableColumn id="4042" xr3:uid="{00000000-0010-0000-2000-0000CA0F0000}" name="Column4015"/>
    <tableColumn id="4043" xr3:uid="{00000000-0010-0000-2000-0000CB0F0000}" name="Column4016"/>
    <tableColumn id="4044" xr3:uid="{00000000-0010-0000-2000-0000CC0F0000}" name="Column4017"/>
    <tableColumn id="4045" xr3:uid="{00000000-0010-0000-2000-0000CD0F0000}" name="Column4018"/>
    <tableColumn id="4046" xr3:uid="{00000000-0010-0000-2000-0000CE0F0000}" name="Column4019"/>
    <tableColumn id="4047" xr3:uid="{00000000-0010-0000-2000-0000CF0F0000}" name="Column4020"/>
    <tableColumn id="4048" xr3:uid="{00000000-0010-0000-2000-0000D00F0000}" name="Column4021"/>
    <tableColumn id="4049" xr3:uid="{00000000-0010-0000-2000-0000D10F0000}" name="Column4022"/>
    <tableColumn id="4050" xr3:uid="{00000000-0010-0000-2000-0000D20F0000}" name="Column4023"/>
    <tableColumn id="4051" xr3:uid="{00000000-0010-0000-2000-0000D30F0000}" name="Column4024"/>
    <tableColumn id="4052" xr3:uid="{00000000-0010-0000-2000-0000D40F0000}" name="Column4025"/>
    <tableColumn id="4053" xr3:uid="{00000000-0010-0000-2000-0000D50F0000}" name="Column4026"/>
    <tableColumn id="4054" xr3:uid="{00000000-0010-0000-2000-0000D60F0000}" name="Column4027"/>
    <tableColumn id="4055" xr3:uid="{00000000-0010-0000-2000-0000D70F0000}" name="Column4028"/>
    <tableColumn id="4056" xr3:uid="{00000000-0010-0000-2000-0000D80F0000}" name="Column4029"/>
    <tableColumn id="4057" xr3:uid="{00000000-0010-0000-2000-0000D90F0000}" name="Column4030"/>
    <tableColumn id="4058" xr3:uid="{00000000-0010-0000-2000-0000DA0F0000}" name="Column4031"/>
    <tableColumn id="4059" xr3:uid="{00000000-0010-0000-2000-0000DB0F0000}" name="Column4032"/>
    <tableColumn id="4060" xr3:uid="{00000000-0010-0000-2000-0000DC0F0000}" name="Column4033"/>
    <tableColumn id="4061" xr3:uid="{00000000-0010-0000-2000-0000DD0F0000}" name="Column4034"/>
    <tableColumn id="4062" xr3:uid="{00000000-0010-0000-2000-0000DE0F0000}" name="Column4035"/>
    <tableColumn id="4063" xr3:uid="{00000000-0010-0000-2000-0000DF0F0000}" name="Column4036"/>
    <tableColumn id="4064" xr3:uid="{00000000-0010-0000-2000-0000E00F0000}" name="Column4037"/>
    <tableColumn id="4065" xr3:uid="{00000000-0010-0000-2000-0000E10F0000}" name="Column4038"/>
    <tableColumn id="4066" xr3:uid="{00000000-0010-0000-2000-0000E20F0000}" name="Column4039"/>
    <tableColumn id="4067" xr3:uid="{00000000-0010-0000-2000-0000E30F0000}" name="Column4040"/>
    <tableColumn id="4068" xr3:uid="{00000000-0010-0000-2000-0000E40F0000}" name="Column4041"/>
    <tableColumn id="4069" xr3:uid="{00000000-0010-0000-2000-0000E50F0000}" name="Column4042"/>
    <tableColumn id="4070" xr3:uid="{00000000-0010-0000-2000-0000E60F0000}" name="Column4043"/>
    <tableColumn id="4071" xr3:uid="{00000000-0010-0000-2000-0000E70F0000}" name="Column4044"/>
    <tableColumn id="4072" xr3:uid="{00000000-0010-0000-2000-0000E80F0000}" name="Column4045"/>
    <tableColumn id="4073" xr3:uid="{00000000-0010-0000-2000-0000E90F0000}" name="Column4046"/>
    <tableColumn id="4074" xr3:uid="{00000000-0010-0000-2000-0000EA0F0000}" name="Column4047"/>
    <tableColumn id="4075" xr3:uid="{00000000-0010-0000-2000-0000EB0F0000}" name="Column4048"/>
    <tableColumn id="4076" xr3:uid="{00000000-0010-0000-2000-0000EC0F0000}" name="Column4049"/>
    <tableColumn id="4077" xr3:uid="{00000000-0010-0000-2000-0000ED0F0000}" name="Column4050"/>
    <tableColumn id="4078" xr3:uid="{00000000-0010-0000-2000-0000EE0F0000}" name="Column4051"/>
    <tableColumn id="4079" xr3:uid="{00000000-0010-0000-2000-0000EF0F0000}" name="Column4052"/>
    <tableColumn id="4080" xr3:uid="{00000000-0010-0000-2000-0000F00F0000}" name="Column4053"/>
    <tableColumn id="4081" xr3:uid="{00000000-0010-0000-2000-0000F10F0000}" name="Column4054"/>
    <tableColumn id="4082" xr3:uid="{00000000-0010-0000-2000-0000F20F0000}" name="Column4055"/>
    <tableColumn id="4083" xr3:uid="{00000000-0010-0000-2000-0000F30F0000}" name="Column4056"/>
    <tableColumn id="4084" xr3:uid="{00000000-0010-0000-2000-0000F40F0000}" name="Column4057"/>
    <tableColumn id="4085" xr3:uid="{00000000-0010-0000-2000-0000F50F0000}" name="Column4058"/>
    <tableColumn id="4086" xr3:uid="{00000000-0010-0000-2000-0000F60F0000}" name="Column4059"/>
    <tableColumn id="4087" xr3:uid="{00000000-0010-0000-2000-0000F70F0000}" name="Column4060"/>
    <tableColumn id="4088" xr3:uid="{00000000-0010-0000-2000-0000F80F0000}" name="Column4061"/>
    <tableColumn id="4089" xr3:uid="{00000000-0010-0000-2000-0000F90F0000}" name="Column4062"/>
    <tableColumn id="4090" xr3:uid="{00000000-0010-0000-2000-0000FA0F0000}" name="Column4063"/>
    <tableColumn id="4091" xr3:uid="{00000000-0010-0000-2000-0000FB0F0000}" name="Column4064"/>
    <tableColumn id="4092" xr3:uid="{00000000-0010-0000-2000-0000FC0F0000}" name="Column4065"/>
    <tableColumn id="4093" xr3:uid="{00000000-0010-0000-2000-0000FD0F0000}" name="Column4066"/>
    <tableColumn id="4094" xr3:uid="{00000000-0010-0000-2000-0000FE0F0000}" name="Column4067"/>
    <tableColumn id="4095" xr3:uid="{00000000-0010-0000-2000-0000FF0F0000}" name="Column4068"/>
    <tableColumn id="4096" xr3:uid="{00000000-0010-0000-2000-000000100000}" name="Column4069"/>
    <tableColumn id="4097" xr3:uid="{00000000-0010-0000-2000-000001100000}" name="Column4070"/>
    <tableColumn id="4098" xr3:uid="{00000000-0010-0000-2000-000002100000}" name="Column4071"/>
    <tableColumn id="4099" xr3:uid="{00000000-0010-0000-2000-000003100000}" name="Column4072"/>
    <tableColumn id="4100" xr3:uid="{00000000-0010-0000-2000-000004100000}" name="Column4073"/>
    <tableColumn id="4101" xr3:uid="{00000000-0010-0000-2000-000005100000}" name="Column4074"/>
    <tableColumn id="4102" xr3:uid="{00000000-0010-0000-2000-000006100000}" name="Column4075"/>
    <tableColumn id="4103" xr3:uid="{00000000-0010-0000-2000-000007100000}" name="Column4076"/>
    <tableColumn id="4104" xr3:uid="{00000000-0010-0000-2000-000008100000}" name="Column4077"/>
    <tableColumn id="4105" xr3:uid="{00000000-0010-0000-2000-000009100000}" name="Column4078"/>
    <tableColumn id="4106" xr3:uid="{00000000-0010-0000-2000-00000A100000}" name="Column4079"/>
    <tableColumn id="4107" xr3:uid="{00000000-0010-0000-2000-00000B100000}" name="Column4080"/>
    <tableColumn id="4108" xr3:uid="{00000000-0010-0000-2000-00000C100000}" name="Column4081"/>
    <tableColumn id="4109" xr3:uid="{00000000-0010-0000-2000-00000D100000}" name="Column4082"/>
    <tableColumn id="4110" xr3:uid="{00000000-0010-0000-2000-00000E100000}" name="Column4083"/>
    <tableColumn id="4111" xr3:uid="{00000000-0010-0000-2000-00000F100000}" name="Column4084"/>
    <tableColumn id="4112" xr3:uid="{00000000-0010-0000-2000-000010100000}" name="Column4085"/>
    <tableColumn id="4113" xr3:uid="{00000000-0010-0000-2000-000011100000}" name="Column4086"/>
    <tableColumn id="4114" xr3:uid="{00000000-0010-0000-2000-000012100000}" name="Column4087"/>
    <tableColumn id="4115" xr3:uid="{00000000-0010-0000-2000-000013100000}" name="Column4088"/>
    <tableColumn id="4116" xr3:uid="{00000000-0010-0000-2000-000014100000}" name="Column4089"/>
    <tableColumn id="4117" xr3:uid="{00000000-0010-0000-2000-000015100000}" name="Column4090"/>
    <tableColumn id="4118" xr3:uid="{00000000-0010-0000-2000-000016100000}" name="Column4091"/>
    <tableColumn id="4119" xr3:uid="{00000000-0010-0000-2000-000017100000}" name="Column4092"/>
    <tableColumn id="4120" xr3:uid="{00000000-0010-0000-2000-000018100000}" name="Column4093"/>
    <tableColumn id="4121" xr3:uid="{00000000-0010-0000-2000-000019100000}" name="Column4094"/>
    <tableColumn id="4122" xr3:uid="{00000000-0010-0000-2000-00001A100000}" name="Column4095"/>
    <tableColumn id="4123" xr3:uid="{00000000-0010-0000-2000-00001B100000}" name="Column4096"/>
    <tableColumn id="4124" xr3:uid="{00000000-0010-0000-2000-00001C100000}" name="Column4097"/>
    <tableColumn id="4125" xr3:uid="{00000000-0010-0000-2000-00001D100000}" name="Column4098"/>
    <tableColumn id="4126" xr3:uid="{00000000-0010-0000-2000-00001E100000}" name="Column4099"/>
    <tableColumn id="4127" xr3:uid="{00000000-0010-0000-2000-00001F100000}" name="Column4100"/>
    <tableColumn id="4128" xr3:uid="{00000000-0010-0000-2000-000020100000}" name="Column4101"/>
    <tableColumn id="4129" xr3:uid="{00000000-0010-0000-2000-000021100000}" name="Column4102"/>
    <tableColumn id="4130" xr3:uid="{00000000-0010-0000-2000-000022100000}" name="Column4103"/>
    <tableColumn id="4131" xr3:uid="{00000000-0010-0000-2000-000023100000}" name="Column4104"/>
    <tableColumn id="4132" xr3:uid="{00000000-0010-0000-2000-000024100000}" name="Column4105"/>
    <tableColumn id="4133" xr3:uid="{00000000-0010-0000-2000-000025100000}" name="Column4106"/>
    <tableColumn id="4134" xr3:uid="{00000000-0010-0000-2000-000026100000}" name="Column4107"/>
    <tableColumn id="4135" xr3:uid="{00000000-0010-0000-2000-000027100000}" name="Column4108"/>
    <tableColumn id="4136" xr3:uid="{00000000-0010-0000-2000-000028100000}" name="Column4109"/>
    <tableColumn id="4137" xr3:uid="{00000000-0010-0000-2000-000029100000}" name="Column4110"/>
    <tableColumn id="4138" xr3:uid="{00000000-0010-0000-2000-00002A100000}" name="Column4111"/>
    <tableColumn id="4139" xr3:uid="{00000000-0010-0000-2000-00002B100000}" name="Column4112"/>
    <tableColumn id="4140" xr3:uid="{00000000-0010-0000-2000-00002C100000}" name="Column4113"/>
    <tableColumn id="4141" xr3:uid="{00000000-0010-0000-2000-00002D100000}" name="Column4114"/>
    <tableColumn id="4142" xr3:uid="{00000000-0010-0000-2000-00002E100000}" name="Column4115"/>
    <tableColumn id="4143" xr3:uid="{00000000-0010-0000-2000-00002F100000}" name="Column4116"/>
    <tableColumn id="4144" xr3:uid="{00000000-0010-0000-2000-000030100000}" name="Column4117"/>
    <tableColumn id="4145" xr3:uid="{00000000-0010-0000-2000-000031100000}" name="Column4118"/>
    <tableColumn id="4146" xr3:uid="{00000000-0010-0000-2000-000032100000}" name="Column4119"/>
    <tableColumn id="4147" xr3:uid="{00000000-0010-0000-2000-000033100000}" name="Column4120"/>
    <tableColumn id="4148" xr3:uid="{00000000-0010-0000-2000-000034100000}" name="Column4121"/>
    <tableColumn id="4149" xr3:uid="{00000000-0010-0000-2000-000035100000}" name="Column4122"/>
    <tableColumn id="4150" xr3:uid="{00000000-0010-0000-2000-000036100000}" name="Column4123"/>
    <tableColumn id="4151" xr3:uid="{00000000-0010-0000-2000-000037100000}" name="Column4124"/>
    <tableColumn id="4152" xr3:uid="{00000000-0010-0000-2000-000038100000}" name="Column4125"/>
    <tableColumn id="4153" xr3:uid="{00000000-0010-0000-2000-000039100000}" name="Column4126"/>
    <tableColumn id="4154" xr3:uid="{00000000-0010-0000-2000-00003A100000}" name="Column4127"/>
    <tableColumn id="4155" xr3:uid="{00000000-0010-0000-2000-00003B100000}" name="Column4128"/>
    <tableColumn id="4156" xr3:uid="{00000000-0010-0000-2000-00003C100000}" name="Column4129"/>
    <tableColumn id="4157" xr3:uid="{00000000-0010-0000-2000-00003D100000}" name="Column4130"/>
    <tableColumn id="4158" xr3:uid="{00000000-0010-0000-2000-00003E100000}" name="Column4131"/>
    <tableColumn id="4159" xr3:uid="{00000000-0010-0000-2000-00003F100000}" name="Column4132"/>
    <tableColumn id="4160" xr3:uid="{00000000-0010-0000-2000-000040100000}" name="Column4133"/>
    <tableColumn id="4161" xr3:uid="{00000000-0010-0000-2000-000041100000}" name="Column4134"/>
    <tableColumn id="4162" xr3:uid="{00000000-0010-0000-2000-000042100000}" name="Column4135"/>
    <tableColumn id="4163" xr3:uid="{00000000-0010-0000-2000-000043100000}" name="Column4136"/>
    <tableColumn id="4164" xr3:uid="{00000000-0010-0000-2000-000044100000}" name="Column4137"/>
    <tableColumn id="4165" xr3:uid="{00000000-0010-0000-2000-000045100000}" name="Column4138"/>
    <tableColumn id="4166" xr3:uid="{00000000-0010-0000-2000-000046100000}" name="Column4139"/>
    <tableColumn id="4167" xr3:uid="{00000000-0010-0000-2000-000047100000}" name="Column4140"/>
    <tableColumn id="4168" xr3:uid="{00000000-0010-0000-2000-000048100000}" name="Column4141"/>
    <tableColumn id="4169" xr3:uid="{00000000-0010-0000-2000-000049100000}" name="Column4142"/>
    <tableColumn id="4170" xr3:uid="{00000000-0010-0000-2000-00004A100000}" name="Column4143"/>
    <tableColumn id="4171" xr3:uid="{00000000-0010-0000-2000-00004B100000}" name="Column4144"/>
    <tableColumn id="4172" xr3:uid="{00000000-0010-0000-2000-00004C100000}" name="Column4145"/>
    <tableColumn id="4173" xr3:uid="{00000000-0010-0000-2000-00004D100000}" name="Column4146"/>
    <tableColumn id="4174" xr3:uid="{00000000-0010-0000-2000-00004E100000}" name="Column4147"/>
    <tableColumn id="4175" xr3:uid="{00000000-0010-0000-2000-00004F100000}" name="Column4148"/>
    <tableColumn id="4176" xr3:uid="{00000000-0010-0000-2000-000050100000}" name="Column4149"/>
    <tableColumn id="4177" xr3:uid="{00000000-0010-0000-2000-000051100000}" name="Column4150"/>
    <tableColumn id="4178" xr3:uid="{00000000-0010-0000-2000-000052100000}" name="Column4151"/>
    <tableColumn id="4179" xr3:uid="{00000000-0010-0000-2000-000053100000}" name="Column4152"/>
    <tableColumn id="4180" xr3:uid="{00000000-0010-0000-2000-000054100000}" name="Column4153"/>
    <tableColumn id="4181" xr3:uid="{00000000-0010-0000-2000-000055100000}" name="Column4154"/>
    <tableColumn id="4182" xr3:uid="{00000000-0010-0000-2000-000056100000}" name="Column4155"/>
    <tableColumn id="4183" xr3:uid="{00000000-0010-0000-2000-000057100000}" name="Column4156"/>
    <tableColumn id="4184" xr3:uid="{00000000-0010-0000-2000-000058100000}" name="Column4157"/>
    <tableColumn id="4185" xr3:uid="{00000000-0010-0000-2000-000059100000}" name="Column4158"/>
    <tableColumn id="4186" xr3:uid="{00000000-0010-0000-2000-00005A100000}" name="Column4159"/>
    <tableColumn id="4187" xr3:uid="{00000000-0010-0000-2000-00005B100000}" name="Column4160"/>
    <tableColumn id="4188" xr3:uid="{00000000-0010-0000-2000-00005C100000}" name="Column4161"/>
    <tableColumn id="4189" xr3:uid="{00000000-0010-0000-2000-00005D100000}" name="Column4162"/>
    <tableColumn id="4190" xr3:uid="{00000000-0010-0000-2000-00005E100000}" name="Column4163"/>
    <tableColumn id="4191" xr3:uid="{00000000-0010-0000-2000-00005F100000}" name="Column4164"/>
    <tableColumn id="4192" xr3:uid="{00000000-0010-0000-2000-000060100000}" name="Column4165"/>
    <tableColumn id="4193" xr3:uid="{00000000-0010-0000-2000-000061100000}" name="Column4166"/>
    <tableColumn id="4194" xr3:uid="{00000000-0010-0000-2000-000062100000}" name="Column4167"/>
    <tableColumn id="4195" xr3:uid="{00000000-0010-0000-2000-000063100000}" name="Column4168"/>
    <tableColumn id="4196" xr3:uid="{00000000-0010-0000-2000-000064100000}" name="Column4169"/>
    <tableColumn id="4197" xr3:uid="{00000000-0010-0000-2000-000065100000}" name="Column4170"/>
    <tableColumn id="4198" xr3:uid="{00000000-0010-0000-2000-000066100000}" name="Column4171"/>
    <tableColumn id="4199" xr3:uid="{00000000-0010-0000-2000-000067100000}" name="Column4172"/>
    <tableColumn id="4200" xr3:uid="{00000000-0010-0000-2000-000068100000}" name="Column4173"/>
    <tableColumn id="4201" xr3:uid="{00000000-0010-0000-2000-000069100000}" name="Column4174"/>
    <tableColumn id="4202" xr3:uid="{00000000-0010-0000-2000-00006A100000}" name="Column4175"/>
    <tableColumn id="4203" xr3:uid="{00000000-0010-0000-2000-00006B100000}" name="Column4176"/>
    <tableColumn id="4204" xr3:uid="{00000000-0010-0000-2000-00006C100000}" name="Column4177"/>
    <tableColumn id="4205" xr3:uid="{00000000-0010-0000-2000-00006D100000}" name="Column4178"/>
    <tableColumn id="4206" xr3:uid="{00000000-0010-0000-2000-00006E100000}" name="Column4179"/>
    <tableColumn id="4207" xr3:uid="{00000000-0010-0000-2000-00006F100000}" name="Column4180"/>
    <tableColumn id="4208" xr3:uid="{00000000-0010-0000-2000-000070100000}" name="Column4181"/>
    <tableColumn id="4209" xr3:uid="{00000000-0010-0000-2000-000071100000}" name="Column4182"/>
    <tableColumn id="4210" xr3:uid="{00000000-0010-0000-2000-000072100000}" name="Column4183"/>
    <tableColumn id="4211" xr3:uid="{00000000-0010-0000-2000-000073100000}" name="Column4184"/>
    <tableColumn id="4212" xr3:uid="{00000000-0010-0000-2000-000074100000}" name="Column4185"/>
    <tableColumn id="4213" xr3:uid="{00000000-0010-0000-2000-000075100000}" name="Column4186"/>
    <tableColumn id="4214" xr3:uid="{00000000-0010-0000-2000-000076100000}" name="Column4187"/>
    <tableColumn id="4215" xr3:uid="{00000000-0010-0000-2000-000077100000}" name="Column4188"/>
    <tableColumn id="4216" xr3:uid="{00000000-0010-0000-2000-000078100000}" name="Column4189"/>
    <tableColumn id="4217" xr3:uid="{00000000-0010-0000-2000-000079100000}" name="Column4190"/>
    <tableColumn id="4218" xr3:uid="{00000000-0010-0000-2000-00007A100000}" name="Column4191"/>
    <tableColumn id="4219" xr3:uid="{00000000-0010-0000-2000-00007B100000}" name="Column4192"/>
    <tableColumn id="4220" xr3:uid="{00000000-0010-0000-2000-00007C100000}" name="Column4193"/>
    <tableColumn id="4221" xr3:uid="{00000000-0010-0000-2000-00007D100000}" name="Column4194"/>
    <tableColumn id="4222" xr3:uid="{00000000-0010-0000-2000-00007E100000}" name="Column4195"/>
    <tableColumn id="4223" xr3:uid="{00000000-0010-0000-2000-00007F100000}" name="Column4196"/>
    <tableColumn id="4224" xr3:uid="{00000000-0010-0000-2000-000080100000}" name="Column4197"/>
    <tableColumn id="4225" xr3:uid="{00000000-0010-0000-2000-000081100000}" name="Column4198"/>
    <tableColumn id="4226" xr3:uid="{00000000-0010-0000-2000-000082100000}" name="Column4199"/>
    <tableColumn id="4227" xr3:uid="{00000000-0010-0000-2000-000083100000}" name="Column4200"/>
    <tableColumn id="4228" xr3:uid="{00000000-0010-0000-2000-000084100000}" name="Column4201"/>
    <tableColumn id="4229" xr3:uid="{00000000-0010-0000-2000-000085100000}" name="Column4202"/>
    <tableColumn id="4230" xr3:uid="{00000000-0010-0000-2000-000086100000}" name="Column4203"/>
    <tableColumn id="4231" xr3:uid="{00000000-0010-0000-2000-000087100000}" name="Column4204"/>
    <tableColumn id="4232" xr3:uid="{00000000-0010-0000-2000-000088100000}" name="Column4205"/>
    <tableColumn id="4233" xr3:uid="{00000000-0010-0000-2000-000089100000}" name="Column4206"/>
    <tableColumn id="4234" xr3:uid="{00000000-0010-0000-2000-00008A100000}" name="Column4207"/>
    <tableColumn id="4235" xr3:uid="{00000000-0010-0000-2000-00008B100000}" name="Column4208"/>
    <tableColumn id="4236" xr3:uid="{00000000-0010-0000-2000-00008C100000}" name="Column4209"/>
    <tableColumn id="4237" xr3:uid="{00000000-0010-0000-2000-00008D100000}" name="Column4210"/>
    <tableColumn id="4238" xr3:uid="{00000000-0010-0000-2000-00008E100000}" name="Column4211"/>
    <tableColumn id="4239" xr3:uid="{00000000-0010-0000-2000-00008F100000}" name="Column4212"/>
    <tableColumn id="4240" xr3:uid="{00000000-0010-0000-2000-000090100000}" name="Column4213"/>
    <tableColumn id="4241" xr3:uid="{00000000-0010-0000-2000-000091100000}" name="Column4214"/>
    <tableColumn id="4242" xr3:uid="{00000000-0010-0000-2000-000092100000}" name="Column4215"/>
    <tableColumn id="4243" xr3:uid="{00000000-0010-0000-2000-000093100000}" name="Column4216"/>
    <tableColumn id="4244" xr3:uid="{00000000-0010-0000-2000-000094100000}" name="Column4217"/>
    <tableColumn id="4245" xr3:uid="{00000000-0010-0000-2000-000095100000}" name="Column4218"/>
    <tableColumn id="4246" xr3:uid="{00000000-0010-0000-2000-000096100000}" name="Column4219"/>
    <tableColumn id="4247" xr3:uid="{00000000-0010-0000-2000-000097100000}" name="Column4220"/>
    <tableColumn id="4248" xr3:uid="{00000000-0010-0000-2000-000098100000}" name="Column4221"/>
    <tableColumn id="4249" xr3:uid="{00000000-0010-0000-2000-000099100000}" name="Column4222"/>
    <tableColumn id="4250" xr3:uid="{00000000-0010-0000-2000-00009A100000}" name="Column4223"/>
    <tableColumn id="4251" xr3:uid="{00000000-0010-0000-2000-00009B100000}" name="Column4224"/>
    <tableColumn id="4252" xr3:uid="{00000000-0010-0000-2000-00009C100000}" name="Column4225"/>
    <tableColumn id="4253" xr3:uid="{00000000-0010-0000-2000-00009D100000}" name="Column4226"/>
    <tableColumn id="4254" xr3:uid="{00000000-0010-0000-2000-00009E100000}" name="Column4227"/>
    <tableColumn id="4255" xr3:uid="{00000000-0010-0000-2000-00009F100000}" name="Column4228"/>
    <tableColumn id="4256" xr3:uid="{00000000-0010-0000-2000-0000A0100000}" name="Column4229"/>
    <tableColumn id="4257" xr3:uid="{00000000-0010-0000-2000-0000A1100000}" name="Column4230"/>
    <tableColumn id="4258" xr3:uid="{00000000-0010-0000-2000-0000A2100000}" name="Column4231"/>
    <tableColumn id="4259" xr3:uid="{00000000-0010-0000-2000-0000A3100000}" name="Column4232"/>
    <tableColumn id="4260" xr3:uid="{00000000-0010-0000-2000-0000A4100000}" name="Column4233"/>
    <tableColumn id="4261" xr3:uid="{00000000-0010-0000-2000-0000A5100000}" name="Column4234"/>
    <tableColumn id="4262" xr3:uid="{00000000-0010-0000-2000-0000A6100000}" name="Column4235"/>
    <tableColumn id="4263" xr3:uid="{00000000-0010-0000-2000-0000A7100000}" name="Column4236"/>
    <tableColumn id="4264" xr3:uid="{00000000-0010-0000-2000-0000A8100000}" name="Column4237"/>
    <tableColumn id="4265" xr3:uid="{00000000-0010-0000-2000-0000A9100000}" name="Column4238"/>
    <tableColumn id="4266" xr3:uid="{00000000-0010-0000-2000-0000AA100000}" name="Column4239"/>
    <tableColumn id="4267" xr3:uid="{00000000-0010-0000-2000-0000AB100000}" name="Column4240"/>
    <tableColumn id="4268" xr3:uid="{00000000-0010-0000-2000-0000AC100000}" name="Column4241"/>
    <tableColumn id="4269" xr3:uid="{00000000-0010-0000-2000-0000AD100000}" name="Column4242"/>
    <tableColumn id="4270" xr3:uid="{00000000-0010-0000-2000-0000AE100000}" name="Column4243"/>
    <tableColumn id="4271" xr3:uid="{00000000-0010-0000-2000-0000AF100000}" name="Column4244"/>
    <tableColumn id="4272" xr3:uid="{00000000-0010-0000-2000-0000B0100000}" name="Column4245"/>
    <tableColumn id="4273" xr3:uid="{00000000-0010-0000-2000-0000B1100000}" name="Column4246"/>
    <tableColumn id="4274" xr3:uid="{00000000-0010-0000-2000-0000B2100000}" name="Column4247"/>
    <tableColumn id="4275" xr3:uid="{00000000-0010-0000-2000-0000B3100000}" name="Column4248"/>
    <tableColumn id="4276" xr3:uid="{00000000-0010-0000-2000-0000B4100000}" name="Column4249"/>
    <tableColumn id="4277" xr3:uid="{00000000-0010-0000-2000-0000B5100000}" name="Column4250"/>
    <tableColumn id="4278" xr3:uid="{00000000-0010-0000-2000-0000B6100000}" name="Column4251"/>
    <tableColumn id="4279" xr3:uid="{00000000-0010-0000-2000-0000B7100000}" name="Column4252"/>
    <tableColumn id="4280" xr3:uid="{00000000-0010-0000-2000-0000B8100000}" name="Column4253"/>
    <tableColumn id="4281" xr3:uid="{00000000-0010-0000-2000-0000B9100000}" name="Column4254"/>
    <tableColumn id="4282" xr3:uid="{00000000-0010-0000-2000-0000BA100000}" name="Column4255"/>
    <tableColumn id="4283" xr3:uid="{00000000-0010-0000-2000-0000BB100000}" name="Column4256"/>
    <tableColumn id="4284" xr3:uid="{00000000-0010-0000-2000-0000BC100000}" name="Column4257"/>
    <tableColumn id="4285" xr3:uid="{00000000-0010-0000-2000-0000BD100000}" name="Column4258"/>
    <tableColumn id="4286" xr3:uid="{00000000-0010-0000-2000-0000BE100000}" name="Column4259"/>
    <tableColumn id="4287" xr3:uid="{00000000-0010-0000-2000-0000BF100000}" name="Column4260"/>
    <tableColumn id="4288" xr3:uid="{00000000-0010-0000-2000-0000C0100000}" name="Column4261"/>
    <tableColumn id="4289" xr3:uid="{00000000-0010-0000-2000-0000C1100000}" name="Column4262"/>
    <tableColumn id="4290" xr3:uid="{00000000-0010-0000-2000-0000C2100000}" name="Column4263"/>
    <tableColumn id="4291" xr3:uid="{00000000-0010-0000-2000-0000C3100000}" name="Column4264"/>
    <tableColumn id="4292" xr3:uid="{00000000-0010-0000-2000-0000C4100000}" name="Column4265"/>
    <tableColumn id="4293" xr3:uid="{00000000-0010-0000-2000-0000C5100000}" name="Column4266"/>
    <tableColumn id="4294" xr3:uid="{00000000-0010-0000-2000-0000C6100000}" name="Column4267"/>
    <tableColumn id="4295" xr3:uid="{00000000-0010-0000-2000-0000C7100000}" name="Column4268"/>
    <tableColumn id="4296" xr3:uid="{00000000-0010-0000-2000-0000C8100000}" name="Column4269"/>
    <tableColumn id="4297" xr3:uid="{00000000-0010-0000-2000-0000C9100000}" name="Column4270"/>
    <tableColumn id="4298" xr3:uid="{00000000-0010-0000-2000-0000CA100000}" name="Column4271"/>
    <tableColumn id="4299" xr3:uid="{00000000-0010-0000-2000-0000CB100000}" name="Column4272"/>
    <tableColumn id="4300" xr3:uid="{00000000-0010-0000-2000-0000CC100000}" name="Column4273"/>
    <tableColumn id="4301" xr3:uid="{00000000-0010-0000-2000-0000CD100000}" name="Column4274"/>
    <tableColumn id="4302" xr3:uid="{00000000-0010-0000-2000-0000CE100000}" name="Column4275"/>
    <tableColumn id="4303" xr3:uid="{00000000-0010-0000-2000-0000CF100000}" name="Column4276"/>
    <tableColumn id="4304" xr3:uid="{00000000-0010-0000-2000-0000D0100000}" name="Column4277"/>
    <tableColumn id="4305" xr3:uid="{00000000-0010-0000-2000-0000D1100000}" name="Column4278"/>
    <tableColumn id="4306" xr3:uid="{00000000-0010-0000-2000-0000D2100000}" name="Column4279"/>
    <tableColumn id="4307" xr3:uid="{00000000-0010-0000-2000-0000D3100000}" name="Column4280"/>
    <tableColumn id="4308" xr3:uid="{00000000-0010-0000-2000-0000D4100000}" name="Column4281"/>
    <tableColumn id="4309" xr3:uid="{00000000-0010-0000-2000-0000D5100000}" name="Column4282"/>
    <tableColumn id="4310" xr3:uid="{00000000-0010-0000-2000-0000D6100000}" name="Column4283"/>
    <tableColumn id="4311" xr3:uid="{00000000-0010-0000-2000-0000D7100000}" name="Column4284"/>
    <tableColumn id="4312" xr3:uid="{00000000-0010-0000-2000-0000D8100000}" name="Column4285"/>
    <tableColumn id="4313" xr3:uid="{00000000-0010-0000-2000-0000D9100000}" name="Column4286"/>
    <tableColumn id="4314" xr3:uid="{00000000-0010-0000-2000-0000DA100000}" name="Column4287"/>
    <tableColumn id="4315" xr3:uid="{00000000-0010-0000-2000-0000DB100000}" name="Column4288"/>
    <tableColumn id="4316" xr3:uid="{00000000-0010-0000-2000-0000DC100000}" name="Column4289"/>
    <tableColumn id="4317" xr3:uid="{00000000-0010-0000-2000-0000DD100000}" name="Column4290"/>
    <tableColumn id="4318" xr3:uid="{00000000-0010-0000-2000-0000DE100000}" name="Column4291"/>
    <tableColumn id="4319" xr3:uid="{00000000-0010-0000-2000-0000DF100000}" name="Column4292"/>
    <tableColumn id="4320" xr3:uid="{00000000-0010-0000-2000-0000E0100000}" name="Column4293"/>
    <tableColumn id="4321" xr3:uid="{00000000-0010-0000-2000-0000E1100000}" name="Column4294"/>
    <tableColumn id="4322" xr3:uid="{00000000-0010-0000-2000-0000E2100000}" name="Column4295"/>
    <tableColumn id="4323" xr3:uid="{00000000-0010-0000-2000-0000E3100000}" name="Column4296"/>
    <tableColumn id="4324" xr3:uid="{00000000-0010-0000-2000-0000E4100000}" name="Column4297"/>
    <tableColumn id="4325" xr3:uid="{00000000-0010-0000-2000-0000E5100000}" name="Column4298"/>
    <tableColumn id="4326" xr3:uid="{00000000-0010-0000-2000-0000E6100000}" name="Column4299"/>
    <tableColumn id="4327" xr3:uid="{00000000-0010-0000-2000-0000E7100000}" name="Column4300"/>
    <tableColumn id="4328" xr3:uid="{00000000-0010-0000-2000-0000E8100000}" name="Column4301"/>
    <tableColumn id="4329" xr3:uid="{00000000-0010-0000-2000-0000E9100000}" name="Column4302"/>
    <tableColumn id="4330" xr3:uid="{00000000-0010-0000-2000-0000EA100000}" name="Column4303"/>
    <tableColumn id="4331" xr3:uid="{00000000-0010-0000-2000-0000EB100000}" name="Column4304"/>
    <tableColumn id="4332" xr3:uid="{00000000-0010-0000-2000-0000EC100000}" name="Column4305"/>
    <tableColumn id="4333" xr3:uid="{00000000-0010-0000-2000-0000ED100000}" name="Column4306"/>
    <tableColumn id="4334" xr3:uid="{00000000-0010-0000-2000-0000EE100000}" name="Column4307"/>
    <tableColumn id="4335" xr3:uid="{00000000-0010-0000-2000-0000EF100000}" name="Column4308"/>
    <tableColumn id="4336" xr3:uid="{00000000-0010-0000-2000-0000F0100000}" name="Column4309"/>
    <tableColumn id="4337" xr3:uid="{00000000-0010-0000-2000-0000F1100000}" name="Column4310"/>
    <tableColumn id="4338" xr3:uid="{00000000-0010-0000-2000-0000F2100000}" name="Column4311"/>
    <tableColumn id="4339" xr3:uid="{00000000-0010-0000-2000-0000F3100000}" name="Column4312"/>
    <tableColumn id="4340" xr3:uid="{00000000-0010-0000-2000-0000F4100000}" name="Column4313"/>
    <tableColumn id="4341" xr3:uid="{00000000-0010-0000-2000-0000F5100000}" name="Column4314"/>
    <tableColumn id="4342" xr3:uid="{00000000-0010-0000-2000-0000F6100000}" name="Column4315"/>
    <tableColumn id="4343" xr3:uid="{00000000-0010-0000-2000-0000F7100000}" name="Column4316"/>
    <tableColumn id="4344" xr3:uid="{00000000-0010-0000-2000-0000F8100000}" name="Column4317"/>
    <tableColumn id="4345" xr3:uid="{00000000-0010-0000-2000-0000F9100000}" name="Column4318"/>
    <tableColumn id="4346" xr3:uid="{00000000-0010-0000-2000-0000FA100000}" name="Column4319"/>
    <tableColumn id="4347" xr3:uid="{00000000-0010-0000-2000-0000FB100000}" name="Column4320"/>
    <tableColumn id="4348" xr3:uid="{00000000-0010-0000-2000-0000FC100000}" name="Column4321"/>
    <tableColumn id="4349" xr3:uid="{00000000-0010-0000-2000-0000FD100000}" name="Column4322"/>
    <tableColumn id="4350" xr3:uid="{00000000-0010-0000-2000-0000FE100000}" name="Column4323"/>
    <tableColumn id="4351" xr3:uid="{00000000-0010-0000-2000-0000FF100000}" name="Column4324"/>
    <tableColumn id="4352" xr3:uid="{00000000-0010-0000-2000-000000110000}" name="Column4325"/>
    <tableColumn id="4353" xr3:uid="{00000000-0010-0000-2000-000001110000}" name="Column4326"/>
    <tableColumn id="4354" xr3:uid="{00000000-0010-0000-2000-000002110000}" name="Column4327"/>
    <tableColumn id="4355" xr3:uid="{00000000-0010-0000-2000-000003110000}" name="Column4328"/>
    <tableColumn id="4356" xr3:uid="{00000000-0010-0000-2000-000004110000}" name="Column4329"/>
    <tableColumn id="4357" xr3:uid="{00000000-0010-0000-2000-000005110000}" name="Column4330"/>
    <tableColumn id="4358" xr3:uid="{00000000-0010-0000-2000-000006110000}" name="Column4331"/>
    <tableColumn id="4359" xr3:uid="{00000000-0010-0000-2000-000007110000}" name="Column4332"/>
    <tableColumn id="4360" xr3:uid="{00000000-0010-0000-2000-000008110000}" name="Column4333"/>
    <tableColumn id="4361" xr3:uid="{00000000-0010-0000-2000-000009110000}" name="Column4334"/>
    <tableColumn id="4362" xr3:uid="{00000000-0010-0000-2000-00000A110000}" name="Column4335"/>
    <tableColumn id="4363" xr3:uid="{00000000-0010-0000-2000-00000B110000}" name="Column4336"/>
    <tableColumn id="4364" xr3:uid="{00000000-0010-0000-2000-00000C110000}" name="Column4337"/>
    <tableColumn id="4365" xr3:uid="{00000000-0010-0000-2000-00000D110000}" name="Column4338"/>
    <tableColumn id="4366" xr3:uid="{00000000-0010-0000-2000-00000E110000}" name="Column4339"/>
    <tableColumn id="4367" xr3:uid="{00000000-0010-0000-2000-00000F110000}" name="Column4340"/>
    <tableColumn id="4368" xr3:uid="{00000000-0010-0000-2000-000010110000}" name="Column4341"/>
    <tableColumn id="4369" xr3:uid="{00000000-0010-0000-2000-000011110000}" name="Column4342"/>
    <tableColumn id="4370" xr3:uid="{00000000-0010-0000-2000-000012110000}" name="Column4343"/>
    <tableColumn id="4371" xr3:uid="{00000000-0010-0000-2000-000013110000}" name="Column4344"/>
    <tableColumn id="4372" xr3:uid="{00000000-0010-0000-2000-000014110000}" name="Column4345"/>
    <tableColumn id="4373" xr3:uid="{00000000-0010-0000-2000-000015110000}" name="Column4346"/>
    <tableColumn id="4374" xr3:uid="{00000000-0010-0000-2000-000016110000}" name="Column4347"/>
    <tableColumn id="4375" xr3:uid="{00000000-0010-0000-2000-000017110000}" name="Column4348"/>
    <tableColumn id="4376" xr3:uid="{00000000-0010-0000-2000-000018110000}" name="Column4349"/>
    <tableColumn id="4377" xr3:uid="{00000000-0010-0000-2000-000019110000}" name="Column4350"/>
    <tableColumn id="4378" xr3:uid="{00000000-0010-0000-2000-00001A110000}" name="Column4351"/>
    <tableColumn id="4379" xr3:uid="{00000000-0010-0000-2000-00001B110000}" name="Column4352"/>
    <tableColumn id="4380" xr3:uid="{00000000-0010-0000-2000-00001C110000}" name="Column4353"/>
    <tableColumn id="4381" xr3:uid="{00000000-0010-0000-2000-00001D110000}" name="Column4354"/>
    <tableColumn id="4382" xr3:uid="{00000000-0010-0000-2000-00001E110000}" name="Column4355"/>
    <tableColumn id="4383" xr3:uid="{00000000-0010-0000-2000-00001F110000}" name="Column4356"/>
    <tableColumn id="4384" xr3:uid="{00000000-0010-0000-2000-000020110000}" name="Column4357"/>
    <tableColumn id="4385" xr3:uid="{00000000-0010-0000-2000-000021110000}" name="Column4358"/>
    <tableColumn id="4386" xr3:uid="{00000000-0010-0000-2000-000022110000}" name="Column4359"/>
    <tableColumn id="4387" xr3:uid="{00000000-0010-0000-2000-000023110000}" name="Column4360"/>
    <tableColumn id="4388" xr3:uid="{00000000-0010-0000-2000-000024110000}" name="Column4361"/>
    <tableColumn id="4389" xr3:uid="{00000000-0010-0000-2000-000025110000}" name="Column4362"/>
    <tableColumn id="4390" xr3:uid="{00000000-0010-0000-2000-000026110000}" name="Column4363"/>
    <tableColumn id="4391" xr3:uid="{00000000-0010-0000-2000-000027110000}" name="Column4364"/>
    <tableColumn id="4392" xr3:uid="{00000000-0010-0000-2000-000028110000}" name="Column4365"/>
    <tableColumn id="4393" xr3:uid="{00000000-0010-0000-2000-000029110000}" name="Column4366"/>
    <tableColumn id="4394" xr3:uid="{00000000-0010-0000-2000-00002A110000}" name="Column4367"/>
    <tableColumn id="4395" xr3:uid="{00000000-0010-0000-2000-00002B110000}" name="Column4368"/>
    <tableColumn id="4396" xr3:uid="{00000000-0010-0000-2000-00002C110000}" name="Column4369"/>
    <tableColumn id="4397" xr3:uid="{00000000-0010-0000-2000-00002D110000}" name="Column4370"/>
    <tableColumn id="4398" xr3:uid="{00000000-0010-0000-2000-00002E110000}" name="Column4371"/>
    <tableColumn id="4399" xr3:uid="{00000000-0010-0000-2000-00002F110000}" name="Column4372"/>
    <tableColumn id="4400" xr3:uid="{00000000-0010-0000-2000-000030110000}" name="Column4373"/>
    <tableColumn id="4401" xr3:uid="{00000000-0010-0000-2000-000031110000}" name="Column4374"/>
    <tableColumn id="4402" xr3:uid="{00000000-0010-0000-2000-000032110000}" name="Column4375"/>
    <tableColumn id="4403" xr3:uid="{00000000-0010-0000-2000-000033110000}" name="Column4376"/>
    <tableColumn id="4404" xr3:uid="{00000000-0010-0000-2000-000034110000}" name="Column4377"/>
    <tableColumn id="4405" xr3:uid="{00000000-0010-0000-2000-000035110000}" name="Column4378"/>
    <tableColumn id="4406" xr3:uid="{00000000-0010-0000-2000-000036110000}" name="Column4379"/>
    <tableColumn id="4407" xr3:uid="{00000000-0010-0000-2000-000037110000}" name="Column4380"/>
    <tableColumn id="4408" xr3:uid="{00000000-0010-0000-2000-000038110000}" name="Column4381"/>
    <tableColumn id="4409" xr3:uid="{00000000-0010-0000-2000-000039110000}" name="Column4382"/>
    <tableColumn id="4410" xr3:uid="{00000000-0010-0000-2000-00003A110000}" name="Column4383"/>
    <tableColumn id="4411" xr3:uid="{00000000-0010-0000-2000-00003B110000}" name="Column4384"/>
    <tableColumn id="4412" xr3:uid="{00000000-0010-0000-2000-00003C110000}" name="Column4385"/>
    <tableColumn id="4413" xr3:uid="{00000000-0010-0000-2000-00003D110000}" name="Column4386"/>
    <tableColumn id="4414" xr3:uid="{00000000-0010-0000-2000-00003E110000}" name="Column4387"/>
    <tableColumn id="4415" xr3:uid="{00000000-0010-0000-2000-00003F110000}" name="Column4388"/>
    <tableColumn id="4416" xr3:uid="{00000000-0010-0000-2000-000040110000}" name="Column4389"/>
    <tableColumn id="4417" xr3:uid="{00000000-0010-0000-2000-000041110000}" name="Column4390"/>
    <tableColumn id="4418" xr3:uid="{00000000-0010-0000-2000-000042110000}" name="Column4391"/>
    <tableColumn id="4419" xr3:uid="{00000000-0010-0000-2000-000043110000}" name="Column4392"/>
    <tableColumn id="4420" xr3:uid="{00000000-0010-0000-2000-000044110000}" name="Column4393"/>
    <tableColumn id="4421" xr3:uid="{00000000-0010-0000-2000-000045110000}" name="Column4394"/>
    <tableColumn id="4422" xr3:uid="{00000000-0010-0000-2000-000046110000}" name="Column4395"/>
    <tableColumn id="4423" xr3:uid="{00000000-0010-0000-2000-000047110000}" name="Column4396"/>
    <tableColumn id="4424" xr3:uid="{00000000-0010-0000-2000-000048110000}" name="Column4397"/>
    <tableColumn id="4425" xr3:uid="{00000000-0010-0000-2000-000049110000}" name="Column4398"/>
    <tableColumn id="4426" xr3:uid="{00000000-0010-0000-2000-00004A110000}" name="Column4399"/>
    <tableColumn id="4427" xr3:uid="{00000000-0010-0000-2000-00004B110000}" name="Column4400"/>
    <tableColumn id="4428" xr3:uid="{00000000-0010-0000-2000-00004C110000}" name="Column4401"/>
    <tableColumn id="4429" xr3:uid="{00000000-0010-0000-2000-00004D110000}" name="Column4402"/>
    <tableColumn id="4430" xr3:uid="{00000000-0010-0000-2000-00004E110000}" name="Column4403"/>
    <tableColumn id="4431" xr3:uid="{00000000-0010-0000-2000-00004F110000}" name="Column4404"/>
    <tableColumn id="4432" xr3:uid="{00000000-0010-0000-2000-000050110000}" name="Column4405"/>
    <tableColumn id="4433" xr3:uid="{00000000-0010-0000-2000-000051110000}" name="Column4406"/>
    <tableColumn id="4434" xr3:uid="{00000000-0010-0000-2000-000052110000}" name="Column4407"/>
    <tableColumn id="4435" xr3:uid="{00000000-0010-0000-2000-000053110000}" name="Column4408"/>
    <tableColumn id="4436" xr3:uid="{00000000-0010-0000-2000-000054110000}" name="Column4409"/>
    <tableColumn id="4437" xr3:uid="{00000000-0010-0000-2000-000055110000}" name="Column4410"/>
    <tableColumn id="4438" xr3:uid="{00000000-0010-0000-2000-000056110000}" name="Column4411"/>
    <tableColumn id="4439" xr3:uid="{00000000-0010-0000-2000-000057110000}" name="Column4412"/>
    <tableColumn id="4440" xr3:uid="{00000000-0010-0000-2000-000058110000}" name="Column4413"/>
    <tableColumn id="4441" xr3:uid="{00000000-0010-0000-2000-000059110000}" name="Column4414"/>
    <tableColumn id="4442" xr3:uid="{00000000-0010-0000-2000-00005A110000}" name="Column4415"/>
    <tableColumn id="4443" xr3:uid="{00000000-0010-0000-2000-00005B110000}" name="Column4416"/>
    <tableColumn id="4444" xr3:uid="{00000000-0010-0000-2000-00005C110000}" name="Column4417"/>
    <tableColumn id="4445" xr3:uid="{00000000-0010-0000-2000-00005D110000}" name="Column4418"/>
    <tableColumn id="4446" xr3:uid="{00000000-0010-0000-2000-00005E110000}" name="Column4419"/>
    <tableColumn id="4447" xr3:uid="{00000000-0010-0000-2000-00005F110000}" name="Column4420"/>
    <tableColumn id="4448" xr3:uid="{00000000-0010-0000-2000-000060110000}" name="Column4421"/>
    <tableColumn id="4449" xr3:uid="{00000000-0010-0000-2000-000061110000}" name="Column4422"/>
    <tableColumn id="4450" xr3:uid="{00000000-0010-0000-2000-000062110000}" name="Column4423"/>
    <tableColumn id="4451" xr3:uid="{00000000-0010-0000-2000-000063110000}" name="Column4424"/>
    <tableColumn id="4452" xr3:uid="{00000000-0010-0000-2000-000064110000}" name="Column4425"/>
    <tableColumn id="4453" xr3:uid="{00000000-0010-0000-2000-000065110000}" name="Column4426"/>
    <tableColumn id="4454" xr3:uid="{00000000-0010-0000-2000-000066110000}" name="Column4427"/>
    <tableColumn id="4455" xr3:uid="{00000000-0010-0000-2000-000067110000}" name="Column4428"/>
    <tableColumn id="4456" xr3:uid="{00000000-0010-0000-2000-000068110000}" name="Column4429"/>
    <tableColumn id="4457" xr3:uid="{00000000-0010-0000-2000-000069110000}" name="Column4430"/>
    <tableColumn id="4458" xr3:uid="{00000000-0010-0000-2000-00006A110000}" name="Column4431"/>
    <tableColumn id="4459" xr3:uid="{00000000-0010-0000-2000-00006B110000}" name="Column4432"/>
    <tableColumn id="4460" xr3:uid="{00000000-0010-0000-2000-00006C110000}" name="Column4433"/>
    <tableColumn id="4461" xr3:uid="{00000000-0010-0000-2000-00006D110000}" name="Column4434"/>
    <tableColumn id="4462" xr3:uid="{00000000-0010-0000-2000-00006E110000}" name="Column4435"/>
    <tableColumn id="4463" xr3:uid="{00000000-0010-0000-2000-00006F110000}" name="Column4436"/>
    <tableColumn id="4464" xr3:uid="{00000000-0010-0000-2000-000070110000}" name="Column4437"/>
    <tableColumn id="4465" xr3:uid="{00000000-0010-0000-2000-000071110000}" name="Column4438"/>
    <tableColumn id="4466" xr3:uid="{00000000-0010-0000-2000-000072110000}" name="Column4439"/>
    <tableColumn id="4467" xr3:uid="{00000000-0010-0000-2000-000073110000}" name="Column4440"/>
    <tableColumn id="4468" xr3:uid="{00000000-0010-0000-2000-000074110000}" name="Column4441"/>
    <tableColumn id="4469" xr3:uid="{00000000-0010-0000-2000-000075110000}" name="Column4442"/>
    <tableColumn id="4470" xr3:uid="{00000000-0010-0000-2000-000076110000}" name="Column4443"/>
    <tableColumn id="4471" xr3:uid="{00000000-0010-0000-2000-000077110000}" name="Column4444"/>
    <tableColumn id="4472" xr3:uid="{00000000-0010-0000-2000-000078110000}" name="Column4445"/>
    <tableColumn id="4473" xr3:uid="{00000000-0010-0000-2000-000079110000}" name="Column4446"/>
    <tableColumn id="4474" xr3:uid="{00000000-0010-0000-2000-00007A110000}" name="Column4447"/>
    <tableColumn id="4475" xr3:uid="{00000000-0010-0000-2000-00007B110000}" name="Column4448"/>
    <tableColumn id="4476" xr3:uid="{00000000-0010-0000-2000-00007C110000}" name="Column4449"/>
    <tableColumn id="4477" xr3:uid="{00000000-0010-0000-2000-00007D110000}" name="Column4450"/>
    <tableColumn id="4478" xr3:uid="{00000000-0010-0000-2000-00007E110000}" name="Column4451"/>
    <tableColumn id="4479" xr3:uid="{00000000-0010-0000-2000-00007F110000}" name="Column4452"/>
    <tableColumn id="4480" xr3:uid="{00000000-0010-0000-2000-000080110000}" name="Column4453"/>
    <tableColumn id="4481" xr3:uid="{00000000-0010-0000-2000-000081110000}" name="Column4454"/>
    <tableColumn id="4482" xr3:uid="{00000000-0010-0000-2000-000082110000}" name="Column4455"/>
    <tableColumn id="4483" xr3:uid="{00000000-0010-0000-2000-000083110000}" name="Column4456"/>
    <tableColumn id="4484" xr3:uid="{00000000-0010-0000-2000-000084110000}" name="Column4457"/>
    <tableColumn id="4485" xr3:uid="{00000000-0010-0000-2000-000085110000}" name="Column4458"/>
    <tableColumn id="4486" xr3:uid="{00000000-0010-0000-2000-000086110000}" name="Column4459"/>
    <tableColumn id="4487" xr3:uid="{00000000-0010-0000-2000-000087110000}" name="Column4460"/>
    <tableColumn id="4488" xr3:uid="{00000000-0010-0000-2000-000088110000}" name="Column4461"/>
    <tableColumn id="4489" xr3:uid="{00000000-0010-0000-2000-000089110000}" name="Column4462"/>
    <tableColumn id="4490" xr3:uid="{00000000-0010-0000-2000-00008A110000}" name="Column4463"/>
    <tableColumn id="4491" xr3:uid="{00000000-0010-0000-2000-00008B110000}" name="Column4464"/>
    <tableColumn id="4492" xr3:uid="{00000000-0010-0000-2000-00008C110000}" name="Column4465"/>
    <tableColumn id="4493" xr3:uid="{00000000-0010-0000-2000-00008D110000}" name="Column4466"/>
    <tableColumn id="4494" xr3:uid="{00000000-0010-0000-2000-00008E110000}" name="Column4467"/>
    <tableColumn id="4495" xr3:uid="{00000000-0010-0000-2000-00008F110000}" name="Column4468"/>
    <tableColumn id="4496" xr3:uid="{00000000-0010-0000-2000-000090110000}" name="Column4469"/>
    <tableColumn id="4497" xr3:uid="{00000000-0010-0000-2000-000091110000}" name="Column4470"/>
    <tableColumn id="4498" xr3:uid="{00000000-0010-0000-2000-000092110000}" name="Column4471"/>
    <tableColumn id="4499" xr3:uid="{00000000-0010-0000-2000-000093110000}" name="Column4472"/>
    <tableColumn id="4500" xr3:uid="{00000000-0010-0000-2000-000094110000}" name="Column4473"/>
    <tableColumn id="4501" xr3:uid="{00000000-0010-0000-2000-000095110000}" name="Column4474"/>
    <tableColumn id="4502" xr3:uid="{00000000-0010-0000-2000-000096110000}" name="Column4475"/>
    <tableColumn id="4503" xr3:uid="{00000000-0010-0000-2000-000097110000}" name="Column4476"/>
    <tableColumn id="4504" xr3:uid="{00000000-0010-0000-2000-000098110000}" name="Column4477"/>
    <tableColumn id="4505" xr3:uid="{00000000-0010-0000-2000-000099110000}" name="Column4478"/>
    <tableColumn id="4506" xr3:uid="{00000000-0010-0000-2000-00009A110000}" name="Column4479"/>
    <tableColumn id="4507" xr3:uid="{00000000-0010-0000-2000-00009B110000}" name="Column4480"/>
    <tableColumn id="4508" xr3:uid="{00000000-0010-0000-2000-00009C110000}" name="Column4481"/>
    <tableColumn id="4509" xr3:uid="{00000000-0010-0000-2000-00009D110000}" name="Column4482"/>
    <tableColumn id="4510" xr3:uid="{00000000-0010-0000-2000-00009E110000}" name="Column4483"/>
    <tableColumn id="4511" xr3:uid="{00000000-0010-0000-2000-00009F110000}" name="Column4484"/>
    <tableColumn id="4512" xr3:uid="{00000000-0010-0000-2000-0000A0110000}" name="Column4485"/>
    <tableColumn id="4513" xr3:uid="{00000000-0010-0000-2000-0000A1110000}" name="Column4486"/>
    <tableColumn id="4514" xr3:uid="{00000000-0010-0000-2000-0000A2110000}" name="Column4487"/>
    <tableColumn id="4515" xr3:uid="{00000000-0010-0000-2000-0000A3110000}" name="Column4488"/>
    <tableColumn id="4516" xr3:uid="{00000000-0010-0000-2000-0000A4110000}" name="Column4489"/>
    <tableColumn id="4517" xr3:uid="{00000000-0010-0000-2000-0000A5110000}" name="Column4490"/>
    <tableColumn id="4518" xr3:uid="{00000000-0010-0000-2000-0000A6110000}" name="Column4491"/>
    <tableColumn id="4519" xr3:uid="{00000000-0010-0000-2000-0000A7110000}" name="Column4492"/>
    <tableColumn id="4520" xr3:uid="{00000000-0010-0000-2000-0000A8110000}" name="Column4493"/>
    <tableColumn id="4521" xr3:uid="{00000000-0010-0000-2000-0000A9110000}" name="Column4494"/>
    <tableColumn id="4522" xr3:uid="{00000000-0010-0000-2000-0000AA110000}" name="Column4495"/>
    <tableColumn id="4523" xr3:uid="{00000000-0010-0000-2000-0000AB110000}" name="Column4496"/>
    <tableColumn id="4524" xr3:uid="{00000000-0010-0000-2000-0000AC110000}" name="Column4497"/>
    <tableColumn id="4525" xr3:uid="{00000000-0010-0000-2000-0000AD110000}" name="Column4498"/>
    <tableColumn id="4526" xr3:uid="{00000000-0010-0000-2000-0000AE110000}" name="Column4499"/>
    <tableColumn id="4527" xr3:uid="{00000000-0010-0000-2000-0000AF110000}" name="Column4500"/>
    <tableColumn id="4528" xr3:uid="{00000000-0010-0000-2000-0000B0110000}" name="Column4501"/>
    <tableColumn id="4529" xr3:uid="{00000000-0010-0000-2000-0000B1110000}" name="Column4502"/>
    <tableColumn id="4530" xr3:uid="{00000000-0010-0000-2000-0000B2110000}" name="Column4503"/>
    <tableColumn id="4531" xr3:uid="{00000000-0010-0000-2000-0000B3110000}" name="Column4504"/>
    <tableColumn id="4532" xr3:uid="{00000000-0010-0000-2000-0000B4110000}" name="Column4505"/>
    <tableColumn id="4533" xr3:uid="{00000000-0010-0000-2000-0000B5110000}" name="Column4506"/>
    <tableColumn id="4534" xr3:uid="{00000000-0010-0000-2000-0000B6110000}" name="Column4507"/>
    <tableColumn id="4535" xr3:uid="{00000000-0010-0000-2000-0000B7110000}" name="Column4508"/>
    <tableColumn id="4536" xr3:uid="{00000000-0010-0000-2000-0000B8110000}" name="Column4509"/>
    <tableColumn id="4537" xr3:uid="{00000000-0010-0000-2000-0000B9110000}" name="Column4510"/>
    <tableColumn id="4538" xr3:uid="{00000000-0010-0000-2000-0000BA110000}" name="Column4511"/>
    <tableColumn id="4539" xr3:uid="{00000000-0010-0000-2000-0000BB110000}" name="Column4512"/>
    <tableColumn id="4540" xr3:uid="{00000000-0010-0000-2000-0000BC110000}" name="Column4513"/>
    <tableColumn id="4541" xr3:uid="{00000000-0010-0000-2000-0000BD110000}" name="Column4514"/>
    <tableColumn id="4542" xr3:uid="{00000000-0010-0000-2000-0000BE110000}" name="Column4515"/>
    <tableColumn id="4543" xr3:uid="{00000000-0010-0000-2000-0000BF110000}" name="Column4516"/>
    <tableColumn id="4544" xr3:uid="{00000000-0010-0000-2000-0000C0110000}" name="Column4517"/>
    <tableColumn id="4545" xr3:uid="{00000000-0010-0000-2000-0000C1110000}" name="Column4518"/>
    <tableColumn id="4546" xr3:uid="{00000000-0010-0000-2000-0000C2110000}" name="Column4519"/>
    <tableColumn id="4547" xr3:uid="{00000000-0010-0000-2000-0000C3110000}" name="Column4520"/>
    <tableColumn id="4548" xr3:uid="{00000000-0010-0000-2000-0000C4110000}" name="Column4521"/>
    <tableColumn id="4549" xr3:uid="{00000000-0010-0000-2000-0000C5110000}" name="Column4522"/>
    <tableColumn id="4550" xr3:uid="{00000000-0010-0000-2000-0000C6110000}" name="Column4523"/>
    <tableColumn id="4551" xr3:uid="{00000000-0010-0000-2000-0000C7110000}" name="Column4524"/>
    <tableColumn id="4552" xr3:uid="{00000000-0010-0000-2000-0000C8110000}" name="Column4525"/>
    <tableColumn id="4553" xr3:uid="{00000000-0010-0000-2000-0000C9110000}" name="Column4526"/>
    <tableColumn id="4554" xr3:uid="{00000000-0010-0000-2000-0000CA110000}" name="Column4527"/>
    <tableColumn id="4555" xr3:uid="{00000000-0010-0000-2000-0000CB110000}" name="Column4528"/>
    <tableColumn id="4556" xr3:uid="{00000000-0010-0000-2000-0000CC110000}" name="Column4529"/>
    <tableColumn id="4557" xr3:uid="{00000000-0010-0000-2000-0000CD110000}" name="Column4530"/>
    <tableColumn id="4558" xr3:uid="{00000000-0010-0000-2000-0000CE110000}" name="Column4531"/>
    <tableColumn id="4559" xr3:uid="{00000000-0010-0000-2000-0000CF110000}" name="Column4532"/>
    <tableColumn id="4560" xr3:uid="{00000000-0010-0000-2000-0000D0110000}" name="Column4533"/>
    <tableColumn id="4561" xr3:uid="{00000000-0010-0000-2000-0000D1110000}" name="Column4534"/>
    <tableColumn id="4562" xr3:uid="{00000000-0010-0000-2000-0000D2110000}" name="Column4535"/>
    <tableColumn id="4563" xr3:uid="{00000000-0010-0000-2000-0000D3110000}" name="Column4536"/>
    <tableColumn id="4564" xr3:uid="{00000000-0010-0000-2000-0000D4110000}" name="Column4537"/>
    <tableColumn id="4565" xr3:uid="{00000000-0010-0000-2000-0000D5110000}" name="Column4538"/>
    <tableColumn id="4566" xr3:uid="{00000000-0010-0000-2000-0000D6110000}" name="Column4539"/>
    <tableColumn id="4567" xr3:uid="{00000000-0010-0000-2000-0000D7110000}" name="Column4540"/>
    <tableColumn id="4568" xr3:uid="{00000000-0010-0000-2000-0000D8110000}" name="Column4541"/>
    <tableColumn id="4569" xr3:uid="{00000000-0010-0000-2000-0000D9110000}" name="Column4542"/>
    <tableColumn id="4570" xr3:uid="{00000000-0010-0000-2000-0000DA110000}" name="Column4543"/>
    <tableColumn id="4571" xr3:uid="{00000000-0010-0000-2000-0000DB110000}" name="Column4544"/>
    <tableColumn id="4572" xr3:uid="{00000000-0010-0000-2000-0000DC110000}" name="Column4545"/>
    <tableColumn id="4573" xr3:uid="{00000000-0010-0000-2000-0000DD110000}" name="Column4546"/>
    <tableColumn id="4574" xr3:uid="{00000000-0010-0000-2000-0000DE110000}" name="Column4547"/>
    <tableColumn id="4575" xr3:uid="{00000000-0010-0000-2000-0000DF110000}" name="Column4548"/>
    <tableColumn id="4576" xr3:uid="{00000000-0010-0000-2000-0000E0110000}" name="Column4549"/>
    <tableColumn id="4577" xr3:uid="{00000000-0010-0000-2000-0000E1110000}" name="Column4550"/>
    <tableColumn id="4578" xr3:uid="{00000000-0010-0000-2000-0000E2110000}" name="Column4551"/>
    <tableColumn id="4579" xr3:uid="{00000000-0010-0000-2000-0000E3110000}" name="Column4552"/>
    <tableColumn id="4580" xr3:uid="{00000000-0010-0000-2000-0000E4110000}" name="Column4553"/>
    <tableColumn id="4581" xr3:uid="{00000000-0010-0000-2000-0000E5110000}" name="Column4554"/>
    <tableColumn id="4582" xr3:uid="{00000000-0010-0000-2000-0000E6110000}" name="Column4555"/>
    <tableColumn id="4583" xr3:uid="{00000000-0010-0000-2000-0000E7110000}" name="Column4556"/>
    <tableColumn id="4584" xr3:uid="{00000000-0010-0000-2000-0000E8110000}" name="Column4557"/>
    <tableColumn id="4585" xr3:uid="{00000000-0010-0000-2000-0000E9110000}" name="Column4558"/>
    <tableColumn id="4586" xr3:uid="{00000000-0010-0000-2000-0000EA110000}" name="Column4559"/>
    <tableColumn id="4587" xr3:uid="{00000000-0010-0000-2000-0000EB110000}" name="Column4560"/>
    <tableColumn id="4588" xr3:uid="{00000000-0010-0000-2000-0000EC110000}" name="Column4561"/>
    <tableColumn id="4589" xr3:uid="{00000000-0010-0000-2000-0000ED110000}" name="Column4562"/>
    <tableColumn id="4590" xr3:uid="{00000000-0010-0000-2000-0000EE110000}" name="Column4563"/>
    <tableColumn id="4591" xr3:uid="{00000000-0010-0000-2000-0000EF110000}" name="Column4564"/>
    <tableColumn id="4592" xr3:uid="{00000000-0010-0000-2000-0000F0110000}" name="Column4565"/>
    <tableColumn id="4593" xr3:uid="{00000000-0010-0000-2000-0000F1110000}" name="Column4566"/>
    <tableColumn id="4594" xr3:uid="{00000000-0010-0000-2000-0000F2110000}" name="Column4567"/>
    <tableColumn id="4595" xr3:uid="{00000000-0010-0000-2000-0000F3110000}" name="Column4568"/>
    <tableColumn id="4596" xr3:uid="{00000000-0010-0000-2000-0000F4110000}" name="Column4569"/>
    <tableColumn id="4597" xr3:uid="{00000000-0010-0000-2000-0000F5110000}" name="Column4570"/>
    <tableColumn id="4598" xr3:uid="{00000000-0010-0000-2000-0000F6110000}" name="Column4571"/>
    <tableColumn id="4599" xr3:uid="{00000000-0010-0000-2000-0000F7110000}" name="Column4572"/>
    <tableColumn id="4600" xr3:uid="{00000000-0010-0000-2000-0000F8110000}" name="Column4573"/>
    <tableColumn id="4601" xr3:uid="{00000000-0010-0000-2000-0000F9110000}" name="Column4574"/>
    <tableColumn id="4602" xr3:uid="{00000000-0010-0000-2000-0000FA110000}" name="Column4575"/>
    <tableColumn id="4603" xr3:uid="{00000000-0010-0000-2000-0000FB110000}" name="Column4576"/>
    <tableColumn id="4604" xr3:uid="{00000000-0010-0000-2000-0000FC110000}" name="Column4577"/>
    <tableColumn id="4605" xr3:uid="{00000000-0010-0000-2000-0000FD110000}" name="Column4578"/>
    <tableColumn id="4606" xr3:uid="{00000000-0010-0000-2000-0000FE110000}" name="Column4579"/>
    <tableColumn id="4607" xr3:uid="{00000000-0010-0000-2000-0000FF110000}" name="Column4580"/>
    <tableColumn id="4608" xr3:uid="{00000000-0010-0000-2000-000000120000}" name="Column4581"/>
    <tableColumn id="4609" xr3:uid="{00000000-0010-0000-2000-000001120000}" name="Column4582"/>
    <tableColumn id="4610" xr3:uid="{00000000-0010-0000-2000-000002120000}" name="Column4583"/>
    <tableColumn id="4611" xr3:uid="{00000000-0010-0000-2000-000003120000}" name="Column4584"/>
    <tableColumn id="4612" xr3:uid="{00000000-0010-0000-2000-000004120000}" name="Column4585"/>
    <tableColumn id="4613" xr3:uid="{00000000-0010-0000-2000-000005120000}" name="Column4586"/>
    <tableColumn id="4614" xr3:uid="{00000000-0010-0000-2000-000006120000}" name="Column4587"/>
    <tableColumn id="4615" xr3:uid="{00000000-0010-0000-2000-000007120000}" name="Column4588"/>
    <tableColumn id="4616" xr3:uid="{00000000-0010-0000-2000-000008120000}" name="Column4589"/>
    <tableColumn id="4617" xr3:uid="{00000000-0010-0000-2000-000009120000}" name="Column4590"/>
    <tableColumn id="4618" xr3:uid="{00000000-0010-0000-2000-00000A120000}" name="Column4591"/>
    <tableColumn id="4619" xr3:uid="{00000000-0010-0000-2000-00000B120000}" name="Column4592"/>
    <tableColumn id="4620" xr3:uid="{00000000-0010-0000-2000-00000C120000}" name="Column4593"/>
    <tableColumn id="4621" xr3:uid="{00000000-0010-0000-2000-00000D120000}" name="Column4594"/>
    <tableColumn id="4622" xr3:uid="{00000000-0010-0000-2000-00000E120000}" name="Column4595"/>
    <tableColumn id="4623" xr3:uid="{00000000-0010-0000-2000-00000F120000}" name="Column4596"/>
    <tableColumn id="4624" xr3:uid="{00000000-0010-0000-2000-000010120000}" name="Column4597"/>
    <tableColumn id="4625" xr3:uid="{00000000-0010-0000-2000-000011120000}" name="Column4598"/>
    <tableColumn id="4626" xr3:uid="{00000000-0010-0000-2000-000012120000}" name="Column4599"/>
    <tableColumn id="4627" xr3:uid="{00000000-0010-0000-2000-000013120000}" name="Column4600"/>
    <tableColumn id="4628" xr3:uid="{00000000-0010-0000-2000-000014120000}" name="Column4601"/>
    <tableColumn id="4629" xr3:uid="{00000000-0010-0000-2000-000015120000}" name="Column4602"/>
    <tableColumn id="4630" xr3:uid="{00000000-0010-0000-2000-000016120000}" name="Column4603"/>
    <tableColumn id="4631" xr3:uid="{00000000-0010-0000-2000-000017120000}" name="Column4604"/>
    <tableColumn id="4632" xr3:uid="{00000000-0010-0000-2000-000018120000}" name="Column4605"/>
    <tableColumn id="4633" xr3:uid="{00000000-0010-0000-2000-000019120000}" name="Column4606"/>
    <tableColumn id="4634" xr3:uid="{00000000-0010-0000-2000-00001A120000}" name="Column4607"/>
    <tableColumn id="4635" xr3:uid="{00000000-0010-0000-2000-00001B120000}" name="Column4608"/>
    <tableColumn id="4636" xr3:uid="{00000000-0010-0000-2000-00001C120000}" name="Column4609"/>
    <tableColumn id="4637" xr3:uid="{00000000-0010-0000-2000-00001D120000}" name="Column4610"/>
    <tableColumn id="4638" xr3:uid="{00000000-0010-0000-2000-00001E120000}" name="Column4611"/>
    <tableColumn id="4639" xr3:uid="{00000000-0010-0000-2000-00001F120000}" name="Column4612"/>
    <tableColumn id="4640" xr3:uid="{00000000-0010-0000-2000-000020120000}" name="Column4613"/>
    <tableColumn id="4641" xr3:uid="{00000000-0010-0000-2000-000021120000}" name="Column4614"/>
    <tableColumn id="4642" xr3:uid="{00000000-0010-0000-2000-000022120000}" name="Column4615"/>
    <tableColumn id="4643" xr3:uid="{00000000-0010-0000-2000-000023120000}" name="Column4616"/>
    <tableColumn id="4644" xr3:uid="{00000000-0010-0000-2000-000024120000}" name="Column4617"/>
    <tableColumn id="4645" xr3:uid="{00000000-0010-0000-2000-000025120000}" name="Column4618"/>
    <tableColumn id="4646" xr3:uid="{00000000-0010-0000-2000-000026120000}" name="Column4619"/>
    <tableColumn id="4647" xr3:uid="{00000000-0010-0000-2000-000027120000}" name="Column4620"/>
    <tableColumn id="4648" xr3:uid="{00000000-0010-0000-2000-000028120000}" name="Column4621"/>
    <tableColumn id="4649" xr3:uid="{00000000-0010-0000-2000-000029120000}" name="Column4622"/>
    <tableColumn id="4650" xr3:uid="{00000000-0010-0000-2000-00002A120000}" name="Column4623"/>
    <tableColumn id="4651" xr3:uid="{00000000-0010-0000-2000-00002B120000}" name="Column4624"/>
    <tableColumn id="4652" xr3:uid="{00000000-0010-0000-2000-00002C120000}" name="Column4625"/>
    <tableColumn id="4653" xr3:uid="{00000000-0010-0000-2000-00002D120000}" name="Column4626"/>
    <tableColumn id="4654" xr3:uid="{00000000-0010-0000-2000-00002E120000}" name="Column4627"/>
    <tableColumn id="4655" xr3:uid="{00000000-0010-0000-2000-00002F120000}" name="Column4628"/>
    <tableColumn id="4656" xr3:uid="{00000000-0010-0000-2000-000030120000}" name="Column4629"/>
    <tableColumn id="4657" xr3:uid="{00000000-0010-0000-2000-000031120000}" name="Column4630"/>
    <tableColumn id="4658" xr3:uid="{00000000-0010-0000-2000-000032120000}" name="Column4631"/>
    <tableColumn id="4659" xr3:uid="{00000000-0010-0000-2000-000033120000}" name="Column4632"/>
    <tableColumn id="4660" xr3:uid="{00000000-0010-0000-2000-000034120000}" name="Column4633"/>
    <tableColumn id="4661" xr3:uid="{00000000-0010-0000-2000-000035120000}" name="Column4634"/>
    <tableColumn id="4662" xr3:uid="{00000000-0010-0000-2000-000036120000}" name="Column4635"/>
    <tableColumn id="4663" xr3:uid="{00000000-0010-0000-2000-000037120000}" name="Column4636"/>
    <tableColumn id="4664" xr3:uid="{00000000-0010-0000-2000-000038120000}" name="Column4637"/>
    <tableColumn id="4665" xr3:uid="{00000000-0010-0000-2000-000039120000}" name="Column4638"/>
    <tableColumn id="4666" xr3:uid="{00000000-0010-0000-2000-00003A120000}" name="Column4639"/>
    <tableColumn id="4667" xr3:uid="{00000000-0010-0000-2000-00003B120000}" name="Column4640"/>
    <tableColumn id="4668" xr3:uid="{00000000-0010-0000-2000-00003C120000}" name="Column4641"/>
    <tableColumn id="4669" xr3:uid="{00000000-0010-0000-2000-00003D120000}" name="Column4642"/>
    <tableColumn id="4670" xr3:uid="{00000000-0010-0000-2000-00003E120000}" name="Column4643"/>
    <tableColumn id="4671" xr3:uid="{00000000-0010-0000-2000-00003F120000}" name="Column4644"/>
    <tableColumn id="4672" xr3:uid="{00000000-0010-0000-2000-000040120000}" name="Column4645"/>
    <tableColumn id="4673" xr3:uid="{00000000-0010-0000-2000-000041120000}" name="Column4646"/>
    <tableColumn id="4674" xr3:uid="{00000000-0010-0000-2000-000042120000}" name="Column4647"/>
    <tableColumn id="4675" xr3:uid="{00000000-0010-0000-2000-000043120000}" name="Column4648"/>
    <tableColumn id="4676" xr3:uid="{00000000-0010-0000-2000-000044120000}" name="Column4649"/>
    <tableColumn id="4677" xr3:uid="{00000000-0010-0000-2000-000045120000}" name="Column4650"/>
    <tableColumn id="4678" xr3:uid="{00000000-0010-0000-2000-000046120000}" name="Column4651"/>
    <tableColumn id="4679" xr3:uid="{00000000-0010-0000-2000-000047120000}" name="Column4652"/>
    <tableColumn id="4680" xr3:uid="{00000000-0010-0000-2000-000048120000}" name="Column4653"/>
    <tableColumn id="4681" xr3:uid="{00000000-0010-0000-2000-000049120000}" name="Column4654"/>
    <tableColumn id="4682" xr3:uid="{00000000-0010-0000-2000-00004A120000}" name="Column4655"/>
    <tableColumn id="4683" xr3:uid="{00000000-0010-0000-2000-00004B120000}" name="Column4656"/>
    <tableColumn id="4684" xr3:uid="{00000000-0010-0000-2000-00004C120000}" name="Column4657"/>
    <tableColumn id="4685" xr3:uid="{00000000-0010-0000-2000-00004D120000}" name="Column4658"/>
    <tableColumn id="4686" xr3:uid="{00000000-0010-0000-2000-00004E120000}" name="Column4659"/>
    <tableColumn id="4687" xr3:uid="{00000000-0010-0000-2000-00004F120000}" name="Column4660"/>
    <tableColumn id="4688" xr3:uid="{00000000-0010-0000-2000-000050120000}" name="Column4661"/>
    <tableColumn id="4689" xr3:uid="{00000000-0010-0000-2000-000051120000}" name="Column4662"/>
    <tableColumn id="4690" xr3:uid="{00000000-0010-0000-2000-000052120000}" name="Column4663"/>
    <tableColumn id="4691" xr3:uid="{00000000-0010-0000-2000-000053120000}" name="Column4664"/>
    <tableColumn id="4692" xr3:uid="{00000000-0010-0000-2000-000054120000}" name="Column4665"/>
    <tableColumn id="4693" xr3:uid="{00000000-0010-0000-2000-000055120000}" name="Column4666"/>
    <tableColumn id="4694" xr3:uid="{00000000-0010-0000-2000-000056120000}" name="Column4667"/>
    <tableColumn id="4695" xr3:uid="{00000000-0010-0000-2000-000057120000}" name="Column4668"/>
    <tableColumn id="4696" xr3:uid="{00000000-0010-0000-2000-000058120000}" name="Column4669"/>
    <tableColumn id="4697" xr3:uid="{00000000-0010-0000-2000-000059120000}" name="Column4670"/>
    <tableColumn id="4698" xr3:uid="{00000000-0010-0000-2000-00005A120000}" name="Column4671"/>
    <tableColumn id="4699" xr3:uid="{00000000-0010-0000-2000-00005B120000}" name="Column4672"/>
    <tableColumn id="4700" xr3:uid="{00000000-0010-0000-2000-00005C120000}" name="Column4673"/>
    <tableColumn id="4701" xr3:uid="{00000000-0010-0000-2000-00005D120000}" name="Column4674"/>
    <tableColumn id="4702" xr3:uid="{00000000-0010-0000-2000-00005E120000}" name="Column4675"/>
    <tableColumn id="4703" xr3:uid="{00000000-0010-0000-2000-00005F120000}" name="Column4676"/>
    <tableColumn id="4704" xr3:uid="{00000000-0010-0000-2000-000060120000}" name="Column4677"/>
    <tableColumn id="4705" xr3:uid="{00000000-0010-0000-2000-000061120000}" name="Column4678"/>
    <tableColumn id="4706" xr3:uid="{00000000-0010-0000-2000-000062120000}" name="Column4679"/>
    <tableColumn id="4707" xr3:uid="{00000000-0010-0000-2000-000063120000}" name="Column4680"/>
    <tableColumn id="4708" xr3:uid="{00000000-0010-0000-2000-000064120000}" name="Column4681"/>
    <tableColumn id="4709" xr3:uid="{00000000-0010-0000-2000-000065120000}" name="Column4682"/>
    <tableColumn id="4710" xr3:uid="{00000000-0010-0000-2000-000066120000}" name="Column4683"/>
    <tableColumn id="4711" xr3:uid="{00000000-0010-0000-2000-000067120000}" name="Column4684"/>
    <tableColumn id="4712" xr3:uid="{00000000-0010-0000-2000-000068120000}" name="Column4685"/>
    <tableColumn id="4713" xr3:uid="{00000000-0010-0000-2000-000069120000}" name="Column4686"/>
    <tableColumn id="4714" xr3:uid="{00000000-0010-0000-2000-00006A120000}" name="Column4687"/>
    <tableColumn id="4715" xr3:uid="{00000000-0010-0000-2000-00006B120000}" name="Column4688"/>
    <tableColumn id="4716" xr3:uid="{00000000-0010-0000-2000-00006C120000}" name="Column4689"/>
    <tableColumn id="4717" xr3:uid="{00000000-0010-0000-2000-00006D120000}" name="Column4690"/>
    <tableColumn id="4718" xr3:uid="{00000000-0010-0000-2000-00006E120000}" name="Column4691"/>
    <tableColumn id="4719" xr3:uid="{00000000-0010-0000-2000-00006F120000}" name="Column4692"/>
    <tableColumn id="4720" xr3:uid="{00000000-0010-0000-2000-000070120000}" name="Column4693"/>
    <tableColumn id="4721" xr3:uid="{00000000-0010-0000-2000-000071120000}" name="Column4694"/>
    <tableColumn id="4722" xr3:uid="{00000000-0010-0000-2000-000072120000}" name="Column4695"/>
    <tableColumn id="4723" xr3:uid="{00000000-0010-0000-2000-000073120000}" name="Column4696"/>
    <tableColumn id="4724" xr3:uid="{00000000-0010-0000-2000-000074120000}" name="Column4697"/>
    <tableColumn id="4725" xr3:uid="{00000000-0010-0000-2000-000075120000}" name="Column4698"/>
    <tableColumn id="4726" xr3:uid="{00000000-0010-0000-2000-000076120000}" name="Column4699"/>
    <tableColumn id="4727" xr3:uid="{00000000-0010-0000-2000-000077120000}" name="Column4700"/>
    <tableColumn id="4728" xr3:uid="{00000000-0010-0000-2000-000078120000}" name="Column4701"/>
    <tableColumn id="4729" xr3:uid="{00000000-0010-0000-2000-000079120000}" name="Column4702"/>
    <tableColumn id="4730" xr3:uid="{00000000-0010-0000-2000-00007A120000}" name="Column4703"/>
    <tableColumn id="4731" xr3:uid="{00000000-0010-0000-2000-00007B120000}" name="Column4704"/>
    <tableColumn id="4732" xr3:uid="{00000000-0010-0000-2000-00007C120000}" name="Column4705"/>
    <tableColumn id="4733" xr3:uid="{00000000-0010-0000-2000-00007D120000}" name="Column4706"/>
    <tableColumn id="4734" xr3:uid="{00000000-0010-0000-2000-00007E120000}" name="Column4707"/>
    <tableColumn id="4735" xr3:uid="{00000000-0010-0000-2000-00007F120000}" name="Column4708"/>
    <tableColumn id="4736" xr3:uid="{00000000-0010-0000-2000-000080120000}" name="Column4709"/>
    <tableColumn id="4737" xr3:uid="{00000000-0010-0000-2000-000081120000}" name="Column4710"/>
    <tableColumn id="4738" xr3:uid="{00000000-0010-0000-2000-000082120000}" name="Column4711"/>
    <tableColumn id="4739" xr3:uid="{00000000-0010-0000-2000-000083120000}" name="Column4712"/>
    <tableColumn id="4740" xr3:uid="{00000000-0010-0000-2000-000084120000}" name="Column4713"/>
    <tableColumn id="4741" xr3:uid="{00000000-0010-0000-2000-000085120000}" name="Column4714"/>
    <tableColumn id="4742" xr3:uid="{00000000-0010-0000-2000-000086120000}" name="Column4715"/>
    <tableColumn id="4743" xr3:uid="{00000000-0010-0000-2000-000087120000}" name="Column4716"/>
    <tableColumn id="4744" xr3:uid="{00000000-0010-0000-2000-000088120000}" name="Column4717"/>
    <tableColumn id="4745" xr3:uid="{00000000-0010-0000-2000-000089120000}" name="Column4718"/>
    <tableColumn id="4746" xr3:uid="{00000000-0010-0000-2000-00008A120000}" name="Column4719"/>
    <tableColumn id="4747" xr3:uid="{00000000-0010-0000-2000-00008B120000}" name="Column4720"/>
    <tableColumn id="4748" xr3:uid="{00000000-0010-0000-2000-00008C120000}" name="Column4721"/>
    <tableColumn id="4749" xr3:uid="{00000000-0010-0000-2000-00008D120000}" name="Column4722"/>
    <tableColumn id="4750" xr3:uid="{00000000-0010-0000-2000-00008E120000}" name="Column4723"/>
    <tableColumn id="4751" xr3:uid="{00000000-0010-0000-2000-00008F120000}" name="Column4724"/>
    <tableColumn id="4752" xr3:uid="{00000000-0010-0000-2000-000090120000}" name="Column4725"/>
    <tableColumn id="4753" xr3:uid="{00000000-0010-0000-2000-000091120000}" name="Column4726"/>
    <tableColumn id="4754" xr3:uid="{00000000-0010-0000-2000-000092120000}" name="Column4727"/>
    <tableColumn id="4755" xr3:uid="{00000000-0010-0000-2000-000093120000}" name="Column4728"/>
    <tableColumn id="4756" xr3:uid="{00000000-0010-0000-2000-000094120000}" name="Column4729"/>
    <tableColumn id="4757" xr3:uid="{00000000-0010-0000-2000-000095120000}" name="Column4730"/>
    <tableColumn id="4758" xr3:uid="{00000000-0010-0000-2000-000096120000}" name="Column4731"/>
    <tableColumn id="4759" xr3:uid="{00000000-0010-0000-2000-000097120000}" name="Column4732"/>
    <tableColumn id="4760" xr3:uid="{00000000-0010-0000-2000-000098120000}" name="Column4733"/>
    <tableColumn id="4761" xr3:uid="{00000000-0010-0000-2000-000099120000}" name="Column4734"/>
    <tableColumn id="4762" xr3:uid="{00000000-0010-0000-2000-00009A120000}" name="Column4735"/>
    <tableColumn id="4763" xr3:uid="{00000000-0010-0000-2000-00009B120000}" name="Column4736"/>
    <tableColumn id="4764" xr3:uid="{00000000-0010-0000-2000-00009C120000}" name="Column4737"/>
    <tableColumn id="4765" xr3:uid="{00000000-0010-0000-2000-00009D120000}" name="Column4738"/>
    <tableColumn id="4766" xr3:uid="{00000000-0010-0000-2000-00009E120000}" name="Column4739"/>
    <tableColumn id="4767" xr3:uid="{00000000-0010-0000-2000-00009F120000}" name="Column4740"/>
    <tableColumn id="4768" xr3:uid="{00000000-0010-0000-2000-0000A0120000}" name="Column4741"/>
    <tableColumn id="4769" xr3:uid="{00000000-0010-0000-2000-0000A1120000}" name="Column4742"/>
    <tableColumn id="4770" xr3:uid="{00000000-0010-0000-2000-0000A2120000}" name="Column4743"/>
    <tableColumn id="4771" xr3:uid="{00000000-0010-0000-2000-0000A3120000}" name="Column4744"/>
    <tableColumn id="4772" xr3:uid="{00000000-0010-0000-2000-0000A4120000}" name="Column4745"/>
    <tableColumn id="4773" xr3:uid="{00000000-0010-0000-2000-0000A5120000}" name="Column4746"/>
    <tableColumn id="4774" xr3:uid="{00000000-0010-0000-2000-0000A6120000}" name="Column4747"/>
    <tableColumn id="4775" xr3:uid="{00000000-0010-0000-2000-0000A7120000}" name="Column4748"/>
    <tableColumn id="4776" xr3:uid="{00000000-0010-0000-2000-0000A8120000}" name="Column4749"/>
    <tableColumn id="4777" xr3:uid="{00000000-0010-0000-2000-0000A9120000}" name="Column4750"/>
    <tableColumn id="4778" xr3:uid="{00000000-0010-0000-2000-0000AA120000}" name="Column4751"/>
    <tableColumn id="4779" xr3:uid="{00000000-0010-0000-2000-0000AB120000}" name="Column4752"/>
    <tableColumn id="4780" xr3:uid="{00000000-0010-0000-2000-0000AC120000}" name="Column4753"/>
    <tableColumn id="4781" xr3:uid="{00000000-0010-0000-2000-0000AD120000}" name="Column4754"/>
    <tableColumn id="4782" xr3:uid="{00000000-0010-0000-2000-0000AE120000}" name="Column4755"/>
    <tableColumn id="4783" xr3:uid="{00000000-0010-0000-2000-0000AF120000}" name="Column4756"/>
    <tableColumn id="4784" xr3:uid="{00000000-0010-0000-2000-0000B0120000}" name="Column4757"/>
    <tableColumn id="4785" xr3:uid="{00000000-0010-0000-2000-0000B1120000}" name="Column4758"/>
    <tableColumn id="4786" xr3:uid="{00000000-0010-0000-2000-0000B2120000}" name="Column4759"/>
    <tableColumn id="4787" xr3:uid="{00000000-0010-0000-2000-0000B3120000}" name="Column4760"/>
    <tableColumn id="4788" xr3:uid="{00000000-0010-0000-2000-0000B4120000}" name="Column4761"/>
    <tableColumn id="4789" xr3:uid="{00000000-0010-0000-2000-0000B5120000}" name="Column4762"/>
    <tableColumn id="4790" xr3:uid="{00000000-0010-0000-2000-0000B6120000}" name="Column4763"/>
    <tableColumn id="4791" xr3:uid="{00000000-0010-0000-2000-0000B7120000}" name="Column4764"/>
    <tableColumn id="4792" xr3:uid="{00000000-0010-0000-2000-0000B8120000}" name="Column4765"/>
    <tableColumn id="4793" xr3:uid="{00000000-0010-0000-2000-0000B9120000}" name="Column4766"/>
    <tableColumn id="4794" xr3:uid="{00000000-0010-0000-2000-0000BA120000}" name="Column4767"/>
    <tableColumn id="4795" xr3:uid="{00000000-0010-0000-2000-0000BB120000}" name="Column4768"/>
    <tableColumn id="4796" xr3:uid="{00000000-0010-0000-2000-0000BC120000}" name="Column4769"/>
    <tableColumn id="4797" xr3:uid="{00000000-0010-0000-2000-0000BD120000}" name="Column4770"/>
    <tableColumn id="4798" xr3:uid="{00000000-0010-0000-2000-0000BE120000}" name="Column4771"/>
    <tableColumn id="4799" xr3:uid="{00000000-0010-0000-2000-0000BF120000}" name="Column4772"/>
    <tableColumn id="4800" xr3:uid="{00000000-0010-0000-2000-0000C0120000}" name="Column4773"/>
    <tableColumn id="4801" xr3:uid="{00000000-0010-0000-2000-0000C1120000}" name="Column4774"/>
    <tableColumn id="4802" xr3:uid="{00000000-0010-0000-2000-0000C2120000}" name="Column4775"/>
    <tableColumn id="4803" xr3:uid="{00000000-0010-0000-2000-0000C3120000}" name="Column4776"/>
    <tableColumn id="4804" xr3:uid="{00000000-0010-0000-2000-0000C4120000}" name="Column4777"/>
    <tableColumn id="4805" xr3:uid="{00000000-0010-0000-2000-0000C5120000}" name="Column4778"/>
    <tableColumn id="4806" xr3:uid="{00000000-0010-0000-2000-0000C6120000}" name="Column4779"/>
    <tableColumn id="4807" xr3:uid="{00000000-0010-0000-2000-0000C7120000}" name="Column4780"/>
    <tableColumn id="4808" xr3:uid="{00000000-0010-0000-2000-0000C8120000}" name="Column4781"/>
    <tableColumn id="4809" xr3:uid="{00000000-0010-0000-2000-0000C9120000}" name="Column4782"/>
    <tableColumn id="4810" xr3:uid="{00000000-0010-0000-2000-0000CA120000}" name="Column4783"/>
    <tableColumn id="4811" xr3:uid="{00000000-0010-0000-2000-0000CB120000}" name="Column4784"/>
    <tableColumn id="4812" xr3:uid="{00000000-0010-0000-2000-0000CC120000}" name="Column4785"/>
    <tableColumn id="4813" xr3:uid="{00000000-0010-0000-2000-0000CD120000}" name="Column4786"/>
    <tableColumn id="4814" xr3:uid="{00000000-0010-0000-2000-0000CE120000}" name="Column4787"/>
    <tableColumn id="4815" xr3:uid="{00000000-0010-0000-2000-0000CF120000}" name="Column4788"/>
    <tableColumn id="4816" xr3:uid="{00000000-0010-0000-2000-0000D0120000}" name="Column4789"/>
    <tableColumn id="4817" xr3:uid="{00000000-0010-0000-2000-0000D1120000}" name="Column4790"/>
    <tableColumn id="4818" xr3:uid="{00000000-0010-0000-2000-0000D2120000}" name="Column4791"/>
    <tableColumn id="4819" xr3:uid="{00000000-0010-0000-2000-0000D3120000}" name="Column4792"/>
    <tableColumn id="4820" xr3:uid="{00000000-0010-0000-2000-0000D4120000}" name="Column4793"/>
    <tableColumn id="4821" xr3:uid="{00000000-0010-0000-2000-0000D5120000}" name="Column4794"/>
    <tableColumn id="4822" xr3:uid="{00000000-0010-0000-2000-0000D6120000}" name="Column4795"/>
    <tableColumn id="4823" xr3:uid="{00000000-0010-0000-2000-0000D7120000}" name="Column4796"/>
    <tableColumn id="4824" xr3:uid="{00000000-0010-0000-2000-0000D8120000}" name="Column4797"/>
    <tableColumn id="4825" xr3:uid="{00000000-0010-0000-2000-0000D9120000}" name="Column4798"/>
    <tableColumn id="4826" xr3:uid="{00000000-0010-0000-2000-0000DA120000}" name="Column4799"/>
    <tableColumn id="4827" xr3:uid="{00000000-0010-0000-2000-0000DB120000}" name="Column4800"/>
    <tableColumn id="4828" xr3:uid="{00000000-0010-0000-2000-0000DC120000}" name="Column4801"/>
    <tableColumn id="4829" xr3:uid="{00000000-0010-0000-2000-0000DD120000}" name="Column4802"/>
    <tableColumn id="4830" xr3:uid="{00000000-0010-0000-2000-0000DE120000}" name="Column4803"/>
    <tableColumn id="4831" xr3:uid="{00000000-0010-0000-2000-0000DF120000}" name="Column4804"/>
    <tableColumn id="4832" xr3:uid="{00000000-0010-0000-2000-0000E0120000}" name="Column4805"/>
    <tableColumn id="4833" xr3:uid="{00000000-0010-0000-2000-0000E1120000}" name="Column4806"/>
    <tableColumn id="4834" xr3:uid="{00000000-0010-0000-2000-0000E2120000}" name="Column4807"/>
    <tableColumn id="4835" xr3:uid="{00000000-0010-0000-2000-0000E3120000}" name="Column4808"/>
    <tableColumn id="4836" xr3:uid="{00000000-0010-0000-2000-0000E4120000}" name="Column4809"/>
    <tableColumn id="4837" xr3:uid="{00000000-0010-0000-2000-0000E5120000}" name="Column4810"/>
    <tableColumn id="4838" xr3:uid="{00000000-0010-0000-2000-0000E6120000}" name="Column4811"/>
    <tableColumn id="4839" xr3:uid="{00000000-0010-0000-2000-0000E7120000}" name="Column4812"/>
    <tableColumn id="4840" xr3:uid="{00000000-0010-0000-2000-0000E8120000}" name="Column4813"/>
    <tableColumn id="4841" xr3:uid="{00000000-0010-0000-2000-0000E9120000}" name="Column4814"/>
    <tableColumn id="4842" xr3:uid="{00000000-0010-0000-2000-0000EA120000}" name="Column4815"/>
    <tableColumn id="4843" xr3:uid="{00000000-0010-0000-2000-0000EB120000}" name="Column4816"/>
    <tableColumn id="4844" xr3:uid="{00000000-0010-0000-2000-0000EC120000}" name="Column4817"/>
    <tableColumn id="4845" xr3:uid="{00000000-0010-0000-2000-0000ED120000}" name="Column4818"/>
    <tableColumn id="4846" xr3:uid="{00000000-0010-0000-2000-0000EE120000}" name="Column4819"/>
    <tableColumn id="4847" xr3:uid="{00000000-0010-0000-2000-0000EF120000}" name="Column4820"/>
    <tableColumn id="4848" xr3:uid="{00000000-0010-0000-2000-0000F0120000}" name="Column4821"/>
    <tableColumn id="4849" xr3:uid="{00000000-0010-0000-2000-0000F1120000}" name="Column4822"/>
    <tableColumn id="4850" xr3:uid="{00000000-0010-0000-2000-0000F2120000}" name="Column4823"/>
    <tableColumn id="4851" xr3:uid="{00000000-0010-0000-2000-0000F3120000}" name="Column4824"/>
    <tableColumn id="4852" xr3:uid="{00000000-0010-0000-2000-0000F4120000}" name="Column4825"/>
    <tableColumn id="4853" xr3:uid="{00000000-0010-0000-2000-0000F5120000}" name="Column4826"/>
    <tableColumn id="4854" xr3:uid="{00000000-0010-0000-2000-0000F6120000}" name="Column4827"/>
    <tableColumn id="4855" xr3:uid="{00000000-0010-0000-2000-0000F7120000}" name="Column4828"/>
    <tableColumn id="4856" xr3:uid="{00000000-0010-0000-2000-0000F8120000}" name="Column4829"/>
    <tableColumn id="4857" xr3:uid="{00000000-0010-0000-2000-0000F9120000}" name="Column4830"/>
    <tableColumn id="4858" xr3:uid="{00000000-0010-0000-2000-0000FA120000}" name="Column4831"/>
    <tableColumn id="4859" xr3:uid="{00000000-0010-0000-2000-0000FB120000}" name="Column4832"/>
    <tableColumn id="4860" xr3:uid="{00000000-0010-0000-2000-0000FC120000}" name="Column4833"/>
    <tableColumn id="4861" xr3:uid="{00000000-0010-0000-2000-0000FD120000}" name="Column4834"/>
    <tableColumn id="4862" xr3:uid="{00000000-0010-0000-2000-0000FE120000}" name="Column4835"/>
    <tableColumn id="4863" xr3:uid="{00000000-0010-0000-2000-0000FF120000}" name="Column4836"/>
    <tableColumn id="4864" xr3:uid="{00000000-0010-0000-2000-000000130000}" name="Column4837"/>
    <tableColumn id="4865" xr3:uid="{00000000-0010-0000-2000-000001130000}" name="Column4838"/>
    <tableColumn id="4866" xr3:uid="{00000000-0010-0000-2000-000002130000}" name="Column4839"/>
    <tableColumn id="4867" xr3:uid="{00000000-0010-0000-2000-000003130000}" name="Column4840"/>
    <tableColumn id="4868" xr3:uid="{00000000-0010-0000-2000-000004130000}" name="Column4841"/>
    <tableColumn id="4869" xr3:uid="{00000000-0010-0000-2000-000005130000}" name="Column4842"/>
    <tableColumn id="4870" xr3:uid="{00000000-0010-0000-2000-000006130000}" name="Column4843"/>
    <tableColumn id="4871" xr3:uid="{00000000-0010-0000-2000-000007130000}" name="Column4844"/>
    <tableColumn id="4872" xr3:uid="{00000000-0010-0000-2000-000008130000}" name="Column4845"/>
    <tableColumn id="4873" xr3:uid="{00000000-0010-0000-2000-000009130000}" name="Column4846"/>
    <tableColumn id="4874" xr3:uid="{00000000-0010-0000-2000-00000A130000}" name="Column4847"/>
    <tableColumn id="4875" xr3:uid="{00000000-0010-0000-2000-00000B130000}" name="Column4848"/>
    <tableColumn id="4876" xr3:uid="{00000000-0010-0000-2000-00000C130000}" name="Column4849"/>
    <tableColumn id="4877" xr3:uid="{00000000-0010-0000-2000-00000D130000}" name="Column4850"/>
    <tableColumn id="4878" xr3:uid="{00000000-0010-0000-2000-00000E130000}" name="Column4851"/>
    <tableColumn id="4879" xr3:uid="{00000000-0010-0000-2000-00000F130000}" name="Column4852"/>
    <tableColumn id="4880" xr3:uid="{00000000-0010-0000-2000-000010130000}" name="Column4853"/>
    <tableColumn id="4881" xr3:uid="{00000000-0010-0000-2000-000011130000}" name="Column4854"/>
    <tableColumn id="4882" xr3:uid="{00000000-0010-0000-2000-000012130000}" name="Column4855"/>
    <tableColumn id="4883" xr3:uid="{00000000-0010-0000-2000-000013130000}" name="Column4856"/>
    <tableColumn id="4884" xr3:uid="{00000000-0010-0000-2000-000014130000}" name="Column4857"/>
    <tableColumn id="4885" xr3:uid="{00000000-0010-0000-2000-000015130000}" name="Column4858"/>
    <tableColumn id="4886" xr3:uid="{00000000-0010-0000-2000-000016130000}" name="Column4859"/>
    <tableColumn id="4887" xr3:uid="{00000000-0010-0000-2000-000017130000}" name="Column4860"/>
    <tableColumn id="4888" xr3:uid="{00000000-0010-0000-2000-000018130000}" name="Column4861"/>
    <tableColumn id="4889" xr3:uid="{00000000-0010-0000-2000-000019130000}" name="Column4862"/>
    <tableColumn id="4890" xr3:uid="{00000000-0010-0000-2000-00001A130000}" name="Column4863"/>
    <tableColumn id="4891" xr3:uid="{00000000-0010-0000-2000-00001B130000}" name="Column4864"/>
    <tableColumn id="4892" xr3:uid="{00000000-0010-0000-2000-00001C130000}" name="Column4865"/>
    <tableColumn id="4893" xr3:uid="{00000000-0010-0000-2000-00001D130000}" name="Column4866"/>
    <tableColumn id="4894" xr3:uid="{00000000-0010-0000-2000-00001E130000}" name="Column4867"/>
    <tableColumn id="4895" xr3:uid="{00000000-0010-0000-2000-00001F130000}" name="Column4868"/>
    <tableColumn id="4896" xr3:uid="{00000000-0010-0000-2000-000020130000}" name="Column4869"/>
    <tableColumn id="4897" xr3:uid="{00000000-0010-0000-2000-000021130000}" name="Column4870"/>
    <tableColumn id="4898" xr3:uid="{00000000-0010-0000-2000-000022130000}" name="Column4871"/>
    <tableColumn id="4899" xr3:uid="{00000000-0010-0000-2000-000023130000}" name="Column4872"/>
    <tableColumn id="4900" xr3:uid="{00000000-0010-0000-2000-000024130000}" name="Column4873"/>
    <tableColumn id="4901" xr3:uid="{00000000-0010-0000-2000-000025130000}" name="Column4874"/>
    <tableColumn id="4902" xr3:uid="{00000000-0010-0000-2000-000026130000}" name="Column4875"/>
    <tableColumn id="4903" xr3:uid="{00000000-0010-0000-2000-000027130000}" name="Column4876"/>
    <tableColumn id="4904" xr3:uid="{00000000-0010-0000-2000-000028130000}" name="Column4877"/>
    <tableColumn id="4905" xr3:uid="{00000000-0010-0000-2000-000029130000}" name="Column4878"/>
    <tableColumn id="4906" xr3:uid="{00000000-0010-0000-2000-00002A130000}" name="Column4879"/>
    <tableColumn id="4907" xr3:uid="{00000000-0010-0000-2000-00002B130000}" name="Column4880"/>
    <tableColumn id="4908" xr3:uid="{00000000-0010-0000-2000-00002C130000}" name="Column4881"/>
    <tableColumn id="4909" xr3:uid="{00000000-0010-0000-2000-00002D130000}" name="Column4882"/>
    <tableColumn id="4910" xr3:uid="{00000000-0010-0000-2000-00002E130000}" name="Column4883"/>
    <tableColumn id="4911" xr3:uid="{00000000-0010-0000-2000-00002F130000}" name="Column4884"/>
    <tableColumn id="4912" xr3:uid="{00000000-0010-0000-2000-000030130000}" name="Column4885"/>
    <tableColumn id="4913" xr3:uid="{00000000-0010-0000-2000-000031130000}" name="Column4886"/>
    <tableColumn id="4914" xr3:uid="{00000000-0010-0000-2000-000032130000}" name="Column4887"/>
    <tableColumn id="4915" xr3:uid="{00000000-0010-0000-2000-000033130000}" name="Column4888"/>
    <tableColumn id="4916" xr3:uid="{00000000-0010-0000-2000-000034130000}" name="Column4889"/>
    <tableColumn id="4917" xr3:uid="{00000000-0010-0000-2000-000035130000}" name="Column4890"/>
    <tableColumn id="4918" xr3:uid="{00000000-0010-0000-2000-000036130000}" name="Column4891"/>
    <tableColumn id="4919" xr3:uid="{00000000-0010-0000-2000-000037130000}" name="Column4892"/>
    <tableColumn id="4920" xr3:uid="{00000000-0010-0000-2000-000038130000}" name="Column4893"/>
    <tableColumn id="4921" xr3:uid="{00000000-0010-0000-2000-000039130000}" name="Column4894"/>
    <tableColumn id="4922" xr3:uid="{00000000-0010-0000-2000-00003A130000}" name="Column4895"/>
    <tableColumn id="4923" xr3:uid="{00000000-0010-0000-2000-00003B130000}" name="Column4896"/>
    <tableColumn id="4924" xr3:uid="{00000000-0010-0000-2000-00003C130000}" name="Column4897"/>
    <tableColumn id="4925" xr3:uid="{00000000-0010-0000-2000-00003D130000}" name="Column4898"/>
    <tableColumn id="4926" xr3:uid="{00000000-0010-0000-2000-00003E130000}" name="Column4899"/>
    <tableColumn id="4927" xr3:uid="{00000000-0010-0000-2000-00003F130000}" name="Column4900"/>
    <tableColumn id="4928" xr3:uid="{00000000-0010-0000-2000-000040130000}" name="Column4901"/>
    <tableColumn id="4929" xr3:uid="{00000000-0010-0000-2000-000041130000}" name="Column4902"/>
    <tableColumn id="4930" xr3:uid="{00000000-0010-0000-2000-000042130000}" name="Column4903"/>
    <tableColumn id="4931" xr3:uid="{00000000-0010-0000-2000-000043130000}" name="Column4904"/>
    <tableColumn id="4932" xr3:uid="{00000000-0010-0000-2000-000044130000}" name="Column4905"/>
    <tableColumn id="4933" xr3:uid="{00000000-0010-0000-2000-000045130000}" name="Column4906"/>
    <tableColumn id="4934" xr3:uid="{00000000-0010-0000-2000-000046130000}" name="Column4907"/>
    <tableColumn id="4935" xr3:uid="{00000000-0010-0000-2000-000047130000}" name="Column4908"/>
    <tableColumn id="4936" xr3:uid="{00000000-0010-0000-2000-000048130000}" name="Column4909"/>
    <tableColumn id="4937" xr3:uid="{00000000-0010-0000-2000-000049130000}" name="Column4910"/>
    <tableColumn id="4938" xr3:uid="{00000000-0010-0000-2000-00004A130000}" name="Column4911"/>
    <tableColumn id="4939" xr3:uid="{00000000-0010-0000-2000-00004B130000}" name="Column4912"/>
    <tableColumn id="4940" xr3:uid="{00000000-0010-0000-2000-00004C130000}" name="Column4913"/>
    <tableColumn id="4941" xr3:uid="{00000000-0010-0000-2000-00004D130000}" name="Column4914"/>
    <tableColumn id="4942" xr3:uid="{00000000-0010-0000-2000-00004E130000}" name="Column4915"/>
    <tableColumn id="4943" xr3:uid="{00000000-0010-0000-2000-00004F130000}" name="Column4916"/>
    <tableColumn id="4944" xr3:uid="{00000000-0010-0000-2000-000050130000}" name="Column4917"/>
    <tableColumn id="4945" xr3:uid="{00000000-0010-0000-2000-000051130000}" name="Column4918"/>
    <tableColumn id="4946" xr3:uid="{00000000-0010-0000-2000-000052130000}" name="Column4919"/>
    <tableColumn id="4947" xr3:uid="{00000000-0010-0000-2000-000053130000}" name="Column4920"/>
    <tableColumn id="4948" xr3:uid="{00000000-0010-0000-2000-000054130000}" name="Column4921"/>
    <tableColumn id="4949" xr3:uid="{00000000-0010-0000-2000-000055130000}" name="Column4922"/>
    <tableColumn id="4950" xr3:uid="{00000000-0010-0000-2000-000056130000}" name="Column4923"/>
    <tableColumn id="4951" xr3:uid="{00000000-0010-0000-2000-000057130000}" name="Column4924"/>
    <tableColumn id="4952" xr3:uid="{00000000-0010-0000-2000-000058130000}" name="Column4925"/>
    <tableColumn id="4953" xr3:uid="{00000000-0010-0000-2000-000059130000}" name="Column4926"/>
    <tableColumn id="4954" xr3:uid="{00000000-0010-0000-2000-00005A130000}" name="Column4927"/>
    <tableColumn id="4955" xr3:uid="{00000000-0010-0000-2000-00005B130000}" name="Column4928"/>
    <tableColumn id="4956" xr3:uid="{00000000-0010-0000-2000-00005C130000}" name="Column4929"/>
    <tableColumn id="4957" xr3:uid="{00000000-0010-0000-2000-00005D130000}" name="Column4930"/>
    <tableColumn id="4958" xr3:uid="{00000000-0010-0000-2000-00005E130000}" name="Column4931"/>
    <tableColumn id="4959" xr3:uid="{00000000-0010-0000-2000-00005F130000}" name="Column4932"/>
    <tableColumn id="4960" xr3:uid="{00000000-0010-0000-2000-000060130000}" name="Column4933"/>
    <tableColumn id="4961" xr3:uid="{00000000-0010-0000-2000-000061130000}" name="Column4934"/>
    <tableColumn id="4962" xr3:uid="{00000000-0010-0000-2000-000062130000}" name="Column4935"/>
    <tableColumn id="4963" xr3:uid="{00000000-0010-0000-2000-000063130000}" name="Column4936"/>
    <tableColumn id="4964" xr3:uid="{00000000-0010-0000-2000-000064130000}" name="Column4937"/>
    <tableColumn id="4965" xr3:uid="{00000000-0010-0000-2000-000065130000}" name="Column4938"/>
    <tableColumn id="4966" xr3:uid="{00000000-0010-0000-2000-000066130000}" name="Column4939"/>
    <tableColumn id="4967" xr3:uid="{00000000-0010-0000-2000-000067130000}" name="Column4940"/>
    <tableColumn id="4968" xr3:uid="{00000000-0010-0000-2000-000068130000}" name="Column4941"/>
    <tableColumn id="4969" xr3:uid="{00000000-0010-0000-2000-000069130000}" name="Column4942"/>
    <tableColumn id="4970" xr3:uid="{00000000-0010-0000-2000-00006A130000}" name="Column4943"/>
    <tableColumn id="4971" xr3:uid="{00000000-0010-0000-2000-00006B130000}" name="Column4944"/>
    <tableColumn id="4972" xr3:uid="{00000000-0010-0000-2000-00006C130000}" name="Column4945"/>
    <tableColumn id="4973" xr3:uid="{00000000-0010-0000-2000-00006D130000}" name="Column4946"/>
    <tableColumn id="4974" xr3:uid="{00000000-0010-0000-2000-00006E130000}" name="Column4947"/>
    <tableColumn id="4975" xr3:uid="{00000000-0010-0000-2000-00006F130000}" name="Column4948"/>
    <tableColumn id="4976" xr3:uid="{00000000-0010-0000-2000-000070130000}" name="Column4949"/>
    <tableColumn id="4977" xr3:uid="{00000000-0010-0000-2000-000071130000}" name="Column4950"/>
    <tableColumn id="4978" xr3:uid="{00000000-0010-0000-2000-000072130000}" name="Column4951"/>
    <tableColumn id="4979" xr3:uid="{00000000-0010-0000-2000-000073130000}" name="Column4952"/>
    <tableColumn id="4980" xr3:uid="{00000000-0010-0000-2000-000074130000}" name="Column4953"/>
    <tableColumn id="4981" xr3:uid="{00000000-0010-0000-2000-000075130000}" name="Column4954"/>
    <tableColumn id="4982" xr3:uid="{00000000-0010-0000-2000-000076130000}" name="Column4955"/>
    <tableColumn id="4983" xr3:uid="{00000000-0010-0000-2000-000077130000}" name="Column4956"/>
    <tableColumn id="4984" xr3:uid="{00000000-0010-0000-2000-000078130000}" name="Column4957"/>
    <tableColumn id="4985" xr3:uid="{00000000-0010-0000-2000-000079130000}" name="Column4958"/>
    <tableColumn id="4986" xr3:uid="{00000000-0010-0000-2000-00007A130000}" name="Column4959"/>
    <tableColumn id="4987" xr3:uid="{00000000-0010-0000-2000-00007B130000}" name="Column4960"/>
    <tableColumn id="4988" xr3:uid="{00000000-0010-0000-2000-00007C130000}" name="Column4961"/>
    <tableColumn id="4989" xr3:uid="{00000000-0010-0000-2000-00007D130000}" name="Column4962"/>
    <tableColumn id="4990" xr3:uid="{00000000-0010-0000-2000-00007E130000}" name="Column4963"/>
    <tableColumn id="4991" xr3:uid="{00000000-0010-0000-2000-00007F130000}" name="Column4964"/>
    <tableColumn id="4992" xr3:uid="{00000000-0010-0000-2000-000080130000}" name="Column4965"/>
    <tableColumn id="4993" xr3:uid="{00000000-0010-0000-2000-000081130000}" name="Column4966"/>
    <tableColumn id="4994" xr3:uid="{00000000-0010-0000-2000-000082130000}" name="Column4967"/>
    <tableColumn id="4995" xr3:uid="{00000000-0010-0000-2000-000083130000}" name="Column4968"/>
    <tableColumn id="4996" xr3:uid="{00000000-0010-0000-2000-000084130000}" name="Column4969"/>
    <tableColumn id="4997" xr3:uid="{00000000-0010-0000-2000-000085130000}" name="Column4970"/>
    <tableColumn id="4998" xr3:uid="{00000000-0010-0000-2000-000086130000}" name="Column4971"/>
    <tableColumn id="4999" xr3:uid="{00000000-0010-0000-2000-000087130000}" name="Column4972"/>
    <tableColumn id="5000" xr3:uid="{00000000-0010-0000-2000-000088130000}" name="Column4973"/>
    <tableColumn id="5001" xr3:uid="{00000000-0010-0000-2000-000089130000}" name="Column4974"/>
    <tableColumn id="5002" xr3:uid="{00000000-0010-0000-2000-00008A130000}" name="Column4975"/>
    <tableColumn id="5003" xr3:uid="{00000000-0010-0000-2000-00008B130000}" name="Column4976"/>
    <tableColumn id="5004" xr3:uid="{00000000-0010-0000-2000-00008C130000}" name="Column4977"/>
    <tableColumn id="5005" xr3:uid="{00000000-0010-0000-2000-00008D130000}" name="Column4978"/>
    <tableColumn id="5006" xr3:uid="{00000000-0010-0000-2000-00008E130000}" name="Column4979"/>
    <tableColumn id="5007" xr3:uid="{00000000-0010-0000-2000-00008F130000}" name="Column4980"/>
    <tableColumn id="5008" xr3:uid="{00000000-0010-0000-2000-000090130000}" name="Column4981"/>
    <tableColumn id="5009" xr3:uid="{00000000-0010-0000-2000-000091130000}" name="Column4982"/>
    <tableColumn id="5010" xr3:uid="{00000000-0010-0000-2000-000092130000}" name="Column4983"/>
    <tableColumn id="5011" xr3:uid="{00000000-0010-0000-2000-000093130000}" name="Column4984"/>
    <tableColumn id="5012" xr3:uid="{00000000-0010-0000-2000-000094130000}" name="Column4985"/>
    <tableColumn id="5013" xr3:uid="{00000000-0010-0000-2000-000095130000}" name="Column4986"/>
    <tableColumn id="5014" xr3:uid="{00000000-0010-0000-2000-000096130000}" name="Column4987"/>
    <tableColumn id="5015" xr3:uid="{00000000-0010-0000-2000-000097130000}" name="Column4988"/>
    <tableColumn id="5016" xr3:uid="{00000000-0010-0000-2000-000098130000}" name="Column4989"/>
    <tableColumn id="5017" xr3:uid="{00000000-0010-0000-2000-000099130000}" name="Column4990"/>
    <tableColumn id="5018" xr3:uid="{00000000-0010-0000-2000-00009A130000}" name="Column4991"/>
    <tableColumn id="5019" xr3:uid="{00000000-0010-0000-2000-00009B130000}" name="Column4992"/>
    <tableColumn id="5020" xr3:uid="{00000000-0010-0000-2000-00009C130000}" name="Column4993"/>
    <tableColumn id="5021" xr3:uid="{00000000-0010-0000-2000-00009D130000}" name="Column4994"/>
    <tableColumn id="5022" xr3:uid="{00000000-0010-0000-2000-00009E130000}" name="Column4995"/>
    <tableColumn id="5023" xr3:uid="{00000000-0010-0000-2000-00009F130000}" name="Column4996"/>
    <tableColumn id="5024" xr3:uid="{00000000-0010-0000-2000-0000A0130000}" name="Column4997"/>
    <tableColumn id="5025" xr3:uid="{00000000-0010-0000-2000-0000A1130000}" name="Column4998"/>
    <tableColumn id="5026" xr3:uid="{00000000-0010-0000-2000-0000A2130000}" name="Column4999"/>
    <tableColumn id="5027" xr3:uid="{00000000-0010-0000-2000-0000A3130000}" name="Column5000"/>
    <tableColumn id="5028" xr3:uid="{00000000-0010-0000-2000-0000A4130000}" name="Column5001"/>
    <tableColumn id="5029" xr3:uid="{00000000-0010-0000-2000-0000A5130000}" name="Column5002"/>
    <tableColumn id="5030" xr3:uid="{00000000-0010-0000-2000-0000A6130000}" name="Column5003"/>
    <tableColumn id="5031" xr3:uid="{00000000-0010-0000-2000-0000A7130000}" name="Column5004"/>
    <tableColumn id="5032" xr3:uid="{00000000-0010-0000-2000-0000A8130000}" name="Column5005"/>
    <tableColumn id="5033" xr3:uid="{00000000-0010-0000-2000-0000A9130000}" name="Column5006"/>
    <tableColumn id="5034" xr3:uid="{00000000-0010-0000-2000-0000AA130000}" name="Column5007"/>
    <tableColumn id="5035" xr3:uid="{00000000-0010-0000-2000-0000AB130000}" name="Column5008"/>
    <tableColumn id="5036" xr3:uid="{00000000-0010-0000-2000-0000AC130000}" name="Column5009"/>
    <tableColumn id="5037" xr3:uid="{00000000-0010-0000-2000-0000AD130000}" name="Column5010"/>
    <tableColumn id="5038" xr3:uid="{00000000-0010-0000-2000-0000AE130000}" name="Column5011"/>
    <tableColumn id="5039" xr3:uid="{00000000-0010-0000-2000-0000AF130000}" name="Column5012"/>
    <tableColumn id="5040" xr3:uid="{00000000-0010-0000-2000-0000B0130000}" name="Column5013"/>
    <tableColumn id="5041" xr3:uid="{00000000-0010-0000-2000-0000B1130000}" name="Column5014"/>
    <tableColumn id="5042" xr3:uid="{00000000-0010-0000-2000-0000B2130000}" name="Column5015"/>
    <tableColumn id="5043" xr3:uid="{00000000-0010-0000-2000-0000B3130000}" name="Column5016"/>
    <tableColumn id="5044" xr3:uid="{00000000-0010-0000-2000-0000B4130000}" name="Column5017"/>
    <tableColumn id="5045" xr3:uid="{00000000-0010-0000-2000-0000B5130000}" name="Column5018"/>
    <tableColumn id="5046" xr3:uid="{00000000-0010-0000-2000-0000B6130000}" name="Column5019"/>
    <tableColumn id="5047" xr3:uid="{00000000-0010-0000-2000-0000B7130000}" name="Column5020"/>
    <tableColumn id="5048" xr3:uid="{00000000-0010-0000-2000-0000B8130000}" name="Column5021"/>
    <tableColumn id="5049" xr3:uid="{00000000-0010-0000-2000-0000B9130000}" name="Column5022"/>
    <tableColumn id="5050" xr3:uid="{00000000-0010-0000-2000-0000BA130000}" name="Column5023"/>
    <tableColumn id="5051" xr3:uid="{00000000-0010-0000-2000-0000BB130000}" name="Column5024"/>
    <tableColumn id="5052" xr3:uid="{00000000-0010-0000-2000-0000BC130000}" name="Column5025"/>
    <tableColumn id="5053" xr3:uid="{00000000-0010-0000-2000-0000BD130000}" name="Column5026"/>
    <tableColumn id="5054" xr3:uid="{00000000-0010-0000-2000-0000BE130000}" name="Column5027"/>
    <tableColumn id="5055" xr3:uid="{00000000-0010-0000-2000-0000BF130000}" name="Column5028"/>
    <tableColumn id="5056" xr3:uid="{00000000-0010-0000-2000-0000C0130000}" name="Column5029"/>
    <tableColumn id="5057" xr3:uid="{00000000-0010-0000-2000-0000C1130000}" name="Column5030"/>
    <tableColumn id="5058" xr3:uid="{00000000-0010-0000-2000-0000C2130000}" name="Column5031"/>
    <tableColumn id="5059" xr3:uid="{00000000-0010-0000-2000-0000C3130000}" name="Column5032"/>
    <tableColumn id="5060" xr3:uid="{00000000-0010-0000-2000-0000C4130000}" name="Column5033"/>
    <tableColumn id="5061" xr3:uid="{00000000-0010-0000-2000-0000C5130000}" name="Column5034"/>
    <tableColumn id="5062" xr3:uid="{00000000-0010-0000-2000-0000C6130000}" name="Column5035"/>
    <tableColumn id="5063" xr3:uid="{00000000-0010-0000-2000-0000C7130000}" name="Column5036"/>
    <tableColumn id="5064" xr3:uid="{00000000-0010-0000-2000-0000C8130000}" name="Column5037"/>
    <tableColumn id="5065" xr3:uid="{00000000-0010-0000-2000-0000C9130000}" name="Column5038"/>
    <tableColumn id="5066" xr3:uid="{00000000-0010-0000-2000-0000CA130000}" name="Column5039"/>
    <tableColumn id="5067" xr3:uid="{00000000-0010-0000-2000-0000CB130000}" name="Column5040"/>
    <tableColumn id="5068" xr3:uid="{00000000-0010-0000-2000-0000CC130000}" name="Column5041"/>
    <tableColumn id="5069" xr3:uid="{00000000-0010-0000-2000-0000CD130000}" name="Column5042"/>
    <tableColumn id="5070" xr3:uid="{00000000-0010-0000-2000-0000CE130000}" name="Column5043"/>
    <tableColumn id="5071" xr3:uid="{00000000-0010-0000-2000-0000CF130000}" name="Column5044"/>
    <tableColumn id="5072" xr3:uid="{00000000-0010-0000-2000-0000D0130000}" name="Column5045"/>
    <tableColumn id="5073" xr3:uid="{00000000-0010-0000-2000-0000D1130000}" name="Column5046"/>
    <tableColumn id="5074" xr3:uid="{00000000-0010-0000-2000-0000D2130000}" name="Column5047"/>
    <tableColumn id="5075" xr3:uid="{00000000-0010-0000-2000-0000D3130000}" name="Column5048"/>
    <tableColumn id="5076" xr3:uid="{00000000-0010-0000-2000-0000D4130000}" name="Column5049"/>
    <tableColumn id="5077" xr3:uid="{00000000-0010-0000-2000-0000D5130000}" name="Column5050"/>
    <tableColumn id="5078" xr3:uid="{00000000-0010-0000-2000-0000D6130000}" name="Column5051"/>
    <tableColumn id="5079" xr3:uid="{00000000-0010-0000-2000-0000D7130000}" name="Column5052"/>
    <tableColumn id="5080" xr3:uid="{00000000-0010-0000-2000-0000D8130000}" name="Column5053"/>
    <tableColumn id="5081" xr3:uid="{00000000-0010-0000-2000-0000D9130000}" name="Column5054"/>
    <tableColumn id="5082" xr3:uid="{00000000-0010-0000-2000-0000DA130000}" name="Column5055"/>
    <tableColumn id="5083" xr3:uid="{00000000-0010-0000-2000-0000DB130000}" name="Column5056"/>
    <tableColumn id="5084" xr3:uid="{00000000-0010-0000-2000-0000DC130000}" name="Column5057"/>
    <tableColumn id="5085" xr3:uid="{00000000-0010-0000-2000-0000DD130000}" name="Column5058"/>
    <tableColumn id="5086" xr3:uid="{00000000-0010-0000-2000-0000DE130000}" name="Column5059"/>
    <tableColumn id="5087" xr3:uid="{00000000-0010-0000-2000-0000DF130000}" name="Column5060"/>
    <tableColumn id="5088" xr3:uid="{00000000-0010-0000-2000-0000E0130000}" name="Column5061"/>
    <tableColumn id="5089" xr3:uid="{00000000-0010-0000-2000-0000E1130000}" name="Column5062"/>
    <tableColumn id="5090" xr3:uid="{00000000-0010-0000-2000-0000E2130000}" name="Column5063"/>
    <tableColumn id="5091" xr3:uid="{00000000-0010-0000-2000-0000E3130000}" name="Column5064"/>
    <tableColumn id="5092" xr3:uid="{00000000-0010-0000-2000-0000E4130000}" name="Column5065"/>
    <tableColumn id="5093" xr3:uid="{00000000-0010-0000-2000-0000E5130000}" name="Column5066"/>
    <tableColumn id="5094" xr3:uid="{00000000-0010-0000-2000-0000E6130000}" name="Column5067"/>
    <tableColumn id="5095" xr3:uid="{00000000-0010-0000-2000-0000E7130000}" name="Column5068"/>
    <tableColumn id="5096" xr3:uid="{00000000-0010-0000-2000-0000E8130000}" name="Column5069"/>
    <tableColumn id="5097" xr3:uid="{00000000-0010-0000-2000-0000E9130000}" name="Column5070"/>
    <tableColumn id="5098" xr3:uid="{00000000-0010-0000-2000-0000EA130000}" name="Column5071"/>
    <tableColumn id="5099" xr3:uid="{00000000-0010-0000-2000-0000EB130000}" name="Column5072"/>
    <tableColumn id="5100" xr3:uid="{00000000-0010-0000-2000-0000EC130000}" name="Column5073"/>
    <tableColumn id="5101" xr3:uid="{00000000-0010-0000-2000-0000ED130000}" name="Column5074"/>
    <tableColumn id="5102" xr3:uid="{00000000-0010-0000-2000-0000EE130000}" name="Column5075"/>
    <tableColumn id="5103" xr3:uid="{00000000-0010-0000-2000-0000EF130000}" name="Column5076"/>
    <tableColumn id="5104" xr3:uid="{00000000-0010-0000-2000-0000F0130000}" name="Column5077"/>
    <tableColumn id="5105" xr3:uid="{00000000-0010-0000-2000-0000F1130000}" name="Column5078"/>
    <tableColumn id="5106" xr3:uid="{00000000-0010-0000-2000-0000F2130000}" name="Column5079"/>
    <tableColumn id="5107" xr3:uid="{00000000-0010-0000-2000-0000F3130000}" name="Column5080"/>
    <tableColumn id="5108" xr3:uid="{00000000-0010-0000-2000-0000F4130000}" name="Column5081"/>
    <tableColumn id="5109" xr3:uid="{00000000-0010-0000-2000-0000F5130000}" name="Column5082"/>
    <tableColumn id="5110" xr3:uid="{00000000-0010-0000-2000-0000F6130000}" name="Column5083"/>
    <tableColumn id="5111" xr3:uid="{00000000-0010-0000-2000-0000F7130000}" name="Column5084"/>
    <tableColumn id="5112" xr3:uid="{00000000-0010-0000-2000-0000F8130000}" name="Column5085"/>
    <tableColumn id="5113" xr3:uid="{00000000-0010-0000-2000-0000F9130000}" name="Column5086"/>
    <tableColumn id="5114" xr3:uid="{00000000-0010-0000-2000-0000FA130000}" name="Column5087"/>
    <tableColumn id="5115" xr3:uid="{00000000-0010-0000-2000-0000FB130000}" name="Column5088"/>
    <tableColumn id="5116" xr3:uid="{00000000-0010-0000-2000-0000FC130000}" name="Column5089"/>
    <tableColumn id="5117" xr3:uid="{00000000-0010-0000-2000-0000FD130000}" name="Column5090"/>
    <tableColumn id="5118" xr3:uid="{00000000-0010-0000-2000-0000FE130000}" name="Column5091"/>
    <tableColumn id="5119" xr3:uid="{00000000-0010-0000-2000-0000FF130000}" name="Column5092"/>
    <tableColumn id="5120" xr3:uid="{00000000-0010-0000-2000-000000140000}" name="Column5093"/>
    <tableColumn id="5121" xr3:uid="{00000000-0010-0000-2000-000001140000}" name="Column5094"/>
    <tableColumn id="5122" xr3:uid="{00000000-0010-0000-2000-000002140000}" name="Column5095"/>
    <tableColumn id="5123" xr3:uid="{00000000-0010-0000-2000-000003140000}" name="Column5096"/>
    <tableColumn id="5124" xr3:uid="{00000000-0010-0000-2000-000004140000}" name="Column5097"/>
    <tableColumn id="5125" xr3:uid="{00000000-0010-0000-2000-000005140000}" name="Column5098"/>
    <tableColumn id="5126" xr3:uid="{00000000-0010-0000-2000-000006140000}" name="Column5099"/>
    <tableColumn id="5127" xr3:uid="{00000000-0010-0000-2000-000007140000}" name="Column5100"/>
    <tableColumn id="5128" xr3:uid="{00000000-0010-0000-2000-000008140000}" name="Column5101"/>
    <tableColumn id="5129" xr3:uid="{00000000-0010-0000-2000-000009140000}" name="Column5102"/>
    <tableColumn id="5130" xr3:uid="{00000000-0010-0000-2000-00000A140000}" name="Column5103"/>
    <tableColumn id="5131" xr3:uid="{00000000-0010-0000-2000-00000B140000}" name="Column5104"/>
    <tableColumn id="5132" xr3:uid="{00000000-0010-0000-2000-00000C140000}" name="Column5105"/>
    <tableColumn id="5133" xr3:uid="{00000000-0010-0000-2000-00000D140000}" name="Column5106"/>
    <tableColumn id="5134" xr3:uid="{00000000-0010-0000-2000-00000E140000}" name="Column5107"/>
    <tableColumn id="5135" xr3:uid="{00000000-0010-0000-2000-00000F140000}" name="Column5108"/>
    <tableColumn id="5136" xr3:uid="{00000000-0010-0000-2000-000010140000}" name="Column5109"/>
    <tableColumn id="5137" xr3:uid="{00000000-0010-0000-2000-000011140000}" name="Column5110"/>
    <tableColumn id="5138" xr3:uid="{00000000-0010-0000-2000-000012140000}" name="Column5111"/>
    <tableColumn id="5139" xr3:uid="{00000000-0010-0000-2000-000013140000}" name="Column5112"/>
    <tableColumn id="5140" xr3:uid="{00000000-0010-0000-2000-000014140000}" name="Column5113"/>
    <tableColumn id="5141" xr3:uid="{00000000-0010-0000-2000-000015140000}" name="Column5114"/>
    <tableColumn id="5142" xr3:uid="{00000000-0010-0000-2000-000016140000}" name="Column5115"/>
    <tableColumn id="5143" xr3:uid="{00000000-0010-0000-2000-000017140000}" name="Column5116"/>
    <tableColumn id="5144" xr3:uid="{00000000-0010-0000-2000-000018140000}" name="Column5117"/>
    <tableColumn id="5145" xr3:uid="{00000000-0010-0000-2000-000019140000}" name="Column5118"/>
    <tableColumn id="5146" xr3:uid="{00000000-0010-0000-2000-00001A140000}" name="Column5119"/>
    <tableColumn id="5147" xr3:uid="{00000000-0010-0000-2000-00001B140000}" name="Column5120"/>
    <tableColumn id="5148" xr3:uid="{00000000-0010-0000-2000-00001C140000}" name="Column5121"/>
    <tableColumn id="5149" xr3:uid="{00000000-0010-0000-2000-00001D140000}" name="Column5122"/>
    <tableColumn id="5150" xr3:uid="{00000000-0010-0000-2000-00001E140000}" name="Column5123"/>
    <tableColumn id="5151" xr3:uid="{00000000-0010-0000-2000-00001F140000}" name="Column5124"/>
    <tableColumn id="5152" xr3:uid="{00000000-0010-0000-2000-000020140000}" name="Column5125"/>
    <tableColumn id="5153" xr3:uid="{00000000-0010-0000-2000-000021140000}" name="Column5126"/>
    <tableColumn id="5154" xr3:uid="{00000000-0010-0000-2000-000022140000}" name="Column5127"/>
    <tableColumn id="5155" xr3:uid="{00000000-0010-0000-2000-000023140000}" name="Column5128"/>
    <tableColumn id="5156" xr3:uid="{00000000-0010-0000-2000-000024140000}" name="Column5129"/>
    <tableColumn id="5157" xr3:uid="{00000000-0010-0000-2000-000025140000}" name="Column5130"/>
    <tableColumn id="5158" xr3:uid="{00000000-0010-0000-2000-000026140000}" name="Column5131"/>
    <tableColumn id="5159" xr3:uid="{00000000-0010-0000-2000-000027140000}" name="Column5132"/>
    <tableColumn id="5160" xr3:uid="{00000000-0010-0000-2000-000028140000}" name="Column5133"/>
    <tableColumn id="5161" xr3:uid="{00000000-0010-0000-2000-000029140000}" name="Column5134"/>
    <tableColumn id="5162" xr3:uid="{00000000-0010-0000-2000-00002A140000}" name="Column5135"/>
    <tableColumn id="5163" xr3:uid="{00000000-0010-0000-2000-00002B140000}" name="Column5136"/>
    <tableColumn id="5164" xr3:uid="{00000000-0010-0000-2000-00002C140000}" name="Column5137"/>
    <tableColumn id="5165" xr3:uid="{00000000-0010-0000-2000-00002D140000}" name="Column5138"/>
    <tableColumn id="5166" xr3:uid="{00000000-0010-0000-2000-00002E140000}" name="Column5139"/>
    <tableColumn id="5167" xr3:uid="{00000000-0010-0000-2000-00002F140000}" name="Column5140"/>
    <tableColumn id="5168" xr3:uid="{00000000-0010-0000-2000-000030140000}" name="Column5141"/>
    <tableColumn id="5169" xr3:uid="{00000000-0010-0000-2000-000031140000}" name="Column5142"/>
    <tableColumn id="5170" xr3:uid="{00000000-0010-0000-2000-000032140000}" name="Column5143"/>
    <tableColumn id="5171" xr3:uid="{00000000-0010-0000-2000-000033140000}" name="Column5144"/>
    <tableColumn id="5172" xr3:uid="{00000000-0010-0000-2000-000034140000}" name="Column5145"/>
    <tableColumn id="5173" xr3:uid="{00000000-0010-0000-2000-000035140000}" name="Column5146"/>
    <tableColumn id="5174" xr3:uid="{00000000-0010-0000-2000-000036140000}" name="Column5147"/>
    <tableColumn id="5175" xr3:uid="{00000000-0010-0000-2000-000037140000}" name="Column5148"/>
    <tableColumn id="5176" xr3:uid="{00000000-0010-0000-2000-000038140000}" name="Column5149"/>
    <tableColumn id="5177" xr3:uid="{00000000-0010-0000-2000-000039140000}" name="Column5150"/>
    <tableColumn id="5178" xr3:uid="{00000000-0010-0000-2000-00003A140000}" name="Column5151"/>
    <tableColumn id="5179" xr3:uid="{00000000-0010-0000-2000-00003B140000}" name="Column5152"/>
    <tableColumn id="5180" xr3:uid="{00000000-0010-0000-2000-00003C140000}" name="Column5153"/>
    <tableColumn id="5181" xr3:uid="{00000000-0010-0000-2000-00003D140000}" name="Column5154"/>
    <tableColumn id="5182" xr3:uid="{00000000-0010-0000-2000-00003E140000}" name="Column5155"/>
    <tableColumn id="5183" xr3:uid="{00000000-0010-0000-2000-00003F140000}" name="Column5156"/>
    <tableColumn id="5184" xr3:uid="{00000000-0010-0000-2000-000040140000}" name="Column5157"/>
    <tableColumn id="5185" xr3:uid="{00000000-0010-0000-2000-000041140000}" name="Column5158"/>
    <tableColumn id="5186" xr3:uid="{00000000-0010-0000-2000-000042140000}" name="Column5159"/>
    <tableColumn id="5187" xr3:uid="{00000000-0010-0000-2000-000043140000}" name="Column5160"/>
    <tableColumn id="5188" xr3:uid="{00000000-0010-0000-2000-000044140000}" name="Column5161"/>
    <tableColumn id="5189" xr3:uid="{00000000-0010-0000-2000-000045140000}" name="Column5162"/>
    <tableColumn id="5190" xr3:uid="{00000000-0010-0000-2000-000046140000}" name="Column5163"/>
    <tableColumn id="5191" xr3:uid="{00000000-0010-0000-2000-000047140000}" name="Column5164"/>
    <tableColumn id="5192" xr3:uid="{00000000-0010-0000-2000-000048140000}" name="Column5165"/>
    <tableColumn id="5193" xr3:uid="{00000000-0010-0000-2000-000049140000}" name="Column5166"/>
    <tableColumn id="5194" xr3:uid="{00000000-0010-0000-2000-00004A140000}" name="Column5167"/>
    <tableColumn id="5195" xr3:uid="{00000000-0010-0000-2000-00004B140000}" name="Column5168"/>
    <tableColumn id="5196" xr3:uid="{00000000-0010-0000-2000-00004C140000}" name="Column5169"/>
    <tableColumn id="5197" xr3:uid="{00000000-0010-0000-2000-00004D140000}" name="Column5170"/>
    <tableColumn id="5198" xr3:uid="{00000000-0010-0000-2000-00004E140000}" name="Column5171"/>
    <tableColumn id="5199" xr3:uid="{00000000-0010-0000-2000-00004F140000}" name="Column5172"/>
    <tableColumn id="5200" xr3:uid="{00000000-0010-0000-2000-000050140000}" name="Column5173"/>
    <tableColumn id="5201" xr3:uid="{00000000-0010-0000-2000-000051140000}" name="Column5174"/>
    <tableColumn id="5202" xr3:uid="{00000000-0010-0000-2000-000052140000}" name="Column5175"/>
    <tableColumn id="5203" xr3:uid="{00000000-0010-0000-2000-000053140000}" name="Column5176"/>
    <tableColumn id="5204" xr3:uid="{00000000-0010-0000-2000-000054140000}" name="Column5177"/>
    <tableColumn id="5205" xr3:uid="{00000000-0010-0000-2000-000055140000}" name="Column5178"/>
    <tableColumn id="5206" xr3:uid="{00000000-0010-0000-2000-000056140000}" name="Column5179"/>
    <tableColumn id="5207" xr3:uid="{00000000-0010-0000-2000-000057140000}" name="Column5180"/>
    <tableColumn id="5208" xr3:uid="{00000000-0010-0000-2000-000058140000}" name="Column5181"/>
    <tableColumn id="5209" xr3:uid="{00000000-0010-0000-2000-000059140000}" name="Column5182"/>
    <tableColumn id="5210" xr3:uid="{00000000-0010-0000-2000-00005A140000}" name="Column5183"/>
    <tableColumn id="5211" xr3:uid="{00000000-0010-0000-2000-00005B140000}" name="Column5184"/>
    <tableColumn id="5212" xr3:uid="{00000000-0010-0000-2000-00005C140000}" name="Column5185"/>
    <tableColumn id="5213" xr3:uid="{00000000-0010-0000-2000-00005D140000}" name="Column5186"/>
    <tableColumn id="5214" xr3:uid="{00000000-0010-0000-2000-00005E140000}" name="Column5187"/>
    <tableColumn id="5215" xr3:uid="{00000000-0010-0000-2000-00005F140000}" name="Column5188"/>
    <tableColumn id="5216" xr3:uid="{00000000-0010-0000-2000-000060140000}" name="Column5189"/>
    <tableColumn id="5217" xr3:uid="{00000000-0010-0000-2000-000061140000}" name="Column5190"/>
    <tableColumn id="5218" xr3:uid="{00000000-0010-0000-2000-000062140000}" name="Column5191"/>
    <tableColumn id="5219" xr3:uid="{00000000-0010-0000-2000-000063140000}" name="Column5192"/>
    <tableColumn id="5220" xr3:uid="{00000000-0010-0000-2000-000064140000}" name="Column5193"/>
    <tableColumn id="5221" xr3:uid="{00000000-0010-0000-2000-000065140000}" name="Column5194"/>
    <tableColumn id="5222" xr3:uid="{00000000-0010-0000-2000-000066140000}" name="Column5195"/>
    <tableColumn id="5223" xr3:uid="{00000000-0010-0000-2000-000067140000}" name="Column5196"/>
    <tableColumn id="5224" xr3:uid="{00000000-0010-0000-2000-000068140000}" name="Column5197"/>
    <tableColumn id="5225" xr3:uid="{00000000-0010-0000-2000-000069140000}" name="Column5198"/>
    <tableColumn id="5226" xr3:uid="{00000000-0010-0000-2000-00006A140000}" name="Column5199"/>
    <tableColumn id="5227" xr3:uid="{00000000-0010-0000-2000-00006B140000}" name="Column5200"/>
    <tableColumn id="5228" xr3:uid="{00000000-0010-0000-2000-00006C140000}" name="Column5201"/>
    <tableColumn id="5229" xr3:uid="{00000000-0010-0000-2000-00006D140000}" name="Column5202"/>
    <tableColumn id="5230" xr3:uid="{00000000-0010-0000-2000-00006E140000}" name="Column5203"/>
    <tableColumn id="5231" xr3:uid="{00000000-0010-0000-2000-00006F140000}" name="Column5204"/>
    <tableColumn id="5232" xr3:uid="{00000000-0010-0000-2000-000070140000}" name="Column5205"/>
    <tableColumn id="5233" xr3:uid="{00000000-0010-0000-2000-000071140000}" name="Column5206"/>
    <tableColumn id="5234" xr3:uid="{00000000-0010-0000-2000-000072140000}" name="Column5207"/>
    <tableColumn id="5235" xr3:uid="{00000000-0010-0000-2000-000073140000}" name="Column5208"/>
    <tableColumn id="5236" xr3:uid="{00000000-0010-0000-2000-000074140000}" name="Column5209"/>
    <tableColumn id="5237" xr3:uid="{00000000-0010-0000-2000-000075140000}" name="Column5210"/>
    <tableColumn id="5238" xr3:uid="{00000000-0010-0000-2000-000076140000}" name="Column5211"/>
    <tableColumn id="5239" xr3:uid="{00000000-0010-0000-2000-000077140000}" name="Column5212"/>
    <tableColumn id="5240" xr3:uid="{00000000-0010-0000-2000-000078140000}" name="Column5213"/>
    <tableColumn id="5241" xr3:uid="{00000000-0010-0000-2000-000079140000}" name="Column5214"/>
    <tableColumn id="5242" xr3:uid="{00000000-0010-0000-2000-00007A140000}" name="Column5215"/>
    <tableColumn id="5243" xr3:uid="{00000000-0010-0000-2000-00007B140000}" name="Column5216"/>
    <tableColumn id="5244" xr3:uid="{00000000-0010-0000-2000-00007C140000}" name="Column5217"/>
    <tableColumn id="5245" xr3:uid="{00000000-0010-0000-2000-00007D140000}" name="Column5218"/>
    <tableColumn id="5246" xr3:uid="{00000000-0010-0000-2000-00007E140000}" name="Column5219"/>
    <tableColumn id="5247" xr3:uid="{00000000-0010-0000-2000-00007F140000}" name="Column5220"/>
    <tableColumn id="5248" xr3:uid="{00000000-0010-0000-2000-000080140000}" name="Column5221"/>
    <tableColumn id="5249" xr3:uid="{00000000-0010-0000-2000-000081140000}" name="Column5222"/>
    <tableColumn id="5250" xr3:uid="{00000000-0010-0000-2000-000082140000}" name="Column5223"/>
    <tableColumn id="5251" xr3:uid="{00000000-0010-0000-2000-000083140000}" name="Column5224"/>
    <tableColumn id="5252" xr3:uid="{00000000-0010-0000-2000-000084140000}" name="Column5225"/>
    <tableColumn id="5253" xr3:uid="{00000000-0010-0000-2000-000085140000}" name="Column5226"/>
    <tableColumn id="5254" xr3:uid="{00000000-0010-0000-2000-000086140000}" name="Column5227"/>
    <tableColumn id="5255" xr3:uid="{00000000-0010-0000-2000-000087140000}" name="Column5228"/>
    <tableColumn id="5256" xr3:uid="{00000000-0010-0000-2000-000088140000}" name="Column5229"/>
    <tableColumn id="5257" xr3:uid="{00000000-0010-0000-2000-000089140000}" name="Column5230"/>
    <tableColumn id="5258" xr3:uid="{00000000-0010-0000-2000-00008A140000}" name="Column5231"/>
    <tableColumn id="5259" xr3:uid="{00000000-0010-0000-2000-00008B140000}" name="Column5232"/>
    <tableColumn id="5260" xr3:uid="{00000000-0010-0000-2000-00008C140000}" name="Column5233"/>
    <tableColumn id="5261" xr3:uid="{00000000-0010-0000-2000-00008D140000}" name="Column5234"/>
    <tableColumn id="5262" xr3:uid="{00000000-0010-0000-2000-00008E140000}" name="Column5235"/>
    <tableColumn id="5263" xr3:uid="{00000000-0010-0000-2000-00008F140000}" name="Column5236"/>
    <tableColumn id="5264" xr3:uid="{00000000-0010-0000-2000-000090140000}" name="Column5237"/>
    <tableColumn id="5265" xr3:uid="{00000000-0010-0000-2000-000091140000}" name="Column5238"/>
    <tableColumn id="5266" xr3:uid="{00000000-0010-0000-2000-000092140000}" name="Column5239"/>
    <tableColumn id="5267" xr3:uid="{00000000-0010-0000-2000-000093140000}" name="Column5240"/>
    <tableColumn id="5268" xr3:uid="{00000000-0010-0000-2000-000094140000}" name="Column5241"/>
    <tableColumn id="5269" xr3:uid="{00000000-0010-0000-2000-000095140000}" name="Column5242"/>
    <tableColumn id="5270" xr3:uid="{00000000-0010-0000-2000-000096140000}" name="Column5243"/>
    <tableColumn id="5271" xr3:uid="{00000000-0010-0000-2000-000097140000}" name="Column5244"/>
    <tableColumn id="5272" xr3:uid="{00000000-0010-0000-2000-000098140000}" name="Column5245"/>
    <tableColumn id="5273" xr3:uid="{00000000-0010-0000-2000-000099140000}" name="Column5246"/>
    <tableColumn id="5274" xr3:uid="{00000000-0010-0000-2000-00009A140000}" name="Column5247"/>
    <tableColumn id="5275" xr3:uid="{00000000-0010-0000-2000-00009B140000}" name="Column5248"/>
    <tableColumn id="5276" xr3:uid="{00000000-0010-0000-2000-00009C140000}" name="Column5249"/>
    <tableColumn id="5277" xr3:uid="{00000000-0010-0000-2000-00009D140000}" name="Column5250"/>
    <tableColumn id="5278" xr3:uid="{00000000-0010-0000-2000-00009E140000}" name="Column5251"/>
    <tableColumn id="5279" xr3:uid="{00000000-0010-0000-2000-00009F140000}" name="Column5252"/>
    <tableColumn id="5280" xr3:uid="{00000000-0010-0000-2000-0000A0140000}" name="Column5253"/>
    <tableColumn id="5281" xr3:uid="{00000000-0010-0000-2000-0000A1140000}" name="Column5254"/>
    <tableColumn id="5282" xr3:uid="{00000000-0010-0000-2000-0000A2140000}" name="Column5255"/>
    <tableColumn id="5283" xr3:uid="{00000000-0010-0000-2000-0000A3140000}" name="Column5256"/>
    <tableColumn id="5284" xr3:uid="{00000000-0010-0000-2000-0000A4140000}" name="Column5257"/>
    <tableColumn id="5285" xr3:uid="{00000000-0010-0000-2000-0000A5140000}" name="Column5258"/>
    <tableColumn id="5286" xr3:uid="{00000000-0010-0000-2000-0000A6140000}" name="Column5259"/>
    <tableColumn id="5287" xr3:uid="{00000000-0010-0000-2000-0000A7140000}" name="Column5260"/>
    <tableColumn id="5288" xr3:uid="{00000000-0010-0000-2000-0000A8140000}" name="Column5261"/>
    <tableColumn id="5289" xr3:uid="{00000000-0010-0000-2000-0000A9140000}" name="Column5262"/>
    <tableColumn id="5290" xr3:uid="{00000000-0010-0000-2000-0000AA140000}" name="Column5263"/>
    <tableColumn id="5291" xr3:uid="{00000000-0010-0000-2000-0000AB140000}" name="Column5264"/>
    <tableColumn id="5292" xr3:uid="{00000000-0010-0000-2000-0000AC140000}" name="Column5265"/>
    <tableColumn id="5293" xr3:uid="{00000000-0010-0000-2000-0000AD140000}" name="Column5266"/>
    <tableColumn id="5294" xr3:uid="{00000000-0010-0000-2000-0000AE140000}" name="Column5267"/>
    <tableColumn id="5295" xr3:uid="{00000000-0010-0000-2000-0000AF140000}" name="Column5268"/>
    <tableColumn id="5296" xr3:uid="{00000000-0010-0000-2000-0000B0140000}" name="Column5269"/>
    <tableColumn id="5297" xr3:uid="{00000000-0010-0000-2000-0000B1140000}" name="Column5270"/>
    <tableColumn id="5298" xr3:uid="{00000000-0010-0000-2000-0000B2140000}" name="Column5271"/>
    <tableColumn id="5299" xr3:uid="{00000000-0010-0000-2000-0000B3140000}" name="Column5272"/>
    <tableColumn id="5300" xr3:uid="{00000000-0010-0000-2000-0000B4140000}" name="Column5273"/>
    <tableColumn id="5301" xr3:uid="{00000000-0010-0000-2000-0000B5140000}" name="Column5274"/>
    <tableColumn id="5302" xr3:uid="{00000000-0010-0000-2000-0000B6140000}" name="Column5275"/>
    <tableColumn id="5303" xr3:uid="{00000000-0010-0000-2000-0000B7140000}" name="Column5276"/>
    <tableColumn id="5304" xr3:uid="{00000000-0010-0000-2000-0000B8140000}" name="Column5277"/>
    <tableColumn id="5305" xr3:uid="{00000000-0010-0000-2000-0000B9140000}" name="Column5278"/>
    <tableColumn id="5306" xr3:uid="{00000000-0010-0000-2000-0000BA140000}" name="Column5279"/>
    <tableColumn id="5307" xr3:uid="{00000000-0010-0000-2000-0000BB140000}" name="Column5280"/>
    <tableColumn id="5308" xr3:uid="{00000000-0010-0000-2000-0000BC140000}" name="Column5281"/>
    <tableColumn id="5309" xr3:uid="{00000000-0010-0000-2000-0000BD140000}" name="Column5282"/>
    <tableColumn id="5310" xr3:uid="{00000000-0010-0000-2000-0000BE140000}" name="Column5283"/>
    <tableColumn id="5311" xr3:uid="{00000000-0010-0000-2000-0000BF140000}" name="Column5284"/>
    <tableColumn id="5312" xr3:uid="{00000000-0010-0000-2000-0000C0140000}" name="Column5285"/>
    <tableColumn id="5313" xr3:uid="{00000000-0010-0000-2000-0000C1140000}" name="Column5286"/>
    <tableColumn id="5314" xr3:uid="{00000000-0010-0000-2000-0000C2140000}" name="Column5287"/>
    <tableColumn id="5315" xr3:uid="{00000000-0010-0000-2000-0000C3140000}" name="Column5288"/>
    <tableColumn id="5316" xr3:uid="{00000000-0010-0000-2000-0000C4140000}" name="Column5289"/>
    <tableColumn id="5317" xr3:uid="{00000000-0010-0000-2000-0000C5140000}" name="Column5290"/>
    <tableColumn id="5318" xr3:uid="{00000000-0010-0000-2000-0000C6140000}" name="Column5291"/>
    <tableColumn id="5319" xr3:uid="{00000000-0010-0000-2000-0000C7140000}" name="Column5292"/>
    <tableColumn id="5320" xr3:uid="{00000000-0010-0000-2000-0000C8140000}" name="Column5293"/>
    <tableColumn id="5321" xr3:uid="{00000000-0010-0000-2000-0000C9140000}" name="Column5294"/>
    <tableColumn id="5322" xr3:uid="{00000000-0010-0000-2000-0000CA140000}" name="Column5295"/>
    <tableColumn id="5323" xr3:uid="{00000000-0010-0000-2000-0000CB140000}" name="Column5296"/>
    <tableColumn id="5324" xr3:uid="{00000000-0010-0000-2000-0000CC140000}" name="Column5297"/>
    <tableColumn id="5325" xr3:uid="{00000000-0010-0000-2000-0000CD140000}" name="Column5298"/>
    <tableColumn id="5326" xr3:uid="{00000000-0010-0000-2000-0000CE140000}" name="Column5299"/>
    <tableColumn id="5327" xr3:uid="{00000000-0010-0000-2000-0000CF140000}" name="Column5300"/>
    <tableColumn id="5328" xr3:uid="{00000000-0010-0000-2000-0000D0140000}" name="Column5301"/>
    <tableColumn id="5329" xr3:uid="{00000000-0010-0000-2000-0000D1140000}" name="Column5302"/>
    <tableColumn id="5330" xr3:uid="{00000000-0010-0000-2000-0000D2140000}" name="Column5303"/>
    <tableColumn id="5331" xr3:uid="{00000000-0010-0000-2000-0000D3140000}" name="Column5304"/>
    <tableColumn id="5332" xr3:uid="{00000000-0010-0000-2000-0000D4140000}" name="Column5305"/>
    <tableColumn id="5333" xr3:uid="{00000000-0010-0000-2000-0000D5140000}" name="Column5306"/>
    <tableColumn id="5334" xr3:uid="{00000000-0010-0000-2000-0000D6140000}" name="Column5307"/>
    <tableColumn id="5335" xr3:uid="{00000000-0010-0000-2000-0000D7140000}" name="Column5308"/>
    <tableColumn id="5336" xr3:uid="{00000000-0010-0000-2000-0000D8140000}" name="Column5309"/>
    <tableColumn id="5337" xr3:uid="{00000000-0010-0000-2000-0000D9140000}" name="Column5310"/>
    <tableColumn id="5338" xr3:uid="{00000000-0010-0000-2000-0000DA140000}" name="Column5311"/>
    <tableColumn id="5339" xr3:uid="{00000000-0010-0000-2000-0000DB140000}" name="Column5312"/>
    <tableColumn id="5340" xr3:uid="{00000000-0010-0000-2000-0000DC140000}" name="Column5313"/>
    <tableColumn id="5341" xr3:uid="{00000000-0010-0000-2000-0000DD140000}" name="Column5314"/>
    <tableColumn id="5342" xr3:uid="{00000000-0010-0000-2000-0000DE140000}" name="Column5315"/>
    <tableColumn id="5343" xr3:uid="{00000000-0010-0000-2000-0000DF140000}" name="Column5316"/>
    <tableColumn id="5344" xr3:uid="{00000000-0010-0000-2000-0000E0140000}" name="Column5317"/>
    <tableColumn id="5345" xr3:uid="{00000000-0010-0000-2000-0000E1140000}" name="Column5318"/>
    <tableColumn id="5346" xr3:uid="{00000000-0010-0000-2000-0000E2140000}" name="Column5319"/>
    <tableColumn id="5347" xr3:uid="{00000000-0010-0000-2000-0000E3140000}" name="Column5320"/>
    <tableColumn id="5348" xr3:uid="{00000000-0010-0000-2000-0000E4140000}" name="Column5321"/>
    <tableColumn id="5349" xr3:uid="{00000000-0010-0000-2000-0000E5140000}" name="Column5322"/>
    <tableColumn id="5350" xr3:uid="{00000000-0010-0000-2000-0000E6140000}" name="Column5323"/>
    <tableColumn id="5351" xr3:uid="{00000000-0010-0000-2000-0000E7140000}" name="Column5324"/>
    <tableColumn id="5352" xr3:uid="{00000000-0010-0000-2000-0000E8140000}" name="Column5325"/>
    <tableColumn id="5353" xr3:uid="{00000000-0010-0000-2000-0000E9140000}" name="Column5326"/>
    <tableColumn id="5354" xr3:uid="{00000000-0010-0000-2000-0000EA140000}" name="Column5327"/>
    <tableColumn id="5355" xr3:uid="{00000000-0010-0000-2000-0000EB140000}" name="Column5328"/>
    <tableColumn id="5356" xr3:uid="{00000000-0010-0000-2000-0000EC140000}" name="Column5329"/>
    <tableColumn id="5357" xr3:uid="{00000000-0010-0000-2000-0000ED140000}" name="Column5330"/>
    <tableColumn id="5358" xr3:uid="{00000000-0010-0000-2000-0000EE140000}" name="Column5331"/>
    <tableColumn id="5359" xr3:uid="{00000000-0010-0000-2000-0000EF140000}" name="Column5332"/>
    <tableColumn id="5360" xr3:uid="{00000000-0010-0000-2000-0000F0140000}" name="Column5333"/>
    <tableColumn id="5361" xr3:uid="{00000000-0010-0000-2000-0000F1140000}" name="Column5334"/>
    <tableColumn id="5362" xr3:uid="{00000000-0010-0000-2000-0000F2140000}" name="Column5335"/>
    <tableColumn id="5363" xr3:uid="{00000000-0010-0000-2000-0000F3140000}" name="Column5336"/>
    <tableColumn id="5364" xr3:uid="{00000000-0010-0000-2000-0000F4140000}" name="Column5337"/>
    <tableColumn id="5365" xr3:uid="{00000000-0010-0000-2000-0000F5140000}" name="Column5338"/>
    <tableColumn id="5366" xr3:uid="{00000000-0010-0000-2000-0000F6140000}" name="Column5339"/>
    <tableColumn id="5367" xr3:uid="{00000000-0010-0000-2000-0000F7140000}" name="Column5340"/>
    <tableColumn id="5368" xr3:uid="{00000000-0010-0000-2000-0000F8140000}" name="Column5341"/>
    <tableColumn id="5369" xr3:uid="{00000000-0010-0000-2000-0000F9140000}" name="Column5342"/>
    <tableColumn id="5370" xr3:uid="{00000000-0010-0000-2000-0000FA140000}" name="Column5343"/>
    <tableColumn id="5371" xr3:uid="{00000000-0010-0000-2000-0000FB140000}" name="Column5344"/>
    <tableColumn id="5372" xr3:uid="{00000000-0010-0000-2000-0000FC140000}" name="Column5345"/>
    <tableColumn id="5373" xr3:uid="{00000000-0010-0000-2000-0000FD140000}" name="Column5346"/>
    <tableColumn id="5374" xr3:uid="{00000000-0010-0000-2000-0000FE140000}" name="Column5347"/>
    <tableColumn id="5375" xr3:uid="{00000000-0010-0000-2000-0000FF140000}" name="Column5348"/>
    <tableColumn id="5376" xr3:uid="{00000000-0010-0000-2000-000000150000}" name="Column5349"/>
    <tableColumn id="5377" xr3:uid="{00000000-0010-0000-2000-000001150000}" name="Column5350"/>
    <tableColumn id="5378" xr3:uid="{00000000-0010-0000-2000-000002150000}" name="Column5351"/>
    <tableColumn id="5379" xr3:uid="{00000000-0010-0000-2000-000003150000}" name="Column5352"/>
    <tableColumn id="5380" xr3:uid="{00000000-0010-0000-2000-000004150000}" name="Column5353"/>
    <tableColumn id="5381" xr3:uid="{00000000-0010-0000-2000-000005150000}" name="Column5354"/>
    <tableColumn id="5382" xr3:uid="{00000000-0010-0000-2000-000006150000}" name="Column5355"/>
    <tableColumn id="5383" xr3:uid="{00000000-0010-0000-2000-000007150000}" name="Column5356"/>
    <tableColumn id="5384" xr3:uid="{00000000-0010-0000-2000-000008150000}" name="Column5357"/>
    <tableColumn id="5385" xr3:uid="{00000000-0010-0000-2000-000009150000}" name="Column5358"/>
    <tableColumn id="5386" xr3:uid="{00000000-0010-0000-2000-00000A150000}" name="Column5359"/>
    <tableColumn id="5387" xr3:uid="{00000000-0010-0000-2000-00000B150000}" name="Column5360"/>
    <tableColumn id="5388" xr3:uid="{00000000-0010-0000-2000-00000C150000}" name="Column5361"/>
    <tableColumn id="5389" xr3:uid="{00000000-0010-0000-2000-00000D150000}" name="Column5362"/>
    <tableColumn id="5390" xr3:uid="{00000000-0010-0000-2000-00000E150000}" name="Column5363"/>
    <tableColumn id="5391" xr3:uid="{00000000-0010-0000-2000-00000F150000}" name="Column5364"/>
    <tableColumn id="5392" xr3:uid="{00000000-0010-0000-2000-000010150000}" name="Column5365"/>
    <tableColumn id="5393" xr3:uid="{00000000-0010-0000-2000-000011150000}" name="Column5366"/>
    <tableColumn id="5394" xr3:uid="{00000000-0010-0000-2000-000012150000}" name="Column5367"/>
    <tableColumn id="5395" xr3:uid="{00000000-0010-0000-2000-000013150000}" name="Column5368"/>
    <tableColumn id="5396" xr3:uid="{00000000-0010-0000-2000-000014150000}" name="Column5369"/>
    <tableColumn id="5397" xr3:uid="{00000000-0010-0000-2000-000015150000}" name="Column5370"/>
    <tableColumn id="5398" xr3:uid="{00000000-0010-0000-2000-000016150000}" name="Column5371"/>
    <tableColumn id="5399" xr3:uid="{00000000-0010-0000-2000-000017150000}" name="Column5372"/>
    <tableColumn id="5400" xr3:uid="{00000000-0010-0000-2000-000018150000}" name="Column5373"/>
    <tableColumn id="5401" xr3:uid="{00000000-0010-0000-2000-000019150000}" name="Column5374"/>
    <tableColumn id="5402" xr3:uid="{00000000-0010-0000-2000-00001A150000}" name="Column5375"/>
    <tableColumn id="5403" xr3:uid="{00000000-0010-0000-2000-00001B150000}" name="Column5376"/>
    <tableColumn id="5404" xr3:uid="{00000000-0010-0000-2000-00001C150000}" name="Column5377"/>
    <tableColumn id="5405" xr3:uid="{00000000-0010-0000-2000-00001D150000}" name="Column5378"/>
    <tableColumn id="5406" xr3:uid="{00000000-0010-0000-2000-00001E150000}" name="Column5379"/>
    <tableColumn id="5407" xr3:uid="{00000000-0010-0000-2000-00001F150000}" name="Column5380"/>
    <tableColumn id="5408" xr3:uid="{00000000-0010-0000-2000-000020150000}" name="Column5381"/>
    <tableColumn id="5409" xr3:uid="{00000000-0010-0000-2000-000021150000}" name="Column5382"/>
    <tableColumn id="5410" xr3:uid="{00000000-0010-0000-2000-000022150000}" name="Column5383"/>
    <tableColumn id="5411" xr3:uid="{00000000-0010-0000-2000-000023150000}" name="Column5384"/>
    <tableColumn id="5412" xr3:uid="{00000000-0010-0000-2000-000024150000}" name="Column5385"/>
    <tableColumn id="5413" xr3:uid="{00000000-0010-0000-2000-000025150000}" name="Column5386"/>
    <tableColumn id="5414" xr3:uid="{00000000-0010-0000-2000-000026150000}" name="Column5387"/>
    <tableColumn id="5415" xr3:uid="{00000000-0010-0000-2000-000027150000}" name="Column5388"/>
    <tableColumn id="5416" xr3:uid="{00000000-0010-0000-2000-000028150000}" name="Column5389"/>
    <tableColumn id="5417" xr3:uid="{00000000-0010-0000-2000-000029150000}" name="Column5390"/>
    <tableColumn id="5418" xr3:uid="{00000000-0010-0000-2000-00002A150000}" name="Column5391"/>
    <tableColumn id="5419" xr3:uid="{00000000-0010-0000-2000-00002B150000}" name="Column5392"/>
    <tableColumn id="5420" xr3:uid="{00000000-0010-0000-2000-00002C150000}" name="Column5393"/>
    <tableColumn id="5421" xr3:uid="{00000000-0010-0000-2000-00002D150000}" name="Column5394"/>
    <tableColumn id="5422" xr3:uid="{00000000-0010-0000-2000-00002E150000}" name="Column5395"/>
    <tableColumn id="5423" xr3:uid="{00000000-0010-0000-2000-00002F150000}" name="Column5396"/>
    <tableColumn id="5424" xr3:uid="{00000000-0010-0000-2000-000030150000}" name="Column5397"/>
    <tableColumn id="5425" xr3:uid="{00000000-0010-0000-2000-000031150000}" name="Column5398"/>
    <tableColumn id="5426" xr3:uid="{00000000-0010-0000-2000-000032150000}" name="Column5399"/>
    <tableColumn id="5427" xr3:uid="{00000000-0010-0000-2000-000033150000}" name="Column5400"/>
    <tableColumn id="5428" xr3:uid="{00000000-0010-0000-2000-000034150000}" name="Column5401"/>
    <tableColumn id="5429" xr3:uid="{00000000-0010-0000-2000-000035150000}" name="Column5402"/>
    <tableColumn id="5430" xr3:uid="{00000000-0010-0000-2000-000036150000}" name="Column5403"/>
    <tableColumn id="5431" xr3:uid="{00000000-0010-0000-2000-000037150000}" name="Column5404"/>
    <tableColumn id="5432" xr3:uid="{00000000-0010-0000-2000-000038150000}" name="Column5405"/>
    <tableColumn id="5433" xr3:uid="{00000000-0010-0000-2000-000039150000}" name="Column5406"/>
    <tableColumn id="5434" xr3:uid="{00000000-0010-0000-2000-00003A150000}" name="Column5407"/>
    <tableColumn id="5435" xr3:uid="{00000000-0010-0000-2000-00003B150000}" name="Column5408"/>
    <tableColumn id="5436" xr3:uid="{00000000-0010-0000-2000-00003C150000}" name="Column5409"/>
    <tableColumn id="5437" xr3:uid="{00000000-0010-0000-2000-00003D150000}" name="Column5410"/>
    <tableColumn id="5438" xr3:uid="{00000000-0010-0000-2000-00003E150000}" name="Column5411"/>
    <tableColumn id="5439" xr3:uid="{00000000-0010-0000-2000-00003F150000}" name="Column5412"/>
    <tableColumn id="5440" xr3:uid="{00000000-0010-0000-2000-000040150000}" name="Column5413"/>
    <tableColumn id="5441" xr3:uid="{00000000-0010-0000-2000-000041150000}" name="Column5414"/>
    <tableColumn id="5442" xr3:uid="{00000000-0010-0000-2000-000042150000}" name="Column5415"/>
    <tableColumn id="5443" xr3:uid="{00000000-0010-0000-2000-000043150000}" name="Column5416"/>
    <tableColumn id="5444" xr3:uid="{00000000-0010-0000-2000-000044150000}" name="Column5417"/>
    <tableColumn id="5445" xr3:uid="{00000000-0010-0000-2000-000045150000}" name="Column5418"/>
    <tableColumn id="5446" xr3:uid="{00000000-0010-0000-2000-000046150000}" name="Column5419"/>
    <tableColumn id="5447" xr3:uid="{00000000-0010-0000-2000-000047150000}" name="Column5420"/>
    <tableColumn id="5448" xr3:uid="{00000000-0010-0000-2000-000048150000}" name="Column5421"/>
    <tableColumn id="5449" xr3:uid="{00000000-0010-0000-2000-000049150000}" name="Column5422"/>
    <tableColumn id="5450" xr3:uid="{00000000-0010-0000-2000-00004A150000}" name="Column5423"/>
    <tableColumn id="5451" xr3:uid="{00000000-0010-0000-2000-00004B150000}" name="Column5424"/>
    <tableColumn id="5452" xr3:uid="{00000000-0010-0000-2000-00004C150000}" name="Column5425"/>
    <tableColumn id="5453" xr3:uid="{00000000-0010-0000-2000-00004D150000}" name="Column5426"/>
    <tableColumn id="5454" xr3:uid="{00000000-0010-0000-2000-00004E150000}" name="Column5427"/>
    <tableColumn id="5455" xr3:uid="{00000000-0010-0000-2000-00004F150000}" name="Column5428"/>
    <tableColumn id="5456" xr3:uid="{00000000-0010-0000-2000-000050150000}" name="Column5429"/>
    <tableColumn id="5457" xr3:uid="{00000000-0010-0000-2000-000051150000}" name="Column5430"/>
    <tableColumn id="5458" xr3:uid="{00000000-0010-0000-2000-000052150000}" name="Column5431"/>
    <tableColumn id="5459" xr3:uid="{00000000-0010-0000-2000-000053150000}" name="Column5432"/>
    <tableColumn id="5460" xr3:uid="{00000000-0010-0000-2000-000054150000}" name="Column5433"/>
    <tableColumn id="5461" xr3:uid="{00000000-0010-0000-2000-000055150000}" name="Column5434"/>
    <tableColumn id="5462" xr3:uid="{00000000-0010-0000-2000-000056150000}" name="Column5435"/>
    <tableColumn id="5463" xr3:uid="{00000000-0010-0000-2000-000057150000}" name="Column5436"/>
    <tableColumn id="5464" xr3:uid="{00000000-0010-0000-2000-000058150000}" name="Column5437"/>
    <tableColumn id="5465" xr3:uid="{00000000-0010-0000-2000-000059150000}" name="Column5438"/>
    <tableColumn id="5466" xr3:uid="{00000000-0010-0000-2000-00005A150000}" name="Column5439"/>
    <tableColumn id="5467" xr3:uid="{00000000-0010-0000-2000-00005B150000}" name="Column5440"/>
    <tableColumn id="5468" xr3:uid="{00000000-0010-0000-2000-00005C150000}" name="Column5441"/>
    <tableColumn id="5469" xr3:uid="{00000000-0010-0000-2000-00005D150000}" name="Column5442"/>
    <tableColumn id="5470" xr3:uid="{00000000-0010-0000-2000-00005E150000}" name="Column5443"/>
    <tableColumn id="5471" xr3:uid="{00000000-0010-0000-2000-00005F150000}" name="Column5444"/>
    <tableColumn id="5472" xr3:uid="{00000000-0010-0000-2000-000060150000}" name="Column5445"/>
    <tableColumn id="5473" xr3:uid="{00000000-0010-0000-2000-000061150000}" name="Column5446"/>
    <tableColumn id="5474" xr3:uid="{00000000-0010-0000-2000-000062150000}" name="Column5447"/>
    <tableColumn id="5475" xr3:uid="{00000000-0010-0000-2000-000063150000}" name="Column5448"/>
    <tableColumn id="5476" xr3:uid="{00000000-0010-0000-2000-000064150000}" name="Column5449"/>
    <tableColumn id="5477" xr3:uid="{00000000-0010-0000-2000-000065150000}" name="Column5450"/>
    <tableColumn id="5478" xr3:uid="{00000000-0010-0000-2000-000066150000}" name="Column5451"/>
    <tableColumn id="5479" xr3:uid="{00000000-0010-0000-2000-000067150000}" name="Column5452"/>
    <tableColumn id="5480" xr3:uid="{00000000-0010-0000-2000-000068150000}" name="Column5453"/>
    <tableColumn id="5481" xr3:uid="{00000000-0010-0000-2000-000069150000}" name="Column5454"/>
    <tableColumn id="5482" xr3:uid="{00000000-0010-0000-2000-00006A150000}" name="Column5455"/>
    <tableColumn id="5483" xr3:uid="{00000000-0010-0000-2000-00006B150000}" name="Column5456"/>
    <tableColumn id="5484" xr3:uid="{00000000-0010-0000-2000-00006C150000}" name="Column5457"/>
    <tableColumn id="5485" xr3:uid="{00000000-0010-0000-2000-00006D150000}" name="Column5458"/>
    <tableColumn id="5486" xr3:uid="{00000000-0010-0000-2000-00006E150000}" name="Column5459"/>
    <tableColumn id="5487" xr3:uid="{00000000-0010-0000-2000-00006F150000}" name="Column5460"/>
    <tableColumn id="5488" xr3:uid="{00000000-0010-0000-2000-000070150000}" name="Column5461"/>
    <tableColumn id="5489" xr3:uid="{00000000-0010-0000-2000-000071150000}" name="Column5462"/>
    <tableColumn id="5490" xr3:uid="{00000000-0010-0000-2000-000072150000}" name="Column5463"/>
    <tableColumn id="5491" xr3:uid="{00000000-0010-0000-2000-000073150000}" name="Column5464"/>
    <tableColumn id="5492" xr3:uid="{00000000-0010-0000-2000-000074150000}" name="Column5465"/>
    <tableColumn id="5493" xr3:uid="{00000000-0010-0000-2000-000075150000}" name="Column5466"/>
    <tableColumn id="5494" xr3:uid="{00000000-0010-0000-2000-000076150000}" name="Column5467"/>
    <tableColumn id="5495" xr3:uid="{00000000-0010-0000-2000-000077150000}" name="Column5468"/>
    <tableColumn id="5496" xr3:uid="{00000000-0010-0000-2000-000078150000}" name="Column5469"/>
    <tableColumn id="5497" xr3:uid="{00000000-0010-0000-2000-000079150000}" name="Column5470"/>
    <tableColumn id="5498" xr3:uid="{00000000-0010-0000-2000-00007A150000}" name="Column5471"/>
    <tableColumn id="5499" xr3:uid="{00000000-0010-0000-2000-00007B150000}" name="Column5472"/>
    <tableColumn id="5500" xr3:uid="{00000000-0010-0000-2000-00007C150000}" name="Column5473"/>
    <tableColumn id="5501" xr3:uid="{00000000-0010-0000-2000-00007D150000}" name="Column5474"/>
    <tableColumn id="5502" xr3:uid="{00000000-0010-0000-2000-00007E150000}" name="Column5475"/>
    <tableColumn id="5503" xr3:uid="{00000000-0010-0000-2000-00007F150000}" name="Column5476"/>
    <tableColumn id="5504" xr3:uid="{00000000-0010-0000-2000-000080150000}" name="Column5477"/>
    <tableColumn id="5505" xr3:uid="{00000000-0010-0000-2000-000081150000}" name="Column5478"/>
    <tableColumn id="5506" xr3:uid="{00000000-0010-0000-2000-000082150000}" name="Column5479"/>
    <tableColumn id="5507" xr3:uid="{00000000-0010-0000-2000-000083150000}" name="Column5480"/>
    <tableColumn id="5508" xr3:uid="{00000000-0010-0000-2000-000084150000}" name="Column5481"/>
    <tableColumn id="5509" xr3:uid="{00000000-0010-0000-2000-000085150000}" name="Column5482"/>
    <tableColumn id="5510" xr3:uid="{00000000-0010-0000-2000-000086150000}" name="Column5483"/>
    <tableColumn id="5511" xr3:uid="{00000000-0010-0000-2000-000087150000}" name="Column5484"/>
    <tableColumn id="5512" xr3:uid="{00000000-0010-0000-2000-000088150000}" name="Column5485"/>
    <tableColumn id="5513" xr3:uid="{00000000-0010-0000-2000-000089150000}" name="Column5486"/>
    <tableColumn id="5514" xr3:uid="{00000000-0010-0000-2000-00008A150000}" name="Column5487"/>
    <tableColumn id="5515" xr3:uid="{00000000-0010-0000-2000-00008B150000}" name="Column5488"/>
    <tableColumn id="5516" xr3:uid="{00000000-0010-0000-2000-00008C150000}" name="Column5489"/>
    <tableColumn id="5517" xr3:uid="{00000000-0010-0000-2000-00008D150000}" name="Column5490"/>
    <tableColumn id="5518" xr3:uid="{00000000-0010-0000-2000-00008E150000}" name="Column5491"/>
    <tableColumn id="5519" xr3:uid="{00000000-0010-0000-2000-00008F150000}" name="Column5492"/>
    <tableColumn id="5520" xr3:uid="{00000000-0010-0000-2000-000090150000}" name="Column5493"/>
    <tableColumn id="5521" xr3:uid="{00000000-0010-0000-2000-000091150000}" name="Column5494"/>
    <tableColumn id="5522" xr3:uid="{00000000-0010-0000-2000-000092150000}" name="Column5495"/>
    <tableColumn id="5523" xr3:uid="{00000000-0010-0000-2000-000093150000}" name="Column5496"/>
    <tableColumn id="5524" xr3:uid="{00000000-0010-0000-2000-000094150000}" name="Column5497"/>
    <tableColumn id="5525" xr3:uid="{00000000-0010-0000-2000-000095150000}" name="Column5498"/>
    <tableColumn id="5526" xr3:uid="{00000000-0010-0000-2000-000096150000}" name="Column5499"/>
    <tableColumn id="5527" xr3:uid="{00000000-0010-0000-2000-000097150000}" name="Column5500"/>
    <tableColumn id="5528" xr3:uid="{00000000-0010-0000-2000-000098150000}" name="Column5501"/>
    <tableColumn id="5529" xr3:uid="{00000000-0010-0000-2000-000099150000}" name="Column5502"/>
    <tableColumn id="5530" xr3:uid="{00000000-0010-0000-2000-00009A150000}" name="Column5503"/>
    <tableColumn id="5531" xr3:uid="{00000000-0010-0000-2000-00009B150000}" name="Column5504"/>
    <tableColumn id="5532" xr3:uid="{00000000-0010-0000-2000-00009C150000}" name="Column5505"/>
    <tableColumn id="5533" xr3:uid="{00000000-0010-0000-2000-00009D150000}" name="Column5506"/>
    <tableColumn id="5534" xr3:uid="{00000000-0010-0000-2000-00009E150000}" name="Column5507"/>
    <tableColumn id="5535" xr3:uid="{00000000-0010-0000-2000-00009F150000}" name="Column5508"/>
    <tableColumn id="5536" xr3:uid="{00000000-0010-0000-2000-0000A0150000}" name="Column5509"/>
    <tableColumn id="5537" xr3:uid="{00000000-0010-0000-2000-0000A1150000}" name="Column5510"/>
    <tableColumn id="5538" xr3:uid="{00000000-0010-0000-2000-0000A2150000}" name="Column5511"/>
    <tableColumn id="5539" xr3:uid="{00000000-0010-0000-2000-0000A3150000}" name="Column5512"/>
    <tableColumn id="5540" xr3:uid="{00000000-0010-0000-2000-0000A4150000}" name="Column5513"/>
    <tableColumn id="5541" xr3:uid="{00000000-0010-0000-2000-0000A5150000}" name="Column5514"/>
    <tableColumn id="5542" xr3:uid="{00000000-0010-0000-2000-0000A6150000}" name="Column5515"/>
    <tableColumn id="5543" xr3:uid="{00000000-0010-0000-2000-0000A7150000}" name="Column5516"/>
    <tableColumn id="5544" xr3:uid="{00000000-0010-0000-2000-0000A8150000}" name="Column5517"/>
    <tableColumn id="5545" xr3:uid="{00000000-0010-0000-2000-0000A9150000}" name="Column5518"/>
    <tableColumn id="5546" xr3:uid="{00000000-0010-0000-2000-0000AA150000}" name="Column5519"/>
    <tableColumn id="5547" xr3:uid="{00000000-0010-0000-2000-0000AB150000}" name="Column5520"/>
    <tableColumn id="5548" xr3:uid="{00000000-0010-0000-2000-0000AC150000}" name="Column5521"/>
    <tableColumn id="5549" xr3:uid="{00000000-0010-0000-2000-0000AD150000}" name="Column5522"/>
    <tableColumn id="5550" xr3:uid="{00000000-0010-0000-2000-0000AE150000}" name="Column5523"/>
    <tableColumn id="5551" xr3:uid="{00000000-0010-0000-2000-0000AF150000}" name="Column5524"/>
    <tableColumn id="5552" xr3:uid="{00000000-0010-0000-2000-0000B0150000}" name="Column5525"/>
    <tableColumn id="5553" xr3:uid="{00000000-0010-0000-2000-0000B1150000}" name="Column5526"/>
    <tableColumn id="5554" xr3:uid="{00000000-0010-0000-2000-0000B2150000}" name="Column5527"/>
    <tableColumn id="5555" xr3:uid="{00000000-0010-0000-2000-0000B3150000}" name="Column5528"/>
    <tableColumn id="5556" xr3:uid="{00000000-0010-0000-2000-0000B4150000}" name="Column5529"/>
    <tableColumn id="5557" xr3:uid="{00000000-0010-0000-2000-0000B5150000}" name="Column5530"/>
    <tableColumn id="5558" xr3:uid="{00000000-0010-0000-2000-0000B6150000}" name="Column5531"/>
    <tableColumn id="5559" xr3:uid="{00000000-0010-0000-2000-0000B7150000}" name="Column5532"/>
    <tableColumn id="5560" xr3:uid="{00000000-0010-0000-2000-0000B8150000}" name="Column5533"/>
    <tableColumn id="5561" xr3:uid="{00000000-0010-0000-2000-0000B9150000}" name="Column5534"/>
    <tableColumn id="5562" xr3:uid="{00000000-0010-0000-2000-0000BA150000}" name="Column5535"/>
    <tableColumn id="5563" xr3:uid="{00000000-0010-0000-2000-0000BB150000}" name="Column5536"/>
    <tableColumn id="5564" xr3:uid="{00000000-0010-0000-2000-0000BC150000}" name="Column5537"/>
    <tableColumn id="5565" xr3:uid="{00000000-0010-0000-2000-0000BD150000}" name="Column5538"/>
    <tableColumn id="5566" xr3:uid="{00000000-0010-0000-2000-0000BE150000}" name="Column5539"/>
    <tableColumn id="5567" xr3:uid="{00000000-0010-0000-2000-0000BF150000}" name="Column5540"/>
    <tableColumn id="5568" xr3:uid="{00000000-0010-0000-2000-0000C0150000}" name="Column5541"/>
    <tableColumn id="5569" xr3:uid="{00000000-0010-0000-2000-0000C1150000}" name="Column5542"/>
    <tableColumn id="5570" xr3:uid="{00000000-0010-0000-2000-0000C2150000}" name="Column5543"/>
    <tableColumn id="5571" xr3:uid="{00000000-0010-0000-2000-0000C3150000}" name="Column5544"/>
    <tableColumn id="5572" xr3:uid="{00000000-0010-0000-2000-0000C4150000}" name="Column5545"/>
    <tableColumn id="5573" xr3:uid="{00000000-0010-0000-2000-0000C5150000}" name="Column5546"/>
    <tableColumn id="5574" xr3:uid="{00000000-0010-0000-2000-0000C6150000}" name="Column5547"/>
    <tableColumn id="5575" xr3:uid="{00000000-0010-0000-2000-0000C7150000}" name="Column5548"/>
    <tableColumn id="5576" xr3:uid="{00000000-0010-0000-2000-0000C8150000}" name="Column5549"/>
    <tableColumn id="5577" xr3:uid="{00000000-0010-0000-2000-0000C9150000}" name="Column5550"/>
    <tableColumn id="5578" xr3:uid="{00000000-0010-0000-2000-0000CA150000}" name="Column5551"/>
    <tableColumn id="5579" xr3:uid="{00000000-0010-0000-2000-0000CB150000}" name="Column5552"/>
    <tableColumn id="5580" xr3:uid="{00000000-0010-0000-2000-0000CC150000}" name="Column5553"/>
    <tableColumn id="5581" xr3:uid="{00000000-0010-0000-2000-0000CD150000}" name="Column5554"/>
    <tableColumn id="5582" xr3:uid="{00000000-0010-0000-2000-0000CE150000}" name="Column5555"/>
    <tableColumn id="5583" xr3:uid="{00000000-0010-0000-2000-0000CF150000}" name="Column5556"/>
    <tableColumn id="5584" xr3:uid="{00000000-0010-0000-2000-0000D0150000}" name="Column5557"/>
    <tableColumn id="5585" xr3:uid="{00000000-0010-0000-2000-0000D1150000}" name="Column5558"/>
    <tableColumn id="5586" xr3:uid="{00000000-0010-0000-2000-0000D2150000}" name="Column5559"/>
    <tableColumn id="5587" xr3:uid="{00000000-0010-0000-2000-0000D3150000}" name="Column5560"/>
    <tableColumn id="5588" xr3:uid="{00000000-0010-0000-2000-0000D4150000}" name="Column5561"/>
    <tableColumn id="5589" xr3:uid="{00000000-0010-0000-2000-0000D5150000}" name="Column5562"/>
    <tableColumn id="5590" xr3:uid="{00000000-0010-0000-2000-0000D6150000}" name="Column5563"/>
    <tableColumn id="5591" xr3:uid="{00000000-0010-0000-2000-0000D7150000}" name="Column5564"/>
    <tableColumn id="5592" xr3:uid="{00000000-0010-0000-2000-0000D8150000}" name="Column5565"/>
    <tableColumn id="5593" xr3:uid="{00000000-0010-0000-2000-0000D9150000}" name="Column5566"/>
    <tableColumn id="5594" xr3:uid="{00000000-0010-0000-2000-0000DA150000}" name="Column5567"/>
    <tableColumn id="5595" xr3:uid="{00000000-0010-0000-2000-0000DB150000}" name="Column5568"/>
    <tableColumn id="5596" xr3:uid="{00000000-0010-0000-2000-0000DC150000}" name="Column5569"/>
    <tableColumn id="5597" xr3:uid="{00000000-0010-0000-2000-0000DD150000}" name="Column5570"/>
    <tableColumn id="5598" xr3:uid="{00000000-0010-0000-2000-0000DE150000}" name="Column5571"/>
    <tableColumn id="5599" xr3:uid="{00000000-0010-0000-2000-0000DF150000}" name="Column5572"/>
    <tableColumn id="5600" xr3:uid="{00000000-0010-0000-2000-0000E0150000}" name="Column5573"/>
    <tableColumn id="5601" xr3:uid="{00000000-0010-0000-2000-0000E1150000}" name="Column5574"/>
    <tableColumn id="5602" xr3:uid="{00000000-0010-0000-2000-0000E2150000}" name="Column5575"/>
    <tableColumn id="5603" xr3:uid="{00000000-0010-0000-2000-0000E3150000}" name="Column5576"/>
    <tableColumn id="5604" xr3:uid="{00000000-0010-0000-2000-0000E4150000}" name="Column5577"/>
    <tableColumn id="5605" xr3:uid="{00000000-0010-0000-2000-0000E5150000}" name="Column5578"/>
    <tableColumn id="5606" xr3:uid="{00000000-0010-0000-2000-0000E6150000}" name="Column5579"/>
    <tableColumn id="5607" xr3:uid="{00000000-0010-0000-2000-0000E7150000}" name="Column5580"/>
    <tableColumn id="5608" xr3:uid="{00000000-0010-0000-2000-0000E8150000}" name="Column5581"/>
    <tableColumn id="5609" xr3:uid="{00000000-0010-0000-2000-0000E9150000}" name="Column5582"/>
    <tableColumn id="5610" xr3:uid="{00000000-0010-0000-2000-0000EA150000}" name="Column5583"/>
    <tableColumn id="5611" xr3:uid="{00000000-0010-0000-2000-0000EB150000}" name="Column5584"/>
    <tableColumn id="5612" xr3:uid="{00000000-0010-0000-2000-0000EC150000}" name="Column5585"/>
    <tableColumn id="5613" xr3:uid="{00000000-0010-0000-2000-0000ED150000}" name="Column5586"/>
    <tableColumn id="5614" xr3:uid="{00000000-0010-0000-2000-0000EE150000}" name="Column5587"/>
    <tableColumn id="5615" xr3:uid="{00000000-0010-0000-2000-0000EF150000}" name="Column5588"/>
    <tableColumn id="5616" xr3:uid="{00000000-0010-0000-2000-0000F0150000}" name="Column5589"/>
    <tableColumn id="5617" xr3:uid="{00000000-0010-0000-2000-0000F1150000}" name="Column5590"/>
    <tableColumn id="5618" xr3:uid="{00000000-0010-0000-2000-0000F2150000}" name="Column5591"/>
    <tableColumn id="5619" xr3:uid="{00000000-0010-0000-2000-0000F3150000}" name="Column5592"/>
    <tableColumn id="5620" xr3:uid="{00000000-0010-0000-2000-0000F4150000}" name="Column5593"/>
    <tableColumn id="5621" xr3:uid="{00000000-0010-0000-2000-0000F5150000}" name="Column5594"/>
    <tableColumn id="5622" xr3:uid="{00000000-0010-0000-2000-0000F6150000}" name="Column5595"/>
    <tableColumn id="5623" xr3:uid="{00000000-0010-0000-2000-0000F7150000}" name="Column5596"/>
    <tableColumn id="5624" xr3:uid="{00000000-0010-0000-2000-0000F8150000}" name="Column5597"/>
    <tableColumn id="5625" xr3:uid="{00000000-0010-0000-2000-0000F9150000}" name="Column5598"/>
    <tableColumn id="5626" xr3:uid="{00000000-0010-0000-2000-0000FA150000}" name="Column5599"/>
    <tableColumn id="5627" xr3:uid="{00000000-0010-0000-2000-0000FB150000}" name="Column5600"/>
    <tableColumn id="5628" xr3:uid="{00000000-0010-0000-2000-0000FC150000}" name="Column5601"/>
    <tableColumn id="5629" xr3:uid="{00000000-0010-0000-2000-0000FD150000}" name="Column5602"/>
    <tableColumn id="5630" xr3:uid="{00000000-0010-0000-2000-0000FE150000}" name="Column5603"/>
    <tableColumn id="5631" xr3:uid="{00000000-0010-0000-2000-0000FF150000}" name="Column5604"/>
    <tableColumn id="5632" xr3:uid="{00000000-0010-0000-2000-000000160000}" name="Column5605"/>
    <tableColumn id="5633" xr3:uid="{00000000-0010-0000-2000-000001160000}" name="Column5606"/>
    <tableColumn id="5634" xr3:uid="{00000000-0010-0000-2000-000002160000}" name="Column5607"/>
    <tableColumn id="5635" xr3:uid="{00000000-0010-0000-2000-000003160000}" name="Column5608"/>
    <tableColumn id="5636" xr3:uid="{00000000-0010-0000-2000-000004160000}" name="Column5609"/>
    <tableColumn id="5637" xr3:uid="{00000000-0010-0000-2000-000005160000}" name="Column5610"/>
    <tableColumn id="5638" xr3:uid="{00000000-0010-0000-2000-000006160000}" name="Column5611"/>
    <tableColumn id="5639" xr3:uid="{00000000-0010-0000-2000-000007160000}" name="Column5612"/>
    <tableColumn id="5640" xr3:uid="{00000000-0010-0000-2000-000008160000}" name="Column5613"/>
    <tableColumn id="5641" xr3:uid="{00000000-0010-0000-2000-000009160000}" name="Column5614"/>
    <tableColumn id="5642" xr3:uid="{00000000-0010-0000-2000-00000A160000}" name="Column5615"/>
    <tableColumn id="5643" xr3:uid="{00000000-0010-0000-2000-00000B160000}" name="Column5616"/>
    <tableColumn id="5644" xr3:uid="{00000000-0010-0000-2000-00000C160000}" name="Column5617"/>
    <tableColumn id="5645" xr3:uid="{00000000-0010-0000-2000-00000D160000}" name="Column5618"/>
    <tableColumn id="5646" xr3:uid="{00000000-0010-0000-2000-00000E160000}" name="Column5619"/>
    <tableColumn id="5647" xr3:uid="{00000000-0010-0000-2000-00000F160000}" name="Column5620"/>
    <tableColumn id="5648" xr3:uid="{00000000-0010-0000-2000-000010160000}" name="Column5621"/>
    <tableColumn id="5649" xr3:uid="{00000000-0010-0000-2000-000011160000}" name="Column5622"/>
    <tableColumn id="5650" xr3:uid="{00000000-0010-0000-2000-000012160000}" name="Column5623"/>
    <tableColumn id="5651" xr3:uid="{00000000-0010-0000-2000-000013160000}" name="Column5624"/>
    <tableColumn id="5652" xr3:uid="{00000000-0010-0000-2000-000014160000}" name="Column5625"/>
    <tableColumn id="5653" xr3:uid="{00000000-0010-0000-2000-000015160000}" name="Column5626"/>
    <tableColumn id="5654" xr3:uid="{00000000-0010-0000-2000-000016160000}" name="Column5627"/>
    <tableColumn id="5655" xr3:uid="{00000000-0010-0000-2000-000017160000}" name="Column5628"/>
    <tableColumn id="5656" xr3:uid="{00000000-0010-0000-2000-000018160000}" name="Column5629"/>
    <tableColumn id="5657" xr3:uid="{00000000-0010-0000-2000-000019160000}" name="Column5630"/>
    <tableColumn id="5658" xr3:uid="{00000000-0010-0000-2000-00001A160000}" name="Column5631"/>
    <tableColumn id="5659" xr3:uid="{00000000-0010-0000-2000-00001B160000}" name="Column5632"/>
    <tableColumn id="5660" xr3:uid="{00000000-0010-0000-2000-00001C160000}" name="Column5633"/>
    <tableColumn id="5661" xr3:uid="{00000000-0010-0000-2000-00001D160000}" name="Column5634"/>
    <tableColumn id="5662" xr3:uid="{00000000-0010-0000-2000-00001E160000}" name="Column5635"/>
    <tableColumn id="5663" xr3:uid="{00000000-0010-0000-2000-00001F160000}" name="Column5636"/>
    <tableColumn id="5664" xr3:uid="{00000000-0010-0000-2000-000020160000}" name="Column5637"/>
    <tableColumn id="5665" xr3:uid="{00000000-0010-0000-2000-000021160000}" name="Column5638"/>
    <tableColumn id="5666" xr3:uid="{00000000-0010-0000-2000-000022160000}" name="Column5639"/>
    <tableColumn id="5667" xr3:uid="{00000000-0010-0000-2000-000023160000}" name="Column5640"/>
    <tableColumn id="5668" xr3:uid="{00000000-0010-0000-2000-000024160000}" name="Column5641"/>
    <tableColumn id="5669" xr3:uid="{00000000-0010-0000-2000-000025160000}" name="Column5642"/>
    <tableColumn id="5670" xr3:uid="{00000000-0010-0000-2000-000026160000}" name="Column5643"/>
    <tableColumn id="5671" xr3:uid="{00000000-0010-0000-2000-000027160000}" name="Column5644"/>
    <tableColumn id="5672" xr3:uid="{00000000-0010-0000-2000-000028160000}" name="Column5645"/>
    <tableColumn id="5673" xr3:uid="{00000000-0010-0000-2000-000029160000}" name="Column5646"/>
    <tableColumn id="5674" xr3:uid="{00000000-0010-0000-2000-00002A160000}" name="Column5647"/>
    <tableColumn id="5675" xr3:uid="{00000000-0010-0000-2000-00002B160000}" name="Column5648"/>
    <tableColumn id="5676" xr3:uid="{00000000-0010-0000-2000-00002C160000}" name="Column5649"/>
    <tableColumn id="5677" xr3:uid="{00000000-0010-0000-2000-00002D160000}" name="Column5650"/>
    <tableColumn id="5678" xr3:uid="{00000000-0010-0000-2000-00002E160000}" name="Column5651"/>
    <tableColumn id="5679" xr3:uid="{00000000-0010-0000-2000-00002F160000}" name="Column5652"/>
    <tableColumn id="5680" xr3:uid="{00000000-0010-0000-2000-000030160000}" name="Column5653"/>
    <tableColumn id="5681" xr3:uid="{00000000-0010-0000-2000-000031160000}" name="Column5654"/>
    <tableColumn id="5682" xr3:uid="{00000000-0010-0000-2000-000032160000}" name="Column5655"/>
    <tableColumn id="5683" xr3:uid="{00000000-0010-0000-2000-000033160000}" name="Column5656"/>
    <tableColumn id="5684" xr3:uid="{00000000-0010-0000-2000-000034160000}" name="Column5657"/>
    <tableColumn id="5685" xr3:uid="{00000000-0010-0000-2000-000035160000}" name="Column5658"/>
    <tableColumn id="5686" xr3:uid="{00000000-0010-0000-2000-000036160000}" name="Column5659"/>
    <tableColumn id="5687" xr3:uid="{00000000-0010-0000-2000-000037160000}" name="Column5660"/>
    <tableColumn id="5688" xr3:uid="{00000000-0010-0000-2000-000038160000}" name="Column5661"/>
    <tableColumn id="5689" xr3:uid="{00000000-0010-0000-2000-000039160000}" name="Column5662"/>
    <tableColumn id="5690" xr3:uid="{00000000-0010-0000-2000-00003A160000}" name="Column5663"/>
    <tableColumn id="5691" xr3:uid="{00000000-0010-0000-2000-00003B160000}" name="Column5664"/>
    <tableColumn id="5692" xr3:uid="{00000000-0010-0000-2000-00003C160000}" name="Column5665"/>
    <tableColumn id="5693" xr3:uid="{00000000-0010-0000-2000-00003D160000}" name="Column5666"/>
    <tableColumn id="5694" xr3:uid="{00000000-0010-0000-2000-00003E160000}" name="Column5667"/>
    <tableColumn id="5695" xr3:uid="{00000000-0010-0000-2000-00003F160000}" name="Column5668"/>
    <tableColumn id="5696" xr3:uid="{00000000-0010-0000-2000-000040160000}" name="Column5669"/>
    <tableColumn id="5697" xr3:uid="{00000000-0010-0000-2000-000041160000}" name="Column5670"/>
    <tableColumn id="5698" xr3:uid="{00000000-0010-0000-2000-000042160000}" name="Column5671"/>
    <tableColumn id="5699" xr3:uid="{00000000-0010-0000-2000-000043160000}" name="Column5672"/>
    <tableColumn id="5700" xr3:uid="{00000000-0010-0000-2000-000044160000}" name="Column5673"/>
    <tableColumn id="5701" xr3:uid="{00000000-0010-0000-2000-000045160000}" name="Column5674"/>
    <tableColumn id="5702" xr3:uid="{00000000-0010-0000-2000-000046160000}" name="Column5675"/>
    <tableColumn id="5703" xr3:uid="{00000000-0010-0000-2000-000047160000}" name="Column5676"/>
    <tableColumn id="5704" xr3:uid="{00000000-0010-0000-2000-000048160000}" name="Column5677"/>
    <tableColumn id="5705" xr3:uid="{00000000-0010-0000-2000-000049160000}" name="Column5678"/>
    <tableColumn id="5706" xr3:uid="{00000000-0010-0000-2000-00004A160000}" name="Column5679"/>
    <tableColumn id="5707" xr3:uid="{00000000-0010-0000-2000-00004B160000}" name="Column5680"/>
    <tableColumn id="5708" xr3:uid="{00000000-0010-0000-2000-00004C160000}" name="Column5681"/>
    <tableColumn id="5709" xr3:uid="{00000000-0010-0000-2000-00004D160000}" name="Column5682"/>
    <tableColumn id="5710" xr3:uid="{00000000-0010-0000-2000-00004E160000}" name="Column5683"/>
    <tableColumn id="5711" xr3:uid="{00000000-0010-0000-2000-00004F160000}" name="Column5684"/>
    <tableColumn id="5712" xr3:uid="{00000000-0010-0000-2000-000050160000}" name="Column5685"/>
    <tableColumn id="5713" xr3:uid="{00000000-0010-0000-2000-000051160000}" name="Column5686"/>
    <tableColumn id="5714" xr3:uid="{00000000-0010-0000-2000-000052160000}" name="Column5687"/>
    <tableColumn id="5715" xr3:uid="{00000000-0010-0000-2000-000053160000}" name="Column5688"/>
    <tableColumn id="5716" xr3:uid="{00000000-0010-0000-2000-000054160000}" name="Column5689"/>
    <tableColumn id="5717" xr3:uid="{00000000-0010-0000-2000-000055160000}" name="Column5690"/>
    <tableColumn id="5718" xr3:uid="{00000000-0010-0000-2000-000056160000}" name="Column5691"/>
    <tableColumn id="5719" xr3:uid="{00000000-0010-0000-2000-000057160000}" name="Column5692"/>
    <tableColumn id="5720" xr3:uid="{00000000-0010-0000-2000-000058160000}" name="Column5693"/>
    <tableColumn id="5721" xr3:uid="{00000000-0010-0000-2000-000059160000}" name="Column5694"/>
    <tableColumn id="5722" xr3:uid="{00000000-0010-0000-2000-00005A160000}" name="Column5695"/>
    <tableColumn id="5723" xr3:uid="{00000000-0010-0000-2000-00005B160000}" name="Column5696"/>
    <tableColumn id="5724" xr3:uid="{00000000-0010-0000-2000-00005C160000}" name="Column5697"/>
    <tableColumn id="5725" xr3:uid="{00000000-0010-0000-2000-00005D160000}" name="Column5698"/>
    <tableColumn id="5726" xr3:uid="{00000000-0010-0000-2000-00005E160000}" name="Column5699"/>
    <tableColumn id="5727" xr3:uid="{00000000-0010-0000-2000-00005F160000}" name="Column5700"/>
    <tableColumn id="5728" xr3:uid="{00000000-0010-0000-2000-000060160000}" name="Column5701"/>
    <tableColumn id="5729" xr3:uid="{00000000-0010-0000-2000-000061160000}" name="Column5702"/>
    <tableColumn id="5730" xr3:uid="{00000000-0010-0000-2000-000062160000}" name="Column5703"/>
    <tableColumn id="5731" xr3:uid="{00000000-0010-0000-2000-000063160000}" name="Column5704"/>
    <tableColumn id="5732" xr3:uid="{00000000-0010-0000-2000-000064160000}" name="Column5705"/>
    <tableColumn id="5733" xr3:uid="{00000000-0010-0000-2000-000065160000}" name="Column5706"/>
    <tableColumn id="5734" xr3:uid="{00000000-0010-0000-2000-000066160000}" name="Column5707"/>
    <tableColumn id="5735" xr3:uid="{00000000-0010-0000-2000-000067160000}" name="Column5708"/>
    <tableColumn id="5736" xr3:uid="{00000000-0010-0000-2000-000068160000}" name="Column5709"/>
    <tableColumn id="5737" xr3:uid="{00000000-0010-0000-2000-000069160000}" name="Column5710"/>
    <tableColumn id="5738" xr3:uid="{00000000-0010-0000-2000-00006A160000}" name="Column5711"/>
    <tableColumn id="5739" xr3:uid="{00000000-0010-0000-2000-00006B160000}" name="Column5712"/>
    <tableColumn id="5740" xr3:uid="{00000000-0010-0000-2000-00006C160000}" name="Column5713"/>
    <tableColumn id="5741" xr3:uid="{00000000-0010-0000-2000-00006D160000}" name="Column5714"/>
    <tableColumn id="5742" xr3:uid="{00000000-0010-0000-2000-00006E160000}" name="Column5715"/>
    <tableColumn id="5743" xr3:uid="{00000000-0010-0000-2000-00006F160000}" name="Column5716"/>
    <tableColumn id="5744" xr3:uid="{00000000-0010-0000-2000-000070160000}" name="Column5717"/>
    <tableColumn id="5745" xr3:uid="{00000000-0010-0000-2000-000071160000}" name="Column5718"/>
    <tableColumn id="5746" xr3:uid="{00000000-0010-0000-2000-000072160000}" name="Column5719"/>
    <tableColumn id="5747" xr3:uid="{00000000-0010-0000-2000-000073160000}" name="Column5720"/>
    <tableColumn id="5748" xr3:uid="{00000000-0010-0000-2000-000074160000}" name="Column5721"/>
    <tableColumn id="5749" xr3:uid="{00000000-0010-0000-2000-000075160000}" name="Column5722"/>
    <tableColumn id="5750" xr3:uid="{00000000-0010-0000-2000-000076160000}" name="Column5723"/>
    <tableColumn id="5751" xr3:uid="{00000000-0010-0000-2000-000077160000}" name="Column5724"/>
    <tableColumn id="5752" xr3:uid="{00000000-0010-0000-2000-000078160000}" name="Column5725"/>
    <tableColumn id="5753" xr3:uid="{00000000-0010-0000-2000-000079160000}" name="Column5726"/>
    <tableColumn id="5754" xr3:uid="{00000000-0010-0000-2000-00007A160000}" name="Column5727"/>
    <tableColumn id="5755" xr3:uid="{00000000-0010-0000-2000-00007B160000}" name="Column5728"/>
    <tableColumn id="5756" xr3:uid="{00000000-0010-0000-2000-00007C160000}" name="Column5729"/>
    <tableColumn id="5757" xr3:uid="{00000000-0010-0000-2000-00007D160000}" name="Column5730"/>
    <tableColumn id="5758" xr3:uid="{00000000-0010-0000-2000-00007E160000}" name="Column5731"/>
    <tableColumn id="5759" xr3:uid="{00000000-0010-0000-2000-00007F160000}" name="Column5732"/>
    <tableColumn id="5760" xr3:uid="{00000000-0010-0000-2000-000080160000}" name="Column5733"/>
    <tableColumn id="5761" xr3:uid="{00000000-0010-0000-2000-000081160000}" name="Column5734"/>
    <tableColumn id="5762" xr3:uid="{00000000-0010-0000-2000-000082160000}" name="Column5735"/>
    <tableColumn id="5763" xr3:uid="{00000000-0010-0000-2000-000083160000}" name="Column5736"/>
    <tableColumn id="5764" xr3:uid="{00000000-0010-0000-2000-000084160000}" name="Column5737"/>
    <tableColumn id="5765" xr3:uid="{00000000-0010-0000-2000-000085160000}" name="Column5738"/>
    <tableColumn id="5766" xr3:uid="{00000000-0010-0000-2000-000086160000}" name="Column5739"/>
    <tableColumn id="5767" xr3:uid="{00000000-0010-0000-2000-000087160000}" name="Column5740"/>
    <tableColumn id="5768" xr3:uid="{00000000-0010-0000-2000-000088160000}" name="Column5741"/>
    <tableColumn id="5769" xr3:uid="{00000000-0010-0000-2000-000089160000}" name="Column5742"/>
    <tableColumn id="5770" xr3:uid="{00000000-0010-0000-2000-00008A160000}" name="Column5743"/>
    <tableColumn id="5771" xr3:uid="{00000000-0010-0000-2000-00008B160000}" name="Column5744"/>
    <tableColumn id="5772" xr3:uid="{00000000-0010-0000-2000-00008C160000}" name="Column5745"/>
    <tableColumn id="5773" xr3:uid="{00000000-0010-0000-2000-00008D160000}" name="Column5746"/>
    <tableColumn id="5774" xr3:uid="{00000000-0010-0000-2000-00008E160000}" name="Column5747"/>
    <tableColumn id="5775" xr3:uid="{00000000-0010-0000-2000-00008F160000}" name="Column5748"/>
    <tableColumn id="5776" xr3:uid="{00000000-0010-0000-2000-000090160000}" name="Column5749"/>
    <tableColumn id="5777" xr3:uid="{00000000-0010-0000-2000-000091160000}" name="Column5750"/>
    <tableColumn id="5778" xr3:uid="{00000000-0010-0000-2000-000092160000}" name="Column5751"/>
    <tableColumn id="5779" xr3:uid="{00000000-0010-0000-2000-000093160000}" name="Column5752"/>
    <tableColumn id="5780" xr3:uid="{00000000-0010-0000-2000-000094160000}" name="Column5753"/>
    <tableColumn id="5781" xr3:uid="{00000000-0010-0000-2000-000095160000}" name="Column5754"/>
    <tableColumn id="5782" xr3:uid="{00000000-0010-0000-2000-000096160000}" name="Column5755"/>
    <tableColumn id="5783" xr3:uid="{00000000-0010-0000-2000-000097160000}" name="Column5756"/>
    <tableColumn id="5784" xr3:uid="{00000000-0010-0000-2000-000098160000}" name="Column5757"/>
    <tableColumn id="5785" xr3:uid="{00000000-0010-0000-2000-000099160000}" name="Column5758"/>
    <tableColumn id="5786" xr3:uid="{00000000-0010-0000-2000-00009A160000}" name="Column5759"/>
    <tableColumn id="5787" xr3:uid="{00000000-0010-0000-2000-00009B160000}" name="Column5760"/>
    <tableColumn id="5788" xr3:uid="{00000000-0010-0000-2000-00009C160000}" name="Column5761"/>
    <tableColumn id="5789" xr3:uid="{00000000-0010-0000-2000-00009D160000}" name="Column5762"/>
    <tableColumn id="5790" xr3:uid="{00000000-0010-0000-2000-00009E160000}" name="Column5763"/>
    <tableColumn id="5791" xr3:uid="{00000000-0010-0000-2000-00009F160000}" name="Column5764"/>
    <tableColumn id="5792" xr3:uid="{00000000-0010-0000-2000-0000A0160000}" name="Column5765"/>
    <tableColumn id="5793" xr3:uid="{00000000-0010-0000-2000-0000A1160000}" name="Column5766"/>
    <tableColumn id="5794" xr3:uid="{00000000-0010-0000-2000-0000A2160000}" name="Column5767"/>
    <tableColumn id="5795" xr3:uid="{00000000-0010-0000-2000-0000A3160000}" name="Column5768"/>
    <tableColumn id="5796" xr3:uid="{00000000-0010-0000-2000-0000A4160000}" name="Column5769"/>
    <tableColumn id="5797" xr3:uid="{00000000-0010-0000-2000-0000A5160000}" name="Column5770"/>
    <tableColumn id="5798" xr3:uid="{00000000-0010-0000-2000-0000A6160000}" name="Column5771"/>
    <tableColumn id="5799" xr3:uid="{00000000-0010-0000-2000-0000A7160000}" name="Column5772"/>
    <tableColumn id="5800" xr3:uid="{00000000-0010-0000-2000-0000A8160000}" name="Column5773"/>
    <tableColumn id="5801" xr3:uid="{00000000-0010-0000-2000-0000A9160000}" name="Column5774"/>
    <tableColumn id="5802" xr3:uid="{00000000-0010-0000-2000-0000AA160000}" name="Column5775"/>
    <tableColumn id="5803" xr3:uid="{00000000-0010-0000-2000-0000AB160000}" name="Column5776"/>
    <tableColumn id="5804" xr3:uid="{00000000-0010-0000-2000-0000AC160000}" name="Column5777"/>
    <tableColumn id="5805" xr3:uid="{00000000-0010-0000-2000-0000AD160000}" name="Column5778"/>
    <tableColumn id="5806" xr3:uid="{00000000-0010-0000-2000-0000AE160000}" name="Column5779"/>
    <tableColumn id="5807" xr3:uid="{00000000-0010-0000-2000-0000AF160000}" name="Column5780"/>
    <tableColumn id="5808" xr3:uid="{00000000-0010-0000-2000-0000B0160000}" name="Column5781"/>
    <tableColumn id="5809" xr3:uid="{00000000-0010-0000-2000-0000B1160000}" name="Column5782"/>
    <tableColumn id="5810" xr3:uid="{00000000-0010-0000-2000-0000B2160000}" name="Column5783"/>
    <tableColumn id="5811" xr3:uid="{00000000-0010-0000-2000-0000B3160000}" name="Column5784"/>
    <tableColumn id="5812" xr3:uid="{00000000-0010-0000-2000-0000B4160000}" name="Column5785"/>
    <tableColumn id="5813" xr3:uid="{00000000-0010-0000-2000-0000B5160000}" name="Column5786"/>
    <tableColumn id="5814" xr3:uid="{00000000-0010-0000-2000-0000B6160000}" name="Column5787"/>
    <tableColumn id="5815" xr3:uid="{00000000-0010-0000-2000-0000B7160000}" name="Column5788"/>
    <tableColumn id="5816" xr3:uid="{00000000-0010-0000-2000-0000B8160000}" name="Column5789"/>
    <tableColumn id="5817" xr3:uid="{00000000-0010-0000-2000-0000B9160000}" name="Column5790"/>
    <tableColumn id="5818" xr3:uid="{00000000-0010-0000-2000-0000BA160000}" name="Column5791"/>
    <tableColumn id="5819" xr3:uid="{00000000-0010-0000-2000-0000BB160000}" name="Column5792"/>
    <tableColumn id="5820" xr3:uid="{00000000-0010-0000-2000-0000BC160000}" name="Column5793"/>
    <tableColumn id="5821" xr3:uid="{00000000-0010-0000-2000-0000BD160000}" name="Column5794"/>
    <tableColumn id="5822" xr3:uid="{00000000-0010-0000-2000-0000BE160000}" name="Column5795"/>
    <tableColumn id="5823" xr3:uid="{00000000-0010-0000-2000-0000BF160000}" name="Column5796"/>
    <tableColumn id="5824" xr3:uid="{00000000-0010-0000-2000-0000C0160000}" name="Column5797"/>
    <tableColumn id="5825" xr3:uid="{00000000-0010-0000-2000-0000C1160000}" name="Column5798"/>
    <tableColumn id="5826" xr3:uid="{00000000-0010-0000-2000-0000C2160000}" name="Column5799"/>
    <tableColumn id="5827" xr3:uid="{00000000-0010-0000-2000-0000C3160000}" name="Column5800"/>
    <tableColumn id="5828" xr3:uid="{00000000-0010-0000-2000-0000C4160000}" name="Column5801"/>
    <tableColumn id="5829" xr3:uid="{00000000-0010-0000-2000-0000C5160000}" name="Column5802"/>
    <tableColumn id="5830" xr3:uid="{00000000-0010-0000-2000-0000C6160000}" name="Column5803"/>
    <tableColumn id="5831" xr3:uid="{00000000-0010-0000-2000-0000C7160000}" name="Column5804"/>
    <tableColumn id="5832" xr3:uid="{00000000-0010-0000-2000-0000C8160000}" name="Column5805"/>
    <tableColumn id="5833" xr3:uid="{00000000-0010-0000-2000-0000C9160000}" name="Column5806"/>
    <tableColumn id="5834" xr3:uid="{00000000-0010-0000-2000-0000CA160000}" name="Column5807"/>
    <tableColumn id="5835" xr3:uid="{00000000-0010-0000-2000-0000CB160000}" name="Column5808"/>
    <tableColumn id="5836" xr3:uid="{00000000-0010-0000-2000-0000CC160000}" name="Column5809"/>
    <tableColumn id="5837" xr3:uid="{00000000-0010-0000-2000-0000CD160000}" name="Column5810"/>
    <tableColumn id="5838" xr3:uid="{00000000-0010-0000-2000-0000CE160000}" name="Column5811"/>
    <tableColumn id="5839" xr3:uid="{00000000-0010-0000-2000-0000CF160000}" name="Column5812"/>
    <tableColumn id="5840" xr3:uid="{00000000-0010-0000-2000-0000D0160000}" name="Column5813"/>
    <tableColumn id="5841" xr3:uid="{00000000-0010-0000-2000-0000D1160000}" name="Column5814"/>
    <tableColumn id="5842" xr3:uid="{00000000-0010-0000-2000-0000D2160000}" name="Column5815"/>
    <tableColumn id="5843" xr3:uid="{00000000-0010-0000-2000-0000D3160000}" name="Column5816"/>
    <tableColumn id="5844" xr3:uid="{00000000-0010-0000-2000-0000D4160000}" name="Column5817"/>
    <tableColumn id="5845" xr3:uid="{00000000-0010-0000-2000-0000D5160000}" name="Column5818"/>
    <tableColumn id="5846" xr3:uid="{00000000-0010-0000-2000-0000D6160000}" name="Column5819"/>
    <tableColumn id="5847" xr3:uid="{00000000-0010-0000-2000-0000D7160000}" name="Column5820"/>
    <tableColumn id="5848" xr3:uid="{00000000-0010-0000-2000-0000D8160000}" name="Column5821"/>
    <tableColumn id="5849" xr3:uid="{00000000-0010-0000-2000-0000D9160000}" name="Column5822"/>
    <tableColumn id="5850" xr3:uid="{00000000-0010-0000-2000-0000DA160000}" name="Column5823"/>
    <tableColumn id="5851" xr3:uid="{00000000-0010-0000-2000-0000DB160000}" name="Column5824"/>
    <tableColumn id="5852" xr3:uid="{00000000-0010-0000-2000-0000DC160000}" name="Column5825"/>
    <tableColumn id="5853" xr3:uid="{00000000-0010-0000-2000-0000DD160000}" name="Column5826"/>
    <tableColumn id="5854" xr3:uid="{00000000-0010-0000-2000-0000DE160000}" name="Column5827"/>
    <tableColumn id="5855" xr3:uid="{00000000-0010-0000-2000-0000DF160000}" name="Column5828"/>
    <tableColumn id="5856" xr3:uid="{00000000-0010-0000-2000-0000E0160000}" name="Column5829"/>
    <tableColumn id="5857" xr3:uid="{00000000-0010-0000-2000-0000E1160000}" name="Column5830"/>
    <tableColumn id="5858" xr3:uid="{00000000-0010-0000-2000-0000E2160000}" name="Column5831"/>
    <tableColumn id="5859" xr3:uid="{00000000-0010-0000-2000-0000E3160000}" name="Column5832"/>
    <tableColumn id="5860" xr3:uid="{00000000-0010-0000-2000-0000E4160000}" name="Column5833"/>
    <tableColumn id="5861" xr3:uid="{00000000-0010-0000-2000-0000E5160000}" name="Column5834"/>
    <tableColumn id="5862" xr3:uid="{00000000-0010-0000-2000-0000E6160000}" name="Column5835"/>
    <tableColumn id="5863" xr3:uid="{00000000-0010-0000-2000-0000E7160000}" name="Column5836"/>
    <tableColumn id="5864" xr3:uid="{00000000-0010-0000-2000-0000E8160000}" name="Column5837"/>
    <tableColumn id="5865" xr3:uid="{00000000-0010-0000-2000-0000E9160000}" name="Column5838"/>
    <tableColumn id="5866" xr3:uid="{00000000-0010-0000-2000-0000EA160000}" name="Column5839"/>
    <tableColumn id="5867" xr3:uid="{00000000-0010-0000-2000-0000EB160000}" name="Column5840"/>
    <tableColumn id="5868" xr3:uid="{00000000-0010-0000-2000-0000EC160000}" name="Column5841"/>
    <tableColumn id="5869" xr3:uid="{00000000-0010-0000-2000-0000ED160000}" name="Column5842"/>
    <tableColumn id="5870" xr3:uid="{00000000-0010-0000-2000-0000EE160000}" name="Column5843"/>
    <tableColumn id="5871" xr3:uid="{00000000-0010-0000-2000-0000EF160000}" name="Column5844"/>
    <tableColumn id="5872" xr3:uid="{00000000-0010-0000-2000-0000F0160000}" name="Column5845"/>
    <tableColumn id="5873" xr3:uid="{00000000-0010-0000-2000-0000F1160000}" name="Column5846"/>
    <tableColumn id="5874" xr3:uid="{00000000-0010-0000-2000-0000F2160000}" name="Column5847"/>
    <tableColumn id="5875" xr3:uid="{00000000-0010-0000-2000-0000F3160000}" name="Column5848"/>
    <tableColumn id="5876" xr3:uid="{00000000-0010-0000-2000-0000F4160000}" name="Column5849"/>
    <tableColumn id="5877" xr3:uid="{00000000-0010-0000-2000-0000F5160000}" name="Column5850"/>
    <tableColumn id="5878" xr3:uid="{00000000-0010-0000-2000-0000F6160000}" name="Column5851"/>
    <tableColumn id="5879" xr3:uid="{00000000-0010-0000-2000-0000F7160000}" name="Column5852"/>
    <tableColumn id="5880" xr3:uid="{00000000-0010-0000-2000-0000F8160000}" name="Column5853"/>
    <tableColumn id="5881" xr3:uid="{00000000-0010-0000-2000-0000F9160000}" name="Column5854"/>
    <tableColumn id="5882" xr3:uid="{00000000-0010-0000-2000-0000FA160000}" name="Column5855"/>
    <tableColumn id="5883" xr3:uid="{00000000-0010-0000-2000-0000FB160000}" name="Column5856"/>
    <tableColumn id="5884" xr3:uid="{00000000-0010-0000-2000-0000FC160000}" name="Column5857"/>
    <tableColumn id="5885" xr3:uid="{00000000-0010-0000-2000-0000FD160000}" name="Column5858"/>
    <tableColumn id="5886" xr3:uid="{00000000-0010-0000-2000-0000FE160000}" name="Column5859"/>
    <tableColumn id="5887" xr3:uid="{00000000-0010-0000-2000-0000FF160000}" name="Column5860"/>
    <tableColumn id="5888" xr3:uid="{00000000-0010-0000-2000-000000170000}" name="Column5861"/>
    <tableColumn id="5889" xr3:uid="{00000000-0010-0000-2000-000001170000}" name="Column5862"/>
    <tableColumn id="5890" xr3:uid="{00000000-0010-0000-2000-000002170000}" name="Column5863"/>
    <tableColumn id="5891" xr3:uid="{00000000-0010-0000-2000-000003170000}" name="Column5864"/>
    <tableColumn id="5892" xr3:uid="{00000000-0010-0000-2000-000004170000}" name="Column5865"/>
    <tableColumn id="5893" xr3:uid="{00000000-0010-0000-2000-000005170000}" name="Column5866"/>
    <tableColumn id="5894" xr3:uid="{00000000-0010-0000-2000-000006170000}" name="Column5867"/>
    <tableColumn id="5895" xr3:uid="{00000000-0010-0000-2000-000007170000}" name="Column5868"/>
    <tableColumn id="5896" xr3:uid="{00000000-0010-0000-2000-000008170000}" name="Column5869"/>
    <tableColumn id="5897" xr3:uid="{00000000-0010-0000-2000-000009170000}" name="Column5870"/>
    <tableColumn id="5898" xr3:uid="{00000000-0010-0000-2000-00000A170000}" name="Column5871"/>
    <tableColumn id="5899" xr3:uid="{00000000-0010-0000-2000-00000B170000}" name="Column5872"/>
    <tableColumn id="5900" xr3:uid="{00000000-0010-0000-2000-00000C170000}" name="Column5873"/>
    <tableColumn id="5901" xr3:uid="{00000000-0010-0000-2000-00000D170000}" name="Column5874"/>
    <tableColumn id="5902" xr3:uid="{00000000-0010-0000-2000-00000E170000}" name="Column5875"/>
    <tableColumn id="5903" xr3:uid="{00000000-0010-0000-2000-00000F170000}" name="Column5876"/>
    <tableColumn id="5904" xr3:uid="{00000000-0010-0000-2000-000010170000}" name="Column5877"/>
    <tableColumn id="5905" xr3:uid="{00000000-0010-0000-2000-000011170000}" name="Column5878"/>
    <tableColumn id="5906" xr3:uid="{00000000-0010-0000-2000-000012170000}" name="Column5879"/>
    <tableColumn id="5907" xr3:uid="{00000000-0010-0000-2000-000013170000}" name="Column5880"/>
    <tableColumn id="5908" xr3:uid="{00000000-0010-0000-2000-000014170000}" name="Column5881"/>
    <tableColumn id="5909" xr3:uid="{00000000-0010-0000-2000-000015170000}" name="Column5882"/>
    <tableColumn id="5910" xr3:uid="{00000000-0010-0000-2000-000016170000}" name="Column5883"/>
    <tableColumn id="5911" xr3:uid="{00000000-0010-0000-2000-000017170000}" name="Column5884"/>
    <tableColumn id="5912" xr3:uid="{00000000-0010-0000-2000-000018170000}" name="Column5885"/>
    <tableColumn id="5913" xr3:uid="{00000000-0010-0000-2000-000019170000}" name="Column5886"/>
    <tableColumn id="5914" xr3:uid="{00000000-0010-0000-2000-00001A170000}" name="Column5887"/>
    <tableColumn id="5915" xr3:uid="{00000000-0010-0000-2000-00001B170000}" name="Column5888"/>
    <tableColumn id="5916" xr3:uid="{00000000-0010-0000-2000-00001C170000}" name="Column5889"/>
    <tableColumn id="5917" xr3:uid="{00000000-0010-0000-2000-00001D170000}" name="Column5890"/>
    <tableColumn id="5918" xr3:uid="{00000000-0010-0000-2000-00001E170000}" name="Column5891"/>
    <tableColumn id="5919" xr3:uid="{00000000-0010-0000-2000-00001F170000}" name="Column5892"/>
    <tableColumn id="5920" xr3:uid="{00000000-0010-0000-2000-000020170000}" name="Column5893"/>
    <tableColumn id="5921" xr3:uid="{00000000-0010-0000-2000-000021170000}" name="Column5894"/>
    <tableColumn id="5922" xr3:uid="{00000000-0010-0000-2000-000022170000}" name="Column5895"/>
    <tableColumn id="5923" xr3:uid="{00000000-0010-0000-2000-000023170000}" name="Column5896"/>
    <tableColumn id="5924" xr3:uid="{00000000-0010-0000-2000-000024170000}" name="Column5897"/>
    <tableColumn id="5925" xr3:uid="{00000000-0010-0000-2000-000025170000}" name="Column5898"/>
    <tableColumn id="5926" xr3:uid="{00000000-0010-0000-2000-000026170000}" name="Column5899"/>
    <tableColumn id="5927" xr3:uid="{00000000-0010-0000-2000-000027170000}" name="Column5900"/>
    <tableColumn id="5928" xr3:uid="{00000000-0010-0000-2000-000028170000}" name="Column5901"/>
    <tableColumn id="5929" xr3:uid="{00000000-0010-0000-2000-000029170000}" name="Column5902"/>
    <tableColumn id="5930" xr3:uid="{00000000-0010-0000-2000-00002A170000}" name="Column5903"/>
    <tableColumn id="5931" xr3:uid="{00000000-0010-0000-2000-00002B170000}" name="Column5904"/>
    <tableColumn id="5932" xr3:uid="{00000000-0010-0000-2000-00002C170000}" name="Column5905"/>
    <tableColumn id="5933" xr3:uid="{00000000-0010-0000-2000-00002D170000}" name="Column5906"/>
    <tableColumn id="5934" xr3:uid="{00000000-0010-0000-2000-00002E170000}" name="Column5907"/>
    <tableColumn id="5935" xr3:uid="{00000000-0010-0000-2000-00002F170000}" name="Column5908"/>
    <tableColumn id="5936" xr3:uid="{00000000-0010-0000-2000-000030170000}" name="Column5909"/>
    <tableColumn id="5937" xr3:uid="{00000000-0010-0000-2000-000031170000}" name="Column5910"/>
    <tableColumn id="5938" xr3:uid="{00000000-0010-0000-2000-000032170000}" name="Column5911"/>
    <tableColumn id="5939" xr3:uid="{00000000-0010-0000-2000-000033170000}" name="Column5912"/>
    <tableColumn id="5940" xr3:uid="{00000000-0010-0000-2000-000034170000}" name="Column5913"/>
    <tableColumn id="5941" xr3:uid="{00000000-0010-0000-2000-000035170000}" name="Column5914"/>
    <tableColumn id="5942" xr3:uid="{00000000-0010-0000-2000-000036170000}" name="Column5915"/>
    <tableColumn id="5943" xr3:uid="{00000000-0010-0000-2000-000037170000}" name="Column5916"/>
    <tableColumn id="5944" xr3:uid="{00000000-0010-0000-2000-000038170000}" name="Column5917"/>
    <tableColumn id="5945" xr3:uid="{00000000-0010-0000-2000-000039170000}" name="Column5918"/>
    <tableColumn id="5946" xr3:uid="{00000000-0010-0000-2000-00003A170000}" name="Column5919"/>
    <tableColumn id="5947" xr3:uid="{00000000-0010-0000-2000-00003B170000}" name="Column5920"/>
    <tableColumn id="5948" xr3:uid="{00000000-0010-0000-2000-00003C170000}" name="Column5921"/>
    <tableColumn id="5949" xr3:uid="{00000000-0010-0000-2000-00003D170000}" name="Column5922"/>
    <tableColumn id="5950" xr3:uid="{00000000-0010-0000-2000-00003E170000}" name="Column5923"/>
    <tableColumn id="5951" xr3:uid="{00000000-0010-0000-2000-00003F170000}" name="Column5924"/>
    <tableColumn id="5952" xr3:uid="{00000000-0010-0000-2000-000040170000}" name="Column5925"/>
    <tableColumn id="5953" xr3:uid="{00000000-0010-0000-2000-000041170000}" name="Column5926"/>
    <tableColumn id="5954" xr3:uid="{00000000-0010-0000-2000-000042170000}" name="Column5927"/>
    <tableColumn id="5955" xr3:uid="{00000000-0010-0000-2000-000043170000}" name="Column5928"/>
    <tableColumn id="5956" xr3:uid="{00000000-0010-0000-2000-000044170000}" name="Column5929"/>
    <tableColumn id="5957" xr3:uid="{00000000-0010-0000-2000-000045170000}" name="Column5930"/>
    <tableColumn id="5958" xr3:uid="{00000000-0010-0000-2000-000046170000}" name="Column5931"/>
    <tableColumn id="5959" xr3:uid="{00000000-0010-0000-2000-000047170000}" name="Column5932"/>
    <tableColumn id="5960" xr3:uid="{00000000-0010-0000-2000-000048170000}" name="Column5933"/>
    <tableColumn id="5961" xr3:uid="{00000000-0010-0000-2000-000049170000}" name="Column5934"/>
    <tableColumn id="5962" xr3:uid="{00000000-0010-0000-2000-00004A170000}" name="Column5935"/>
    <tableColumn id="5963" xr3:uid="{00000000-0010-0000-2000-00004B170000}" name="Column5936"/>
    <tableColumn id="5964" xr3:uid="{00000000-0010-0000-2000-00004C170000}" name="Column5937"/>
    <tableColumn id="5965" xr3:uid="{00000000-0010-0000-2000-00004D170000}" name="Column5938"/>
    <tableColumn id="5966" xr3:uid="{00000000-0010-0000-2000-00004E170000}" name="Column5939"/>
    <tableColumn id="5967" xr3:uid="{00000000-0010-0000-2000-00004F170000}" name="Column5940"/>
    <tableColumn id="5968" xr3:uid="{00000000-0010-0000-2000-000050170000}" name="Column5941"/>
    <tableColumn id="5969" xr3:uid="{00000000-0010-0000-2000-000051170000}" name="Column5942"/>
    <tableColumn id="5970" xr3:uid="{00000000-0010-0000-2000-000052170000}" name="Column5943"/>
    <tableColumn id="5971" xr3:uid="{00000000-0010-0000-2000-000053170000}" name="Column5944"/>
    <tableColumn id="5972" xr3:uid="{00000000-0010-0000-2000-000054170000}" name="Column5945"/>
    <tableColumn id="5973" xr3:uid="{00000000-0010-0000-2000-000055170000}" name="Column5946"/>
    <tableColumn id="5974" xr3:uid="{00000000-0010-0000-2000-000056170000}" name="Column5947"/>
    <tableColumn id="5975" xr3:uid="{00000000-0010-0000-2000-000057170000}" name="Column5948"/>
    <tableColumn id="5976" xr3:uid="{00000000-0010-0000-2000-000058170000}" name="Column5949"/>
    <tableColumn id="5977" xr3:uid="{00000000-0010-0000-2000-000059170000}" name="Column5950"/>
    <tableColumn id="5978" xr3:uid="{00000000-0010-0000-2000-00005A170000}" name="Column5951"/>
    <tableColumn id="5979" xr3:uid="{00000000-0010-0000-2000-00005B170000}" name="Column5952"/>
    <tableColumn id="5980" xr3:uid="{00000000-0010-0000-2000-00005C170000}" name="Column5953"/>
    <tableColumn id="5981" xr3:uid="{00000000-0010-0000-2000-00005D170000}" name="Column5954"/>
    <tableColumn id="5982" xr3:uid="{00000000-0010-0000-2000-00005E170000}" name="Column5955"/>
    <tableColumn id="5983" xr3:uid="{00000000-0010-0000-2000-00005F170000}" name="Column5956"/>
    <tableColumn id="5984" xr3:uid="{00000000-0010-0000-2000-000060170000}" name="Column5957"/>
    <tableColumn id="5985" xr3:uid="{00000000-0010-0000-2000-000061170000}" name="Column5958"/>
    <tableColumn id="5986" xr3:uid="{00000000-0010-0000-2000-000062170000}" name="Column5959"/>
    <tableColumn id="5987" xr3:uid="{00000000-0010-0000-2000-000063170000}" name="Column5960"/>
    <tableColumn id="5988" xr3:uid="{00000000-0010-0000-2000-000064170000}" name="Column5961"/>
    <tableColumn id="5989" xr3:uid="{00000000-0010-0000-2000-000065170000}" name="Column5962"/>
    <tableColumn id="5990" xr3:uid="{00000000-0010-0000-2000-000066170000}" name="Column5963"/>
    <tableColumn id="5991" xr3:uid="{00000000-0010-0000-2000-000067170000}" name="Column5964"/>
    <tableColumn id="5992" xr3:uid="{00000000-0010-0000-2000-000068170000}" name="Column5965"/>
    <tableColumn id="5993" xr3:uid="{00000000-0010-0000-2000-000069170000}" name="Column5966"/>
    <tableColumn id="5994" xr3:uid="{00000000-0010-0000-2000-00006A170000}" name="Column5967"/>
    <tableColumn id="5995" xr3:uid="{00000000-0010-0000-2000-00006B170000}" name="Column5968"/>
    <tableColumn id="5996" xr3:uid="{00000000-0010-0000-2000-00006C170000}" name="Column5969"/>
    <tableColumn id="5997" xr3:uid="{00000000-0010-0000-2000-00006D170000}" name="Column5970"/>
    <tableColumn id="5998" xr3:uid="{00000000-0010-0000-2000-00006E170000}" name="Column5971"/>
    <tableColumn id="5999" xr3:uid="{00000000-0010-0000-2000-00006F170000}" name="Column5972"/>
    <tableColumn id="6000" xr3:uid="{00000000-0010-0000-2000-000070170000}" name="Column5973"/>
    <tableColumn id="6001" xr3:uid="{00000000-0010-0000-2000-000071170000}" name="Column5974"/>
    <tableColumn id="6002" xr3:uid="{00000000-0010-0000-2000-000072170000}" name="Column5975"/>
    <tableColumn id="6003" xr3:uid="{00000000-0010-0000-2000-000073170000}" name="Column5976"/>
    <tableColumn id="6004" xr3:uid="{00000000-0010-0000-2000-000074170000}" name="Column5977"/>
    <tableColumn id="6005" xr3:uid="{00000000-0010-0000-2000-000075170000}" name="Column5978"/>
    <tableColumn id="6006" xr3:uid="{00000000-0010-0000-2000-000076170000}" name="Column5979"/>
    <tableColumn id="6007" xr3:uid="{00000000-0010-0000-2000-000077170000}" name="Column5980"/>
    <tableColumn id="6008" xr3:uid="{00000000-0010-0000-2000-000078170000}" name="Column5981"/>
    <tableColumn id="6009" xr3:uid="{00000000-0010-0000-2000-000079170000}" name="Column5982"/>
    <tableColumn id="6010" xr3:uid="{00000000-0010-0000-2000-00007A170000}" name="Column5983"/>
    <tableColumn id="6011" xr3:uid="{00000000-0010-0000-2000-00007B170000}" name="Column5984"/>
    <tableColumn id="6012" xr3:uid="{00000000-0010-0000-2000-00007C170000}" name="Column5985"/>
    <tableColumn id="6013" xr3:uid="{00000000-0010-0000-2000-00007D170000}" name="Column5986"/>
    <tableColumn id="6014" xr3:uid="{00000000-0010-0000-2000-00007E170000}" name="Column5987"/>
    <tableColumn id="6015" xr3:uid="{00000000-0010-0000-2000-00007F170000}" name="Column5988"/>
    <tableColumn id="6016" xr3:uid="{00000000-0010-0000-2000-000080170000}" name="Column5989"/>
    <tableColumn id="6017" xr3:uid="{00000000-0010-0000-2000-000081170000}" name="Column5990"/>
    <tableColumn id="6018" xr3:uid="{00000000-0010-0000-2000-000082170000}" name="Column5991"/>
    <tableColumn id="6019" xr3:uid="{00000000-0010-0000-2000-000083170000}" name="Column5992"/>
    <tableColumn id="6020" xr3:uid="{00000000-0010-0000-2000-000084170000}" name="Column5993"/>
    <tableColumn id="6021" xr3:uid="{00000000-0010-0000-2000-000085170000}" name="Column5994"/>
    <tableColumn id="6022" xr3:uid="{00000000-0010-0000-2000-000086170000}" name="Column5995"/>
    <tableColumn id="6023" xr3:uid="{00000000-0010-0000-2000-000087170000}" name="Column5996"/>
    <tableColumn id="6024" xr3:uid="{00000000-0010-0000-2000-000088170000}" name="Column5997"/>
    <tableColumn id="6025" xr3:uid="{00000000-0010-0000-2000-000089170000}" name="Column5998"/>
    <tableColumn id="6026" xr3:uid="{00000000-0010-0000-2000-00008A170000}" name="Column5999"/>
    <tableColumn id="6027" xr3:uid="{00000000-0010-0000-2000-00008B170000}" name="Column6000"/>
    <tableColumn id="6028" xr3:uid="{00000000-0010-0000-2000-00008C170000}" name="Column6001"/>
    <tableColumn id="6029" xr3:uid="{00000000-0010-0000-2000-00008D170000}" name="Column6002"/>
    <tableColumn id="6030" xr3:uid="{00000000-0010-0000-2000-00008E170000}" name="Column6003"/>
    <tableColumn id="6031" xr3:uid="{00000000-0010-0000-2000-00008F170000}" name="Column6004"/>
    <tableColumn id="6032" xr3:uid="{00000000-0010-0000-2000-000090170000}" name="Column6005"/>
    <tableColumn id="6033" xr3:uid="{00000000-0010-0000-2000-000091170000}" name="Column6006"/>
    <tableColumn id="6034" xr3:uid="{00000000-0010-0000-2000-000092170000}" name="Column6007"/>
    <tableColumn id="6035" xr3:uid="{00000000-0010-0000-2000-000093170000}" name="Column6008"/>
    <tableColumn id="6036" xr3:uid="{00000000-0010-0000-2000-000094170000}" name="Column6009"/>
    <tableColumn id="6037" xr3:uid="{00000000-0010-0000-2000-000095170000}" name="Column6010"/>
    <tableColumn id="6038" xr3:uid="{00000000-0010-0000-2000-000096170000}" name="Column6011"/>
    <tableColumn id="6039" xr3:uid="{00000000-0010-0000-2000-000097170000}" name="Column6012"/>
    <tableColumn id="6040" xr3:uid="{00000000-0010-0000-2000-000098170000}" name="Column6013"/>
    <tableColumn id="6041" xr3:uid="{00000000-0010-0000-2000-000099170000}" name="Column6014"/>
    <tableColumn id="6042" xr3:uid="{00000000-0010-0000-2000-00009A170000}" name="Column6015"/>
    <tableColumn id="6043" xr3:uid="{00000000-0010-0000-2000-00009B170000}" name="Column6016"/>
    <tableColumn id="6044" xr3:uid="{00000000-0010-0000-2000-00009C170000}" name="Column6017"/>
    <tableColumn id="6045" xr3:uid="{00000000-0010-0000-2000-00009D170000}" name="Column6018"/>
    <tableColumn id="6046" xr3:uid="{00000000-0010-0000-2000-00009E170000}" name="Column6019"/>
    <tableColumn id="6047" xr3:uid="{00000000-0010-0000-2000-00009F170000}" name="Column6020"/>
    <tableColumn id="6048" xr3:uid="{00000000-0010-0000-2000-0000A0170000}" name="Column6021"/>
    <tableColumn id="6049" xr3:uid="{00000000-0010-0000-2000-0000A1170000}" name="Column6022"/>
    <tableColumn id="6050" xr3:uid="{00000000-0010-0000-2000-0000A2170000}" name="Column6023"/>
    <tableColumn id="6051" xr3:uid="{00000000-0010-0000-2000-0000A3170000}" name="Column6024"/>
    <tableColumn id="6052" xr3:uid="{00000000-0010-0000-2000-0000A4170000}" name="Column6025"/>
    <tableColumn id="6053" xr3:uid="{00000000-0010-0000-2000-0000A5170000}" name="Column6026"/>
    <tableColumn id="6054" xr3:uid="{00000000-0010-0000-2000-0000A6170000}" name="Column6027"/>
    <tableColumn id="6055" xr3:uid="{00000000-0010-0000-2000-0000A7170000}" name="Column6028"/>
    <tableColumn id="6056" xr3:uid="{00000000-0010-0000-2000-0000A8170000}" name="Column6029"/>
    <tableColumn id="6057" xr3:uid="{00000000-0010-0000-2000-0000A9170000}" name="Column6030"/>
    <tableColumn id="6058" xr3:uid="{00000000-0010-0000-2000-0000AA170000}" name="Column6031"/>
    <tableColumn id="6059" xr3:uid="{00000000-0010-0000-2000-0000AB170000}" name="Column6032"/>
    <tableColumn id="6060" xr3:uid="{00000000-0010-0000-2000-0000AC170000}" name="Column6033"/>
    <tableColumn id="6061" xr3:uid="{00000000-0010-0000-2000-0000AD170000}" name="Column6034"/>
    <tableColumn id="6062" xr3:uid="{00000000-0010-0000-2000-0000AE170000}" name="Column6035"/>
    <tableColumn id="6063" xr3:uid="{00000000-0010-0000-2000-0000AF170000}" name="Column6036"/>
    <tableColumn id="6064" xr3:uid="{00000000-0010-0000-2000-0000B0170000}" name="Column6037"/>
    <tableColumn id="6065" xr3:uid="{00000000-0010-0000-2000-0000B1170000}" name="Column6038"/>
    <tableColumn id="6066" xr3:uid="{00000000-0010-0000-2000-0000B2170000}" name="Column6039"/>
    <tableColumn id="6067" xr3:uid="{00000000-0010-0000-2000-0000B3170000}" name="Column6040"/>
    <tableColumn id="6068" xr3:uid="{00000000-0010-0000-2000-0000B4170000}" name="Column6041"/>
    <tableColumn id="6069" xr3:uid="{00000000-0010-0000-2000-0000B5170000}" name="Column6042"/>
    <tableColumn id="6070" xr3:uid="{00000000-0010-0000-2000-0000B6170000}" name="Column6043"/>
    <tableColumn id="6071" xr3:uid="{00000000-0010-0000-2000-0000B7170000}" name="Column6044"/>
    <tableColumn id="6072" xr3:uid="{00000000-0010-0000-2000-0000B8170000}" name="Column6045"/>
    <tableColumn id="6073" xr3:uid="{00000000-0010-0000-2000-0000B9170000}" name="Column6046"/>
    <tableColumn id="6074" xr3:uid="{00000000-0010-0000-2000-0000BA170000}" name="Column6047"/>
    <tableColumn id="6075" xr3:uid="{00000000-0010-0000-2000-0000BB170000}" name="Column6048"/>
    <tableColumn id="6076" xr3:uid="{00000000-0010-0000-2000-0000BC170000}" name="Column6049"/>
    <tableColumn id="6077" xr3:uid="{00000000-0010-0000-2000-0000BD170000}" name="Column6050"/>
    <tableColumn id="6078" xr3:uid="{00000000-0010-0000-2000-0000BE170000}" name="Column6051"/>
    <tableColumn id="6079" xr3:uid="{00000000-0010-0000-2000-0000BF170000}" name="Column6052"/>
    <tableColumn id="6080" xr3:uid="{00000000-0010-0000-2000-0000C0170000}" name="Column6053"/>
    <tableColumn id="6081" xr3:uid="{00000000-0010-0000-2000-0000C1170000}" name="Column6054"/>
    <tableColumn id="6082" xr3:uid="{00000000-0010-0000-2000-0000C2170000}" name="Column6055"/>
    <tableColumn id="6083" xr3:uid="{00000000-0010-0000-2000-0000C3170000}" name="Column6056"/>
    <tableColumn id="6084" xr3:uid="{00000000-0010-0000-2000-0000C4170000}" name="Column6057"/>
    <tableColumn id="6085" xr3:uid="{00000000-0010-0000-2000-0000C5170000}" name="Column6058"/>
    <tableColumn id="6086" xr3:uid="{00000000-0010-0000-2000-0000C6170000}" name="Column6059"/>
    <tableColumn id="6087" xr3:uid="{00000000-0010-0000-2000-0000C7170000}" name="Column6060"/>
    <tableColumn id="6088" xr3:uid="{00000000-0010-0000-2000-0000C8170000}" name="Column6061"/>
    <tableColumn id="6089" xr3:uid="{00000000-0010-0000-2000-0000C9170000}" name="Column6062"/>
    <tableColumn id="6090" xr3:uid="{00000000-0010-0000-2000-0000CA170000}" name="Column6063"/>
    <tableColumn id="6091" xr3:uid="{00000000-0010-0000-2000-0000CB170000}" name="Column6064"/>
    <tableColumn id="6092" xr3:uid="{00000000-0010-0000-2000-0000CC170000}" name="Column6065"/>
    <tableColumn id="6093" xr3:uid="{00000000-0010-0000-2000-0000CD170000}" name="Column6066"/>
    <tableColumn id="6094" xr3:uid="{00000000-0010-0000-2000-0000CE170000}" name="Column6067"/>
    <tableColumn id="6095" xr3:uid="{00000000-0010-0000-2000-0000CF170000}" name="Column6068"/>
    <tableColumn id="6096" xr3:uid="{00000000-0010-0000-2000-0000D0170000}" name="Column6069"/>
    <tableColumn id="6097" xr3:uid="{00000000-0010-0000-2000-0000D1170000}" name="Column6070"/>
    <tableColumn id="6098" xr3:uid="{00000000-0010-0000-2000-0000D2170000}" name="Column6071"/>
    <tableColumn id="6099" xr3:uid="{00000000-0010-0000-2000-0000D3170000}" name="Column6072"/>
    <tableColumn id="6100" xr3:uid="{00000000-0010-0000-2000-0000D4170000}" name="Column6073"/>
    <tableColumn id="6101" xr3:uid="{00000000-0010-0000-2000-0000D5170000}" name="Column6074"/>
    <tableColumn id="6102" xr3:uid="{00000000-0010-0000-2000-0000D6170000}" name="Column6075"/>
    <tableColumn id="6103" xr3:uid="{00000000-0010-0000-2000-0000D7170000}" name="Column6076"/>
    <tableColumn id="6104" xr3:uid="{00000000-0010-0000-2000-0000D8170000}" name="Column6077"/>
    <tableColumn id="6105" xr3:uid="{00000000-0010-0000-2000-0000D9170000}" name="Column6078"/>
    <tableColumn id="6106" xr3:uid="{00000000-0010-0000-2000-0000DA170000}" name="Column6079"/>
    <tableColumn id="6107" xr3:uid="{00000000-0010-0000-2000-0000DB170000}" name="Column6080"/>
    <tableColumn id="6108" xr3:uid="{00000000-0010-0000-2000-0000DC170000}" name="Column6081"/>
    <tableColumn id="6109" xr3:uid="{00000000-0010-0000-2000-0000DD170000}" name="Column6082"/>
    <tableColumn id="6110" xr3:uid="{00000000-0010-0000-2000-0000DE170000}" name="Column6083"/>
    <tableColumn id="6111" xr3:uid="{00000000-0010-0000-2000-0000DF170000}" name="Column6084"/>
    <tableColumn id="6112" xr3:uid="{00000000-0010-0000-2000-0000E0170000}" name="Column6085"/>
    <tableColumn id="6113" xr3:uid="{00000000-0010-0000-2000-0000E1170000}" name="Column6086"/>
    <tableColumn id="6114" xr3:uid="{00000000-0010-0000-2000-0000E2170000}" name="Column6087"/>
    <tableColumn id="6115" xr3:uid="{00000000-0010-0000-2000-0000E3170000}" name="Column6088"/>
    <tableColumn id="6116" xr3:uid="{00000000-0010-0000-2000-0000E4170000}" name="Column6089"/>
    <tableColumn id="6117" xr3:uid="{00000000-0010-0000-2000-0000E5170000}" name="Column6090"/>
    <tableColumn id="6118" xr3:uid="{00000000-0010-0000-2000-0000E6170000}" name="Column6091"/>
    <tableColumn id="6119" xr3:uid="{00000000-0010-0000-2000-0000E7170000}" name="Column6092"/>
    <tableColumn id="6120" xr3:uid="{00000000-0010-0000-2000-0000E8170000}" name="Column6093"/>
    <tableColumn id="6121" xr3:uid="{00000000-0010-0000-2000-0000E9170000}" name="Column6094"/>
    <tableColumn id="6122" xr3:uid="{00000000-0010-0000-2000-0000EA170000}" name="Column6095"/>
    <tableColumn id="6123" xr3:uid="{00000000-0010-0000-2000-0000EB170000}" name="Column6096"/>
    <tableColumn id="6124" xr3:uid="{00000000-0010-0000-2000-0000EC170000}" name="Column6097"/>
    <tableColumn id="6125" xr3:uid="{00000000-0010-0000-2000-0000ED170000}" name="Column6098"/>
    <tableColumn id="6126" xr3:uid="{00000000-0010-0000-2000-0000EE170000}" name="Column6099"/>
    <tableColumn id="6127" xr3:uid="{00000000-0010-0000-2000-0000EF170000}" name="Column6100"/>
    <tableColumn id="6128" xr3:uid="{00000000-0010-0000-2000-0000F0170000}" name="Column6101"/>
    <tableColumn id="6129" xr3:uid="{00000000-0010-0000-2000-0000F1170000}" name="Column6102"/>
    <tableColumn id="6130" xr3:uid="{00000000-0010-0000-2000-0000F2170000}" name="Column6103"/>
    <tableColumn id="6131" xr3:uid="{00000000-0010-0000-2000-0000F3170000}" name="Column6104"/>
    <tableColumn id="6132" xr3:uid="{00000000-0010-0000-2000-0000F4170000}" name="Column6105"/>
    <tableColumn id="6133" xr3:uid="{00000000-0010-0000-2000-0000F5170000}" name="Column6106"/>
    <tableColumn id="6134" xr3:uid="{00000000-0010-0000-2000-0000F6170000}" name="Column6107"/>
    <tableColumn id="6135" xr3:uid="{00000000-0010-0000-2000-0000F7170000}" name="Column6108"/>
    <tableColumn id="6136" xr3:uid="{00000000-0010-0000-2000-0000F8170000}" name="Column6109"/>
    <tableColumn id="6137" xr3:uid="{00000000-0010-0000-2000-0000F9170000}" name="Column6110"/>
    <tableColumn id="6138" xr3:uid="{00000000-0010-0000-2000-0000FA170000}" name="Column6111"/>
    <tableColumn id="6139" xr3:uid="{00000000-0010-0000-2000-0000FB170000}" name="Column6112"/>
    <tableColumn id="6140" xr3:uid="{00000000-0010-0000-2000-0000FC170000}" name="Column6113"/>
    <tableColumn id="6141" xr3:uid="{00000000-0010-0000-2000-0000FD170000}" name="Column6114"/>
    <tableColumn id="6142" xr3:uid="{00000000-0010-0000-2000-0000FE170000}" name="Column6115"/>
    <tableColumn id="6143" xr3:uid="{00000000-0010-0000-2000-0000FF170000}" name="Column6116"/>
    <tableColumn id="6144" xr3:uid="{00000000-0010-0000-2000-000000180000}" name="Column6117"/>
    <tableColumn id="6145" xr3:uid="{00000000-0010-0000-2000-000001180000}" name="Column6118"/>
    <tableColumn id="6146" xr3:uid="{00000000-0010-0000-2000-000002180000}" name="Column6119"/>
    <tableColumn id="6147" xr3:uid="{00000000-0010-0000-2000-000003180000}" name="Column6120"/>
    <tableColumn id="6148" xr3:uid="{00000000-0010-0000-2000-000004180000}" name="Column6121"/>
    <tableColumn id="6149" xr3:uid="{00000000-0010-0000-2000-000005180000}" name="Column6122"/>
    <tableColumn id="6150" xr3:uid="{00000000-0010-0000-2000-000006180000}" name="Column6123"/>
    <tableColumn id="6151" xr3:uid="{00000000-0010-0000-2000-000007180000}" name="Column6124"/>
    <tableColumn id="6152" xr3:uid="{00000000-0010-0000-2000-000008180000}" name="Column6125"/>
    <tableColumn id="6153" xr3:uid="{00000000-0010-0000-2000-000009180000}" name="Column6126"/>
    <tableColumn id="6154" xr3:uid="{00000000-0010-0000-2000-00000A180000}" name="Column6127"/>
    <tableColumn id="6155" xr3:uid="{00000000-0010-0000-2000-00000B180000}" name="Column6128"/>
    <tableColumn id="6156" xr3:uid="{00000000-0010-0000-2000-00000C180000}" name="Column6129"/>
    <tableColumn id="6157" xr3:uid="{00000000-0010-0000-2000-00000D180000}" name="Column6130"/>
    <tableColumn id="6158" xr3:uid="{00000000-0010-0000-2000-00000E180000}" name="Column6131"/>
    <tableColumn id="6159" xr3:uid="{00000000-0010-0000-2000-00000F180000}" name="Column6132"/>
    <tableColumn id="6160" xr3:uid="{00000000-0010-0000-2000-000010180000}" name="Column6133"/>
    <tableColumn id="6161" xr3:uid="{00000000-0010-0000-2000-000011180000}" name="Column6134"/>
    <tableColumn id="6162" xr3:uid="{00000000-0010-0000-2000-000012180000}" name="Column6135"/>
    <tableColumn id="6163" xr3:uid="{00000000-0010-0000-2000-000013180000}" name="Column6136"/>
    <tableColumn id="6164" xr3:uid="{00000000-0010-0000-2000-000014180000}" name="Column6137"/>
    <tableColumn id="6165" xr3:uid="{00000000-0010-0000-2000-000015180000}" name="Column6138"/>
    <tableColumn id="6166" xr3:uid="{00000000-0010-0000-2000-000016180000}" name="Column6139"/>
    <tableColumn id="6167" xr3:uid="{00000000-0010-0000-2000-000017180000}" name="Column6140"/>
    <tableColumn id="6168" xr3:uid="{00000000-0010-0000-2000-000018180000}" name="Column6141"/>
    <tableColumn id="6169" xr3:uid="{00000000-0010-0000-2000-000019180000}" name="Column6142"/>
    <tableColumn id="6170" xr3:uid="{00000000-0010-0000-2000-00001A180000}" name="Column6143"/>
    <tableColumn id="6171" xr3:uid="{00000000-0010-0000-2000-00001B180000}" name="Column6144"/>
    <tableColumn id="6172" xr3:uid="{00000000-0010-0000-2000-00001C180000}" name="Column6145"/>
    <tableColumn id="6173" xr3:uid="{00000000-0010-0000-2000-00001D180000}" name="Column6146"/>
    <tableColumn id="6174" xr3:uid="{00000000-0010-0000-2000-00001E180000}" name="Column6147"/>
    <tableColumn id="6175" xr3:uid="{00000000-0010-0000-2000-00001F180000}" name="Column6148"/>
    <tableColumn id="6176" xr3:uid="{00000000-0010-0000-2000-000020180000}" name="Column6149"/>
    <tableColumn id="6177" xr3:uid="{00000000-0010-0000-2000-000021180000}" name="Column6150"/>
    <tableColumn id="6178" xr3:uid="{00000000-0010-0000-2000-000022180000}" name="Column6151"/>
    <tableColumn id="6179" xr3:uid="{00000000-0010-0000-2000-000023180000}" name="Column6152"/>
    <tableColumn id="6180" xr3:uid="{00000000-0010-0000-2000-000024180000}" name="Column6153"/>
    <tableColumn id="6181" xr3:uid="{00000000-0010-0000-2000-000025180000}" name="Column6154"/>
    <tableColumn id="6182" xr3:uid="{00000000-0010-0000-2000-000026180000}" name="Column6155"/>
    <tableColumn id="6183" xr3:uid="{00000000-0010-0000-2000-000027180000}" name="Column6156"/>
    <tableColumn id="6184" xr3:uid="{00000000-0010-0000-2000-000028180000}" name="Column6157"/>
    <tableColumn id="6185" xr3:uid="{00000000-0010-0000-2000-000029180000}" name="Column6158"/>
    <tableColumn id="6186" xr3:uid="{00000000-0010-0000-2000-00002A180000}" name="Column6159"/>
    <tableColumn id="6187" xr3:uid="{00000000-0010-0000-2000-00002B180000}" name="Column6160"/>
    <tableColumn id="6188" xr3:uid="{00000000-0010-0000-2000-00002C180000}" name="Column6161"/>
    <tableColumn id="6189" xr3:uid="{00000000-0010-0000-2000-00002D180000}" name="Column6162"/>
    <tableColumn id="6190" xr3:uid="{00000000-0010-0000-2000-00002E180000}" name="Column6163"/>
    <tableColumn id="6191" xr3:uid="{00000000-0010-0000-2000-00002F180000}" name="Column6164"/>
    <tableColumn id="6192" xr3:uid="{00000000-0010-0000-2000-000030180000}" name="Column6165"/>
    <tableColumn id="6193" xr3:uid="{00000000-0010-0000-2000-000031180000}" name="Column6166"/>
    <tableColumn id="6194" xr3:uid="{00000000-0010-0000-2000-000032180000}" name="Column6167"/>
    <tableColumn id="6195" xr3:uid="{00000000-0010-0000-2000-000033180000}" name="Column6168"/>
    <tableColumn id="6196" xr3:uid="{00000000-0010-0000-2000-000034180000}" name="Column6169"/>
    <tableColumn id="6197" xr3:uid="{00000000-0010-0000-2000-000035180000}" name="Column6170"/>
    <tableColumn id="6198" xr3:uid="{00000000-0010-0000-2000-000036180000}" name="Column6171"/>
    <tableColumn id="6199" xr3:uid="{00000000-0010-0000-2000-000037180000}" name="Column6172"/>
    <tableColumn id="6200" xr3:uid="{00000000-0010-0000-2000-000038180000}" name="Column6173"/>
    <tableColumn id="6201" xr3:uid="{00000000-0010-0000-2000-000039180000}" name="Column6174"/>
    <tableColumn id="6202" xr3:uid="{00000000-0010-0000-2000-00003A180000}" name="Column6175"/>
    <tableColumn id="6203" xr3:uid="{00000000-0010-0000-2000-00003B180000}" name="Column6176"/>
    <tableColumn id="6204" xr3:uid="{00000000-0010-0000-2000-00003C180000}" name="Column6177"/>
    <tableColumn id="6205" xr3:uid="{00000000-0010-0000-2000-00003D180000}" name="Column6178"/>
    <tableColumn id="6206" xr3:uid="{00000000-0010-0000-2000-00003E180000}" name="Column6179"/>
    <tableColumn id="6207" xr3:uid="{00000000-0010-0000-2000-00003F180000}" name="Column6180"/>
    <tableColumn id="6208" xr3:uid="{00000000-0010-0000-2000-000040180000}" name="Column6181"/>
    <tableColumn id="6209" xr3:uid="{00000000-0010-0000-2000-000041180000}" name="Column6182"/>
    <tableColumn id="6210" xr3:uid="{00000000-0010-0000-2000-000042180000}" name="Column6183"/>
    <tableColumn id="6211" xr3:uid="{00000000-0010-0000-2000-000043180000}" name="Column6184"/>
    <tableColumn id="6212" xr3:uid="{00000000-0010-0000-2000-000044180000}" name="Column6185"/>
    <tableColumn id="6213" xr3:uid="{00000000-0010-0000-2000-000045180000}" name="Column6186"/>
    <tableColumn id="6214" xr3:uid="{00000000-0010-0000-2000-000046180000}" name="Column6187"/>
    <tableColumn id="6215" xr3:uid="{00000000-0010-0000-2000-000047180000}" name="Column6188"/>
    <tableColumn id="6216" xr3:uid="{00000000-0010-0000-2000-000048180000}" name="Column6189"/>
    <tableColumn id="6217" xr3:uid="{00000000-0010-0000-2000-000049180000}" name="Column6190"/>
    <tableColumn id="6218" xr3:uid="{00000000-0010-0000-2000-00004A180000}" name="Column6191"/>
    <tableColumn id="6219" xr3:uid="{00000000-0010-0000-2000-00004B180000}" name="Column6192"/>
    <tableColumn id="6220" xr3:uid="{00000000-0010-0000-2000-00004C180000}" name="Column6193"/>
    <tableColumn id="6221" xr3:uid="{00000000-0010-0000-2000-00004D180000}" name="Column6194"/>
    <tableColumn id="6222" xr3:uid="{00000000-0010-0000-2000-00004E180000}" name="Column6195"/>
    <tableColumn id="6223" xr3:uid="{00000000-0010-0000-2000-00004F180000}" name="Column6196"/>
    <tableColumn id="6224" xr3:uid="{00000000-0010-0000-2000-000050180000}" name="Column6197"/>
    <tableColumn id="6225" xr3:uid="{00000000-0010-0000-2000-000051180000}" name="Column6198"/>
    <tableColumn id="6226" xr3:uid="{00000000-0010-0000-2000-000052180000}" name="Column6199"/>
    <tableColumn id="6227" xr3:uid="{00000000-0010-0000-2000-000053180000}" name="Column6200"/>
    <tableColumn id="6228" xr3:uid="{00000000-0010-0000-2000-000054180000}" name="Column6201"/>
    <tableColumn id="6229" xr3:uid="{00000000-0010-0000-2000-000055180000}" name="Column6202"/>
    <tableColumn id="6230" xr3:uid="{00000000-0010-0000-2000-000056180000}" name="Column6203"/>
    <tableColumn id="6231" xr3:uid="{00000000-0010-0000-2000-000057180000}" name="Column6204"/>
    <tableColumn id="6232" xr3:uid="{00000000-0010-0000-2000-000058180000}" name="Column6205"/>
    <tableColumn id="6233" xr3:uid="{00000000-0010-0000-2000-000059180000}" name="Column6206"/>
    <tableColumn id="6234" xr3:uid="{00000000-0010-0000-2000-00005A180000}" name="Column6207"/>
    <tableColumn id="6235" xr3:uid="{00000000-0010-0000-2000-00005B180000}" name="Column6208"/>
    <tableColumn id="6236" xr3:uid="{00000000-0010-0000-2000-00005C180000}" name="Column6209"/>
    <tableColumn id="6237" xr3:uid="{00000000-0010-0000-2000-00005D180000}" name="Column6210"/>
    <tableColumn id="6238" xr3:uid="{00000000-0010-0000-2000-00005E180000}" name="Column6211"/>
    <tableColumn id="6239" xr3:uid="{00000000-0010-0000-2000-00005F180000}" name="Column6212"/>
    <tableColumn id="6240" xr3:uid="{00000000-0010-0000-2000-000060180000}" name="Column6213"/>
    <tableColumn id="6241" xr3:uid="{00000000-0010-0000-2000-000061180000}" name="Column6214"/>
    <tableColumn id="6242" xr3:uid="{00000000-0010-0000-2000-000062180000}" name="Column6215"/>
    <tableColumn id="6243" xr3:uid="{00000000-0010-0000-2000-000063180000}" name="Column6216"/>
    <tableColumn id="6244" xr3:uid="{00000000-0010-0000-2000-000064180000}" name="Column6217"/>
    <tableColumn id="6245" xr3:uid="{00000000-0010-0000-2000-000065180000}" name="Column6218"/>
    <tableColumn id="6246" xr3:uid="{00000000-0010-0000-2000-000066180000}" name="Column6219"/>
    <tableColumn id="6247" xr3:uid="{00000000-0010-0000-2000-000067180000}" name="Column6220"/>
    <tableColumn id="6248" xr3:uid="{00000000-0010-0000-2000-000068180000}" name="Column6221"/>
    <tableColumn id="6249" xr3:uid="{00000000-0010-0000-2000-000069180000}" name="Column6222"/>
    <tableColumn id="6250" xr3:uid="{00000000-0010-0000-2000-00006A180000}" name="Column6223"/>
    <tableColumn id="6251" xr3:uid="{00000000-0010-0000-2000-00006B180000}" name="Column6224"/>
    <tableColumn id="6252" xr3:uid="{00000000-0010-0000-2000-00006C180000}" name="Column6225"/>
    <tableColumn id="6253" xr3:uid="{00000000-0010-0000-2000-00006D180000}" name="Column6226"/>
    <tableColumn id="6254" xr3:uid="{00000000-0010-0000-2000-00006E180000}" name="Column6227"/>
    <tableColumn id="6255" xr3:uid="{00000000-0010-0000-2000-00006F180000}" name="Column6228"/>
    <tableColumn id="6256" xr3:uid="{00000000-0010-0000-2000-000070180000}" name="Column6229"/>
    <tableColumn id="6257" xr3:uid="{00000000-0010-0000-2000-000071180000}" name="Column6230"/>
    <tableColumn id="6258" xr3:uid="{00000000-0010-0000-2000-000072180000}" name="Column6231"/>
    <tableColumn id="6259" xr3:uid="{00000000-0010-0000-2000-000073180000}" name="Column6232"/>
    <tableColumn id="6260" xr3:uid="{00000000-0010-0000-2000-000074180000}" name="Column6233"/>
    <tableColumn id="6261" xr3:uid="{00000000-0010-0000-2000-000075180000}" name="Column6234"/>
    <tableColumn id="6262" xr3:uid="{00000000-0010-0000-2000-000076180000}" name="Column6235"/>
    <tableColumn id="6263" xr3:uid="{00000000-0010-0000-2000-000077180000}" name="Column6236"/>
    <tableColumn id="6264" xr3:uid="{00000000-0010-0000-2000-000078180000}" name="Column6237"/>
    <tableColumn id="6265" xr3:uid="{00000000-0010-0000-2000-000079180000}" name="Column6238"/>
    <tableColumn id="6266" xr3:uid="{00000000-0010-0000-2000-00007A180000}" name="Column6239"/>
    <tableColumn id="6267" xr3:uid="{00000000-0010-0000-2000-00007B180000}" name="Column6240"/>
    <tableColumn id="6268" xr3:uid="{00000000-0010-0000-2000-00007C180000}" name="Column6241"/>
    <tableColumn id="6269" xr3:uid="{00000000-0010-0000-2000-00007D180000}" name="Column6242"/>
    <tableColumn id="6270" xr3:uid="{00000000-0010-0000-2000-00007E180000}" name="Column6243"/>
    <tableColumn id="6271" xr3:uid="{00000000-0010-0000-2000-00007F180000}" name="Column6244"/>
    <tableColumn id="6272" xr3:uid="{00000000-0010-0000-2000-000080180000}" name="Column6245"/>
    <tableColumn id="6273" xr3:uid="{00000000-0010-0000-2000-000081180000}" name="Column6246"/>
    <tableColumn id="6274" xr3:uid="{00000000-0010-0000-2000-000082180000}" name="Column6247"/>
    <tableColumn id="6275" xr3:uid="{00000000-0010-0000-2000-000083180000}" name="Column6248"/>
    <tableColumn id="6276" xr3:uid="{00000000-0010-0000-2000-000084180000}" name="Column6249"/>
    <tableColumn id="6277" xr3:uid="{00000000-0010-0000-2000-000085180000}" name="Column6250"/>
    <tableColumn id="6278" xr3:uid="{00000000-0010-0000-2000-000086180000}" name="Column6251"/>
    <tableColumn id="6279" xr3:uid="{00000000-0010-0000-2000-000087180000}" name="Column6252"/>
    <tableColumn id="6280" xr3:uid="{00000000-0010-0000-2000-000088180000}" name="Column6253"/>
    <tableColumn id="6281" xr3:uid="{00000000-0010-0000-2000-000089180000}" name="Column6254"/>
    <tableColumn id="6282" xr3:uid="{00000000-0010-0000-2000-00008A180000}" name="Column6255"/>
    <tableColumn id="6283" xr3:uid="{00000000-0010-0000-2000-00008B180000}" name="Column6256"/>
    <tableColumn id="6284" xr3:uid="{00000000-0010-0000-2000-00008C180000}" name="Column6257"/>
    <tableColumn id="6285" xr3:uid="{00000000-0010-0000-2000-00008D180000}" name="Column6258"/>
    <tableColumn id="6286" xr3:uid="{00000000-0010-0000-2000-00008E180000}" name="Column6259"/>
    <tableColumn id="6287" xr3:uid="{00000000-0010-0000-2000-00008F180000}" name="Column6260"/>
    <tableColumn id="6288" xr3:uid="{00000000-0010-0000-2000-000090180000}" name="Column6261"/>
    <tableColumn id="6289" xr3:uid="{00000000-0010-0000-2000-000091180000}" name="Column6262"/>
    <tableColumn id="6290" xr3:uid="{00000000-0010-0000-2000-000092180000}" name="Column6263"/>
    <tableColumn id="6291" xr3:uid="{00000000-0010-0000-2000-000093180000}" name="Column6264"/>
    <tableColumn id="6292" xr3:uid="{00000000-0010-0000-2000-000094180000}" name="Column6265"/>
    <tableColumn id="6293" xr3:uid="{00000000-0010-0000-2000-000095180000}" name="Column6266"/>
    <tableColumn id="6294" xr3:uid="{00000000-0010-0000-2000-000096180000}" name="Column6267"/>
    <tableColumn id="6295" xr3:uid="{00000000-0010-0000-2000-000097180000}" name="Column6268"/>
    <tableColumn id="6296" xr3:uid="{00000000-0010-0000-2000-000098180000}" name="Column6269"/>
    <tableColumn id="6297" xr3:uid="{00000000-0010-0000-2000-000099180000}" name="Column6270"/>
    <tableColumn id="6298" xr3:uid="{00000000-0010-0000-2000-00009A180000}" name="Column6271"/>
    <tableColumn id="6299" xr3:uid="{00000000-0010-0000-2000-00009B180000}" name="Column6272"/>
    <tableColumn id="6300" xr3:uid="{00000000-0010-0000-2000-00009C180000}" name="Column6273"/>
    <tableColumn id="6301" xr3:uid="{00000000-0010-0000-2000-00009D180000}" name="Column6274"/>
    <tableColumn id="6302" xr3:uid="{00000000-0010-0000-2000-00009E180000}" name="Column6275"/>
    <tableColumn id="6303" xr3:uid="{00000000-0010-0000-2000-00009F180000}" name="Column6276"/>
    <tableColumn id="6304" xr3:uid="{00000000-0010-0000-2000-0000A0180000}" name="Column6277"/>
    <tableColumn id="6305" xr3:uid="{00000000-0010-0000-2000-0000A1180000}" name="Column6278"/>
    <tableColumn id="6306" xr3:uid="{00000000-0010-0000-2000-0000A2180000}" name="Column6279"/>
    <tableColumn id="6307" xr3:uid="{00000000-0010-0000-2000-0000A3180000}" name="Column6280"/>
    <tableColumn id="6308" xr3:uid="{00000000-0010-0000-2000-0000A4180000}" name="Column6281"/>
    <tableColumn id="6309" xr3:uid="{00000000-0010-0000-2000-0000A5180000}" name="Column6282"/>
    <tableColumn id="6310" xr3:uid="{00000000-0010-0000-2000-0000A6180000}" name="Column6283"/>
    <tableColumn id="6311" xr3:uid="{00000000-0010-0000-2000-0000A7180000}" name="Column6284"/>
    <tableColumn id="6312" xr3:uid="{00000000-0010-0000-2000-0000A8180000}" name="Column6285"/>
    <tableColumn id="6313" xr3:uid="{00000000-0010-0000-2000-0000A9180000}" name="Column6286"/>
    <tableColumn id="6314" xr3:uid="{00000000-0010-0000-2000-0000AA180000}" name="Column6287"/>
    <tableColumn id="6315" xr3:uid="{00000000-0010-0000-2000-0000AB180000}" name="Column6288"/>
    <tableColumn id="6316" xr3:uid="{00000000-0010-0000-2000-0000AC180000}" name="Column6289"/>
    <tableColumn id="6317" xr3:uid="{00000000-0010-0000-2000-0000AD180000}" name="Column6290"/>
    <tableColumn id="6318" xr3:uid="{00000000-0010-0000-2000-0000AE180000}" name="Column6291"/>
    <tableColumn id="6319" xr3:uid="{00000000-0010-0000-2000-0000AF180000}" name="Column6292"/>
    <tableColumn id="6320" xr3:uid="{00000000-0010-0000-2000-0000B0180000}" name="Column6293"/>
    <tableColumn id="6321" xr3:uid="{00000000-0010-0000-2000-0000B1180000}" name="Column6294"/>
    <tableColumn id="6322" xr3:uid="{00000000-0010-0000-2000-0000B2180000}" name="Column6295"/>
    <tableColumn id="6323" xr3:uid="{00000000-0010-0000-2000-0000B3180000}" name="Column6296"/>
    <tableColumn id="6324" xr3:uid="{00000000-0010-0000-2000-0000B4180000}" name="Column6297"/>
    <tableColumn id="6325" xr3:uid="{00000000-0010-0000-2000-0000B5180000}" name="Column6298"/>
    <tableColumn id="6326" xr3:uid="{00000000-0010-0000-2000-0000B6180000}" name="Column6299"/>
    <tableColumn id="6327" xr3:uid="{00000000-0010-0000-2000-0000B7180000}" name="Column6300"/>
    <tableColumn id="6328" xr3:uid="{00000000-0010-0000-2000-0000B8180000}" name="Column6301"/>
    <tableColumn id="6329" xr3:uid="{00000000-0010-0000-2000-0000B9180000}" name="Column6302"/>
    <tableColumn id="6330" xr3:uid="{00000000-0010-0000-2000-0000BA180000}" name="Column6303"/>
    <tableColumn id="6331" xr3:uid="{00000000-0010-0000-2000-0000BB180000}" name="Column6304"/>
    <tableColumn id="6332" xr3:uid="{00000000-0010-0000-2000-0000BC180000}" name="Column6305"/>
    <tableColumn id="6333" xr3:uid="{00000000-0010-0000-2000-0000BD180000}" name="Column6306"/>
    <tableColumn id="6334" xr3:uid="{00000000-0010-0000-2000-0000BE180000}" name="Column6307"/>
    <tableColumn id="6335" xr3:uid="{00000000-0010-0000-2000-0000BF180000}" name="Column6308"/>
    <tableColumn id="6336" xr3:uid="{00000000-0010-0000-2000-0000C0180000}" name="Column6309"/>
    <tableColumn id="6337" xr3:uid="{00000000-0010-0000-2000-0000C1180000}" name="Column6310"/>
    <tableColumn id="6338" xr3:uid="{00000000-0010-0000-2000-0000C2180000}" name="Column6311"/>
    <tableColumn id="6339" xr3:uid="{00000000-0010-0000-2000-0000C3180000}" name="Column6312"/>
    <tableColumn id="6340" xr3:uid="{00000000-0010-0000-2000-0000C4180000}" name="Column6313"/>
    <tableColumn id="6341" xr3:uid="{00000000-0010-0000-2000-0000C5180000}" name="Column6314"/>
    <tableColumn id="6342" xr3:uid="{00000000-0010-0000-2000-0000C6180000}" name="Column6315"/>
    <tableColumn id="6343" xr3:uid="{00000000-0010-0000-2000-0000C7180000}" name="Column6316"/>
    <tableColumn id="6344" xr3:uid="{00000000-0010-0000-2000-0000C8180000}" name="Column6317"/>
    <tableColumn id="6345" xr3:uid="{00000000-0010-0000-2000-0000C9180000}" name="Column6318"/>
    <tableColumn id="6346" xr3:uid="{00000000-0010-0000-2000-0000CA180000}" name="Column6319"/>
    <tableColumn id="6347" xr3:uid="{00000000-0010-0000-2000-0000CB180000}" name="Column6320"/>
    <tableColumn id="6348" xr3:uid="{00000000-0010-0000-2000-0000CC180000}" name="Column6321"/>
    <tableColumn id="6349" xr3:uid="{00000000-0010-0000-2000-0000CD180000}" name="Column6322"/>
    <tableColumn id="6350" xr3:uid="{00000000-0010-0000-2000-0000CE180000}" name="Column6323"/>
    <tableColumn id="6351" xr3:uid="{00000000-0010-0000-2000-0000CF180000}" name="Column6324"/>
    <tableColumn id="6352" xr3:uid="{00000000-0010-0000-2000-0000D0180000}" name="Column6325"/>
    <tableColumn id="6353" xr3:uid="{00000000-0010-0000-2000-0000D1180000}" name="Column6326"/>
    <tableColumn id="6354" xr3:uid="{00000000-0010-0000-2000-0000D2180000}" name="Column6327"/>
    <tableColumn id="6355" xr3:uid="{00000000-0010-0000-2000-0000D3180000}" name="Column6328"/>
    <tableColumn id="6356" xr3:uid="{00000000-0010-0000-2000-0000D4180000}" name="Column6329"/>
    <tableColumn id="6357" xr3:uid="{00000000-0010-0000-2000-0000D5180000}" name="Column6330"/>
    <tableColumn id="6358" xr3:uid="{00000000-0010-0000-2000-0000D6180000}" name="Column6331"/>
    <tableColumn id="6359" xr3:uid="{00000000-0010-0000-2000-0000D7180000}" name="Column6332"/>
    <tableColumn id="6360" xr3:uid="{00000000-0010-0000-2000-0000D8180000}" name="Column6333"/>
    <tableColumn id="6361" xr3:uid="{00000000-0010-0000-2000-0000D9180000}" name="Column6334"/>
    <tableColumn id="6362" xr3:uid="{00000000-0010-0000-2000-0000DA180000}" name="Column6335"/>
    <tableColumn id="6363" xr3:uid="{00000000-0010-0000-2000-0000DB180000}" name="Column6336"/>
    <tableColumn id="6364" xr3:uid="{00000000-0010-0000-2000-0000DC180000}" name="Column6337"/>
    <tableColumn id="6365" xr3:uid="{00000000-0010-0000-2000-0000DD180000}" name="Column6338"/>
    <tableColumn id="6366" xr3:uid="{00000000-0010-0000-2000-0000DE180000}" name="Column6339"/>
    <tableColumn id="6367" xr3:uid="{00000000-0010-0000-2000-0000DF180000}" name="Column6340"/>
    <tableColumn id="6368" xr3:uid="{00000000-0010-0000-2000-0000E0180000}" name="Column6341"/>
    <tableColumn id="6369" xr3:uid="{00000000-0010-0000-2000-0000E1180000}" name="Column6342"/>
    <tableColumn id="6370" xr3:uid="{00000000-0010-0000-2000-0000E2180000}" name="Column6343"/>
    <tableColumn id="6371" xr3:uid="{00000000-0010-0000-2000-0000E3180000}" name="Column6344"/>
    <tableColumn id="6372" xr3:uid="{00000000-0010-0000-2000-0000E4180000}" name="Column6345"/>
    <tableColumn id="6373" xr3:uid="{00000000-0010-0000-2000-0000E5180000}" name="Column6346"/>
    <tableColumn id="6374" xr3:uid="{00000000-0010-0000-2000-0000E6180000}" name="Column6347"/>
    <tableColumn id="6375" xr3:uid="{00000000-0010-0000-2000-0000E7180000}" name="Column6348"/>
    <tableColumn id="6376" xr3:uid="{00000000-0010-0000-2000-0000E8180000}" name="Column6349"/>
    <tableColumn id="6377" xr3:uid="{00000000-0010-0000-2000-0000E9180000}" name="Column6350"/>
    <tableColumn id="6378" xr3:uid="{00000000-0010-0000-2000-0000EA180000}" name="Column6351"/>
    <tableColumn id="6379" xr3:uid="{00000000-0010-0000-2000-0000EB180000}" name="Column6352"/>
    <tableColumn id="6380" xr3:uid="{00000000-0010-0000-2000-0000EC180000}" name="Column6353"/>
    <tableColumn id="6381" xr3:uid="{00000000-0010-0000-2000-0000ED180000}" name="Column6354"/>
    <tableColumn id="6382" xr3:uid="{00000000-0010-0000-2000-0000EE180000}" name="Column6355"/>
    <tableColumn id="6383" xr3:uid="{00000000-0010-0000-2000-0000EF180000}" name="Column6356"/>
    <tableColumn id="6384" xr3:uid="{00000000-0010-0000-2000-0000F0180000}" name="Column6357"/>
    <tableColumn id="6385" xr3:uid="{00000000-0010-0000-2000-0000F1180000}" name="Column6358"/>
    <tableColumn id="6386" xr3:uid="{00000000-0010-0000-2000-0000F2180000}" name="Column6359"/>
    <tableColumn id="6387" xr3:uid="{00000000-0010-0000-2000-0000F3180000}" name="Column6360"/>
    <tableColumn id="6388" xr3:uid="{00000000-0010-0000-2000-0000F4180000}" name="Column6361"/>
    <tableColumn id="6389" xr3:uid="{00000000-0010-0000-2000-0000F5180000}" name="Column6362"/>
    <tableColumn id="6390" xr3:uid="{00000000-0010-0000-2000-0000F6180000}" name="Column6363"/>
    <tableColumn id="6391" xr3:uid="{00000000-0010-0000-2000-0000F7180000}" name="Column6364"/>
    <tableColumn id="6392" xr3:uid="{00000000-0010-0000-2000-0000F8180000}" name="Column6365"/>
    <tableColumn id="6393" xr3:uid="{00000000-0010-0000-2000-0000F9180000}" name="Column6366"/>
    <tableColumn id="6394" xr3:uid="{00000000-0010-0000-2000-0000FA180000}" name="Column6367"/>
    <tableColumn id="6395" xr3:uid="{00000000-0010-0000-2000-0000FB180000}" name="Column6368"/>
    <tableColumn id="6396" xr3:uid="{00000000-0010-0000-2000-0000FC180000}" name="Column6369"/>
    <tableColumn id="6397" xr3:uid="{00000000-0010-0000-2000-0000FD180000}" name="Column6370"/>
    <tableColumn id="6398" xr3:uid="{00000000-0010-0000-2000-0000FE180000}" name="Column6371"/>
    <tableColumn id="6399" xr3:uid="{00000000-0010-0000-2000-0000FF180000}" name="Column6372"/>
    <tableColumn id="6400" xr3:uid="{00000000-0010-0000-2000-000000190000}" name="Column6373"/>
    <tableColumn id="6401" xr3:uid="{00000000-0010-0000-2000-000001190000}" name="Column6374"/>
    <tableColumn id="6402" xr3:uid="{00000000-0010-0000-2000-000002190000}" name="Column6375"/>
    <tableColumn id="6403" xr3:uid="{00000000-0010-0000-2000-000003190000}" name="Column6376"/>
    <tableColumn id="6404" xr3:uid="{00000000-0010-0000-2000-000004190000}" name="Column6377"/>
    <tableColumn id="6405" xr3:uid="{00000000-0010-0000-2000-000005190000}" name="Column6378"/>
    <tableColumn id="6406" xr3:uid="{00000000-0010-0000-2000-000006190000}" name="Column6379"/>
    <tableColumn id="6407" xr3:uid="{00000000-0010-0000-2000-000007190000}" name="Column6380"/>
    <tableColumn id="6408" xr3:uid="{00000000-0010-0000-2000-000008190000}" name="Column6381"/>
    <tableColumn id="6409" xr3:uid="{00000000-0010-0000-2000-000009190000}" name="Column6382"/>
    <tableColumn id="6410" xr3:uid="{00000000-0010-0000-2000-00000A190000}" name="Column6383"/>
    <tableColumn id="6411" xr3:uid="{00000000-0010-0000-2000-00000B190000}" name="Column6384"/>
    <tableColumn id="6412" xr3:uid="{00000000-0010-0000-2000-00000C190000}" name="Column6385"/>
    <tableColumn id="6413" xr3:uid="{00000000-0010-0000-2000-00000D190000}" name="Column6386"/>
    <tableColumn id="6414" xr3:uid="{00000000-0010-0000-2000-00000E190000}" name="Column6387"/>
    <tableColumn id="6415" xr3:uid="{00000000-0010-0000-2000-00000F190000}" name="Column6388"/>
    <tableColumn id="6416" xr3:uid="{00000000-0010-0000-2000-000010190000}" name="Column6389"/>
    <tableColumn id="6417" xr3:uid="{00000000-0010-0000-2000-000011190000}" name="Column6390"/>
    <tableColumn id="6418" xr3:uid="{00000000-0010-0000-2000-000012190000}" name="Column6391"/>
    <tableColumn id="6419" xr3:uid="{00000000-0010-0000-2000-000013190000}" name="Column6392"/>
    <tableColumn id="6420" xr3:uid="{00000000-0010-0000-2000-000014190000}" name="Column6393"/>
    <tableColumn id="6421" xr3:uid="{00000000-0010-0000-2000-000015190000}" name="Column6394"/>
    <tableColumn id="6422" xr3:uid="{00000000-0010-0000-2000-000016190000}" name="Column6395"/>
    <tableColumn id="6423" xr3:uid="{00000000-0010-0000-2000-000017190000}" name="Column6396"/>
    <tableColumn id="6424" xr3:uid="{00000000-0010-0000-2000-000018190000}" name="Column6397"/>
    <tableColumn id="6425" xr3:uid="{00000000-0010-0000-2000-000019190000}" name="Column6398"/>
    <tableColumn id="6426" xr3:uid="{00000000-0010-0000-2000-00001A190000}" name="Column6399"/>
    <tableColumn id="6427" xr3:uid="{00000000-0010-0000-2000-00001B190000}" name="Column6400"/>
    <tableColumn id="6428" xr3:uid="{00000000-0010-0000-2000-00001C190000}" name="Column6401"/>
    <tableColumn id="6429" xr3:uid="{00000000-0010-0000-2000-00001D190000}" name="Column6402"/>
    <tableColumn id="6430" xr3:uid="{00000000-0010-0000-2000-00001E190000}" name="Column6403"/>
    <tableColumn id="6431" xr3:uid="{00000000-0010-0000-2000-00001F190000}" name="Column6404"/>
    <tableColumn id="6432" xr3:uid="{00000000-0010-0000-2000-000020190000}" name="Column6405"/>
    <tableColumn id="6433" xr3:uid="{00000000-0010-0000-2000-000021190000}" name="Column6406"/>
    <tableColumn id="6434" xr3:uid="{00000000-0010-0000-2000-000022190000}" name="Column6407"/>
    <tableColumn id="6435" xr3:uid="{00000000-0010-0000-2000-000023190000}" name="Column6408"/>
    <tableColumn id="6436" xr3:uid="{00000000-0010-0000-2000-000024190000}" name="Column6409"/>
    <tableColumn id="6437" xr3:uid="{00000000-0010-0000-2000-000025190000}" name="Column6410"/>
    <tableColumn id="6438" xr3:uid="{00000000-0010-0000-2000-000026190000}" name="Column6411"/>
    <tableColumn id="6439" xr3:uid="{00000000-0010-0000-2000-000027190000}" name="Column6412"/>
    <tableColumn id="6440" xr3:uid="{00000000-0010-0000-2000-000028190000}" name="Column6413"/>
    <tableColumn id="6441" xr3:uid="{00000000-0010-0000-2000-000029190000}" name="Column6414"/>
    <tableColumn id="6442" xr3:uid="{00000000-0010-0000-2000-00002A190000}" name="Column6415"/>
    <tableColumn id="6443" xr3:uid="{00000000-0010-0000-2000-00002B190000}" name="Column6416"/>
    <tableColumn id="6444" xr3:uid="{00000000-0010-0000-2000-00002C190000}" name="Column6417"/>
    <tableColumn id="6445" xr3:uid="{00000000-0010-0000-2000-00002D190000}" name="Column6418"/>
    <tableColumn id="6446" xr3:uid="{00000000-0010-0000-2000-00002E190000}" name="Column6419"/>
    <tableColumn id="6447" xr3:uid="{00000000-0010-0000-2000-00002F190000}" name="Column6420"/>
    <tableColumn id="6448" xr3:uid="{00000000-0010-0000-2000-000030190000}" name="Column6421"/>
    <tableColumn id="6449" xr3:uid="{00000000-0010-0000-2000-000031190000}" name="Column6422"/>
    <tableColumn id="6450" xr3:uid="{00000000-0010-0000-2000-000032190000}" name="Column6423"/>
    <tableColumn id="6451" xr3:uid="{00000000-0010-0000-2000-000033190000}" name="Column6424"/>
    <tableColumn id="6452" xr3:uid="{00000000-0010-0000-2000-000034190000}" name="Column6425"/>
    <tableColumn id="6453" xr3:uid="{00000000-0010-0000-2000-000035190000}" name="Column6426"/>
    <tableColumn id="6454" xr3:uid="{00000000-0010-0000-2000-000036190000}" name="Column6427"/>
    <tableColumn id="6455" xr3:uid="{00000000-0010-0000-2000-000037190000}" name="Column6428"/>
    <tableColumn id="6456" xr3:uid="{00000000-0010-0000-2000-000038190000}" name="Column6429"/>
    <tableColumn id="6457" xr3:uid="{00000000-0010-0000-2000-000039190000}" name="Column6430"/>
    <tableColumn id="6458" xr3:uid="{00000000-0010-0000-2000-00003A190000}" name="Column6431"/>
    <tableColumn id="6459" xr3:uid="{00000000-0010-0000-2000-00003B190000}" name="Column6432"/>
    <tableColumn id="6460" xr3:uid="{00000000-0010-0000-2000-00003C190000}" name="Column6433"/>
    <tableColumn id="6461" xr3:uid="{00000000-0010-0000-2000-00003D190000}" name="Column6434"/>
    <tableColumn id="6462" xr3:uid="{00000000-0010-0000-2000-00003E190000}" name="Column6435"/>
    <tableColumn id="6463" xr3:uid="{00000000-0010-0000-2000-00003F190000}" name="Column6436"/>
    <tableColumn id="6464" xr3:uid="{00000000-0010-0000-2000-000040190000}" name="Column6437"/>
    <tableColumn id="6465" xr3:uid="{00000000-0010-0000-2000-000041190000}" name="Column6438"/>
    <tableColumn id="6466" xr3:uid="{00000000-0010-0000-2000-000042190000}" name="Column6439"/>
    <tableColumn id="6467" xr3:uid="{00000000-0010-0000-2000-000043190000}" name="Column6440"/>
    <tableColumn id="6468" xr3:uid="{00000000-0010-0000-2000-000044190000}" name="Column6441"/>
    <tableColumn id="6469" xr3:uid="{00000000-0010-0000-2000-000045190000}" name="Column6442"/>
    <tableColumn id="6470" xr3:uid="{00000000-0010-0000-2000-000046190000}" name="Column6443"/>
    <tableColumn id="6471" xr3:uid="{00000000-0010-0000-2000-000047190000}" name="Column6444"/>
    <tableColumn id="6472" xr3:uid="{00000000-0010-0000-2000-000048190000}" name="Column6445"/>
    <tableColumn id="6473" xr3:uid="{00000000-0010-0000-2000-000049190000}" name="Column6446"/>
    <tableColumn id="6474" xr3:uid="{00000000-0010-0000-2000-00004A190000}" name="Column6447"/>
    <tableColumn id="6475" xr3:uid="{00000000-0010-0000-2000-00004B190000}" name="Column6448"/>
    <tableColumn id="6476" xr3:uid="{00000000-0010-0000-2000-00004C190000}" name="Column6449"/>
    <tableColumn id="6477" xr3:uid="{00000000-0010-0000-2000-00004D190000}" name="Column6450"/>
    <tableColumn id="6478" xr3:uid="{00000000-0010-0000-2000-00004E190000}" name="Column6451"/>
    <tableColumn id="6479" xr3:uid="{00000000-0010-0000-2000-00004F190000}" name="Column6452"/>
    <tableColumn id="6480" xr3:uid="{00000000-0010-0000-2000-000050190000}" name="Column6453"/>
    <tableColumn id="6481" xr3:uid="{00000000-0010-0000-2000-000051190000}" name="Column6454"/>
    <tableColumn id="6482" xr3:uid="{00000000-0010-0000-2000-000052190000}" name="Column6455"/>
    <tableColumn id="6483" xr3:uid="{00000000-0010-0000-2000-000053190000}" name="Column6456"/>
    <tableColumn id="6484" xr3:uid="{00000000-0010-0000-2000-000054190000}" name="Column6457"/>
    <tableColumn id="6485" xr3:uid="{00000000-0010-0000-2000-000055190000}" name="Column6458"/>
    <tableColumn id="6486" xr3:uid="{00000000-0010-0000-2000-000056190000}" name="Column6459"/>
    <tableColumn id="6487" xr3:uid="{00000000-0010-0000-2000-000057190000}" name="Column6460"/>
    <tableColumn id="6488" xr3:uid="{00000000-0010-0000-2000-000058190000}" name="Column6461"/>
    <tableColumn id="6489" xr3:uid="{00000000-0010-0000-2000-000059190000}" name="Column6462"/>
    <tableColumn id="6490" xr3:uid="{00000000-0010-0000-2000-00005A190000}" name="Column6463"/>
    <tableColumn id="6491" xr3:uid="{00000000-0010-0000-2000-00005B190000}" name="Column6464"/>
    <tableColumn id="6492" xr3:uid="{00000000-0010-0000-2000-00005C190000}" name="Column6465"/>
    <tableColumn id="6493" xr3:uid="{00000000-0010-0000-2000-00005D190000}" name="Column6466"/>
    <tableColumn id="6494" xr3:uid="{00000000-0010-0000-2000-00005E190000}" name="Column6467"/>
    <tableColumn id="6495" xr3:uid="{00000000-0010-0000-2000-00005F190000}" name="Column6468"/>
    <tableColumn id="6496" xr3:uid="{00000000-0010-0000-2000-000060190000}" name="Column6469"/>
    <tableColumn id="6497" xr3:uid="{00000000-0010-0000-2000-000061190000}" name="Column6470"/>
    <tableColumn id="6498" xr3:uid="{00000000-0010-0000-2000-000062190000}" name="Column6471"/>
    <tableColumn id="6499" xr3:uid="{00000000-0010-0000-2000-000063190000}" name="Column6472"/>
    <tableColumn id="6500" xr3:uid="{00000000-0010-0000-2000-000064190000}" name="Column6473"/>
    <tableColumn id="6501" xr3:uid="{00000000-0010-0000-2000-000065190000}" name="Column6474"/>
    <tableColumn id="6502" xr3:uid="{00000000-0010-0000-2000-000066190000}" name="Column6475"/>
    <tableColumn id="6503" xr3:uid="{00000000-0010-0000-2000-000067190000}" name="Column6476"/>
    <tableColumn id="6504" xr3:uid="{00000000-0010-0000-2000-000068190000}" name="Column6477"/>
    <tableColumn id="6505" xr3:uid="{00000000-0010-0000-2000-000069190000}" name="Column6478"/>
    <tableColumn id="6506" xr3:uid="{00000000-0010-0000-2000-00006A190000}" name="Column6479"/>
    <tableColumn id="6507" xr3:uid="{00000000-0010-0000-2000-00006B190000}" name="Column6480"/>
    <tableColumn id="6508" xr3:uid="{00000000-0010-0000-2000-00006C190000}" name="Column6481"/>
    <tableColumn id="6509" xr3:uid="{00000000-0010-0000-2000-00006D190000}" name="Column6482"/>
    <tableColumn id="6510" xr3:uid="{00000000-0010-0000-2000-00006E190000}" name="Column6483"/>
    <tableColumn id="6511" xr3:uid="{00000000-0010-0000-2000-00006F190000}" name="Column6484"/>
    <tableColumn id="6512" xr3:uid="{00000000-0010-0000-2000-000070190000}" name="Column6485"/>
    <tableColumn id="6513" xr3:uid="{00000000-0010-0000-2000-000071190000}" name="Column6486"/>
    <tableColumn id="6514" xr3:uid="{00000000-0010-0000-2000-000072190000}" name="Column6487"/>
    <tableColumn id="6515" xr3:uid="{00000000-0010-0000-2000-000073190000}" name="Column6488"/>
    <tableColumn id="6516" xr3:uid="{00000000-0010-0000-2000-000074190000}" name="Column6489"/>
    <tableColumn id="6517" xr3:uid="{00000000-0010-0000-2000-000075190000}" name="Column6490"/>
    <tableColumn id="6518" xr3:uid="{00000000-0010-0000-2000-000076190000}" name="Column6491"/>
    <tableColumn id="6519" xr3:uid="{00000000-0010-0000-2000-000077190000}" name="Column6492"/>
    <tableColumn id="6520" xr3:uid="{00000000-0010-0000-2000-000078190000}" name="Column6493"/>
    <tableColumn id="6521" xr3:uid="{00000000-0010-0000-2000-000079190000}" name="Column6494"/>
    <tableColumn id="6522" xr3:uid="{00000000-0010-0000-2000-00007A190000}" name="Column6495"/>
    <tableColumn id="6523" xr3:uid="{00000000-0010-0000-2000-00007B190000}" name="Column6496"/>
    <tableColumn id="6524" xr3:uid="{00000000-0010-0000-2000-00007C190000}" name="Column6497"/>
    <tableColumn id="6525" xr3:uid="{00000000-0010-0000-2000-00007D190000}" name="Column6498"/>
    <tableColumn id="6526" xr3:uid="{00000000-0010-0000-2000-00007E190000}" name="Column6499"/>
    <tableColumn id="6527" xr3:uid="{00000000-0010-0000-2000-00007F190000}" name="Column6500"/>
    <tableColumn id="6528" xr3:uid="{00000000-0010-0000-2000-000080190000}" name="Column6501"/>
    <tableColumn id="6529" xr3:uid="{00000000-0010-0000-2000-000081190000}" name="Column6502"/>
    <tableColumn id="6530" xr3:uid="{00000000-0010-0000-2000-000082190000}" name="Column6503"/>
    <tableColumn id="6531" xr3:uid="{00000000-0010-0000-2000-000083190000}" name="Column6504"/>
    <tableColumn id="6532" xr3:uid="{00000000-0010-0000-2000-000084190000}" name="Column6505"/>
    <tableColumn id="6533" xr3:uid="{00000000-0010-0000-2000-000085190000}" name="Column6506"/>
    <tableColumn id="6534" xr3:uid="{00000000-0010-0000-2000-000086190000}" name="Column6507"/>
    <tableColumn id="6535" xr3:uid="{00000000-0010-0000-2000-000087190000}" name="Column6508"/>
    <tableColumn id="6536" xr3:uid="{00000000-0010-0000-2000-000088190000}" name="Column6509"/>
    <tableColumn id="6537" xr3:uid="{00000000-0010-0000-2000-000089190000}" name="Column6510"/>
    <tableColumn id="6538" xr3:uid="{00000000-0010-0000-2000-00008A190000}" name="Column6511"/>
    <tableColumn id="6539" xr3:uid="{00000000-0010-0000-2000-00008B190000}" name="Column6512"/>
    <tableColumn id="6540" xr3:uid="{00000000-0010-0000-2000-00008C190000}" name="Column6513"/>
    <tableColumn id="6541" xr3:uid="{00000000-0010-0000-2000-00008D190000}" name="Column6514"/>
    <tableColumn id="6542" xr3:uid="{00000000-0010-0000-2000-00008E190000}" name="Column6515"/>
    <tableColumn id="6543" xr3:uid="{00000000-0010-0000-2000-00008F190000}" name="Column6516"/>
    <tableColumn id="6544" xr3:uid="{00000000-0010-0000-2000-000090190000}" name="Column6517"/>
    <tableColumn id="6545" xr3:uid="{00000000-0010-0000-2000-000091190000}" name="Column6518"/>
    <tableColumn id="6546" xr3:uid="{00000000-0010-0000-2000-000092190000}" name="Column6519"/>
    <tableColumn id="6547" xr3:uid="{00000000-0010-0000-2000-000093190000}" name="Column6520"/>
    <tableColumn id="6548" xr3:uid="{00000000-0010-0000-2000-000094190000}" name="Column6521"/>
    <tableColumn id="6549" xr3:uid="{00000000-0010-0000-2000-000095190000}" name="Column6522"/>
    <tableColumn id="6550" xr3:uid="{00000000-0010-0000-2000-000096190000}" name="Column6523"/>
    <tableColumn id="6551" xr3:uid="{00000000-0010-0000-2000-000097190000}" name="Column6524"/>
    <tableColumn id="6552" xr3:uid="{00000000-0010-0000-2000-000098190000}" name="Column6525"/>
    <tableColumn id="6553" xr3:uid="{00000000-0010-0000-2000-000099190000}" name="Column6526"/>
    <tableColumn id="6554" xr3:uid="{00000000-0010-0000-2000-00009A190000}" name="Column6527"/>
    <tableColumn id="6555" xr3:uid="{00000000-0010-0000-2000-00009B190000}" name="Column6528"/>
    <tableColumn id="6556" xr3:uid="{00000000-0010-0000-2000-00009C190000}" name="Column6529"/>
    <tableColumn id="6557" xr3:uid="{00000000-0010-0000-2000-00009D190000}" name="Column6530"/>
    <tableColumn id="6558" xr3:uid="{00000000-0010-0000-2000-00009E190000}" name="Column6531"/>
    <tableColumn id="6559" xr3:uid="{00000000-0010-0000-2000-00009F190000}" name="Column6532"/>
    <tableColumn id="6560" xr3:uid="{00000000-0010-0000-2000-0000A0190000}" name="Column6533"/>
    <tableColumn id="6561" xr3:uid="{00000000-0010-0000-2000-0000A1190000}" name="Column6534"/>
    <tableColumn id="6562" xr3:uid="{00000000-0010-0000-2000-0000A2190000}" name="Column6535"/>
    <tableColumn id="6563" xr3:uid="{00000000-0010-0000-2000-0000A3190000}" name="Column6536"/>
    <tableColumn id="6564" xr3:uid="{00000000-0010-0000-2000-0000A4190000}" name="Column6537"/>
    <tableColumn id="6565" xr3:uid="{00000000-0010-0000-2000-0000A5190000}" name="Column6538"/>
    <tableColumn id="6566" xr3:uid="{00000000-0010-0000-2000-0000A6190000}" name="Column6539"/>
    <tableColumn id="6567" xr3:uid="{00000000-0010-0000-2000-0000A7190000}" name="Column6540"/>
    <tableColumn id="6568" xr3:uid="{00000000-0010-0000-2000-0000A8190000}" name="Column6541"/>
    <tableColumn id="6569" xr3:uid="{00000000-0010-0000-2000-0000A9190000}" name="Column6542"/>
    <tableColumn id="6570" xr3:uid="{00000000-0010-0000-2000-0000AA190000}" name="Column6543"/>
    <tableColumn id="6571" xr3:uid="{00000000-0010-0000-2000-0000AB190000}" name="Column6544"/>
    <tableColumn id="6572" xr3:uid="{00000000-0010-0000-2000-0000AC190000}" name="Column6545"/>
    <tableColumn id="6573" xr3:uid="{00000000-0010-0000-2000-0000AD190000}" name="Column6546"/>
    <tableColumn id="6574" xr3:uid="{00000000-0010-0000-2000-0000AE190000}" name="Column6547"/>
    <tableColumn id="6575" xr3:uid="{00000000-0010-0000-2000-0000AF190000}" name="Column6548"/>
    <tableColumn id="6576" xr3:uid="{00000000-0010-0000-2000-0000B0190000}" name="Column6549"/>
    <tableColumn id="6577" xr3:uid="{00000000-0010-0000-2000-0000B1190000}" name="Column6550"/>
    <tableColumn id="6578" xr3:uid="{00000000-0010-0000-2000-0000B2190000}" name="Column6551"/>
    <tableColumn id="6579" xr3:uid="{00000000-0010-0000-2000-0000B3190000}" name="Column6552"/>
    <tableColumn id="6580" xr3:uid="{00000000-0010-0000-2000-0000B4190000}" name="Column6553"/>
    <tableColumn id="6581" xr3:uid="{00000000-0010-0000-2000-0000B5190000}" name="Column6554"/>
    <tableColumn id="6582" xr3:uid="{00000000-0010-0000-2000-0000B6190000}" name="Column6555"/>
    <tableColumn id="6583" xr3:uid="{00000000-0010-0000-2000-0000B7190000}" name="Column6556"/>
    <tableColumn id="6584" xr3:uid="{00000000-0010-0000-2000-0000B8190000}" name="Column6557"/>
    <tableColumn id="6585" xr3:uid="{00000000-0010-0000-2000-0000B9190000}" name="Column6558"/>
    <tableColumn id="6586" xr3:uid="{00000000-0010-0000-2000-0000BA190000}" name="Column6559"/>
    <tableColumn id="6587" xr3:uid="{00000000-0010-0000-2000-0000BB190000}" name="Column6560"/>
    <tableColumn id="6588" xr3:uid="{00000000-0010-0000-2000-0000BC190000}" name="Column6561"/>
    <tableColumn id="6589" xr3:uid="{00000000-0010-0000-2000-0000BD190000}" name="Column6562"/>
    <tableColumn id="6590" xr3:uid="{00000000-0010-0000-2000-0000BE190000}" name="Column6563"/>
    <tableColumn id="6591" xr3:uid="{00000000-0010-0000-2000-0000BF190000}" name="Column6564"/>
    <tableColumn id="6592" xr3:uid="{00000000-0010-0000-2000-0000C0190000}" name="Column6565"/>
    <tableColumn id="6593" xr3:uid="{00000000-0010-0000-2000-0000C1190000}" name="Column6566"/>
    <tableColumn id="6594" xr3:uid="{00000000-0010-0000-2000-0000C2190000}" name="Column6567"/>
    <tableColumn id="6595" xr3:uid="{00000000-0010-0000-2000-0000C3190000}" name="Column6568"/>
    <tableColumn id="6596" xr3:uid="{00000000-0010-0000-2000-0000C4190000}" name="Column6569"/>
    <tableColumn id="6597" xr3:uid="{00000000-0010-0000-2000-0000C5190000}" name="Column6570"/>
    <tableColumn id="6598" xr3:uid="{00000000-0010-0000-2000-0000C6190000}" name="Column6571"/>
    <tableColumn id="6599" xr3:uid="{00000000-0010-0000-2000-0000C7190000}" name="Column6572"/>
    <tableColumn id="6600" xr3:uid="{00000000-0010-0000-2000-0000C8190000}" name="Column6573"/>
    <tableColumn id="6601" xr3:uid="{00000000-0010-0000-2000-0000C9190000}" name="Column6574"/>
    <tableColumn id="6602" xr3:uid="{00000000-0010-0000-2000-0000CA190000}" name="Column6575"/>
    <tableColumn id="6603" xr3:uid="{00000000-0010-0000-2000-0000CB190000}" name="Column6576"/>
    <tableColumn id="6604" xr3:uid="{00000000-0010-0000-2000-0000CC190000}" name="Column6577"/>
    <tableColumn id="6605" xr3:uid="{00000000-0010-0000-2000-0000CD190000}" name="Column6578"/>
    <tableColumn id="6606" xr3:uid="{00000000-0010-0000-2000-0000CE190000}" name="Column6579"/>
    <tableColumn id="6607" xr3:uid="{00000000-0010-0000-2000-0000CF190000}" name="Column6580"/>
    <tableColumn id="6608" xr3:uid="{00000000-0010-0000-2000-0000D0190000}" name="Column6581"/>
    <tableColumn id="6609" xr3:uid="{00000000-0010-0000-2000-0000D1190000}" name="Column6582"/>
    <tableColumn id="6610" xr3:uid="{00000000-0010-0000-2000-0000D2190000}" name="Column6583"/>
    <tableColumn id="6611" xr3:uid="{00000000-0010-0000-2000-0000D3190000}" name="Column6584"/>
    <tableColumn id="6612" xr3:uid="{00000000-0010-0000-2000-0000D4190000}" name="Column6585"/>
    <tableColumn id="6613" xr3:uid="{00000000-0010-0000-2000-0000D5190000}" name="Column6586"/>
    <tableColumn id="6614" xr3:uid="{00000000-0010-0000-2000-0000D6190000}" name="Column6587"/>
    <tableColumn id="6615" xr3:uid="{00000000-0010-0000-2000-0000D7190000}" name="Column6588"/>
    <tableColumn id="6616" xr3:uid="{00000000-0010-0000-2000-0000D8190000}" name="Column6589"/>
    <tableColumn id="6617" xr3:uid="{00000000-0010-0000-2000-0000D9190000}" name="Column6590"/>
    <tableColumn id="6618" xr3:uid="{00000000-0010-0000-2000-0000DA190000}" name="Column6591"/>
    <tableColumn id="6619" xr3:uid="{00000000-0010-0000-2000-0000DB190000}" name="Column6592"/>
    <tableColumn id="6620" xr3:uid="{00000000-0010-0000-2000-0000DC190000}" name="Column6593"/>
    <tableColumn id="6621" xr3:uid="{00000000-0010-0000-2000-0000DD190000}" name="Column6594"/>
    <tableColumn id="6622" xr3:uid="{00000000-0010-0000-2000-0000DE190000}" name="Column6595"/>
    <tableColumn id="6623" xr3:uid="{00000000-0010-0000-2000-0000DF190000}" name="Column6596"/>
    <tableColumn id="6624" xr3:uid="{00000000-0010-0000-2000-0000E0190000}" name="Column6597"/>
    <tableColumn id="6625" xr3:uid="{00000000-0010-0000-2000-0000E1190000}" name="Column6598"/>
    <tableColumn id="6626" xr3:uid="{00000000-0010-0000-2000-0000E2190000}" name="Column6599"/>
    <tableColumn id="6627" xr3:uid="{00000000-0010-0000-2000-0000E3190000}" name="Column6600"/>
    <tableColumn id="6628" xr3:uid="{00000000-0010-0000-2000-0000E4190000}" name="Column6601"/>
    <tableColumn id="6629" xr3:uid="{00000000-0010-0000-2000-0000E5190000}" name="Column6602"/>
    <tableColumn id="6630" xr3:uid="{00000000-0010-0000-2000-0000E6190000}" name="Column6603"/>
    <tableColumn id="6631" xr3:uid="{00000000-0010-0000-2000-0000E7190000}" name="Column6604"/>
    <tableColumn id="6632" xr3:uid="{00000000-0010-0000-2000-0000E8190000}" name="Column6605"/>
    <tableColumn id="6633" xr3:uid="{00000000-0010-0000-2000-0000E9190000}" name="Column6606"/>
    <tableColumn id="6634" xr3:uid="{00000000-0010-0000-2000-0000EA190000}" name="Column6607"/>
    <tableColumn id="6635" xr3:uid="{00000000-0010-0000-2000-0000EB190000}" name="Column6608"/>
    <tableColumn id="6636" xr3:uid="{00000000-0010-0000-2000-0000EC190000}" name="Column6609"/>
    <tableColumn id="6637" xr3:uid="{00000000-0010-0000-2000-0000ED190000}" name="Column6610"/>
    <tableColumn id="6638" xr3:uid="{00000000-0010-0000-2000-0000EE190000}" name="Column6611"/>
    <tableColumn id="6639" xr3:uid="{00000000-0010-0000-2000-0000EF190000}" name="Column6612"/>
    <tableColumn id="6640" xr3:uid="{00000000-0010-0000-2000-0000F0190000}" name="Column6613"/>
    <tableColumn id="6641" xr3:uid="{00000000-0010-0000-2000-0000F1190000}" name="Column6614"/>
    <tableColumn id="6642" xr3:uid="{00000000-0010-0000-2000-0000F2190000}" name="Column6615"/>
    <tableColumn id="6643" xr3:uid="{00000000-0010-0000-2000-0000F3190000}" name="Column6616"/>
    <tableColumn id="6644" xr3:uid="{00000000-0010-0000-2000-0000F4190000}" name="Column6617"/>
    <tableColumn id="6645" xr3:uid="{00000000-0010-0000-2000-0000F5190000}" name="Column6618"/>
    <tableColumn id="6646" xr3:uid="{00000000-0010-0000-2000-0000F6190000}" name="Column6619"/>
    <tableColumn id="6647" xr3:uid="{00000000-0010-0000-2000-0000F7190000}" name="Column6620"/>
    <tableColumn id="6648" xr3:uid="{00000000-0010-0000-2000-0000F8190000}" name="Column6621"/>
    <tableColumn id="6649" xr3:uid="{00000000-0010-0000-2000-0000F9190000}" name="Column6622"/>
    <tableColumn id="6650" xr3:uid="{00000000-0010-0000-2000-0000FA190000}" name="Column6623"/>
    <tableColumn id="6651" xr3:uid="{00000000-0010-0000-2000-0000FB190000}" name="Column6624"/>
    <tableColumn id="6652" xr3:uid="{00000000-0010-0000-2000-0000FC190000}" name="Column6625"/>
    <tableColumn id="6653" xr3:uid="{00000000-0010-0000-2000-0000FD190000}" name="Column6626"/>
    <tableColumn id="6654" xr3:uid="{00000000-0010-0000-2000-0000FE190000}" name="Column6627"/>
    <tableColumn id="6655" xr3:uid="{00000000-0010-0000-2000-0000FF190000}" name="Column6628"/>
    <tableColumn id="6656" xr3:uid="{00000000-0010-0000-2000-0000001A0000}" name="Column6629"/>
    <tableColumn id="6657" xr3:uid="{00000000-0010-0000-2000-0000011A0000}" name="Column6630"/>
    <tableColumn id="6658" xr3:uid="{00000000-0010-0000-2000-0000021A0000}" name="Column6631"/>
    <tableColumn id="6659" xr3:uid="{00000000-0010-0000-2000-0000031A0000}" name="Column6632"/>
    <tableColumn id="6660" xr3:uid="{00000000-0010-0000-2000-0000041A0000}" name="Column6633"/>
    <tableColumn id="6661" xr3:uid="{00000000-0010-0000-2000-0000051A0000}" name="Column6634"/>
    <tableColumn id="6662" xr3:uid="{00000000-0010-0000-2000-0000061A0000}" name="Column6635"/>
    <tableColumn id="6663" xr3:uid="{00000000-0010-0000-2000-0000071A0000}" name="Column6636"/>
    <tableColumn id="6664" xr3:uid="{00000000-0010-0000-2000-0000081A0000}" name="Column6637"/>
    <tableColumn id="6665" xr3:uid="{00000000-0010-0000-2000-0000091A0000}" name="Column6638"/>
    <tableColumn id="6666" xr3:uid="{00000000-0010-0000-2000-00000A1A0000}" name="Column6639"/>
    <tableColumn id="6667" xr3:uid="{00000000-0010-0000-2000-00000B1A0000}" name="Column6640"/>
    <tableColumn id="6668" xr3:uid="{00000000-0010-0000-2000-00000C1A0000}" name="Column6641"/>
    <tableColumn id="6669" xr3:uid="{00000000-0010-0000-2000-00000D1A0000}" name="Column6642"/>
    <tableColumn id="6670" xr3:uid="{00000000-0010-0000-2000-00000E1A0000}" name="Column6643"/>
    <tableColumn id="6671" xr3:uid="{00000000-0010-0000-2000-00000F1A0000}" name="Column6644"/>
    <tableColumn id="6672" xr3:uid="{00000000-0010-0000-2000-0000101A0000}" name="Column6645"/>
    <tableColumn id="6673" xr3:uid="{00000000-0010-0000-2000-0000111A0000}" name="Column6646"/>
    <tableColumn id="6674" xr3:uid="{00000000-0010-0000-2000-0000121A0000}" name="Column6647"/>
    <tableColumn id="6675" xr3:uid="{00000000-0010-0000-2000-0000131A0000}" name="Column6648"/>
    <tableColumn id="6676" xr3:uid="{00000000-0010-0000-2000-0000141A0000}" name="Column6649"/>
    <tableColumn id="6677" xr3:uid="{00000000-0010-0000-2000-0000151A0000}" name="Column6650"/>
    <tableColumn id="6678" xr3:uid="{00000000-0010-0000-2000-0000161A0000}" name="Column6651"/>
    <tableColumn id="6679" xr3:uid="{00000000-0010-0000-2000-0000171A0000}" name="Column6652"/>
    <tableColumn id="6680" xr3:uid="{00000000-0010-0000-2000-0000181A0000}" name="Column6653"/>
    <tableColumn id="6681" xr3:uid="{00000000-0010-0000-2000-0000191A0000}" name="Column6654"/>
    <tableColumn id="6682" xr3:uid="{00000000-0010-0000-2000-00001A1A0000}" name="Column6655"/>
    <tableColumn id="6683" xr3:uid="{00000000-0010-0000-2000-00001B1A0000}" name="Column6656"/>
    <tableColumn id="6684" xr3:uid="{00000000-0010-0000-2000-00001C1A0000}" name="Column6657"/>
    <tableColumn id="6685" xr3:uid="{00000000-0010-0000-2000-00001D1A0000}" name="Column6658"/>
    <tableColumn id="6686" xr3:uid="{00000000-0010-0000-2000-00001E1A0000}" name="Column6659"/>
    <tableColumn id="6687" xr3:uid="{00000000-0010-0000-2000-00001F1A0000}" name="Column6660"/>
    <tableColumn id="6688" xr3:uid="{00000000-0010-0000-2000-0000201A0000}" name="Column6661"/>
    <tableColumn id="6689" xr3:uid="{00000000-0010-0000-2000-0000211A0000}" name="Column6662"/>
    <tableColumn id="6690" xr3:uid="{00000000-0010-0000-2000-0000221A0000}" name="Column6663"/>
    <tableColumn id="6691" xr3:uid="{00000000-0010-0000-2000-0000231A0000}" name="Column6664"/>
    <tableColumn id="6692" xr3:uid="{00000000-0010-0000-2000-0000241A0000}" name="Column6665"/>
    <tableColumn id="6693" xr3:uid="{00000000-0010-0000-2000-0000251A0000}" name="Column6666"/>
    <tableColumn id="6694" xr3:uid="{00000000-0010-0000-2000-0000261A0000}" name="Column6667"/>
    <tableColumn id="6695" xr3:uid="{00000000-0010-0000-2000-0000271A0000}" name="Column6668"/>
    <tableColumn id="6696" xr3:uid="{00000000-0010-0000-2000-0000281A0000}" name="Column6669"/>
    <tableColumn id="6697" xr3:uid="{00000000-0010-0000-2000-0000291A0000}" name="Column6670"/>
    <tableColumn id="6698" xr3:uid="{00000000-0010-0000-2000-00002A1A0000}" name="Column6671"/>
    <tableColumn id="6699" xr3:uid="{00000000-0010-0000-2000-00002B1A0000}" name="Column6672"/>
    <tableColumn id="6700" xr3:uid="{00000000-0010-0000-2000-00002C1A0000}" name="Column6673"/>
    <tableColumn id="6701" xr3:uid="{00000000-0010-0000-2000-00002D1A0000}" name="Column6674"/>
    <tableColumn id="6702" xr3:uid="{00000000-0010-0000-2000-00002E1A0000}" name="Column6675"/>
    <tableColumn id="6703" xr3:uid="{00000000-0010-0000-2000-00002F1A0000}" name="Column6676"/>
    <tableColumn id="6704" xr3:uid="{00000000-0010-0000-2000-0000301A0000}" name="Column6677"/>
    <tableColumn id="6705" xr3:uid="{00000000-0010-0000-2000-0000311A0000}" name="Column6678"/>
    <tableColumn id="6706" xr3:uid="{00000000-0010-0000-2000-0000321A0000}" name="Column6679"/>
    <tableColumn id="6707" xr3:uid="{00000000-0010-0000-2000-0000331A0000}" name="Column6680"/>
    <tableColumn id="6708" xr3:uid="{00000000-0010-0000-2000-0000341A0000}" name="Column6681"/>
    <tableColumn id="6709" xr3:uid="{00000000-0010-0000-2000-0000351A0000}" name="Column6682"/>
    <tableColumn id="6710" xr3:uid="{00000000-0010-0000-2000-0000361A0000}" name="Column6683"/>
    <tableColumn id="6711" xr3:uid="{00000000-0010-0000-2000-0000371A0000}" name="Column6684"/>
    <tableColumn id="6712" xr3:uid="{00000000-0010-0000-2000-0000381A0000}" name="Column6685"/>
    <tableColumn id="6713" xr3:uid="{00000000-0010-0000-2000-0000391A0000}" name="Column6686"/>
    <tableColumn id="6714" xr3:uid="{00000000-0010-0000-2000-00003A1A0000}" name="Column6687"/>
    <tableColumn id="6715" xr3:uid="{00000000-0010-0000-2000-00003B1A0000}" name="Column6688"/>
    <tableColumn id="6716" xr3:uid="{00000000-0010-0000-2000-00003C1A0000}" name="Column6689"/>
    <tableColumn id="6717" xr3:uid="{00000000-0010-0000-2000-00003D1A0000}" name="Column6690"/>
    <tableColumn id="6718" xr3:uid="{00000000-0010-0000-2000-00003E1A0000}" name="Column6691"/>
    <tableColumn id="6719" xr3:uid="{00000000-0010-0000-2000-00003F1A0000}" name="Column6692"/>
    <tableColumn id="6720" xr3:uid="{00000000-0010-0000-2000-0000401A0000}" name="Column6693"/>
    <tableColumn id="6721" xr3:uid="{00000000-0010-0000-2000-0000411A0000}" name="Column6694"/>
    <tableColumn id="6722" xr3:uid="{00000000-0010-0000-2000-0000421A0000}" name="Column6695"/>
    <tableColumn id="6723" xr3:uid="{00000000-0010-0000-2000-0000431A0000}" name="Column6696"/>
    <tableColumn id="6724" xr3:uid="{00000000-0010-0000-2000-0000441A0000}" name="Column6697"/>
    <tableColumn id="6725" xr3:uid="{00000000-0010-0000-2000-0000451A0000}" name="Column6698"/>
    <tableColumn id="6726" xr3:uid="{00000000-0010-0000-2000-0000461A0000}" name="Column6699"/>
    <tableColumn id="6727" xr3:uid="{00000000-0010-0000-2000-0000471A0000}" name="Column6700"/>
    <tableColumn id="6728" xr3:uid="{00000000-0010-0000-2000-0000481A0000}" name="Column6701"/>
    <tableColumn id="6729" xr3:uid="{00000000-0010-0000-2000-0000491A0000}" name="Column6702"/>
    <tableColumn id="6730" xr3:uid="{00000000-0010-0000-2000-00004A1A0000}" name="Column6703"/>
    <tableColumn id="6731" xr3:uid="{00000000-0010-0000-2000-00004B1A0000}" name="Column6704"/>
    <tableColumn id="6732" xr3:uid="{00000000-0010-0000-2000-00004C1A0000}" name="Column6705"/>
    <tableColumn id="6733" xr3:uid="{00000000-0010-0000-2000-00004D1A0000}" name="Column6706"/>
    <tableColumn id="6734" xr3:uid="{00000000-0010-0000-2000-00004E1A0000}" name="Column6707"/>
    <tableColumn id="6735" xr3:uid="{00000000-0010-0000-2000-00004F1A0000}" name="Column6708"/>
    <tableColumn id="6736" xr3:uid="{00000000-0010-0000-2000-0000501A0000}" name="Column6709"/>
    <tableColumn id="6737" xr3:uid="{00000000-0010-0000-2000-0000511A0000}" name="Column6710"/>
    <tableColumn id="6738" xr3:uid="{00000000-0010-0000-2000-0000521A0000}" name="Column6711"/>
    <tableColumn id="6739" xr3:uid="{00000000-0010-0000-2000-0000531A0000}" name="Column6712"/>
    <tableColumn id="6740" xr3:uid="{00000000-0010-0000-2000-0000541A0000}" name="Column6713"/>
    <tableColumn id="6741" xr3:uid="{00000000-0010-0000-2000-0000551A0000}" name="Column6714"/>
    <tableColumn id="6742" xr3:uid="{00000000-0010-0000-2000-0000561A0000}" name="Column6715"/>
    <tableColumn id="6743" xr3:uid="{00000000-0010-0000-2000-0000571A0000}" name="Column6716"/>
    <tableColumn id="6744" xr3:uid="{00000000-0010-0000-2000-0000581A0000}" name="Column6717"/>
    <tableColumn id="6745" xr3:uid="{00000000-0010-0000-2000-0000591A0000}" name="Column6718"/>
    <tableColumn id="6746" xr3:uid="{00000000-0010-0000-2000-00005A1A0000}" name="Column6719"/>
    <tableColumn id="6747" xr3:uid="{00000000-0010-0000-2000-00005B1A0000}" name="Column6720"/>
    <tableColumn id="6748" xr3:uid="{00000000-0010-0000-2000-00005C1A0000}" name="Column6721"/>
    <tableColumn id="6749" xr3:uid="{00000000-0010-0000-2000-00005D1A0000}" name="Column6722"/>
    <tableColumn id="6750" xr3:uid="{00000000-0010-0000-2000-00005E1A0000}" name="Column6723"/>
    <tableColumn id="6751" xr3:uid="{00000000-0010-0000-2000-00005F1A0000}" name="Column6724"/>
    <tableColumn id="6752" xr3:uid="{00000000-0010-0000-2000-0000601A0000}" name="Column6725"/>
    <tableColumn id="6753" xr3:uid="{00000000-0010-0000-2000-0000611A0000}" name="Column6726"/>
    <tableColumn id="6754" xr3:uid="{00000000-0010-0000-2000-0000621A0000}" name="Column6727"/>
    <tableColumn id="6755" xr3:uid="{00000000-0010-0000-2000-0000631A0000}" name="Column6728"/>
    <tableColumn id="6756" xr3:uid="{00000000-0010-0000-2000-0000641A0000}" name="Column6729"/>
    <tableColumn id="6757" xr3:uid="{00000000-0010-0000-2000-0000651A0000}" name="Column6730"/>
    <tableColumn id="6758" xr3:uid="{00000000-0010-0000-2000-0000661A0000}" name="Column6731"/>
    <tableColumn id="6759" xr3:uid="{00000000-0010-0000-2000-0000671A0000}" name="Column6732"/>
    <tableColumn id="6760" xr3:uid="{00000000-0010-0000-2000-0000681A0000}" name="Column6733"/>
    <tableColumn id="6761" xr3:uid="{00000000-0010-0000-2000-0000691A0000}" name="Column6734"/>
    <tableColumn id="6762" xr3:uid="{00000000-0010-0000-2000-00006A1A0000}" name="Column6735"/>
    <tableColumn id="6763" xr3:uid="{00000000-0010-0000-2000-00006B1A0000}" name="Column6736"/>
    <tableColumn id="6764" xr3:uid="{00000000-0010-0000-2000-00006C1A0000}" name="Column6737"/>
    <tableColumn id="6765" xr3:uid="{00000000-0010-0000-2000-00006D1A0000}" name="Column6738"/>
    <tableColumn id="6766" xr3:uid="{00000000-0010-0000-2000-00006E1A0000}" name="Column6739"/>
    <tableColumn id="6767" xr3:uid="{00000000-0010-0000-2000-00006F1A0000}" name="Column6740"/>
    <tableColumn id="6768" xr3:uid="{00000000-0010-0000-2000-0000701A0000}" name="Column6741"/>
    <tableColumn id="6769" xr3:uid="{00000000-0010-0000-2000-0000711A0000}" name="Column6742"/>
    <tableColumn id="6770" xr3:uid="{00000000-0010-0000-2000-0000721A0000}" name="Column6743"/>
    <tableColumn id="6771" xr3:uid="{00000000-0010-0000-2000-0000731A0000}" name="Column6744"/>
    <tableColumn id="6772" xr3:uid="{00000000-0010-0000-2000-0000741A0000}" name="Column6745"/>
    <tableColumn id="6773" xr3:uid="{00000000-0010-0000-2000-0000751A0000}" name="Column6746"/>
    <tableColumn id="6774" xr3:uid="{00000000-0010-0000-2000-0000761A0000}" name="Column6747"/>
    <tableColumn id="6775" xr3:uid="{00000000-0010-0000-2000-0000771A0000}" name="Column6748"/>
    <tableColumn id="6776" xr3:uid="{00000000-0010-0000-2000-0000781A0000}" name="Column6749"/>
    <tableColumn id="6777" xr3:uid="{00000000-0010-0000-2000-0000791A0000}" name="Column6750"/>
    <tableColumn id="6778" xr3:uid="{00000000-0010-0000-2000-00007A1A0000}" name="Column6751"/>
    <tableColumn id="6779" xr3:uid="{00000000-0010-0000-2000-00007B1A0000}" name="Column6752"/>
    <tableColumn id="6780" xr3:uid="{00000000-0010-0000-2000-00007C1A0000}" name="Column6753"/>
    <tableColumn id="6781" xr3:uid="{00000000-0010-0000-2000-00007D1A0000}" name="Column6754"/>
    <tableColumn id="6782" xr3:uid="{00000000-0010-0000-2000-00007E1A0000}" name="Column6755"/>
    <tableColumn id="6783" xr3:uid="{00000000-0010-0000-2000-00007F1A0000}" name="Column6756"/>
    <tableColumn id="6784" xr3:uid="{00000000-0010-0000-2000-0000801A0000}" name="Column6757"/>
    <tableColumn id="6785" xr3:uid="{00000000-0010-0000-2000-0000811A0000}" name="Column6758"/>
    <tableColumn id="6786" xr3:uid="{00000000-0010-0000-2000-0000821A0000}" name="Column6759"/>
    <tableColumn id="6787" xr3:uid="{00000000-0010-0000-2000-0000831A0000}" name="Column6760"/>
    <tableColumn id="6788" xr3:uid="{00000000-0010-0000-2000-0000841A0000}" name="Column6761"/>
    <tableColumn id="6789" xr3:uid="{00000000-0010-0000-2000-0000851A0000}" name="Column6762"/>
    <tableColumn id="6790" xr3:uid="{00000000-0010-0000-2000-0000861A0000}" name="Column6763"/>
    <tableColumn id="6791" xr3:uid="{00000000-0010-0000-2000-0000871A0000}" name="Column6764"/>
    <tableColumn id="6792" xr3:uid="{00000000-0010-0000-2000-0000881A0000}" name="Column6765"/>
    <tableColumn id="6793" xr3:uid="{00000000-0010-0000-2000-0000891A0000}" name="Column6766"/>
    <tableColumn id="6794" xr3:uid="{00000000-0010-0000-2000-00008A1A0000}" name="Column6767"/>
    <tableColumn id="6795" xr3:uid="{00000000-0010-0000-2000-00008B1A0000}" name="Column6768"/>
    <tableColumn id="6796" xr3:uid="{00000000-0010-0000-2000-00008C1A0000}" name="Column6769"/>
    <tableColumn id="6797" xr3:uid="{00000000-0010-0000-2000-00008D1A0000}" name="Column6770"/>
    <tableColumn id="6798" xr3:uid="{00000000-0010-0000-2000-00008E1A0000}" name="Column6771"/>
    <tableColumn id="6799" xr3:uid="{00000000-0010-0000-2000-00008F1A0000}" name="Column6772"/>
    <tableColumn id="6800" xr3:uid="{00000000-0010-0000-2000-0000901A0000}" name="Column6773"/>
    <tableColumn id="6801" xr3:uid="{00000000-0010-0000-2000-0000911A0000}" name="Column6774"/>
    <tableColumn id="6802" xr3:uid="{00000000-0010-0000-2000-0000921A0000}" name="Column6775"/>
    <tableColumn id="6803" xr3:uid="{00000000-0010-0000-2000-0000931A0000}" name="Column6776"/>
    <tableColumn id="6804" xr3:uid="{00000000-0010-0000-2000-0000941A0000}" name="Column6777"/>
    <tableColumn id="6805" xr3:uid="{00000000-0010-0000-2000-0000951A0000}" name="Column6778"/>
    <tableColumn id="6806" xr3:uid="{00000000-0010-0000-2000-0000961A0000}" name="Column6779"/>
    <tableColumn id="6807" xr3:uid="{00000000-0010-0000-2000-0000971A0000}" name="Column6780"/>
    <tableColumn id="6808" xr3:uid="{00000000-0010-0000-2000-0000981A0000}" name="Column6781"/>
    <tableColumn id="6809" xr3:uid="{00000000-0010-0000-2000-0000991A0000}" name="Column6782"/>
    <tableColumn id="6810" xr3:uid="{00000000-0010-0000-2000-00009A1A0000}" name="Column6783"/>
    <tableColumn id="6811" xr3:uid="{00000000-0010-0000-2000-00009B1A0000}" name="Column6784"/>
    <tableColumn id="6812" xr3:uid="{00000000-0010-0000-2000-00009C1A0000}" name="Column6785"/>
    <tableColumn id="6813" xr3:uid="{00000000-0010-0000-2000-00009D1A0000}" name="Column6786"/>
    <tableColumn id="6814" xr3:uid="{00000000-0010-0000-2000-00009E1A0000}" name="Column6787"/>
    <tableColumn id="6815" xr3:uid="{00000000-0010-0000-2000-00009F1A0000}" name="Column6788"/>
    <tableColumn id="6816" xr3:uid="{00000000-0010-0000-2000-0000A01A0000}" name="Column6789"/>
    <tableColumn id="6817" xr3:uid="{00000000-0010-0000-2000-0000A11A0000}" name="Column6790"/>
    <tableColumn id="6818" xr3:uid="{00000000-0010-0000-2000-0000A21A0000}" name="Column6791"/>
    <tableColumn id="6819" xr3:uid="{00000000-0010-0000-2000-0000A31A0000}" name="Column6792"/>
    <tableColumn id="6820" xr3:uid="{00000000-0010-0000-2000-0000A41A0000}" name="Column6793"/>
    <tableColumn id="6821" xr3:uid="{00000000-0010-0000-2000-0000A51A0000}" name="Column6794"/>
    <tableColumn id="6822" xr3:uid="{00000000-0010-0000-2000-0000A61A0000}" name="Column6795"/>
    <tableColumn id="6823" xr3:uid="{00000000-0010-0000-2000-0000A71A0000}" name="Column6796"/>
    <tableColumn id="6824" xr3:uid="{00000000-0010-0000-2000-0000A81A0000}" name="Column6797"/>
    <tableColumn id="6825" xr3:uid="{00000000-0010-0000-2000-0000A91A0000}" name="Column6798"/>
    <tableColumn id="6826" xr3:uid="{00000000-0010-0000-2000-0000AA1A0000}" name="Column6799"/>
    <tableColumn id="6827" xr3:uid="{00000000-0010-0000-2000-0000AB1A0000}" name="Column6800"/>
    <tableColumn id="6828" xr3:uid="{00000000-0010-0000-2000-0000AC1A0000}" name="Column6801"/>
    <tableColumn id="6829" xr3:uid="{00000000-0010-0000-2000-0000AD1A0000}" name="Column6802"/>
    <tableColumn id="6830" xr3:uid="{00000000-0010-0000-2000-0000AE1A0000}" name="Column6803"/>
    <tableColumn id="6831" xr3:uid="{00000000-0010-0000-2000-0000AF1A0000}" name="Column6804"/>
    <tableColumn id="6832" xr3:uid="{00000000-0010-0000-2000-0000B01A0000}" name="Column6805"/>
    <tableColumn id="6833" xr3:uid="{00000000-0010-0000-2000-0000B11A0000}" name="Column6806"/>
    <tableColumn id="6834" xr3:uid="{00000000-0010-0000-2000-0000B21A0000}" name="Column6807"/>
    <tableColumn id="6835" xr3:uid="{00000000-0010-0000-2000-0000B31A0000}" name="Column6808"/>
    <tableColumn id="6836" xr3:uid="{00000000-0010-0000-2000-0000B41A0000}" name="Column6809"/>
    <tableColumn id="6837" xr3:uid="{00000000-0010-0000-2000-0000B51A0000}" name="Column6810"/>
    <tableColumn id="6838" xr3:uid="{00000000-0010-0000-2000-0000B61A0000}" name="Column6811"/>
    <tableColumn id="6839" xr3:uid="{00000000-0010-0000-2000-0000B71A0000}" name="Column6812"/>
    <tableColumn id="6840" xr3:uid="{00000000-0010-0000-2000-0000B81A0000}" name="Column6813"/>
    <tableColumn id="6841" xr3:uid="{00000000-0010-0000-2000-0000B91A0000}" name="Column6814"/>
    <tableColumn id="6842" xr3:uid="{00000000-0010-0000-2000-0000BA1A0000}" name="Column6815"/>
    <tableColumn id="6843" xr3:uid="{00000000-0010-0000-2000-0000BB1A0000}" name="Column6816"/>
    <tableColumn id="6844" xr3:uid="{00000000-0010-0000-2000-0000BC1A0000}" name="Column6817"/>
    <tableColumn id="6845" xr3:uid="{00000000-0010-0000-2000-0000BD1A0000}" name="Column6818"/>
    <tableColumn id="6846" xr3:uid="{00000000-0010-0000-2000-0000BE1A0000}" name="Column6819"/>
    <tableColumn id="6847" xr3:uid="{00000000-0010-0000-2000-0000BF1A0000}" name="Column6820"/>
    <tableColumn id="6848" xr3:uid="{00000000-0010-0000-2000-0000C01A0000}" name="Column6821"/>
    <tableColumn id="6849" xr3:uid="{00000000-0010-0000-2000-0000C11A0000}" name="Column6822"/>
    <tableColumn id="6850" xr3:uid="{00000000-0010-0000-2000-0000C21A0000}" name="Column6823"/>
    <tableColumn id="6851" xr3:uid="{00000000-0010-0000-2000-0000C31A0000}" name="Column6824"/>
    <tableColumn id="6852" xr3:uid="{00000000-0010-0000-2000-0000C41A0000}" name="Column6825"/>
    <tableColumn id="6853" xr3:uid="{00000000-0010-0000-2000-0000C51A0000}" name="Column6826"/>
    <tableColumn id="6854" xr3:uid="{00000000-0010-0000-2000-0000C61A0000}" name="Column6827"/>
    <tableColumn id="6855" xr3:uid="{00000000-0010-0000-2000-0000C71A0000}" name="Column6828"/>
    <tableColumn id="6856" xr3:uid="{00000000-0010-0000-2000-0000C81A0000}" name="Column6829"/>
    <tableColumn id="6857" xr3:uid="{00000000-0010-0000-2000-0000C91A0000}" name="Column6830"/>
    <tableColumn id="6858" xr3:uid="{00000000-0010-0000-2000-0000CA1A0000}" name="Column6831"/>
    <tableColumn id="6859" xr3:uid="{00000000-0010-0000-2000-0000CB1A0000}" name="Column6832"/>
    <tableColumn id="6860" xr3:uid="{00000000-0010-0000-2000-0000CC1A0000}" name="Column6833"/>
    <tableColumn id="6861" xr3:uid="{00000000-0010-0000-2000-0000CD1A0000}" name="Column6834"/>
    <tableColumn id="6862" xr3:uid="{00000000-0010-0000-2000-0000CE1A0000}" name="Column6835"/>
    <tableColumn id="6863" xr3:uid="{00000000-0010-0000-2000-0000CF1A0000}" name="Column6836"/>
    <tableColumn id="6864" xr3:uid="{00000000-0010-0000-2000-0000D01A0000}" name="Column6837"/>
    <tableColumn id="6865" xr3:uid="{00000000-0010-0000-2000-0000D11A0000}" name="Column6838"/>
    <tableColumn id="6866" xr3:uid="{00000000-0010-0000-2000-0000D21A0000}" name="Column6839"/>
    <tableColumn id="6867" xr3:uid="{00000000-0010-0000-2000-0000D31A0000}" name="Column6840"/>
    <tableColumn id="6868" xr3:uid="{00000000-0010-0000-2000-0000D41A0000}" name="Column6841"/>
    <tableColumn id="6869" xr3:uid="{00000000-0010-0000-2000-0000D51A0000}" name="Column6842"/>
    <tableColumn id="6870" xr3:uid="{00000000-0010-0000-2000-0000D61A0000}" name="Column6843"/>
    <tableColumn id="6871" xr3:uid="{00000000-0010-0000-2000-0000D71A0000}" name="Column6844"/>
    <tableColumn id="6872" xr3:uid="{00000000-0010-0000-2000-0000D81A0000}" name="Column6845"/>
    <tableColumn id="6873" xr3:uid="{00000000-0010-0000-2000-0000D91A0000}" name="Column6846"/>
    <tableColumn id="6874" xr3:uid="{00000000-0010-0000-2000-0000DA1A0000}" name="Column6847"/>
    <tableColumn id="6875" xr3:uid="{00000000-0010-0000-2000-0000DB1A0000}" name="Column6848"/>
    <tableColumn id="6876" xr3:uid="{00000000-0010-0000-2000-0000DC1A0000}" name="Column6849"/>
    <tableColumn id="6877" xr3:uid="{00000000-0010-0000-2000-0000DD1A0000}" name="Column6850"/>
    <tableColumn id="6878" xr3:uid="{00000000-0010-0000-2000-0000DE1A0000}" name="Column6851"/>
    <tableColumn id="6879" xr3:uid="{00000000-0010-0000-2000-0000DF1A0000}" name="Column6852"/>
    <tableColumn id="6880" xr3:uid="{00000000-0010-0000-2000-0000E01A0000}" name="Column6853"/>
    <tableColumn id="6881" xr3:uid="{00000000-0010-0000-2000-0000E11A0000}" name="Column6854"/>
    <tableColumn id="6882" xr3:uid="{00000000-0010-0000-2000-0000E21A0000}" name="Column6855"/>
    <tableColumn id="6883" xr3:uid="{00000000-0010-0000-2000-0000E31A0000}" name="Column6856"/>
    <tableColumn id="6884" xr3:uid="{00000000-0010-0000-2000-0000E41A0000}" name="Column6857"/>
    <tableColumn id="6885" xr3:uid="{00000000-0010-0000-2000-0000E51A0000}" name="Column6858"/>
    <tableColumn id="6886" xr3:uid="{00000000-0010-0000-2000-0000E61A0000}" name="Column6859"/>
    <tableColumn id="6887" xr3:uid="{00000000-0010-0000-2000-0000E71A0000}" name="Column6860"/>
    <tableColumn id="6888" xr3:uid="{00000000-0010-0000-2000-0000E81A0000}" name="Column6861"/>
    <tableColumn id="6889" xr3:uid="{00000000-0010-0000-2000-0000E91A0000}" name="Column6862"/>
    <tableColumn id="6890" xr3:uid="{00000000-0010-0000-2000-0000EA1A0000}" name="Column6863"/>
    <tableColumn id="6891" xr3:uid="{00000000-0010-0000-2000-0000EB1A0000}" name="Column6864"/>
    <tableColumn id="6892" xr3:uid="{00000000-0010-0000-2000-0000EC1A0000}" name="Column6865"/>
    <tableColumn id="6893" xr3:uid="{00000000-0010-0000-2000-0000ED1A0000}" name="Column6866"/>
    <tableColumn id="6894" xr3:uid="{00000000-0010-0000-2000-0000EE1A0000}" name="Column6867"/>
    <tableColumn id="6895" xr3:uid="{00000000-0010-0000-2000-0000EF1A0000}" name="Column6868"/>
    <tableColumn id="6896" xr3:uid="{00000000-0010-0000-2000-0000F01A0000}" name="Column6869"/>
    <tableColumn id="6897" xr3:uid="{00000000-0010-0000-2000-0000F11A0000}" name="Column6870"/>
    <tableColumn id="6898" xr3:uid="{00000000-0010-0000-2000-0000F21A0000}" name="Column6871"/>
    <tableColumn id="6899" xr3:uid="{00000000-0010-0000-2000-0000F31A0000}" name="Column6872"/>
    <tableColumn id="6900" xr3:uid="{00000000-0010-0000-2000-0000F41A0000}" name="Column6873"/>
    <tableColumn id="6901" xr3:uid="{00000000-0010-0000-2000-0000F51A0000}" name="Column6874"/>
    <tableColumn id="6902" xr3:uid="{00000000-0010-0000-2000-0000F61A0000}" name="Column6875"/>
    <tableColumn id="6903" xr3:uid="{00000000-0010-0000-2000-0000F71A0000}" name="Column6876"/>
    <tableColumn id="6904" xr3:uid="{00000000-0010-0000-2000-0000F81A0000}" name="Column6877"/>
    <tableColumn id="6905" xr3:uid="{00000000-0010-0000-2000-0000F91A0000}" name="Column6878"/>
    <tableColumn id="6906" xr3:uid="{00000000-0010-0000-2000-0000FA1A0000}" name="Column6879"/>
    <tableColumn id="6907" xr3:uid="{00000000-0010-0000-2000-0000FB1A0000}" name="Column6880"/>
    <tableColumn id="6908" xr3:uid="{00000000-0010-0000-2000-0000FC1A0000}" name="Column6881"/>
    <tableColumn id="6909" xr3:uid="{00000000-0010-0000-2000-0000FD1A0000}" name="Column6882"/>
    <tableColumn id="6910" xr3:uid="{00000000-0010-0000-2000-0000FE1A0000}" name="Column6883"/>
    <tableColumn id="6911" xr3:uid="{00000000-0010-0000-2000-0000FF1A0000}" name="Column6884"/>
    <tableColumn id="6912" xr3:uid="{00000000-0010-0000-2000-0000001B0000}" name="Column6885"/>
    <tableColumn id="6913" xr3:uid="{00000000-0010-0000-2000-0000011B0000}" name="Column6886"/>
    <tableColumn id="6914" xr3:uid="{00000000-0010-0000-2000-0000021B0000}" name="Column6887"/>
    <tableColumn id="6915" xr3:uid="{00000000-0010-0000-2000-0000031B0000}" name="Column6888"/>
    <tableColumn id="6916" xr3:uid="{00000000-0010-0000-2000-0000041B0000}" name="Column6889"/>
    <tableColumn id="6917" xr3:uid="{00000000-0010-0000-2000-0000051B0000}" name="Column6890"/>
    <tableColumn id="6918" xr3:uid="{00000000-0010-0000-2000-0000061B0000}" name="Column6891"/>
    <tableColumn id="6919" xr3:uid="{00000000-0010-0000-2000-0000071B0000}" name="Column6892"/>
    <tableColumn id="6920" xr3:uid="{00000000-0010-0000-2000-0000081B0000}" name="Column6893"/>
    <tableColumn id="6921" xr3:uid="{00000000-0010-0000-2000-0000091B0000}" name="Column6894"/>
    <tableColumn id="6922" xr3:uid="{00000000-0010-0000-2000-00000A1B0000}" name="Column6895"/>
    <tableColumn id="6923" xr3:uid="{00000000-0010-0000-2000-00000B1B0000}" name="Column6896"/>
    <tableColumn id="6924" xr3:uid="{00000000-0010-0000-2000-00000C1B0000}" name="Column6897"/>
    <tableColumn id="6925" xr3:uid="{00000000-0010-0000-2000-00000D1B0000}" name="Column6898"/>
    <tableColumn id="6926" xr3:uid="{00000000-0010-0000-2000-00000E1B0000}" name="Column6899"/>
    <tableColumn id="6927" xr3:uid="{00000000-0010-0000-2000-00000F1B0000}" name="Column6900"/>
    <tableColumn id="6928" xr3:uid="{00000000-0010-0000-2000-0000101B0000}" name="Column6901"/>
    <tableColumn id="6929" xr3:uid="{00000000-0010-0000-2000-0000111B0000}" name="Column6902"/>
    <tableColumn id="6930" xr3:uid="{00000000-0010-0000-2000-0000121B0000}" name="Column6903"/>
    <tableColumn id="6931" xr3:uid="{00000000-0010-0000-2000-0000131B0000}" name="Column6904"/>
    <tableColumn id="6932" xr3:uid="{00000000-0010-0000-2000-0000141B0000}" name="Column6905"/>
    <tableColumn id="6933" xr3:uid="{00000000-0010-0000-2000-0000151B0000}" name="Column6906"/>
    <tableColumn id="6934" xr3:uid="{00000000-0010-0000-2000-0000161B0000}" name="Column6907"/>
    <tableColumn id="6935" xr3:uid="{00000000-0010-0000-2000-0000171B0000}" name="Column6908"/>
    <tableColumn id="6936" xr3:uid="{00000000-0010-0000-2000-0000181B0000}" name="Column6909"/>
    <tableColumn id="6937" xr3:uid="{00000000-0010-0000-2000-0000191B0000}" name="Column6910"/>
    <tableColumn id="6938" xr3:uid="{00000000-0010-0000-2000-00001A1B0000}" name="Column6911"/>
    <tableColumn id="6939" xr3:uid="{00000000-0010-0000-2000-00001B1B0000}" name="Column6912"/>
    <tableColumn id="6940" xr3:uid="{00000000-0010-0000-2000-00001C1B0000}" name="Column6913"/>
    <tableColumn id="6941" xr3:uid="{00000000-0010-0000-2000-00001D1B0000}" name="Column6914"/>
    <tableColumn id="6942" xr3:uid="{00000000-0010-0000-2000-00001E1B0000}" name="Column6915"/>
    <tableColumn id="6943" xr3:uid="{00000000-0010-0000-2000-00001F1B0000}" name="Column6916"/>
    <tableColumn id="6944" xr3:uid="{00000000-0010-0000-2000-0000201B0000}" name="Column6917"/>
    <tableColumn id="6945" xr3:uid="{00000000-0010-0000-2000-0000211B0000}" name="Column6918"/>
    <tableColumn id="6946" xr3:uid="{00000000-0010-0000-2000-0000221B0000}" name="Column6919"/>
    <tableColumn id="6947" xr3:uid="{00000000-0010-0000-2000-0000231B0000}" name="Column6920"/>
    <tableColumn id="6948" xr3:uid="{00000000-0010-0000-2000-0000241B0000}" name="Column6921"/>
    <tableColumn id="6949" xr3:uid="{00000000-0010-0000-2000-0000251B0000}" name="Column6922"/>
    <tableColumn id="6950" xr3:uid="{00000000-0010-0000-2000-0000261B0000}" name="Column6923"/>
    <tableColumn id="6951" xr3:uid="{00000000-0010-0000-2000-0000271B0000}" name="Column6924"/>
    <tableColumn id="6952" xr3:uid="{00000000-0010-0000-2000-0000281B0000}" name="Column6925"/>
    <tableColumn id="6953" xr3:uid="{00000000-0010-0000-2000-0000291B0000}" name="Column6926"/>
    <tableColumn id="6954" xr3:uid="{00000000-0010-0000-2000-00002A1B0000}" name="Column6927"/>
    <tableColumn id="6955" xr3:uid="{00000000-0010-0000-2000-00002B1B0000}" name="Column6928"/>
    <tableColumn id="6956" xr3:uid="{00000000-0010-0000-2000-00002C1B0000}" name="Column6929"/>
    <tableColumn id="6957" xr3:uid="{00000000-0010-0000-2000-00002D1B0000}" name="Column6930"/>
    <tableColumn id="6958" xr3:uid="{00000000-0010-0000-2000-00002E1B0000}" name="Column6931"/>
    <tableColumn id="6959" xr3:uid="{00000000-0010-0000-2000-00002F1B0000}" name="Column6932"/>
    <tableColumn id="6960" xr3:uid="{00000000-0010-0000-2000-0000301B0000}" name="Column6933"/>
    <tableColumn id="6961" xr3:uid="{00000000-0010-0000-2000-0000311B0000}" name="Column6934"/>
    <tableColumn id="6962" xr3:uid="{00000000-0010-0000-2000-0000321B0000}" name="Column6935"/>
    <tableColumn id="6963" xr3:uid="{00000000-0010-0000-2000-0000331B0000}" name="Column6936"/>
    <tableColumn id="6964" xr3:uid="{00000000-0010-0000-2000-0000341B0000}" name="Column6937"/>
    <tableColumn id="6965" xr3:uid="{00000000-0010-0000-2000-0000351B0000}" name="Column6938"/>
    <tableColumn id="6966" xr3:uid="{00000000-0010-0000-2000-0000361B0000}" name="Column6939"/>
    <tableColumn id="6967" xr3:uid="{00000000-0010-0000-2000-0000371B0000}" name="Column6940"/>
    <tableColumn id="6968" xr3:uid="{00000000-0010-0000-2000-0000381B0000}" name="Column6941"/>
    <tableColumn id="6969" xr3:uid="{00000000-0010-0000-2000-0000391B0000}" name="Column6942"/>
    <tableColumn id="6970" xr3:uid="{00000000-0010-0000-2000-00003A1B0000}" name="Column6943"/>
    <tableColumn id="6971" xr3:uid="{00000000-0010-0000-2000-00003B1B0000}" name="Column6944"/>
    <tableColumn id="6972" xr3:uid="{00000000-0010-0000-2000-00003C1B0000}" name="Column6945"/>
    <tableColumn id="6973" xr3:uid="{00000000-0010-0000-2000-00003D1B0000}" name="Column6946"/>
    <tableColumn id="6974" xr3:uid="{00000000-0010-0000-2000-00003E1B0000}" name="Column6947"/>
    <tableColumn id="6975" xr3:uid="{00000000-0010-0000-2000-00003F1B0000}" name="Column6948"/>
    <tableColumn id="6976" xr3:uid="{00000000-0010-0000-2000-0000401B0000}" name="Column6949"/>
    <tableColumn id="6977" xr3:uid="{00000000-0010-0000-2000-0000411B0000}" name="Column6950"/>
    <tableColumn id="6978" xr3:uid="{00000000-0010-0000-2000-0000421B0000}" name="Column6951"/>
    <tableColumn id="6979" xr3:uid="{00000000-0010-0000-2000-0000431B0000}" name="Column6952"/>
    <tableColumn id="6980" xr3:uid="{00000000-0010-0000-2000-0000441B0000}" name="Column6953"/>
    <tableColumn id="6981" xr3:uid="{00000000-0010-0000-2000-0000451B0000}" name="Column6954"/>
    <tableColumn id="6982" xr3:uid="{00000000-0010-0000-2000-0000461B0000}" name="Column6955"/>
    <tableColumn id="6983" xr3:uid="{00000000-0010-0000-2000-0000471B0000}" name="Column6956"/>
    <tableColumn id="6984" xr3:uid="{00000000-0010-0000-2000-0000481B0000}" name="Column6957"/>
    <tableColumn id="6985" xr3:uid="{00000000-0010-0000-2000-0000491B0000}" name="Column6958"/>
    <tableColumn id="6986" xr3:uid="{00000000-0010-0000-2000-00004A1B0000}" name="Column6959"/>
    <tableColumn id="6987" xr3:uid="{00000000-0010-0000-2000-00004B1B0000}" name="Column6960"/>
    <tableColumn id="6988" xr3:uid="{00000000-0010-0000-2000-00004C1B0000}" name="Column6961"/>
    <tableColumn id="6989" xr3:uid="{00000000-0010-0000-2000-00004D1B0000}" name="Column6962"/>
    <tableColumn id="6990" xr3:uid="{00000000-0010-0000-2000-00004E1B0000}" name="Column6963"/>
    <tableColumn id="6991" xr3:uid="{00000000-0010-0000-2000-00004F1B0000}" name="Column6964"/>
    <tableColumn id="6992" xr3:uid="{00000000-0010-0000-2000-0000501B0000}" name="Column6965"/>
    <tableColumn id="6993" xr3:uid="{00000000-0010-0000-2000-0000511B0000}" name="Column6966"/>
    <tableColumn id="6994" xr3:uid="{00000000-0010-0000-2000-0000521B0000}" name="Column6967"/>
    <tableColumn id="6995" xr3:uid="{00000000-0010-0000-2000-0000531B0000}" name="Column6968"/>
    <tableColumn id="6996" xr3:uid="{00000000-0010-0000-2000-0000541B0000}" name="Column6969"/>
    <tableColumn id="6997" xr3:uid="{00000000-0010-0000-2000-0000551B0000}" name="Column6970"/>
    <tableColumn id="6998" xr3:uid="{00000000-0010-0000-2000-0000561B0000}" name="Column6971"/>
    <tableColumn id="6999" xr3:uid="{00000000-0010-0000-2000-0000571B0000}" name="Column6972"/>
    <tableColumn id="7000" xr3:uid="{00000000-0010-0000-2000-0000581B0000}" name="Column6973"/>
    <tableColumn id="7001" xr3:uid="{00000000-0010-0000-2000-0000591B0000}" name="Column6974"/>
    <tableColumn id="7002" xr3:uid="{00000000-0010-0000-2000-00005A1B0000}" name="Column6975"/>
    <tableColumn id="7003" xr3:uid="{00000000-0010-0000-2000-00005B1B0000}" name="Column6976"/>
    <tableColumn id="7004" xr3:uid="{00000000-0010-0000-2000-00005C1B0000}" name="Column6977"/>
    <tableColumn id="7005" xr3:uid="{00000000-0010-0000-2000-00005D1B0000}" name="Column6978"/>
    <tableColumn id="7006" xr3:uid="{00000000-0010-0000-2000-00005E1B0000}" name="Column6979"/>
    <tableColumn id="7007" xr3:uid="{00000000-0010-0000-2000-00005F1B0000}" name="Column6980"/>
    <tableColumn id="7008" xr3:uid="{00000000-0010-0000-2000-0000601B0000}" name="Column6981"/>
    <tableColumn id="7009" xr3:uid="{00000000-0010-0000-2000-0000611B0000}" name="Column6982"/>
    <tableColumn id="7010" xr3:uid="{00000000-0010-0000-2000-0000621B0000}" name="Column6983"/>
    <tableColumn id="7011" xr3:uid="{00000000-0010-0000-2000-0000631B0000}" name="Column6984"/>
    <tableColumn id="7012" xr3:uid="{00000000-0010-0000-2000-0000641B0000}" name="Column6985"/>
    <tableColumn id="7013" xr3:uid="{00000000-0010-0000-2000-0000651B0000}" name="Column6986"/>
    <tableColumn id="7014" xr3:uid="{00000000-0010-0000-2000-0000661B0000}" name="Column6987"/>
    <tableColumn id="7015" xr3:uid="{00000000-0010-0000-2000-0000671B0000}" name="Column6988"/>
    <tableColumn id="7016" xr3:uid="{00000000-0010-0000-2000-0000681B0000}" name="Column6989"/>
    <tableColumn id="7017" xr3:uid="{00000000-0010-0000-2000-0000691B0000}" name="Column6990"/>
    <tableColumn id="7018" xr3:uid="{00000000-0010-0000-2000-00006A1B0000}" name="Column6991"/>
    <tableColumn id="7019" xr3:uid="{00000000-0010-0000-2000-00006B1B0000}" name="Column6992"/>
    <tableColumn id="7020" xr3:uid="{00000000-0010-0000-2000-00006C1B0000}" name="Column6993"/>
    <tableColumn id="7021" xr3:uid="{00000000-0010-0000-2000-00006D1B0000}" name="Column6994"/>
    <tableColumn id="7022" xr3:uid="{00000000-0010-0000-2000-00006E1B0000}" name="Column6995"/>
    <tableColumn id="7023" xr3:uid="{00000000-0010-0000-2000-00006F1B0000}" name="Column6996"/>
    <tableColumn id="7024" xr3:uid="{00000000-0010-0000-2000-0000701B0000}" name="Column6997"/>
    <tableColumn id="7025" xr3:uid="{00000000-0010-0000-2000-0000711B0000}" name="Column6998"/>
    <tableColumn id="7026" xr3:uid="{00000000-0010-0000-2000-0000721B0000}" name="Column6999"/>
    <tableColumn id="7027" xr3:uid="{00000000-0010-0000-2000-0000731B0000}" name="Column7000"/>
    <tableColumn id="7028" xr3:uid="{00000000-0010-0000-2000-0000741B0000}" name="Column7001"/>
    <tableColumn id="7029" xr3:uid="{00000000-0010-0000-2000-0000751B0000}" name="Column7002"/>
    <tableColumn id="7030" xr3:uid="{00000000-0010-0000-2000-0000761B0000}" name="Column7003"/>
    <tableColumn id="7031" xr3:uid="{00000000-0010-0000-2000-0000771B0000}" name="Column7004"/>
    <tableColumn id="7032" xr3:uid="{00000000-0010-0000-2000-0000781B0000}" name="Column7005"/>
    <tableColumn id="7033" xr3:uid="{00000000-0010-0000-2000-0000791B0000}" name="Column7006"/>
    <tableColumn id="7034" xr3:uid="{00000000-0010-0000-2000-00007A1B0000}" name="Column7007"/>
    <tableColumn id="7035" xr3:uid="{00000000-0010-0000-2000-00007B1B0000}" name="Column7008"/>
    <tableColumn id="7036" xr3:uid="{00000000-0010-0000-2000-00007C1B0000}" name="Column7009"/>
    <tableColumn id="7037" xr3:uid="{00000000-0010-0000-2000-00007D1B0000}" name="Column7010"/>
    <tableColumn id="7038" xr3:uid="{00000000-0010-0000-2000-00007E1B0000}" name="Column7011"/>
    <tableColumn id="7039" xr3:uid="{00000000-0010-0000-2000-00007F1B0000}" name="Column7012"/>
    <tableColumn id="7040" xr3:uid="{00000000-0010-0000-2000-0000801B0000}" name="Column7013"/>
    <tableColumn id="7041" xr3:uid="{00000000-0010-0000-2000-0000811B0000}" name="Column7014"/>
    <tableColumn id="7042" xr3:uid="{00000000-0010-0000-2000-0000821B0000}" name="Column7015"/>
    <tableColumn id="7043" xr3:uid="{00000000-0010-0000-2000-0000831B0000}" name="Column7016"/>
    <tableColumn id="7044" xr3:uid="{00000000-0010-0000-2000-0000841B0000}" name="Column7017"/>
    <tableColumn id="7045" xr3:uid="{00000000-0010-0000-2000-0000851B0000}" name="Column7018"/>
    <tableColumn id="7046" xr3:uid="{00000000-0010-0000-2000-0000861B0000}" name="Column7019"/>
    <tableColumn id="7047" xr3:uid="{00000000-0010-0000-2000-0000871B0000}" name="Column7020"/>
    <tableColumn id="7048" xr3:uid="{00000000-0010-0000-2000-0000881B0000}" name="Column7021"/>
    <tableColumn id="7049" xr3:uid="{00000000-0010-0000-2000-0000891B0000}" name="Column7022"/>
    <tableColumn id="7050" xr3:uid="{00000000-0010-0000-2000-00008A1B0000}" name="Column7023"/>
    <tableColumn id="7051" xr3:uid="{00000000-0010-0000-2000-00008B1B0000}" name="Column7024"/>
    <tableColumn id="7052" xr3:uid="{00000000-0010-0000-2000-00008C1B0000}" name="Column7025"/>
    <tableColumn id="7053" xr3:uid="{00000000-0010-0000-2000-00008D1B0000}" name="Column7026"/>
    <tableColumn id="7054" xr3:uid="{00000000-0010-0000-2000-00008E1B0000}" name="Column7027"/>
    <tableColumn id="7055" xr3:uid="{00000000-0010-0000-2000-00008F1B0000}" name="Column7028"/>
    <tableColumn id="7056" xr3:uid="{00000000-0010-0000-2000-0000901B0000}" name="Column7029"/>
    <tableColumn id="7057" xr3:uid="{00000000-0010-0000-2000-0000911B0000}" name="Column7030"/>
    <tableColumn id="7058" xr3:uid="{00000000-0010-0000-2000-0000921B0000}" name="Column7031"/>
    <tableColumn id="7059" xr3:uid="{00000000-0010-0000-2000-0000931B0000}" name="Column7032"/>
    <tableColumn id="7060" xr3:uid="{00000000-0010-0000-2000-0000941B0000}" name="Column7033"/>
    <tableColumn id="7061" xr3:uid="{00000000-0010-0000-2000-0000951B0000}" name="Column7034"/>
    <tableColumn id="7062" xr3:uid="{00000000-0010-0000-2000-0000961B0000}" name="Column7035"/>
    <tableColumn id="7063" xr3:uid="{00000000-0010-0000-2000-0000971B0000}" name="Column7036"/>
    <tableColumn id="7064" xr3:uid="{00000000-0010-0000-2000-0000981B0000}" name="Column7037"/>
    <tableColumn id="7065" xr3:uid="{00000000-0010-0000-2000-0000991B0000}" name="Column7038"/>
    <tableColumn id="7066" xr3:uid="{00000000-0010-0000-2000-00009A1B0000}" name="Column7039"/>
    <tableColumn id="7067" xr3:uid="{00000000-0010-0000-2000-00009B1B0000}" name="Column7040"/>
    <tableColumn id="7068" xr3:uid="{00000000-0010-0000-2000-00009C1B0000}" name="Column7041"/>
    <tableColumn id="7069" xr3:uid="{00000000-0010-0000-2000-00009D1B0000}" name="Column7042"/>
    <tableColumn id="7070" xr3:uid="{00000000-0010-0000-2000-00009E1B0000}" name="Column7043"/>
    <tableColumn id="7071" xr3:uid="{00000000-0010-0000-2000-00009F1B0000}" name="Column7044"/>
    <tableColumn id="7072" xr3:uid="{00000000-0010-0000-2000-0000A01B0000}" name="Column7045"/>
    <tableColumn id="7073" xr3:uid="{00000000-0010-0000-2000-0000A11B0000}" name="Column7046"/>
    <tableColumn id="7074" xr3:uid="{00000000-0010-0000-2000-0000A21B0000}" name="Column7047"/>
    <tableColumn id="7075" xr3:uid="{00000000-0010-0000-2000-0000A31B0000}" name="Column7048"/>
    <tableColumn id="7076" xr3:uid="{00000000-0010-0000-2000-0000A41B0000}" name="Column7049"/>
    <tableColumn id="7077" xr3:uid="{00000000-0010-0000-2000-0000A51B0000}" name="Column7050"/>
    <tableColumn id="7078" xr3:uid="{00000000-0010-0000-2000-0000A61B0000}" name="Column7051"/>
    <tableColumn id="7079" xr3:uid="{00000000-0010-0000-2000-0000A71B0000}" name="Column7052"/>
    <tableColumn id="7080" xr3:uid="{00000000-0010-0000-2000-0000A81B0000}" name="Column7053"/>
    <tableColumn id="7081" xr3:uid="{00000000-0010-0000-2000-0000A91B0000}" name="Column7054"/>
    <tableColumn id="7082" xr3:uid="{00000000-0010-0000-2000-0000AA1B0000}" name="Column7055"/>
    <tableColumn id="7083" xr3:uid="{00000000-0010-0000-2000-0000AB1B0000}" name="Column7056"/>
    <tableColumn id="7084" xr3:uid="{00000000-0010-0000-2000-0000AC1B0000}" name="Column7057"/>
    <tableColumn id="7085" xr3:uid="{00000000-0010-0000-2000-0000AD1B0000}" name="Column7058"/>
    <tableColumn id="7086" xr3:uid="{00000000-0010-0000-2000-0000AE1B0000}" name="Column7059"/>
    <tableColumn id="7087" xr3:uid="{00000000-0010-0000-2000-0000AF1B0000}" name="Column7060"/>
    <tableColumn id="7088" xr3:uid="{00000000-0010-0000-2000-0000B01B0000}" name="Column7061"/>
    <tableColumn id="7089" xr3:uid="{00000000-0010-0000-2000-0000B11B0000}" name="Column7062"/>
    <tableColumn id="7090" xr3:uid="{00000000-0010-0000-2000-0000B21B0000}" name="Column7063"/>
    <tableColumn id="7091" xr3:uid="{00000000-0010-0000-2000-0000B31B0000}" name="Column7064"/>
    <tableColumn id="7092" xr3:uid="{00000000-0010-0000-2000-0000B41B0000}" name="Column7065"/>
    <tableColumn id="7093" xr3:uid="{00000000-0010-0000-2000-0000B51B0000}" name="Column7066"/>
    <tableColumn id="7094" xr3:uid="{00000000-0010-0000-2000-0000B61B0000}" name="Column7067"/>
    <tableColumn id="7095" xr3:uid="{00000000-0010-0000-2000-0000B71B0000}" name="Column7068"/>
    <tableColumn id="7096" xr3:uid="{00000000-0010-0000-2000-0000B81B0000}" name="Column7069"/>
    <tableColumn id="7097" xr3:uid="{00000000-0010-0000-2000-0000B91B0000}" name="Column7070"/>
    <tableColumn id="7098" xr3:uid="{00000000-0010-0000-2000-0000BA1B0000}" name="Column7071"/>
    <tableColumn id="7099" xr3:uid="{00000000-0010-0000-2000-0000BB1B0000}" name="Column7072"/>
    <tableColumn id="7100" xr3:uid="{00000000-0010-0000-2000-0000BC1B0000}" name="Column7073"/>
    <tableColumn id="7101" xr3:uid="{00000000-0010-0000-2000-0000BD1B0000}" name="Column7074"/>
    <tableColumn id="7102" xr3:uid="{00000000-0010-0000-2000-0000BE1B0000}" name="Column7075"/>
    <tableColumn id="7103" xr3:uid="{00000000-0010-0000-2000-0000BF1B0000}" name="Column7076"/>
    <tableColumn id="7104" xr3:uid="{00000000-0010-0000-2000-0000C01B0000}" name="Column7077"/>
    <tableColumn id="7105" xr3:uid="{00000000-0010-0000-2000-0000C11B0000}" name="Column7078"/>
    <tableColumn id="7106" xr3:uid="{00000000-0010-0000-2000-0000C21B0000}" name="Column7079"/>
    <tableColumn id="7107" xr3:uid="{00000000-0010-0000-2000-0000C31B0000}" name="Column7080"/>
    <tableColumn id="7108" xr3:uid="{00000000-0010-0000-2000-0000C41B0000}" name="Column7081"/>
    <tableColumn id="7109" xr3:uid="{00000000-0010-0000-2000-0000C51B0000}" name="Column7082"/>
    <tableColumn id="7110" xr3:uid="{00000000-0010-0000-2000-0000C61B0000}" name="Column7083"/>
    <tableColumn id="7111" xr3:uid="{00000000-0010-0000-2000-0000C71B0000}" name="Column7084"/>
    <tableColumn id="7112" xr3:uid="{00000000-0010-0000-2000-0000C81B0000}" name="Column7085"/>
    <tableColumn id="7113" xr3:uid="{00000000-0010-0000-2000-0000C91B0000}" name="Column7086"/>
    <tableColumn id="7114" xr3:uid="{00000000-0010-0000-2000-0000CA1B0000}" name="Column7087"/>
    <tableColumn id="7115" xr3:uid="{00000000-0010-0000-2000-0000CB1B0000}" name="Column7088"/>
    <tableColumn id="7116" xr3:uid="{00000000-0010-0000-2000-0000CC1B0000}" name="Column7089"/>
    <tableColumn id="7117" xr3:uid="{00000000-0010-0000-2000-0000CD1B0000}" name="Column7090"/>
    <tableColumn id="7118" xr3:uid="{00000000-0010-0000-2000-0000CE1B0000}" name="Column7091"/>
    <tableColumn id="7119" xr3:uid="{00000000-0010-0000-2000-0000CF1B0000}" name="Column7092"/>
    <tableColumn id="7120" xr3:uid="{00000000-0010-0000-2000-0000D01B0000}" name="Column7093"/>
    <tableColumn id="7121" xr3:uid="{00000000-0010-0000-2000-0000D11B0000}" name="Column7094"/>
    <tableColumn id="7122" xr3:uid="{00000000-0010-0000-2000-0000D21B0000}" name="Column7095"/>
    <tableColumn id="7123" xr3:uid="{00000000-0010-0000-2000-0000D31B0000}" name="Column7096"/>
    <tableColumn id="7124" xr3:uid="{00000000-0010-0000-2000-0000D41B0000}" name="Column7097"/>
    <tableColumn id="7125" xr3:uid="{00000000-0010-0000-2000-0000D51B0000}" name="Column7098"/>
    <tableColumn id="7126" xr3:uid="{00000000-0010-0000-2000-0000D61B0000}" name="Column7099"/>
    <tableColumn id="7127" xr3:uid="{00000000-0010-0000-2000-0000D71B0000}" name="Column7100"/>
    <tableColumn id="7128" xr3:uid="{00000000-0010-0000-2000-0000D81B0000}" name="Column7101"/>
    <tableColumn id="7129" xr3:uid="{00000000-0010-0000-2000-0000D91B0000}" name="Column7102"/>
    <tableColumn id="7130" xr3:uid="{00000000-0010-0000-2000-0000DA1B0000}" name="Column7103"/>
    <tableColumn id="7131" xr3:uid="{00000000-0010-0000-2000-0000DB1B0000}" name="Column7104"/>
    <tableColumn id="7132" xr3:uid="{00000000-0010-0000-2000-0000DC1B0000}" name="Column7105"/>
    <tableColumn id="7133" xr3:uid="{00000000-0010-0000-2000-0000DD1B0000}" name="Column7106"/>
    <tableColumn id="7134" xr3:uid="{00000000-0010-0000-2000-0000DE1B0000}" name="Column7107"/>
    <tableColumn id="7135" xr3:uid="{00000000-0010-0000-2000-0000DF1B0000}" name="Column7108"/>
    <tableColumn id="7136" xr3:uid="{00000000-0010-0000-2000-0000E01B0000}" name="Column7109"/>
    <tableColumn id="7137" xr3:uid="{00000000-0010-0000-2000-0000E11B0000}" name="Column7110"/>
    <tableColumn id="7138" xr3:uid="{00000000-0010-0000-2000-0000E21B0000}" name="Column7111"/>
    <tableColumn id="7139" xr3:uid="{00000000-0010-0000-2000-0000E31B0000}" name="Column7112"/>
    <tableColumn id="7140" xr3:uid="{00000000-0010-0000-2000-0000E41B0000}" name="Column7113"/>
    <tableColumn id="7141" xr3:uid="{00000000-0010-0000-2000-0000E51B0000}" name="Column7114"/>
    <tableColumn id="7142" xr3:uid="{00000000-0010-0000-2000-0000E61B0000}" name="Column7115"/>
    <tableColumn id="7143" xr3:uid="{00000000-0010-0000-2000-0000E71B0000}" name="Column7116"/>
    <tableColumn id="7144" xr3:uid="{00000000-0010-0000-2000-0000E81B0000}" name="Column7117"/>
    <tableColumn id="7145" xr3:uid="{00000000-0010-0000-2000-0000E91B0000}" name="Column7118"/>
    <tableColumn id="7146" xr3:uid="{00000000-0010-0000-2000-0000EA1B0000}" name="Column7119"/>
    <tableColumn id="7147" xr3:uid="{00000000-0010-0000-2000-0000EB1B0000}" name="Column7120"/>
    <tableColumn id="7148" xr3:uid="{00000000-0010-0000-2000-0000EC1B0000}" name="Column7121"/>
    <tableColumn id="7149" xr3:uid="{00000000-0010-0000-2000-0000ED1B0000}" name="Column7122"/>
    <tableColumn id="7150" xr3:uid="{00000000-0010-0000-2000-0000EE1B0000}" name="Column7123"/>
    <tableColumn id="7151" xr3:uid="{00000000-0010-0000-2000-0000EF1B0000}" name="Column7124"/>
    <tableColumn id="7152" xr3:uid="{00000000-0010-0000-2000-0000F01B0000}" name="Column7125"/>
    <tableColumn id="7153" xr3:uid="{00000000-0010-0000-2000-0000F11B0000}" name="Column7126"/>
    <tableColumn id="7154" xr3:uid="{00000000-0010-0000-2000-0000F21B0000}" name="Column7127"/>
    <tableColumn id="7155" xr3:uid="{00000000-0010-0000-2000-0000F31B0000}" name="Column7128"/>
    <tableColumn id="7156" xr3:uid="{00000000-0010-0000-2000-0000F41B0000}" name="Column7129"/>
    <tableColumn id="7157" xr3:uid="{00000000-0010-0000-2000-0000F51B0000}" name="Column7130"/>
    <tableColumn id="7158" xr3:uid="{00000000-0010-0000-2000-0000F61B0000}" name="Column7131"/>
    <tableColumn id="7159" xr3:uid="{00000000-0010-0000-2000-0000F71B0000}" name="Column7132"/>
    <tableColumn id="7160" xr3:uid="{00000000-0010-0000-2000-0000F81B0000}" name="Column7133"/>
    <tableColumn id="7161" xr3:uid="{00000000-0010-0000-2000-0000F91B0000}" name="Column7134"/>
    <tableColumn id="7162" xr3:uid="{00000000-0010-0000-2000-0000FA1B0000}" name="Column7135"/>
    <tableColumn id="7163" xr3:uid="{00000000-0010-0000-2000-0000FB1B0000}" name="Column7136"/>
    <tableColumn id="7164" xr3:uid="{00000000-0010-0000-2000-0000FC1B0000}" name="Column7137"/>
    <tableColumn id="7165" xr3:uid="{00000000-0010-0000-2000-0000FD1B0000}" name="Column7138"/>
    <tableColumn id="7166" xr3:uid="{00000000-0010-0000-2000-0000FE1B0000}" name="Column7139"/>
    <tableColumn id="7167" xr3:uid="{00000000-0010-0000-2000-0000FF1B0000}" name="Column7140"/>
    <tableColumn id="7168" xr3:uid="{00000000-0010-0000-2000-0000001C0000}" name="Column7141"/>
    <tableColumn id="7169" xr3:uid="{00000000-0010-0000-2000-0000011C0000}" name="Column7142"/>
    <tableColumn id="7170" xr3:uid="{00000000-0010-0000-2000-0000021C0000}" name="Column7143"/>
    <tableColumn id="7171" xr3:uid="{00000000-0010-0000-2000-0000031C0000}" name="Column7144"/>
    <tableColumn id="7172" xr3:uid="{00000000-0010-0000-2000-0000041C0000}" name="Column7145"/>
    <tableColumn id="7173" xr3:uid="{00000000-0010-0000-2000-0000051C0000}" name="Column7146"/>
    <tableColumn id="7174" xr3:uid="{00000000-0010-0000-2000-0000061C0000}" name="Column7147"/>
    <tableColumn id="7175" xr3:uid="{00000000-0010-0000-2000-0000071C0000}" name="Column7148"/>
    <tableColumn id="7176" xr3:uid="{00000000-0010-0000-2000-0000081C0000}" name="Column7149"/>
    <tableColumn id="7177" xr3:uid="{00000000-0010-0000-2000-0000091C0000}" name="Column7150"/>
    <tableColumn id="7178" xr3:uid="{00000000-0010-0000-2000-00000A1C0000}" name="Column7151"/>
    <tableColumn id="7179" xr3:uid="{00000000-0010-0000-2000-00000B1C0000}" name="Column7152"/>
    <tableColumn id="7180" xr3:uid="{00000000-0010-0000-2000-00000C1C0000}" name="Column7153"/>
    <tableColumn id="7181" xr3:uid="{00000000-0010-0000-2000-00000D1C0000}" name="Column7154"/>
    <tableColumn id="7182" xr3:uid="{00000000-0010-0000-2000-00000E1C0000}" name="Column7155"/>
    <tableColumn id="7183" xr3:uid="{00000000-0010-0000-2000-00000F1C0000}" name="Column7156"/>
    <tableColumn id="7184" xr3:uid="{00000000-0010-0000-2000-0000101C0000}" name="Column7157"/>
    <tableColumn id="7185" xr3:uid="{00000000-0010-0000-2000-0000111C0000}" name="Column7158"/>
    <tableColumn id="7186" xr3:uid="{00000000-0010-0000-2000-0000121C0000}" name="Column7159"/>
    <tableColumn id="7187" xr3:uid="{00000000-0010-0000-2000-0000131C0000}" name="Column7160"/>
    <tableColumn id="7188" xr3:uid="{00000000-0010-0000-2000-0000141C0000}" name="Column7161"/>
    <tableColumn id="7189" xr3:uid="{00000000-0010-0000-2000-0000151C0000}" name="Column7162"/>
    <tableColumn id="7190" xr3:uid="{00000000-0010-0000-2000-0000161C0000}" name="Column7163"/>
    <tableColumn id="7191" xr3:uid="{00000000-0010-0000-2000-0000171C0000}" name="Column7164"/>
    <tableColumn id="7192" xr3:uid="{00000000-0010-0000-2000-0000181C0000}" name="Column7165"/>
    <tableColumn id="7193" xr3:uid="{00000000-0010-0000-2000-0000191C0000}" name="Column7166"/>
    <tableColumn id="7194" xr3:uid="{00000000-0010-0000-2000-00001A1C0000}" name="Column7167"/>
    <tableColumn id="7195" xr3:uid="{00000000-0010-0000-2000-00001B1C0000}" name="Column7168"/>
    <tableColumn id="7196" xr3:uid="{00000000-0010-0000-2000-00001C1C0000}" name="Column7169"/>
    <tableColumn id="7197" xr3:uid="{00000000-0010-0000-2000-00001D1C0000}" name="Column7170"/>
    <tableColumn id="7198" xr3:uid="{00000000-0010-0000-2000-00001E1C0000}" name="Column7171"/>
    <tableColumn id="7199" xr3:uid="{00000000-0010-0000-2000-00001F1C0000}" name="Column7172"/>
    <tableColumn id="7200" xr3:uid="{00000000-0010-0000-2000-0000201C0000}" name="Column7173"/>
    <tableColumn id="7201" xr3:uid="{00000000-0010-0000-2000-0000211C0000}" name="Column7174"/>
    <tableColumn id="7202" xr3:uid="{00000000-0010-0000-2000-0000221C0000}" name="Column7175"/>
    <tableColumn id="7203" xr3:uid="{00000000-0010-0000-2000-0000231C0000}" name="Column7176"/>
    <tableColumn id="7204" xr3:uid="{00000000-0010-0000-2000-0000241C0000}" name="Column7177"/>
    <tableColumn id="7205" xr3:uid="{00000000-0010-0000-2000-0000251C0000}" name="Column7178"/>
    <tableColumn id="7206" xr3:uid="{00000000-0010-0000-2000-0000261C0000}" name="Column7179"/>
    <tableColumn id="7207" xr3:uid="{00000000-0010-0000-2000-0000271C0000}" name="Column7180"/>
    <tableColumn id="7208" xr3:uid="{00000000-0010-0000-2000-0000281C0000}" name="Column7181"/>
    <tableColumn id="7209" xr3:uid="{00000000-0010-0000-2000-0000291C0000}" name="Column7182"/>
    <tableColumn id="7210" xr3:uid="{00000000-0010-0000-2000-00002A1C0000}" name="Column7183"/>
    <tableColumn id="7211" xr3:uid="{00000000-0010-0000-2000-00002B1C0000}" name="Column7184"/>
    <tableColumn id="7212" xr3:uid="{00000000-0010-0000-2000-00002C1C0000}" name="Column7185"/>
    <tableColumn id="7213" xr3:uid="{00000000-0010-0000-2000-00002D1C0000}" name="Column7186"/>
    <tableColumn id="7214" xr3:uid="{00000000-0010-0000-2000-00002E1C0000}" name="Column7187"/>
    <tableColumn id="7215" xr3:uid="{00000000-0010-0000-2000-00002F1C0000}" name="Column7188"/>
    <tableColumn id="7216" xr3:uid="{00000000-0010-0000-2000-0000301C0000}" name="Column7189"/>
    <tableColumn id="7217" xr3:uid="{00000000-0010-0000-2000-0000311C0000}" name="Column7190"/>
    <tableColumn id="7218" xr3:uid="{00000000-0010-0000-2000-0000321C0000}" name="Column7191"/>
    <tableColumn id="7219" xr3:uid="{00000000-0010-0000-2000-0000331C0000}" name="Column7192"/>
    <tableColumn id="7220" xr3:uid="{00000000-0010-0000-2000-0000341C0000}" name="Column7193"/>
    <tableColumn id="7221" xr3:uid="{00000000-0010-0000-2000-0000351C0000}" name="Column7194"/>
    <tableColumn id="7222" xr3:uid="{00000000-0010-0000-2000-0000361C0000}" name="Column7195"/>
    <tableColumn id="7223" xr3:uid="{00000000-0010-0000-2000-0000371C0000}" name="Column7196"/>
    <tableColumn id="7224" xr3:uid="{00000000-0010-0000-2000-0000381C0000}" name="Column7197"/>
    <tableColumn id="7225" xr3:uid="{00000000-0010-0000-2000-0000391C0000}" name="Column7198"/>
    <tableColumn id="7226" xr3:uid="{00000000-0010-0000-2000-00003A1C0000}" name="Column7199"/>
    <tableColumn id="7227" xr3:uid="{00000000-0010-0000-2000-00003B1C0000}" name="Column7200"/>
    <tableColumn id="7228" xr3:uid="{00000000-0010-0000-2000-00003C1C0000}" name="Column7201"/>
    <tableColumn id="7229" xr3:uid="{00000000-0010-0000-2000-00003D1C0000}" name="Column7202"/>
    <tableColumn id="7230" xr3:uid="{00000000-0010-0000-2000-00003E1C0000}" name="Column7203"/>
    <tableColumn id="7231" xr3:uid="{00000000-0010-0000-2000-00003F1C0000}" name="Column7204"/>
    <tableColumn id="7232" xr3:uid="{00000000-0010-0000-2000-0000401C0000}" name="Column7205"/>
    <tableColumn id="7233" xr3:uid="{00000000-0010-0000-2000-0000411C0000}" name="Column7206"/>
    <tableColumn id="7234" xr3:uid="{00000000-0010-0000-2000-0000421C0000}" name="Column7207"/>
    <tableColumn id="7235" xr3:uid="{00000000-0010-0000-2000-0000431C0000}" name="Column7208"/>
    <tableColumn id="7236" xr3:uid="{00000000-0010-0000-2000-0000441C0000}" name="Column7209"/>
    <tableColumn id="7237" xr3:uid="{00000000-0010-0000-2000-0000451C0000}" name="Column7210"/>
    <tableColumn id="7238" xr3:uid="{00000000-0010-0000-2000-0000461C0000}" name="Column7211"/>
    <tableColumn id="7239" xr3:uid="{00000000-0010-0000-2000-0000471C0000}" name="Column7212"/>
    <tableColumn id="7240" xr3:uid="{00000000-0010-0000-2000-0000481C0000}" name="Column7213"/>
    <tableColumn id="7241" xr3:uid="{00000000-0010-0000-2000-0000491C0000}" name="Column7214"/>
    <tableColumn id="7242" xr3:uid="{00000000-0010-0000-2000-00004A1C0000}" name="Column7215"/>
    <tableColumn id="7243" xr3:uid="{00000000-0010-0000-2000-00004B1C0000}" name="Column7216"/>
    <tableColumn id="7244" xr3:uid="{00000000-0010-0000-2000-00004C1C0000}" name="Column7217"/>
    <tableColumn id="7245" xr3:uid="{00000000-0010-0000-2000-00004D1C0000}" name="Column7218"/>
    <tableColumn id="7246" xr3:uid="{00000000-0010-0000-2000-00004E1C0000}" name="Column7219"/>
    <tableColumn id="7247" xr3:uid="{00000000-0010-0000-2000-00004F1C0000}" name="Column7220"/>
    <tableColumn id="7248" xr3:uid="{00000000-0010-0000-2000-0000501C0000}" name="Column7221"/>
    <tableColumn id="7249" xr3:uid="{00000000-0010-0000-2000-0000511C0000}" name="Column7222"/>
    <tableColumn id="7250" xr3:uid="{00000000-0010-0000-2000-0000521C0000}" name="Column7223"/>
    <tableColumn id="7251" xr3:uid="{00000000-0010-0000-2000-0000531C0000}" name="Column7224"/>
    <tableColumn id="7252" xr3:uid="{00000000-0010-0000-2000-0000541C0000}" name="Column7225"/>
    <tableColumn id="7253" xr3:uid="{00000000-0010-0000-2000-0000551C0000}" name="Column7226"/>
    <tableColumn id="7254" xr3:uid="{00000000-0010-0000-2000-0000561C0000}" name="Column7227"/>
    <tableColumn id="7255" xr3:uid="{00000000-0010-0000-2000-0000571C0000}" name="Column7228"/>
    <tableColumn id="7256" xr3:uid="{00000000-0010-0000-2000-0000581C0000}" name="Column7229"/>
    <tableColumn id="7257" xr3:uid="{00000000-0010-0000-2000-0000591C0000}" name="Column7230"/>
    <tableColumn id="7258" xr3:uid="{00000000-0010-0000-2000-00005A1C0000}" name="Column7231"/>
    <tableColumn id="7259" xr3:uid="{00000000-0010-0000-2000-00005B1C0000}" name="Column7232"/>
    <tableColumn id="7260" xr3:uid="{00000000-0010-0000-2000-00005C1C0000}" name="Column7233"/>
    <tableColumn id="7261" xr3:uid="{00000000-0010-0000-2000-00005D1C0000}" name="Column7234"/>
    <tableColumn id="7262" xr3:uid="{00000000-0010-0000-2000-00005E1C0000}" name="Column7235"/>
    <tableColumn id="7263" xr3:uid="{00000000-0010-0000-2000-00005F1C0000}" name="Column7236"/>
    <tableColumn id="7264" xr3:uid="{00000000-0010-0000-2000-0000601C0000}" name="Column7237"/>
    <tableColumn id="7265" xr3:uid="{00000000-0010-0000-2000-0000611C0000}" name="Column7238"/>
    <tableColumn id="7266" xr3:uid="{00000000-0010-0000-2000-0000621C0000}" name="Column7239"/>
    <tableColumn id="7267" xr3:uid="{00000000-0010-0000-2000-0000631C0000}" name="Column7240"/>
    <tableColumn id="7268" xr3:uid="{00000000-0010-0000-2000-0000641C0000}" name="Column7241"/>
    <tableColumn id="7269" xr3:uid="{00000000-0010-0000-2000-0000651C0000}" name="Column7242"/>
    <tableColumn id="7270" xr3:uid="{00000000-0010-0000-2000-0000661C0000}" name="Column7243"/>
    <tableColumn id="7271" xr3:uid="{00000000-0010-0000-2000-0000671C0000}" name="Column7244"/>
    <tableColumn id="7272" xr3:uid="{00000000-0010-0000-2000-0000681C0000}" name="Column7245"/>
    <tableColumn id="7273" xr3:uid="{00000000-0010-0000-2000-0000691C0000}" name="Column7246"/>
    <tableColumn id="7274" xr3:uid="{00000000-0010-0000-2000-00006A1C0000}" name="Column7247"/>
    <tableColumn id="7275" xr3:uid="{00000000-0010-0000-2000-00006B1C0000}" name="Column7248"/>
    <tableColumn id="7276" xr3:uid="{00000000-0010-0000-2000-00006C1C0000}" name="Column7249"/>
    <tableColumn id="7277" xr3:uid="{00000000-0010-0000-2000-00006D1C0000}" name="Column7250"/>
    <tableColumn id="7278" xr3:uid="{00000000-0010-0000-2000-00006E1C0000}" name="Column7251"/>
    <tableColumn id="7279" xr3:uid="{00000000-0010-0000-2000-00006F1C0000}" name="Column7252"/>
    <tableColumn id="7280" xr3:uid="{00000000-0010-0000-2000-0000701C0000}" name="Column7253"/>
    <tableColumn id="7281" xr3:uid="{00000000-0010-0000-2000-0000711C0000}" name="Column7254"/>
    <tableColumn id="7282" xr3:uid="{00000000-0010-0000-2000-0000721C0000}" name="Column7255"/>
    <tableColumn id="7283" xr3:uid="{00000000-0010-0000-2000-0000731C0000}" name="Column7256"/>
    <tableColumn id="7284" xr3:uid="{00000000-0010-0000-2000-0000741C0000}" name="Column7257"/>
    <tableColumn id="7285" xr3:uid="{00000000-0010-0000-2000-0000751C0000}" name="Column7258"/>
    <tableColumn id="7286" xr3:uid="{00000000-0010-0000-2000-0000761C0000}" name="Column7259"/>
    <tableColumn id="7287" xr3:uid="{00000000-0010-0000-2000-0000771C0000}" name="Column7260"/>
    <tableColumn id="7288" xr3:uid="{00000000-0010-0000-2000-0000781C0000}" name="Column7261"/>
    <tableColumn id="7289" xr3:uid="{00000000-0010-0000-2000-0000791C0000}" name="Column7262"/>
    <tableColumn id="7290" xr3:uid="{00000000-0010-0000-2000-00007A1C0000}" name="Column7263"/>
    <tableColumn id="7291" xr3:uid="{00000000-0010-0000-2000-00007B1C0000}" name="Column7264"/>
    <tableColumn id="7292" xr3:uid="{00000000-0010-0000-2000-00007C1C0000}" name="Column7265"/>
    <tableColumn id="7293" xr3:uid="{00000000-0010-0000-2000-00007D1C0000}" name="Column7266"/>
    <tableColumn id="7294" xr3:uid="{00000000-0010-0000-2000-00007E1C0000}" name="Column7267"/>
    <tableColumn id="7295" xr3:uid="{00000000-0010-0000-2000-00007F1C0000}" name="Column7268"/>
    <tableColumn id="7296" xr3:uid="{00000000-0010-0000-2000-0000801C0000}" name="Column7269"/>
    <tableColumn id="7297" xr3:uid="{00000000-0010-0000-2000-0000811C0000}" name="Column7270"/>
    <tableColumn id="7298" xr3:uid="{00000000-0010-0000-2000-0000821C0000}" name="Column7271"/>
    <tableColumn id="7299" xr3:uid="{00000000-0010-0000-2000-0000831C0000}" name="Column7272"/>
    <tableColumn id="7300" xr3:uid="{00000000-0010-0000-2000-0000841C0000}" name="Column7273"/>
    <tableColumn id="7301" xr3:uid="{00000000-0010-0000-2000-0000851C0000}" name="Column7274"/>
    <tableColumn id="7302" xr3:uid="{00000000-0010-0000-2000-0000861C0000}" name="Column7275"/>
    <tableColumn id="7303" xr3:uid="{00000000-0010-0000-2000-0000871C0000}" name="Column7276"/>
    <tableColumn id="7304" xr3:uid="{00000000-0010-0000-2000-0000881C0000}" name="Column7277"/>
    <tableColumn id="7305" xr3:uid="{00000000-0010-0000-2000-0000891C0000}" name="Column7278"/>
    <tableColumn id="7306" xr3:uid="{00000000-0010-0000-2000-00008A1C0000}" name="Column7279"/>
    <tableColumn id="7307" xr3:uid="{00000000-0010-0000-2000-00008B1C0000}" name="Column7280"/>
    <tableColumn id="7308" xr3:uid="{00000000-0010-0000-2000-00008C1C0000}" name="Column7281"/>
    <tableColumn id="7309" xr3:uid="{00000000-0010-0000-2000-00008D1C0000}" name="Column7282"/>
    <tableColumn id="7310" xr3:uid="{00000000-0010-0000-2000-00008E1C0000}" name="Column7283"/>
    <tableColumn id="7311" xr3:uid="{00000000-0010-0000-2000-00008F1C0000}" name="Column7284"/>
    <tableColumn id="7312" xr3:uid="{00000000-0010-0000-2000-0000901C0000}" name="Column7285"/>
    <tableColumn id="7313" xr3:uid="{00000000-0010-0000-2000-0000911C0000}" name="Column7286"/>
    <tableColumn id="7314" xr3:uid="{00000000-0010-0000-2000-0000921C0000}" name="Column7287"/>
    <tableColumn id="7315" xr3:uid="{00000000-0010-0000-2000-0000931C0000}" name="Column7288"/>
    <tableColumn id="7316" xr3:uid="{00000000-0010-0000-2000-0000941C0000}" name="Column7289"/>
    <tableColumn id="7317" xr3:uid="{00000000-0010-0000-2000-0000951C0000}" name="Column7290"/>
    <tableColumn id="7318" xr3:uid="{00000000-0010-0000-2000-0000961C0000}" name="Column7291"/>
    <tableColumn id="7319" xr3:uid="{00000000-0010-0000-2000-0000971C0000}" name="Column7292"/>
    <tableColumn id="7320" xr3:uid="{00000000-0010-0000-2000-0000981C0000}" name="Column7293"/>
    <tableColumn id="7321" xr3:uid="{00000000-0010-0000-2000-0000991C0000}" name="Column7294"/>
    <tableColumn id="7322" xr3:uid="{00000000-0010-0000-2000-00009A1C0000}" name="Column7295"/>
    <tableColumn id="7323" xr3:uid="{00000000-0010-0000-2000-00009B1C0000}" name="Column7296"/>
    <tableColumn id="7324" xr3:uid="{00000000-0010-0000-2000-00009C1C0000}" name="Column7297"/>
    <tableColumn id="7325" xr3:uid="{00000000-0010-0000-2000-00009D1C0000}" name="Column7298"/>
    <tableColumn id="7326" xr3:uid="{00000000-0010-0000-2000-00009E1C0000}" name="Column7299"/>
    <tableColumn id="7327" xr3:uid="{00000000-0010-0000-2000-00009F1C0000}" name="Column7300"/>
    <tableColumn id="7328" xr3:uid="{00000000-0010-0000-2000-0000A01C0000}" name="Column7301"/>
    <tableColumn id="7329" xr3:uid="{00000000-0010-0000-2000-0000A11C0000}" name="Column7302"/>
    <tableColumn id="7330" xr3:uid="{00000000-0010-0000-2000-0000A21C0000}" name="Column7303"/>
    <tableColumn id="7331" xr3:uid="{00000000-0010-0000-2000-0000A31C0000}" name="Column7304"/>
    <tableColumn id="7332" xr3:uid="{00000000-0010-0000-2000-0000A41C0000}" name="Column7305"/>
    <tableColumn id="7333" xr3:uid="{00000000-0010-0000-2000-0000A51C0000}" name="Column7306"/>
    <tableColumn id="7334" xr3:uid="{00000000-0010-0000-2000-0000A61C0000}" name="Column7307"/>
    <tableColumn id="7335" xr3:uid="{00000000-0010-0000-2000-0000A71C0000}" name="Column7308"/>
    <tableColumn id="7336" xr3:uid="{00000000-0010-0000-2000-0000A81C0000}" name="Column7309"/>
    <tableColumn id="7337" xr3:uid="{00000000-0010-0000-2000-0000A91C0000}" name="Column7310"/>
    <tableColumn id="7338" xr3:uid="{00000000-0010-0000-2000-0000AA1C0000}" name="Column7311"/>
    <tableColumn id="7339" xr3:uid="{00000000-0010-0000-2000-0000AB1C0000}" name="Column7312"/>
    <tableColumn id="7340" xr3:uid="{00000000-0010-0000-2000-0000AC1C0000}" name="Column7313"/>
    <tableColumn id="7341" xr3:uid="{00000000-0010-0000-2000-0000AD1C0000}" name="Column7314"/>
    <tableColumn id="7342" xr3:uid="{00000000-0010-0000-2000-0000AE1C0000}" name="Column7315"/>
    <tableColumn id="7343" xr3:uid="{00000000-0010-0000-2000-0000AF1C0000}" name="Column7316"/>
    <tableColumn id="7344" xr3:uid="{00000000-0010-0000-2000-0000B01C0000}" name="Column7317"/>
    <tableColumn id="7345" xr3:uid="{00000000-0010-0000-2000-0000B11C0000}" name="Column7318"/>
    <tableColumn id="7346" xr3:uid="{00000000-0010-0000-2000-0000B21C0000}" name="Column7319"/>
    <tableColumn id="7347" xr3:uid="{00000000-0010-0000-2000-0000B31C0000}" name="Column7320"/>
    <tableColumn id="7348" xr3:uid="{00000000-0010-0000-2000-0000B41C0000}" name="Column7321"/>
    <tableColumn id="7349" xr3:uid="{00000000-0010-0000-2000-0000B51C0000}" name="Column7322"/>
    <tableColumn id="7350" xr3:uid="{00000000-0010-0000-2000-0000B61C0000}" name="Column7323"/>
    <tableColumn id="7351" xr3:uid="{00000000-0010-0000-2000-0000B71C0000}" name="Column7324"/>
    <tableColumn id="7352" xr3:uid="{00000000-0010-0000-2000-0000B81C0000}" name="Column7325"/>
    <tableColumn id="7353" xr3:uid="{00000000-0010-0000-2000-0000B91C0000}" name="Column7326"/>
    <tableColumn id="7354" xr3:uid="{00000000-0010-0000-2000-0000BA1C0000}" name="Column7327"/>
    <tableColumn id="7355" xr3:uid="{00000000-0010-0000-2000-0000BB1C0000}" name="Column7328"/>
    <tableColumn id="7356" xr3:uid="{00000000-0010-0000-2000-0000BC1C0000}" name="Column7329"/>
    <tableColumn id="7357" xr3:uid="{00000000-0010-0000-2000-0000BD1C0000}" name="Column7330"/>
    <tableColumn id="7358" xr3:uid="{00000000-0010-0000-2000-0000BE1C0000}" name="Column7331"/>
    <tableColumn id="7359" xr3:uid="{00000000-0010-0000-2000-0000BF1C0000}" name="Column7332"/>
    <tableColumn id="7360" xr3:uid="{00000000-0010-0000-2000-0000C01C0000}" name="Column7333"/>
    <tableColumn id="7361" xr3:uid="{00000000-0010-0000-2000-0000C11C0000}" name="Column7334"/>
    <tableColumn id="7362" xr3:uid="{00000000-0010-0000-2000-0000C21C0000}" name="Column7335"/>
    <tableColumn id="7363" xr3:uid="{00000000-0010-0000-2000-0000C31C0000}" name="Column7336"/>
    <tableColumn id="7364" xr3:uid="{00000000-0010-0000-2000-0000C41C0000}" name="Column7337"/>
    <tableColumn id="7365" xr3:uid="{00000000-0010-0000-2000-0000C51C0000}" name="Column7338"/>
    <tableColumn id="7366" xr3:uid="{00000000-0010-0000-2000-0000C61C0000}" name="Column7339"/>
    <tableColumn id="7367" xr3:uid="{00000000-0010-0000-2000-0000C71C0000}" name="Column7340"/>
    <tableColumn id="7368" xr3:uid="{00000000-0010-0000-2000-0000C81C0000}" name="Column7341"/>
    <tableColumn id="7369" xr3:uid="{00000000-0010-0000-2000-0000C91C0000}" name="Column7342"/>
    <tableColumn id="7370" xr3:uid="{00000000-0010-0000-2000-0000CA1C0000}" name="Column7343"/>
    <tableColumn id="7371" xr3:uid="{00000000-0010-0000-2000-0000CB1C0000}" name="Column7344"/>
    <tableColumn id="7372" xr3:uid="{00000000-0010-0000-2000-0000CC1C0000}" name="Column7345"/>
    <tableColumn id="7373" xr3:uid="{00000000-0010-0000-2000-0000CD1C0000}" name="Column7346"/>
    <tableColumn id="7374" xr3:uid="{00000000-0010-0000-2000-0000CE1C0000}" name="Column7347"/>
    <tableColumn id="7375" xr3:uid="{00000000-0010-0000-2000-0000CF1C0000}" name="Column7348"/>
    <tableColumn id="7376" xr3:uid="{00000000-0010-0000-2000-0000D01C0000}" name="Column7349"/>
    <tableColumn id="7377" xr3:uid="{00000000-0010-0000-2000-0000D11C0000}" name="Column7350"/>
    <tableColumn id="7378" xr3:uid="{00000000-0010-0000-2000-0000D21C0000}" name="Column7351"/>
    <tableColumn id="7379" xr3:uid="{00000000-0010-0000-2000-0000D31C0000}" name="Column7352"/>
    <tableColumn id="7380" xr3:uid="{00000000-0010-0000-2000-0000D41C0000}" name="Column7353"/>
    <tableColumn id="7381" xr3:uid="{00000000-0010-0000-2000-0000D51C0000}" name="Column7354"/>
    <tableColumn id="7382" xr3:uid="{00000000-0010-0000-2000-0000D61C0000}" name="Column7355"/>
    <tableColumn id="7383" xr3:uid="{00000000-0010-0000-2000-0000D71C0000}" name="Column7356"/>
    <tableColumn id="7384" xr3:uid="{00000000-0010-0000-2000-0000D81C0000}" name="Column7357"/>
    <tableColumn id="7385" xr3:uid="{00000000-0010-0000-2000-0000D91C0000}" name="Column7358"/>
    <tableColumn id="7386" xr3:uid="{00000000-0010-0000-2000-0000DA1C0000}" name="Column7359"/>
    <tableColumn id="7387" xr3:uid="{00000000-0010-0000-2000-0000DB1C0000}" name="Column7360"/>
    <tableColumn id="7388" xr3:uid="{00000000-0010-0000-2000-0000DC1C0000}" name="Column7361"/>
    <tableColumn id="7389" xr3:uid="{00000000-0010-0000-2000-0000DD1C0000}" name="Column7362"/>
    <tableColumn id="7390" xr3:uid="{00000000-0010-0000-2000-0000DE1C0000}" name="Column7363"/>
    <tableColumn id="7391" xr3:uid="{00000000-0010-0000-2000-0000DF1C0000}" name="Column7364"/>
    <tableColumn id="7392" xr3:uid="{00000000-0010-0000-2000-0000E01C0000}" name="Column7365"/>
    <tableColumn id="7393" xr3:uid="{00000000-0010-0000-2000-0000E11C0000}" name="Column7366"/>
    <tableColumn id="7394" xr3:uid="{00000000-0010-0000-2000-0000E21C0000}" name="Column7367"/>
    <tableColumn id="7395" xr3:uid="{00000000-0010-0000-2000-0000E31C0000}" name="Column7368"/>
    <tableColumn id="7396" xr3:uid="{00000000-0010-0000-2000-0000E41C0000}" name="Column7369"/>
    <tableColumn id="7397" xr3:uid="{00000000-0010-0000-2000-0000E51C0000}" name="Column7370"/>
    <tableColumn id="7398" xr3:uid="{00000000-0010-0000-2000-0000E61C0000}" name="Column7371"/>
    <tableColumn id="7399" xr3:uid="{00000000-0010-0000-2000-0000E71C0000}" name="Column7372"/>
    <tableColumn id="7400" xr3:uid="{00000000-0010-0000-2000-0000E81C0000}" name="Column7373"/>
    <tableColumn id="7401" xr3:uid="{00000000-0010-0000-2000-0000E91C0000}" name="Column7374"/>
    <tableColumn id="7402" xr3:uid="{00000000-0010-0000-2000-0000EA1C0000}" name="Column7375"/>
    <tableColumn id="7403" xr3:uid="{00000000-0010-0000-2000-0000EB1C0000}" name="Column7376"/>
    <tableColumn id="7404" xr3:uid="{00000000-0010-0000-2000-0000EC1C0000}" name="Column7377"/>
    <tableColumn id="7405" xr3:uid="{00000000-0010-0000-2000-0000ED1C0000}" name="Column7378"/>
    <tableColumn id="7406" xr3:uid="{00000000-0010-0000-2000-0000EE1C0000}" name="Column7379"/>
    <tableColumn id="7407" xr3:uid="{00000000-0010-0000-2000-0000EF1C0000}" name="Column7380"/>
    <tableColumn id="7408" xr3:uid="{00000000-0010-0000-2000-0000F01C0000}" name="Column7381"/>
    <tableColumn id="7409" xr3:uid="{00000000-0010-0000-2000-0000F11C0000}" name="Column7382"/>
    <tableColumn id="7410" xr3:uid="{00000000-0010-0000-2000-0000F21C0000}" name="Column7383"/>
    <tableColumn id="7411" xr3:uid="{00000000-0010-0000-2000-0000F31C0000}" name="Column7384"/>
    <tableColumn id="7412" xr3:uid="{00000000-0010-0000-2000-0000F41C0000}" name="Column7385"/>
    <tableColumn id="7413" xr3:uid="{00000000-0010-0000-2000-0000F51C0000}" name="Column7386"/>
    <tableColumn id="7414" xr3:uid="{00000000-0010-0000-2000-0000F61C0000}" name="Column7387"/>
    <tableColumn id="7415" xr3:uid="{00000000-0010-0000-2000-0000F71C0000}" name="Column7388"/>
    <tableColumn id="7416" xr3:uid="{00000000-0010-0000-2000-0000F81C0000}" name="Column7389"/>
    <tableColumn id="7417" xr3:uid="{00000000-0010-0000-2000-0000F91C0000}" name="Column7390"/>
    <tableColumn id="7418" xr3:uid="{00000000-0010-0000-2000-0000FA1C0000}" name="Column7391"/>
    <tableColumn id="7419" xr3:uid="{00000000-0010-0000-2000-0000FB1C0000}" name="Column7392"/>
    <tableColumn id="7420" xr3:uid="{00000000-0010-0000-2000-0000FC1C0000}" name="Column7393"/>
    <tableColumn id="7421" xr3:uid="{00000000-0010-0000-2000-0000FD1C0000}" name="Column7394"/>
    <tableColumn id="7422" xr3:uid="{00000000-0010-0000-2000-0000FE1C0000}" name="Column7395"/>
    <tableColumn id="7423" xr3:uid="{00000000-0010-0000-2000-0000FF1C0000}" name="Column7396"/>
    <tableColumn id="7424" xr3:uid="{00000000-0010-0000-2000-0000001D0000}" name="Column7397"/>
    <tableColumn id="7425" xr3:uid="{00000000-0010-0000-2000-0000011D0000}" name="Column7398"/>
    <tableColumn id="7426" xr3:uid="{00000000-0010-0000-2000-0000021D0000}" name="Column7399"/>
    <tableColumn id="7427" xr3:uid="{00000000-0010-0000-2000-0000031D0000}" name="Column7400"/>
    <tableColumn id="7428" xr3:uid="{00000000-0010-0000-2000-0000041D0000}" name="Column7401"/>
    <tableColumn id="7429" xr3:uid="{00000000-0010-0000-2000-0000051D0000}" name="Column7402"/>
    <tableColumn id="7430" xr3:uid="{00000000-0010-0000-2000-0000061D0000}" name="Column7403"/>
    <tableColumn id="7431" xr3:uid="{00000000-0010-0000-2000-0000071D0000}" name="Column7404"/>
    <tableColumn id="7432" xr3:uid="{00000000-0010-0000-2000-0000081D0000}" name="Column7405"/>
    <tableColumn id="7433" xr3:uid="{00000000-0010-0000-2000-0000091D0000}" name="Column7406"/>
    <tableColumn id="7434" xr3:uid="{00000000-0010-0000-2000-00000A1D0000}" name="Column7407"/>
    <tableColumn id="7435" xr3:uid="{00000000-0010-0000-2000-00000B1D0000}" name="Column7408"/>
    <tableColumn id="7436" xr3:uid="{00000000-0010-0000-2000-00000C1D0000}" name="Column7409"/>
    <tableColumn id="7437" xr3:uid="{00000000-0010-0000-2000-00000D1D0000}" name="Column7410"/>
    <tableColumn id="7438" xr3:uid="{00000000-0010-0000-2000-00000E1D0000}" name="Column7411"/>
    <tableColumn id="7439" xr3:uid="{00000000-0010-0000-2000-00000F1D0000}" name="Column7412"/>
    <tableColumn id="7440" xr3:uid="{00000000-0010-0000-2000-0000101D0000}" name="Column7413"/>
    <tableColumn id="7441" xr3:uid="{00000000-0010-0000-2000-0000111D0000}" name="Column7414"/>
    <tableColumn id="7442" xr3:uid="{00000000-0010-0000-2000-0000121D0000}" name="Column7415"/>
    <tableColumn id="7443" xr3:uid="{00000000-0010-0000-2000-0000131D0000}" name="Column7416"/>
    <tableColumn id="7444" xr3:uid="{00000000-0010-0000-2000-0000141D0000}" name="Column7417"/>
    <tableColumn id="7445" xr3:uid="{00000000-0010-0000-2000-0000151D0000}" name="Column7418"/>
    <tableColumn id="7446" xr3:uid="{00000000-0010-0000-2000-0000161D0000}" name="Column7419"/>
    <tableColumn id="7447" xr3:uid="{00000000-0010-0000-2000-0000171D0000}" name="Column7420"/>
    <tableColumn id="7448" xr3:uid="{00000000-0010-0000-2000-0000181D0000}" name="Column7421"/>
    <tableColumn id="7449" xr3:uid="{00000000-0010-0000-2000-0000191D0000}" name="Column7422"/>
    <tableColumn id="7450" xr3:uid="{00000000-0010-0000-2000-00001A1D0000}" name="Column7423"/>
    <tableColumn id="7451" xr3:uid="{00000000-0010-0000-2000-00001B1D0000}" name="Column7424"/>
    <tableColumn id="7452" xr3:uid="{00000000-0010-0000-2000-00001C1D0000}" name="Column7425"/>
    <tableColumn id="7453" xr3:uid="{00000000-0010-0000-2000-00001D1D0000}" name="Column7426"/>
    <tableColumn id="7454" xr3:uid="{00000000-0010-0000-2000-00001E1D0000}" name="Column7427"/>
    <tableColumn id="7455" xr3:uid="{00000000-0010-0000-2000-00001F1D0000}" name="Column7428"/>
    <tableColumn id="7456" xr3:uid="{00000000-0010-0000-2000-0000201D0000}" name="Column7429"/>
    <tableColumn id="7457" xr3:uid="{00000000-0010-0000-2000-0000211D0000}" name="Column7430"/>
    <tableColumn id="7458" xr3:uid="{00000000-0010-0000-2000-0000221D0000}" name="Column7431"/>
    <tableColumn id="7459" xr3:uid="{00000000-0010-0000-2000-0000231D0000}" name="Column7432"/>
    <tableColumn id="7460" xr3:uid="{00000000-0010-0000-2000-0000241D0000}" name="Column7433"/>
    <tableColumn id="7461" xr3:uid="{00000000-0010-0000-2000-0000251D0000}" name="Column7434"/>
    <tableColumn id="7462" xr3:uid="{00000000-0010-0000-2000-0000261D0000}" name="Column7435"/>
    <tableColumn id="7463" xr3:uid="{00000000-0010-0000-2000-0000271D0000}" name="Column7436"/>
    <tableColumn id="7464" xr3:uid="{00000000-0010-0000-2000-0000281D0000}" name="Column7437"/>
    <tableColumn id="7465" xr3:uid="{00000000-0010-0000-2000-0000291D0000}" name="Column7438"/>
    <tableColumn id="7466" xr3:uid="{00000000-0010-0000-2000-00002A1D0000}" name="Column7439"/>
    <tableColumn id="7467" xr3:uid="{00000000-0010-0000-2000-00002B1D0000}" name="Column7440"/>
    <tableColumn id="7468" xr3:uid="{00000000-0010-0000-2000-00002C1D0000}" name="Column7441"/>
    <tableColumn id="7469" xr3:uid="{00000000-0010-0000-2000-00002D1D0000}" name="Column7442"/>
    <tableColumn id="7470" xr3:uid="{00000000-0010-0000-2000-00002E1D0000}" name="Column7443"/>
    <tableColumn id="7471" xr3:uid="{00000000-0010-0000-2000-00002F1D0000}" name="Column7444"/>
    <tableColumn id="7472" xr3:uid="{00000000-0010-0000-2000-0000301D0000}" name="Column7445"/>
    <tableColumn id="7473" xr3:uid="{00000000-0010-0000-2000-0000311D0000}" name="Column7446"/>
    <tableColumn id="7474" xr3:uid="{00000000-0010-0000-2000-0000321D0000}" name="Column7447"/>
    <tableColumn id="7475" xr3:uid="{00000000-0010-0000-2000-0000331D0000}" name="Column7448"/>
    <tableColumn id="7476" xr3:uid="{00000000-0010-0000-2000-0000341D0000}" name="Column7449"/>
    <tableColumn id="7477" xr3:uid="{00000000-0010-0000-2000-0000351D0000}" name="Column7450"/>
    <tableColumn id="7478" xr3:uid="{00000000-0010-0000-2000-0000361D0000}" name="Column7451"/>
    <tableColumn id="7479" xr3:uid="{00000000-0010-0000-2000-0000371D0000}" name="Column7452"/>
    <tableColumn id="7480" xr3:uid="{00000000-0010-0000-2000-0000381D0000}" name="Column7453"/>
    <tableColumn id="7481" xr3:uid="{00000000-0010-0000-2000-0000391D0000}" name="Column7454"/>
    <tableColumn id="7482" xr3:uid="{00000000-0010-0000-2000-00003A1D0000}" name="Column7455"/>
    <tableColumn id="7483" xr3:uid="{00000000-0010-0000-2000-00003B1D0000}" name="Column7456"/>
    <tableColumn id="7484" xr3:uid="{00000000-0010-0000-2000-00003C1D0000}" name="Column7457"/>
    <tableColumn id="7485" xr3:uid="{00000000-0010-0000-2000-00003D1D0000}" name="Column7458"/>
    <tableColumn id="7486" xr3:uid="{00000000-0010-0000-2000-00003E1D0000}" name="Column7459"/>
    <tableColumn id="7487" xr3:uid="{00000000-0010-0000-2000-00003F1D0000}" name="Column7460"/>
    <tableColumn id="7488" xr3:uid="{00000000-0010-0000-2000-0000401D0000}" name="Column7461"/>
    <tableColumn id="7489" xr3:uid="{00000000-0010-0000-2000-0000411D0000}" name="Column7462"/>
    <tableColumn id="7490" xr3:uid="{00000000-0010-0000-2000-0000421D0000}" name="Column7463"/>
    <tableColumn id="7491" xr3:uid="{00000000-0010-0000-2000-0000431D0000}" name="Column7464"/>
    <tableColumn id="7492" xr3:uid="{00000000-0010-0000-2000-0000441D0000}" name="Column7465"/>
    <tableColumn id="7493" xr3:uid="{00000000-0010-0000-2000-0000451D0000}" name="Column7466"/>
    <tableColumn id="7494" xr3:uid="{00000000-0010-0000-2000-0000461D0000}" name="Column7467"/>
    <tableColumn id="7495" xr3:uid="{00000000-0010-0000-2000-0000471D0000}" name="Column7468"/>
    <tableColumn id="7496" xr3:uid="{00000000-0010-0000-2000-0000481D0000}" name="Column7469"/>
    <tableColumn id="7497" xr3:uid="{00000000-0010-0000-2000-0000491D0000}" name="Column7470"/>
    <tableColumn id="7498" xr3:uid="{00000000-0010-0000-2000-00004A1D0000}" name="Column7471"/>
    <tableColumn id="7499" xr3:uid="{00000000-0010-0000-2000-00004B1D0000}" name="Column7472"/>
    <tableColumn id="7500" xr3:uid="{00000000-0010-0000-2000-00004C1D0000}" name="Column7473"/>
    <tableColumn id="7501" xr3:uid="{00000000-0010-0000-2000-00004D1D0000}" name="Column7474"/>
    <tableColumn id="7502" xr3:uid="{00000000-0010-0000-2000-00004E1D0000}" name="Column7475"/>
    <tableColumn id="7503" xr3:uid="{00000000-0010-0000-2000-00004F1D0000}" name="Column7476"/>
    <tableColumn id="7504" xr3:uid="{00000000-0010-0000-2000-0000501D0000}" name="Column7477"/>
    <tableColumn id="7505" xr3:uid="{00000000-0010-0000-2000-0000511D0000}" name="Column7478"/>
    <tableColumn id="7506" xr3:uid="{00000000-0010-0000-2000-0000521D0000}" name="Column7479"/>
    <tableColumn id="7507" xr3:uid="{00000000-0010-0000-2000-0000531D0000}" name="Column7480"/>
    <tableColumn id="7508" xr3:uid="{00000000-0010-0000-2000-0000541D0000}" name="Column7481"/>
    <tableColumn id="7509" xr3:uid="{00000000-0010-0000-2000-0000551D0000}" name="Column7482"/>
    <tableColumn id="7510" xr3:uid="{00000000-0010-0000-2000-0000561D0000}" name="Column7483"/>
    <tableColumn id="7511" xr3:uid="{00000000-0010-0000-2000-0000571D0000}" name="Column7484"/>
    <tableColumn id="7512" xr3:uid="{00000000-0010-0000-2000-0000581D0000}" name="Column7485"/>
    <tableColumn id="7513" xr3:uid="{00000000-0010-0000-2000-0000591D0000}" name="Column7486"/>
    <tableColumn id="7514" xr3:uid="{00000000-0010-0000-2000-00005A1D0000}" name="Column7487"/>
    <tableColumn id="7515" xr3:uid="{00000000-0010-0000-2000-00005B1D0000}" name="Column7488"/>
    <tableColumn id="7516" xr3:uid="{00000000-0010-0000-2000-00005C1D0000}" name="Column7489"/>
    <tableColumn id="7517" xr3:uid="{00000000-0010-0000-2000-00005D1D0000}" name="Column7490"/>
    <tableColumn id="7518" xr3:uid="{00000000-0010-0000-2000-00005E1D0000}" name="Column7491"/>
    <tableColumn id="7519" xr3:uid="{00000000-0010-0000-2000-00005F1D0000}" name="Column7492"/>
    <tableColumn id="7520" xr3:uid="{00000000-0010-0000-2000-0000601D0000}" name="Column7493"/>
    <tableColumn id="7521" xr3:uid="{00000000-0010-0000-2000-0000611D0000}" name="Column7494"/>
    <tableColumn id="7522" xr3:uid="{00000000-0010-0000-2000-0000621D0000}" name="Column7495"/>
    <tableColumn id="7523" xr3:uid="{00000000-0010-0000-2000-0000631D0000}" name="Column7496"/>
    <tableColumn id="7524" xr3:uid="{00000000-0010-0000-2000-0000641D0000}" name="Column7497"/>
    <tableColumn id="7525" xr3:uid="{00000000-0010-0000-2000-0000651D0000}" name="Column7498"/>
    <tableColumn id="7526" xr3:uid="{00000000-0010-0000-2000-0000661D0000}" name="Column7499"/>
    <tableColumn id="7527" xr3:uid="{00000000-0010-0000-2000-0000671D0000}" name="Column7500"/>
    <tableColumn id="7528" xr3:uid="{00000000-0010-0000-2000-0000681D0000}" name="Column7501"/>
    <tableColumn id="7529" xr3:uid="{00000000-0010-0000-2000-0000691D0000}" name="Column7502"/>
    <tableColumn id="7530" xr3:uid="{00000000-0010-0000-2000-00006A1D0000}" name="Column7503"/>
    <tableColumn id="7531" xr3:uid="{00000000-0010-0000-2000-00006B1D0000}" name="Column7504"/>
    <tableColumn id="7532" xr3:uid="{00000000-0010-0000-2000-00006C1D0000}" name="Column7505"/>
    <tableColumn id="7533" xr3:uid="{00000000-0010-0000-2000-00006D1D0000}" name="Column7506"/>
    <tableColumn id="7534" xr3:uid="{00000000-0010-0000-2000-00006E1D0000}" name="Column7507"/>
    <tableColumn id="7535" xr3:uid="{00000000-0010-0000-2000-00006F1D0000}" name="Column7508"/>
    <tableColumn id="7536" xr3:uid="{00000000-0010-0000-2000-0000701D0000}" name="Column7509"/>
    <tableColumn id="7537" xr3:uid="{00000000-0010-0000-2000-0000711D0000}" name="Column7510"/>
    <tableColumn id="7538" xr3:uid="{00000000-0010-0000-2000-0000721D0000}" name="Column7511"/>
    <tableColumn id="7539" xr3:uid="{00000000-0010-0000-2000-0000731D0000}" name="Column7512"/>
    <tableColumn id="7540" xr3:uid="{00000000-0010-0000-2000-0000741D0000}" name="Column7513"/>
    <tableColumn id="7541" xr3:uid="{00000000-0010-0000-2000-0000751D0000}" name="Column7514"/>
    <tableColumn id="7542" xr3:uid="{00000000-0010-0000-2000-0000761D0000}" name="Column7515"/>
    <tableColumn id="7543" xr3:uid="{00000000-0010-0000-2000-0000771D0000}" name="Column7516"/>
    <tableColumn id="7544" xr3:uid="{00000000-0010-0000-2000-0000781D0000}" name="Column7517"/>
    <tableColumn id="7545" xr3:uid="{00000000-0010-0000-2000-0000791D0000}" name="Column7518"/>
    <tableColumn id="7546" xr3:uid="{00000000-0010-0000-2000-00007A1D0000}" name="Column7519"/>
    <tableColumn id="7547" xr3:uid="{00000000-0010-0000-2000-00007B1D0000}" name="Column7520"/>
    <tableColumn id="7548" xr3:uid="{00000000-0010-0000-2000-00007C1D0000}" name="Column7521"/>
    <tableColumn id="7549" xr3:uid="{00000000-0010-0000-2000-00007D1D0000}" name="Column7522"/>
    <tableColumn id="7550" xr3:uid="{00000000-0010-0000-2000-00007E1D0000}" name="Column7523"/>
    <tableColumn id="7551" xr3:uid="{00000000-0010-0000-2000-00007F1D0000}" name="Column7524"/>
    <tableColumn id="7552" xr3:uid="{00000000-0010-0000-2000-0000801D0000}" name="Column7525"/>
    <tableColumn id="7553" xr3:uid="{00000000-0010-0000-2000-0000811D0000}" name="Column7526"/>
    <tableColumn id="7554" xr3:uid="{00000000-0010-0000-2000-0000821D0000}" name="Column7527"/>
    <tableColumn id="7555" xr3:uid="{00000000-0010-0000-2000-0000831D0000}" name="Column7528"/>
    <tableColumn id="7556" xr3:uid="{00000000-0010-0000-2000-0000841D0000}" name="Column7529"/>
    <tableColumn id="7557" xr3:uid="{00000000-0010-0000-2000-0000851D0000}" name="Column7530"/>
    <tableColumn id="7558" xr3:uid="{00000000-0010-0000-2000-0000861D0000}" name="Column7531"/>
    <tableColumn id="7559" xr3:uid="{00000000-0010-0000-2000-0000871D0000}" name="Column7532"/>
    <tableColumn id="7560" xr3:uid="{00000000-0010-0000-2000-0000881D0000}" name="Column7533"/>
    <tableColumn id="7561" xr3:uid="{00000000-0010-0000-2000-0000891D0000}" name="Column7534"/>
    <tableColumn id="7562" xr3:uid="{00000000-0010-0000-2000-00008A1D0000}" name="Column7535"/>
    <tableColumn id="7563" xr3:uid="{00000000-0010-0000-2000-00008B1D0000}" name="Column7536"/>
    <tableColumn id="7564" xr3:uid="{00000000-0010-0000-2000-00008C1D0000}" name="Column7537"/>
    <tableColumn id="7565" xr3:uid="{00000000-0010-0000-2000-00008D1D0000}" name="Column7538"/>
    <tableColumn id="7566" xr3:uid="{00000000-0010-0000-2000-00008E1D0000}" name="Column7539"/>
    <tableColumn id="7567" xr3:uid="{00000000-0010-0000-2000-00008F1D0000}" name="Column7540"/>
    <tableColumn id="7568" xr3:uid="{00000000-0010-0000-2000-0000901D0000}" name="Column7541"/>
    <tableColumn id="7569" xr3:uid="{00000000-0010-0000-2000-0000911D0000}" name="Column7542"/>
    <tableColumn id="7570" xr3:uid="{00000000-0010-0000-2000-0000921D0000}" name="Column7543"/>
    <tableColumn id="7571" xr3:uid="{00000000-0010-0000-2000-0000931D0000}" name="Column7544"/>
    <tableColumn id="7572" xr3:uid="{00000000-0010-0000-2000-0000941D0000}" name="Column7545"/>
    <tableColumn id="7573" xr3:uid="{00000000-0010-0000-2000-0000951D0000}" name="Column7546"/>
    <tableColumn id="7574" xr3:uid="{00000000-0010-0000-2000-0000961D0000}" name="Column7547"/>
    <tableColumn id="7575" xr3:uid="{00000000-0010-0000-2000-0000971D0000}" name="Column7548"/>
    <tableColumn id="7576" xr3:uid="{00000000-0010-0000-2000-0000981D0000}" name="Column7549"/>
    <tableColumn id="7577" xr3:uid="{00000000-0010-0000-2000-0000991D0000}" name="Column7550"/>
    <tableColumn id="7578" xr3:uid="{00000000-0010-0000-2000-00009A1D0000}" name="Column7551"/>
    <tableColumn id="7579" xr3:uid="{00000000-0010-0000-2000-00009B1D0000}" name="Column7552"/>
    <tableColumn id="7580" xr3:uid="{00000000-0010-0000-2000-00009C1D0000}" name="Column7553"/>
    <tableColumn id="7581" xr3:uid="{00000000-0010-0000-2000-00009D1D0000}" name="Column7554"/>
    <tableColumn id="7582" xr3:uid="{00000000-0010-0000-2000-00009E1D0000}" name="Column7555"/>
    <tableColumn id="7583" xr3:uid="{00000000-0010-0000-2000-00009F1D0000}" name="Column7556"/>
    <tableColumn id="7584" xr3:uid="{00000000-0010-0000-2000-0000A01D0000}" name="Column7557"/>
    <tableColumn id="7585" xr3:uid="{00000000-0010-0000-2000-0000A11D0000}" name="Column7558"/>
    <tableColumn id="7586" xr3:uid="{00000000-0010-0000-2000-0000A21D0000}" name="Column7559"/>
    <tableColumn id="7587" xr3:uid="{00000000-0010-0000-2000-0000A31D0000}" name="Column7560"/>
    <tableColumn id="7588" xr3:uid="{00000000-0010-0000-2000-0000A41D0000}" name="Column7561"/>
    <tableColumn id="7589" xr3:uid="{00000000-0010-0000-2000-0000A51D0000}" name="Column7562"/>
    <tableColumn id="7590" xr3:uid="{00000000-0010-0000-2000-0000A61D0000}" name="Column7563"/>
    <tableColumn id="7591" xr3:uid="{00000000-0010-0000-2000-0000A71D0000}" name="Column7564"/>
    <tableColumn id="7592" xr3:uid="{00000000-0010-0000-2000-0000A81D0000}" name="Column7565"/>
    <tableColumn id="7593" xr3:uid="{00000000-0010-0000-2000-0000A91D0000}" name="Column7566"/>
    <tableColumn id="7594" xr3:uid="{00000000-0010-0000-2000-0000AA1D0000}" name="Column7567"/>
    <tableColumn id="7595" xr3:uid="{00000000-0010-0000-2000-0000AB1D0000}" name="Column7568"/>
    <tableColumn id="7596" xr3:uid="{00000000-0010-0000-2000-0000AC1D0000}" name="Column7569"/>
    <tableColumn id="7597" xr3:uid="{00000000-0010-0000-2000-0000AD1D0000}" name="Column7570"/>
    <tableColumn id="7598" xr3:uid="{00000000-0010-0000-2000-0000AE1D0000}" name="Column7571"/>
    <tableColumn id="7599" xr3:uid="{00000000-0010-0000-2000-0000AF1D0000}" name="Column7572"/>
    <tableColumn id="7600" xr3:uid="{00000000-0010-0000-2000-0000B01D0000}" name="Column7573"/>
    <tableColumn id="7601" xr3:uid="{00000000-0010-0000-2000-0000B11D0000}" name="Column7574"/>
    <tableColumn id="7602" xr3:uid="{00000000-0010-0000-2000-0000B21D0000}" name="Column7575"/>
    <tableColumn id="7603" xr3:uid="{00000000-0010-0000-2000-0000B31D0000}" name="Column7576"/>
    <tableColumn id="7604" xr3:uid="{00000000-0010-0000-2000-0000B41D0000}" name="Column7577"/>
    <tableColumn id="7605" xr3:uid="{00000000-0010-0000-2000-0000B51D0000}" name="Column7578"/>
    <tableColumn id="7606" xr3:uid="{00000000-0010-0000-2000-0000B61D0000}" name="Column7579"/>
    <tableColumn id="7607" xr3:uid="{00000000-0010-0000-2000-0000B71D0000}" name="Column7580"/>
    <tableColumn id="7608" xr3:uid="{00000000-0010-0000-2000-0000B81D0000}" name="Column7581"/>
    <tableColumn id="7609" xr3:uid="{00000000-0010-0000-2000-0000B91D0000}" name="Column7582"/>
    <tableColumn id="7610" xr3:uid="{00000000-0010-0000-2000-0000BA1D0000}" name="Column7583"/>
    <tableColumn id="7611" xr3:uid="{00000000-0010-0000-2000-0000BB1D0000}" name="Column7584"/>
    <tableColumn id="7612" xr3:uid="{00000000-0010-0000-2000-0000BC1D0000}" name="Column7585"/>
    <tableColumn id="7613" xr3:uid="{00000000-0010-0000-2000-0000BD1D0000}" name="Column7586"/>
    <tableColumn id="7614" xr3:uid="{00000000-0010-0000-2000-0000BE1D0000}" name="Column7587"/>
    <tableColumn id="7615" xr3:uid="{00000000-0010-0000-2000-0000BF1D0000}" name="Column7588"/>
    <tableColumn id="7616" xr3:uid="{00000000-0010-0000-2000-0000C01D0000}" name="Column7589"/>
    <tableColumn id="7617" xr3:uid="{00000000-0010-0000-2000-0000C11D0000}" name="Column7590"/>
    <tableColumn id="7618" xr3:uid="{00000000-0010-0000-2000-0000C21D0000}" name="Column7591"/>
    <tableColumn id="7619" xr3:uid="{00000000-0010-0000-2000-0000C31D0000}" name="Column7592"/>
    <tableColumn id="7620" xr3:uid="{00000000-0010-0000-2000-0000C41D0000}" name="Column7593"/>
    <tableColumn id="7621" xr3:uid="{00000000-0010-0000-2000-0000C51D0000}" name="Column7594"/>
    <tableColumn id="7622" xr3:uid="{00000000-0010-0000-2000-0000C61D0000}" name="Column7595"/>
    <tableColumn id="7623" xr3:uid="{00000000-0010-0000-2000-0000C71D0000}" name="Column7596"/>
    <tableColumn id="7624" xr3:uid="{00000000-0010-0000-2000-0000C81D0000}" name="Column7597"/>
    <tableColumn id="7625" xr3:uid="{00000000-0010-0000-2000-0000C91D0000}" name="Column7598"/>
    <tableColumn id="7626" xr3:uid="{00000000-0010-0000-2000-0000CA1D0000}" name="Column7599"/>
    <tableColumn id="7627" xr3:uid="{00000000-0010-0000-2000-0000CB1D0000}" name="Column7600"/>
    <tableColumn id="7628" xr3:uid="{00000000-0010-0000-2000-0000CC1D0000}" name="Column7601"/>
    <tableColumn id="7629" xr3:uid="{00000000-0010-0000-2000-0000CD1D0000}" name="Column7602"/>
    <tableColumn id="7630" xr3:uid="{00000000-0010-0000-2000-0000CE1D0000}" name="Column7603"/>
    <tableColumn id="7631" xr3:uid="{00000000-0010-0000-2000-0000CF1D0000}" name="Column7604"/>
    <tableColumn id="7632" xr3:uid="{00000000-0010-0000-2000-0000D01D0000}" name="Column7605"/>
    <tableColumn id="7633" xr3:uid="{00000000-0010-0000-2000-0000D11D0000}" name="Column7606"/>
    <tableColumn id="7634" xr3:uid="{00000000-0010-0000-2000-0000D21D0000}" name="Column7607"/>
    <tableColumn id="7635" xr3:uid="{00000000-0010-0000-2000-0000D31D0000}" name="Column7608"/>
    <tableColumn id="7636" xr3:uid="{00000000-0010-0000-2000-0000D41D0000}" name="Column7609"/>
    <tableColumn id="7637" xr3:uid="{00000000-0010-0000-2000-0000D51D0000}" name="Column7610"/>
    <tableColumn id="7638" xr3:uid="{00000000-0010-0000-2000-0000D61D0000}" name="Column7611"/>
    <tableColumn id="7639" xr3:uid="{00000000-0010-0000-2000-0000D71D0000}" name="Column7612"/>
    <tableColumn id="7640" xr3:uid="{00000000-0010-0000-2000-0000D81D0000}" name="Column7613"/>
    <tableColumn id="7641" xr3:uid="{00000000-0010-0000-2000-0000D91D0000}" name="Column7614"/>
    <tableColumn id="7642" xr3:uid="{00000000-0010-0000-2000-0000DA1D0000}" name="Column7615"/>
    <tableColumn id="7643" xr3:uid="{00000000-0010-0000-2000-0000DB1D0000}" name="Column7616"/>
    <tableColumn id="7644" xr3:uid="{00000000-0010-0000-2000-0000DC1D0000}" name="Column7617"/>
    <tableColumn id="7645" xr3:uid="{00000000-0010-0000-2000-0000DD1D0000}" name="Column7618"/>
    <tableColumn id="7646" xr3:uid="{00000000-0010-0000-2000-0000DE1D0000}" name="Column7619"/>
    <tableColumn id="7647" xr3:uid="{00000000-0010-0000-2000-0000DF1D0000}" name="Column7620"/>
    <tableColumn id="7648" xr3:uid="{00000000-0010-0000-2000-0000E01D0000}" name="Column7621"/>
    <tableColumn id="7649" xr3:uid="{00000000-0010-0000-2000-0000E11D0000}" name="Column7622"/>
    <tableColumn id="7650" xr3:uid="{00000000-0010-0000-2000-0000E21D0000}" name="Column7623"/>
    <tableColumn id="7651" xr3:uid="{00000000-0010-0000-2000-0000E31D0000}" name="Column7624"/>
    <tableColumn id="7652" xr3:uid="{00000000-0010-0000-2000-0000E41D0000}" name="Column7625"/>
    <tableColumn id="7653" xr3:uid="{00000000-0010-0000-2000-0000E51D0000}" name="Column7626"/>
    <tableColumn id="7654" xr3:uid="{00000000-0010-0000-2000-0000E61D0000}" name="Column7627"/>
    <tableColumn id="7655" xr3:uid="{00000000-0010-0000-2000-0000E71D0000}" name="Column7628"/>
    <tableColumn id="7656" xr3:uid="{00000000-0010-0000-2000-0000E81D0000}" name="Column7629"/>
    <tableColumn id="7657" xr3:uid="{00000000-0010-0000-2000-0000E91D0000}" name="Column7630"/>
    <tableColumn id="7658" xr3:uid="{00000000-0010-0000-2000-0000EA1D0000}" name="Column7631"/>
    <tableColumn id="7659" xr3:uid="{00000000-0010-0000-2000-0000EB1D0000}" name="Column7632"/>
    <tableColumn id="7660" xr3:uid="{00000000-0010-0000-2000-0000EC1D0000}" name="Column7633"/>
    <tableColumn id="7661" xr3:uid="{00000000-0010-0000-2000-0000ED1D0000}" name="Column7634"/>
    <tableColumn id="7662" xr3:uid="{00000000-0010-0000-2000-0000EE1D0000}" name="Column7635"/>
    <tableColumn id="7663" xr3:uid="{00000000-0010-0000-2000-0000EF1D0000}" name="Column7636"/>
    <tableColumn id="7664" xr3:uid="{00000000-0010-0000-2000-0000F01D0000}" name="Column7637"/>
    <tableColumn id="7665" xr3:uid="{00000000-0010-0000-2000-0000F11D0000}" name="Column7638"/>
    <tableColumn id="7666" xr3:uid="{00000000-0010-0000-2000-0000F21D0000}" name="Column7639"/>
    <tableColumn id="7667" xr3:uid="{00000000-0010-0000-2000-0000F31D0000}" name="Column7640"/>
    <tableColumn id="7668" xr3:uid="{00000000-0010-0000-2000-0000F41D0000}" name="Column7641"/>
    <tableColumn id="7669" xr3:uid="{00000000-0010-0000-2000-0000F51D0000}" name="Column7642"/>
    <tableColumn id="7670" xr3:uid="{00000000-0010-0000-2000-0000F61D0000}" name="Column7643"/>
    <tableColumn id="7671" xr3:uid="{00000000-0010-0000-2000-0000F71D0000}" name="Column7644"/>
    <tableColumn id="7672" xr3:uid="{00000000-0010-0000-2000-0000F81D0000}" name="Column7645"/>
    <tableColumn id="7673" xr3:uid="{00000000-0010-0000-2000-0000F91D0000}" name="Column7646"/>
    <tableColumn id="7674" xr3:uid="{00000000-0010-0000-2000-0000FA1D0000}" name="Column7647"/>
    <tableColumn id="7675" xr3:uid="{00000000-0010-0000-2000-0000FB1D0000}" name="Column7648"/>
    <tableColumn id="7676" xr3:uid="{00000000-0010-0000-2000-0000FC1D0000}" name="Column7649"/>
    <tableColumn id="7677" xr3:uid="{00000000-0010-0000-2000-0000FD1D0000}" name="Column7650"/>
    <tableColumn id="7678" xr3:uid="{00000000-0010-0000-2000-0000FE1D0000}" name="Column7651"/>
    <tableColumn id="7679" xr3:uid="{00000000-0010-0000-2000-0000FF1D0000}" name="Column7652"/>
    <tableColumn id="7680" xr3:uid="{00000000-0010-0000-2000-0000001E0000}" name="Column7653"/>
    <tableColumn id="7681" xr3:uid="{00000000-0010-0000-2000-0000011E0000}" name="Column7654"/>
    <tableColumn id="7682" xr3:uid="{00000000-0010-0000-2000-0000021E0000}" name="Column7655"/>
    <tableColumn id="7683" xr3:uid="{00000000-0010-0000-2000-0000031E0000}" name="Column7656"/>
    <tableColumn id="7684" xr3:uid="{00000000-0010-0000-2000-0000041E0000}" name="Column7657"/>
    <tableColumn id="7685" xr3:uid="{00000000-0010-0000-2000-0000051E0000}" name="Column7658"/>
    <tableColumn id="7686" xr3:uid="{00000000-0010-0000-2000-0000061E0000}" name="Column7659"/>
    <tableColumn id="7687" xr3:uid="{00000000-0010-0000-2000-0000071E0000}" name="Column7660"/>
    <tableColumn id="7688" xr3:uid="{00000000-0010-0000-2000-0000081E0000}" name="Column7661"/>
    <tableColumn id="7689" xr3:uid="{00000000-0010-0000-2000-0000091E0000}" name="Column7662"/>
    <tableColumn id="7690" xr3:uid="{00000000-0010-0000-2000-00000A1E0000}" name="Column7663"/>
    <tableColumn id="7691" xr3:uid="{00000000-0010-0000-2000-00000B1E0000}" name="Column7664"/>
    <tableColumn id="7692" xr3:uid="{00000000-0010-0000-2000-00000C1E0000}" name="Column7665"/>
    <tableColumn id="7693" xr3:uid="{00000000-0010-0000-2000-00000D1E0000}" name="Column7666"/>
    <tableColumn id="7694" xr3:uid="{00000000-0010-0000-2000-00000E1E0000}" name="Column7667"/>
    <tableColumn id="7695" xr3:uid="{00000000-0010-0000-2000-00000F1E0000}" name="Column7668"/>
    <tableColumn id="7696" xr3:uid="{00000000-0010-0000-2000-0000101E0000}" name="Column7669"/>
    <tableColumn id="7697" xr3:uid="{00000000-0010-0000-2000-0000111E0000}" name="Column7670"/>
    <tableColumn id="7698" xr3:uid="{00000000-0010-0000-2000-0000121E0000}" name="Column7671"/>
    <tableColumn id="7699" xr3:uid="{00000000-0010-0000-2000-0000131E0000}" name="Column7672"/>
    <tableColumn id="7700" xr3:uid="{00000000-0010-0000-2000-0000141E0000}" name="Column7673"/>
    <tableColumn id="7701" xr3:uid="{00000000-0010-0000-2000-0000151E0000}" name="Column7674"/>
    <tableColumn id="7702" xr3:uid="{00000000-0010-0000-2000-0000161E0000}" name="Column7675"/>
    <tableColumn id="7703" xr3:uid="{00000000-0010-0000-2000-0000171E0000}" name="Column7676"/>
    <tableColumn id="7704" xr3:uid="{00000000-0010-0000-2000-0000181E0000}" name="Column7677"/>
    <tableColumn id="7705" xr3:uid="{00000000-0010-0000-2000-0000191E0000}" name="Column7678"/>
    <tableColumn id="7706" xr3:uid="{00000000-0010-0000-2000-00001A1E0000}" name="Column7679"/>
    <tableColumn id="7707" xr3:uid="{00000000-0010-0000-2000-00001B1E0000}" name="Column7680"/>
    <tableColumn id="7708" xr3:uid="{00000000-0010-0000-2000-00001C1E0000}" name="Column7681"/>
    <tableColumn id="7709" xr3:uid="{00000000-0010-0000-2000-00001D1E0000}" name="Column7682"/>
    <tableColumn id="7710" xr3:uid="{00000000-0010-0000-2000-00001E1E0000}" name="Column7683"/>
    <tableColumn id="7711" xr3:uid="{00000000-0010-0000-2000-00001F1E0000}" name="Column7684"/>
    <tableColumn id="7712" xr3:uid="{00000000-0010-0000-2000-0000201E0000}" name="Column7685"/>
    <tableColumn id="7713" xr3:uid="{00000000-0010-0000-2000-0000211E0000}" name="Column7686"/>
    <tableColumn id="7714" xr3:uid="{00000000-0010-0000-2000-0000221E0000}" name="Column7687"/>
    <tableColumn id="7715" xr3:uid="{00000000-0010-0000-2000-0000231E0000}" name="Column7688"/>
    <tableColumn id="7716" xr3:uid="{00000000-0010-0000-2000-0000241E0000}" name="Column7689"/>
    <tableColumn id="7717" xr3:uid="{00000000-0010-0000-2000-0000251E0000}" name="Column7690"/>
    <tableColumn id="7718" xr3:uid="{00000000-0010-0000-2000-0000261E0000}" name="Column7691"/>
    <tableColumn id="7719" xr3:uid="{00000000-0010-0000-2000-0000271E0000}" name="Column7692"/>
    <tableColumn id="7720" xr3:uid="{00000000-0010-0000-2000-0000281E0000}" name="Column7693"/>
    <tableColumn id="7721" xr3:uid="{00000000-0010-0000-2000-0000291E0000}" name="Column7694"/>
    <tableColumn id="7722" xr3:uid="{00000000-0010-0000-2000-00002A1E0000}" name="Column7695"/>
    <tableColumn id="7723" xr3:uid="{00000000-0010-0000-2000-00002B1E0000}" name="Column7696"/>
    <tableColumn id="7724" xr3:uid="{00000000-0010-0000-2000-00002C1E0000}" name="Column7697"/>
    <tableColumn id="7725" xr3:uid="{00000000-0010-0000-2000-00002D1E0000}" name="Column7698"/>
    <tableColumn id="7726" xr3:uid="{00000000-0010-0000-2000-00002E1E0000}" name="Column7699"/>
    <tableColumn id="7727" xr3:uid="{00000000-0010-0000-2000-00002F1E0000}" name="Column7700"/>
    <tableColumn id="7728" xr3:uid="{00000000-0010-0000-2000-0000301E0000}" name="Column7701"/>
    <tableColumn id="7729" xr3:uid="{00000000-0010-0000-2000-0000311E0000}" name="Column7702"/>
    <tableColumn id="7730" xr3:uid="{00000000-0010-0000-2000-0000321E0000}" name="Column7703"/>
    <tableColumn id="7731" xr3:uid="{00000000-0010-0000-2000-0000331E0000}" name="Column7704"/>
    <tableColumn id="7732" xr3:uid="{00000000-0010-0000-2000-0000341E0000}" name="Column7705"/>
    <tableColumn id="7733" xr3:uid="{00000000-0010-0000-2000-0000351E0000}" name="Column7706"/>
    <tableColumn id="7734" xr3:uid="{00000000-0010-0000-2000-0000361E0000}" name="Column7707"/>
    <tableColumn id="7735" xr3:uid="{00000000-0010-0000-2000-0000371E0000}" name="Column7708"/>
    <tableColumn id="7736" xr3:uid="{00000000-0010-0000-2000-0000381E0000}" name="Column7709"/>
    <tableColumn id="7737" xr3:uid="{00000000-0010-0000-2000-0000391E0000}" name="Column7710"/>
    <tableColumn id="7738" xr3:uid="{00000000-0010-0000-2000-00003A1E0000}" name="Column7711"/>
    <tableColumn id="7739" xr3:uid="{00000000-0010-0000-2000-00003B1E0000}" name="Column7712"/>
    <tableColumn id="7740" xr3:uid="{00000000-0010-0000-2000-00003C1E0000}" name="Column7713"/>
    <tableColumn id="7741" xr3:uid="{00000000-0010-0000-2000-00003D1E0000}" name="Column7714"/>
    <tableColumn id="7742" xr3:uid="{00000000-0010-0000-2000-00003E1E0000}" name="Column7715"/>
    <tableColumn id="7743" xr3:uid="{00000000-0010-0000-2000-00003F1E0000}" name="Column7716"/>
    <tableColumn id="7744" xr3:uid="{00000000-0010-0000-2000-0000401E0000}" name="Column7717"/>
    <tableColumn id="7745" xr3:uid="{00000000-0010-0000-2000-0000411E0000}" name="Column7718"/>
    <tableColumn id="7746" xr3:uid="{00000000-0010-0000-2000-0000421E0000}" name="Column7719"/>
    <tableColumn id="7747" xr3:uid="{00000000-0010-0000-2000-0000431E0000}" name="Column7720"/>
    <tableColumn id="7748" xr3:uid="{00000000-0010-0000-2000-0000441E0000}" name="Column7721"/>
    <tableColumn id="7749" xr3:uid="{00000000-0010-0000-2000-0000451E0000}" name="Column7722"/>
    <tableColumn id="7750" xr3:uid="{00000000-0010-0000-2000-0000461E0000}" name="Column7723"/>
    <tableColumn id="7751" xr3:uid="{00000000-0010-0000-2000-0000471E0000}" name="Column7724"/>
    <tableColumn id="7752" xr3:uid="{00000000-0010-0000-2000-0000481E0000}" name="Column7725"/>
    <tableColumn id="7753" xr3:uid="{00000000-0010-0000-2000-0000491E0000}" name="Column7726"/>
    <tableColumn id="7754" xr3:uid="{00000000-0010-0000-2000-00004A1E0000}" name="Column7727"/>
    <tableColumn id="7755" xr3:uid="{00000000-0010-0000-2000-00004B1E0000}" name="Column7728"/>
    <tableColumn id="7756" xr3:uid="{00000000-0010-0000-2000-00004C1E0000}" name="Column7729"/>
    <tableColumn id="7757" xr3:uid="{00000000-0010-0000-2000-00004D1E0000}" name="Column7730"/>
    <tableColumn id="7758" xr3:uid="{00000000-0010-0000-2000-00004E1E0000}" name="Column7731"/>
    <tableColumn id="7759" xr3:uid="{00000000-0010-0000-2000-00004F1E0000}" name="Column7732"/>
    <tableColumn id="7760" xr3:uid="{00000000-0010-0000-2000-0000501E0000}" name="Column7733"/>
    <tableColumn id="7761" xr3:uid="{00000000-0010-0000-2000-0000511E0000}" name="Column7734"/>
    <tableColumn id="7762" xr3:uid="{00000000-0010-0000-2000-0000521E0000}" name="Column7735"/>
    <tableColumn id="7763" xr3:uid="{00000000-0010-0000-2000-0000531E0000}" name="Column7736"/>
    <tableColumn id="7764" xr3:uid="{00000000-0010-0000-2000-0000541E0000}" name="Column7737"/>
    <tableColumn id="7765" xr3:uid="{00000000-0010-0000-2000-0000551E0000}" name="Column7738"/>
    <tableColumn id="7766" xr3:uid="{00000000-0010-0000-2000-0000561E0000}" name="Column7739"/>
    <tableColumn id="7767" xr3:uid="{00000000-0010-0000-2000-0000571E0000}" name="Column7740"/>
    <tableColumn id="7768" xr3:uid="{00000000-0010-0000-2000-0000581E0000}" name="Column7741"/>
    <tableColumn id="7769" xr3:uid="{00000000-0010-0000-2000-0000591E0000}" name="Column7742"/>
    <tableColumn id="7770" xr3:uid="{00000000-0010-0000-2000-00005A1E0000}" name="Column7743"/>
    <tableColumn id="7771" xr3:uid="{00000000-0010-0000-2000-00005B1E0000}" name="Column7744"/>
    <tableColumn id="7772" xr3:uid="{00000000-0010-0000-2000-00005C1E0000}" name="Column7745"/>
    <tableColumn id="7773" xr3:uid="{00000000-0010-0000-2000-00005D1E0000}" name="Column7746"/>
    <tableColumn id="7774" xr3:uid="{00000000-0010-0000-2000-00005E1E0000}" name="Column7747"/>
    <tableColumn id="7775" xr3:uid="{00000000-0010-0000-2000-00005F1E0000}" name="Column7748"/>
    <tableColumn id="7776" xr3:uid="{00000000-0010-0000-2000-0000601E0000}" name="Column7749"/>
    <tableColumn id="7777" xr3:uid="{00000000-0010-0000-2000-0000611E0000}" name="Column7750"/>
    <tableColumn id="7778" xr3:uid="{00000000-0010-0000-2000-0000621E0000}" name="Column7751"/>
    <tableColumn id="7779" xr3:uid="{00000000-0010-0000-2000-0000631E0000}" name="Column7752"/>
    <tableColumn id="7780" xr3:uid="{00000000-0010-0000-2000-0000641E0000}" name="Column7753"/>
    <tableColumn id="7781" xr3:uid="{00000000-0010-0000-2000-0000651E0000}" name="Column7754"/>
    <tableColumn id="7782" xr3:uid="{00000000-0010-0000-2000-0000661E0000}" name="Column7755"/>
    <tableColumn id="7783" xr3:uid="{00000000-0010-0000-2000-0000671E0000}" name="Column7756"/>
    <tableColumn id="7784" xr3:uid="{00000000-0010-0000-2000-0000681E0000}" name="Column7757"/>
    <tableColumn id="7785" xr3:uid="{00000000-0010-0000-2000-0000691E0000}" name="Column7758"/>
    <tableColumn id="7786" xr3:uid="{00000000-0010-0000-2000-00006A1E0000}" name="Column7759"/>
    <tableColumn id="7787" xr3:uid="{00000000-0010-0000-2000-00006B1E0000}" name="Column7760"/>
    <tableColumn id="7788" xr3:uid="{00000000-0010-0000-2000-00006C1E0000}" name="Column7761"/>
    <tableColumn id="7789" xr3:uid="{00000000-0010-0000-2000-00006D1E0000}" name="Column7762"/>
    <tableColumn id="7790" xr3:uid="{00000000-0010-0000-2000-00006E1E0000}" name="Column7763"/>
    <tableColumn id="7791" xr3:uid="{00000000-0010-0000-2000-00006F1E0000}" name="Column7764"/>
    <tableColumn id="7792" xr3:uid="{00000000-0010-0000-2000-0000701E0000}" name="Column7765"/>
    <tableColumn id="7793" xr3:uid="{00000000-0010-0000-2000-0000711E0000}" name="Column7766"/>
    <tableColumn id="7794" xr3:uid="{00000000-0010-0000-2000-0000721E0000}" name="Column7767"/>
    <tableColumn id="7795" xr3:uid="{00000000-0010-0000-2000-0000731E0000}" name="Column7768"/>
    <tableColumn id="7796" xr3:uid="{00000000-0010-0000-2000-0000741E0000}" name="Column7769"/>
    <tableColumn id="7797" xr3:uid="{00000000-0010-0000-2000-0000751E0000}" name="Column7770"/>
    <tableColumn id="7798" xr3:uid="{00000000-0010-0000-2000-0000761E0000}" name="Column7771"/>
    <tableColumn id="7799" xr3:uid="{00000000-0010-0000-2000-0000771E0000}" name="Column7772"/>
    <tableColumn id="7800" xr3:uid="{00000000-0010-0000-2000-0000781E0000}" name="Column7773"/>
    <tableColumn id="7801" xr3:uid="{00000000-0010-0000-2000-0000791E0000}" name="Column7774"/>
    <tableColumn id="7802" xr3:uid="{00000000-0010-0000-2000-00007A1E0000}" name="Column7775"/>
    <tableColumn id="7803" xr3:uid="{00000000-0010-0000-2000-00007B1E0000}" name="Column7776"/>
    <tableColumn id="7804" xr3:uid="{00000000-0010-0000-2000-00007C1E0000}" name="Column7777"/>
    <tableColumn id="7805" xr3:uid="{00000000-0010-0000-2000-00007D1E0000}" name="Column7778"/>
    <tableColumn id="7806" xr3:uid="{00000000-0010-0000-2000-00007E1E0000}" name="Column7779"/>
    <tableColumn id="7807" xr3:uid="{00000000-0010-0000-2000-00007F1E0000}" name="Column7780"/>
    <tableColumn id="7808" xr3:uid="{00000000-0010-0000-2000-0000801E0000}" name="Column7781"/>
    <tableColumn id="7809" xr3:uid="{00000000-0010-0000-2000-0000811E0000}" name="Column7782"/>
    <tableColumn id="7810" xr3:uid="{00000000-0010-0000-2000-0000821E0000}" name="Column7783"/>
    <tableColumn id="7811" xr3:uid="{00000000-0010-0000-2000-0000831E0000}" name="Column7784"/>
    <tableColumn id="7812" xr3:uid="{00000000-0010-0000-2000-0000841E0000}" name="Column7785"/>
    <tableColumn id="7813" xr3:uid="{00000000-0010-0000-2000-0000851E0000}" name="Column7786"/>
    <tableColumn id="7814" xr3:uid="{00000000-0010-0000-2000-0000861E0000}" name="Column7787"/>
    <tableColumn id="7815" xr3:uid="{00000000-0010-0000-2000-0000871E0000}" name="Column7788"/>
    <tableColumn id="7816" xr3:uid="{00000000-0010-0000-2000-0000881E0000}" name="Column7789"/>
    <tableColumn id="7817" xr3:uid="{00000000-0010-0000-2000-0000891E0000}" name="Column7790"/>
    <tableColumn id="7818" xr3:uid="{00000000-0010-0000-2000-00008A1E0000}" name="Column7791"/>
    <tableColumn id="7819" xr3:uid="{00000000-0010-0000-2000-00008B1E0000}" name="Column7792"/>
    <tableColumn id="7820" xr3:uid="{00000000-0010-0000-2000-00008C1E0000}" name="Column7793"/>
    <tableColumn id="7821" xr3:uid="{00000000-0010-0000-2000-00008D1E0000}" name="Column7794"/>
    <tableColumn id="7822" xr3:uid="{00000000-0010-0000-2000-00008E1E0000}" name="Column7795"/>
    <tableColumn id="7823" xr3:uid="{00000000-0010-0000-2000-00008F1E0000}" name="Column7796"/>
    <tableColumn id="7824" xr3:uid="{00000000-0010-0000-2000-0000901E0000}" name="Column7797"/>
    <tableColumn id="7825" xr3:uid="{00000000-0010-0000-2000-0000911E0000}" name="Column7798"/>
    <tableColumn id="7826" xr3:uid="{00000000-0010-0000-2000-0000921E0000}" name="Column7799"/>
    <tableColumn id="7827" xr3:uid="{00000000-0010-0000-2000-0000931E0000}" name="Column7800"/>
    <tableColumn id="7828" xr3:uid="{00000000-0010-0000-2000-0000941E0000}" name="Column7801"/>
    <tableColumn id="7829" xr3:uid="{00000000-0010-0000-2000-0000951E0000}" name="Column7802"/>
    <tableColumn id="7830" xr3:uid="{00000000-0010-0000-2000-0000961E0000}" name="Column7803"/>
    <tableColumn id="7831" xr3:uid="{00000000-0010-0000-2000-0000971E0000}" name="Column7804"/>
    <tableColumn id="7832" xr3:uid="{00000000-0010-0000-2000-0000981E0000}" name="Column7805"/>
    <tableColumn id="7833" xr3:uid="{00000000-0010-0000-2000-0000991E0000}" name="Column7806"/>
    <tableColumn id="7834" xr3:uid="{00000000-0010-0000-2000-00009A1E0000}" name="Column7807"/>
    <tableColumn id="7835" xr3:uid="{00000000-0010-0000-2000-00009B1E0000}" name="Column7808"/>
    <tableColumn id="7836" xr3:uid="{00000000-0010-0000-2000-00009C1E0000}" name="Column7809"/>
    <tableColumn id="7837" xr3:uid="{00000000-0010-0000-2000-00009D1E0000}" name="Column7810"/>
    <tableColumn id="7838" xr3:uid="{00000000-0010-0000-2000-00009E1E0000}" name="Column7811"/>
    <tableColumn id="7839" xr3:uid="{00000000-0010-0000-2000-00009F1E0000}" name="Column7812"/>
    <tableColumn id="7840" xr3:uid="{00000000-0010-0000-2000-0000A01E0000}" name="Column7813"/>
    <tableColumn id="7841" xr3:uid="{00000000-0010-0000-2000-0000A11E0000}" name="Column7814"/>
    <tableColumn id="7842" xr3:uid="{00000000-0010-0000-2000-0000A21E0000}" name="Column7815"/>
    <tableColumn id="7843" xr3:uid="{00000000-0010-0000-2000-0000A31E0000}" name="Column7816"/>
    <tableColumn id="7844" xr3:uid="{00000000-0010-0000-2000-0000A41E0000}" name="Column7817"/>
    <tableColumn id="7845" xr3:uid="{00000000-0010-0000-2000-0000A51E0000}" name="Column7818"/>
    <tableColumn id="7846" xr3:uid="{00000000-0010-0000-2000-0000A61E0000}" name="Column7819"/>
    <tableColumn id="7847" xr3:uid="{00000000-0010-0000-2000-0000A71E0000}" name="Column7820"/>
    <tableColumn id="7848" xr3:uid="{00000000-0010-0000-2000-0000A81E0000}" name="Column7821"/>
    <tableColumn id="7849" xr3:uid="{00000000-0010-0000-2000-0000A91E0000}" name="Column7822"/>
    <tableColumn id="7850" xr3:uid="{00000000-0010-0000-2000-0000AA1E0000}" name="Column7823"/>
    <tableColumn id="7851" xr3:uid="{00000000-0010-0000-2000-0000AB1E0000}" name="Column7824"/>
    <tableColumn id="7852" xr3:uid="{00000000-0010-0000-2000-0000AC1E0000}" name="Column7825"/>
    <tableColumn id="7853" xr3:uid="{00000000-0010-0000-2000-0000AD1E0000}" name="Column7826"/>
    <tableColumn id="7854" xr3:uid="{00000000-0010-0000-2000-0000AE1E0000}" name="Column7827"/>
    <tableColumn id="7855" xr3:uid="{00000000-0010-0000-2000-0000AF1E0000}" name="Column7828"/>
    <tableColumn id="7856" xr3:uid="{00000000-0010-0000-2000-0000B01E0000}" name="Column7829"/>
    <tableColumn id="7857" xr3:uid="{00000000-0010-0000-2000-0000B11E0000}" name="Column7830"/>
    <tableColumn id="7858" xr3:uid="{00000000-0010-0000-2000-0000B21E0000}" name="Column7831"/>
    <tableColumn id="7859" xr3:uid="{00000000-0010-0000-2000-0000B31E0000}" name="Column7832"/>
    <tableColumn id="7860" xr3:uid="{00000000-0010-0000-2000-0000B41E0000}" name="Column7833"/>
    <tableColumn id="7861" xr3:uid="{00000000-0010-0000-2000-0000B51E0000}" name="Column7834"/>
    <tableColumn id="7862" xr3:uid="{00000000-0010-0000-2000-0000B61E0000}" name="Column7835"/>
    <tableColumn id="7863" xr3:uid="{00000000-0010-0000-2000-0000B71E0000}" name="Column7836"/>
    <tableColumn id="7864" xr3:uid="{00000000-0010-0000-2000-0000B81E0000}" name="Column7837"/>
    <tableColumn id="7865" xr3:uid="{00000000-0010-0000-2000-0000B91E0000}" name="Column7838"/>
    <tableColumn id="7866" xr3:uid="{00000000-0010-0000-2000-0000BA1E0000}" name="Column7839"/>
    <tableColumn id="7867" xr3:uid="{00000000-0010-0000-2000-0000BB1E0000}" name="Column7840"/>
    <tableColumn id="7868" xr3:uid="{00000000-0010-0000-2000-0000BC1E0000}" name="Column7841"/>
    <tableColumn id="7869" xr3:uid="{00000000-0010-0000-2000-0000BD1E0000}" name="Column7842"/>
    <tableColumn id="7870" xr3:uid="{00000000-0010-0000-2000-0000BE1E0000}" name="Column7843"/>
    <tableColumn id="7871" xr3:uid="{00000000-0010-0000-2000-0000BF1E0000}" name="Column7844"/>
    <tableColumn id="7872" xr3:uid="{00000000-0010-0000-2000-0000C01E0000}" name="Column7845"/>
    <tableColumn id="7873" xr3:uid="{00000000-0010-0000-2000-0000C11E0000}" name="Column7846"/>
    <tableColumn id="7874" xr3:uid="{00000000-0010-0000-2000-0000C21E0000}" name="Column7847"/>
    <tableColumn id="7875" xr3:uid="{00000000-0010-0000-2000-0000C31E0000}" name="Column7848"/>
    <tableColumn id="7876" xr3:uid="{00000000-0010-0000-2000-0000C41E0000}" name="Column7849"/>
    <tableColumn id="7877" xr3:uid="{00000000-0010-0000-2000-0000C51E0000}" name="Column7850"/>
    <tableColumn id="7878" xr3:uid="{00000000-0010-0000-2000-0000C61E0000}" name="Column7851"/>
    <tableColumn id="7879" xr3:uid="{00000000-0010-0000-2000-0000C71E0000}" name="Column7852"/>
    <tableColumn id="7880" xr3:uid="{00000000-0010-0000-2000-0000C81E0000}" name="Column7853"/>
    <tableColumn id="7881" xr3:uid="{00000000-0010-0000-2000-0000C91E0000}" name="Column7854"/>
    <tableColumn id="7882" xr3:uid="{00000000-0010-0000-2000-0000CA1E0000}" name="Column7855"/>
    <tableColumn id="7883" xr3:uid="{00000000-0010-0000-2000-0000CB1E0000}" name="Column7856"/>
    <tableColumn id="7884" xr3:uid="{00000000-0010-0000-2000-0000CC1E0000}" name="Column7857"/>
    <tableColumn id="7885" xr3:uid="{00000000-0010-0000-2000-0000CD1E0000}" name="Column7858"/>
    <tableColumn id="7886" xr3:uid="{00000000-0010-0000-2000-0000CE1E0000}" name="Column7859"/>
    <tableColumn id="7887" xr3:uid="{00000000-0010-0000-2000-0000CF1E0000}" name="Column7860"/>
    <tableColumn id="7888" xr3:uid="{00000000-0010-0000-2000-0000D01E0000}" name="Column7861"/>
    <tableColumn id="7889" xr3:uid="{00000000-0010-0000-2000-0000D11E0000}" name="Column7862"/>
    <tableColumn id="7890" xr3:uid="{00000000-0010-0000-2000-0000D21E0000}" name="Column7863"/>
    <tableColumn id="7891" xr3:uid="{00000000-0010-0000-2000-0000D31E0000}" name="Column7864"/>
    <tableColumn id="7892" xr3:uid="{00000000-0010-0000-2000-0000D41E0000}" name="Column7865"/>
    <tableColumn id="7893" xr3:uid="{00000000-0010-0000-2000-0000D51E0000}" name="Column7866"/>
    <tableColumn id="7894" xr3:uid="{00000000-0010-0000-2000-0000D61E0000}" name="Column7867"/>
    <tableColumn id="7895" xr3:uid="{00000000-0010-0000-2000-0000D71E0000}" name="Column7868"/>
    <tableColumn id="7896" xr3:uid="{00000000-0010-0000-2000-0000D81E0000}" name="Column7869"/>
    <tableColumn id="7897" xr3:uid="{00000000-0010-0000-2000-0000D91E0000}" name="Column7870"/>
    <tableColumn id="7898" xr3:uid="{00000000-0010-0000-2000-0000DA1E0000}" name="Column7871"/>
    <tableColumn id="7899" xr3:uid="{00000000-0010-0000-2000-0000DB1E0000}" name="Column7872"/>
    <tableColumn id="7900" xr3:uid="{00000000-0010-0000-2000-0000DC1E0000}" name="Column7873"/>
    <tableColumn id="7901" xr3:uid="{00000000-0010-0000-2000-0000DD1E0000}" name="Column7874"/>
    <tableColumn id="7902" xr3:uid="{00000000-0010-0000-2000-0000DE1E0000}" name="Column7875"/>
    <tableColumn id="7903" xr3:uid="{00000000-0010-0000-2000-0000DF1E0000}" name="Column7876"/>
    <tableColumn id="7904" xr3:uid="{00000000-0010-0000-2000-0000E01E0000}" name="Column7877"/>
    <tableColumn id="7905" xr3:uid="{00000000-0010-0000-2000-0000E11E0000}" name="Column7878"/>
    <tableColumn id="7906" xr3:uid="{00000000-0010-0000-2000-0000E21E0000}" name="Column7879"/>
    <tableColumn id="7907" xr3:uid="{00000000-0010-0000-2000-0000E31E0000}" name="Column7880"/>
    <tableColumn id="7908" xr3:uid="{00000000-0010-0000-2000-0000E41E0000}" name="Column7881"/>
    <tableColumn id="7909" xr3:uid="{00000000-0010-0000-2000-0000E51E0000}" name="Column7882"/>
    <tableColumn id="7910" xr3:uid="{00000000-0010-0000-2000-0000E61E0000}" name="Column7883"/>
    <tableColumn id="7911" xr3:uid="{00000000-0010-0000-2000-0000E71E0000}" name="Column7884"/>
    <tableColumn id="7912" xr3:uid="{00000000-0010-0000-2000-0000E81E0000}" name="Column7885"/>
    <tableColumn id="7913" xr3:uid="{00000000-0010-0000-2000-0000E91E0000}" name="Column7886"/>
    <tableColumn id="7914" xr3:uid="{00000000-0010-0000-2000-0000EA1E0000}" name="Column7887"/>
    <tableColumn id="7915" xr3:uid="{00000000-0010-0000-2000-0000EB1E0000}" name="Column7888"/>
    <tableColumn id="7916" xr3:uid="{00000000-0010-0000-2000-0000EC1E0000}" name="Column7889"/>
    <tableColumn id="7917" xr3:uid="{00000000-0010-0000-2000-0000ED1E0000}" name="Column7890"/>
    <tableColumn id="7918" xr3:uid="{00000000-0010-0000-2000-0000EE1E0000}" name="Column7891"/>
    <tableColumn id="7919" xr3:uid="{00000000-0010-0000-2000-0000EF1E0000}" name="Column7892"/>
    <tableColumn id="7920" xr3:uid="{00000000-0010-0000-2000-0000F01E0000}" name="Column7893"/>
    <tableColumn id="7921" xr3:uid="{00000000-0010-0000-2000-0000F11E0000}" name="Column7894"/>
    <tableColumn id="7922" xr3:uid="{00000000-0010-0000-2000-0000F21E0000}" name="Column7895"/>
    <tableColumn id="7923" xr3:uid="{00000000-0010-0000-2000-0000F31E0000}" name="Column7896"/>
    <tableColumn id="7924" xr3:uid="{00000000-0010-0000-2000-0000F41E0000}" name="Column7897"/>
    <tableColumn id="7925" xr3:uid="{00000000-0010-0000-2000-0000F51E0000}" name="Column7898"/>
    <tableColumn id="7926" xr3:uid="{00000000-0010-0000-2000-0000F61E0000}" name="Column7899"/>
    <tableColumn id="7927" xr3:uid="{00000000-0010-0000-2000-0000F71E0000}" name="Column7900"/>
    <tableColumn id="7928" xr3:uid="{00000000-0010-0000-2000-0000F81E0000}" name="Column7901"/>
    <tableColumn id="7929" xr3:uid="{00000000-0010-0000-2000-0000F91E0000}" name="Column7902"/>
    <tableColumn id="7930" xr3:uid="{00000000-0010-0000-2000-0000FA1E0000}" name="Column7903"/>
    <tableColumn id="7931" xr3:uid="{00000000-0010-0000-2000-0000FB1E0000}" name="Column7904"/>
    <tableColumn id="7932" xr3:uid="{00000000-0010-0000-2000-0000FC1E0000}" name="Column7905"/>
    <tableColumn id="7933" xr3:uid="{00000000-0010-0000-2000-0000FD1E0000}" name="Column7906"/>
    <tableColumn id="7934" xr3:uid="{00000000-0010-0000-2000-0000FE1E0000}" name="Column7907"/>
    <tableColumn id="7935" xr3:uid="{00000000-0010-0000-2000-0000FF1E0000}" name="Column7908"/>
    <tableColumn id="7936" xr3:uid="{00000000-0010-0000-2000-0000001F0000}" name="Column7909"/>
    <tableColumn id="7937" xr3:uid="{00000000-0010-0000-2000-0000011F0000}" name="Column7910"/>
    <tableColumn id="7938" xr3:uid="{00000000-0010-0000-2000-0000021F0000}" name="Column7911"/>
    <tableColumn id="7939" xr3:uid="{00000000-0010-0000-2000-0000031F0000}" name="Column7912"/>
    <tableColumn id="7940" xr3:uid="{00000000-0010-0000-2000-0000041F0000}" name="Column7913"/>
    <tableColumn id="7941" xr3:uid="{00000000-0010-0000-2000-0000051F0000}" name="Column7914"/>
    <tableColumn id="7942" xr3:uid="{00000000-0010-0000-2000-0000061F0000}" name="Column7915"/>
    <tableColumn id="7943" xr3:uid="{00000000-0010-0000-2000-0000071F0000}" name="Column7916"/>
    <tableColumn id="7944" xr3:uid="{00000000-0010-0000-2000-0000081F0000}" name="Column7917"/>
    <tableColumn id="7945" xr3:uid="{00000000-0010-0000-2000-0000091F0000}" name="Column7918"/>
    <tableColumn id="7946" xr3:uid="{00000000-0010-0000-2000-00000A1F0000}" name="Column7919"/>
    <tableColumn id="7947" xr3:uid="{00000000-0010-0000-2000-00000B1F0000}" name="Column7920"/>
    <tableColumn id="7948" xr3:uid="{00000000-0010-0000-2000-00000C1F0000}" name="Column7921"/>
    <tableColumn id="7949" xr3:uid="{00000000-0010-0000-2000-00000D1F0000}" name="Column7922"/>
    <tableColumn id="7950" xr3:uid="{00000000-0010-0000-2000-00000E1F0000}" name="Column7923"/>
    <tableColumn id="7951" xr3:uid="{00000000-0010-0000-2000-00000F1F0000}" name="Column7924"/>
    <tableColumn id="7952" xr3:uid="{00000000-0010-0000-2000-0000101F0000}" name="Column7925"/>
    <tableColumn id="7953" xr3:uid="{00000000-0010-0000-2000-0000111F0000}" name="Column7926"/>
    <tableColumn id="7954" xr3:uid="{00000000-0010-0000-2000-0000121F0000}" name="Column7927"/>
    <tableColumn id="7955" xr3:uid="{00000000-0010-0000-2000-0000131F0000}" name="Column7928"/>
    <tableColumn id="7956" xr3:uid="{00000000-0010-0000-2000-0000141F0000}" name="Column7929"/>
    <tableColumn id="7957" xr3:uid="{00000000-0010-0000-2000-0000151F0000}" name="Column7930"/>
    <tableColumn id="7958" xr3:uid="{00000000-0010-0000-2000-0000161F0000}" name="Column7931"/>
    <tableColumn id="7959" xr3:uid="{00000000-0010-0000-2000-0000171F0000}" name="Column7932"/>
    <tableColumn id="7960" xr3:uid="{00000000-0010-0000-2000-0000181F0000}" name="Column7933"/>
    <tableColumn id="7961" xr3:uid="{00000000-0010-0000-2000-0000191F0000}" name="Column7934"/>
    <tableColumn id="7962" xr3:uid="{00000000-0010-0000-2000-00001A1F0000}" name="Column7935"/>
    <tableColumn id="7963" xr3:uid="{00000000-0010-0000-2000-00001B1F0000}" name="Column7936"/>
    <tableColumn id="7964" xr3:uid="{00000000-0010-0000-2000-00001C1F0000}" name="Column7937"/>
    <tableColumn id="7965" xr3:uid="{00000000-0010-0000-2000-00001D1F0000}" name="Column7938"/>
    <tableColumn id="7966" xr3:uid="{00000000-0010-0000-2000-00001E1F0000}" name="Column7939"/>
    <tableColumn id="7967" xr3:uid="{00000000-0010-0000-2000-00001F1F0000}" name="Column7940"/>
    <tableColumn id="7968" xr3:uid="{00000000-0010-0000-2000-0000201F0000}" name="Column7941"/>
    <tableColumn id="7969" xr3:uid="{00000000-0010-0000-2000-0000211F0000}" name="Column7942"/>
    <tableColumn id="7970" xr3:uid="{00000000-0010-0000-2000-0000221F0000}" name="Column7943"/>
    <tableColumn id="7971" xr3:uid="{00000000-0010-0000-2000-0000231F0000}" name="Column7944"/>
    <tableColumn id="7972" xr3:uid="{00000000-0010-0000-2000-0000241F0000}" name="Column7945"/>
    <tableColumn id="7973" xr3:uid="{00000000-0010-0000-2000-0000251F0000}" name="Column7946"/>
    <tableColumn id="7974" xr3:uid="{00000000-0010-0000-2000-0000261F0000}" name="Column7947"/>
    <tableColumn id="7975" xr3:uid="{00000000-0010-0000-2000-0000271F0000}" name="Column7948"/>
    <tableColumn id="7976" xr3:uid="{00000000-0010-0000-2000-0000281F0000}" name="Column7949"/>
    <tableColumn id="7977" xr3:uid="{00000000-0010-0000-2000-0000291F0000}" name="Column7950"/>
    <tableColumn id="7978" xr3:uid="{00000000-0010-0000-2000-00002A1F0000}" name="Column7951"/>
    <tableColumn id="7979" xr3:uid="{00000000-0010-0000-2000-00002B1F0000}" name="Column7952"/>
    <tableColumn id="7980" xr3:uid="{00000000-0010-0000-2000-00002C1F0000}" name="Column7953"/>
    <tableColumn id="7981" xr3:uid="{00000000-0010-0000-2000-00002D1F0000}" name="Column7954"/>
    <tableColumn id="7982" xr3:uid="{00000000-0010-0000-2000-00002E1F0000}" name="Column7955"/>
    <tableColumn id="7983" xr3:uid="{00000000-0010-0000-2000-00002F1F0000}" name="Column7956"/>
    <tableColumn id="7984" xr3:uid="{00000000-0010-0000-2000-0000301F0000}" name="Column7957"/>
    <tableColumn id="7985" xr3:uid="{00000000-0010-0000-2000-0000311F0000}" name="Column7958"/>
    <tableColumn id="7986" xr3:uid="{00000000-0010-0000-2000-0000321F0000}" name="Column7959"/>
    <tableColumn id="7987" xr3:uid="{00000000-0010-0000-2000-0000331F0000}" name="Column7960"/>
    <tableColumn id="7988" xr3:uid="{00000000-0010-0000-2000-0000341F0000}" name="Column7961"/>
    <tableColumn id="7989" xr3:uid="{00000000-0010-0000-2000-0000351F0000}" name="Column7962"/>
    <tableColumn id="7990" xr3:uid="{00000000-0010-0000-2000-0000361F0000}" name="Column7963"/>
    <tableColumn id="7991" xr3:uid="{00000000-0010-0000-2000-0000371F0000}" name="Column7964"/>
    <tableColumn id="7992" xr3:uid="{00000000-0010-0000-2000-0000381F0000}" name="Column7965"/>
    <tableColumn id="7993" xr3:uid="{00000000-0010-0000-2000-0000391F0000}" name="Column7966"/>
    <tableColumn id="7994" xr3:uid="{00000000-0010-0000-2000-00003A1F0000}" name="Column7967"/>
    <tableColumn id="7995" xr3:uid="{00000000-0010-0000-2000-00003B1F0000}" name="Column7968"/>
    <tableColumn id="7996" xr3:uid="{00000000-0010-0000-2000-00003C1F0000}" name="Column7969"/>
    <tableColumn id="7997" xr3:uid="{00000000-0010-0000-2000-00003D1F0000}" name="Column7970"/>
    <tableColumn id="7998" xr3:uid="{00000000-0010-0000-2000-00003E1F0000}" name="Column7971"/>
    <tableColumn id="7999" xr3:uid="{00000000-0010-0000-2000-00003F1F0000}" name="Column7972"/>
    <tableColumn id="8000" xr3:uid="{00000000-0010-0000-2000-0000401F0000}" name="Column7973"/>
    <tableColumn id="8001" xr3:uid="{00000000-0010-0000-2000-0000411F0000}" name="Column7974"/>
    <tableColumn id="8002" xr3:uid="{00000000-0010-0000-2000-0000421F0000}" name="Column7975"/>
    <tableColumn id="8003" xr3:uid="{00000000-0010-0000-2000-0000431F0000}" name="Column7976"/>
    <tableColumn id="8004" xr3:uid="{00000000-0010-0000-2000-0000441F0000}" name="Column7977"/>
    <tableColumn id="8005" xr3:uid="{00000000-0010-0000-2000-0000451F0000}" name="Column7978"/>
    <tableColumn id="8006" xr3:uid="{00000000-0010-0000-2000-0000461F0000}" name="Column7979"/>
    <tableColumn id="8007" xr3:uid="{00000000-0010-0000-2000-0000471F0000}" name="Column7980"/>
    <tableColumn id="8008" xr3:uid="{00000000-0010-0000-2000-0000481F0000}" name="Column7981"/>
    <tableColumn id="8009" xr3:uid="{00000000-0010-0000-2000-0000491F0000}" name="Column7982"/>
    <tableColumn id="8010" xr3:uid="{00000000-0010-0000-2000-00004A1F0000}" name="Column7983"/>
    <tableColumn id="8011" xr3:uid="{00000000-0010-0000-2000-00004B1F0000}" name="Column7984"/>
    <tableColumn id="8012" xr3:uid="{00000000-0010-0000-2000-00004C1F0000}" name="Column7985"/>
    <tableColumn id="8013" xr3:uid="{00000000-0010-0000-2000-00004D1F0000}" name="Column7986"/>
    <tableColumn id="8014" xr3:uid="{00000000-0010-0000-2000-00004E1F0000}" name="Column7987"/>
    <tableColumn id="8015" xr3:uid="{00000000-0010-0000-2000-00004F1F0000}" name="Column7988"/>
    <tableColumn id="8016" xr3:uid="{00000000-0010-0000-2000-0000501F0000}" name="Column7989"/>
    <tableColumn id="8017" xr3:uid="{00000000-0010-0000-2000-0000511F0000}" name="Column7990"/>
    <tableColumn id="8018" xr3:uid="{00000000-0010-0000-2000-0000521F0000}" name="Column7991"/>
    <tableColumn id="8019" xr3:uid="{00000000-0010-0000-2000-0000531F0000}" name="Column7992"/>
    <tableColumn id="8020" xr3:uid="{00000000-0010-0000-2000-0000541F0000}" name="Column7993"/>
    <tableColumn id="8021" xr3:uid="{00000000-0010-0000-2000-0000551F0000}" name="Column7994"/>
    <tableColumn id="8022" xr3:uid="{00000000-0010-0000-2000-0000561F0000}" name="Column7995"/>
    <tableColumn id="8023" xr3:uid="{00000000-0010-0000-2000-0000571F0000}" name="Column7996"/>
    <tableColumn id="8024" xr3:uid="{00000000-0010-0000-2000-0000581F0000}" name="Column7997"/>
    <tableColumn id="8025" xr3:uid="{00000000-0010-0000-2000-0000591F0000}" name="Column7998"/>
    <tableColumn id="8026" xr3:uid="{00000000-0010-0000-2000-00005A1F0000}" name="Column7999"/>
    <tableColumn id="8027" xr3:uid="{00000000-0010-0000-2000-00005B1F0000}" name="Column8000"/>
    <tableColumn id="8028" xr3:uid="{00000000-0010-0000-2000-00005C1F0000}" name="Column8001"/>
    <tableColumn id="8029" xr3:uid="{00000000-0010-0000-2000-00005D1F0000}" name="Column8002"/>
    <tableColumn id="8030" xr3:uid="{00000000-0010-0000-2000-00005E1F0000}" name="Column8003"/>
    <tableColumn id="8031" xr3:uid="{00000000-0010-0000-2000-00005F1F0000}" name="Column8004"/>
    <tableColumn id="8032" xr3:uid="{00000000-0010-0000-2000-0000601F0000}" name="Column8005"/>
    <tableColumn id="8033" xr3:uid="{00000000-0010-0000-2000-0000611F0000}" name="Column8006"/>
    <tableColumn id="8034" xr3:uid="{00000000-0010-0000-2000-0000621F0000}" name="Column8007"/>
    <tableColumn id="8035" xr3:uid="{00000000-0010-0000-2000-0000631F0000}" name="Column8008"/>
    <tableColumn id="8036" xr3:uid="{00000000-0010-0000-2000-0000641F0000}" name="Column8009"/>
    <tableColumn id="8037" xr3:uid="{00000000-0010-0000-2000-0000651F0000}" name="Column8010"/>
    <tableColumn id="8038" xr3:uid="{00000000-0010-0000-2000-0000661F0000}" name="Column8011"/>
    <tableColumn id="8039" xr3:uid="{00000000-0010-0000-2000-0000671F0000}" name="Column8012"/>
    <tableColumn id="8040" xr3:uid="{00000000-0010-0000-2000-0000681F0000}" name="Column8013"/>
    <tableColumn id="8041" xr3:uid="{00000000-0010-0000-2000-0000691F0000}" name="Column8014"/>
    <tableColumn id="8042" xr3:uid="{00000000-0010-0000-2000-00006A1F0000}" name="Column8015"/>
    <tableColumn id="8043" xr3:uid="{00000000-0010-0000-2000-00006B1F0000}" name="Column8016"/>
    <tableColumn id="8044" xr3:uid="{00000000-0010-0000-2000-00006C1F0000}" name="Column8017"/>
    <tableColumn id="8045" xr3:uid="{00000000-0010-0000-2000-00006D1F0000}" name="Column8018"/>
    <tableColumn id="8046" xr3:uid="{00000000-0010-0000-2000-00006E1F0000}" name="Column8019"/>
    <tableColumn id="8047" xr3:uid="{00000000-0010-0000-2000-00006F1F0000}" name="Column8020"/>
    <tableColumn id="8048" xr3:uid="{00000000-0010-0000-2000-0000701F0000}" name="Column8021"/>
    <tableColumn id="8049" xr3:uid="{00000000-0010-0000-2000-0000711F0000}" name="Column8022"/>
    <tableColumn id="8050" xr3:uid="{00000000-0010-0000-2000-0000721F0000}" name="Column8023"/>
    <tableColumn id="8051" xr3:uid="{00000000-0010-0000-2000-0000731F0000}" name="Column8024"/>
    <tableColumn id="8052" xr3:uid="{00000000-0010-0000-2000-0000741F0000}" name="Column8025"/>
    <tableColumn id="8053" xr3:uid="{00000000-0010-0000-2000-0000751F0000}" name="Column8026"/>
    <tableColumn id="8054" xr3:uid="{00000000-0010-0000-2000-0000761F0000}" name="Column8027"/>
    <tableColumn id="8055" xr3:uid="{00000000-0010-0000-2000-0000771F0000}" name="Column8028"/>
    <tableColumn id="8056" xr3:uid="{00000000-0010-0000-2000-0000781F0000}" name="Column8029"/>
    <tableColumn id="8057" xr3:uid="{00000000-0010-0000-2000-0000791F0000}" name="Column8030"/>
    <tableColumn id="8058" xr3:uid="{00000000-0010-0000-2000-00007A1F0000}" name="Column8031"/>
    <tableColumn id="8059" xr3:uid="{00000000-0010-0000-2000-00007B1F0000}" name="Column8032"/>
    <tableColumn id="8060" xr3:uid="{00000000-0010-0000-2000-00007C1F0000}" name="Column8033"/>
    <tableColumn id="8061" xr3:uid="{00000000-0010-0000-2000-00007D1F0000}" name="Column8034"/>
    <tableColumn id="8062" xr3:uid="{00000000-0010-0000-2000-00007E1F0000}" name="Column8035"/>
    <tableColumn id="8063" xr3:uid="{00000000-0010-0000-2000-00007F1F0000}" name="Column8036"/>
    <tableColumn id="8064" xr3:uid="{00000000-0010-0000-2000-0000801F0000}" name="Column8037"/>
    <tableColumn id="8065" xr3:uid="{00000000-0010-0000-2000-0000811F0000}" name="Column8038"/>
    <tableColumn id="8066" xr3:uid="{00000000-0010-0000-2000-0000821F0000}" name="Column8039"/>
    <tableColumn id="8067" xr3:uid="{00000000-0010-0000-2000-0000831F0000}" name="Column8040"/>
    <tableColumn id="8068" xr3:uid="{00000000-0010-0000-2000-0000841F0000}" name="Column8041"/>
    <tableColumn id="8069" xr3:uid="{00000000-0010-0000-2000-0000851F0000}" name="Column8042"/>
    <tableColumn id="8070" xr3:uid="{00000000-0010-0000-2000-0000861F0000}" name="Column8043"/>
    <tableColumn id="8071" xr3:uid="{00000000-0010-0000-2000-0000871F0000}" name="Column8044"/>
    <tableColumn id="8072" xr3:uid="{00000000-0010-0000-2000-0000881F0000}" name="Column8045"/>
    <tableColumn id="8073" xr3:uid="{00000000-0010-0000-2000-0000891F0000}" name="Column8046"/>
    <tableColumn id="8074" xr3:uid="{00000000-0010-0000-2000-00008A1F0000}" name="Column8047"/>
    <tableColumn id="8075" xr3:uid="{00000000-0010-0000-2000-00008B1F0000}" name="Column8048"/>
    <tableColumn id="8076" xr3:uid="{00000000-0010-0000-2000-00008C1F0000}" name="Column8049"/>
    <tableColumn id="8077" xr3:uid="{00000000-0010-0000-2000-00008D1F0000}" name="Column8050"/>
    <tableColumn id="8078" xr3:uid="{00000000-0010-0000-2000-00008E1F0000}" name="Column8051"/>
    <tableColumn id="8079" xr3:uid="{00000000-0010-0000-2000-00008F1F0000}" name="Column8052"/>
    <tableColumn id="8080" xr3:uid="{00000000-0010-0000-2000-0000901F0000}" name="Column8053"/>
    <tableColumn id="8081" xr3:uid="{00000000-0010-0000-2000-0000911F0000}" name="Column8054"/>
    <tableColumn id="8082" xr3:uid="{00000000-0010-0000-2000-0000921F0000}" name="Column8055"/>
    <tableColumn id="8083" xr3:uid="{00000000-0010-0000-2000-0000931F0000}" name="Column8056"/>
    <tableColumn id="8084" xr3:uid="{00000000-0010-0000-2000-0000941F0000}" name="Column8057"/>
    <tableColumn id="8085" xr3:uid="{00000000-0010-0000-2000-0000951F0000}" name="Column8058"/>
    <tableColumn id="8086" xr3:uid="{00000000-0010-0000-2000-0000961F0000}" name="Column8059"/>
    <tableColumn id="8087" xr3:uid="{00000000-0010-0000-2000-0000971F0000}" name="Column8060"/>
    <tableColumn id="8088" xr3:uid="{00000000-0010-0000-2000-0000981F0000}" name="Column8061"/>
    <tableColumn id="8089" xr3:uid="{00000000-0010-0000-2000-0000991F0000}" name="Column8062"/>
    <tableColumn id="8090" xr3:uid="{00000000-0010-0000-2000-00009A1F0000}" name="Column8063"/>
    <tableColumn id="8091" xr3:uid="{00000000-0010-0000-2000-00009B1F0000}" name="Column8064"/>
    <tableColumn id="8092" xr3:uid="{00000000-0010-0000-2000-00009C1F0000}" name="Column8065"/>
    <tableColumn id="8093" xr3:uid="{00000000-0010-0000-2000-00009D1F0000}" name="Column8066"/>
    <tableColumn id="8094" xr3:uid="{00000000-0010-0000-2000-00009E1F0000}" name="Column8067"/>
    <tableColumn id="8095" xr3:uid="{00000000-0010-0000-2000-00009F1F0000}" name="Column8068"/>
    <tableColumn id="8096" xr3:uid="{00000000-0010-0000-2000-0000A01F0000}" name="Column8069"/>
    <tableColumn id="8097" xr3:uid="{00000000-0010-0000-2000-0000A11F0000}" name="Column8070"/>
    <tableColumn id="8098" xr3:uid="{00000000-0010-0000-2000-0000A21F0000}" name="Column8071"/>
    <tableColumn id="8099" xr3:uid="{00000000-0010-0000-2000-0000A31F0000}" name="Column8072"/>
    <tableColumn id="8100" xr3:uid="{00000000-0010-0000-2000-0000A41F0000}" name="Column8073"/>
    <tableColumn id="8101" xr3:uid="{00000000-0010-0000-2000-0000A51F0000}" name="Column8074"/>
    <tableColumn id="8102" xr3:uid="{00000000-0010-0000-2000-0000A61F0000}" name="Column8075"/>
    <tableColumn id="8103" xr3:uid="{00000000-0010-0000-2000-0000A71F0000}" name="Column8076"/>
    <tableColumn id="8104" xr3:uid="{00000000-0010-0000-2000-0000A81F0000}" name="Column8077"/>
    <tableColumn id="8105" xr3:uid="{00000000-0010-0000-2000-0000A91F0000}" name="Column8078"/>
    <tableColumn id="8106" xr3:uid="{00000000-0010-0000-2000-0000AA1F0000}" name="Column8079"/>
    <tableColumn id="8107" xr3:uid="{00000000-0010-0000-2000-0000AB1F0000}" name="Column8080"/>
    <tableColumn id="8108" xr3:uid="{00000000-0010-0000-2000-0000AC1F0000}" name="Column8081"/>
    <tableColumn id="8109" xr3:uid="{00000000-0010-0000-2000-0000AD1F0000}" name="Column8082"/>
    <tableColumn id="8110" xr3:uid="{00000000-0010-0000-2000-0000AE1F0000}" name="Column8083"/>
    <tableColumn id="8111" xr3:uid="{00000000-0010-0000-2000-0000AF1F0000}" name="Column8084"/>
    <tableColumn id="8112" xr3:uid="{00000000-0010-0000-2000-0000B01F0000}" name="Column8085"/>
    <tableColumn id="8113" xr3:uid="{00000000-0010-0000-2000-0000B11F0000}" name="Column8086"/>
    <tableColumn id="8114" xr3:uid="{00000000-0010-0000-2000-0000B21F0000}" name="Column8087"/>
    <tableColumn id="8115" xr3:uid="{00000000-0010-0000-2000-0000B31F0000}" name="Column8088"/>
    <tableColumn id="8116" xr3:uid="{00000000-0010-0000-2000-0000B41F0000}" name="Column8089"/>
    <tableColumn id="8117" xr3:uid="{00000000-0010-0000-2000-0000B51F0000}" name="Column8090"/>
    <tableColumn id="8118" xr3:uid="{00000000-0010-0000-2000-0000B61F0000}" name="Column8091"/>
    <tableColumn id="8119" xr3:uid="{00000000-0010-0000-2000-0000B71F0000}" name="Column8092"/>
    <tableColumn id="8120" xr3:uid="{00000000-0010-0000-2000-0000B81F0000}" name="Column8093"/>
    <tableColumn id="8121" xr3:uid="{00000000-0010-0000-2000-0000B91F0000}" name="Column8094"/>
    <tableColumn id="8122" xr3:uid="{00000000-0010-0000-2000-0000BA1F0000}" name="Column8095"/>
    <tableColumn id="8123" xr3:uid="{00000000-0010-0000-2000-0000BB1F0000}" name="Column8096"/>
    <tableColumn id="8124" xr3:uid="{00000000-0010-0000-2000-0000BC1F0000}" name="Column8097"/>
    <tableColumn id="8125" xr3:uid="{00000000-0010-0000-2000-0000BD1F0000}" name="Column8098"/>
    <tableColumn id="8126" xr3:uid="{00000000-0010-0000-2000-0000BE1F0000}" name="Column8099"/>
    <tableColumn id="8127" xr3:uid="{00000000-0010-0000-2000-0000BF1F0000}" name="Column8100"/>
    <tableColumn id="8128" xr3:uid="{00000000-0010-0000-2000-0000C01F0000}" name="Column8101"/>
    <tableColumn id="8129" xr3:uid="{00000000-0010-0000-2000-0000C11F0000}" name="Column8102"/>
    <tableColumn id="8130" xr3:uid="{00000000-0010-0000-2000-0000C21F0000}" name="Column8103"/>
    <tableColumn id="8131" xr3:uid="{00000000-0010-0000-2000-0000C31F0000}" name="Column8104"/>
    <tableColumn id="8132" xr3:uid="{00000000-0010-0000-2000-0000C41F0000}" name="Column8105"/>
    <tableColumn id="8133" xr3:uid="{00000000-0010-0000-2000-0000C51F0000}" name="Column8106"/>
    <tableColumn id="8134" xr3:uid="{00000000-0010-0000-2000-0000C61F0000}" name="Column8107"/>
    <tableColumn id="8135" xr3:uid="{00000000-0010-0000-2000-0000C71F0000}" name="Column8108"/>
    <tableColumn id="8136" xr3:uid="{00000000-0010-0000-2000-0000C81F0000}" name="Column8109"/>
    <tableColumn id="8137" xr3:uid="{00000000-0010-0000-2000-0000C91F0000}" name="Column8110"/>
    <tableColumn id="8138" xr3:uid="{00000000-0010-0000-2000-0000CA1F0000}" name="Column8111"/>
    <tableColumn id="8139" xr3:uid="{00000000-0010-0000-2000-0000CB1F0000}" name="Column8112"/>
    <tableColumn id="8140" xr3:uid="{00000000-0010-0000-2000-0000CC1F0000}" name="Column8113"/>
    <tableColumn id="8141" xr3:uid="{00000000-0010-0000-2000-0000CD1F0000}" name="Column8114"/>
    <tableColumn id="8142" xr3:uid="{00000000-0010-0000-2000-0000CE1F0000}" name="Column8115"/>
    <tableColumn id="8143" xr3:uid="{00000000-0010-0000-2000-0000CF1F0000}" name="Column8116"/>
    <tableColumn id="8144" xr3:uid="{00000000-0010-0000-2000-0000D01F0000}" name="Column8117"/>
    <tableColumn id="8145" xr3:uid="{00000000-0010-0000-2000-0000D11F0000}" name="Column8118"/>
    <tableColumn id="8146" xr3:uid="{00000000-0010-0000-2000-0000D21F0000}" name="Column8119"/>
    <tableColumn id="8147" xr3:uid="{00000000-0010-0000-2000-0000D31F0000}" name="Column8120"/>
    <tableColumn id="8148" xr3:uid="{00000000-0010-0000-2000-0000D41F0000}" name="Column8121"/>
    <tableColumn id="8149" xr3:uid="{00000000-0010-0000-2000-0000D51F0000}" name="Column8122"/>
    <tableColumn id="8150" xr3:uid="{00000000-0010-0000-2000-0000D61F0000}" name="Column8123"/>
    <tableColumn id="8151" xr3:uid="{00000000-0010-0000-2000-0000D71F0000}" name="Column8124"/>
    <tableColumn id="8152" xr3:uid="{00000000-0010-0000-2000-0000D81F0000}" name="Column8125"/>
    <tableColumn id="8153" xr3:uid="{00000000-0010-0000-2000-0000D91F0000}" name="Column8126"/>
    <tableColumn id="8154" xr3:uid="{00000000-0010-0000-2000-0000DA1F0000}" name="Column8127"/>
    <tableColumn id="8155" xr3:uid="{00000000-0010-0000-2000-0000DB1F0000}" name="Column8128"/>
    <tableColumn id="8156" xr3:uid="{00000000-0010-0000-2000-0000DC1F0000}" name="Column8129"/>
    <tableColumn id="8157" xr3:uid="{00000000-0010-0000-2000-0000DD1F0000}" name="Column8130"/>
    <tableColumn id="8158" xr3:uid="{00000000-0010-0000-2000-0000DE1F0000}" name="Column8131"/>
    <tableColumn id="8159" xr3:uid="{00000000-0010-0000-2000-0000DF1F0000}" name="Column8132"/>
    <tableColumn id="8160" xr3:uid="{00000000-0010-0000-2000-0000E01F0000}" name="Column8133"/>
    <tableColumn id="8161" xr3:uid="{00000000-0010-0000-2000-0000E11F0000}" name="Column8134"/>
    <tableColumn id="8162" xr3:uid="{00000000-0010-0000-2000-0000E21F0000}" name="Column8135"/>
    <tableColumn id="8163" xr3:uid="{00000000-0010-0000-2000-0000E31F0000}" name="Column8136"/>
    <tableColumn id="8164" xr3:uid="{00000000-0010-0000-2000-0000E41F0000}" name="Column8137"/>
    <tableColumn id="8165" xr3:uid="{00000000-0010-0000-2000-0000E51F0000}" name="Column8138"/>
    <tableColumn id="8166" xr3:uid="{00000000-0010-0000-2000-0000E61F0000}" name="Column8139"/>
    <tableColumn id="8167" xr3:uid="{00000000-0010-0000-2000-0000E71F0000}" name="Column8140"/>
    <tableColumn id="8168" xr3:uid="{00000000-0010-0000-2000-0000E81F0000}" name="Column8141"/>
    <tableColumn id="8169" xr3:uid="{00000000-0010-0000-2000-0000E91F0000}" name="Column8142"/>
    <tableColumn id="8170" xr3:uid="{00000000-0010-0000-2000-0000EA1F0000}" name="Column8143"/>
    <tableColumn id="8171" xr3:uid="{00000000-0010-0000-2000-0000EB1F0000}" name="Column8144"/>
    <tableColumn id="8172" xr3:uid="{00000000-0010-0000-2000-0000EC1F0000}" name="Column8145"/>
    <tableColumn id="8173" xr3:uid="{00000000-0010-0000-2000-0000ED1F0000}" name="Column8146"/>
    <tableColumn id="8174" xr3:uid="{00000000-0010-0000-2000-0000EE1F0000}" name="Column8147"/>
    <tableColumn id="8175" xr3:uid="{00000000-0010-0000-2000-0000EF1F0000}" name="Column8148"/>
    <tableColumn id="8176" xr3:uid="{00000000-0010-0000-2000-0000F01F0000}" name="Column8149"/>
    <tableColumn id="8177" xr3:uid="{00000000-0010-0000-2000-0000F11F0000}" name="Column8150"/>
    <tableColumn id="8178" xr3:uid="{00000000-0010-0000-2000-0000F21F0000}" name="Column8151"/>
    <tableColumn id="8179" xr3:uid="{00000000-0010-0000-2000-0000F31F0000}" name="Column8152"/>
    <tableColumn id="8180" xr3:uid="{00000000-0010-0000-2000-0000F41F0000}" name="Column8153"/>
    <tableColumn id="8181" xr3:uid="{00000000-0010-0000-2000-0000F51F0000}" name="Column8154"/>
    <tableColumn id="8182" xr3:uid="{00000000-0010-0000-2000-0000F61F0000}" name="Column8155"/>
    <tableColumn id="8183" xr3:uid="{00000000-0010-0000-2000-0000F71F0000}" name="Column8156"/>
    <tableColumn id="8184" xr3:uid="{00000000-0010-0000-2000-0000F81F0000}" name="Column8157"/>
    <tableColumn id="8185" xr3:uid="{00000000-0010-0000-2000-0000F91F0000}" name="Column8158"/>
    <tableColumn id="8186" xr3:uid="{00000000-0010-0000-2000-0000FA1F0000}" name="Column8159"/>
    <tableColumn id="8187" xr3:uid="{00000000-0010-0000-2000-0000FB1F0000}" name="Column8160"/>
    <tableColumn id="8188" xr3:uid="{00000000-0010-0000-2000-0000FC1F0000}" name="Column8161"/>
    <tableColumn id="8189" xr3:uid="{00000000-0010-0000-2000-0000FD1F0000}" name="Column8162"/>
    <tableColumn id="8190" xr3:uid="{00000000-0010-0000-2000-0000FE1F0000}" name="Column8163"/>
    <tableColumn id="8191" xr3:uid="{00000000-0010-0000-2000-0000FF1F0000}" name="Column8164"/>
    <tableColumn id="8192" xr3:uid="{00000000-0010-0000-2000-000000200000}" name="Column8165"/>
    <tableColumn id="8193" xr3:uid="{00000000-0010-0000-2000-000001200000}" name="Column8166"/>
    <tableColumn id="8194" xr3:uid="{00000000-0010-0000-2000-000002200000}" name="Column8167"/>
    <tableColumn id="8195" xr3:uid="{00000000-0010-0000-2000-000003200000}" name="Column8168"/>
    <tableColumn id="8196" xr3:uid="{00000000-0010-0000-2000-000004200000}" name="Column8169"/>
    <tableColumn id="8197" xr3:uid="{00000000-0010-0000-2000-000005200000}" name="Column8170"/>
    <tableColumn id="8198" xr3:uid="{00000000-0010-0000-2000-000006200000}" name="Column8171"/>
    <tableColumn id="8199" xr3:uid="{00000000-0010-0000-2000-000007200000}" name="Column8172"/>
    <tableColumn id="8200" xr3:uid="{00000000-0010-0000-2000-000008200000}" name="Column8173"/>
    <tableColumn id="8201" xr3:uid="{00000000-0010-0000-2000-000009200000}" name="Column8174"/>
    <tableColumn id="8202" xr3:uid="{00000000-0010-0000-2000-00000A200000}" name="Column8175"/>
    <tableColumn id="8203" xr3:uid="{00000000-0010-0000-2000-00000B200000}" name="Column8176"/>
    <tableColumn id="8204" xr3:uid="{00000000-0010-0000-2000-00000C200000}" name="Column8177"/>
    <tableColumn id="8205" xr3:uid="{00000000-0010-0000-2000-00000D200000}" name="Column8178"/>
    <tableColumn id="8206" xr3:uid="{00000000-0010-0000-2000-00000E200000}" name="Column8179"/>
    <tableColumn id="8207" xr3:uid="{00000000-0010-0000-2000-00000F200000}" name="Column8180"/>
    <tableColumn id="8208" xr3:uid="{00000000-0010-0000-2000-000010200000}" name="Column8181"/>
    <tableColumn id="8209" xr3:uid="{00000000-0010-0000-2000-000011200000}" name="Column8182"/>
    <tableColumn id="8210" xr3:uid="{00000000-0010-0000-2000-000012200000}" name="Column8183"/>
    <tableColumn id="8211" xr3:uid="{00000000-0010-0000-2000-000013200000}" name="Column8184"/>
    <tableColumn id="8212" xr3:uid="{00000000-0010-0000-2000-000014200000}" name="Column8185"/>
    <tableColumn id="8213" xr3:uid="{00000000-0010-0000-2000-000015200000}" name="Column8186"/>
    <tableColumn id="8214" xr3:uid="{00000000-0010-0000-2000-000016200000}" name="Column8187"/>
    <tableColumn id="8215" xr3:uid="{00000000-0010-0000-2000-000017200000}" name="Column8188"/>
    <tableColumn id="8216" xr3:uid="{00000000-0010-0000-2000-000018200000}" name="Column8189"/>
    <tableColumn id="8217" xr3:uid="{00000000-0010-0000-2000-000019200000}" name="Column8190"/>
    <tableColumn id="8218" xr3:uid="{00000000-0010-0000-2000-00001A200000}" name="Column8191"/>
    <tableColumn id="8219" xr3:uid="{00000000-0010-0000-2000-00001B200000}" name="Column8192"/>
    <tableColumn id="8220" xr3:uid="{00000000-0010-0000-2000-00001C200000}" name="Column8193"/>
    <tableColumn id="8221" xr3:uid="{00000000-0010-0000-2000-00001D200000}" name="Column8194"/>
    <tableColumn id="8222" xr3:uid="{00000000-0010-0000-2000-00001E200000}" name="Column8195"/>
    <tableColumn id="8223" xr3:uid="{00000000-0010-0000-2000-00001F200000}" name="Column8196"/>
    <tableColumn id="8224" xr3:uid="{00000000-0010-0000-2000-000020200000}" name="Column8197"/>
    <tableColumn id="8225" xr3:uid="{00000000-0010-0000-2000-000021200000}" name="Column8198"/>
    <tableColumn id="8226" xr3:uid="{00000000-0010-0000-2000-000022200000}" name="Column8199"/>
    <tableColumn id="8227" xr3:uid="{00000000-0010-0000-2000-000023200000}" name="Column8200"/>
    <tableColumn id="8228" xr3:uid="{00000000-0010-0000-2000-000024200000}" name="Column8201"/>
    <tableColumn id="8229" xr3:uid="{00000000-0010-0000-2000-000025200000}" name="Column8202"/>
    <tableColumn id="8230" xr3:uid="{00000000-0010-0000-2000-000026200000}" name="Column8203"/>
    <tableColumn id="8231" xr3:uid="{00000000-0010-0000-2000-000027200000}" name="Column8204"/>
    <tableColumn id="8232" xr3:uid="{00000000-0010-0000-2000-000028200000}" name="Column8205"/>
    <tableColumn id="8233" xr3:uid="{00000000-0010-0000-2000-000029200000}" name="Column8206"/>
    <tableColumn id="8234" xr3:uid="{00000000-0010-0000-2000-00002A200000}" name="Column8207"/>
    <tableColumn id="8235" xr3:uid="{00000000-0010-0000-2000-00002B200000}" name="Column8208"/>
    <tableColumn id="8236" xr3:uid="{00000000-0010-0000-2000-00002C200000}" name="Column8209"/>
    <tableColumn id="8237" xr3:uid="{00000000-0010-0000-2000-00002D200000}" name="Column8210"/>
    <tableColumn id="8238" xr3:uid="{00000000-0010-0000-2000-00002E200000}" name="Column8211"/>
    <tableColumn id="8239" xr3:uid="{00000000-0010-0000-2000-00002F200000}" name="Column8212"/>
    <tableColumn id="8240" xr3:uid="{00000000-0010-0000-2000-000030200000}" name="Column8213"/>
    <tableColumn id="8241" xr3:uid="{00000000-0010-0000-2000-000031200000}" name="Column8214"/>
    <tableColumn id="8242" xr3:uid="{00000000-0010-0000-2000-000032200000}" name="Column8215"/>
    <tableColumn id="8243" xr3:uid="{00000000-0010-0000-2000-000033200000}" name="Column8216"/>
    <tableColumn id="8244" xr3:uid="{00000000-0010-0000-2000-000034200000}" name="Column8217"/>
    <tableColumn id="8245" xr3:uid="{00000000-0010-0000-2000-000035200000}" name="Column8218"/>
    <tableColumn id="8246" xr3:uid="{00000000-0010-0000-2000-000036200000}" name="Column8219"/>
    <tableColumn id="8247" xr3:uid="{00000000-0010-0000-2000-000037200000}" name="Column8220"/>
    <tableColumn id="8248" xr3:uid="{00000000-0010-0000-2000-000038200000}" name="Column8221"/>
    <tableColumn id="8249" xr3:uid="{00000000-0010-0000-2000-000039200000}" name="Column8222"/>
    <tableColumn id="8250" xr3:uid="{00000000-0010-0000-2000-00003A200000}" name="Column8223"/>
    <tableColumn id="8251" xr3:uid="{00000000-0010-0000-2000-00003B200000}" name="Column8224"/>
    <tableColumn id="8252" xr3:uid="{00000000-0010-0000-2000-00003C200000}" name="Column8225"/>
    <tableColumn id="8253" xr3:uid="{00000000-0010-0000-2000-00003D200000}" name="Column8226"/>
    <tableColumn id="8254" xr3:uid="{00000000-0010-0000-2000-00003E200000}" name="Column8227"/>
    <tableColumn id="8255" xr3:uid="{00000000-0010-0000-2000-00003F200000}" name="Column8228"/>
    <tableColumn id="8256" xr3:uid="{00000000-0010-0000-2000-000040200000}" name="Column8229"/>
    <tableColumn id="8257" xr3:uid="{00000000-0010-0000-2000-000041200000}" name="Column8230"/>
    <tableColumn id="8258" xr3:uid="{00000000-0010-0000-2000-000042200000}" name="Column8231"/>
    <tableColumn id="8259" xr3:uid="{00000000-0010-0000-2000-000043200000}" name="Column8232"/>
    <tableColumn id="8260" xr3:uid="{00000000-0010-0000-2000-000044200000}" name="Column8233"/>
    <tableColumn id="8261" xr3:uid="{00000000-0010-0000-2000-000045200000}" name="Column8234"/>
    <tableColumn id="8262" xr3:uid="{00000000-0010-0000-2000-000046200000}" name="Column8235"/>
    <tableColumn id="8263" xr3:uid="{00000000-0010-0000-2000-000047200000}" name="Column8236"/>
    <tableColumn id="8264" xr3:uid="{00000000-0010-0000-2000-000048200000}" name="Column8237"/>
    <tableColumn id="8265" xr3:uid="{00000000-0010-0000-2000-000049200000}" name="Column8238"/>
    <tableColumn id="8266" xr3:uid="{00000000-0010-0000-2000-00004A200000}" name="Column8239"/>
    <tableColumn id="8267" xr3:uid="{00000000-0010-0000-2000-00004B200000}" name="Column8240"/>
    <tableColumn id="8268" xr3:uid="{00000000-0010-0000-2000-00004C200000}" name="Column8241"/>
    <tableColumn id="8269" xr3:uid="{00000000-0010-0000-2000-00004D200000}" name="Column8242"/>
    <tableColumn id="8270" xr3:uid="{00000000-0010-0000-2000-00004E200000}" name="Column8243"/>
    <tableColumn id="8271" xr3:uid="{00000000-0010-0000-2000-00004F200000}" name="Column8244"/>
    <tableColumn id="8272" xr3:uid="{00000000-0010-0000-2000-000050200000}" name="Column8245"/>
    <tableColumn id="8273" xr3:uid="{00000000-0010-0000-2000-000051200000}" name="Column8246"/>
    <tableColumn id="8274" xr3:uid="{00000000-0010-0000-2000-000052200000}" name="Column8247"/>
    <tableColumn id="8275" xr3:uid="{00000000-0010-0000-2000-000053200000}" name="Column8248"/>
    <tableColumn id="8276" xr3:uid="{00000000-0010-0000-2000-000054200000}" name="Column8249"/>
    <tableColumn id="8277" xr3:uid="{00000000-0010-0000-2000-000055200000}" name="Column8250"/>
    <tableColumn id="8278" xr3:uid="{00000000-0010-0000-2000-000056200000}" name="Column8251"/>
    <tableColumn id="8279" xr3:uid="{00000000-0010-0000-2000-000057200000}" name="Column8252"/>
    <tableColumn id="8280" xr3:uid="{00000000-0010-0000-2000-000058200000}" name="Column8253"/>
    <tableColumn id="8281" xr3:uid="{00000000-0010-0000-2000-000059200000}" name="Column8254"/>
    <tableColumn id="8282" xr3:uid="{00000000-0010-0000-2000-00005A200000}" name="Column8255"/>
    <tableColumn id="8283" xr3:uid="{00000000-0010-0000-2000-00005B200000}" name="Column8256"/>
    <tableColumn id="8284" xr3:uid="{00000000-0010-0000-2000-00005C200000}" name="Column8257"/>
    <tableColumn id="8285" xr3:uid="{00000000-0010-0000-2000-00005D200000}" name="Column8258"/>
    <tableColumn id="8286" xr3:uid="{00000000-0010-0000-2000-00005E200000}" name="Column8259"/>
    <tableColumn id="8287" xr3:uid="{00000000-0010-0000-2000-00005F200000}" name="Column8260"/>
    <tableColumn id="8288" xr3:uid="{00000000-0010-0000-2000-000060200000}" name="Column8261"/>
    <tableColumn id="8289" xr3:uid="{00000000-0010-0000-2000-000061200000}" name="Column8262"/>
    <tableColumn id="8290" xr3:uid="{00000000-0010-0000-2000-000062200000}" name="Column8263"/>
    <tableColumn id="8291" xr3:uid="{00000000-0010-0000-2000-000063200000}" name="Column8264"/>
    <tableColumn id="8292" xr3:uid="{00000000-0010-0000-2000-000064200000}" name="Column8265"/>
    <tableColumn id="8293" xr3:uid="{00000000-0010-0000-2000-000065200000}" name="Column8266"/>
    <tableColumn id="8294" xr3:uid="{00000000-0010-0000-2000-000066200000}" name="Column8267"/>
    <tableColumn id="8295" xr3:uid="{00000000-0010-0000-2000-000067200000}" name="Column8268"/>
    <tableColumn id="8296" xr3:uid="{00000000-0010-0000-2000-000068200000}" name="Column8269"/>
    <tableColumn id="8297" xr3:uid="{00000000-0010-0000-2000-000069200000}" name="Column8270"/>
    <tableColumn id="8298" xr3:uid="{00000000-0010-0000-2000-00006A200000}" name="Column8271"/>
    <tableColumn id="8299" xr3:uid="{00000000-0010-0000-2000-00006B200000}" name="Column8272"/>
    <tableColumn id="8300" xr3:uid="{00000000-0010-0000-2000-00006C200000}" name="Column8273"/>
    <tableColumn id="8301" xr3:uid="{00000000-0010-0000-2000-00006D200000}" name="Column8274"/>
    <tableColumn id="8302" xr3:uid="{00000000-0010-0000-2000-00006E200000}" name="Column8275"/>
    <tableColumn id="8303" xr3:uid="{00000000-0010-0000-2000-00006F200000}" name="Column8276"/>
    <tableColumn id="8304" xr3:uid="{00000000-0010-0000-2000-000070200000}" name="Column8277"/>
    <tableColumn id="8305" xr3:uid="{00000000-0010-0000-2000-000071200000}" name="Column8278"/>
    <tableColumn id="8306" xr3:uid="{00000000-0010-0000-2000-000072200000}" name="Column8279"/>
    <tableColumn id="8307" xr3:uid="{00000000-0010-0000-2000-000073200000}" name="Column8280"/>
    <tableColumn id="8308" xr3:uid="{00000000-0010-0000-2000-000074200000}" name="Column8281"/>
    <tableColumn id="8309" xr3:uid="{00000000-0010-0000-2000-000075200000}" name="Column8282"/>
    <tableColumn id="8310" xr3:uid="{00000000-0010-0000-2000-000076200000}" name="Column8283"/>
    <tableColumn id="8311" xr3:uid="{00000000-0010-0000-2000-000077200000}" name="Column8284"/>
    <tableColumn id="8312" xr3:uid="{00000000-0010-0000-2000-000078200000}" name="Column8285"/>
    <tableColumn id="8313" xr3:uid="{00000000-0010-0000-2000-000079200000}" name="Column8286"/>
    <tableColumn id="8314" xr3:uid="{00000000-0010-0000-2000-00007A200000}" name="Column8287"/>
    <tableColumn id="8315" xr3:uid="{00000000-0010-0000-2000-00007B200000}" name="Column8288"/>
    <tableColumn id="8316" xr3:uid="{00000000-0010-0000-2000-00007C200000}" name="Column8289"/>
    <tableColumn id="8317" xr3:uid="{00000000-0010-0000-2000-00007D200000}" name="Column8290"/>
    <tableColumn id="8318" xr3:uid="{00000000-0010-0000-2000-00007E200000}" name="Column8291"/>
    <tableColumn id="8319" xr3:uid="{00000000-0010-0000-2000-00007F200000}" name="Column8292"/>
    <tableColumn id="8320" xr3:uid="{00000000-0010-0000-2000-000080200000}" name="Column8293"/>
    <tableColumn id="8321" xr3:uid="{00000000-0010-0000-2000-000081200000}" name="Column8294"/>
    <tableColumn id="8322" xr3:uid="{00000000-0010-0000-2000-000082200000}" name="Column8295"/>
    <tableColumn id="8323" xr3:uid="{00000000-0010-0000-2000-000083200000}" name="Column8296"/>
    <tableColumn id="8324" xr3:uid="{00000000-0010-0000-2000-000084200000}" name="Column8297"/>
    <tableColumn id="8325" xr3:uid="{00000000-0010-0000-2000-000085200000}" name="Column8298"/>
    <tableColumn id="8326" xr3:uid="{00000000-0010-0000-2000-000086200000}" name="Column8299"/>
    <tableColumn id="8327" xr3:uid="{00000000-0010-0000-2000-000087200000}" name="Column8300"/>
    <tableColumn id="8328" xr3:uid="{00000000-0010-0000-2000-000088200000}" name="Column8301"/>
    <tableColumn id="8329" xr3:uid="{00000000-0010-0000-2000-000089200000}" name="Column8302"/>
    <tableColumn id="8330" xr3:uid="{00000000-0010-0000-2000-00008A200000}" name="Column8303"/>
    <tableColumn id="8331" xr3:uid="{00000000-0010-0000-2000-00008B200000}" name="Column8304"/>
    <tableColumn id="8332" xr3:uid="{00000000-0010-0000-2000-00008C200000}" name="Column8305"/>
    <tableColumn id="8333" xr3:uid="{00000000-0010-0000-2000-00008D200000}" name="Column8306"/>
    <tableColumn id="8334" xr3:uid="{00000000-0010-0000-2000-00008E200000}" name="Column8307"/>
    <tableColumn id="8335" xr3:uid="{00000000-0010-0000-2000-00008F200000}" name="Column8308"/>
    <tableColumn id="8336" xr3:uid="{00000000-0010-0000-2000-000090200000}" name="Column8309"/>
    <tableColumn id="8337" xr3:uid="{00000000-0010-0000-2000-000091200000}" name="Column8310"/>
    <tableColumn id="8338" xr3:uid="{00000000-0010-0000-2000-000092200000}" name="Column8311"/>
    <tableColumn id="8339" xr3:uid="{00000000-0010-0000-2000-000093200000}" name="Column8312"/>
    <tableColumn id="8340" xr3:uid="{00000000-0010-0000-2000-000094200000}" name="Column8313"/>
    <tableColumn id="8341" xr3:uid="{00000000-0010-0000-2000-000095200000}" name="Column8314"/>
    <tableColumn id="8342" xr3:uid="{00000000-0010-0000-2000-000096200000}" name="Column8315"/>
    <tableColumn id="8343" xr3:uid="{00000000-0010-0000-2000-000097200000}" name="Column8316"/>
    <tableColumn id="8344" xr3:uid="{00000000-0010-0000-2000-000098200000}" name="Column8317"/>
    <tableColumn id="8345" xr3:uid="{00000000-0010-0000-2000-000099200000}" name="Column8318"/>
    <tableColumn id="8346" xr3:uid="{00000000-0010-0000-2000-00009A200000}" name="Column8319"/>
    <tableColumn id="8347" xr3:uid="{00000000-0010-0000-2000-00009B200000}" name="Column8320"/>
    <tableColumn id="8348" xr3:uid="{00000000-0010-0000-2000-00009C200000}" name="Column8321"/>
    <tableColumn id="8349" xr3:uid="{00000000-0010-0000-2000-00009D200000}" name="Column8322"/>
    <tableColumn id="8350" xr3:uid="{00000000-0010-0000-2000-00009E200000}" name="Column8323"/>
    <tableColumn id="8351" xr3:uid="{00000000-0010-0000-2000-00009F200000}" name="Column8324"/>
    <tableColumn id="8352" xr3:uid="{00000000-0010-0000-2000-0000A0200000}" name="Column8325"/>
    <tableColumn id="8353" xr3:uid="{00000000-0010-0000-2000-0000A1200000}" name="Column8326"/>
    <tableColumn id="8354" xr3:uid="{00000000-0010-0000-2000-0000A2200000}" name="Column8327"/>
    <tableColumn id="8355" xr3:uid="{00000000-0010-0000-2000-0000A3200000}" name="Column8328"/>
    <tableColumn id="8356" xr3:uid="{00000000-0010-0000-2000-0000A4200000}" name="Column8329"/>
    <tableColumn id="8357" xr3:uid="{00000000-0010-0000-2000-0000A5200000}" name="Column8330"/>
    <tableColumn id="8358" xr3:uid="{00000000-0010-0000-2000-0000A6200000}" name="Column8331"/>
    <tableColumn id="8359" xr3:uid="{00000000-0010-0000-2000-0000A7200000}" name="Column8332"/>
    <tableColumn id="8360" xr3:uid="{00000000-0010-0000-2000-0000A8200000}" name="Column8333"/>
    <tableColumn id="8361" xr3:uid="{00000000-0010-0000-2000-0000A9200000}" name="Column8334"/>
    <tableColumn id="8362" xr3:uid="{00000000-0010-0000-2000-0000AA200000}" name="Column8335"/>
    <tableColumn id="8363" xr3:uid="{00000000-0010-0000-2000-0000AB200000}" name="Column8336"/>
    <tableColumn id="8364" xr3:uid="{00000000-0010-0000-2000-0000AC200000}" name="Column8337"/>
    <tableColumn id="8365" xr3:uid="{00000000-0010-0000-2000-0000AD200000}" name="Column8338"/>
    <tableColumn id="8366" xr3:uid="{00000000-0010-0000-2000-0000AE200000}" name="Column8339"/>
    <tableColumn id="8367" xr3:uid="{00000000-0010-0000-2000-0000AF200000}" name="Column8340"/>
    <tableColumn id="8368" xr3:uid="{00000000-0010-0000-2000-0000B0200000}" name="Column8341"/>
    <tableColumn id="8369" xr3:uid="{00000000-0010-0000-2000-0000B1200000}" name="Column8342"/>
    <tableColumn id="8370" xr3:uid="{00000000-0010-0000-2000-0000B2200000}" name="Column8343"/>
    <tableColumn id="8371" xr3:uid="{00000000-0010-0000-2000-0000B3200000}" name="Column8344"/>
    <tableColumn id="8372" xr3:uid="{00000000-0010-0000-2000-0000B4200000}" name="Column8345"/>
    <tableColumn id="8373" xr3:uid="{00000000-0010-0000-2000-0000B5200000}" name="Column8346"/>
    <tableColumn id="8374" xr3:uid="{00000000-0010-0000-2000-0000B6200000}" name="Column8347"/>
    <tableColumn id="8375" xr3:uid="{00000000-0010-0000-2000-0000B7200000}" name="Column8348"/>
    <tableColumn id="8376" xr3:uid="{00000000-0010-0000-2000-0000B8200000}" name="Column8349"/>
    <tableColumn id="8377" xr3:uid="{00000000-0010-0000-2000-0000B9200000}" name="Column8350"/>
    <tableColumn id="8378" xr3:uid="{00000000-0010-0000-2000-0000BA200000}" name="Column8351"/>
    <tableColumn id="8379" xr3:uid="{00000000-0010-0000-2000-0000BB200000}" name="Column8352"/>
    <tableColumn id="8380" xr3:uid="{00000000-0010-0000-2000-0000BC200000}" name="Column8353"/>
    <tableColumn id="8381" xr3:uid="{00000000-0010-0000-2000-0000BD200000}" name="Column8354"/>
    <tableColumn id="8382" xr3:uid="{00000000-0010-0000-2000-0000BE200000}" name="Column8355"/>
    <tableColumn id="8383" xr3:uid="{00000000-0010-0000-2000-0000BF200000}" name="Column8356"/>
    <tableColumn id="8384" xr3:uid="{00000000-0010-0000-2000-0000C0200000}" name="Column8357"/>
    <tableColumn id="8385" xr3:uid="{00000000-0010-0000-2000-0000C1200000}" name="Column8358"/>
    <tableColumn id="8386" xr3:uid="{00000000-0010-0000-2000-0000C2200000}" name="Column8359"/>
    <tableColumn id="8387" xr3:uid="{00000000-0010-0000-2000-0000C3200000}" name="Column8360"/>
    <tableColumn id="8388" xr3:uid="{00000000-0010-0000-2000-0000C4200000}" name="Column8361"/>
    <tableColumn id="8389" xr3:uid="{00000000-0010-0000-2000-0000C5200000}" name="Column8362"/>
    <tableColumn id="8390" xr3:uid="{00000000-0010-0000-2000-0000C6200000}" name="Column8363"/>
    <tableColumn id="8391" xr3:uid="{00000000-0010-0000-2000-0000C7200000}" name="Column8364"/>
    <tableColumn id="8392" xr3:uid="{00000000-0010-0000-2000-0000C8200000}" name="Column8365"/>
    <tableColumn id="8393" xr3:uid="{00000000-0010-0000-2000-0000C9200000}" name="Column8366"/>
    <tableColumn id="8394" xr3:uid="{00000000-0010-0000-2000-0000CA200000}" name="Column8367"/>
    <tableColumn id="8395" xr3:uid="{00000000-0010-0000-2000-0000CB200000}" name="Column8368"/>
    <tableColumn id="8396" xr3:uid="{00000000-0010-0000-2000-0000CC200000}" name="Column8369"/>
    <tableColumn id="8397" xr3:uid="{00000000-0010-0000-2000-0000CD200000}" name="Column8370"/>
    <tableColumn id="8398" xr3:uid="{00000000-0010-0000-2000-0000CE200000}" name="Column8371"/>
    <tableColumn id="8399" xr3:uid="{00000000-0010-0000-2000-0000CF200000}" name="Column8372"/>
    <tableColumn id="8400" xr3:uid="{00000000-0010-0000-2000-0000D0200000}" name="Column8373"/>
    <tableColumn id="8401" xr3:uid="{00000000-0010-0000-2000-0000D1200000}" name="Column8374"/>
    <tableColumn id="8402" xr3:uid="{00000000-0010-0000-2000-0000D2200000}" name="Column8375"/>
    <tableColumn id="8403" xr3:uid="{00000000-0010-0000-2000-0000D3200000}" name="Column8376"/>
    <tableColumn id="8404" xr3:uid="{00000000-0010-0000-2000-0000D4200000}" name="Column8377"/>
    <tableColumn id="8405" xr3:uid="{00000000-0010-0000-2000-0000D5200000}" name="Column8378"/>
    <tableColumn id="8406" xr3:uid="{00000000-0010-0000-2000-0000D6200000}" name="Column8379"/>
    <tableColumn id="8407" xr3:uid="{00000000-0010-0000-2000-0000D7200000}" name="Column8380"/>
    <tableColumn id="8408" xr3:uid="{00000000-0010-0000-2000-0000D8200000}" name="Column8381"/>
    <tableColumn id="8409" xr3:uid="{00000000-0010-0000-2000-0000D9200000}" name="Column8382"/>
    <tableColumn id="8410" xr3:uid="{00000000-0010-0000-2000-0000DA200000}" name="Column8383"/>
    <tableColumn id="8411" xr3:uid="{00000000-0010-0000-2000-0000DB200000}" name="Column8384"/>
    <tableColumn id="8412" xr3:uid="{00000000-0010-0000-2000-0000DC200000}" name="Column8385"/>
    <tableColumn id="8413" xr3:uid="{00000000-0010-0000-2000-0000DD200000}" name="Column8386"/>
    <tableColumn id="8414" xr3:uid="{00000000-0010-0000-2000-0000DE200000}" name="Column8387"/>
    <tableColumn id="8415" xr3:uid="{00000000-0010-0000-2000-0000DF200000}" name="Column8388"/>
    <tableColumn id="8416" xr3:uid="{00000000-0010-0000-2000-0000E0200000}" name="Column8389"/>
    <tableColumn id="8417" xr3:uid="{00000000-0010-0000-2000-0000E1200000}" name="Column8390"/>
    <tableColumn id="8418" xr3:uid="{00000000-0010-0000-2000-0000E2200000}" name="Column8391"/>
    <tableColumn id="8419" xr3:uid="{00000000-0010-0000-2000-0000E3200000}" name="Column8392"/>
    <tableColumn id="8420" xr3:uid="{00000000-0010-0000-2000-0000E4200000}" name="Column8393"/>
    <tableColumn id="8421" xr3:uid="{00000000-0010-0000-2000-0000E5200000}" name="Column8394"/>
    <tableColumn id="8422" xr3:uid="{00000000-0010-0000-2000-0000E6200000}" name="Column8395"/>
    <tableColumn id="8423" xr3:uid="{00000000-0010-0000-2000-0000E7200000}" name="Column8396"/>
    <tableColumn id="8424" xr3:uid="{00000000-0010-0000-2000-0000E8200000}" name="Column8397"/>
    <tableColumn id="8425" xr3:uid="{00000000-0010-0000-2000-0000E9200000}" name="Column8398"/>
    <tableColumn id="8426" xr3:uid="{00000000-0010-0000-2000-0000EA200000}" name="Column8399"/>
    <tableColumn id="8427" xr3:uid="{00000000-0010-0000-2000-0000EB200000}" name="Column8400"/>
    <tableColumn id="8428" xr3:uid="{00000000-0010-0000-2000-0000EC200000}" name="Column8401"/>
    <tableColumn id="8429" xr3:uid="{00000000-0010-0000-2000-0000ED200000}" name="Column8402"/>
    <tableColumn id="8430" xr3:uid="{00000000-0010-0000-2000-0000EE200000}" name="Column8403"/>
    <tableColumn id="8431" xr3:uid="{00000000-0010-0000-2000-0000EF200000}" name="Column8404"/>
    <tableColumn id="8432" xr3:uid="{00000000-0010-0000-2000-0000F0200000}" name="Column8405"/>
    <tableColumn id="8433" xr3:uid="{00000000-0010-0000-2000-0000F1200000}" name="Column8406"/>
    <tableColumn id="8434" xr3:uid="{00000000-0010-0000-2000-0000F2200000}" name="Column8407"/>
    <tableColumn id="8435" xr3:uid="{00000000-0010-0000-2000-0000F3200000}" name="Column8408"/>
    <tableColumn id="8436" xr3:uid="{00000000-0010-0000-2000-0000F4200000}" name="Column8409"/>
    <tableColumn id="8437" xr3:uid="{00000000-0010-0000-2000-0000F5200000}" name="Column8410"/>
    <tableColumn id="8438" xr3:uid="{00000000-0010-0000-2000-0000F6200000}" name="Column8411"/>
    <tableColumn id="8439" xr3:uid="{00000000-0010-0000-2000-0000F7200000}" name="Column8412"/>
    <tableColumn id="8440" xr3:uid="{00000000-0010-0000-2000-0000F8200000}" name="Column8413"/>
    <tableColumn id="8441" xr3:uid="{00000000-0010-0000-2000-0000F9200000}" name="Column8414"/>
    <tableColumn id="8442" xr3:uid="{00000000-0010-0000-2000-0000FA200000}" name="Column8415"/>
    <tableColumn id="8443" xr3:uid="{00000000-0010-0000-2000-0000FB200000}" name="Column8416"/>
    <tableColumn id="8444" xr3:uid="{00000000-0010-0000-2000-0000FC200000}" name="Column8417"/>
    <tableColumn id="8445" xr3:uid="{00000000-0010-0000-2000-0000FD200000}" name="Column8418"/>
    <tableColumn id="8446" xr3:uid="{00000000-0010-0000-2000-0000FE200000}" name="Column8419"/>
    <tableColumn id="8447" xr3:uid="{00000000-0010-0000-2000-0000FF200000}" name="Column8420"/>
    <tableColumn id="8448" xr3:uid="{00000000-0010-0000-2000-000000210000}" name="Column8421"/>
    <tableColumn id="8449" xr3:uid="{00000000-0010-0000-2000-000001210000}" name="Column8422"/>
    <tableColumn id="8450" xr3:uid="{00000000-0010-0000-2000-000002210000}" name="Column8423"/>
    <tableColumn id="8451" xr3:uid="{00000000-0010-0000-2000-000003210000}" name="Column8424"/>
    <tableColumn id="8452" xr3:uid="{00000000-0010-0000-2000-000004210000}" name="Column8425"/>
    <tableColumn id="8453" xr3:uid="{00000000-0010-0000-2000-000005210000}" name="Column8426"/>
    <tableColumn id="8454" xr3:uid="{00000000-0010-0000-2000-000006210000}" name="Column8427"/>
    <tableColumn id="8455" xr3:uid="{00000000-0010-0000-2000-000007210000}" name="Column8428"/>
    <tableColumn id="8456" xr3:uid="{00000000-0010-0000-2000-000008210000}" name="Column8429"/>
    <tableColumn id="8457" xr3:uid="{00000000-0010-0000-2000-000009210000}" name="Column8430"/>
    <tableColumn id="8458" xr3:uid="{00000000-0010-0000-2000-00000A210000}" name="Column8431"/>
    <tableColumn id="8459" xr3:uid="{00000000-0010-0000-2000-00000B210000}" name="Column8432"/>
    <tableColumn id="8460" xr3:uid="{00000000-0010-0000-2000-00000C210000}" name="Column8433"/>
    <tableColumn id="8461" xr3:uid="{00000000-0010-0000-2000-00000D210000}" name="Column8434"/>
    <tableColumn id="8462" xr3:uid="{00000000-0010-0000-2000-00000E210000}" name="Column8435"/>
    <tableColumn id="8463" xr3:uid="{00000000-0010-0000-2000-00000F210000}" name="Column8436"/>
    <tableColumn id="8464" xr3:uid="{00000000-0010-0000-2000-000010210000}" name="Column8437"/>
    <tableColumn id="8465" xr3:uid="{00000000-0010-0000-2000-000011210000}" name="Column8438"/>
    <tableColumn id="8466" xr3:uid="{00000000-0010-0000-2000-000012210000}" name="Column8439"/>
    <tableColumn id="8467" xr3:uid="{00000000-0010-0000-2000-000013210000}" name="Column8440"/>
    <tableColumn id="8468" xr3:uid="{00000000-0010-0000-2000-000014210000}" name="Column8441"/>
    <tableColumn id="8469" xr3:uid="{00000000-0010-0000-2000-000015210000}" name="Column8442"/>
    <tableColumn id="8470" xr3:uid="{00000000-0010-0000-2000-000016210000}" name="Column8443"/>
    <tableColumn id="8471" xr3:uid="{00000000-0010-0000-2000-000017210000}" name="Column8444"/>
    <tableColumn id="8472" xr3:uid="{00000000-0010-0000-2000-000018210000}" name="Column8445"/>
    <tableColumn id="8473" xr3:uid="{00000000-0010-0000-2000-000019210000}" name="Column8446"/>
    <tableColumn id="8474" xr3:uid="{00000000-0010-0000-2000-00001A210000}" name="Column8447"/>
    <tableColumn id="8475" xr3:uid="{00000000-0010-0000-2000-00001B210000}" name="Column8448"/>
    <tableColumn id="8476" xr3:uid="{00000000-0010-0000-2000-00001C210000}" name="Column8449"/>
    <tableColumn id="8477" xr3:uid="{00000000-0010-0000-2000-00001D210000}" name="Column8450"/>
    <tableColumn id="8478" xr3:uid="{00000000-0010-0000-2000-00001E210000}" name="Column8451"/>
    <tableColumn id="8479" xr3:uid="{00000000-0010-0000-2000-00001F210000}" name="Column8452"/>
    <tableColumn id="8480" xr3:uid="{00000000-0010-0000-2000-000020210000}" name="Column8453"/>
    <tableColumn id="8481" xr3:uid="{00000000-0010-0000-2000-000021210000}" name="Column8454"/>
    <tableColumn id="8482" xr3:uid="{00000000-0010-0000-2000-000022210000}" name="Column8455"/>
    <tableColumn id="8483" xr3:uid="{00000000-0010-0000-2000-000023210000}" name="Column8456"/>
    <tableColumn id="8484" xr3:uid="{00000000-0010-0000-2000-000024210000}" name="Column8457"/>
    <tableColumn id="8485" xr3:uid="{00000000-0010-0000-2000-000025210000}" name="Column8458"/>
    <tableColumn id="8486" xr3:uid="{00000000-0010-0000-2000-000026210000}" name="Column8459"/>
    <tableColumn id="8487" xr3:uid="{00000000-0010-0000-2000-000027210000}" name="Column8460"/>
    <tableColumn id="8488" xr3:uid="{00000000-0010-0000-2000-000028210000}" name="Column8461"/>
    <tableColumn id="8489" xr3:uid="{00000000-0010-0000-2000-000029210000}" name="Column8462"/>
    <tableColumn id="8490" xr3:uid="{00000000-0010-0000-2000-00002A210000}" name="Column8463"/>
    <tableColumn id="8491" xr3:uid="{00000000-0010-0000-2000-00002B210000}" name="Column8464"/>
    <tableColumn id="8492" xr3:uid="{00000000-0010-0000-2000-00002C210000}" name="Column8465"/>
    <tableColumn id="8493" xr3:uid="{00000000-0010-0000-2000-00002D210000}" name="Column8466"/>
    <tableColumn id="8494" xr3:uid="{00000000-0010-0000-2000-00002E210000}" name="Column8467"/>
    <tableColumn id="8495" xr3:uid="{00000000-0010-0000-2000-00002F210000}" name="Column8468"/>
    <tableColumn id="8496" xr3:uid="{00000000-0010-0000-2000-000030210000}" name="Column8469"/>
    <tableColumn id="8497" xr3:uid="{00000000-0010-0000-2000-000031210000}" name="Column8470"/>
    <tableColumn id="8498" xr3:uid="{00000000-0010-0000-2000-000032210000}" name="Column8471"/>
    <tableColumn id="8499" xr3:uid="{00000000-0010-0000-2000-000033210000}" name="Column8472"/>
    <tableColumn id="8500" xr3:uid="{00000000-0010-0000-2000-000034210000}" name="Column8473"/>
    <tableColumn id="8501" xr3:uid="{00000000-0010-0000-2000-000035210000}" name="Column8474"/>
    <tableColumn id="8502" xr3:uid="{00000000-0010-0000-2000-000036210000}" name="Column8475"/>
    <tableColumn id="8503" xr3:uid="{00000000-0010-0000-2000-000037210000}" name="Column8476"/>
    <tableColumn id="8504" xr3:uid="{00000000-0010-0000-2000-000038210000}" name="Column8477"/>
    <tableColumn id="8505" xr3:uid="{00000000-0010-0000-2000-000039210000}" name="Column8478"/>
    <tableColumn id="8506" xr3:uid="{00000000-0010-0000-2000-00003A210000}" name="Column8479"/>
    <tableColumn id="8507" xr3:uid="{00000000-0010-0000-2000-00003B210000}" name="Column8480"/>
    <tableColumn id="8508" xr3:uid="{00000000-0010-0000-2000-00003C210000}" name="Column8481"/>
    <tableColumn id="8509" xr3:uid="{00000000-0010-0000-2000-00003D210000}" name="Column8482"/>
    <tableColumn id="8510" xr3:uid="{00000000-0010-0000-2000-00003E210000}" name="Column8483"/>
    <tableColumn id="8511" xr3:uid="{00000000-0010-0000-2000-00003F210000}" name="Column8484"/>
    <tableColumn id="8512" xr3:uid="{00000000-0010-0000-2000-000040210000}" name="Column8485"/>
    <tableColumn id="8513" xr3:uid="{00000000-0010-0000-2000-000041210000}" name="Column8486"/>
    <tableColumn id="8514" xr3:uid="{00000000-0010-0000-2000-000042210000}" name="Column8487"/>
    <tableColumn id="8515" xr3:uid="{00000000-0010-0000-2000-000043210000}" name="Column8488"/>
    <tableColumn id="8516" xr3:uid="{00000000-0010-0000-2000-000044210000}" name="Column8489"/>
    <tableColumn id="8517" xr3:uid="{00000000-0010-0000-2000-000045210000}" name="Column8490"/>
    <tableColumn id="8518" xr3:uid="{00000000-0010-0000-2000-000046210000}" name="Column8491"/>
    <tableColumn id="8519" xr3:uid="{00000000-0010-0000-2000-000047210000}" name="Column8492"/>
    <tableColumn id="8520" xr3:uid="{00000000-0010-0000-2000-000048210000}" name="Column8493"/>
    <tableColumn id="8521" xr3:uid="{00000000-0010-0000-2000-000049210000}" name="Column8494"/>
    <tableColumn id="8522" xr3:uid="{00000000-0010-0000-2000-00004A210000}" name="Column8495"/>
    <tableColumn id="8523" xr3:uid="{00000000-0010-0000-2000-00004B210000}" name="Column8496"/>
    <tableColumn id="8524" xr3:uid="{00000000-0010-0000-2000-00004C210000}" name="Column8497"/>
    <tableColumn id="8525" xr3:uid="{00000000-0010-0000-2000-00004D210000}" name="Column8498"/>
    <tableColumn id="8526" xr3:uid="{00000000-0010-0000-2000-00004E210000}" name="Column8499"/>
    <tableColumn id="8527" xr3:uid="{00000000-0010-0000-2000-00004F210000}" name="Column8500"/>
    <tableColumn id="8528" xr3:uid="{00000000-0010-0000-2000-000050210000}" name="Column8501"/>
    <tableColumn id="8529" xr3:uid="{00000000-0010-0000-2000-000051210000}" name="Column8502"/>
    <tableColumn id="8530" xr3:uid="{00000000-0010-0000-2000-000052210000}" name="Column8503"/>
    <tableColumn id="8531" xr3:uid="{00000000-0010-0000-2000-000053210000}" name="Column8504"/>
    <tableColumn id="8532" xr3:uid="{00000000-0010-0000-2000-000054210000}" name="Column8505"/>
    <tableColumn id="8533" xr3:uid="{00000000-0010-0000-2000-000055210000}" name="Column8506"/>
    <tableColumn id="8534" xr3:uid="{00000000-0010-0000-2000-000056210000}" name="Column8507"/>
    <tableColumn id="8535" xr3:uid="{00000000-0010-0000-2000-000057210000}" name="Column8508"/>
    <tableColumn id="8536" xr3:uid="{00000000-0010-0000-2000-000058210000}" name="Column8509"/>
    <tableColumn id="8537" xr3:uid="{00000000-0010-0000-2000-000059210000}" name="Column8510"/>
    <tableColumn id="8538" xr3:uid="{00000000-0010-0000-2000-00005A210000}" name="Column8511"/>
    <tableColumn id="8539" xr3:uid="{00000000-0010-0000-2000-00005B210000}" name="Column8512"/>
    <tableColumn id="8540" xr3:uid="{00000000-0010-0000-2000-00005C210000}" name="Column8513"/>
    <tableColumn id="8541" xr3:uid="{00000000-0010-0000-2000-00005D210000}" name="Column8514"/>
    <tableColumn id="8542" xr3:uid="{00000000-0010-0000-2000-00005E210000}" name="Column8515"/>
    <tableColumn id="8543" xr3:uid="{00000000-0010-0000-2000-00005F210000}" name="Column8516"/>
    <tableColumn id="8544" xr3:uid="{00000000-0010-0000-2000-000060210000}" name="Column8517"/>
    <tableColumn id="8545" xr3:uid="{00000000-0010-0000-2000-000061210000}" name="Column8518"/>
    <tableColumn id="8546" xr3:uid="{00000000-0010-0000-2000-000062210000}" name="Column8519"/>
    <tableColumn id="8547" xr3:uid="{00000000-0010-0000-2000-000063210000}" name="Column8520"/>
    <tableColumn id="8548" xr3:uid="{00000000-0010-0000-2000-000064210000}" name="Column8521"/>
    <tableColumn id="8549" xr3:uid="{00000000-0010-0000-2000-000065210000}" name="Column8522"/>
    <tableColumn id="8550" xr3:uid="{00000000-0010-0000-2000-000066210000}" name="Column8523"/>
    <tableColumn id="8551" xr3:uid="{00000000-0010-0000-2000-000067210000}" name="Column8524"/>
    <tableColumn id="8552" xr3:uid="{00000000-0010-0000-2000-000068210000}" name="Column8525"/>
    <tableColumn id="8553" xr3:uid="{00000000-0010-0000-2000-000069210000}" name="Column8526"/>
    <tableColumn id="8554" xr3:uid="{00000000-0010-0000-2000-00006A210000}" name="Column8527"/>
    <tableColumn id="8555" xr3:uid="{00000000-0010-0000-2000-00006B210000}" name="Column8528"/>
    <tableColumn id="8556" xr3:uid="{00000000-0010-0000-2000-00006C210000}" name="Column8529"/>
    <tableColumn id="8557" xr3:uid="{00000000-0010-0000-2000-00006D210000}" name="Column8530"/>
    <tableColumn id="8558" xr3:uid="{00000000-0010-0000-2000-00006E210000}" name="Column8531"/>
    <tableColumn id="8559" xr3:uid="{00000000-0010-0000-2000-00006F210000}" name="Column8532"/>
    <tableColumn id="8560" xr3:uid="{00000000-0010-0000-2000-000070210000}" name="Column8533"/>
    <tableColumn id="8561" xr3:uid="{00000000-0010-0000-2000-000071210000}" name="Column8534"/>
    <tableColumn id="8562" xr3:uid="{00000000-0010-0000-2000-000072210000}" name="Column8535"/>
    <tableColumn id="8563" xr3:uid="{00000000-0010-0000-2000-000073210000}" name="Column8536"/>
    <tableColumn id="8564" xr3:uid="{00000000-0010-0000-2000-000074210000}" name="Column8537"/>
    <tableColumn id="8565" xr3:uid="{00000000-0010-0000-2000-000075210000}" name="Column8538"/>
    <tableColumn id="8566" xr3:uid="{00000000-0010-0000-2000-000076210000}" name="Column8539"/>
    <tableColumn id="8567" xr3:uid="{00000000-0010-0000-2000-000077210000}" name="Column8540"/>
    <tableColumn id="8568" xr3:uid="{00000000-0010-0000-2000-000078210000}" name="Column8541"/>
    <tableColumn id="8569" xr3:uid="{00000000-0010-0000-2000-000079210000}" name="Column8542"/>
    <tableColumn id="8570" xr3:uid="{00000000-0010-0000-2000-00007A210000}" name="Column8543"/>
    <tableColumn id="8571" xr3:uid="{00000000-0010-0000-2000-00007B210000}" name="Column8544"/>
    <tableColumn id="8572" xr3:uid="{00000000-0010-0000-2000-00007C210000}" name="Column8545"/>
    <tableColumn id="8573" xr3:uid="{00000000-0010-0000-2000-00007D210000}" name="Column8546"/>
    <tableColumn id="8574" xr3:uid="{00000000-0010-0000-2000-00007E210000}" name="Column8547"/>
    <tableColumn id="8575" xr3:uid="{00000000-0010-0000-2000-00007F210000}" name="Column8548"/>
    <tableColumn id="8576" xr3:uid="{00000000-0010-0000-2000-000080210000}" name="Column8549"/>
    <tableColumn id="8577" xr3:uid="{00000000-0010-0000-2000-000081210000}" name="Column8550"/>
    <tableColumn id="8578" xr3:uid="{00000000-0010-0000-2000-000082210000}" name="Column8551"/>
    <tableColumn id="8579" xr3:uid="{00000000-0010-0000-2000-000083210000}" name="Column8552"/>
    <tableColumn id="8580" xr3:uid="{00000000-0010-0000-2000-000084210000}" name="Column8553"/>
    <tableColumn id="8581" xr3:uid="{00000000-0010-0000-2000-000085210000}" name="Column8554"/>
    <tableColumn id="8582" xr3:uid="{00000000-0010-0000-2000-000086210000}" name="Column8555"/>
    <tableColumn id="8583" xr3:uid="{00000000-0010-0000-2000-000087210000}" name="Column8556"/>
    <tableColumn id="8584" xr3:uid="{00000000-0010-0000-2000-000088210000}" name="Column8557"/>
    <tableColumn id="8585" xr3:uid="{00000000-0010-0000-2000-000089210000}" name="Column8558"/>
    <tableColumn id="8586" xr3:uid="{00000000-0010-0000-2000-00008A210000}" name="Column8559"/>
    <tableColumn id="8587" xr3:uid="{00000000-0010-0000-2000-00008B210000}" name="Column8560"/>
    <tableColumn id="8588" xr3:uid="{00000000-0010-0000-2000-00008C210000}" name="Column8561"/>
    <tableColumn id="8589" xr3:uid="{00000000-0010-0000-2000-00008D210000}" name="Column8562"/>
    <tableColumn id="8590" xr3:uid="{00000000-0010-0000-2000-00008E210000}" name="Column8563"/>
    <tableColumn id="8591" xr3:uid="{00000000-0010-0000-2000-00008F210000}" name="Column8564"/>
    <tableColumn id="8592" xr3:uid="{00000000-0010-0000-2000-000090210000}" name="Column8565"/>
    <tableColumn id="8593" xr3:uid="{00000000-0010-0000-2000-000091210000}" name="Column8566"/>
    <tableColumn id="8594" xr3:uid="{00000000-0010-0000-2000-000092210000}" name="Column8567"/>
    <tableColumn id="8595" xr3:uid="{00000000-0010-0000-2000-000093210000}" name="Column8568"/>
    <tableColumn id="8596" xr3:uid="{00000000-0010-0000-2000-000094210000}" name="Column8569"/>
    <tableColumn id="8597" xr3:uid="{00000000-0010-0000-2000-000095210000}" name="Column8570"/>
    <tableColumn id="8598" xr3:uid="{00000000-0010-0000-2000-000096210000}" name="Column8571"/>
    <tableColumn id="8599" xr3:uid="{00000000-0010-0000-2000-000097210000}" name="Column8572"/>
    <tableColumn id="8600" xr3:uid="{00000000-0010-0000-2000-000098210000}" name="Column8573"/>
    <tableColumn id="8601" xr3:uid="{00000000-0010-0000-2000-000099210000}" name="Column8574"/>
    <tableColumn id="8602" xr3:uid="{00000000-0010-0000-2000-00009A210000}" name="Column8575"/>
    <tableColumn id="8603" xr3:uid="{00000000-0010-0000-2000-00009B210000}" name="Column8576"/>
    <tableColumn id="8604" xr3:uid="{00000000-0010-0000-2000-00009C210000}" name="Column8577"/>
    <tableColumn id="8605" xr3:uid="{00000000-0010-0000-2000-00009D210000}" name="Column8578"/>
    <tableColumn id="8606" xr3:uid="{00000000-0010-0000-2000-00009E210000}" name="Column8579"/>
    <tableColumn id="8607" xr3:uid="{00000000-0010-0000-2000-00009F210000}" name="Column8580"/>
    <tableColumn id="8608" xr3:uid="{00000000-0010-0000-2000-0000A0210000}" name="Column8581"/>
    <tableColumn id="8609" xr3:uid="{00000000-0010-0000-2000-0000A1210000}" name="Column8582"/>
    <tableColumn id="8610" xr3:uid="{00000000-0010-0000-2000-0000A2210000}" name="Column8583"/>
    <tableColumn id="8611" xr3:uid="{00000000-0010-0000-2000-0000A3210000}" name="Column8584"/>
    <tableColumn id="8612" xr3:uid="{00000000-0010-0000-2000-0000A4210000}" name="Column8585"/>
    <tableColumn id="8613" xr3:uid="{00000000-0010-0000-2000-0000A5210000}" name="Column8586"/>
    <tableColumn id="8614" xr3:uid="{00000000-0010-0000-2000-0000A6210000}" name="Column8587"/>
    <tableColumn id="8615" xr3:uid="{00000000-0010-0000-2000-0000A7210000}" name="Column8588"/>
    <tableColumn id="8616" xr3:uid="{00000000-0010-0000-2000-0000A8210000}" name="Column8589"/>
    <tableColumn id="8617" xr3:uid="{00000000-0010-0000-2000-0000A9210000}" name="Column8590"/>
    <tableColumn id="8618" xr3:uid="{00000000-0010-0000-2000-0000AA210000}" name="Column8591"/>
    <tableColumn id="8619" xr3:uid="{00000000-0010-0000-2000-0000AB210000}" name="Column8592"/>
    <tableColumn id="8620" xr3:uid="{00000000-0010-0000-2000-0000AC210000}" name="Column8593"/>
    <tableColumn id="8621" xr3:uid="{00000000-0010-0000-2000-0000AD210000}" name="Column8594"/>
    <tableColumn id="8622" xr3:uid="{00000000-0010-0000-2000-0000AE210000}" name="Column8595"/>
    <tableColumn id="8623" xr3:uid="{00000000-0010-0000-2000-0000AF210000}" name="Column8596"/>
    <tableColumn id="8624" xr3:uid="{00000000-0010-0000-2000-0000B0210000}" name="Column8597"/>
    <tableColumn id="8625" xr3:uid="{00000000-0010-0000-2000-0000B1210000}" name="Column8598"/>
    <tableColumn id="8626" xr3:uid="{00000000-0010-0000-2000-0000B2210000}" name="Column8599"/>
    <tableColumn id="8627" xr3:uid="{00000000-0010-0000-2000-0000B3210000}" name="Column8600"/>
    <tableColumn id="8628" xr3:uid="{00000000-0010-0000-2000-0000B4210000}" name="Column8601"/>
    <tableColumn id="8629" xr3:uid="{00000000-0010-0000-2000-0000B5210000}" name="Column8602"/>
    <tableColumn id="8630" xr3:uid="{00000000-0010-0000-2000-0000B6210000}" name="Column8603"/>
    <tableColumn id="8631" xr3:uid="{00000000-0010-0000-2000-0000B7210000}" name="Column8604"/>
    <tableColumn id="8632" xr3:uid="{00000000-0010-0000-2000-0000B8210000}" name="Column8605"/>
    <tableColumn id="8633" xr3:uid="{00000000-0010-0000-2000-0000B9210000}" name="Column8606"/>
    <tableColumn id="8634" xr3:uid="{00000000-0010-0000-2000-0000BA210000}" name="Column8607"/>
    <tableColumn id="8635" xr3:uid="{00000000-0010-0000-2000-0000BB210000}" name="Column8608"/>
    <tableColumn id="8636" xr3:uid="{00000000-0010-0000-2000-0000BC210000}" name="Column8609"/>
    <tableColumn id="8637" xr3:uid="{00000000-0010-0000-2000-0000BD210000}" name="Column8610"/>
    <tableColumn id="8638" xr3:uid="{00000000-0010-0000-2000-0000BE210000}" name="Column8611"/>
    <tableColumn id="8639" xr3:uid="{00000000-0010-0000-2000-0000BF210000}" name="Column8612"/>
    <tableColumn id="8640" xr3:uid="{00000000-0010-0000-2000-0000C0210000}" name="Column8613"/>
    <tableColumn id="8641" xr3:uid="{00000000-0010-0000-2000-0000C1210000}" name="Column8614"/>
    <tableColumn id="8642" xr3:uid="{00000000-0010-0000-2000-0000C2210000}" name="Column8615"/>
    <tableColumn id="8643" xr3:uid="{00000000-0010-0000-2000-0000C3210000}" name="Column8616"/>
    <tableColumn id="8644" xr3:uid="{00000000-0010-0000-2000-0000C4210000}" name="Column8617"/>
    <tableColumn id="8645" xr3:uid="{00000000-0010-0000-2000-0000C5210000}" name="Column8618"/>
    <tableColumn id="8646" xr3:uid="{00000000-0010-0000-2000-0000C6210000}" name="Column8619"/>
    <tableColumn id="8647" xr3:uid="{00000000-0010-0000-2000-0000C7210000}" name="Column8620"/>
    <tableColumn id="8648" xr3:uid="{00000000-0010-0000-2000-0000C8210000}" name="Column8621"/>
    <tableColumn id="8649" xr3:uid="{00000000-0010-0000-2000-0000C9210000}" name="Column8622"/>
    <tableColumn id="8650" xr3:uid="{00000000-0010-0000-2000-0000CA210000}" name="Column8623"/>
    <tableColumn id="8651" xr3:uid="{00000000-0010-0000-2000-0000CB210000}" name="Column8624"/>
    <tableColumn id="8652" xr3:uid="{00000000-0010-0000-2000-0000CC210000}" name="Column8625"/>
    <tableColumn id="8653" xr3:uid="{00000000-0010-0000-2000-0000CD210000}" name="Column8626"/>
    <tableColumn id="8654" xr3:uid="{00000000-0010-0000-2000-0000CE210000}" name="Column8627"/>
    <tableColumn id="8655" xr3:uid="{00000000-0010-0000-2000-0000CF210000}" name="Column8628"/>
    <tableColumn id="8656" xr3:uid="{00000000-0010-0000-2000-0000D0210000}" name="Column8629"/>
    <tableColumn id="8657" xr3:uid="{00000000-0010-0000-2000-0000D1210000}" name="Column8630"/>
    <tableColumn id="8658" xr3:uid="{00000000-0010-0000-2000-0000D2210000}" name="Column8631"/>
    <tableColumn id="8659" xr3:uid="{00000000-0010-0000-2000-0000D3210000}" name="Column8632"/>
    <tableColumn id="8660" xr3:uid="{00000000-0010-0000-2000-0000D4210000}" name="Column8633"/>
    <tableColumn id="8661" xr3:uid="{00000000-0010-0000-2000-0000D5210000}" name="Column8634"/>
    <tableColumn id="8662" xr3:uid="{00000000-0010-0000-2000-0000D6210000}" name="Column8635"/>
    <tableColumn id="8663" xr3:uid="{00000000-0010-0000-2000-0000D7210000}" name="Column8636"/>
    <tableColumn id="8664" xr3:uid="{00000000-0010-0000-2000-0000D8210000}" name="Column8637"/>
    <tableColumn id="8665" xr3:uid="{00000000-0010-0000-2000-0000D9210000}" name="Column8638"/>
    <tableColumn id="8666" xr3:uid="{00000000-0010-0000-2000-0000DA210000}" name="Column8639"/>
    <tableColumn id="8667" xr3:uid="{00000000-0010-0000-2000-0000DB210000}" name="Column8640"/>
    <tableColumn id="8668" xr3:uid="{00000000-0010-0000-2000-0000DC210000}" name="Column8641"/>
    <tableColumn id="8669" xr3:uid="{00000000-0010-0000-2000-0000DD210000}" name="Column8642"/>
    <tableColumn id="8670" xr3:uid="{00000000-0010-0000-2000-0000DE210000}" name="Column8643"/>
    <tableColumn id="8671" xr3:uid="{00000000-0010-0000-2000-0000DF210000}" name="Column8644"/>
    <tableColumn id="8672" xr3:uid="{00000000-0010-0000-2000-0000E0210000}" name="Column8645"/>
    <tableColumn id="8673" xr3:uid="{00000000-0010-0000-2000-0000E1210000}" name="Column8646"/>
    <tableColumn id="8674" xr3:uid="{00000000-0010-0000-2000-0000E2210000}" name="Column8647"/>
    <tableColumn id="8675" xr3:uid="{00000000-0010-0000-2000-0000E3210000}" name="Column8648"/>
    <tableColumn id="8676" xr3:uid="{00000000-0010-0000-2000-0000E4210000}" name="Column8649"/>
    <tableColumn id="8677" xr3:uid="{00000000-0010-0000-2000-0000E5210000}" name="Column8650"/>
    <tableColumn id="8678" xr3:uid="{00000000-0010-0000-2000-0000E6210000}" name="Column8651"/>
    <tableColumn id="8679" xr3:uid="{00000000-0010-0000-2000-0000E7210000}" name="Column8652"/>
    <tableColumn id="8680" xr3:uid="{00000000-0010-0000-2000-0000E8210000}" name="Column8653"/>
    <tableColumn id="8681" xr3:uid="{00000000-0010-0000-2000-0000E9210000}" name="Column8654"/>
    <tableColumn id="8682" xr3:uid="{00000000-0010-0000-2000-0000EA210000}" name="Column8655"/>
    <tableColumn id="8683" xr3:uid="{00000000-0010-0000-2000-0000EB210000}" name="Column8656"/>
    <tableColumn id="8684" xr3:uid="{00000000-0010-0000-2000-0000EC210000}" name="Column8657"/>
    <tableColumn id="8685" xr3:uid="{00000000-0010-0000-2000-0000ED210000}" name="Column8658"/>
    <tableColumn id="8686" xr3:uid="{00000000-0010-0000-2000-0000EE210000}" name="Column8659"/>
    <tableColumn id="8687" xr3:uid="{00000000-0010-0000-2000-0000EF210000}" name="Column8660"/>
    <tableColumn id="8688" xr3:uid="{00000000-0010-0000-2000-0000F0210000}" name="Column8661"/>
    <tableColumn id="8689" xr3:uid="{00000000-0010-0000-2000-0000F1210000}" name="Column8662"/>
    <tableColumn id="8690" xr3:uid="{00000000-0010-0000-2000-0000F2210000}" name="Column8663"/>
    <tableColumn id="8691" xr3:uid="{00000000-0010-0000-2000-0000F3210000}" name="Column8664"/>
    <tableColumn id="8692" xr3:uid="{00000000-0010-0000-2000-0000F4210000}" name="Column8665"/>
    <tableColumn id="8693" xr3:uid="{00000000-0010-0000-2000-0000F5210000}" name="Column8666"/>
    <tableColumn id="8694" xr3:uid="{00000000-0010-0000-2000-0000F6210000}" name="Column8667"/>
    <tableColumn id="8695" xr3:uid="{00000000-0010-0000-2000-0000F7210000}" name="Column8668"/>
    <tableColumn id="8696" xr3:uid="{00000000-0010-0000-2000-0000F8210000}" name="Column8669"/>
    <tableColumn id="8697" xr3:uid="{00000000-0010-0000-2000-0000F9210000}" name="Column8670"/>
    <tableColumn id="8698" xr3:uid="{00000000-0010-0000-2000-0000FA210000}" name="Column8671"/>
    <tableColumn id="8699" xr3:uid="{00000000-0010-0000-2000-0000FB210000}" name="Column8672"/>
    <tableColumn id="8700" xr3:uid="{00000000-0010-0000-2000-0000FC210000}" name="Column8673"/>
    <tableColumn id="8701" xr3:uid="{00000000-0010-0000-2000-0000FD210000}" name="Column8674"/>
    <tableColumn id="8702" xr3:uid="{00000000-0010-0000-2000-0000FE210000}" name="Column8675"/>
    <tableColumn id="8703" xr3:uid="{00000000-0010-0000-2000-0000FF210000}" name="Column8676"/>
    <tableColumn id="8704" xr3:uid="{00000000-0010-0000-2000-000000220000}" name="Column8677"/>
    <tableColumn id="8705" xr3:uid="{00000000-0010-0000-2000-000001220000}" name="Column8678"/>
    <tableColumn id="8706" xr3:uid="{00000000-0010-0000-2000-000002220000}" name="Column8679"/>
    <tableColumn id="8707" xr3:uid="{00000000-0010-0000-2000-000003220000}" name="Column8680"/>
    <tableColumn id="8708" xr3:uid="{00000000-0010-0000-2000-000004220000}" name="Column8681"/>
    <tableColumn id="8709" xr3:uid="{00000000-0010-0000-2000-000005220000}" name="Column8682"/>
    <tableColumn id="8710" xr3:uid="{00000000-0010-0000-2000-000006220000}" name="Column8683"/>
    <tableColumn id="8711" xr3:uid="{00000000-0010-0000-2000-000007220000}" name="Column8684"/>
    <tableColumn id="8712" xr3:uid="{00000000-0010-0000-2000-000008220000}" name="Column8685"/>
    <tableColumn id="8713" xr3:uid="{00000000-0010-0000-2000-000009220000}" name="Column8686"/>
    <tableColumn id="8714" xr3:uid="{00000000-0010-0000-2000-00000A220000}" name="Column8687"/>
    <tableColumn id="8715" xr3:uid="{00000000-0010-0000-2000-00000B220000}" name="Column8688"/>
    <tableColumn id="8716" xr3:uid="{00000000-0010-0000-2000-00000C220000}" name="Column8689"/>
    <tableColumn id="8717" xr3:uid="{00000000-0010-0000-2000-00000D220000}" name="Column8690"/>
    <tableColumn id="8718" xr3:uid="{00000000-0010-0000-2000-00000E220000}" name="Column8691"/>
    <tableColumn id="8719" xr3:uid="{00000000-0010-0000-2000-00000F220000}" name="Column8692"/>
    <tableColumn id="8720" xr3:uid="{00000000-0010-0000-2000-000010220000}" name="Column8693"/>
    <tableColumn id="8721" xr3:uid="{00000000-0010-0000-2000-000011220000}" name="Column8694"/>
    <tableColumn id="8722" xr3:uid="{00000000-0010-0000-2000-000012220000}" name="Column8695"/>
    <tableColumn id="8723" xr3:uid="{00000000-0010-0000-2000-000013220000}" name="Column8696"/>
    <tableColumn id="8724" xr3:uid="{00000000-0010-0000-2000-000014220000}" name="Column8697"/>
    <tableColumn id="8725" xr3:uid="{00000000-0010-0000-2000-000015220000}" name="Column8698"/>
    <tableColumn id="8726" xr3:uid="{00000000-0010-0000-2000-000016220000}" name="Column8699"/>
    <tableColumn id="8727" xr3:uid="{00000000-0010-0000-2000-000017220000}" name="Column8700"/>
    <tableColumn id="8728" xr3:uid="{00000000-0010-0000-2000-000018220000}" name="Column8701"/>
    <tableColumn id="8729" xr3:uid="{00000000-0010-0000-2000-000019220000}" name="Column8702"/>
    <tableColumn id="8730" xr3:uid="{00000000-0010-0000-2000-00001A220000}" name="Column8703"/>
    <tableColumn id="8731" xr3:uid="{00000000-0010-0000-2000-00001B220000}" name="Column8704"/>
    <tableColumn id="8732" xr3:uid="{00000000-0010-0000-2000-00001C220000}" name="Column8705"/>
    <tableColumn id="8733" xr3:uid="{00000000-0010-0000-2000-00001D220000}" name="Column8706"/>
    <tableColumn id="8734" xr3:uid="{00000000-0010-0000-2000-00001E220000}" name="Column8707"/>
    <tableColumn id="8735" xr3:uid="{00000000-0010-0000-2000-00001F220000}" name="Column8708"/>
    <tableColumn id="8736" xr3:uid="{00000000-0010-0000-2000-000020220000}" name="Column8709"/>
    <tableColumn id="8737" xr3:uid="{00000000-0010-0000-2000-000021220000}" name="Column8710"/>
    <tableColumn id="8738" xr3:uid="{00000000-0010-0000-2000-000022220000}" name="Column8711"/>
    <tableColumn id="8739" xr3:uid="{00000000-0010-0000-2000-000023220000}" name="Column8712"/>
    <tableColumn id="8740" xr3:uid="{00000000-0010-0000-2000-000024220000}" name="Column8713"/>
    <tableColumn id="8741" xr3:uid="{00000000-0010-0000-2000-000025220000}" name="Column8714"/>
    <tableColumn id="8742" xr3:uid="{00000000-0010-0000-2000-000026220000}" name="Column8715"/>
    <tableColumn id="8743" xr3:uid="{00000000-0010-0000-2000-000027220000}" name="Column8716"/>
    <tableColumn id="8744" xr3:uid="{00000000-0010-0000-2000-000028220000}" name="Column8717"/>
    <tableColumn id="8745" xr3:uid="{00000000-0010-0000-2000-000029220000}" name="Column8718"/>
    <tableColumn id="8746" xr3:uid="{00000000-0010-0000-2000-00002A220000}" name="Column8719"/>
    <tableColumn id="8747" xr3:uid="{00000000-0010-0000-2000-00002B220000}" name="Column8720"/>
    <tableColumn id="8748" xr3:uid="{00000000-0010-0000-2000-00002C220000}" name="Column8721"/>
    <tableColumn id="8749" xr3:uid="{00000000-0010-0000-2000-00002D220000}" name="Column8722"/>
    <tableColumn id="8750" xr3:uid="{00000000-0010-0000-2000-00002E220000}" name="Column8723"/>
    <tableColumn id="8751" xr3:uid="{00000000-0010-0000-2000-00002F220000}" name="Column8724"/>
    <tableColumn id="8752" xr3:uid="{00000000-0010-0000-2000-000030220000}" name="Column8725"/>
    <tableColumn id="8753" xr3:uid="{00000000-0010-0000-2000-000031220000}" name="Column8726"/>
    <tableColumn id="8754" xr3:uid="{00000000-0010-0000-2000-000032220000}" name="Column8727"/>
    <tableColumn id="8755" xr3:uid="{00000000-0010-0000-2000-000033220000}" name="Column8728"/>
    <tableColumn id="8756" xr3:uid="{00000000-0010-0000-2000-000034220000}" name="Column8729"/>
    <tableColumn id="8757" xr3:uid="{00000000-0010-0000-2000-000035220000}" name="Column8730"/>
    <tableColumn id="8758" xr3:uid="{00000000-0010-0000-2000-000036220000}" name="Column8731"/>
    <tableColumn id="8759" xr3:uid="{00000000-0010-0000-2000-000037220000}" name="Column8732"/>
    <tableColumn id="8760" xr3:uid="{00000000-0010-0000-2000-000038220000}" name="Column8733"/>
    <tableColumn id="8761" xr3:uid="{00000000-0010-0000-2000-000039220000}" name="Column8734"/>
    <tableColumn id="8762" xr3:uid="{00000000-0010-0000-2000-00003A220000}" name="Column8735"/>
    <tableColumn id="8763" xr3:uid="{00000000-0010-0000-2000-00003B220000}" name="Column8736"/>
    <tableColumn id="8764" xr3:uid="{00000000-0010-0000-2000-00003C220000}" name="Column8737"/>
    <tableColumn id="8765" xr3:uid="{00000000-0010-0000-2000-00003D220000}" name="Column8738"/>
    <tableColumn id="8766" xr3:uid="{00000000-0010-0000-2000-00003E220000}" name="Column8739"/>
    <tableColumn id="8767" xr3:uid="{00000000-0010-0000-2000-00003F220000}" name="Column8740"/>
    <tableColumn id="8768" xr3:uid="{00000000-0010-0000-2000-000040220000}" name="Column8741"/>
    <tableColumn id="8769" xr3:uid="{00000000-0010-0000-2000-000041220000}" name="Column8742"/>
    <tableColumn id="8770" xr3:uid="{00000000-0010-0000-2000-000042220000}" name="Column8743"/>
    <tableColumn id="8771" xr3:uid="{00000000-0010-0000-2000-000043220000}" name="Column8744"/>
    <tableColumn id="8772" xr3:uid="{00000000-0010-0000-2000-000044220000}" name="Column8745"/>
    <tableColumn id="8773" xr3:uid="{00000000-0010-0000-2000-000045220000}" name="Column8746"/>
    <tableColumn id="8774" xr3:uid="{00000000-0010-0000-2000-000046220000}" name="Column8747"/>
    <tableColumn id="8775" xr3:uid="{00000000-0010-0000-2000-000047220000}" name="Column8748"/>
    <tableColumn id="8776" xr3:uid="{00000000-0010-0000-2000-000048220000}" name="Column8749"/>
    <tableColumn id="8777" xr3:uid="{00000000-0010-0000-2000-000049220000}" name="Column8750"/>
    <tableColumn id="8778" xr3:uid="{00000000-0010-0000-2000-00004A220000}" name="Column8751"/>
    <tableColumn id="8779" xr3:uid="{00000000-0010-0000-2000-00004B220000}" name="Column8752"/>
    <tableColumn id="8780" xr3:uid="{00000000-0010-0000-2000-00004C220000}" name="Column8753"/>
    <tableColumn id="8781" xr3:uid="{00000000-0010-0000-2000-00004D220000}" name="Column8754"/>
    <tableColumn id="8782" xr3:uid="{00000000-0010-0000-2000-00004E220000}" name="Column8755"/>
    <tableColumn id="8783" xr3:uid="{00000000-0010-0000-2000-00004F220000}" name="Column8756"/>
    <tableColumn id="8784" xr3:uid="{00000000-0010-0000-2000-000050220000}" name="Column8757"/>
    <tableColumn id="8785" xr3:uid="{00000000-0010-0000-2000-000051220000}" name="Column8758"/>
    <tableColumn id="8786" xr3:uid="{00000000-0010-0000-2000-000052220000}" name="Column8759"/>
    <tableColumn id="8787" xr3:uid="{00000000-0010-0000-2000-000053220000}" name="Column8760"/>
    <tableColumn id="8788" xr3:uid="{00000000-0010-0000-2000-000054220000}" name="Column8761"/>
    <tableColumn id="8789" xr3:uid="{00000000-0010-0000-2000-000055220000}" name="Column8762"/>
    <tableColumn id="8790" xr3:uid="{00000000-0010-0000-2000-000056220000}" name="Column8763"/>
    <tableColumn id="8791" xr3:uid="{00000000-0010-0000-2000-000057220000}" name="Column8764"/>
    <tableColumn id="8792" xr3:uid="{00000000-0010-0000-2000-000058220000}" name="Column8765"/>
    <tableColumn id="8793" xr3:uid="{00000000-0010-0000-2000-000059220000}" name="Column8766"/>
    <tableColumn id="8794" xr3:uid="{00000000-0010-0000-2000-00005A220000}" name="Column8767"/>
    <tableColumn id="8795" xr3:uid="{00000000-0010-0000-2000-00005B220000}" name="Column8768"/>
    <tableColumn id="8796" xr3:uid="{00000000-0010-0000-2000-00005C220000}" name="Column8769"/>
    <tableColumn id="8797" xr3:uid="{00000000-0010-0000-2000-00005D220000}" name="Column8770"/>
    <tableColumn id="8798" xr3:uid="{00000000-0010-0000-2000-00005E220000}" name="Column8771"/>
    <tableColumn id="8799" xr3:uid="{00000000-0010-0000-2000-00005F220000}" name="Column8772"/>
    <tableColumn id="8800" xr3:uid="{00000000-0010-0000-2000-000060220000}" name="Column8773"/>
    <tableColumn id="8801" xr3:uid="{00000000-0010-0000-2000-000061220000}" name="Column8774"/>
    <tableColumn id="8802" xr3:uid="{00000000-0010-0000-2000-000062220000}" name="Column8775"/>
    <tableColumn id="8803" xr3:uid="{00000000-0010-0000-2000-000063220000}" name="Column8776"/>
    <tableColumn id="8804" xr3:uid="{00000000-0010-0000-2000-000064220000}" name="Column8777"/>
    <tableColumn id="8805" xr3:uid="{00000000-0010-0000-2000-000065220000}" name="Column8778"/>
    <tableColumn id="8806" xr3:uid="{00000000-0010-0000-2000-000066220000}" name="Column8779"/>
    <tableColumn id="8807" xr3:uid="{00000000-0010-0000-2000-000067220000}" name="Column8780"/>
    <tableColumn id="8808" xr3:uid="{00000000-0010-0000-2000-000068220000}" name="Column8781"/>
    <tableColumn id="8809" xr3:uid="{00000000-0010-0000-2000-000069220000}" name="Column8782"/>
    <tableColumn id="8810" xr3:uid="{00000000-0010-0000-2000-00006A220000}" name="Column8783"/>
    <tableColumn id="8811" xr3:uid="{00000000-0010-0000-2000-00006B220000}" name="Column8784"/>
    <tableColumn id="8812" xr3:uid="{00000000-0010-0000-2000-00006C220000}" name="Column8785"/>
    <tableColumn id="8813" xr3:uid="{00000000-0010-0000-2000-00006D220000}" name="Column8786"/>
    <tableColumn id="8814" xr3:uid="{00000000-0010-0000-2000-00006E220000}" name="Column8787"/>
    <tableColumn id="8815" xr3:uid="{00000000-0010-0000-2000-00006F220000}" name="Column8788"/>
    <tableColumn id="8816" xr3:uid="{00000000-0010-0000-2000-000070220000}" name="Column8789"/>
    <tableColumn id="8817" xr3:uid="{00000000-0010-0000-2000-000071220000}" name="Column8790"/>
    <tableColumn id="8818" xr3:uid="{00000000-0010-0000-2000-000072220000}" name="Column8791"/>
    <tableColumn id="8819" xr3:uid="{00000000-0010-0000-2000-000073220000}" name="Column8792"/>
    <tableColumn id="8820" xr3:uid="{00000000-0010-0000-2000-000074220000}" name="Column8793"/>
    <tableColumn id="8821" xr3:uid="{00000000-0010-0000-2000-000075220000}" name="Column8794"/>
    <tableColumn id="8822" xr3:uid="{00000000-0010-0000-2000-000076220000}" name="Column8795"/>
    <tableColumn id="8823" xr3:uid="{00000000-0010-0000-2000-000077220000}" name="Column8796"/>
    <tableColumn id="8824" xr3:uid="{00000000-0010-0000-2000-000078220000}" name="Column8797"/>
    <tableColumn id="8825" xr3:uid="{00000000-0010-0000-2000-000079220000}" name="Column8798"/>
    <tableColumn id="8826" xr3:uid="{00000000-0010-0000-2000-00007A220000}" name="Column8799"/>
    <tableColumn id="8827" xr3:uid="{00000000-0010-0000-2000-00007B220000}" name="Column8800"/>
    <tableColumn id="8828" xr3:uid="{00000000-0010-0000-2000-00007C220000}" name="Column8801"/>
    <tableColumn id="8829" xr3:uid="{00000000-0010-0000-2000-00007D220000}" name="Column8802"/>
    <tableColumn id="8830" xr3:uid="{00000000-0010-0000-2000-00007E220000}" name="Column8803"/>
    <tableColumn id="8831" xr3:uid="{00000000-0010-0000-2000-00007F220000}" name="Column8804"/>
    <tableColumn id="8832" xr3:uid="{00000000-0010-0000-2000-000080220000}" name="Column8805"/>
    <tableColumn id="8833" xr3:uid="{00000000-0010-0000-2000-000081220000}" name="Column8806"/>
    <tableColumn id="8834" xr3:uid="{00000000-0010-0000-2000-000082220000}" name="Column8807"/>
    <tableColumn id="8835" xr3:uid="{00000000-0010-0000-2000-000083220000}" name="Column8808"/>
    <tableColumn id="8836" xr3:uid="{00000000-0010-0000-2000-000084220000}" name="Column8809"/>
    <tableColumn id="8837" xr3:uid="{00000000-0010-0000-2000-000085220000}" name="Column8810"/>
    <tableColumn id="8838" xr3:uid="{00000000-0010-0000-2000-000086220000}" name="Column8811"/>
    <tableColumn id="8839" xr3:uid="{00000000-0010-0000-2000-000087220000}" name="Column8812"/>
    <tableColumn id="8840" xr3:uid="{00000000-0010-0000-2000-000088220000}" name="Column8813"/>
    <tableColumn id="8841" xr3:uid="{00000000-0010-0000-2000-000089220000}" name="Column8814"/>
    <tableColumn id="8842" xr3:uid="{00000000-0010-0000-2000-00008A220000}" name="Column8815"/>
    <tableColumn id="8843" xr3:uid="{00000000-0010-0000-2000-00008B220000}" name="Column8816"/>
    <tableColumn id="8844" xr3:uid="{00000000-0010-0000-2000-00008C220000}" name="Column8817"/>
    <tableColumn id="8845" xr3:uid="{00000000-0010-0000-2000-00008D220000}" name="Column8818"/>
    <tableColumn id="8846" xr3:uid="{00000000-0010-0000-2000-00008E220000}" name="Column8819"/>
    <tableColumn id="8847" xr3:uid="{00000000-0010-0000-2000-00008F220000}" name="Column8820"/>
    <tableColumn id="8848" xr3:uid="{00000000-0010-0000-2000-000090220000}" name="Column8821"/>
    <tableColumn id="8849" xr3:uid="{00000000-0010-0000-2000-000091220000}" name="Column8822"/>
    <tableColumn id="8850" xr3:uid="{00000000-0010-0000-2000-000092220000}" name="Column8823"/>
    <tableColumn id="8851" xr3:uid="{00000000-0010-0000-2000-000093220000}" name="Column8824"/>
    <tableColumn id="8852" xr3:uid="{00000000-0010-0000-2000-000094220000}" name="Column8825"/>
    <tableColumn id="8853" xr3:uid="{00000000-0010-0000-2000-000095220000}" name="Column8826"/>
    <tableColumn id="8854" xr3:uid="{00000000-0010-0000-2000-000096220000}" name="Column8827"/>
    <tableColumn id="8855" xr3:uid="{00000000-0010-0000-2000-000097220000}" name="Column8828"/>
    <tableColumn id="8856" xr3:uid="{00000000-0010-0000-2000-000098220000}" name="Column8829"/>
    <tableColumn id="8857" xr3:uid="{00000000-0010-0000-2000-000099220000}" name="Column8830"/>
    <tableColumn id="8858" xr3:uid="{00000000-0010-0000-2000-00009A220000}" name="Column8831"/>
    <tableColumn id="8859" xr3:uid="{00000000-0010-0000-2000-00009B220000}" name="Column8832"/>
    <tableColumn id="8860" xr3:uid="{00000000-0010-0000-2000-00009C220000}" name="Column8833"/>
    <tableColumn id="8861" xr3:uid="{00000000-0010-0000-2000-00009D220000}" name="Column8834"/>
    <tableColumn id="8862" xr3:uid="{00000000-0010-0000-2000-00009E220000}" name="Column8835"/>
    <tableColumn id="8863" xr3:uid="{00000000-0010-0000-2000-00009F220000}" name="Column8836"/>
    <tableColumn id="8864" xr3:uid="{00000000-0010-0000-2000-0000A0220000}" name="Column8837"/>
    <tableColumn id="8865" xr3:uid="{00000000-0010-0000-2000-0000A1220000}" name="Column8838"/>
    <tableColumn id="8866" xr3:uid="{00000000-0010-0000-2000-0000A2220000}" name="Column8839"/>
    <tableColumn id="8867" xr3:uid="{00000000-0010-0000-2000-0000A3220000}" name="Column8840"/>
    <tableColumn id="8868" xr3:uid="{00000000-0010-0000-2000-0000A4220000}" name="Column8841"/>
    <tableColumn id="8869" xr3:uid="{00000000-0010-0000-2000-0000A5220000}" name="Column8842"/>
    <tableColumn id="8870" xr3:uid="{00000000-0010-0000-2000-0000A6220000}" name="Column8843"/>
    <tableColumn id="8871" xr3:uid="{00000000-0010-0000-2000-0000A7220000}" name="Column8844"/>
    <tableColumn id="8872" xr3:uid="{00000000-0010-0000-2000-0000A8220000}" name="Column8845"/>
    <tableColumn id="8873" xr3:uid="{00000000-0010-0000-2000-0000A9220000}" name="Column8846"/>
    <tableColumn id="8874" xr3:uid="{00000000-0010-0000-2000-0000AA220000}" name="Column8847"/>
    <tableColumn id="8875" xr3:uid="{00000000-0010-0000-2000-0000AB220000}" name="Column8848"/>
    <tableColumn id="8876" xr3:uid="{00000000-0010-0000-2000-0000AC220000}" name="Column8849"/>
    <tableColumn id="8877" xr3:uid="{00000000-0010-0000-2000-0000AD220000}" name="Column8850"/>
    <tableColumn id="8878" xr3:uid="{00000000-0010-0000-2000-0000AE220000}" name="Column8851"/>
    <tableColumn id="8879" xr3:uid="{00000000-0010-0000-2000-0000AF220000}" name="Column8852"/>
    <tableColumn id="8880" xr3:uid="{00000000-0010-0000-2000-0000B0220000}" name="Column8853"/>
    <tableColumn id="8881" xr3:uid="{00000000-0010-0000-2000-0000B1220000}" name="Column8854"/>
    <tableColumn id="8882" xr3:uid="{00000000-0010-0000-2000-0000B2220000}" name="Column8855"/>
    <tableColumn id="8883" xr3:uid="{00000000-0010-0000-2000-0000B3220000}" name="Column8856"/>
    <tableColumn id="8884" xr3:uid="{00000000-0010-0000-2000-0000B4220000}" name="Column8857"/>
    <tableColumn id="8885" xr3:uid="{00000000-0010-0000-2000-0000B5220000}" name="Column8858"/>
    <tableColumn id="8886" xr3:uid="{00000000-0010-0000-2000-0000B6220000}" name="Column8859"/>
    <tableColumn id="8887" xr3:uid="{00000000-0010-0000-2000-0000B7220000}" name="Column8860"/>
    <tableColumn id="8888" xr3:uid="{00000000-0010-0000-2000-0000B8220000}" name="Column8861"/>
    <tableColumn id="8889" xr3:uid="{00000000-0010-0000-2000-0000B9220000}" name="Column8862"/>
    <tableColumn id="8890" xr3:uid="{00000000-0010-0000-2000-0000BA220000}" name="Column8863"/>
    <tableColumn id="8891" xr3:uid="{00000000-0010-0000-2000-0000BB220000}" name="Column8864"/>
    <tableColumn id="8892" xr3:uid="{00000000-0010-0000-2000-0000BC220000}" name="Column8865"/>
    <tableColumn id="8893" xr3:uid="{00000000-0010-0000-2000-0000BD220000}" name="Column8866"/>
    <tableColumn id="8894" xr3:uid="{00000000-0010-0000-2000-0000BE220000}" name="Column8867"/>
    <tableColumn id="8895" xr3:uid="{00000000-0010-0000-2000-0000BF220000}" name="Column8868"/>
    <tableColumn id="8896" xr3:uid="{00000000-0010-0000-2000-0000C0220000}" name="Column8869"/>
    <tableColumn id="8897" xr3:uid="{00000000-0010-0000-2000-0000C1220000}" name="Column8870"/>
    <tableColumn id="8898" xr3:uid="{00000000-0010-0000-2000-0000C2220000}" name="Column8871"/>
    <tableColumn id="8899" xr3:uid="{00000000-0010-0000-2000-0000C3220000}" name="Column8872"/>
    <tableColumn id="8900" xr3:uid="{00000000-0010-0000-2000-0000C4220000}" name="Column8873"/>
    <tableColumn id="8901" xr3:uid="{00000000-0010-0000-2000-0000C5220000}" name="Column8874"/>
    <tableColumn id="8902" xr3:uid="{00000000-0010-0000-2000-0000C6220000}" name="Column8875"/>
    <tableColumn id="8903" xr3:uid="{00000000-0010-0000-2000-0000C7220000}" name="Column8876"/>
    <tableColumn id="8904" xr3:uid="{00000000-0010-0000-2000-0000C8220000}" name="Column8877"/>
    <tableColumn id="8905" xr3:uid="{00000000-0010-0000-2000-0000C9220000}" name="Column8878"/>
    <tableColumn id="8906" xr3:uid="{00000000-0010-0000-2000-0000CA220000}" name="Column8879"/>
    <tableColumn id="8907" xr3:uid="{00000000-0010-0000-2000-0000CB220000}" name="Column8880"/>
    <tableColumn id="8908" xr3:uid="{00000000-0010-0000-2000-0000CC220000}" name="Column8881"/>
    <tableColumn id="8909" xr3:uid="{00000000-0010-0000-2000-0000CD220000}" name="Column8882"/>
    <tableColumn id="8910" xr3:uid="{00000000-0010-0000-2000-0000CE220000}" name="Column8883"/>
    <tableColumn id="8911" xr3:uid="{00000000-0010-0000-2000-0000CF220000}" name="Column8884"/>
    <tableColumn id="8912" xr3:uid="{00000000-0010-0000-2000-0000D0220000}" name="Column8885"/>
    <tableColumn id="8913" xr3:uid="{00000000-0010-0000-2000-0000D1220000}" name="Column8886"/>
    <tableColumn id="8914" xr3:uid="{00000000-0010-0000-2000-0000D2220000}" name="Column8887"/>
    <tableColumn id="8915" xr3:uid="{00000000-0010-0000-2000-0000D3220000}" name="Column8888"/>
    <tableColumn id="8916" xr3:uid="{00000000-0010-0000-2000-0000D4220000}" name="Column8889"/>
    <tableColumn id="8917" xr3:uid="{00000000-0010-0000-2000-0000D5220000}" name="Column8890"/>
    <tableColumn id="8918" xr3:uid="{00000000-0010-0000-2000-0000D6220000}" name="Column8891"/>
    <tableColumn id="8919" xr3:uid="{00000000-0010-0000-2000-0000D7220000}" name="Column8892"/>
    <tableColumn id="8920" xr3:uid="{00000000-0010-0000-2000-0000D8220000}" name="Column8893"/>
    <tableColumn id="8921" xr3:uid="{00000000-0010-0000-2000-0000D9220000}" name="Column8894"/>
    <tableColumn id="8922" xr3:uid="{00000000-0010-0000-2000-0000DA220000}" name="Column8895"/>
    <tableColumn id="8923" xr3:uid="{00000000-0010-0000-2000-0000DB220000}" name="Column8896"/>
    <tableColumn id="8924" xr3:uid="{00000000-0010-0000-2000-0000DC220000}" name="Column8897"/>
    <tableColumn id="8925" xr3:uid="{00000000-0010-0000-2000-0000DD220000}" name="Column8898"/>
    <tableColumn id="8926" xr3:uid="{00000000-0010-0000-2000-0000DE220000}" name="Column8899"/>
    <tableColumn id="8927" xr3:uid="{00000000-0010-0000-2000-0000DF220000}" name="Column8900"/>
    <tableColumn id="8928" xr3:uid="{00000000-0010-0000-2000-0000E0220000}" name="Column8901"/>
    <tableColumn id="8929" xr3:uid="{00000000-0010-0000-2000-0000E1220000}" name="Column8902"/>
    <tableColumn id="8930" xr3:uid="{00000000-0010-0000-2000-0000E2220000}" name="Column8903"/>
    <tableColumn id="8931" xr3:uid="{00000000-0010-0000-2000-0000E3220000}" name="Column8904"/>
    <tableColumn id="8932" xr3:uid="{00000000-0010-0000-2000-0000E4220000}" name="Column8905"/>
    <tableColumn id="8933" xr3:uid="{00000000-0010-0000-2000-0000E5220000}" name="Column8906"/>
    <tableColumn id="8934" xr3:uid="{00000000-0010-0000-2000-0000E6220000}" name="Column8907"/>
    <tableColumn id="8935" xr3:uid="{00000000-0010-0000-2000-0000E7220000}" name="Column8908"/>
    <tableColumn id="8936" xr3:uid="{00000000-0010-0000-2000-0000E8220000}" name="Column8909"/>
    <tableColumn id="8937" xr3:uid="{00000000-0010-0000-2000-0000E9220000}" name="Column8910"/>
    <tableColumn id="8938" xr3:uid="{00000000-0010-0000-2000-0000EA220000}" name="Column8911"/>
    <tableColumn id="8939" xr3:uid="{00000000-0010-0000-2000-0000EB220000}" name="Column8912"/>
    <tableColumn id="8940" xr3:uid="{00000000-0010-0000-2000-0000EC220000}" name="Column8913"/>
    <tableColumn id="8941" xr3:uid="{00000000-0010-0000-2000-0000ED220000}" name="Column8914"/>
    <tableColumn id="8942" xr3:uid="{00000000-0010-0000-2000-0000EE220000}" name="Column8915"/>
    <tableColumn id="8943" xr3:uid="{00000000-0010-0000-2000-0000EF220000}" name="Column8916"/>
    <tableColumn id="8944" xr3:uid="{00000000-0010-0000-2000-0000F0220000}" name="Column8917"/>
    <tableColumn id="8945" xr3:uid="{00000000-0010-0000-2000-0000F1220000}" name="Column8918"/>
    <tableColumn id="8946" xr3:uid="{00000000-0010-0000-2000-0000F2220000}" name="Column8919"/>
    <tableColumn id="8947" xr3:uid="{00000000-0010-0000-2000-0000F3220000}" name="Column8920"/>
    <tableColumn id="8948" xr3:uid="{00000000-0010-0000-2000-0000F4220000}" name="Column8921"/>
    <tableColumn id="8949" xr3:uid="{00000000-0010-0000-2000-0000F5220000}" name="Column8922"/>
    <tableColumn id="8950" xr3:uid="{00000000-0010-0000-2000-0000F6220000}" name="Column8923"/>
    <tableColumn id="8951" xr3:uid="{00000000-0010-0000-2000-0000F7220000}" name="Column8924"/>
    <tableColumn id="8952" xr3:uid="{00000000-0010-0000-2000-0000F8220000}" name="Column8925"/>
    <tableColumn id="8953" xr3:uid="{00000000-0010-0000-2000-0000F9220000}" name="Column8926"/>
    <tableColumn id="8954" xr3:uid="{00000000-0010-0000-2000-0000FA220000}" name="Column8927"/>
    <tableColumn id="8955" xr3:uid="{00000000-0010-0000-2000-0000FB220000}" name="Column8928"/>
    <tableColumn id="8956" xr3:uid="{00000000-0010-0000-2000-0000FC220000}" name="Column8929"/>
    <tableColumn id="8957" xr3:uid="{00000000-0010-0000-2000-0000FD220000}" name="Column8930"/>
    <tableColumn id="8958" xr3:uid="{00000000-0010-0000-2000-0000FE220000}" name="Column8931"/>
    <tableColumn id="8959" xr3:uid="{00000000-0010-0000-2000-0000FF220000}" name="Column8932"/>
    <tableColumn id="8960" xr3:uid="{00000000-0010-0000-2000-000000230000}" name="Column8933"/>
    <tableColumn id="8961" xr3:uid="{00000000-0010-0000-2000-000001230000}" name="Column8934"/>
    <tableColumn id="8962" xr3:uid="{00000000-0010-0000-2000-000002230000}" name="Column8935"/>
    <tableColumn id="8963" xr3:uid="{00000000-0010-0000-2000-000003230000}" name="Column8936"/>
    <tableColumn id="8964" xr3:uid="{00000000-0010-0000-2000-000004230000}" name="Column8937"/>
    <tableColumn id="8965" xr3:uid="{00000000-0010-0000-2000-000005230000}" name="Column8938"/>
    <tableColumn id="8966" xr3:uid="{00000000-0010-0000-2000-000006230000}" name="Column8939"/>
    <tableColumn id="8967" xr3:uid="{00000000-0010-0000-2000-000007230000}" name="Column8940"/>
    <tableColumn id="8968" xr3:uid="{00000000-0010-0000-2000-000008230000}" name="Column8941"/>
    <tableColumn id="8969" xr3:uid="{00000000-0010-0000-2000-000009230000}" name="Column8942"/>
    <tableColumn id="8970" xr3:uid="{00000000-0010-0000-2000-00000A230000}" name="Column8943"/>
    <tableColumn id="8971" xr3:uid="{00000000-0010-0000-2000-00000B230000}" name="Column8944"/>
    <tableColumn id="8972" xr3:uid="{00000000-0010-0000-2000-00000C230000}" name="Column8945"/>
    <tableColumn id="8973" xr3:uid="{00000000-0010-0000-2000-00000D230000}" name="Column8946"/>
    <tableColumn id="8974" xr3:uid="{00000000-0010-0000-2000-00000E230000}" name="Column8947"/>
    <tableColumn id="8975" xr3:uid="{00000000-0010-0000-2000-00000F230000}" name="Column8948"/>
    <tableColumn id="8976" xr3:uid="{00000000-0010-0000-2000-000010230000}" name="Column8949"/>
    <tableColumn id="8977" xr3:uid="{00000000-0010-0000-2000-000011230000}" name="Column8950"/>
    <tableColumn id="8978" xr3:uid="{00000000-0010-0000-2000-000012230000}" name="Column8951"/>
    <tableColumn id="8979" xr3:uid="{00000000-0010-0000-2000-000013230000}" name="Column8952"/>
    <tableColumn id="8980" xr3:uid="{00000000-0010-0000-2000-000014230000}" name="Column8953"/>
    <tableColumn id="8981" xr3:uid="{00000000-0010-0000-2000-000015230000}" name="Column8954"/>
    <tableColumn id="8982" xr3:uid="{00000000-0010-0000-2000-000016230000}" name="Column8955"/>
    <tableColumn id="8983" xr3:uid="{00000000-0010-0000-2000-000017230000}" name="Column8956"/>
    <tableColumn id="8984" xr3:uid="{00000000-0010-0000-2000-000018230000}" name="Column8957"/>
    <tableColumn id="8985" xr3:uid="{00000000-0010-0000-2000-000019230000}" name="Column8958"/>
    <tableColumn id="8986" xr3:uid="{00000000-0010-0000-2000-00001A230000}" name="Column8959"/>
    <tableColumn id="8987" xr3:uid="{00000000-0010-0000-2000-00001B230000}" name="Column8960"/>
    <tableColumn id="8988" xr3:uid="{00000000-0010-0000-2000-00001C230000}" name="Column8961"/>
    <tableColumn id="8989" xr3:uid="{00000000-0010-0000-2000-00001D230000}" name="Column8962"/>
    <tableColumn id="8990" xr3:uid="{00000000-0010-0000-2000-00001E230000}" name="Column8963"/>
    <tableColumn id="8991" xr3:uid="{00000000-0010-0000-2000-00001F230000}" name="Column8964"/>
    <tableColumn id="8992" xr3:uid="{00000000-0010-0000-2000-000020230000}" name="Column8965"/>
    <tableColumn id="8993" xr3:uid="{00000000-0010-0000-2000-000021230000}" name="Column8966"/>
    <tableColumn id="8994" xr3:uid="{00000000-0010-0000-2000-000022230000}" name="Column8967"/>
    <tableColumn id="8995" xr3:uid="{00000000-0010-0000-2000-000023230000}" name="Column8968"/>
    <tableColumn id="8996" xr3:uid="{00000000-0010-0000-2000-000024230000}" name="Column8969"/>
    <tableColumn id="8997" xr3:uid="{00000000-0010-0000-2000-000025230000}" name="Column8970"/>
    <tableColumn id="8998" xr3:uid="{00000000-0010-0000-2000-000026230000}" name="Column8971"/>
    <tableColumn id="8999" xr3:uid="{00000000-0010-0000-2000-000027230000}" name="Column8972"/>
    <tableColumn id="9000" xr3:uid="{00000000-0010-0000-2000-000028230000}" name="Column8973"/>
    <tableColumn id="9001" xr3:uid="{00000000-0010-0000-2000-000029230000}" name="Column8974"/>
    <tableColumn id="9002" xr3:uid="{00000000-0010-0000-2000-00002A230000}" name="Column8975"/>
    <tableColumn id="9003" xr3:uid="{00000000-0010-0000-2000-00002B230000}" name="Column8976"/>
    <tableColumn id="9004" xr3:uid="{00000000-0010-0000-2000-00002C230000}" name="Column8977"/>
    <tableColumn id="9005" xr3:uid="{00000000-0010-0000-2000-00002D230000}" name="Column8978"/>
    <tableColumn id="9006" xr3:uid="{00000000-0010-0000-2000-00002E230000}" name="Column8979"/>
    <tableColumn id="9007" xr3:uid="{00000000-0010-0000-2000-00002F230000}" name="Column8980"/>
    <tableColumn id="9008" xr3:uid="{00000000-0010-0000-2000-000030230000}" name="Column8981"/>
    <tableColumn id="9009" xr3:uid="{00000000-0010-0000-2000-000031230000}" name="Column8982"/>
    <tableColumn id="9010" xr3:uid="{00000000-0010-0000-2000-000032230000}" name="Column8983"/>
    <tableColumn id="9011" xr3:uid="{00000000-0010-0000-2000-000033230000}" name="Column8984"/>
    <tableColumn id="9012" xr3:uid="{00000000-0010-0000-2000-000034230000}" name="Column8985"/>
    <tableColumn id="9013" xr3:uid="{00000000-0010-0000-2000-000035230000}" name="Column8986"/>
    <tableColumn id="9014" xr3:uid="{00000000-0010-0000-2000-000036230000}" name="Column8987"/>
    <tableColumn id="9015" xr3:uid="{00000000-0010-0000-2000-000037230000}" name="Column8988"/>
    <tableColumn id="9016" xr3:uid="{00000000-0010-0000-2000-000038230000}" name="Column8989"/>
    <tableColumn id="9017" xr3:uid="{00000000-0010-0000-2000-000039230000}" name="Column8990"/>
    <tableColumn id="9018" xr3:uid="{00000000-0010-0000-2000-00003A230000}" name="Column8991"/>
    <tableColumn id="9019" xr3:uid="{00000000-0010-0000-2000-00003B230000}" name="Column8992"/>
    <tableColumn id="9020" xr3:uid="{00000000-0010-0000-2000-00003C230000}" name="Column8993"/>
    <tableColumn id="9021" xr3:uid="{00000000-0010-0000-2000-00003D230000}" name="Column8994"/>
    <tableColumn id="9022" xr3:uid="{00000000-0010-0000-2000-00003E230000}" name="Column8995"/>
    <tableColumn id="9023" xr3:uid="{00000000-0010-0000-2000-00003F230000}" name="Column8996"/>
    <tableColumn id="9024" xr3:uid="{00000000-0010-0000-2000-000040230000}" name="Column8997"/>
    <tableColumn id="9025" xr3:uid="{00000000-0010-0000-2000-000041230000}" name="Column8998"/>
    <tableColumn id="9026" xr3:uid="{00000000-0010-0000-2000-000042230000}" name="Column8999"/>
    <tableColumn id="9027" xr3:uid="{00000000-0010-0000-2000-000043230000}" name="Column9000"/>
    <tableColumn id="9028" xr3:uid="{00000000-0010-0000-2000-000044230000}" name="Column9001"/>
    <tableColumn id="9029" xr3:uid="{00000000-0010-0000-2000-000045230000}" name="Column9002"/>
    <tableColumn id="9030" xr3:uid="{00000000-0010-0000-2000-000046230000}" name="Column9003"/>
    <tableColumn id="9031" xr3:uid="{00000000-0010-0000-2000-000047230000}" name="Column9004"/>
    <tableColumn id="9032" xr3:uid="{00000000-0010-0000-2000-000048230000}" name="Column9005"/>
    <tableColumn id="9033" xr3:uid="{00000000-0010-0000-2000-000049230000}" name="Column9006"/>
    <tableColumn id="9034" xr3:uid="{00000000-0010-0000-2000-00004A230000}" name="Column9007"/>
    <tableColumn id="9035" xr3:uid="{00000000-0010-0000-2000-00004B230000}" name="Column9008"/>
    <tableColumn id="9036" xr3:uid="{00000000-0010-0000-2000-00004C230000}" name="Column9009"/>
    <tableColumn id="9037" xr3:uid="{00000000-0010-0000-2000-00004D230000}" name="Column9010"/>
    <tableColumn id="9038" xr3:uid="{00000000-0010-0000-2000-00004E230000}" name="Column9011"/>
    <tableColumn id="9039" xr3:uid="{00000000-0010-0000-2000-00004F230000}" name="Column9012"/>
    <tableColumn id="9040" xr3:uid="{00000000-0010-0000-2000-000050230000}" name="Column9013"/>
    <tableColumn id="9041" xr3:uid="{00000000-0010-0000-2000-000051230000}" name="Column9014"/>
    <tableColumn id="9042" xr3:uid="{00000000-0010-0000-2000-000052230000}" name="Column9015"/>
    <tableColumn id="9043" xr3:uid="{00000000-0010-0000-2000-000053230000}" name="Column9016"/>
    <tableColumn id="9044" xr3:uid="{00000000-0010-0000-2000-000054230000}" name="Column9017"/>
    <tableColumn id="9045" xr3:uid="{00000000-0010-0000-2000-000055230000}" name="Column9018"/>
    <tableColumn id="9046" xr3:uid="{00000000-0010-0000-2000-000056230000}" name="Column9019"/>
    <tableColumn id="9047" xr3:uid="{00000000-0010-0000-2000-000057230000}" name="Column9020"/>
    <tableColumn id="9048" xr3:uid="{00000000-0010-0000-2000-000058230000}" name="Column9021"/>
    <tableColumn id="9049" xr3:uid="{00000000-0010-0000-2000-000059230000}" name="Column9022"/>
    <tableColumn id="9050" xr3:uid="{00000000-0010-0000-2000-00005A230000}" name="Column9023"/>
    <tableColumn id="9051" xr3:uid="{00000000-0010-0000-2000-00005B230000}" name="Column9024"/>
    <tableColumn id="9052" xr3:uid="{00000000-0010-0000-2000-00005C230000}" name="Column9025"/>
    <tableColumn id="9053" xr3:uid="{00000000-0010-0000-2000-00005D230000}" name="Column9026"/>
    <tableColumn id="9054" xr3:uid="{00000000-0010-0000-2000-00005E230000}" name="Column9027"/>
    <tableColumn id="9055" xr3:uid="{00000000-0010-0000-2000-00005F230000}" name="Column9028"/>
    <tableColumn id="9056" xr3:uid="{00000000-0010-0000-2000-000060230000}" name="Column9029"/>
    <tableColumn id="9057" xr3:uid="{00000000-0010-0000-2000-000061230000}" name="Column9030"/>
    <tableColumn id="9058" xr3:uid="{00000000-0010-0000-2000-000062230000}" name="Column9031"/>
    <tableColumn id="9059" xr3:uid="{00000000-0010-0000-2000-000063230000}" name="Column9032"/>
    <tableColumn id="9060" xr3:uid="{00000000-0010-0000-2000-000064230000}" name="Column9033"/>
    <tableColumn id="9061" xr3:uid="{00000000-0010-0000-2000-000065230000}" name="Column9034"/>
    <tableColumn id="9062" xr3:uid="{00000000-0010-0000-2000-000066230000}" name="Column9035"/>
    <tableColumn id="9063" xr3:uid="{00000000-0010-0000-2000-000067230000}" name="Column9036"/>
    <tableColumn id="9064" xr3:uid="{00000000-0010-0000-2000-000068230000}" name="Column9037"/>
    <tableColumn id="9065" xr3:uid="{00000000-0010-0000-2000-000069230000}" name="Column9038"/>
    <tableColumn id="9066" xr3:uid="{00000000-0010-0000-2000-00006A230000}" name="Column9039"/>
    <tableColumn id="9067" xr3:uid="{00000000-0010-0000-2000-00006B230000}" name="Column9040"/>
    <tableColumn id="9068" xr3:uid="{00000000-0010-0000-2000-00006C230000}" name="Column9041"/>
    <tableColumn id="9069" xr3:uid="{00000000-0010-0000-2000-00006D230000}" name="Column9042"/>
    <tableColumn id="9070" xr3:uid="{00000000-0010-0000-2000-00006E230000}" name="Column9043"/>
    <tableColumn id="9071" xr3:uid="{00000000-0010-0000-2000-00006F230000}" name="Column9044"/>
    <tableColumn id="9072" xr3:uid="{00000000-0010-0000-2000-000070230000}" name="Column9045"/>
    <tableColumn id="9073" xr3:uid="{00000000-0010-0000-2000-000071230000}" name="Column9046"/>
    <tableColumn id="9074" xr3:uid="{00000000-0010-0000-2000-000072230000}" name="Column9047"/>
    <tableColumn id="9075" xr3:uid="{00000000-0010-0000-2000-000073230000}" name="Column9048"/>
    <tableColumn id="9076" xr3:uid="{00000000-0010-0000-2000-000074230000}" name="Column9049"/>
    <tableColumn id="9077" xr3:uid="{00000000-0010-0000-2000-000075230000}" name="Column9050"/>
    <tableColumn id="9078" xr3:uid="{00000000-0010-0000-2000-000076230000}" name="Column9051"/>
    <tableColumn id="9079" xr3:uid="{00000000-0010-0000-2000-000077230000}" name="Column9052"/>
    <tableColumn id="9080" xr3:uid="{00000000-0010-0000-2000-000078230000}" name="Column9053"/>
    <tableColumn id="9081" xr3:uid="{00000000-0010-0000-2000-000079230000}" name="Column9054"/>
    <tableColumn id="9082" xr3:uid="{00000000-0010-0000-2000-00007A230000}" name="Column9055"/>
    <tableColumn id="9083" xr3:uid="{00000000-0010-0000-2000-00007B230000}" name="Column9056"/>
    <tableColumn id="9084" xr3:uid="{00000000-0010-0000-2000-00007C230000}" name="Column9057"/>
    <tableColumn id="9085" xr3:uid="{00000000-0010-0000-2000-00007D230000}" name="Column9058"/>
    <tableColumn id="9086" xr3:uid="{00000000-0010-0000-2000-00007E230000}" name="Column9059"/>
    <tableColumn id="9087" xr3:uid="{00000000-0010-0000-2000-00007F230000}" name="Column9060"/>
    <tableColumn id="9088" xr3:uid="{00000000-0010-0000-2000-000080230000}" name="Column9061"/>
    <tableColumn id="9089" xr3:uid="{00000000-0010-0000-2000-000081230000}" name="Column9062"/>
    <tableColumn id="9090" xr3:uid="{00000000-0010-0000-2000-000082230000}" name="Column9063"/>
    <tableColumn id="9091" xr3:uid="{00000000-0010-0000-2000-000083230000}" name="Column9064"/>
    <tableColumn id="9092" xr3:uid="{00000000-0010-0000-2000-000084230000}" name="Column9065"/>
    <tableColumn id="9093" xr3:uid="{00000000-0010-0000-2000-000085230000}" name="Column9066"/>
    <tableColumn id="9094" xr3:uid="{00000000-0010-0000-2000-000086230000}" name="Column9067"/>
    <tableColumn id="9095" xr3:uid="{00000000-0010-0000-2000-000087230000}" name="Column9068"/>
    <tableColumn id="9096" xr3:uid="{00000000-0010-0000-2000-000088230000}" name="Column9069"/>
    <tableColumn id="9097" xr3:uid="{00000000-0010-0000-2000-000089230000}" name="Column9070"/>
    <tableColumn id="9098" xr3:uid="{00000000-0010-0000-2000-00008A230000}" name="Column9071"/>
    <tableColumn id="9099" xr3:uid="{00000000-0010-0000-2000-00008B230000}" name="Column9072"/>
    <tableColumn id="9100" xr3:uid="{00000000-0010-0000-2000-00008C230000}" name="Column9073"/>
    <tableColumn id="9101" xr3:uid="{00000000-0010-0000-2000-00008D230000}" name="Column9074"/>
    <tableColumn id="9102" xr3:uid="{00000000-0010-0000-2000-00008E230000}" name="Column9075"/>
    <tableColumn id="9103" xr3:uid="{00000000-0010-0000-2000-00008F230000}" name="Column9076"/>
    <tableColumn id="9104" xr3:uid="{00000000-0010-0000-2000-000090230000}" name="Column9077"/>
    <tableColumn id="9105" xr3:uid="{00000000-0010-0000-2000-000091230000}" name="Column9078"/>
    <tableColumn id="9106" xr3:uid="{00000000-0010-0000-2000-000092230000}" name="Column9079"/>
    <tableColumn id="9107" xr3:uid="{00000000-0010-0000-2000-000093230000}" name="Column9080"/>
    <tableColumn id="9108" xr3:uid="{00000000-0010-0000-2000-000094230000}" name="Column9081"/>
    <tableColumn id="9109" xr3:uid="{00000000-0010-0000-2000-000095230000}" name="Column9082"/>
    <tableColumn id="9110" xr3:uid="{00000000-0010-0000-2000-000096230000}" name="Column9083"/>
    <tableColumn id="9111" xr3:uid="{00000000-0010-0000-2000-000097230000}" name="Column9084"/>
    <tableColumn id="9112" xr3:uid="{00000000-0010-0000-2000-000098230000}" name="Column9085"/>
    <tableColumn id="9113" xr3:uid="{00000000-0010-0000-2000-000099230000}" name="Column9086"/>
    <tableColumn id="9114" xr3:uid="{00000000-0010-0000-2000-00009A230000}" name="Column9087"/>
    <tableColumn id="9115" xr3:uid="{00000000-0010-0000-2000-00009B230000}" name="Column9088"/>
    <tableColumn id="9116" xr3:uid="{00000000-0010-0000-2000-00009C230000}" name="Column9089"/>
    <tableColumn id="9117" xr3:uid="{00000000-0010-0000-2000-00009D230000}" name="Column9090"/>
    <tableColumn id="9118" xr3:uid="{00000000-0010-0000-2000-00009E230000}" name="Column9091"/>
    <tableColumn id="9119" xr3:uid="{00000000-0010-0000-2000-00009F230000}" name="Column9092"/>
    <tableColumn id="9120" xr3:uid="{00000000-0010-0000-2000-0000A0230000}" name="Column9093"/>
    <tableColumn id="9121" xr3:uid="{00000000-0010-0000-2000-0000A1230000}" name="Column9094"/>
    <tableColumn id="9122" xr3:uid="{00000000-0010-0000-2000-0000A2230000}" name="Column9095"/>
    <tableColumn id="9123" xr3:uid="{00000000-0010-0000-2000-0000A3230000}" name="Column9096"/>
    <tableColumn id="9124" xr3:uid="{00000000-0010-0000-2000-0000A4230000}" name="Column9097"/>
    <tableColumn id="9125" xr3:uid="{00000000-0010-0000-2000-0000A5230000}" name="Column9098"/>
    <tableColumn id="9126" xr3:uid="{00000000-0010-0000-2000-0000A6230000}" name="Column9099"/>
    <tableColumn id="9127" xr3:uid="{00000000-0010-0000-2000-0000A7230000}" name="Column9100"/>
    <tableColumn id="9128" xr3:uid="{00000000-0010-0000-2000-0000A8230000}" name="Column9101"/>
    <tableColumn id="9129" xr3:uid="{00000000-0010-0000-2000-0000A9230000}" name="Column9102"/>
    <tableColumn id="9130" xr3:uid="{00000000-0010-0000-2000-0000AA230000}" name="Column9103"/>
    <tableColumn id="9131" xr3:uid="{00000000-0010-0000-2000-0000AB230000}" name="Column9104"/>
    <tableColumn id="9132" xr3:uid="{00000000-0010-0000-2000-0000AC230000}" name="Column9105"/>
    <tableColumn id="9133" xr3:uid="{00000000-0010-0000-2000-0000AD230000}" name="Column9106"/>
    <tableColumn id="9134" xr3:uid="{00000000-0010-0000-2000-0000AE230000}" name="Column9107"/>
    <tableColumn id="9135" xr3:uid="{00000000-0010-0000-2000-0000AF230000}" name="Column9108"/>
    <tableColumn id="9136" xr3:uid="{00000000-0010-0000-2000-0000B0230000}" name="Column9109"/>
    <tableColumn id="9137" xr3:uid="{00000000-0010-0000-2000-0000B1230000}" name="Column9110"/>
    <tableColumn id="9138" xr3:uid="{00000000-0010-0000-2000-0000B2230000}" name="Column9111"/>
    <tableColumn id="9139" xr3:uid="{00000000-0010-0000-2000-0000B3230000}" name="Column9112"/>
    <tableColumn id="9140" xr3:uid="{00000000-0010-0000-2000-0000B4230000}" name="Column9113"/>
    <tableColumn id="9141" xr3:uid="{00000000-0010-0000-2000-0000B5230000}" name="Column9114"/>
    <tableColumn id="9142" xr3:uid="{00000000-0010-0000-2000-0000B6230000}" name="Column9115"/>
    <tableColumn id="9143" xr3:uid="{00000000-0010-0000-2000-0000B7230000}" name="Column9116"/>
    <tableColumn id="9144" xr3:uid="{00000000-0010-0000-2000-0000B8230000}" name="Column9117"/>
    <tableColumn id="9145" xr3:uid="{00000000-0010-0000-2000-0000B9230000}" name="Column9118"/>
    <tableColumn id="9146" xr3:uid="{00000000-0010-0000-2000-0000BA230000}" name="Column9119"/>
    <tableColumn id="9147" xr3:uid="{00000000-0010-0000-2000-0000BB230000}" name="Column9120"/>
    <tableColumn id="9148" xr3:uid="{00000000-0010-0000-2000-0000BC230000}" name="Column9121"/>
    <tableColumn id="9149" xr3:uid="{00000000-0010-0000-2000-0000BD230000}" name="Column9122"/>
    <tableColumn id="9150" xr3:uid="{00000000-0010-0000-2000-0000BE230000}" name="Column9123"/>
    <tableColumn id="9151" xr3:uid="{00000000-0010-0000-2000-0000BF230000}" name="Column9124"/>
    <tableColumn id="9152" xr3:uid="{00000000-0010-0000-2000-0000C0230000}" name="Column9125"/>
    <tableColumn id="9153" xr3:uid="{00000000-0010-0000-2000-0000C1230000}" name="Column9126"/>
    <tableColumn id="9154" xr3:uid="{00000000-0010-0000-2000-0000C2230000}" name="Column9127"/>
    <tableColumn id="9155" xr3:uid="{00000000-0010-0000-2000-0000C3230000}" name="Column9128"/>
    <tableColumn id="9156" xr3:uid="{00000000-0010-0000-2000-0000C4230000}" name="Column9129"/>
    <tableColumn id="9157" xr3:uid="{00000000-0010-0000-2000-0000C5230000}" name="Column9130"/>
    <tableColumn id="9158" xr3:uid="{00000000-0010-0000-2000-0000C6230000}" name="Column9131"/>
    <tableColumn id="9159" xr3:uid="{00000000-0010-0000-2000-0000C7230000}" name="Column9132"/>
    <tableColumn id="9160" xr3:uid="{00000000-0010-0000-2000-0000C8230000}" name="Column9133"/>
    <tableColumn id="9161" xr3:uid="{00000000-0010-0000-2000-0000C9230000}" name="Column9134"/>
    <tableColumn id="9162" xr3:uid="{00000000-0010-0000-2000-0000CA230000}" name="Column9135"/>
    <tableColumn id="9163" xr3:uid="{00000000-0010-0000-2000-0000CB230000}" name="Column9136"/>
    <tableColumn id="9164" xr3:uid="{00000000-0010-0000-2000-0000CC230000}" name="Column9137"/>
    <tableColumn id="9165" xr3:uid="{00000000-0010-0000-2000-0000CD230000}" name="Column9138"/>
    <tableColumn id="9166" xr3:uid="{00000000-0010-0000-2000-0000CE230000}" name="Column9139"/>
    <tableColumn id="9167" xr3:uid="{00000000-0010-0000-2000-0000CF230000}" name="Column9140"/>
    <tableColumn id="9168" xr3:uid="{00000000-0010-0000-2000-0000D0230000}" name="Column9141"/>
    <tableColumn id="9169" xr3:uid="{00000000-0010-0000-2000-0000D1230000}" name="Column9142"/>
    <tableColumn id="9170" xr3:uid="{00000000-0010-0000-2000-0000D2230000}" name="Column9143"/>
    <tableColumn id="9171" xr3:uid="{00000000-0010-0000-2000-0000D3230000}" name="Column9144"/>
    <tableColumn id="9172" xr3:uid="{00000000-0010-0000-2000-0000D4230000}" name="Column9145"/>
    <tableColumn id="9173" xr3:uid="{00000000-0010-0000-2000-0000D5230000}" name="Column9146"/>
    <tableColumn id="9174" xr3:uid="{00000000-0010-0000-2000-0000D6230000}" name="Column9147"/>
    <tableColumn id="9175" xr3:uid="{00000000-0010-0000-2000-0000D7230000}" name="Column9148"/>
    <tableColumn id="9176" xr3:uid="{00000000-0010-0000-2000-0000D8230000}" name="Column9149"/>
    <tableColumn id="9177" xr3:uid="{00000000-0010-0000-2000-0000D9230000}" name="Column9150"/>
    <tableColumn id="9178" xr3:uid="{00000000-0010-0000-2000-0000DA230000}" name="Column9151"/>
    <tableColumn id="9179" xr3:uid="{00000000-0010-0000-2000-0000DB230000}" name="Column9152"/>
    <tableColumn id="9180" xr3:uid="{00000000-0010-0000-2000-0000DC230000}" name="Column9153"/>
    <tableColumn id="9181" xr3:uid="{00000000-0010-0000-2000-0000DD230000}" name="Column9154"/>
    <tableColumn id="9182" xr3:uid="{00000000-0010-0000-2000-0000DE230000}" name="Column9155"/>
    <tableColumn id="9183" xr3:uid="{00000000-0010-0000-2000-0000DF230000}" name="Column9156"/>
    <tableColumn id="9184" xr3:uid="{00000000-0010-0000-2000-0000E0230000}" name="Column9157"/>
    <tableColumn id="9185" xr3:uid="{00000000-0010-0000-2000-0000E1230000}" name="Column9158"/>
    <tableColumn id="9186" xr3:uid="{00000000-0010-0000-2000-0000E2230000}" name="Column9159"/>
    <tableColumn id="9187" xr3:uid="{00000000-0010-0000-2000-0000E3230000}" name="Column9160"/>
    <tableColumn id="9188" xr3:uid="{00000000-0010-0000-2000-0000E4230000}" name="Column9161"/>
    <tableColumn id="9189" xr3:uid="{00000000-0010-0000-2000-0000E5230000}" name="Column9162"/>
    <tableColumn id="9190" xr3:uid="{00000000-0010-0000-2000-0000E6230000}" name="Column9163"/>
    <tableColumn id="9191" xr3:uid="{00000000-0010-0000-2000-0000E7230000}" name="Column9164"/>
    <tableColumn id="9192" xr3:uid="{00000000-0010-0000-2000-0000E8230000}" name="Column9165"/>
    <tableColumn id="9193" xr3:uid="{00000000-0010-0000-2000-0000E9230000}" name="Column9166"/>
    <tableColumn id="9194" xr3:uid="{00000000-0010-0000-2000-0000EA230000}" name="Column9167"/>
    <tableColumn id="9195" xr3:uid="{00000000-0010-0000-2000-0000EB230000}" name="Column9168"/>
    <tableColumn id="9196" xr3:uid="{00000000-0010-0000-2000-0000EC230000}" name="Column9169"/>
    <tableColumn id="9197" xr3:uid="{00000000-0010-0000-2000-0000ED230000}" name="Column9170"/>
    <tableColumn id="9198" xr3:uid="{00000000-0010-0000-2000-0000EE230000}" name="Column9171"/>
    <tableColumn id="9199" xr3:uid="{00000000-0010-0000-2000-0000EF230000}" name="Column9172"/>
    <tableColumn id="9200" xr3:uid="{00000000-0010-0000-2000-0000F0230000}" name="Column9173"/>
    <tableColumn id="9201" xr3:uid="{00000000-0010-0000-2000-0000F1230000}" name="Column9174"/>
    <tableColumn id="9202" xr3:uid="{00000000-0010-0000-2000-0000F2230000}" name="Column9175"/>
    <tableColumn id="9203" xr3:uid="{00000000-0010-0000-2000-0000F3230000}" name="Column9176"/>
    <tableColumn id="9204" xr3:uid="{00000000-0010-0000-2000-0000F4230000}" name="Column9177"/>
    <tableColumn id="9205" xr3:uid="{00000000-0010-0000-2000-0000F5230000}" name="Column9178"/>
    <tableColumn id="9206" xr3:uid="{00000000-0010-0000-2000-0000F6230000}" name="Column9179"/>
    <tableColumn id="9207" xr3:uid="{00000000-0010-0000-2000-0000F7230000}" name="Column9180"/>
    <tableColumn id="9208" xr3:uid="{00000000-0010-0000-2000-0000F8230000}" name="Column9181"/>
    <tableColumn id="9209" xr3:uid="{00000000-0010-0000-2000-0000F9230000}" name="Column9182"/>
    <tableColumn id="9210" xr3:uid="{00000000-0010-0000-2000-0000FA230000}" name="Column9183"/>
    <tableColumn id="9211" xr3:uid="{00000000-0010-0000-2000-0000FB230000}" name="Column9184"/>
    <tableColumn id="9212" xr3:uid="{00000000-0010-0000-2000-0000FC230000}" name="Column9185"/>
    <tableColumn id="9213" xr3:uid="{00000000-0010-0000-2000-0000FD230000}" name="Column9186"/>
    <tableColumn id="9214" xr3:uid="{00000000-0010-0000-2000-0000FE230000}" name="Column9187"/>
    <tableColumn id="9215" xr3:uid="{00000000-0010-0000-2000-0000FF230000}" name="Column9188"/>
    <tableColumn id="9216" xr3:uid="{00000000-0010-0000-2000-000000240000}" name="Column9189"/>
    <tableColumn id="9217" xr3:uid="{00000000-0010-0000-2000-000001240000}" name="Column9190"/>
    <tableColumn id="9218" xr3:uid="{00000000-0010-0000-2000-000002240000}" name="Column9191"/>
    <tableColumn id="9219" xr3:uid="{00000000-0010-0000-2000-000003240000}" name="Column9192"/>
    <tableColumn id="9220" xr3:uid="{00000000-0010-0000-2000-000004240000}" name="Column9193"/>
    <tableColumn id="9221" xr3:uid="{00000000-0010-0000-2000-000005240000}" name="Column9194"/>
    <tableColumn id="9222" xr3:uid="{00000000-0010-0000-2000-000006240000}" name="Column9195"/>
    <tableColumn id="9223" xr3:uid="{00000000-0010-0000-2000-000007240000}" name="Column9196"/>
    <tableColumn id="9224" xr3:uid="{00000000-0010-0000-2000-000008240000}" name="Column9197"/>
    <tableColumn id="9225" xr3:uid="{00000000-0010-0000-2000-000009240000}" name="Column9198"/>
    <tableColumn id="9226" xr3:uid="{00000000-0010-0000-2000-00000A240000}" name="Column9199"/>
    <tableColumn id="9227" xr3:uid="{00000000-0010-0000-2000-00000B240000}" name="Column9200"/>
    <tableColumn id="9228" xr3:uid="{00000000-0010-0000-2000-00000C240000}" name="Column9201"/>
    <tableColumn id="9229" xr3:uid="{00000000-0010-0000-2000-00000D240000}" name="Column9202"/>
    <tableColumn id="9230" xr3:uid="{00000000-0010-0000-2000-00000E240000}" name="Column9203"/>
    <tableColumn id="9231" xr3:uid="{00000000-0010-0000-2000-00000F240000}" name="Column9204"/>
    <tableColumn id="9232" xr3:uid="{00000000-0010-0000-2000-000010240000}" name="Column9205"/>
    <tableColumn id="9233" xr3:uid="{00000000-0010-0000-2000-000011240000}" name="Column9206"/>
    <tableColumn id="9234" xr3:uid="{00000000-0010-0000-2000-000012240000}" name="Column9207"/>
    <tableColumn id="9235" xr3:uid="{00000000-0010-0000-2000-000013240000}" name="Column9208"/>
    <tableColumn id="9236" xr3:uid="{00000000-0010-0000-2000-000014240000}" name="Column9209"/>
    <tableColumn id="9237" xr3:uid="{00000000-0010-0000-2000-000015240000}" name="Column9210"/>
    <tableColumn id="9238" xr3:uid="{00000000-0010-0000-2000-000016240000}" name="Column9211"/>
    <tableColumn id="9239" xr3:uid="{00000000-0010-0000-2000-000017240000}" name="Column9212"/>
    <tableColumn id="9240" xr3:uid="{00000000-0010-0000-2000-000018240000}" name="Column9213"/>
    <tableColumn id="9241" xr3:uid="{00000000-0010-0000-2000-000019240000}" name="Column9214"/>
    <tableColumn id="9242" xr3:uid="{00000000-0010-0000-2000-00001A240000}" name="Column9215"/>
    <tableColumn id="9243" xr3:uid="{00000000-0010-0000-2000-00001B240000}" name="Column9216"/>
    <tableColumn id="9244" xr3:uid="{00000000-0010-0000-2000-00001C240000}" name="Column9217"/>
    <tableColumn id="9245" xr3:uid="{00000000-0010-0000-2000-00001D240000}" name="Column9218"/>
    <tableColumn id="9246" xr3:uid="{00000000-0010-0000-2000-00001E240000}" name="Column9219"/>
    <tableColumn id="9247" xr3:uid="{00000000-0010-0000-2000-00001F240000}" name="Column9220"/>
    <tableColumn id="9248" xr3:uid="{00000000-0010-0000-2000-000020240000}" name="Column9221"/>
    <tableColumn id="9249" xr3:uid="{00000000-0010-0000-2000-000021240000}" name="Column9222"/>
    <tableColumn id="9250" xr3:uid="{00000000-0010-0000-2000-000022240000}" name="Column9223"/>
    <tableColumn id="9251" xr3:uid="{00000000-0010-0000-2000-000023240000}" name="Column9224"/>
    <tableColumn id="9252" xr3:uid="{00000000-0010-0000-2000-000024240000}" name="Column9225"/>
    <tableColumn id="9253" xr3:uid="{00000000-0010-0000-2000-000025240000}" name="Column9226"/>
    <tableColumn id="9254" xr3:uid="{00000000-0010-0000-2000-000026240000}" name="Column9227"/>
    <tableColumn id="9255" xr3:uid="{00000000-0010-0000-2000-000027240000}" name="Column9228"/>
    <tableColumn id="9256" xr3:uid="{00000000-0010-0000-2000-000028240000}" name="Column9229"/>
    <tableColumn id="9257" xr3:uid="{00000000-0010-0000-2000-000029240000}" name="Column9230"/>
    <tableColumn id="9258" xr3:uid="{00000000-0010-0000-2000-00002A240000}" name="Column9231"/>
    <tableColumn id="9259" xr3:uid="{00000000-0010-0000-2000-00002B240000}" name="Column9232"/>
    <tableColumn id="9260" xr3:uid="{00000000-0010-0000-2000-00002C240000}" name="Column9233"/>
    <tableColumn id="9261" xr3:uid="{00000000-0010-0000-2000-00002D240000}" name="Column9234"/>
    <tableColumn id="9262" xr3:uid="{00000000-0010-0000-2000-00002E240000}" name="Column9235"/>
    <tableColumn id="9263" xr3:uid="{00000000-0010-0000-2000-00002F240000}" name="Column9236"/>
    <tableColumn id="9264" xr3:uid="{00000000-0010-0000-2000-000030240000}" name="Column9237"/>
    <tableColumn id="9265" xr3:uid="{00000000-0010-0000-2000-000031240000}" name="Column9238"/>
    <tableColumn id="9266" xr3:uid="{00000000-0010-0000-2000-000032240000}" name="Column9239"/>
    <tableColumn id="9267" xr3:uid="{00000000-0010-0000-2000-000033240000}" name="Column9240"/>
    <tableColumn id="9268" xr3:uid="{00000000-0010-0000-2000-000034240000}" name="Column9241"/>
    <tableColumn id="9269" xr3:uid="{00000000-0010-0000-2000-000035240000}" name="Column9242"/>
    <tableColumn id="9270" xr3:uid="{00000000-0010-0000-2000-000036240000}" name="Column9243"/>
    <tableColumn id="9271" xr3:uid="{00000000-0010-0000-2000-000037240000}" name="Column9244"/>
    <tableColumn id="9272" xr3:uid="{00000000-0010-0000-2000-000038240000}" name="Column9245"/>
    <tableColumn id="9273" xr3:uid="{00000000-0010-0000-2000-000039240000}" name="Column9246"/>
    <tableColumn id="9274" xr3:uid="{00000000-0010-0000-2000-00003A240000}" name="Column9247"/>
    <tableColumn id="9275" xr3:uid="{00000000-0010-0000-2000-00003B240000}" name="Column9248"/>
    <tableColumn id="9276" xr3:uid="{00000000-0010-0000-2000-00003C240000}" name="Column9249"/>
    <tableColumn id="9277" xr3:uid="{00000000-0010-0000-2000-00003D240000}" name="Column9250"/>
    <tableColumn id="9278" xr3:uid="{00000000-0010-0000-2000-00003E240000}" name="Column9251"/>
    <tableColumn id="9279" xr3:uid="{00000000-0010-0000-2000-00003F240000}" name="Column9252"/>
    <tableColumn id="9280" xr3:uid="{00000000-0010-0000-2000-000040240000}" name="Column9253"/>
    <tableColumn id="9281" xr3:uid="{00000000-0010-0000-2000-000041240000}" name="Column9254"/>
    <tableColumn id="9282" xr3:uid="{00000000-0010-0000-2000-000042240000}" name="Column9255"/>
    <tableColumn id="9283" xr3:uid="{00000000-0010-0000-2000-000043240000}" name="Column9256"/>
    <tableColumn id="9284" xr3:uid="{00000000-0010-0000-2000-000044240000}" name="Column9257"/>
    <tableColumn id="9285" xr3:uid="{00000000-0010-0000-2000-000045240000}" name="Column9258"/>
    <tableColumn id="9286" xr3:uid="{00000000-0010-0000-2000-000046240000}" name="Column9259"/>
    <tableColumn id="9287" xr3:uid="{00000000-0010-0000-2000-000047240000}" name="Column9260"/>
    <tableColumn id="9288" xr3:uid="{00000000-0010-0000-2000-000048240000}" name="Column9261"/>
    <tableColumn id="9289" xr3:uid="{00000000-0010-0000-2000-000049240000}" name="Column9262"/>
    <tableColumn id="9290" xr3:uid="{00000000-0010-0000-2000-00004A240000}" name="Column9263"/>
    <tableColumn id="9291" xr3:uid="{00000000-0010-0000-2000-00004B240000}" name="Column9264"/>
    <tableColumn id="9292" xr3:uid="{00000000-0010-0000-2000-00004C240000}" name="Column9265"/>
    <tableColumn id="9293" xr3:uid="{00000000-0010-0000-2000-00004D240000}" name="Column9266"/>
    <tableColumn id="9294" xr3:uid="{00000000-0010-0000-2000-00004E240000}" name="Column9267"/>
    <tableColumn id="9295" xr3:uid="{00000000-0010-0000-2000-00004F240000}" name="Column9268"/>
    <tableColumn id="9296" xr3:uid="{00000000-0010-0000-2000-000050240000}" name="Column9269"/>
    <tableColumn id="9297" xr3:uid="{00000000-0010-0000-2000-000051240000}" name="Column9270"/>
    <tableColumn id="9298" xr3:uid="{00000000-0010-0000-2000-000052240000}" name="Column9271"/>
    <tableColumn id="9299" xr3:uid="{00000000-0010-0000-2000-000053240000}" name="Column9272"/>
    <tableColumn id="9300" xr3:uid="{00000000-0010-0000-2000-000054240000}" name="Column9273"/>
    <tableColumn id="9301" xr3:uid="{00000000-0010-0000-2000-000055240000}" name="Column9274"/>
    <tableColumn id="9302" xr3:uid="{00000000-0010-0000-2000-000056240000}" name="Column9275"/>
    <tableColumn id="9303" xr3:uid="{00000000-0010-0000-2000-000057240000}" name="Column9276"/>
    <tableColumn id="9304" xr3:uid="{00000000-0010-0000-2000-000058240000}" name="Column9277"/>
    <tableColumn id="9305" xr3:uid="{00000000-0010-0000-2000-000059240000}" name="Column9278"/>
    <tableColumn id="9306" xr3:uid="{00000000-0010-0000-2000-00005A240000}" name="Column9279"/>
    <tableColumn id="9307" xr3:uid="{00000000-0010-0000-2000-00005B240000}" name="Column9280"/>
    <tableColumn id="9308" xr3:uid="{00000000-0010-0000-2000-00005C240000}" name="Column9281"/>
    <tableColumn id="9309" xr3:uid="{00000000-0010-0000-2000-00005D240000}" name="Column9282"/>
    <tableColumn id="9310" xr3:uid="{00000000-0010-0000-2000-00005E240000}" name="Column9283"/>
    <tableColumn id="9311" xr3:uid="{00000000-0010-0000-2000-00005F240000}" name="Column9284"/>
    <tableColumn id="9312" xr3:uid="{00000000-0010-0000-2000-000060240000}" name="Column9285"/>
    <tableColumn id="9313" xr3:uid="{00000000-0010-0000-2000-000061240000}" name="Column9286"/>
    <tableColumn id="9314" xr3:uid="{00000000-0010-0000-2000-000062240000}" name="Column9287"/>
    <tableColumn id="9315" xr3:uid="{00000000-0010-0000-2000-000063240000}" name="Column9288"/>
    <tableColumn id="9316" xr3:uid="{00000000-0010-0000-2000-000064240000}" name="Column9289"/>
    <tableColumn id="9317" xr3:uid="{00000000-0010-0000-2000-000065240000}" name="Column9290"/>
    <tableColumn id="9318" xr3:uid="{00000000-0010-0000-2000-000066240000}" name="Column9291"/>
    <tableColumn id="9319" xr3:uid="{00000000-0010-0000-2000-000067240000}" name="Column9292"/>
    <tableColumn id="9320" xr3:uid="{00000000-0010-0000-2000-000068240000}" name="Column9293"/>
    <tableColumn id="9321" xr3:uid="{00000000-0010-0000-2000-000069240000}" name="Column9294"/>
    <tableColumn id="9322" xr3:uid="{00000000-0010-0000-2000-00006A240000}" name="Column9295"/>
    <tableColumn id="9323" xr3:uid="{00000000-0010-0000-2000-00006B240000}" name="Column9296"/>
    <tableColumn id="9324" xr3:uid="{00000000-0010-0000-2000-00006C240000}" name="Column9297"/>
    <tableColumn id="9325" xr3:uid="{00000000-0010-0000-2000-00006D240000}" name="Column9298"/>
    <tableColumn id="9326" xr3:uid="{00000000-0010-0000-2000-00006E240000}" name="Column9299"/>
    <tableColumn id="9327" xr3:uid="{00000000-0010-0000-2000-00006F240000}" name="Column9300"/>
    <tableColumn id="9328" xr3:uid="{00000000-0010-0000-2000-000070240000}" name="Column9301"/>
    <tableColumn id="9329" xr3:uid="{00000000-0010-0000-2000-000071240000}" name="Column9302"/>
    <tableColumn id="9330" xr3:uid="{00000000-0010-0000-2000-000072240000}" name="Column9303"/>
    <tableColumn id="9331" xr3:uid="{00000000-0010-0000-2000-000073240000}" name="Column9304"/>
    <tableColumn id="9332" xr3:uid="{00000000-0010-0000-2000-000074240000}" name="Column9305"/>
    <tableColumn id="9333" xr3:uid="{00000000-0010-0000-2000-000075240000}" name="Column9306"/>
    <tableColumn id="9334" xr3:uid="{00000000-0010-0000-2000-000076240000}" name="Column9307"/>
    <tableColumn id="9335" xr3:uid="{00000000-0010-0000-2000-000077240000}" name="Column9308"/>
    <tableColumn id="9336" xr3:uid="{00000000-0010-0000-2000-000078240000}" name="Column9309"/>
    <tableColumn id="9337" xr3:uid="{00000000-0010-0000-2000-000079240000}" name="Column9310"/>
    <tableColumn id="9338" xr3:uid="{00000000-0010-0000-2000-00007A240000}" name="Column9311"/>
    <tableColumn id="9339" xr3:uid="{00000000-0010-0000-2000-00007B240000}" name="Column9312"/>
    <tableColumn id="9340" xr3:uid="{00000000-0010-0000-2000-00007C240000}" name="Column9313"/>
    <tableColumn id="9341" xr3:uid="{00000000-0010-0000-2000-00007D240000}" name="Column9314"/>
    <tableColumn id="9342" xr3:uid="{00000000-0010-0000-2000-00007E240000}" name="Column9315"/>
    <tableColumn id="9343" xr3:uid="{00000000-0010-0000-2000-00007F240000}" name="Column9316"/>
    <tableColumn id="9344" xr3:uid="{00000000-0010-0000-2000-000080240000}" name="Column9317"/>
    <tableColumn id="9345" xr3:uid="{00000000-0010-0000-2000-000081240000}" name="Column9318"/>
    <tableColumn id="9346" xr3:uid="{00000000-0010-0000-2000-000082240000}" name="Column9319"/>
    <tableColumn id="9347" xr3:uid="{00000000-0010-0000-2000-000083240000}" name="Column9320"/>
    <tableColumn id="9348" xr3:uid="{00000000-0010-0000-2000-000084240000}" name="Column9321"/>
    <tableColumn id="9349" xr3:uid="{00000000-0010-0000-2000-000085240000}" name="Column9322"/>
    <tableColumn id="9350" xr3:uid="{00000000-0010-0000-2000-000086240000}" name="Column9323"/>
    <tableColumn id="9351" xr3:uid="{00000000-0010-0000-2000-000087240000}" name="Column9324"/>
    <tableColumn id="9352" xr3:uid="{00000000-0010-0000-2000-000088240000}" name="Column9325"/>
    <tableColumn id="9353" xr3:uid="{00000000-0010-0000-2000-000089240000}" name="Column9326"/>
    <tableColumn id="9354" xr3:uid="{00000000-0010-0000-2000-00008A240000}" name="Column9327"/>
    <tableColumn id="9355" xr3:uid="{00000000-0010-0000-2000-00008B240000}" name="Column9328"/>
    <tableColumn id="9356" xr3:uid="{00000000-0010-0000-2000-00008C240000}" name="Column9329"/>
    <tableColumn id="9357" xr3:uid="{00000000-0010-0000-2000-00008D240000}" name="Column9330"/>
    <tableColumn id="9358" xr3:uid="{00000000-0010-0000-2000-00008E240000}" name="Column9331"/>
    <tableColumn id="9359" xr3:uid="{00000000-0010-0000-2000-00008F240000}" name="Column9332"/>
    <tableColumn id="9360" xr3:uid="{00000000-0010-0000-2000-000090240000}" name="Column9333"/>
    <tableColumn id="9361" xr3:uid="{00000000-0010-0000-2000-000091240000}" name="Column9334"/>
    <tableColumn id="9362" xr3:uid="{00000000-0010-0000-2000-000092240000}" name="Column9335"/>
    <tableColumn id="9363" xr3:uid="{00000000-0010-0000-2000-000093240000}" name="Column9336"/>
    <tableColumn id="9364" xr3:uid="{00000000-0010-0000-2000-000094240000}" name="Column9337"/>
    <tableColumn id="9365" xr3:uid="{00000000-0010-0000-2000-000095240000}" name="Column9338"/>
    <tableColumn id="9366" xr3:uid="{00000000-0010-0000-2000-000096240000}" name="Column9339"/>
    <tableColumn id="9367" xr3:uid="{00000000-0010-0000-2000-000097240000}" name="Column9340"/>
    <tableColumn id="9368" xr3:uid="{00000000-0010-0000-2000-000098240000}" name="Column9341"/>
    <tableColumn id="9369" xr3:uid="{00000000-0010-0000-2000-000099240000}" name="Column9342"/>
    <tableColumn id="9370" xr3:uid="{00000000-0010-0000-2000-00009A240000}" name="Column9343"/>
    <tableColumn id="9371" xr3:uid="{00000000-0010-0000-2000-00009B240000}" name="Column9344"/>
    <tableColumn id="9372" xr3:uid="{00000000-0010-0000-2000-00009C240000}" name="Column9345"/>
    <tableColumn id="9373" xr3:uid="{00000000-0010-0000-2000-00009D240000}" name="Column9346"/>
    <tableColumn id="9374" xr3:uid="{00000000-0010-0000-2000-00009E240000}" name="Column9347"/>
    <tableColumn id="9375" xr3:uid="{00000000-0010-0000-2000-00009F240000}" name="Column9348"/>
    <tableColumn id="9376" xr3:uid="{00000000-0010-0000-2000-0000A0240000}" name="Column9349"/>
    <tableColumn id="9377" xr3:uid="{00000000-0010-0000-2000-0000A1240000}" name="Column9350"/>
    <tableColumn id="9378" xr3:uid="{00000000-0010-0000-2000-0000A2240000}" name="Column9351"/>
    <tableColumn id="9379" xr3:uid="{00000000-0010-0000-2000-0000A3240000}" name="Column9352"/>
    <tableColumn id="9380" xr3:uid="{00000000-0010-0000-2000-0000A4240000}" name="Column9353"/>
    <tableColumn id="9381" xr3:uid="{00000000-0010-0000-2000-0000A5240000}" name="Column9354"/>
    <tableColumn id="9382" xr3:uid="{00000000-0010-0000-2000-0000A6240000}" name="Column9355"/>
    <tableColumn id="9383" xr3:uid="{00000000-0010-0000-2000-0000A7240000}" name="Column9356"/>
    <tableColumn id="9384" xr3:uid="{00000000-0010-0000-2000-0000A8240000}" name="Column9357"/>
    <tableColumn id="9385" xr3:uid="{00000000-0010-0000-2000-0000A9240000}" name="Column9358"/>
    <tableColumn id="9386" xr3:uid="{00000000-0010-0000-2000-0000AA240000}" name="Column9359"/>
    <tableColumn id="9387" xr3:uid="{00000000-0010-0000-2000-0000AB240000}" name="Column9360"/>
    <tableColumn id="9388" xr3:uid="{00000000-0010-0000-2000-0000AC240000}" name="Column9361"/>
    <tableColumn id="9389" xr3:uid="{00000000-0010-0000-2000-0000AD240000}" name="Column9362"/>
    <tableColumn id="9390" xr3:uid="{00000000-0010-0000-2000-0000AE240000}" name="Column9363"/>
    <tableColumn id="9391" xr3:uid="{00000000-0010-0000-2000-0000AF240000}" name="Column9364"/>
    <tableColumn id="9392" xr3:uid="{00000000-0010-0000-2000-0000B0240000}" name="Column9365"/>
    <tableColumn id="9393" xr3:uid="{00000000-0010-0000-2000-0000B1240000}" name="Column9366"/>
    <tableColumn id="9394" xr3:uid="{00000000-0010-0000-2000-0000B2240000}" name="Column9367"/>
    <tableColumn id="9395" xr3:uid="{00000000-0010-0000-2000-0000B3240000}" name="Column9368"/>
    <tableColumn id="9396" xr3:uid="{00000000-0010-0000-2000-0000B4240000}" name="Column9369"/>
    <tableColumn id="9397" xr3:uid="{00000000-0010-0000-2000-0000B5240000}" name="Column9370"/>
    <tableColumn id="9398" xr3:uid="{00000000-0010-0000-2000-0000B6240000}" name="Column9371"/>
    <tableColumn id="9399" xr3:uid="{00000000-0010-0000-2000-0000B7240000}" name="Column9372"/>
    <tableColumn id="9400" xr3:uid="{00000000-0010-0000-2000-0000B8240000}" name="Column9373"/>
    <tableColumn id="9401" xr3:uid="{00000000-0010-0000-2000-0000B9240000}" name="Column9374"/>
    <tableColumn id="9402" xr3:uid="{00000000-0010-0000-2000-0000BA240000}" name="Column9375"/>
    <tableColumn id="9403" xr3:uid="{00000000-0010-0000-2000-0000BB240000}" name="Column9376"/>
    <tableColumn id="9404" xr3:uid="{00000000-0010-0000-2000-0000BC240000}" name="Column9377"/>
    <tableColumn id="9405" xr3:uid="{00000000-0010-0000-2000-0000BD240000}" name="Column9378"/>
    <tableColumn id="9406" xr3:uid="{00000000-0010-0000-2000-0000BE240000}" name="Column9379"/>
    <tableColumn id="9407" xr3:uid="{00000000-0010-0000-2000-0000BF240000}" name="Column9380"/>
    <tableColumn id="9408" xr3:uid="{00000000-0010-0000-2000-0000C0240000}" name="Column9381"/>
    <tableColumn id="9409" xr3:uid="{00000000-0010-0000-2000-0000C1240000}" name="Column9382"/>
    <tableColumn id="9410" xr3:uid="{00000000-0010-0000-2000-0000C2240000}" name="Column9383"/>
    <tableColumn id="9411" xr3:uid="{00000000-0010-0000-2000-0000C3240000}" name="Column9384"/>
    <tableColumn id="9412" xr3:uid="{00000000-0010-0000-2000-0000C4240000}" name="Column9385"/>
    <tableColumn id="9413" xr3:uid="{00000000-0010-0000-2000-0000C5240000}" name="Column9386"/>
    <tableColumn id="9414" xr3:uid="{00000000-0010-0000-2000-0000C6240000}" name="Column9387"/>
    <tableColumn id="9415" xr3:uid="{00000000-0010-0000-2000-0000C7240000}" name="Column9388"/>
    <tableColumn id="9416" xr3:uid="{00000000-0010-0000-2000-0000C8240000}" name="Column9389"/>
    <tableColumn id="9417" xr3:uid="{00000000-0010-0000-2000-0000C9240000}" name="Column9390"/>
    <tableColumn id="9418" xr3:uid="{00000000-0010-0000-2000-0000CA240000}" name="Column9391"/>
    <tableColumn id="9419" xr3:uid="{00000000-0010-0000-2000-0000CB240000}" name="Column9392"/>
    <tableColumn id="9420" xr3:uid="{00000000-0010-0000-2000-0000CC240000}" name="Column9393"/>
    <tableColumn id="9421" xr3:uid="{00000000-0010-0000-2000-0000CD240000}" name="Column9394"/>
    <tableColumn id="9422" xr3:uid="{00000000-0010-0000-2000-0000CE240000}" name="Column9395"/>
    <tableColumn id="9423" xr3:uid="{00000000-0010-0000-2000-0000CF240000}" name="Column9396"/>
    <tableColumn id="9424" xr3:uid="{00000000-0010-0000-2000-0000D0240000}" name="Column9397"/>
    <tableColumn id="9425" xr3:uid="{00000000-0010-0000-2000-0000D1240000}" name="Column9398"/>
    <tableColumn id="9426" xr3:uid="{00000000-0010-0000-2000-0000D2240000}" name="Column9399"/>
    <tableColumn id="9427" xr3:uid="{00000000-0010-0000-2000-0000D3240000}" name="Column9400"/>
    <tableColumn id="9428" xr3:uid="{00000000-0010-0000-2000-0000D4240000}" name="Column9401"/>
    <tableColumn id="9429" xr3:uid="{00000000-0010-0000-2000-0000D5240000}" name="Column9402"/>
    <tableColumn id="9430" xr3:uid="{00000000-0010-0000-2000-0000D6240000}" name="Column9403"/>
    <tableColumn id="9431" xr3:uid="{00000000-0010-0000-2000-0000D7240000}" name="Column9404"/>
    <tableColumn id="9432" xr3:uid="{00000000-0010-0000-2000-0000D8240000}" name="Column9405"/>
    <tableColumn id="9433" xr3:uid="{00000000-0010-0000-2000-0000D9240000}" name="Column9406"/>
    <tableColumn id="9434" xr3:uid="{00000000-0010-0000-2000-0000DA240000}" name="Column9407"/>
    <tableColumn id="9435" xr3:uid="{00000000-0010-0000-2000-0000DB240000}" name="Column9408"/>
    <tableColumn id="9436" xr3:uid="{00000000-0010-0000-2000-0000DC240000}" name="Column9409"/>
    <tableColumn id="9437" xr3:uid="{00000000-0010-0000-2000-0000DD240000}" name="Column9410"/>
    <tableColumn id="9438" xr3:uid="{00000000-0010-0000-2000-0000DE240000}" name="Column9411"/>
    <tableColumn id="9439" xr3:uid="{00000000-0010-0000-2000-0000DF240000}" name="Column9412"/>
    <tableColumn id="9440" xr3:uid="{00000000-0010-0000-2000-0000E0240000}" name="Column9413"/>
    <tableColumn id="9441" xr3:uid="{00000000-0010-0000-2000-0000E1240000}" name="Column9414"/>
    <tableColumn id="9442" xr3:uid="{00000000-0010-0000-2000-0000E2240000}" name="Column9415"/>
    <tableColumn id="9443" xr3:uid="{00000000-0010-0000-2000-0000E3240000}" name="Column9416"/>
    <tableColumn id="9444" xr3:uid="{00000000-0010-0000-2000-0000E4240000}" name="Column9417"/>
    <tableColumn id="9445" xr3:uid="{00000000-0010-0000-2000-0000E5240000}" name="Column9418"/>
    <tableColumn id="9446" xr3:uid="{00000000-0010-0000-2000-0000E6240000}" name="Column9419"/>
    <tableColumn id="9447" xr3:uid="{00000000-0010-0000-2000-0000E7240000}" name="Column9420"/>
    <tableColumn id="9448" xr3:uid="{00000000-0010-0000-2000-0000E8240000}" name="Column9421"/>
    <tableColumn id="9449" xr3:uid="{00000000-0010-0000-2000-0000E9240000}" name="Column9422"/>
    <tableColumn id="9450" xr3:uid="{00000000-0010-0000-2000-0000EA240000}" name="Column9423"/>
    <tableColumn id="9451" xr3:uid="{00000000-0010-0000-2000-0000EB240000}" name="Column9424"/>
    <tableColumn id="9452" xr3:uid="{00000000-0010-0000-2000-0000EC240000}" name="Column9425"/>
    <tableColumn id="9453" xr3:uid="{00000000-0010-0000-2000-0000ED240000}" name="Column9426"/>
    <tableColumn id="9454" xr3:uid="{00000000-0010-0000-2000-0000EE240000}" name="Column9427"/>
    <tableColumn id="9455" xr3:uid="{00000000-0010-0000-2000-0000EF240000}" name="Column9428"/>
    <tableColumn id="9456" xr3:uid="{00000000-0010-0000-2000-0000F0240000}" name="Column9429"/>
    <tableColumn id="9457" xr3:uid="{00000000-0010-0000-2000-0000F1240000}" name="Column9430"/>
    <tableColumn id="9458" xr3:uid="{00000000-0010-0000-2000-0000F2240000}" name="Column9431"/>
    <tableColumn id="9459" xr3:uid="{00000000-0010-0000-2000-0000F3240000}" name="Column9432"/>
    <tableColumn id="9460" xr3:uid="{00000000-0010-0000-2000-0000F4240000}" name="Column9433"/>
    <tableColumn id="9461" xr3:uid="{00000000-0010-0000-2000-0000F5240000}" name="Column9434"/>
    <tableColumn id="9462" xr3:uid="{00000000-0010-0000-2000-0000F6240000}" name="Column9435"/>
    <tableColumn id="9463" xr3:uid="{00000000-0010-0000-2000-0000F7240000}" name="Column9436"/>
    <tableColumn id="9464" xr3:uid="{00000000-0010-0000-2000-0000F8240000}" name="Column9437"/>
    <tableColumn id="9465" xr3:uid="{00000000-0010-0000-2000-0000F9240000}" name="Column9438"/>
    <tableColumn id="9466" xr3:uid="{00000000-0010-0000-2000-0000FA240000}" name="Column9439"/>
    <tableColumn id="9467" xr3:uid="{00000000-0010-0000-2000-0000FB240000}" name="Column9440"/>
    <tableColumn id="9468" xr3:uid="{00000000-0010-0000-2000-0000FC240000}" name="Column9441"/>
    <tableColumn id="9469" xr3:uid="{00000000-0010-0000-2000-0000FD240000}" name="Column9442"/>
    <tableColumn id="9470" xr3:uid="{00000000-0010-0000-2000-0000FE240000}" name="Column9443"/>
    <tableColumn id="9471" xr3:uid="{00000000-0010-0000-2000-0000FF240000}" name="Column9444"/>
    <tableColumn id="9472" xr3:uid="{00000000-0010-0000-2000-000000250000}" name="Column9445"/>
    <tableColumn id="9473" xr3:uid="{00000000-0010-0000-2000-000001250000}" name="Column9446"/>
    <tableColumn id="9474" xr3:uid="{00000000-0010-0000-2000-000002250000}" name="Column9447"/>
    <tableColumn id="9475" xr3:uid="{00000000-0010-0000-2000-000003250000}" name="Column9448"/>
    <tableColumn id="9476" xr3:uid="{00000000-0010-0000-2000-000004250000}" name="Column9449"/>
    <tableColumn id="9477" xr3:uid="{00000000-0010-0000-2000-000005250000}" name="Column9450"/>
    <tableColumn id="9478" xr3:uid="{00000000-0010-0000-2000-000006250000}" name="Column9451"/>
    <tableColumn id="9479" xr3:uid="{00000000-0010-0000-2000-000007250000}" name="Column9452"/>
    <tableColumn id="9480" xr3:uid="{00000000-0010-0000-2000-000008250000}" name="Column9453"/>
    <tableColumn id="9481" xr3:uid="{00000000-0010-0000-2000-000009250000}" name="Column9454"/>
    <tableColumn id="9482" xr3:uid="{00000000-0010-0000-2000-00000A250000}" name="Column9455"/>
    <tableColumn id="9483" xr3:uid="{00000000-0010-0000-2000-00000B250000}" name="Column9456"/>
    <tableColumn id="9484" xr3:uid="{00000000-0010-0000-2000-00000C250000}" name="Column9457"/>
    <tableColumn id="9485" xr3:uid="{00000000-0010-0000-2000-00000D250000}" name="Column9458"/>
    <tableColumn id="9486" xr3:uid="{00000000-0010-0000-2000-00000E250000}" name="Column9459"/>
    <tableColumn id="9487" xr3:uid="{00000000-0010-0000-2000-00000F250000}" name="Column9460"/>
    <tableColumn id="9488" xr3:uid="{00000000-0010-0000-2000-000010250000}" name="Column9461"/>
    <tableColumn id="9489" xr3:uid="{00000000-0010-0000-2000-000011250000}" name="Column9462"/>
    <tableColumn id="9490" xr3:uid="{00000000-0010-0000-2000-000012250000}" name="Column9463"/>
    <tableColumn id="9491" xr3:uid="{00000000-0010-0000-2000-000013250000}" name="Column9464"/>
    <tableColumn id="9492" xr3:uid="{00000000-0010-0000-2000-000014250000}" name="Column9465"/>
    <tableColumn id="9493" xr3:uid="{00000000-0010-0000-2000-000015250000}" name="Column9466"/>
    <tableColumn id="9494" xr3:uid="{00000000-0010-0000-2000-000016250000}" name="Column9467"/>
    <tableColumn id="9495" xr3:uid="{00000000-0010-0000-2000-000017250000}" name="Column9468"/>
    <tableColumn id="9496" xr3:uid="{00000000-0010-0000-2000-000018250000}" name="Column9469"/>
    <tableColumn id="9497" xr3:uid="{00000000-0010-0000-2000-000019250000}" name="Column9470"/>
    <tableColumn id="9498" xr3:uid="{00000000-0010-0000-2000-00001A250000}" name="Column9471"/>
    <tableColumn id="9499" xr3:uid="{00000000-0010-0000-2000-00001B250000}" name="Column9472"/>
    <tableColumn id="9500" xr3:uid="{00000000-0010-0000-2000-00001C250000}" name="Column9473"/>
    <tableColumn id="9501" xr3:uid="{00000000-0010-0000-2000-00001D250000}" name="Column9474"/>
    <tableColumn id="9502" xr3:uid="{00000000-0010-0000-2000-00001E250000}" name="Column9475"/>
    <tableColumn id="9503" xr3:uid="{00000000-0010-0000-2000-00001F250000}" name="Column9476"/>
    <tableColumn id="9504" xr3:uid="{00000000-0010-0000-2000-000020250000}" name="Column9477"/>
    <tableColumn id="9505" xr3:uid="{00000000-0010-0000-2000-000021250000}" name="Column9478"/>
    <tableColumn id="9506" xr3:uid="{00000000-0010-0000-2000-000022250000}" name="Column9479"/>
    <tableColumn id="9507" xr3:uid="{00000000-0010-0000-2000-000023250000}" name="Column9480"/>
    <tableColumn id="9508" xr3:uid="{00000000-0010-0000-2000-000024250000}" name="Column9481"/>
    <tableColumn id="9509" xr3:uid="{00000000-0010-0000-2000-000025250000}" name="Column9482"/>
    <tableColumn id="9510" xr3:uid="{00000000-0010-0000-2000-000026250000}" name="Column9483"/>
    <tableColumn id="9511" xr3:uid="{00000000-0010-0000-2000-000027250000}" name="Column9484"/>
    <tableColumn id="9512" xr3:uid="{00000000-0010-0000-2000-000028250000}" name="Column9485"/>
    <tableColumn id="9513" xr3:uid="{00000000-0010-0000-2000-000029250000}" name="Column9486"/>
    <tableColumn id="9514" xr3:uid="{00000000-0010-0000-2000-00002A250000}" name="Column9487"/>
    <tableColumn id="9515" xr3:uid="{00000000-0010-0000-2000-00002B250000}" name="Column9488"/>
    <tableColumn id="9516" xr3:uid="{00000000-0010-0000-2000-00002C250000}" name="Column9489"/>
    <tableColumn id="9517" xr3:uid="{00000000-0010-0000-2000-00002D250000}" name="Column9490"/>
    <tableColumn id="9518" xr3:uid="{00000000-0010-0000-2000-00002E250000}" name="Column9491"/>
    <tableColumn id="9519" xr3:uid="{00000000-0010-0000-2000-00002F250000}" name="Column9492"/>
    <tableColumn id="9520" xr3:uid="{00000000-0010-0000-2000-000030250000}" name="Column9493"/>
    <tableColumn id="9521" xr3:uid="{00000000-0010-0000-2000-000031250000}" name="Column9494"/>
    <tableColumn id="9522" xr3:uid="{00000000-0010-0000-2000-000032250000}" name="Column9495"/>
    <tableColumn id="9523" xr3:uid="{00000000-0010-0000-2000-000033250000}" name="Column9496"/>
    <tableColumn id="9524" xr3:uid="{00000000-0010-0000-2000-000034250000}" name="Column9497"/>
    <tableColumn id="9525" xr3:uid="{00000000-0010-0000-2000-000035250000}" name="Column9498"/>
    <tableColumn id="9526" xr3:uid="{00000000-0010-0000-2000-000036250000}" name="Column9499"/>
    <tableColumn id="9527" xr3:uid="{00000000-0010-0000-2000-000037250000}" name="Column9500"/>
    <tableColumn id="9528" xr3:uid="{00000000-0010-0000-2000-000038250000}" name="Column9501"/>
    <tableColumn id="9529" xr3:uid="{00000000-0010-0000-2000-000039250000}" name="Column9502"/>
    <tableColumn id="9530" xr3:uid="{00000000-0010-0000-2000-00003A250000}" name="Column9503"/>
    <tableColumn id="9531" xr3:uid="{00000000-0010-0000-2000-00003B250000}" name="Column9504"/>
    <tableColumn id="9532" xr3:uid="{00000000-0010-0000-2000-00003C250000}" name="Column9505"/>
    <tableColumn id="9533" xr3:uid="{00000000-0010-0000-2000-00003D250000}" name="Column9506"/>
    <tableColumn id="9534" xr3:uid="{00000000-0010-0000-2000-00003E250000}" name="Column9507"/>
    <tableColumn id="9535" xr3:uid="{00000000-0010-0000-2000-00003F250000}" name="Column9508"/>
    <tableColumn id="9536" xr3:uid="{00000000-0010-0000-2000-000040250000}" name="Column9509"/>
    <tableColumn id="9537" xr3:uid="{00000000-0010-0000-2000-000041250000}" name="Column9510"/>
    <tableColumn id="9538" xr3:uid="{00000000-0010-0000-2000-000042250000}" name="Column9511"/>
    <tableColumn id="9539" xr3:uid="{00000000-0010-0000-2000-000043250000}" name="Column9512"/>
    <tableColumn id="9540" xr3:uid="{00000000-0010-0000-2000-000044250000}" name="Column9513"/>
    <tableColumn id="9541" xr3:uid="{00000000-0010-0000-2000-000045250000}" name="Column9514"/>
    <tableColumn id="9542" xr3:uid="{00000000-0010-0000-2000-000046250000}" name="Column9515"/>
    <tableColumn id="9543" xr3:uid="{00000000-0010-0000-2000-000047250000}" name="Column9516"/>
    <tableColumn id="9544" xr3:uid="{00000000-0010-0000-2000-000048250000}" name="Column9517"/>
    <tableColumn id="9545" xr3:uid="{00000000-0010-0000-2000-000049250000}" name="Column9518"/>
    <tableColumn id="9546" xr3:uid="{00000000-0010-0000-2000-00004A250000}" name="Column9519"/>
    <tableColumn id="9547" xr3:uid="{00000000-0010-0000-2000-00004B250000}" name="Column9520"/>
    <tableColumn id="9548" xr3:uid="{00000000-0010-0000-2000-00004C250000}" name="Column9521"/>
    <tableColumn id="9549" xr3:uid="{00000000-0010-0000-2000-00004D250000}" name="Column9522"/>
    <tableColumn id="9550" xr3:uid="{00000000-0010-0000-2000-00004E250000}" name="Column9523"/>
    <tableColumn id="9551" xr3:uid="{00000000-0010-0000-2000-00004F250000}" name="Column9524"/>
    <tableColumn id="9552" xr3:uid="{00000000-0010-0000-2000-000050250000}" name="Column9525"/>
    <tableColumn id="9553" xr3:uid="{00000000-0010-0000-2000-000051250000}" name="Column9526"/>
    <tableColumn id="9554" xr3:uid="{00000000-0010-0000-2000-000052250000}" name="Column9527"/>
    <tableColumn id="9555" xr3:uid="{00000000-0010-0000-2000-000053250000}" name="Column9528"/>
    <tableColumn id="9556" xr3:uid="{00000000-0010-0000-2000-000054250000}" name="Column9529"/>
    <tableColumn id="9557" xr3:uid="{00000000-0010-0000-2000-000055250000}" name="Column9530"/>
    <tableColumn id="9558" xr3:uid="{00000000-0010-0000-2000-000056250000}" name="Column9531"/>
    <tableColumn id="9559" xr3:uid="{00000000-0010-0000-2000-000057250000}" name="Column9532"/>
    <tableColumn id="9560" xr3:uid="{00000000-0010-0000-2000-000058250000}" name="Column9533"/>
    <tableColumn id="9561" xr3:uid="{00000000-0010-0000-2000-000059250000}" name="Column9534"/>
    <tableColumn id="9562" xr3:uid="{00000000-0010-0000-2000-00005A250000}" name="Column9535"/>
    <tableColumn id="9563" xr3:uid="{00000000-0010-0000-2000-00005B250000}" name="Column9536"/>
    <tableColumn id="9564" xr3:uid="{00000000-0010-0000-2000-00005C250000}" name="Column9537"/>
    <tableColumn id="9565" xr3:uid="{00000000-0010-0000-2000-00005D250000}" name="Column9538"/>
    <tableColumn id="9566" xr3:uid="{00000000-0010-0000-2000-00005E250000}" name="Column9539"/>
    <tableColumn id="9567" xr3:uid="{00000000-0010-0000-2000-00005F250000}" name="Column9540"/>
    <tableColumn id="9568" xr3:uid="{00000000-0010-0000-2000-000060250000}" name="Column9541"/>
    <tableColumn id="9569" xr3:uid="{00000000-0010-0000-2000-000061250000}" name="Column9542"/>
    <tableColumn id="9570" xr3:uid="{00000000-0010-0000-2000-000062250000}" name="Column9543"/>
    <tableColumn id="9571" xr3:uid="{00000000-0010-0000-2000-000063250000}" name="Column9544"/>
    <tableColumn id="9572" xr3:uid="{00000000-0010-0000-2000-000064250000}" name="Column9545"/>
    <tableColumn id="9573" xr3:uid="{00000000-0010-0000-2000-000065250000}" name="Column9546"/>
    <tableColumn id="9574" xr3:uid="{00000000-0010-0000-2000-000066250000}" name="Column9547"/>
    <tableColumn id="9575" xr3:uid="{00000000-0010-0000-2000-000067250000}" name="Column9548"/>
    <tableColumn id="9576" xr3:uid="{00000000-0010-0000-2000-000068250000}" name="Column9549"/>
    <tableColumn id="9577" xr3:uid="{00000000-0010-0000-2000-000069250000}" name="Column9550"/>
    <tableColumn id="9578" xr3:uid="{00000000-0010-0000-2000-00006A250000}" name="Column9551"/>
    <tableColumn id="9579" xr3:uid="{00000000-0010-0000-2000-00006B250000}" name="Column9552"/>
    <tableColumn id="9580" xr3:uid="{00000000-0010-0000-2000-00006C250000}" name="Column9553"/>
    <tableColumn id="9581" xr3:uid="{00000000-0010-0000-2000-00006D250000}" name="Column9554"/>
    <tableColumn id="9582" xr3:uid="{00000000-0010-0000-2000-00006E250000}" name="Column9555"/>
    <tableColumn id="9583" xr3:uid="{00000000-0010-0000-2000-00006F250000}" name="Column9556"/>
    <tableColumn id="9584" xr3:uid="{00000000-0010-0000-2000-000070250000}" name="Column9557"/>
    <tableColumn id="9585" xr3:uid="{00000000-0010-0000-2000-000071250000}" name="Column9558"/>
    <tableColumn id="9586" xr3:uid="{00000000-0010-0000-2000-000072250000}" name="Column9559"/>
    <tableColumn id="9587" xr3:uid="{00000000-0010-0000-2000-000073250000}" name="Column9560"/>
    <tableColumn id="9588" xr3:uid="{00000000-0010-0000-2000-000074250000}" name="Column9561"/>
    <tableColumn id="9589" xr3:uid="{00000000-0010-0000-2000-000075250000}" name="Column9562"/>
    <tableColumn id="9590" xr3:uid="{00000000-0010-0000-2000-000076250000}" name="Column9563"/>
    <tableColumn id="9591" xr3:uid="{00000000-0010-0000-2000-000077250000}" name="Column9564"/>
    <tableColumn id="9592" xr3:uid="{00000000-0010-0000-2000-000078250000}" name="Column9565"/>
    <tableColumn id="9593" xr3:uid="{00000000-0010-0000-2000-000079250000}" name="Column9566"/>
    <tableColumn id="9594" xr3:uid="{00000000-0010-0000-2000-00007A250000}" name="Column9567"/>
    <tableColumn id="9595" xr3:uid="{00000000-0010-0000-2000-00007B250000}" name="Column9568"/>
    <tableColumn id="9596" xr3:uid="{00000000-0010-0000-2000-00007C250000}" name="Column9569"/>
    <tableColumn id="9597" xr3:uid="{00000000-0010-0000-2000-00007D250000}" name="Column9570"/>
    <tableColumn id="9598" xr3:uid="{00000000-0010-0000-2000-00007E250000}" name="Column9571"/>
    <tableColumn id="9599" xr3:uid="{00000000-0010-0000-2000-00007F250000}" name="Column9572"/>
    <tableColumn id="9600" xr3:uid="{00000000-0010-0000-2000-000080250000}" name="Column9573"/>
    <tableColumn id="9601" xr3:uid="{00000000-0010-0000-2000-000081250000}" name="Column9574"/>
    <tableColumn id="9602" xr3:uid="{00000000-0010-0000-2000-000082250000}" name="Column9575"/>
    <tableColumn id="9603" xr3:uid="{00000000-0010-0000-2000-000083250000}" name="Column9576"/>
    <tableColumn id="9604" xr3:uid="{00000000-0010-0000-2000-000084250000}" name="Column9577"/>
    <tableColumn id="9605" xr3:uid="{00000000-0010-0000-2000-000085250000}" name="Column9578"/>
    <tableColumn id="9606" xr3:uid="{00000000-0010-0000-2000-000086250000}" name="Column9579"/>
    <tableColumn id="9607" xr3:uid="{00000000-0010-0000-2000-000087250000}" name="Column9580"/>
    <tableColumn id="9608" xr3:uid="{00000000-0010-0000-2000-000088250000}" name="Column9581"/>
    <tableColumn id="9609" xr3:uid="{00000000-0010-0000-2000-000089250000}" name="Column9582"/>
    <tableColumn id="9610" xr3:uid="{00000000-0010-0000-2000-00008A250000}" name="Column9583"/>
    <tableColumn id="9611" xr3:uid="{00000000-0010-0000-2000-00008B250000}" name="Column9584"/>
    <tableColumn id="9612" xr3:uid="{00000000-0010-0000-2000-00008C250000}" name="Column9585"/>
    <tableColumn id="9613" xr3:uid="{00000000-0010-0000-2000-00008D250000}" name="Column9586"/>
    <tableColumn id="9614" xr3:uid="{00000000-0010-0000-2000-00008E250000}" name="Column9587"/>
    <tableColumn id="9615" xr3:uid="{00000000-0010-0000-2000-00008F250000}" name="Column9588"/>
    <tableColumn id="9616" xr3:uid="{00000000-0010-0000-2000-000090250000}" name="Column9589"/>
    <tableColumn id="9617" xr3:uid="{00000000-0010-0000-2000-000091250000}" name="Column9590"/>
    <tableColumn id="9618" xr3:uid="{00000000-0010-0000-2000-000092250000}" name="Column9591"/>
    <tableColumn id="9619" xr3:uid="{00000000-0010-0000-2000-000093250000}" name="Column9592"/>
    <tableColumn id="9620" xr3:uid="{00000000-0010-0000-2000-000094250000}" name="Column9593"/>
    <tableColumn id="9621" xr3:uid="{00000000-0010-0000-2000-000095250000}" name="Column9594"/>
    <tableColumn id="9622" xr3:uid="{00000000-0010-0000-2000-000096250000}" name="Column9595"/>
    <tableColumn id="9623" xr3:uid="{00000000-0010-0000-2000-000097250000}" name="Column9596"/>
    <tableColumn id="9624" xr3:uid="{00000000-0010-0000-2000-000098250000}" name="Column9597"/>
    <tableColumn id="9625" xr3:uid="{00000000-0010-0000-2000-000099250000}" name="Column9598"/>
    <tableColumn id="9626" xr3:uid="{00000000-0010-0000-2000-00009A250000}" name="Column9599"/>
    <tableColumn id="9627" xr3:uid="{00000000-0010-0000-2000-00009B250000}" name="Column9600"/>
    <tableColumn id="9628" xr3:uid="{00000000-0010-0000-2000-00009C250000}" name="Column9601"/>
    <tableColumn id="9629" xr3:uid="{00000000-0010-0000-2000-00009D250000}" name="Column9602"/>
    <tableColumn id="9630" xr3:uid="{00000000-0010-0000-2000-00009E250000}" name="Column9603"/>
    <tableColumn id="9631" xr3:uid="{00000000-0010-0000-2000-00009F250000}" name="Column9604"/>
    <tableColumn id="9632" xr3:uid="{00000000-0010-0000-2000-0000A0250000}" name="Column9605"/>
    <tableColumn id="9633" xr3:uid="{00000000-0010-0000-2000-0000A1250000}" name="Column9606"/>
    <tableColumn id="9634" xr3:uid="{00000000-0010-0000-2000-0000A2250000}" name="Column9607"/>
    <tableColumn id="9635" xr3:uid="{00000000-0010-0000-2000-0000A3250000}" name="Column9608"/>
    <tableColumn id="9636" xr3:uid="{00000000-0010-0000-2000-0000A4250000}" name="Column9609"/>
    <tableColumn id="9637" xr3:uid="{00000000-0010-0000-2000-0000A5250000}" name="Column9610"/>
    <tableColumn id="9638" xr3:uid="{00000000-0010-0000-2000-0000A6250000}" name="Column9611"/>
    <tableColumn id="9639" xr3:uid="{00000000-0010-0000-2000-0000A7250000}" name="Column9612"/>
    <tableColumn id="9640" xr3:uid="{00000000-0010-0000-2000-0000A8250000}" name="Column9613"/>
    <tableColumn id="9641" xr3:uid="{00000000-0010-0000-2000-0000A9250000}" name="Column9614"/>
    <tableColumn id="9642" xr3:uid="{00000000-0010-0000-2000-0000AA250000}" name="Column9615"/>
    <tableColumn id="9643" xr3:uid="{00000000-0010-0000-2000-0000AB250000}" name="Column9616"/>
    <tableColumn id="9644" xr3:uid="{00000000-0010-0000-2000-0000AC250000}" name="Column9617"/>
    <tableColumn id="9645" xr3:uid="{00000000-0010-0000-2000-0000AD250000}" name="Column9618"/>
    <tableColumn id="9646" xr3:uid="{00000000-0010-0000-2000-0000AE250000}" name="Column9619"/>
    <tableColumn id="9647" xr3:uid="{00000000-0010-0000-2000-0000AF250000}" name="Column9620"/>
    <tableColumn id="9648" xr3:uid="{00000000-0010-0000-2000-0000B0250000}" name="Column9621"/>
    <tableColumn id="9649" xr3:uid="{00000000-0010-0000-2000-0000B1250000}" name="Column9622"/>
    <tableColumn id="9650" xr3:uid="{00000000-0010-0000-2000-0000B2250000}" name="Column9623"/>
    <tableColumn id="9651" xr3:uid="{00000000-0010-0000-2000-0000B3250000}" name="Column9624"/>
    <tableColumn id="9652" xr3:uid="{00000000-0010-0000-2000-0000B4250000}" name="Column9625"/>
    <tableColumn id="9653" xr3:uid="{00000000-0010-0000-2000-0000B5250000}" name="Column9626"/>
    <tableColumn id="9654" xr3:uid="{00000000-0010-0000-2000-0000B6250000}" name="Column9627"/>
    <tableColumn id="9655" xr3:uid="{00000000-0010-0000-2000-0000B7250000}" name="Column9628"/>
    <tableColumn id="9656" xr3:uid="{00000000-0010-0000-2000-0000B8250000}" name="Column9629"/>
    <tableColumn id="9657" xr3:uid="{00000000-0010-0000-2000-0000B9250000}" name="Column9630"/>
    <tableColumn id="9658" xr3:uid="{00000000-0010-0000-2000-0000BA250000}" name="Column9631"/>
    <tableColumn id="9659" xr3:uid="{00000000-0010-0000-2000-0000BB250000}" name="Column9632"/>
    <tableColumn id="9660" xr3:uid="{00000000-0010-0000-2000-0000BC250000}" name="Column9633"/>
    <tableColumn id="9661" xr3:uid="{00000000-0010-0000-2000-0000BD250000}" name="Column9634"/>
    <tableColumn id="9662" xr3:uid="{00000000-0010-0000-2000-0000BE250000}" name="Column9635"/>
    <tableColumn id="9663" xr3:uid="{00000000-0010-0000-2000-0000BF250000}" name="Column9636"/>
    <tableColumn id="9664" xr3:uid="{00000000-0010-0000-2000-0000C0250000}" name="Column9637"/>
    <tableColumn id="9665" xr3:uid="{00000000-0010-0000-2000-0000C1250000}" name="Column9638"/>
    <tableColumn id="9666" xr3:uid="{00000000-0010-0000-2000-0000C2250000}" name="Column9639"/>
    <tableColumn id="9667" xr3:uid="{00000000-0010-0000-2000-0000C3250000}" name="Column9640"/>
    <tableColumn id="9668" xr3:uid="{00000000-0010-0000-2000-0000C4250000}" name="Column9641"/>
    <tableColumn id="9669" xr3:uid="{00000000-0010-0000-2000-0000C5250000}" name="Column9642"/>
    <tableColumn id="9670" xr3:uid="{00000000-0010-0000-2000-0000C6250000}" name="Column9643"/>
    <tableColumn id="9671" xr3:uid="{00000000-0010-0000-2000-0000C7250000}" name="Column9644"/>
    <tableColumn id="9672" xr3:uid="{00000000-0010-0000-2000-0000C8250000}" name="Column9645"/>
    <tableColumn id="9673" xr3:uid="{00000000-0010-0000-2000-0000C9250000}" name="Column9646"/>
    <tableColumn id="9674" xr3:uid="{00000000-0010-0000-2000-0000CA250000}" name="Column9647"/>
    <tableColumn id="9675" xr3:uid="{00000000-0010-0000-2000-0000CB250000}" name="Column9648"/>
    <tableColumn id="9676" xr3:uid="{00000000-0010-0000-2000-0000CC250000}" name="Column9649"/>
    <tableColumn id="9677" xr3:uid="{00000000-0010-0000-2000-0000CD250000}" name="Column9650"/>
    <tableColumn id="9678" xr3:uid="{00000000-0010-0000-2000-0000CE250000}" name="Column9651"/>
    <tableColumn id="9679" xr3:uid="{00000000-0010-0000-2000-0000CF250000}" name="Column9652"/>
    <tableColumn id="9680" xr3:uid="{00000000-0010-0000-2000-0000D0250000}" name="Column9653"/>
    <tableColumn id="9681" xr3:uid="{00000000-0010-0000-2000-0000D1250000}" name="Column9654"/>
    <tableColumn id="9682" xr3:uid="{00000000-0010-0000-2000-0000D2250000}" name="Column9655"/>
    <tableColumn id="9683" xr3:uid="{00000000-0010-0000-2000-0000D3250000}" name="Column9656"/>
    <tableColumn id="9684" xr3:uid="{00000000-0010-0000-2000-0000D4250000}" name="Column9657"/>
    <tableColumn id="9685" xr3:uid="{00000000-0010-0000-2000-0000D5250000}" name="Column9658"/>
    <tableColumn id="9686" xr3:uid="{00000000-0010-0000-2000-0000D6250000}" name="Column9659"/>
    <tableColumn id="9687" xr3:uid="{00000000-0010-0000-2000-0000D7250000}" name="Column9660"/>
    <tableColumn id="9688" xr3:uid="{00000000-0010-0000-2000-0000D8250000}" name="Column9661"/>
    <tableColumn id="9689" xr3:uid="{00000000-0010-0000-2000-0000D9250000}" name="Column9662"/>
    <tableColumn id="9690" xr3:uid="{00000000-0010-0000-2000-0000DA250000}" name="Column9663"/>
    <tableColumn id="9691" xr3:uid="{00000000-0010-0000-2000-0000DB250000}" name="Column9664"/>
    <tableColumn id="9692" xr3:uid="{00000000-0010-0000-2000-0000DC250000}" name="Column9665"/>
    <tableColumn id="9693" xr3:uid="{00000000-0010-0000-2000-0000DD250000}" name="Column9666"/>
    <tableColumn id="9694" xr3:uid="{00000000-0010-0000-2000-0000DE250000}" name="Column9667"/>
    <tableColumn id="9695" xr3:uid="{00000000-0010-0000-2000-0000DF250000}" name="Column9668"/>
    <tableColumn id="9696" xr3:uid="{00000000-0010-0000-2000-0000E0250000}" name="Column9669"/>
    <tableColumn id="9697" xr3:uid="{00000000-0010-0000-2000-0000E1250000}" name="Column9670"/>
    <tableColumn id="9698" xr3:uid="{00000000-0010-0000-2000-0000E2250000}" name="Column9671"/>
    <tableColumn id="9699" xr3:uid="{00000000-0010-0000-2000-0000E3250000}" name="Column9672"/>
    <tableColumn id="9700" xr3:uid="{00000000-0010-0000-2000-0000E4250000}" name="Column9673"/>
    <tableColumn id="9701" xr3:uid="{00000000-0010-0000-2000-0000E5250000}" name="Column9674"/>
    <tableColumn id="9702" xr3:uid="{00000000-0010-0000-2000-0000E6250000}" name="Column9675"/>
    <tableColumn id="9703" xr3:uid="{00000000-0010-0000-2000-0000E7250000}" name="Column9676"/>
    <tableColumn id="9704" xr3:uid="{00000000-0010-0000-2000-0000E8250000}" name="Column9677"/>
    <tableColumn id="9705" xr3:uid="{00000000-0010-0000-2000-0000E9250000}" name="Column9678"/>
    <tableColumn id="9706" xr3:uid="{00000000-0010-0000-2000-0000EA250000}" name="Column9679"/>
    <tableColumn id="9707" xr3:uid="{00000000-0010-0000-2000-0000EB250000}" name="Column9680"/>
    <tableColumn id="9708" xr3:uid="{00000000-0010-0000-2000-0000EC250000}" name="Column9681"/>
    <tableColumn id="9709" xr3:uid="{00000000-0010-0000-2000-0000ED250000}" name="Column9682"/>
    <tableColumn id="9710" xr3:uid="{00000000-0010-0000-2000-0000EE250000}" name="Column9683"/>
    <tableColumn id="9711" xr3:uid="{00000000-0010-0000-2000-0000EF250000}" name="Column9684"/>
    <tableColumn id="9712" xr3:uid="{00000000-0010-0000-2000-0000F0250000}" name="Column9685"/>
    <tableColumn id="9713" xr3:uid="{00000000-0010-0000-2000-0000F1250000}" name="Column9686"/>
    <tableColumn id="9714" xr3:uid="{00000000-0010-0000-2000-0000F2250000}" name="Column9687"/>
    <tableColumn id="9715" xr3:uid="{00000000-0010-0000-2000-0000F3250000}" name="Column9688"/>
    <tableColumn id="9716" xr3:uid="{00000000-0010-0000-2000-0000F4250000}" name="Column9689"/>
    <tableColumn id="9717" xr3:uid="{00000000-0010-0000-2000-0000F5250000}" name="Column9690"/>
    <tableColumn id="9718" xr3:uid="{00000000-0010-0000-2000-0000F6250000}" name="Column9691"/>
    <tableColumn id="9719" xr3:uid="{00000000-0010-0000-2000-0000F7250000}" name="Column9692"/>
    <tableColumn id="9720" xr3:uid="{00000000-0010-0000-2000-0000F8250000}" name="Column9693"/>
    <tableColumn id="9721" xr3:uid="{00000000-0010-0000-2000-0000F9250000}" name="Column9694"/>
    <tableColumn id="9722" xr3:uid="{00000000-0010-0000-2000-0000FA250000}" name="Column9695"/>
    <tableColumn id="9723" xr3:uid="{00000000-0010-0000-2000-0000FB250000}" name="Column9696"/>
    <tableColumn id="9724" xr3:uid="{00000000-0010-0000-2000-0000FC250000}" name="Column9697"/>
    <tableColumn id="9725" xr3:uid="{00000000-0010-0000-2000-0000FD250000}" name="Column9698"/>
    <tableColumn id="9726" xr3:uid="{00000000-0010-0000-2000-0000FE250000}" name="Column9699"/>
    <tableColumn id="9727" xr3:uid="{00000000-0010-0000-2000-0000FF250000}" name="Column9700"/>
    <tableColumn id="9728" xr3:uid="{00000000-0010-0000-2000-000000260000}" name="Column9701"/>
    <tableColumn id="9729" xr3:uid="{00000000-0010-0000-2000-000001260000}" name="Column9702"/>
    <tableColumn id="9730" xr3:uid="{00000000-0010-0000-2000-000002260000}" name="Column9703"/>
    <tableColumn id="9731" xr3:uid="{00000000-0010-0000-2000-000003260000}" name="Column9704"/>
    <tableColumn id="9732" xr3:uid="{00000000-0010-0000-2000-000004260000}" name="Column9705"/>
    <tableColumn id="9733" xr3:uid="{00000000-0010-0000-2000-000005260000}" name="Column9706"/>
    <tableColumn id="9734" xr3:uid="{00000000-0010-0000-2000-000006260000}" name="Column9707"/>
    <tableColumn id="9735" xr3:uid="{00000000-0010-0000-2000-000007260000}" name="Column9708"/>
    <tableColumn id="9736" xr3:uid="{00000000-0010-0000-2000-000008260000}" name="Column9709"/>
    <tableColumn id="9737" xr3:uid="{00000000-0010-0000-2000-000009260000}" name="Column9710"/>
    <tableColumn id="9738" xr3:uid="{00000000-0010-0000-2000-00000A260000}" name="Column9711"/>
    <tableColumn id="9739" xr3:uid="{00000000-0010-0000-2000-00000B260000}" name="Column9712"/>
    <tableColumn id="9740" xr3:uid="{00000000-0010-0000-2000-00000C260000}" name="Column9713"/>
    <tableColumn id="9741" xr3:uid="{00000000-0010-0000-2000-00000D260000}" name="Column9714"/>
    <tableColumn id="9742" xr3:uid="{00000000-0010-0000-2000-00000E260000}" name="Column9715"/>
    <tableColumn id="9743" xr3:uid="{00000000-0010-0000-2000-00000F260000}" name="Column9716"/>
    <tableColumn id="9744" xr3:uid="{00000000-0010-0000-2000-000010260000}" name="Column9717"/>
    <tableColumn id="9745" xr3:uid="{00000000-0010-0000-2000-000011260000}" name="Column9718"/>
    <tableColumn id="9746" xr3:uid="{00000000-0010-0000-2000-000012260000}" name="Column9719"/>
    <tableColumn id="9747" xr3:uid="{00000000-0010-0000-2000-000013260000}" name="Column9720"/>
    <tableColumn id="9748" xr3:uid="{00000000-0010-0000-2000-000014260000}" name="Column9721"/>
    <tableColumn id="9749" xr3:uid="{00000000-0010-0000-2000-000015260000}" name="Column9722"/>
    <tableColumn id="9750" xr3:uid="{00000000-0010-0000-2000-000016260000}" name="Column9723"/>
    <tableColumn id="9751" xr3:uid="{00000000-0010-0000-2000-000017260000}" name="Column9724"/>
    <tableColumn id="9752" xr3:uid="{00000000-0010-0000-2000-000018260000}" name="Column9725"/>
    <tableColumn id="9753" xr3:uid="{00000000-0010-0000-2000-000019260000}" name="Column9726"/>
    <tableColumn id="9754" xr3:uid="{00000000-0010-0000-2000-00001A260000}" name="Column9727"/>
    <tableColumn id="9755" xr3:uid="{00000000-0010-0000-2000-00001B260000}" name="Column9728"/>
    <tableColumn id="9756" xr3:uid="{00000000-0010-0000-2000-00001C260000}" name="Column9729"/>
    <tableColumn id="9757" xr3:uid="{00000000-0010-0000-2000-00001D260000}" name="Column9730"/>
    <tableColumn id="9758" xr3:uid="{00000000-0010-0000-2000-00001E260000}" name="Column9731"/>
    <tableColumn id="9759" xr3:uid="{00000000-0010-0000-2000-00001F260000}" name="Column9732"/>
    <tableColumn id="9760" xr3:uid="{00000000-0010-0000-2000-000020260000}" name="Column9733"/>
    <tableColumn id="9761" xr3:uid="{00000000-0010-0000-2000-000021260000}" name="Column9734"/>
    <tableColumn id="9762" xr3:uid="{00000000-0010-0000-2000-000022260000}" name="Column9735"/>
    <tableColumn id="9763" xr3:uid="{00000000-0010-0000-2000-000023260000}" name="Column9736"/>
    <tableColumn id="9764" xr3:uid="{00000000-0010-0000-2000-000024260000}" name="Column9737"/>
    <tableColumn id="9765" xr3:uid="{00000000-0010-0000-2000-000025260000}" name="Column9738"/>
    <tableColumn id="9766" xr3:uid="{00000000-0010-0000-2000-000026260000}" name="Column9739"/>
    <tableColumn id="9767" xr3:uid="{00000000-0010-0000-2000-000027260000}" name="Column9740"/>
    <tableColumn id="9768" xr3:uid="{00000000-0010-0000-2000-000028260000}" name="Column9741"/>
    <tableColumn id="9769" xr3:uid="{00000000-0010-0000-2000-000029260000}" name="Column9742"/>
    <tableColumn id="9770" xr3:uid="{00000000-0010-0000-2000-00002A260000}" name="Column9743"/>
    <tableColumn id="9771" xr3:uid="{00000000-0010-0000-2000-00002B260000}" name="Column9744"/>
    <tableColumn id="9772" xr3:uid="{00000000-0010-0000-2000-00002C260000}" name="Column9745"/>
    <tableColumn id="9773" xr3:uid="{00000000-0010-0000-2000-00002D260000}" name="Column9746"/>
    <tableColumn id="9774" xr3:uid="{00000000-0010-0000-2000-00002E260000}" name="Column9747"/>
    <tableColumn id="9775" xr3:uid="{00000000-0010-0000-2000-00002F260000}" name="Column9748"/>
    <tableColumn id="9776" xr3:uid="{00000000-0010-0000-2000-000030260000}" name="Column9749"/>
    <tableColumn id="9777" xr3:uid="{00000000-0010-0000-2000-000031260000}" name="Column9750"/>
    <tableColumn id="9778" xr3:uid="{00000000-0010-0000-2000-000032260000}" name="Column9751"/>
    <tableColumn id="9779" xr3:uid="{00000000-0010-0000-2000-000033260000}" name="Column9752"/>
    <tableColumn id="9780" xr3:uid="{00000000-0010-0000-2000-000034260000}" name="Column9753"/>
    <tableColumn id="9781" xr3:uid="{00000000-0010-0000-2000-000035260000}" name="Column9754"/>
    <tableColumn id="9782" xr3:uid="{00000000-0010-0000-2000-000036260000}" name="Column9755"/>
    <tableColumn id="9783" xr3:uid="{00000000-0010-0000-2000-000037260000}" name="Column9756"/>
    <tableColumn id="9784" xr3:uid="{00000000-0010-0000-2000-000038260000}" name="Column9757"/>
    <tableColumn id="9785" xr3:uid="{00000000-0010-0000-2000-000039260000}" name="Column9758"/>
    <tableColumn id="9786" xr3:uid="{00000000-0010-0000-2000-00003A260000}" name="Column9759"/>
    <tableColumn id="9787" xr3:uid="{00000000-0010-0000-2000-00003B260000}" name="Column9760"/>
    <tableColumn id="9788" xr3:uid="{00000000-0010-0000-2000-00003C260000}" name="Column9761"/>
    <tableColumn id="9789" xr3:uid="{00000000-0010-0000-2000-00003D260000}" name="Column9762"/>
    <tableColumn id="9790" xr3:uid="{00000000-0010-0000-2000-00003E260000}" name="Column9763"/>
    <tableColumn id="9791" xr3:uid="{00000000-0010-0000-2000-00003F260000}" name="Column9764"/>
    <tableColumn id="9792" xr3:uid="{00000000-0010-0000-2000-000040260000}" name="Column9765"/>
    <tableColumn id="9793" xr3:uid="{00000000-0010-0000-2000-000041260000}" name="Column9766"/>
    <tableColumn id="9794" xr3:uid="{00000000-0010-0000-2000-000042260000}" name="Column9767"/>
    <tableColumn id="9795" xr3:uid="{00000000-0010-0000-2000-000043260000}" name="Column9768"/>
    <tableColumn id="9796" xr3:uid="{00000000-0010-0000-2000-000044260000}" name="Column9769"/>
    <tableColumn id="9797" xr3:uid="{00000000-0010-0000-2000-000045260000}" name="Column9770"/>
    <tableColumn id="9798" xr3:uid="{00000000-0010-0000-2000-000046260000}" name="Column9771"/>
    <tableColumn id="9799" xr3:uid="{00000000-0010-0000-2000-000047260000}" name="Column9772"/>
    <tableColumn id="9800" xr3:uid="{00000000-0010-0000-2000-000048260000}" name="Column9773"/>
    <tableColumn id="9801" xr3:uid="{00000000-0010-0000-2000-000049260000}" name="Column9774"/>
    <tableColumn id="9802" xr3:uid="{00000000-0010-0000-2000-00004A260000}" name="Column9775"/>
    <tableColumn id="9803" xr3:uid="{00000000-0010-0000-2000-00004B260000}" name="Column9776"/>
    <tableColumn id="9804" xr3:uid="{00000000-0010-0000-2000-00004C260000}" name="Column9777"/>
    <tableColumn id="9805" xr3:uid="{00000000-0010-0000-2000-00004D260000}" name="Column9778"/>
    <tableColumn id="9806" xr3:uid="{00000000-0010-0000-2000-00004E260000}" name="Column9779"/>
    <tableColumn id="9807" xr3:uid="{00000000-0010-0000-2000-00004F260000}" name="Column9780"/>
    <tableColumn id="9808" xr3:uid="{00000000-0010-0000-2000-000050260000}" name="Column9781"/>
    <tableColumn id="9809" xr3:uid="{00000000-0010-0000-2000-000051260000}" name="Column9782"/>
    <tableColumn id="9810" xr3:uid="{00000000-0010-0000-2000-000052260000}" name="Column9783"/>
    <tableColumn id="9811" xr3:uid="{00000000-0010-0000-2000-000053260000}" name="Column9784"/>
    <tableColumn id="9812" xr3:uid="{00000000-0010-0000-2000-000054260000}" name="Column9785"/>
    <tableColumn id="9813" xr3:uid="{00000000-0010-0000-2000-000055260000}" name="Column9786"/>
    <tableColumn id="9814" xr3:uid="{00000000-0010-0000-2000-000056260000}" name="Column9787"/>
    <tableColumn id="9815" xr3:uid="{00000000-0010-0000-2000-000057260000}" name="Column9788"/>
    <tableColumn id="9816" xr3:uid="{00000000-0010-0000-2000-000058260000}" name="Column9789"/>
    <tableColumn id="9817" xr3:uid="{00000000-0010-0000-2000-000059260000}" name="Column9790"/>
    <tableColumn id="9818" xr3:uid="{00000000-0010-0000-2000-00005A260000}" name="Column9791"/>
    <tableColumn id="9819" xr3:uid="{00000000-0010-0000-2000-00005B260000}" name="Column9792"/>
    <tableColumn id="9820" xr3:uid="{00000000-0010-0000-2000-00005C260000}" name="Column9793"/>
    <tableColumn id="9821" xr3:uid="{00000000-0010-0000-2000-00005D260000}" name="Column9794"/>
    <tableColumn id="9822" xr3:uid="{00000000-0010-0000-2000-00005E260000}" name="Column9795"/>
    <tableColumn id="9823" xr3:uid="{00000000-0010-0000-2000-00005F260000}" name="Column9796"/>
    <tableColumn id="9824" xr3:uid="{00000000-0010-0000-2000-000060260000}" name="Column9797"/>
    <tableColumn id="9825" xr3:uid="{00000000-0010-0000-2000-000061260000}" name="Column9798"/>
    <tableColumn id="9826" xr3:uid="{00000000-0010-0000-2000-000062260000}" name="Column9799"/>
    <tableColumn id="9827" xr3:uid="{00000000-0010-0000-2000-000063260000}" name="Column9800"/>
    <tableColumn id="9828" xr3:uid="{00000000-0010-0000-2000-000064260000}" name="Column9801"/>
    <tableColumn id="9829" xr3:uid="{00000000-0010-0000-2000-000065260000}" name="Column9802"/>
    <tableColumn id="9830" xr3:uid="{00000000-0010-0000-2000-000066260000}" name="Column9803"/>
    <tableColumn id="9831" xr3:uid="{00000000-0010-0000-2000-000067260000}" name="Column9804"/>
    <tableColumn id="9832" xr3:uid="{00000000-0010-0000-2000-000068260000}" name="Column9805"/>
    <tableColumn id="9833" xr3:uid="{00000000-0010-0000-2000-000069260000}" name="Column9806"/>
    <tableColumn id="9834" xr3:uid="{00000000-0010-0000-2000-00006A260000}" name="Column9807"/>
    <tableColumn id="9835" xr3:uid="{00000000-0010-0000-2000-00006B260000}" name="Column9808"/>
    <tableColumn id="9836" xr3:uid="{00000000-0010-0000-2000-00006C260000}" name="Column9809"/>
    <tableColumn id="9837" xr3:uid="{00000000-0010-0000-2000-00006D260000}" name="Column9810"/>
    <tableColumn id="9838" xr3:uid="{00000000-0010-0000-2000-00006E260000}" name="Column9811"/>
    <tableColumn id="9839" xr3:uid="{00000000-0010-0000-2000-00006F260000}" name="Column9812"/>
    <tableColumn id="9840" xr3:uid="{00000000-0010-0000-2000-000070260000}" name="Column9813"/>
    <tableColumn id="9841" xr3:uid="{00000000-0010-0000-2000-000071260000}" name="Column9814"/>
    <tableColumn id="9842" xr3:uid="{00000000-0010-0000-2000-000072260000}" name="Column9815"/>
    <tableColumn id="9843" xr3:uid="{00000000-0010-0000-2000-000073260000}" name="Column9816"/>
    <tableColumn id="9844" xr3:uid="{00000000-0010-0000-2000-000074260000}" name="Column9817"/>
    <tableColumn id="9845" xr3:uid="{00000000-0010-0000-2000-000075260000}" name="Column9818"/>
    <tableColumn id="9846" xr3:uid="{00000000-0010-0000-2000-000076260000}" name="Column9819"/>
    <tableColumn id="9847" xr3:uid="{00000000-0010-0000-2000-000077260000}" name="Column9820"/>
    <tableColumn id="9848" xr3:uid="{00000000-0010-0000-2000-000078260000}" name="Column9821"/>
    <tableColumn id="9849" xr3:uid="{00000000-0010-0000-2000-000079260000}" name="Column9822"/>
    <tableColumn id="9850" xr3:uid="{00000000-0010-0000-2000-00007A260000}" name="Column9823"/>
    <tableColumn id="9851" xr3:uid="{00000000-0010-0000-2000-00007B260000}" name="Column9824"/>
    <tableColumn id="9852" xr3:uid="{00000000-0010-0000-2000-00007C260000}" name="Column9825"/>
    <tableColumn id="9853" xr3:uid="{00000000-0010-0000-2000-00007D260000}" name="Column9826"/>
    <tableColumn id="9854" xr3:uid="{00000000-0010-0000-2000-00007E260000}" name="Column9827"/>
    <tableColumn id="9855" xr3:uid="{00000000-0010-0000-2000-00007F260000}" name="Column9828"/>
    <tableColumn id="9856" xr3:uid="{00000000-0010-0000-2000-000080260000}" name="Column9829"/>
    <tableColumn id="9857" xr3:uid="{00000000-0010-0000-2000-000081260000}" name="Column9830"/>
    <tableColumn id="9858" xr3:uid="{00000000-0010-0000-2000-000082260000}" name="Column9831"/>
    <tableColumn id="9859" xr3:uid="{00000000-0010-0000-2000-000083260000}" name="Column9832"/>
    <tableColumn id="9860" xr3:uid="{00000000-0010-0000-2000-000084260000}" name="Column9833"/>
    <tableColumn id="9861" xr3:uid="{00000000-0010-0000-2000-000085260000}" name="Column9834"/>
    <tableColumn id="9862" xr3:uid="{00000000-0010-0000-2000-000086260000}" name="Column9835"/>
    <tableColumn id="9863" xr3:uid="{00000000-0010-0000-2000-000087260000}" name="Column9836"/>
    <tableColumn id="9864" xr3:uid="{00000000-0010-0000-2000-000088260000}" name="Column9837"/>
    <tableColumn id="9865" xr3:uid="{00000000-0010-0000-2000-000089260000}" name="Column9838"/>
    <tableColumn id="9866" xr3:uid="{00000000-0010-0000-2000-00008A260000}" name="Column9839"/>
    <tableColumn id="9867" xr3:uid="{00000000-0010-0000-2000-00008B260000}" name="Column9840"/>
    <tableColumn id="9868" xr3:uid="{00000000-0010-0000-2000-00008C260000}" name="Column9841"/>
    <tableColumn id="9869" xr3:uid="{00000000-0010-0000-2000-00008D260000}" name="Column9842"/>
    <tableColumn id="9870" xr3:uid="{00000000-0010-0000-2000-00008E260000}" name="Column9843"/>
    <tableColumn id="9871" xr3:uid="{00000000-0010-0000-2000-00008F260000}" name="Column9844"/>
    <tableColumn id="9872" xr3:uid="{00000000-0010-0000-2000-000090260000}" name="Column9845"/>
    <tableColumn id="9873" xr3:uid="{00000000-0010-0000-2000-000091260000}" name="Column9846"/>
    <tableColumn id="9874" xr3:uid="{00000000-0010-0000-2000-000092260000}" name="Column9847"/>
    <tableColumn id="9875" xr3:uid="{00000000-0010-0000-2000-000093260000}" name="Column9848"/>
    <tableColumn id="9876" xr3:uid="{00000000-0010-0000-2000-000094260000}" name="Column9849"/>
    <tableColumn id="9877" xr3:uid="{00000000-0010-0000-2000-000095260000}" name="Column9850"/>
    <tableColumn id="9878" xr3:uid="{00000000-0010-0000-2000-000096260000}" name="Column9851"/>
    <tableColumn id="9879" xr3:uid="{00000000-0010-0000-2000-000097260000}" name="Column9852"/>
    <tableColumn id="9880" xr3:uid="{00000000-0010-0000-2000-000098260000}" name="Column9853"/>
    <tableColumn id="9881" xr3:uid="{00000000-0010-0000-2000-000099260000}" name="Column9854"/>
    <tableColumn id="9882" xr3:uid="{00000000-0010-0000-2000-00009A260000}" name="Column9855"/>
    <tableColumn id="9883" xr3:uid="{00000000-0010-0000-2000-00009B260000}" name="Column9856"/>
    <tableColumn id="9884" xr3:uid="{00000000-0010-0000-2000-00009C260000}" name="Column9857"/>
    <tableColumn id="9885" xr3:uid="{00000000-0010-0000-2000-00009D260000}" name="Column9858"/>
    <tableColumn id="9886" xr3:uid="{00000000-0010-0000-2000-00009E260000}" name="Column9859"/>
    <tableColumn id="9887" xr3:uid="{00000000-0010-0000-2000-00009F260000}" name="Column9860"/>
    <tableColumn id="9888" xr3:uid="{00000000-0010-0000-2000-0000A0260000}" name="Column9861"/>
    <tableColumn id="9889" xr3:uid="{00000000-0010-0000-2000-0000A1260000}" name="Column9862"/>
    <tableColumn id="9890" xr3:uid="{00000000-0010-0000-2000-0000A2260000}" name="Column9863"/>
    <tableColumn id="9891" xr3:uid="{00000000-0010-0000-2000-0000A3260000}" name="Column9864"/>
    <tableColumn id="9892" xr3:uid="{00000000-0010-0000-2000-0000A4260000}" name="Column9865"/>
    <tableColumn id="9893" xr3:uid="{00000000-0010-0000-2000-0000A5260000}" name="Column9866"/>
    <tableColumn id="9894" xr3:uid="{00000000-0010-0000-2000-0000A6260000}" name="Column9867"/>
    <tableColumn id="9895" xr3:uid="{00000000-0010-0000-2000-0000A7260000}" name="Column9868"/>
    <tableColumn id="9896" xr3:uid="{00000000-0010-0000-2000-0000A8260000}" name="Column9869"/>
    <tableColumn id="9897" xr3:uid="{00000000-0010-0000-2000-0000A9260000}" name="Column9870"/>
    <tableColumn id="9898" xr3:uid="{00000000-0010-0000-2000-0000AA260000}" name="Column9871"/>
    <tableColumn id="9899" xr3:uid="{00000000-0010-0000-2000-0000AB260000}" name="Column9872"/>
    <tableColumn id="9900" xr3:uid="{00000000-0010-0000-2000-0000AC260000}" name="Column9873"/>
    <tableColumn id="9901" xr3:uid="{00000000-0010-0000-2000-0000AD260000}" name="Column9874"/>
    <tableColumn id="9902" xr3:uid="{00000000-0010-0000-2000-0000AE260000}" name="Column9875"/>
    <tableColumn id="9903" xr3:uid="{00000000-0010-0000-2000-0000AF260000}" name="Column9876"/>
    <tableColumn id="9904" xr3:uid="{00000000-0010-0000-2000-0000B0260000}" name="Column9877"/>
    <tableColumn id="9905" xr3:uid="{00000000-0010-0000-2000-0000B1260000}" name="Column9878"/>
    <tableColumn id="9906" xr3:uid="{00000000-0010-0000-2000-0000B2260000}" name="Column9879"/>
    <tableColumn id="9907" xr3:uid="{00000000-0010-0000-2000-0000B3260000}" name="Column9880"/>
    <tableColumn id="9908" xr3:uid="{00000000-0010-0000-2000-0000B4260000}" name="Column9881"/>
    <tableColumn id="9909" xr3:uid="{00000000-0010-0000-2000-0000B5260000}" name="Column9882"/>
    <tableColumn id="9910" xr3:uid="{00000000-0010-0000-2000-0000B6260000}" name="Column9883"/>
    <tableColumn id="9911" xr3:uid="{00000000-0010-0000-2000-0000B7260000}" name="Column9884"/>
    <tableColumn id="9912" xr3:uid="{00000000-0010-0000-2000-0000B8260000}" name="Column9885"/>
    <tableColumn id="9913" xr3:uid="{00000000-0010-0000-2000-0000B9260000}" name="Column9886"/>
    <tableColumn id="9914" xr3:uid="{00000000-0010-0000-2000-0000BA260000}" name="Column9887"/>
    <tableColumn id="9915" xr3:uid="{00000000-0010-0000-2000-0000BB260000}" name="Column9888"/>
    <tableColumn id="9916" xr3:uid="{00000000-0010-0000-2000-0000BC260000}" name="Column9889"/>
    <tableColumn id="9917" xr3:uid="{00000000-0010-0000-2000-0000BD260000}" name="Column9890"/>
    <tableColumn id="9918" xr3:uid="{00000000-0010-0000-2000-0000BE260000}" name="Column9891"/>
    <tableColumn id="9919" xr3:uid="{00000000-0010-0000-2000-0000BF260000}" name="Column9892"/>
    <tableColumn id="9920" xr3:uid="{00000000-0010-0000-2000-0000C0260000}" name="Column9893"/>
    <tableColumn id="9921" xr3:uid="{00000000-0010-0000-2000-0000C1260000}" name="Column9894"/>
    <tableColumn id="9922" xr3:uid="{00000000-0010-0000-2000-0000C2260000}" name="Column9895"/>
    <tableColumn id="9923" xr3:uid="{00000000-0010-0000-2000-0000C3260000}" name="Column9896"/>
    <tableColumn id="9924" xr3:uid="{00000000-0010-0000-2000-0000C4260000}" name="Column9897"/>
    <tableColumn id="9925" xr3:uid="{00000000-0010-0000-2000-0000C5260000}" name="Column9898"/>
    <tableColumn id="9926" xr3:uid="{00000000-0010-0000-2000-0000C6260000}" name="Column9899"/>
    <tableColumn id="9927" xr3:uid="{00000000-0010-0000-2000-0000C7260000}" name="Column9900"/>
    <tableColumn id="9928" xr3:uid="{00000000-0010-0000-2000-0000C8260000}" name="Column9901"/>
    <tableColumn id="9929" xr3:uid="{00000000-0010-0000-2000-0000C9260000}" name="Column9902"/>
    <tableColumn id="9930" xr3:uid="{00000000-0010-0000-2000-0000CA260000}" name="Column9903"/>
    <tableColumn id="9931" xr3:uid="{00000000-0010-0000-2000-0000CB260000}" name="Column9904"/>
    <tableColumn id="9932" xr3:uid="{00000000-0010-0000-2000-0000CC260000}" name="Column9905"/>
    <tableColumn id="9933" xr3:uid="{00000000-0010-0000-2000-0000CD260000}" name="Column9906"/>
    <tableColumn id="9934" xr3:uid="{00000000-0010-0000-2000-0000CE260000}" name="Column9907"/>
    <tableColumn id="9935" xr3:uid="{00000000-0010-0000-2000-0000CF260000}" name="Column9908"/>
    <tableColumn id="9936" xr3:uid="{00000000-0010-0000-2000-0000D0260000}" name="Column9909"/>
    <tableColumn id="9937" xr3:uid="{00000000-0010-0000-2000-0000D1260000}" name="Column9910"/>
    <tableColumn id="9938" xr3:uid="{00000000-0010-0000-2000-0000D2260000}" name="Column9911"/>
    <tableColumn id="9939" xr3:uid="{00000000-0010-0000-2000-0000D3260000}" name="Column9912"/>
    <tableColumn id="9940" xr3:uid="{00000000-0010-0000-2000-0000D4260000}" name="Column9913"/>
    <tableColumn id="9941" xr3:uid="{00000000-0010-0000-2000-0000D5260000}" name="Column9914"/>
    <tableColumn id="9942" xr3:uid="{00000000-0010-0000-2000-0000D6260000}" name="Column9915"/>
    <tableColumn id="9943" xr3:uid="{00000000-0010-0000-2000-0000D7260000}" name="Column9916"/>
    <tableColumn id="9944" xr3:uid="{00000000-0010-0000-2000-0000D8260000}" name="Column9917"/>
    <tableColumn id="9945" xr3:uid="{00000000-0010-0000-2000-0000D9260000}" name="Column9918"/>
    <tableColumn id="9946" xr3:uid="{00000000-0010-0000-2000-0000DA260000}" name="Column9919"/>
    <tableColumn id="9947" xr3:uid="{00000000-0010-0000-2000-0000DB260000}" name="Column9920"/>
    <tableColumn id="9948" xr3:uid="{00000000-0010-0000-2000-0000DC260000}" name="Column9921"/>
    <tableColumn id="9949" xr3:uid="{00000000-0010-0000-2000-0000DD260000}" name="Column9922"/>
    <tableColumn id="9950" xr3:uid="{00000000-0010-0000-2000-0000DE260000}" name="Column9923"/>
    <tableColumn id="9951" xr3:uid="{00000000-0010-0000-2000-0000DF260000}" name="Column9924"/>
    <tableColumn id="9952" xr3:uid="{00000000-0010-0000-2000-0000E0260000}" name="Column9925"/>
    <tableColumn id="9953" xr3:uid="{00000000-0010-0000-2000-0000E1260000}" name="Column9926"/>
    <tableColumn id="9954" xr3:uid="{00000000-0010-0000-2000-0000E2260000}" name="Column9927"/>
    <tableColumn id="9955" xr3:uid="{00000000-0010-0000-2000-0000E3260000}" name="Column9928"/>
    <tableColumn id="9956" xr3:uid="{00000000-0010-0000-2000-0000E4260000}" name="Column9929"/>
    <tableColumn id="9957" xr3:uid="{00000000-0010-0000-2000-0000E5260000}" name="Column9930"/>
    <tableColumn id="9958" xr3:uid="{00000000-0010-0000-2000-0000E6260000}" name="Column9931"/>
    <tableColumn id="9959" xr3:uid="{00000000-0010-0000-2000-0000E7260000}" name="Column9932"/>
    <tableColumn id="9960" xr3:uid="{00000000-0010-0000-2000-0000E8260000}" name="Column9933"/>
    <tableColumn id="9961" xr3:uid="{00000000-0010-0000-2000-0000E9260000}" name="Column9934"/>
    <tableColumn id="9962" xr3:uid="{00000000-0010-0000-2000-0000EA260000}" name="Column9935"/>
    <tableColumn id="9963" xr3:uid="{00000000-0010-0000-2000-0000EB260000}" name="Column9936"/>
    <tableColumn id="9964" xr3:uid="{00000000-0010-0000-2000-0000EC260000}" name="Column9937"/>
    <tableColumn id="9965" xr3:uid="{00000000-0010-0000-2000-0000ED260000}" name="Column9938"/>
    <tableColumn id="9966" xr3:uid="{00000000-0010-0000-2000-0000EE260000}" name="Column9939"/>
    <tableColumn id="9967" xr3:uid="{00000000-0010-0000-2000-0000EF260000}" name="Column9940"/>
    <tableColumn id="9968" xr3:uid="{00000000-0010-0000-2000-0000F0260000}" name="Column9941"/>
    <tableColumn id="9969" xr3:uid="{00000000-0010-0000-2000-0000F1260000}" name="Column9942"/>
    <tableColumn id="9970" xr3:uid="{00000000-0010-0000-2000-0000F2260000}" name="Column9943"/>
    <tableColumn id="9971" xr3:uid="{00000000-0010-0000-2000-0000F3260000}" name="Column9944"/>
    <tableColumn id="9972" xr3:uid="{00000000-0010-0000-2000-0000F4260000}" name="Column9945"/>
    <tableColumn id="9973" xr3:uid="{00000000-0010-0000-2000-0000F5260000}" name="Column9946"/>
    <tableColumn id="9974" xr3:uid="{00000000-0010-0000-2000-0000F6260000}" name="Column9947"/>
    <tableColumn id="9975" xr3:uid="{00000000-0010-0000-2000-0000F7260000}" name="Column9948"/>
    <tableColumn id="9976" xr3:uid="{00000000-0010-0000-2000-0000F8260000}" name="Column9949"/>
    <tableColumn id="9977" xr3:uid="{00000000-0010-0000-2000-0000F9260000}" name="Column9950"/>
    <tableColumn id="9978" xr3:uid="{00000000-0010-0000-2000-0000FA260000}" name="Column9951"/>
    <tableColumn id="9979" xr3:uid="{00000000-0010-0000-2000-0000FB260000}" name="Column9952"/>
    <tableColumn id="9980" xr3:uid="{00000000-0010-0000-2000-0000FC260000}" name="Column9953"/>
    <tableColumn id="9981" xr3:uid="{00000000-0010-0000-2000-0000FD260000}" name="Column9954"/>
    <tableColumn id="9982" xr3:uid="{00000000-0010-0000-2000-0000FE260000}" name="Column9955"/>
    <tableColumn id="9983" xr3:uid="{00000000-0010-0000-2000-0000FF260000}" name="Column9956"/>
    <tableColumn id="9984" xr3:uid="{00000000-0010-0000-2000-000000270000}" name="Column9957"/>
    <tableColumn id="9985" xr3:uid="{00000000-0010-0000-2000-000001270000}" name="Column9958"/>
    <tableColumn id="9986" xr3:uid="{00000000-0010-0000-2000-000002270000}" name="Column9959"/>
    <tableColumn id="9987" xr3:uid="{00000000-0010-0000-2000-000003270000}" name="Column9960"/>
    <tableColumn id="9988" xr3:uid="{00000000-0010-0000-2000-000004270000}" name="Column9961"/>
    <tableColumn id="9989" xr3:uid="{00000000-0010-0000-2000-000005270000}" name="Column9962"/>
    <tableColumn id="9990" xr3:uid="{00000000-0010-0000-2000-000006270000}" name="Column9963"/>
    <tableColumn id="9991" xr3:uid="{00000000-0010-0000-2000-000007270000}" name="Column9964"/>
    <tableColumn id="9992" xr3:uid="{00000000-0010-0000-2000-000008270000}" name="Column9965"/>
    <tableColumn id="9993" xr3:uid="{00000000-0010-0000-2000-000009270000}" name="Column9966"/>
    <tableColumn id="9994" xr3:uid="{00000000-0010-0000-2000-00000A270000}" name="Column9967"/>
    <tableColumn id="9995" xr3:uid="{00000000-0010-0000-2000-00000B270000}" name="Column9968"/>
    <tableColumn id="9996" xr3:uid="{00000000-0010-0000-2000-00000C270000}" name="Column9969"/>
    <tableColumn id="9997" xr3:uid="{00000000-0010-0000-2000-00000D270000}" name="Column9970"/>
    <tableColumn id="9998" xr3:uid="{00000000-0010-0000-2000-00000E270000}" name="Column9971"/>
    <tableColumn id="9999" xr3:uid="{00000000-0010-0000-2000-00000F270000}" name="Column9972"/>
    <tableColumn id="10000" xr3:uid="{00000000-0010-0000-2000-000010270000}" name="Column9973"/>
    <tableColumn id="10001" xr3:uid="{00000000-0010-0000-2000-000011270000}" name="Column9974"/>
    <tableColumn id="10002" xr3:uid="{00000000-0010-0000-2000-000012270000}" name="Column9975"/>
    <tableColumn id="10003" xr3:uid="{00000000-0010-0000-2000-000013270000}" name="Column9976"/>
    <tableColumn id="10004" xr3:uid="{00000000-0010-0000-2000-000014270000}" name="Column9977"/>
    <tableColumn id="10005" xr3:uid="{00000000-0010-0000-2000-000015270000}" name="Column9978"/>
    <tableColumn id="10006" xr3:uid="{00000000-0010-0000-2000-000016270000}" name="Column9979"/>
    <tableColumn id="10007" xr3:uid="{00000000-0010-0000-2000-000017270000}" name="Column9980"/>
    <tableColumn id="10008" xr3:uid="{00000000-0010-0000-2000-000018270000}" name="Column9981"/>
    <tableColumn id="10009" xr3:uid="{00000000-0010-0000-2000-000019270000}" name="Column9982"/>
    <tableColumn id="10010" xr3:uid="{00000000-0010-0000-2000-00001A270000}" name="Column9983"/>
    <tableColumn id="10011" xr3:uid="{00000000-0010-0000-2000-00001B270000}" name="Column9984"/>
    <tableColumn id="10012" xr3:uid="{00000000-0010-0000-2000-00001C270000}" name="Column9985"/>
    <tableColumn id="10013" xr3:uid="{00000000-0010-0000-2000-00001D270000}" name="Column9986"/>
    <tableColumn id="10014" xr3:uid="{00000000-0010-0000-2000-00001E270000}" name="Column9987"/>
    <tableColumn id="10015" xr3:uid="{00000000-0010-0000-2000-00001F270000}" name="Column9988"/>
    <tableColumn id="10016" xr3:uid="{00000000-0010-0000-2000-000020270000}" name="Column9989"/>
    <tableColumn id="10017" xr3:uid="{00000000-0010-0000-2000-000021270000}" name="Column9990"/>
    <tableColumn id="10018" xr3:uid="{00000000-0010-0000-2000-000022270000}" name="Column9991"/>
    <tableColumn id="10019" xr3:uid="{00000000-0010-0000-2000-000023270000}" name="Column9992"/>
    <tableColumn id="10020" xr3:uid="{00000000-0010-0000-2000-000024270000}" name="Column9993"/>
    <tableColumn id="10021" xr3:uid="{00000000-0010-0000-2000-000025270000}" name="Column9994"/>
    <tableColumn id="10022" xr3:uid="{00000000-0010-0000-2000-000026270000}" name="Column9995"/>
    <tableColumn id="10023" xr3:uid="{00000000-0010-0000-2000-000027270000}" name="Column9996"/>
    <tableColumn id="10024" xr3:uid="{00000000-0010-0000-2000-000028270000}" name="Column9997"/>
    <tableColumn id="10025" xr3:uid="{00000000-0010-0000-2000-000029270000}" name="Column9998"/>
    <tableColumn id="10026" xr3:uid="{00000000-0010-0000-2000-00002A270000}" name="Column9999"/>
    <tableColumn id="10027" xr3:uid="{00000000-0010-0000-2000-00002B270000}" name="Column10000"/>
    <tableColumn id="10028" xr3:uid="{00000000-0010-0000-2000-00002C270000}" name="Column10001"/>
    <tableColumn id="10029" xr3:uid="{00000000-0010-0000-2000-00002D270000}" name="Column10002"/>
    <tableColumn id="10030" xr3:uid="{00000000-0010-0000-2000-00002E270000}" name="Column10003"/>
    <tableColumn id="10031" xr3:uid="{00000000-0010-0000-2000-00002F270000}" name="Column10004"/>
    <tableColumn id="10032" xr3:uid="{00000000-0010-0000-2000-000030270000}" name="Column10005"/>
    <tableColumn id="10033" xr3:uid="{00000000-0010-0000-2000-000031270000}" name="Column10006"/>
    <tableColumn id="10034" xr3:uid="{00000000-0010-0000-2000-000032270000}" name="Column10007"/>
    <tableColumn id="10035" xr3:uid="{00000000-0010-0000-2000-000033270000}" name="Column10008"/>
    <tableColumn id="10036" xr3:uid="{00000000-0010-0000-2000-000034270000}" name="Column10009"/>
    <tableColumn id="10037" xr3:uid="{00000000-0010-0000-2000-000035270000}" name="Column10010"/>
    <tableColumn id="10038" xr3:uid="{00000000-0010-0000-2000-000036270000}" name="Column10011"/>
    <tableColumn id="10039" xr3:uid="{00000000-0010-0000-2000-000037270000}" name="Column10012"/>
    <tableColumn id="10040" xr3:uid="{00000000-0010-0000-2000-000038270000}" name="Column10013"/>
    <tableColumn id="10041" xr3:uid="{00000000-0010-0000-2000-000039270000}" name="Column10014"/>
    <tableColumn id="10042" xr3:uid="{00000000-0010-0000-2000-00003A270000}" name="Column10015"/>
    <tableColumn id="10043" xr3:uid="{00000000-0010-0000-2000-00003B270000}" name="Column10016"/>
    <tableColumn id="10044" xr3:uid="{00000000-0010-0000-2000-00003C270000}" name="Column10017"/>
    <tableColumn id="10045" xr3:uid="{00000000-0010-0000-2000-00003D270000}" name="Column10018"/>
    <tableColumn id="10046" xr3:uid="{00000000-0010-0000-2000-00003E270000}" name="Column10019"/>
    <tableColumn id="10047" xr3:uid="{00000000-0010-0000-2000-00003F270000}" name="Column10020"/>
    <tableColumn id="10048" xr3:uid="{00000000-0010-0000-2000-000040270000}" name="Column10021"/>
    <tableColumn id="10049" xr3:uid="{00000000-0010-0000-2000-000041270000}" name="Column10022"/>
    <tableColumn id="10050" xr3:uid="{00000000-0010-0000-2000-000042270000}" name="Column10023"/>
    <tableColumn id="10051" xr3:uid="{00000000-0010-0000-2000-000043270000}" name="Column10024"/>
    <tableColumn id="10052" xr3:uid="{00000000-0010-0000-2000-000044270000}" name="Column10025"/>
    <tableColumn id="10053" xr3:uid="{00000000-0010-0000-2000-000045270000}" name="Column10026"/>
    <tableColumn id="10054" xr3:uid="{00000000-0010-0000-2000-000046270000}" name="Column10027"/>
    <tableColumn id="10055" xr3:uid="{00000000-0010-0000-2000-000047270000}" name="Column10028"/>
    <tableColumn id="10056" xr3:uid="{00000000-0010-0000-2000-000048270000}" name="Column10029"/>
    <tableColumn id="10057" xr3:uid="{00000000-0010-0000-2000-000049270000}" name="Column10030"/>
    <tableColumn id="10058" xr3:uid="{00000000-0010-0000-2000-00004A270000}" name="Column10031"/>
    <tableColumn id="10059" xr3:uid="{00000000-0010-0000-2000-00004B270000}" name="Column10032"/>
    <tableColumn id="10060" xr3:uid="{00000000-0010-0000-2000-00004C270000}" name="Column10033"/>
    <tableColumn id="10061" xr3:uid="{00000000-0010-0000-2000-00004D270000}" name="Column10034"/>
    <tableColumn id="10062" xr3:uid="{00000000-0010-0000-2000-00004E270000}" name="Column10035"/>
    <tableColumn id="10063" xr3:uid="{00000000-0010-0000-2000-00004F270000}" name="Column10036"/>
    <tableColumn id="10064" xr3:uid="{00000000-0010-0000-2000-000050270000}" name="Column10037"/>
    <tableColumn id="10065" xr3:uid="{00000000-0010-0000-2000-000051270000}" name="Column10038"/>
    <tableColumn id="10066" xr3:uid="{00000000-0010-0000-2000-000052270000}" name="Column10039"/>
    <tableColumn id="10067" xr3:uid="{00000000-0010-0000-2000-000053270000}" name="Column10040"/>
    <tableColumn id="10068" xr3:uid="{00000000-0010-0000-2000-000054270000}" name="Column10041"/>
    <tableColumn id="10069" xr3:uid="{00000000-0010-0000-2000-000055270000}" name="Column10042"/>
    <tableColumn id="10070" xr3:uid="{00000000-0010-0000-2000-000056270000}" name="Column10043"/>
    <tableColumn id="10071" xr3:uid="{00000000-0010-0000-2000-000057270000}" name="Column10044"/>
    <tableColumn id="10072" xr3:uid="{00000000-0010-0000-2000-000058270000}" name="Column10045"/>
    <tableColumn id="10073" xr3:uid="{00000000-0010-0000-2000-000059270000}" name="Column10046"/>
    <tableColumn id="10074" xr3:uid="{00000000-0010-0000-2000-00005A270000}" name="Column10047"/>
    <tableColumn id="10075" xr3:uid="{00000000-0010-0000-2000-00005B270000}" name="Column10048"/>
    <tableColumn id="10076" xr3:uid="{00000000-0010-0000-2000-00005C270000}" name="Column10049"/>
    <tableColumn id="10077" xr3:uid="{00000000-0010-0000-2000-00005D270000}" name="Column10050"/>
    <tableColumn id="10078" xr3:uid="{00000000-0010-0000-2000-00005E270000}" name="Column10051"/>
    <tableColumn id="10079" xr3:uid="{00000000-0010-0000-2000-00005F270000}" name="Column10052"/>
    <tableColumn id="10080" xr3:uid="{00000000-0010-0000-2000-000060270000}" name="Column10053"/>
    <tableColumn id="10081" xr3:uid="{00000000-0010-0000-2000-000061270000}" name="Column10054"/>
    <tableColumn id="10082" xr3:uid="{00000000-0010-0000-2000-000062270000}" name="Column10055"/>
    <tableColumn id="10083" xr3:uid="{00000000-0010-0000-2000-000063270000}" name="Column10056"/>
    <tableColumn id="10084" xr3:uid="{00000000-0010-0000-2000-000064270000}" name="Column10057"/>
    <tableColumn id="10085" xr3:uid="{00000000-0010-0000-2000-000065270000}" name="Column10058"/>
    <tableColumn id="10086" xr3:uid="{00000000-0010-0000-2000-000066270000}" name="Column10059"/>
    <tableColumn id="10087" xr3:uid="{00000000-0010-0000-2000-000067270000}" name="Column10060"/>
    <tableColumn id="10088" xr3:uid="{00000000-0010-0000-2000-000068270000}" name="Column10061"/>
    <tableColumn id="10089" xr3:uid="{00000000-0010-0000-2000-000069270000}" name="Column10062"/>
    <tableColumn id="10090" xr3:uid="{00000000-0010-0000-2000-00006A270000}" name="Column10063"/>
    <tableColumn id="10091" xr3:uid="{00000000-0010-0000-2000-00006B270000}" name="Column10064"/>
    <tableColumn id="10092" xr3:uid="{00000000-0010-0000-2000-00006C270000}" name="Column10065"/>
    <tableColumn id="10093" xr3:uid="{00000000-0010-0000-2000-00006D270000}" name="Column10066"/>
    <tableColumn id="10094" xr3:uid="{00000000-0010-0000-2000-00006E270000}" name="Column10067"/>
    <tableColumn id="10095" xr3:uid="{00000000-0010-0000-2000-00006F270000}" name="Column10068"/>
    <tableColumn id="10096" xr3:uid="{00000000-0010-0000-2000-000070270000}" name="Column10069"/>
    <tableColumn id="10097" xr3:uid="{00000000-0010-0000-2000-000071270000}" name="Column10070"/>
    <tableColumn id="10098" xr3:uid="{00000000-0010-0000-2000-000072270000}" name="Column10071"/>
    <tableColumn id="10099" xr3:uid="{00000000-0010-0000-2000-000073270000}" name="Column10072"/>
    <tableColumn id="10100" xr3:uid="{00000000-0010-0000-2000-000074270000}" name="Column10073"/>
    <tableColumn id="10101" xr3:uid="{00000000-0010-0000-2000-000075270000}" name="Column10074"/>
    <tableColumn id="10102" xr3:uid="{00000000-0010-0000-2000-000076270000}" name="Column10075"/>
    <tableColumn id="10103" xr3:uid="{00000000-0010-0000-2000-000077270000}" name="Column10076"/>
    <tableColumn id="10104" xr3:uid="{00000000-0010-0000-2000-000078270000}" name="Column10077"/>
    <tableColumn id="10105" xr3:uid="{00000000-0010-0000-2000-000079270000}" name="Column10078"/>
    <tableColumn id="10106" xr3:uid="{00000000-0010-0000-2000-00007A270000}" name="Column10079"/>
    <tableColumn id="10107" xr3:uid="{00000000-0010-0000-2000-00007B270000}" name="Column10080"/>
    <tableColumn id="10108" xr3:uid="{00000000-0010-0000-2000-00007C270000}" name="Column10081"/>
    <tableColumn id="10109" xr3:uid="{00000000-0010-0000-2000-00007D270000}" name="Column10082"/>
    <tableColumn id="10110" xr3:uid="{00000000-0010-0000-2000-00007E270000}" name="Column10083"/>
    <tableColumn id="10111" xr3:uid="{00000000-0010-0000-2000-00007F270000}" name="Column10084"/>
    <tableColumn id="10112" xr3:uid="{00000000-0010-0000-2000-000080270000}" name="Column10085"/>
    <tableColumn id="10113" xr3:uid="{00000000-0010-0000-2000-000081270000}" name="Column10086"/>
    <tableColumn id="10114" xr3:uid="{00000000-0010-0000-2000-000082270000}" name="Column10087"/>
    <tableColumn id="10115" xr3:uid="{00000000-0010-0000-2000-000083270000}" name="Column10088"/>
    <tableColumn id="10116" xr3:uid="{00000000-0010-0000-2000-000084270000}" name="Column10089"/>
    <tableColumn id="10117" xr3:uid="{00000000-0010-0000-2000-000085270000}" name="Column10090"/>
    <tableColumn id="10118" xr3:uid="{00000000-0010-0000-2000-000086270000}" name="Column10091"/>
    <tableColumn id="10119" xr3:uid="{00000000-0010-0000-2000-000087270000}" name="Column10092"/>
    <tableColumn id="10120" xr3:uid="{00000000-0010-0000-2000-000088270000}" name="Column10093"/>
    <tableColumn id="10121" xr3:uid="{00000000-0010-0000-2000-000089270000}" name="Column10094"/>
    <tableColumn id="10122" xr3:uid="{00000000-0010-0000-2000-00008A270000}" name="Column10095"/>
    <tableColumn id="10123" xr3:uid="{00000000-0010-0000-2000-00008B270000}" name="Column10096"/>
    <tableColumn id="10124" xr3:uid="{00000000-0010-0000-2000-00008C270000}" name="Column10097"/>
    <tableColumn id="10125" xr3:uid="{00000000-0010-0000-2000-00008D270000}" name="Column10098"/>
    <tableColumn id="10126" xr3:uid="{00000000-0010-0000-2000-00008E270000}" name="Column10099"/>
    <tableColumn id="10127" xr3:uid="{00000000-0010-0000-2000-00008F270000}" name="Column10100"/>
    <tableColumn id="10128" xr3:uid="{00000000-0010-0000-2000-000090270000}" name="Column10101"/>
    <tableColumn id="10129" xr3:uid="{00000000-0010-0000-2000-000091270000}" name="Column10102"/>
    <tableColumn id="10130" xr3:uid="{00000000-0010-0000-2000-000092270000}" name="Column10103"/>
    <tableColumn id="10131" xr3:uid="{00000000-0010-0000-2000-000093270000}" name="Column10104"/>
    <tableColumn id="10132" xr3:uid="{00000000-0010-0000-2000-000094270000}" name="Column10105"/>
    <tableColumn id="10133" xr3:uid="{00000000-0010-0000-2000-000095270000}" name="Column10106"/>
    <tableColumn id="10134" xr3:uid="{00000000-0010-0000-2000-000096270000}" name="Column10107"/>
    <tableColumn id="10135" xr3:uid="{00000000-0010-0000-2000-000097270000}" name="Column10108"/>
    <tableColumn id="10136" xr3:uid="{00000000-0010-0000-2000-000098270000}" name="Column10109"/>
    <tableColumn id="10137" xr3:uid="{00000000-0010-0000-2000-000099270000}" name="Column10110"/>
    <tableColumn id="10138" xr3:uid="{00000000-0010-0000-2000-00009A270000}" name="Column10111"/>
    <tableColumn id="10139" xr3:uid="{00000000-0010-0000-2000-00009B270000}" name="Column10112"/>
    <tableColumn id="10140" xr3:uid="{00000000-0010-0000-2000-00009C270000}" name="Column10113"/>
    <tableColumn id="10141" xr3:uid="{00000000-0010-0000-2000-00009D270000}" name="Column10114"/>
    <tableColumn id="10142" xr3:uid="{00000000-0010-0000-2000-00009E270000}" name="Column10115"/>
    <tableColumn id="10143" xr3:uid="{00000000-0010-0000-2000-00009F270000}" name="Column10116"/>
    <tableColumn id="10144" xr3:uid="{00000000-0010-0000-2000-0000A0270000}" name="Column10117"/>
    <tableColumn id="10145" xr3:uid="{00000000-0010-0000-2000-0000A1270000}" name="Column10118"/>
    <tableColumn id="10146" xr3:uid="{00000000-0010-0000-2000-0000A2270000}" name="Column10119"/>
    <tableColumn id="10147" xr3:uid="{00000000-0010-0000-2000-0000A3270000}" name="Column10120"/>
    <tableColumn id="10148" xr3:uid="{00000000-0010-0000-2000-0000A4270000}" name="Column10121"/>
    <tableColumn id="10149" xr3:uid="{00000000-0010-0000-2000-0000A5270000}" name="Column10122"/>
    <tableColumn id="10150" xr3:uid="{00000000-0010-0000-2000-0000A6270000}" name="Column10123"/>
    <tableColumn id="10151" xr3:uid="{00000000-0010-0000-2000-0000A7270000}" name="Column10124"/>
    <tableColumn id="10152" xr3:uid="{00000000-0010-0000-2000-0000A8270000}" name="Column10125"/>
    <tableColumn id="10153" xr3:uid="{00000000-0010-0000-2000-0000A9270000}" name="Column10126"/>
    <tableColumn id="10154" xr3:uid="{00000000-0010-0000-2000-0000AA270000}" name="Column10127"/>
    <tableColumn id="10155" xr3:uid="{00000000-0010-0000-2000-0000AB270000}" name="Column10128"/>
    <tableColumn id="10156" xr3:uid="{00000000-0010-0000-2000-0000AC270000}" name="Column10129"/>
    <tableColumn id="10157" xr3:uid="{00000000-0010-0000-2000-0000AD270000}" name="Column10130"/>
    <tableColumn id="10158" xr3:uid="{00000000-0010-0000-2000-0000AE270000}" name="Column10131"/>
    <tableColumn id="10159" xr3:uid="{00000000-0010-0000-2000-0000AF270000}" name="Column10132"/>
    <tableColumn id="10160" xr3:uid="{00000000-0010-0000-2000-0000B0270000}" name="Column10133"/>
    <tableColumn id="10161" xr3:uid="{00000000-0010-0000-2000-0000B1270000}" name="Column10134"/>
    <tableColumn id="10162" xr3:uid="{00000000-0010-0000-2000-0000B2270000}" name="Column10135"/>
    <tableColumn id="10163" xr3:uid="{00000000-0010-0000-2000-0000B3270000}" name="Column10136"/>
    <tableColumn id="10164" xr3:uid="{00000000-0010-0000-2000-0000B4270000}" name="Column10137"/>
    <tableColumn id="10165" xr3:uid="{00000000-0010-0000-2000-0000B5270000}" name="Column10138"/>
    <tableColumn id="10166" xr3:uid="{00000000-0010-0000-2000-0000B6270000}" name="Column10139"/>
    <tableColumn id="10167" xr3:uid="{00000000-0010-0000-2000-0000B7270000}" name="Column10140"/>
    <tableColumn id="10168" xr3:uid="{00000000-0010-0000-2000-0000B8270000}" name="Column10141"/>
    <tableColumn id="10169" xr3:uid="{00000000-0010-0000-2000-0000B9270000}" name="Column10142"/>
    <tableColumn id="10170" xr3:uid="{00000000-0010-0000-2000-0000BA270000}" name="Column10143"/>
    <tableColumn id="10171" xr3:uid="{00000000-0010-0000-2000-0000BB270000}" name="Column10144"/>
    <tableColumn id="10172" xr3:uid="{00000000-0010-0000-2000-0000BC270000}" name="Column10145"/>
    <tableColumn id="10173" xr3:uid="{00000000-0010-0000-2000-0000BD270000}" name="Column10146"/>
    <tableColumn id="10174" xr3:uid="{00000000-0010-0000-2000-0000BE270000}" name="Column10147"/>
    <tableColumn id="10175" xr3:uid="{00000000-0010-0000-2000-0000BF270000}" name="Column10148"/>
    <tableColumn id="10176" xr3:uid="{00000000-0010-0000-2000-0000C0270000}" name="Column10149"/>
    <tableColumn id="10177" xr3:uid="{00000000-0010-0000-2000-0000C1270000}" name="Column10150"/>
    <tableColumn id="10178" xr3:uid="{00000000-0010-0000-2000-0000C2270000}" name="Column10151"/>
    <tableColumn id="10179" xr3:uid="{00000000-0010-0000-2000-0000C3270000}" name="Column10152"/>
    <tableColumn id="10180" xr3:uid="{00000000-0010-0000-2000-0000C4270000}" name="Column10153"/>
    <tableColumn id="10181" xr3:uid="{00000000-0010-0000-2000-0000C5270000}" name="Column10154"/>
    <tableColumn id="10182" xr3:uid="{00000000-0010-0000-2000-0000C6270000}" name="Column10155"/>
    <tableColumn id="10183" xr3:uid="{00000000-0010-0000-2000-0000C7270000}" name="Column10156"/>
    <tableColumn id="10184" xr3:uid="{00000000-0010-0000-2000-0000C8270000}" name="Column10157"/>
    <tableColumn id="10185" xr3:uid="{00000000-0010-0000-2000-0000C9270000}" name="Column10158"/>
    <tableColumn id="10186" xr3:uid="{00000000-0010-0000-2000-0000CA270000}" name="Column10159"/>
    <tableColumn id="10187" xr3:uid="{00000000-0010-0000-2000-0000CB270000}" name="Column10160"/>
    <tableColumn id="10188" xr3:uid="{00000000-0010-0000-2000-0000CC270000}" name="Column10161"/>
    <tableColumn id="10189" xr3:uid="{00000000-0010-0000-2000-0000CD270000}" name="Column10162"/>
    <tableColumn id="10190" xr3:uid="{00000000-0010-0000-2000-0000CE270000}" name="Column10163"/>
    <tableColumn id="10191" xr3:uid="{00000000-0010-0000-2000-0000CF270000}" name="Column10164"/>
    <tableColumn id="10192" xr3:uid="{00000000-0010-0000-2000-0000D0270000}" name="Column10165"/>
    <tableColumn id="10193" xr3:uid="{00000000-0010-0000-2000-0000D1270000}" name="Column10166"/>
    <tableColumn id="10194" xr3:uid="{00000000-0010-0000-2000-0000D2270000}" name="Column10167"/>
    <tableColumn id="10195" xr3:uid="{00000000-0010-0000-2000-0000D3270000}" name="Column10168"/>
    <tableColumn id="10196" xr3:uid="{00000000-0010-0000-2000-0000D4270000}" name="Column10169"/>
    <tableColumn id="10197" xr3:uid="{00000000-0010-0000-2000-0000D5270000}" name="Column10170"/>
    <tableColumn id="10198" xr3:uid="{00000000-0010-0000-2000-0000D6270000}" name="Column10171"/>
    <tableColumn id="10199" xr3:uid="{00000000-0010-0000-2000-0000D7270000}" name="Column10172"/>
    <tableColumn id="10200" xr3:uid="{00000000-0010-0000-2000-0000D8270000}" name="Column10173"/>
    <tableColumn id="10201" xr3:uid="{00000000-0010-0000-2000-0000D9270000}" name="Column10174"/>
    <tableColumn id="10202" xr3:uid="{00000000-0010-0000-2000-0000DA270000}" name="Column10175"/>
    <tableColumn id="10203" xr3:uid="{00000000-0010-0000-2000-0000DB270000}" name="Column10176"/>
    <tableColumn id="10204" xr3:uid="{00000000-0010-0000-2000-0000DC270000}" name="Column10177"/>
    <tableColumn id="10205" xr3:uid="{00000000-0010-0000-2000-0000DD270000}" name="Column10178"/>
    <tableColumn id="10206" xr3:uid="{00000000-0010-0000-2000-0000DE270000}" name="Column10179"/>
    <tableColumn id="10207" xr3:uid="{00000000-0010-0000-2000-0000DF270000}" name="Column10180"/>
    <tableColumn id="10208" xr3:uid="{00000000-0010-0000-2000-0000E0270000}" name="Column10181"/>
    <tableColumn id="10209" xr3:uid="{00000000-0010-0000-2000-0000E1270000}" name="Column10182"/>
    <tableColumn id="10210" xr3:uid="{00000000-0010-0000-2000-0000E2270000}" name="Column10183"/>
    <tableColumn id="10211" xr3:uid="{00000000-0010-0000-2000-0000E3270000}" name="Column10184"/>
    <tableColumn id="10212" xr3:uid="{00000000-0010-0000-2000-0000E4270000}" name="Column10185"/>
    <tableColumn id="10213" xr3:uid="{00000000-0010-0000-2000-0000E5270000}" name="Column10186"/>
    <tableColumn id="10214" xr3:uid="{00000000-0010-0000-2000-0000E6270000}" name="Column10187"/>
    <tableColumn id="10215" xr3:uid="{00000000-0010-0000-2000-0000E7270000}" name="Column10188"/>
    <tableColumn id="10216" xr3:uid="{00000000-0010-0000-2000-0000E8270000}" name="Column10189"/>
    <tableColumn id="10217" xr3:uid="{00000000-0010-0000-2000-0000E9270000}" name="Column10190"/>
    <tableColumn id="10218" xr3:uid="{00000000-0010-0000-2000-0000EA270000}" name="Column10191"/>
    <tableColumn id="10219" xr3:uid="{00000000-0010-0000-2000-0000EB270000}" name="Column10192"/>
    <tableColumn id="10220" xr3:uid="{00000000-0010-0000-2000-0000EC270000}" name="Column10193"/>
    <tableColumn id="10221" xr3:uid="{00000000-0010-0000-2000-0000ED270000}" name="Column10194"/>
    <tableColumn id="10222" xr3:uid="{00000000-0010-0000-2000-0000EE270000}" name="Column10195"/>
    <tableColumn id="10223" xr3:uid="{00000000-0010-0000-2000-0000EF270000}" name="Column10196"/>
    <tableColumn id="10224" xr3:uid="{00000000-0010-0000-2000-0000F0270000}" name="Column10197"/>
    <tableColumn id="10225" xr3:uid="{00000000-0010-0000-2000-0000F1270000}" name="Column10198"/>
    <tableColumn id="10226" xr3:uid="{00000000-0010-0000-2000-0000F2270000}" name="Column10199"/>
    <tableColumn id="10227" xr3:uid="{00000000-0010-0000-2000-0000F3270000}" name="Column10200"/>
    <tableColumn id="10228" xr3:uid="{00000000-0010-0000-2000-0000F4270000}" name="Column10201"/>
    <tableColumn id="10229" xr3:uid="{00000000-0010-0000-2000-0000F5270000}" name="Column10202"/>
    <tableColumn id="10230" xr3:uid="{00000000-0010-0000-2000-0000F6270000}" name="Column10203"/>
    <tableColumn id="10231" xr3:uid="{00000000-0010-0000-2000-0000F7270000}" name="Column10204"/>
    <tableColumn id="10232" xr3:uid="{00000000-0010-0000-2000-0000F8270000}" name="Column10205"/>
    <tableColumn id="10233" xr3:uid="{00000000-0010-0000-2000-0000F9270000}" name="Column10206"/>
    <tableColumn id="10234" xr3:uid="{00000000-0010-0000-2000-0000FA270000}" name="Column10207"/>
    <tableColumn id="10235" xr3:uid="{00000000-0010-0000-2000-0000FB270000}" name="Column10208"/>
    <tableColumn id="10236" xr3:uid="{00000000-0010-0000-2000-0000FC270000}" name="Column10209"/>
    <tableColumn id="10237" xr3:uid="{00000000-0010-0000-2000-0000FD270000}" name="Column10210"/>
    <tableColumn id="10238" xr3:uid="{00000000-0010-0000-2000-0000FE270000}" name="Column10211"/>
    <tableColumn id="10239" xr3:uid="{00000000-0010-0000-2000-0000FF270000}" name="Column10212"/>
    <tableColumn id="10240" xr3:uid="{00000000-0010-0000-2000-000000280000}" name="Column10213"/>
    <tableColumn id="10241" xr3:uid="{00000000-0010-0000-2000-000001280000}" name="Column10214"/>
    <tableColumn id="10242" xr3:uid="{00000000-0010-0000-2000-000002280000}" name="Column10215"/>
    <tableColumn id="10243" xr3:uid="{00000000-0010-0000-2000-000003280000}" name="Column10216"/>
    <tableColumn id="10244" xr3:uid="{00000000-0010-0000-2000-000004280000}" name="Column10217"/>
    <tableColumn id="10245" xr3:uid="{00000000-0010-0000-2000-000005280000}" name="Column10218"/>
    <tableColumn id="10246" xr3:uid="{00000000-0010-0000-2000-000006280000}" name="Column10219"/>
    <tableColumn id="10247" xr3:uid="{00000000-0010-0000-2000-000007280000}" name="Column10220"/>
    <tableColumn id="10248" xr3:uid="{00000000-0010-0000-2000-000008280000}" name="Column10221"/>
    <tableColumn id="10249" xr3:uid="{00000000-0010-0000-2000-000009280000}" name="Column10222"/>
    <tableColumn id="10250" xr3:uid="{00000000-0010-0000-2000-00000A280000}" name="Column10223"/>
    <tableColumn id="10251" xr3:uid="{00000000-0010-0000-2000-00000B280000}" name="Column10224"/>
    <tableColumn id="10252" xr3:uid="{00000000-0010-0000-2000-00000C280000}" name="Column10225"/>
    <tableColumn id="10253" xr3:uid="{00000000-0010-0000-2000-00000D280000}" name="Column10226"/>
    <tableColumn id="10254" xr3:uid="{00000000-0010-0000-2000-00000E280000}" name="Column10227"/>
    <tableColumn id="10255" xr3:uid="{00000000-0010-0000-2000-00000F280000}" name="Column10228"/>
    <tableColumn id="10256" xr3:uid="{00000000-0010-0000-2000-000010280000}" name="Column10229"/>
    <tableColumn id="10257" xr3:uid="{00000000-0010-0000-2000-000011280000}" name="Column10230"/>
    <tableColumn id="10258" xr3:uid="{00000000-0010-0000-2000-000012280000}" name="Column10231"/>
    <tableColumn id="10259" xr3:uid="{00000000-0010-0000-2000-000013280000}" name="Column10232"/>
    <tableColumn id="10260" xr3:uid="{00000000-0010-0000-2000-000014280000}" name="Column10233"/>
    <tableColumn id="10261" xr3:uid="{00000000-0010-0000-2000-000015280000}" name="Column10234"/>
    <tableColumn id="10262" xr3:uid="{00000000-0010-0000-2000-000016280000}" name="Column10235"/>
    <tableColumn id="10263" xr3:uid="{00000000-0010-0000-2000-000017280000}" name="Column10236"/>
    <tableColumn id="10264" xr3:uid="{00000000-0010-0000-2000-000018280000}" name="Column10237"/>
    <tableColumn id="10265" xr3:uid="{00000000-0010-0000-2000-000019280000}" name="Column10238"/>
    <tableColumn id="10266" xr3:uid="{00000000-0010-0000-2000-00001A280000}" name="Column10239"/>
    <tableColumn id="10267" xr3:uid="{00000000-0010-0000-2000-00001B280000}" name="Column10240"/>
    <tableColumn id="10268" xr3:uid="{00000000-0010-0000-2000-00001C280000}" name="Column10241"/>
    <tableColumn id="10269" xr3:uid="{00000000-0010-0000-2000-00001D280000}" name="Column10242"/>
    <tableColumn id="10270" xr3:uid="{00000000-0010-0000-2000-00001E280000}" name="Column10243"/>
    <tableColumn id="10271" xr3:uid="{00000000-0010-0000-2000-00001F280000}" name="Column10244"/>
    <tableColumn id="10272" xr3:uid="{00000000-0010-0000-2000-000020280000}" name="Column10245"/>
    <tableColumn id="10273" xr3:uid="{00000000-0010-0000-2000-000021280000}" name="Column10246"/>
    <tableColumn id="10274" xr3:uid="{00000000-0010-0000-2000-000022280000}" name="Column10247"/>
    <tableColumn id="10275" xr3:uid="{00000000-0010-0000-2000-000023280000}" name="Column10248"/>
    <tableColumn id="10276" xr3:uid="{00000000-0010-0000-2000-000024280000}" name="Column10249"/>
    <tableColumn id="10277" xr3:uid="{00000000-0010-0000-2000-000025280000}" name="Column10250"/>
    <tableColumn id="10278" xr3:uid="{00000000-0010-0000-2000-000026280000}" name="Column10251"/>
    <tableColumn id="10279" xr3:uid="{00000000-0010-0000-2000-000027280000}" name="Column10252"/>
    <tableColumn id="10280" xr3:uid="{00000000-0010-0000-2000-000028280000}" name="Column10253"/>
    <tableColumn id="10281" xr3:uid="{00000000-0010-0000-2000-000029280000}" name="Column10254"/>
    <tableColumn id="10282" xr3:uid="{00000000-0010-0000-2000-00002A280000}" name="Column10255"/>
    <tableColumn id="10283" xr3:uid="{00000000-0010-0000-2000-00002B280000}" name="Column10256"/>
    <tableColumn id="10284" xr3:uid="{00000000-0010-0000-2000-00002C280000}" name="Column10257"/>
    <tableColumn id="10285" xr3:uid="{00000000-0010-0000-2000-00002D280000}" name="Column10258"/>
    <tableColumn id="10286" xr3:uid="{00000000-0010-0000-2000-00002E280000}" name="Column10259"/>
    <tableColumn id="10287" xr3:uid="{00000000-0010-0000-2000-00002F280000}" name="Column10260"/>
    <tableColumn id="10288" xr3:uid="{00000000-0010-0000-2000-000030280000}" name="Column10261"/>
    <tableColumn id="10289" xr3:uid="{00000000-0010-0000-2000-000031280000}" name="Column10262"/>
    <tableColumn id="10290" xr3:uid="{00000000-0010-0000-2000-000032280000}" name="Column10263"/>
    <tableColumn id="10291" xr3:uid="{00000000-0010-0000-2000-000033280000}" name="Column10264"/>
    <tableColumn id="10292" xr3:uid="{00000000-0010-0000-2000-000034280000}" name="Column10265"/>
    <tableColumn id="10293" xr3:uid="{00000000-0010-0000-2000-000035280000}" name="Column10266"/>
    <tableColumn id="10294" xr3:uid="{00000000-0010-0000-2000-000036280000}" name="Column10267"/>
    <tableColumn id="10295" xr3:uid="{00000000-0010-0000-2000-000037280000}" name="Column10268"/>
    <tableColumn id="10296" xr3:uid="{00000000-0010-0000-2000-000038280000}" name="Column10269"/>
    <tableColumn id="10297" xr3:uid="{00000000-0010-0000-2000-000039280000}" name="Column10270"/>
    <tableColumn id="10298" xr3:uid="{00000000-0010-0000-2000-00003A280000}" name="Column10271"/>
    <tableColumn id="10299" xr3:uid="{00000000-0010-0000-2000-00003B280000}" name="Column10272"/>
    <tableColumn id="10300" xr3:uid="{00000000-0010-0000-2000-00003C280000}" name="Column10273"/>
    <tableColumn id="10301" xr3:uid="{00000000-0010-0000-2000-00003D280000}" name="Column10274"/>
    <tableColumn id="10302" xr3:uid="{00000000-0010-0000-2000-00003E280000}" name="Column10275"/>
    <tableColumn id="10303" xr3:uid="{00000000-0010-0000-2000-00003F280000}" name="Column10276"/>
    <tableColumn id="10304" xr3:uid="{00000000-0010-0000-2000-000040280000}" name="Column10277"/>
    <tableColumn id="10305" xr3:uid="{00000000-0010-0000-2000-000041280000}" name="Column10278"/>
    <tableColumn id="10306" xr3:uid="{00000000-0010-0000-2000-000042280000}" name="Column10279"/>
    <tableColumn id="10307" xr3:uid="{00000000-0010-0000-2000-000043280000}" name="Column10280"/>
    <tableColumn id="10308" xr3:uid="{00000000-0010-0000-2000-000044280000}" name="Column10281"/>
    <tableColumn id="10309" xr3:uid="{00000000-0010-0000-2000-000045280000}" name="Column10282"/>
    <tableColumn id="10310" xr3:uid="{00000000-0010-0000-2000-000046280000}" name="Column10283"/>
    <tableColumn id="10311" xr3:uid="{00000000-0010-0000-2000-000047280000}" name="Column10284"/>
    <tableColumn id="10312" xr3:uid="{00000000-0010-0000-2000-000048280000}" name="Column10285"/>
    <tableColumn id="10313" xr3:uid="{00000000-0010-0000-2000-000049280000}" name="Column10286"/>
    <tableColumn id="10314" xr3:uid="{00000000-0010-0000-2000-00004A280000}" name="Column10287"/>
    <tableColumn id="10315" xr3:uid="{00000000-0010-0000-2000-00004B280000}" name="Column10288"/>
    <tableColumn id="10316" xr3:uid="{00000000-0010-0000-2000-00004C280000}" name="Column10289"/>
    <tableColumn id="10317" xr3:uid="{00000000-0010-0000-2000-00004D280000}" name="Column10290"/>
    <tableColumn id="10318" xr3:uid="{00000000-0010-0000-2000-00004E280000}" name="Column10291"/>
    <tableColumn id="10319" xr3:uid="{00000000-0010-0000-2000-00004F280000}" name="Column10292"/>
    <tableColumn id="10320" xr3:uid="{00000000-0010-0000-2000-000050280000}" name="Column10293"/>
    <tableColumn id="10321" xr3:uid="{00000000-0010-0000-2000-000051280000}" name="Column10294"/>
    <tableColumn id="10322" xr3:uid="{00000000-0010-0000-2000-000052280000}" name="Column10295"/>
    <tableColumn id="10323" xr3:uid="{00000000-0010-0000-2000-000053280000}" name="Column10296"/>
    <tableColumn id="10324" xr3:uid="{00000000-0010-0000-2000-000054280000}" name="Column10297"/>
    <tableColumn id="10325" xr3:uid="{00000000-0010-0000-2000-000055280000}" name="Column10298"/>
    <tableColumn id="10326" xr3:uid="{00000000-0010-0000-2000-000056280000}" name="Column10299"/>
    <tableColumn id="10327" xr3:uid="{00000000-0010-0000-2000-000057280000}" name="Column10300"/>
    <tableColumn id="10328" xr3:uid="{00000000-0010-0000-2000-000058280000}" name="Column10301"/>
    <tableColumn id="10329" xr3:uid="{00000000-0010-0000-2000-000059280000}" name="Column10302"/>
    <tableColumn id="10330" xr3:uid="{00000000-0010-0000-2000-00005A280000}" name="Column10303"/>
    <tableColumn id="10331" xr3:uid="{00000000-0010-0000-2000-00005B280000}" name="Column10304"/>
    <tableColumn id="10332" xr3:uid="{00000000-0010-0000-2000-00005C280000}" name="Column10305"/>
    <tableColumn id="10333" xr3:uid="{00000000-0010-0000-2000-00005D280000}" name="Column10306"/>
    <tableColumn id="10334" xr3:uid="{00000000-0010-0000-2000-00005E280000}" name="Column10307"/>
    <tableColumn id="10335" xr3:uid="{00000000-0010-0000-2000-00005F280000}" name="Column10308"/>
    <tableColumn id="10336" xr3:uid="{00000000-0010-0000-2000-000060280000}" name="Column10309"/>
    <tableColumn id="10337" xr3:uid="{00000000-0010-0000-2000-000061280000}" name="Column10310"/>
    <tableColumn id="10338" xr3:uid="{00000000-0010-0000-2000-000062280000}" name="Column10311"/>
    <tableColumn id="10339" xr3:uid="{00000000-0010-0000-2000-000063280000}" name="Column10312"/>
    <tableColumn id="10340" xr3:uid="{00000000-0010-0000-2000-000064280000}" name="Column10313"/>
    <tableColumn id="10341" xr3:uid="{00000000-0010-0000-2000-000065280000}" name="Column10314"/>
    <tableColumn id="10342" xr3:uid="{00000000-0010-0000-2000-000066280000}" name="Column10315"/>
    <tableColumn id="10343" xr3:uid="{00000000-0010-0000-2000-000067280000}" name="Column10316"/>
    <tableColumn id="10344" xr3:uid="{00000000-0010-0000-2000-000068280000}" name="Column10317"/>
    <tableColumn id="10345" xr3:uid="{00000000-0010-0000-2000-000069280000}" name="Column10318"/>
    <tableColumn id="10346" xr3:uid="{00000000-0010-0000-2000-00006A280000}" name="Column10319"/>
    <tableColumn id="10347" xr3:uid="{00000000-0010-0000-2000-00006B280000}" name="Column10320"/>
    <tableColumn id="10348" xr3:uid="{00000000-0010-0000-2000-00006C280000}" name="Column10321"/>
    <tableColumn id="10349" xr3:uid="{00000000-0010-0000-2000-00006D280000}" name="Column10322"/>
    <tableColumn id="10350" xr3:uid="{00000000-0010-0000-2000-00006E280000}" name="Column10323"/>
    <tableColumn id="10351" xr3:uid="{00000000-0010-0000-2000-00006F280000}" name="Column10324"/>
    <tableColumn id="10352" xr3:uid="{00000000-0010-0000-2000-000070280000}" name="Column10325"/>
    <tableColumn id="10353" xr3:uid="{00000000-0010-0000-2000-000071280000}" name="Column10326"/>
    <tableColumn id="10354" xr3:uid="{00000000-0010-0000-2000-000072280000}" name="Column10327"/>
    <tableColumn id="10355" xr3:uid="{00000000-0010-0000-2000-000073280000}" name="Column10328"/>
    <tableColumn id="10356" xr3:uid="{00000000-0010-0000-2000-000074280000}" name="Column10329"/>
    <tableColumn id="10357" xr3:uid="{00000000-0010-0000-2000-000075280000}" name="Column10330"/>
    <tableColumn id="10358" xr3:uid="{00000000-0010-0000-2000-000076280000}" name="Column10331"/>
    <tableColumn id="10359" xr3:uid="{00000000-0010-0000-2000-000077280000}" name="Column10332"/>
    <tableColumn id="10360" xr3:uid="{00000000-0010-0000-2000-000078280000}" name="Column10333"/>
    <tableColumn id="10361" xr3:uid="{00000000-0010-0000-2000-000079280000}" name="Column10334"/>
    <tableColumn id="10362" xr3:uid="{00000000-0010-0000-2000-00007A280000}" name="Column10335"/>
    <tableColumn id="10363" xr3:uid="{00000000-0010-0000-2000-00007B280000}" name="Column10336"/>
    <tableColumn id="10364" xr3:uid="{00000000-0010-0000-2000-00007C280000}" name="Column10337"/>
    <tableColumn id="10365" xr3:uid="{00000000-0010-0000-2000-00007D280000}" name="Column10338"/>
    <tableColumn id="10366" xr3:uid="{00000000-0010-0000-2000-00007E280000}" name="Column10339"/>
    <tableColumn id="10367" xr3:uid="{00000000-0010-0000-2000-00007F280000}" name="Column10340"/>
    <tableColumn id="10368" xr3:uid="{00000000-0010-0000-2000-000080280000}" name="Column10341"/>
    <tableColumn id="10369" xr3:uid="{00000000-0010-0000-2000-000081280000}" name="Column10342"/>
    <tableColumn id="10370" xr3:uid="{00000000-0010-0000-2000-000082280000}" name="Column10343"/>
    <tableColumn id="10371" xr3:uid="{00000000-0010-0000-2000-000083280000}" name="Column10344"/>
    <tableColumn id="10372" xr3:uid="{00000000-0010-0000-2000-000084280000}" name="Column10345"/>
    <tableColumn id="10373" xr3:uid="{00000000-0010-0000-2000-000085280000}" name="Column10346"/>
    <tableColumn id="10374" xr3:uid="{00000000-0010-0000-2000-000086280000}" name="Column10347"/>
    <tableColumn id="10375" xr3:uid="{00000000-0010-0000-2000-000087280000}" name="Column10348"/>
    <tableColumn id="10376" xr3:uid="{00000000-0010-0000-2000-000088280000}" name="Column10349"/>
    <tableColumn id="10377" xr3:uid="{00000000-0010-0000-2000-000089280000}" name="Column10350"/>
    <tableColumn id="10378" xr3:uid="{00000000-0010-0000-2000-00008A280000}" name="Column10351"/>
    <tableColumn id="10379" xr3:uid="{00000000-0010-0000-2000-00008B280000}" name="Column10352"/>
    <tableColumn id="10380" xr3:uid="{00000000-0010-0000-2000-00008C280000}" name="Column10353"/>
    <tableColumn id="10381" xr3:uid="{00000000-0010-0000-2000-00008D280000}" name="Column10354"/>
    <tableColumn id="10382" xr3:uid="{00000000-0010-0000-2000-00008E280000}" name="Column10355"/>
    <tableColumn id="10383" xr3:uid="{00000000-0010-0000-2000-00008F280000}" name="Column10356"/>
    <tableColumn id="10384" xr3:uid="{00000000-0010-0000-2000-000090280000}" name="Column10357"/>
    <tableColumn id="10385" xr3:uid="{00000000-0010-0000-2000-000091280000}" name="Column10358"/>
    <tableColumn id="10386" xr3:uid="{00000000-0010-0000-2000-000092280000}" name="Column10359"/>
    <tableColumn id="10387" xr3:uid="{00000000-0010-0000-2000-000093280000}" name="Column10360"/>
    <tableColumn id="10388" xr3:uid="{00000000-0010-0000-2000-000094280000}" name="Column10361"/>
    <tableColumn id="10389" xr3:uid="{00000000-0010-0000-2000-000095280000}" name="Column10362"/>
    <tableColumn id="10390" xr3:uid="{00000000-0010-0000-2000-000096280000}" name="Column10363"/>
    <tableColumn id="10391" xr3:uid="{00000000-0010-0000-2000-000097280000}" name="Column10364"/>
    <tableColumn id="10392" xr3:uid="{00000000-0010-0000-2000-000098280000}" name="Column10365"/>
    <tableColumn id="10393" xr3:uid="{00000000-0010-0000-2000-000099280000}" name="Column10366"/>
    <tableColumn id="10394" xr3:uid="{00000000-0010-0000-2000-00009A280000}" name="Column10367"/>
    <tableColumn id="10395" xr3:uid="{00000000-0010-0000-2000-00009B280000}" name="Column10368"/>
    <tableColumn id="10396" xr3:uid="{00000000-0010-0000-2000-00009C280000}" name="Column10369"/>
    <tableColumn id="10397" xr3:uid="{00000000-0010-0000-2000-00009D280000}" name="Column10370"/>
    <tableColumn id="10398" xr3:uid="{00000000-0010-0000-2000-00009E280000}" name="Column10371"/>
    <tableColumn id="10399" xr3:uid="{00000000-0010-0000-2000-00009F280000}" name="Column10372"/>
    <tableColumn id="10400" xr3:uid="{00000000-0010-0000-2000-0000A0280000}" name="Column10373"/>
    <tableColumn id="10401" xr3:uid="{00000000-0010-0000-2000-0000A1280000}" name="Column10374"/>
    <tableColumn id="10402" xr3:uid="{00000000-0010-0000-2000-0000A2280000}" name="Column10375"/>
    <tableColumn id="10403" xr3:uid="{00000000-0010-0000-2000-0000A3280000}" name="Column10376"/>
    <tableColumn id="10404" xr3:uid="{00000000-0010-0000-2000-0000A4280000}" name="Column10377"/>
    <tableColumn id="10405" xr3:uid="{00000000-0010-0000-2000-0000A5280000}" name="Column10378"/>
    <tableColumn id="10406" xr3:uid="{00000000-0010-0000-2000-0000A6280000}" name="Column10379"/>
    <tableColumn id="10407" xr3:uid="{00000000-0010-0000-2000-0000A7280000}" name="Column10380"/>
    <tableColumn id="10408" xr3:uid="{00000000-0010-0000-2000-0000A8280000}" name="Column10381"/>
    <tableColumn id="10409" xr3:uid="{00000000-0010-0000-2000-0000A9280000}" name="Column10382"/>
    <tableColumn id="10410" xr3:uid="{00000000-0010-0000-2000-0000AA280000}" name="Column10383"/>
    <tableColumn id="10411" xr3:uid="{00000000-0010-0000-2000-0000AB280000}" name="Column10384"/>
    <tableColumn id="10412" xr3:uid="{00000000-0010-0000-2000-0000AC280000}" name="Column10385"/>
    <tableColumn id="10413" xr3:uid="{00000000-0010-0000-2000-0000AD280000}" name="Column10386"/>
    <tableColumn id="10414" xr3:uid="{00000000-0010-0000-2000-0000AE280000}" name="Column10387"/>
    <tableColumn id="10415" xr3:uid="{00000000-0010-0000-2000-0000AF280000}" name="Column10388"/>
    <tableColumn id="10416" xr3:uid="{00000000-0010-0000-2000-0000B0280000}" name="Column10389"/>
    <tableColumn id="10417" xr3:uid="{00000000-0010-0000-2000-0000B1280000}" name="Column10390"/>
    <tableColumn id="10418" xr3:uid="{00000000-0010-0000-2000-0000B2280000}" name="Column10391"/>
    <tableColumn id="10419" xr3:uid="{00000000-0010-0000-2000-0000B3280000}" name="Column10392"/>
    <tableColumn id="10420" xr3:uid="{00000000-0010-0000-2000-0000B4280000}" name="Column10393"/>
    <tableColumn id="10421" xr3:uid="{00000000-0010-0000-2000-0000B5280000}" name="Column10394"/>
    <tableColumn id="10422" xr3:uid="{00000000-0010-0000-2000-0000B6280000}" name="Column10395"/>
    <tableColumn id="10423" xr3:uid="{00000000-0010-0000-2000-0000B7280000}" name="Column10396"/>
    <tableColumn id="10424" xr3:uid="{00000000-0010-0000-2000-0000B8280000}" name="Column10397"/>
    <tableColumn id="10425" xr3:uid="{00000000-0010-0000-2000-0000B9280000}" name="Column10398"/>
    <tableColumn id="10426" xr3:uid="{00000000-0010-0000-2000-0000BA280000}" name="Column10399"/>
    <tableColumn id="10427" xr3:uid="{00000000-0010-0000-2000-0000BB280000}" name="Column10400"/>
    <tableColumn id="10428" xr3:uid="{00000000-0010-0000-2000-0000BC280000}" name="Column10401"/>
    <tableColumn id="10429" xr3:uid="{00000000-0010-0000-2000-0000BD280000}" name="Column10402"/>
    <tableColumn id="10430" xr3:uid="{00000000-0010-0000-2000-0000BE280000}" name="Column10403"/>
    <tableColumn id="10431" xr3:uid="{00000000-0010-0000-2000-0000BF280000}" name="Column10404"/>
    <tableColumn id="10432" xr3:uid="{00000000-0010-0000-2000-0000C0280000}" name="Column10405"/>
    <tableColumn id="10433" xr3:uid="{00000000-0010-0000-2000-0000C1280000}" name="Column10406"/>
    <tableColumn id="10434" xr3:uid="{00000000-0010-0000-2000-0000C2280000}" name="Column10407"/>
    <tableColumn id="10435" xr3:uid="{00000000-0010-0000-2000-0000C3280000}" name="Column10408"/>
    <tableColumn id="10436" xr3:uid="{00000000-0010-0000-2000-0000C4280000}" name="Column10409"/>
    <tableColumn id="10437" xr3:uid="{00000000-0010-0000-2000-0000C5280000}" name="Column10410"/>
    <tableColumn id="10438" xr3:uid="{00000000-0010-0000-2000-0000C6280000}" name="Column10411"/>
    <tableColumn id="10439" xr3:uid="{00000000-0010-0000-2000-0000C7280000}" name="Column10412"/>
    <tableColumn id="10440" xr3:uid="{00000000-0010-0000-2000-0000C8280000}" name="Column10413"/>
    <tableColumn id="10441" xr3:uid="{00000000-0010-0000-2000-0000C9280000}" name="Column10414"/>
    <tableColumn id="10442" xr3:uid="{00000000-0010-0000-2000-0000CA280000}" name="Column10415"/>
    <tableColumn id="10443" xr3:uid="{00000000-0010-0000-2000-0000CB280000}" name="Column10416"/>
    <tableColumn id="10444" xr3:uid="{00000000-0010-0000-2000-0000CC280000}" name="Column10417"/>
    <tableColumn id="10445" xr3:uid="{00000000-0010-0000-2000-0000CD280000}" name="Column10418"/>
    <tableColumn id="10446" xr3:uid="{00000000-0010-0000-2000-0000CE280000}" name="Column10419"/>
    <tableColumn id="10447" xr3:uid="{00000000-0010-0000-2000-0000CF280000}" name="Column10420"/>
    <tableColumn id="10448" xr3:uid="{00000000-0010-0000-2000-0000D0280000}" name="Column10421"/>
    <tableColumn id="10449" xr3:uid="{00000000-0010-0000-2000-0000D1280000}" name="Column10422"/>
    <tableColumn id="10450" xr3:uid="{00000000-0010-0000-2000-0000D2280000}" name="Column10423"/>
    <tableColumn id="10451" xr3:uid="{00000000-0010-0000-2000-0000D3280000}" name="Column10424"/>
    <tableColumn id="10452" xr3:uid="{00000000-0010-0000-2000-0000D4280000}" name="Column10425"/>
    <tableColumn id="10453" xr3:uid="{00000000-0010-0000-2000-0000D5280000}" name="Column10426"/>
    <tableColumn id="10454" xr3:uid="{00000000-0010-0000-2000-0000D6280000}" name="Column10427"/>
    <tableColumn id="10455" xr3:uid="{00000000-0010-0000-2000-0000D7280000}" name="Column10428"/>
    <tableColumn id="10456" xr3:uid="{00000000-0010-0000-2000-0000D8280000}" name="Column10429"/>
    <tableColumn id="10457" xr3:uid="{00000000-0010-0000-2000-0000D9280000}" name="Column10430"/>
    <tableColumn id="10458" xr3:uid="{00000000-0010-0000-2000-0000DA280000}" name="Column10431"/>
    <tableColumn id="10459" xr3:uid="{00000000-0010-0000-2000-0000DB280000}" name="Column10432"/>
    <tableColumn id="10460" xr3:uid="{00000000-0010-0000-2000-0000DC280000}" name="Column10433"/>
    <tableColumn id="10461" xr3:uid="{00000000-0010-0000-2000-0000DD280000}" name="Column10434"/>
    <tableColumn id="10462" xr3:uid="{00000000-0010-0000-2000-0000DE280000}" name="Column10435"/>
    <tableColumn id="10463" xr3:uid="{00000000-0010-0000-2000-0000DF280000}" name="Column10436"/>
    <tableColumn id="10464" xr3:uid="{00000000-0010-0000-2000-0000E0280000}" name="Column10437"/>
    <tableColumn id="10465" xr3:uid="{00000000-0010-0000-2000-0000E1280000}" name="Column10438"/>
    <tableColumn id="10466" xr3:uid="{00000000-0010-0000-2000-0000E2280000}" name="Column10439"/>
    <tableColumn id="10467" xr3:uid="{00000000-0010-0000-2000-0000E3280000}" name="Column10440"/>
    <tableColumn id="10468" xr3:uid="{00000000-0010-0000-2000-0000E4280000}" name="Column10441"/>
    <tableColumn id="10469" xr3:uid="{00000000-0010-0000-2000-0000E5280000}" name="Column10442"/>
    <tableColumn id="10470" xr3:uid="{00000000-0010-0000-2000-0000E6280000}" name="Column10443"/>
    <tableColumn id="10471" xr3:uid="{00000000-0010-0000-2000-0000E7280000}" name="Column10444"/>
    <tableColumn id="10472" xr3:uid="{00000000-0010-0000-2000-0000E8280000}" name="Column10445"/>
    <tableColumn id="10473" xr3:uid="{00000000-0010-0000-2000-0000E9280000}" name="Column10446"/>
    <tableColumn id="10474" xr3:uid="{00000000-0010-0000-2000-0000EA280000}" name="Column10447"/>
    <tableColumn id="10475" xr3:uid="{00000000-0010-0000-2000-0000EB280000}" name="Column10448"/>
    <tableColumn id="10476" xr3:uid="{00000000-0010-0000-2000-0000EC280000}" name="Column10449"/>
    <tableColumn id="10477" xr3:uid="{00000000-0010-0000-2000-0000ED280000}" name="Column10450"/>
    <tableColumn id="10478" xr3:uid="{00000000-0010-0000-2000-0000EE280000}" name="Column10451"/>
    <tableColumn id="10479" xr3:uid="{00000000-0010-0000-2000-0000EF280000}" name="Column10452"/>
    <tableColumn id="10480" xr3:uid="{00000000-0010-0000-2000-0000F0280000}" name="Column10453"/>
    <tableColumn id="10481" xr3:uid="{00000000-0010-0000-2000-0000F1280000}" name="Column10454"/>
    <tableColumn id="10482" xr3:uid="{00000000-0010-0000-2000-0000F2280000}" name="Column10455"/>
    <tableColumn id="10483" xr3:uid="{00000000-0010-0000-2000-0000F3280000}" name="Column10456"/>
    <tableColumn id="10484" xr3:uid="{00000000-0010-0000-2000-0000F4280000}" name="Column10457"/>
    <tableColumn id="10485" xr3:uid="{00000000-0010-0000-2000-0000F5280000}" name="Column10458"/>
    <tableColumn id="10486" xr3:uid="{00000000-0010-0000-2000-0000F6280000}" name="Column10459"/>
    <tableColumn id="10487" xr3:uid="{00000000-0010-0000-2000-0000F7280000}" name="Column10460"/>
    <tableColumn id="10488" xr3:uid="{00000000-0010-0000-2000-0000F8280000}" name="Column10461"/>
    <tableColumn id="10489" xr3:uid="{00000000-0010-0000-2000-0000F9280000}" name="Column10462"/>
    <tableColumn id="10490" xr3:uid="{00000000-0010-0000-2000-0000FA280000}" name="Column10463"/>
    <tableColumn id="10491" xr3:uid="{00000000-0010-0000-2000-0000FB280000}" name="Column10464"/>
    <tableColumn id="10492" xr3:uid="{00000000-0010-0000-2000-0000FC280000}" name="Column10465"/>
    <tableColumn id="10493" xr3:uid="{00000000-0010-0000-2000-0000FD280000}" name="Column10466"/>
    <tableColumn id="10494" xr3:uid="{00000000-0010-0000-2000-0000FE280000}" name="Column10467"/>
    <tableColumn id="10495" xr3:uid="{00000000-0010-0000-2000-0000FF280000}" name="Column10468"/>
    <tableColumn id="10496" xr3:uid="{00000000-0010-0000-2000-000000290000}" name="Column10469"/>
    <tableColumn id="10497" xr3:uid="{00000000-0010-0000-2000-000001290000}" name="Column10470"/>
    <tableColumn id="10498" xr3:uid="{00000000-0010-0000-2000-000002290000}" name="Column10471"/>
    <tableColumn id="10499" xr3:uid="{00000000-0010-0000-2000-000003290000}" name="Column10472"/>
    <tableColumn id="10500" xr3:uid="{00000000-0010-0000-2000-000004290000}" name="Column10473"/>
    <tableColumn id="10501" xr3:uid="{00000000-0010-0000-2000-000005290000}" name="Column10474"/>
    <tableColumn id="10502" xr3:uid="{00000000-0010-0000-2000-000006290000}" name="Column10475"/>
    <tableColumn id="10503" xr3:uid="{00000000-0010-0000-2000-000007290000}" name="Column10476"/>
    <tableColumn id="10504" xr3:uid="{00000000-0010-0000-2000-000008290000}" name="Column10477"/>
    <tableColumn id="10505" xr3:uid="{00000000-0010-0000-2000-000009290000}" name="Column10478"/>
    <tableColumn id="10506" xr3:uid="{00000000-0010-0000-2000-00000A290000}" name="Column10479"/>
    <tableColumn id="10507" xr3:uid="{00000000-0010-0000-2000-00000B290000}" name="Column10480"/>
    <tableColumn id="10508" xr3:uid="{00000000-0010-0000-2000-00000C290000}" name="Column10481"/>
    <tableColumn id="10509" xr3:uid="{00000000-0010-0000-2000-00000D290000}" name="Column10482"/>
    <tableColumn id="10510" xr3:uid="{00000000-0010-0000-2000-00000E290000}" name="Column10483"/>
    <tableColumn id="10511" xr3:uid="{00000000-0010-0000-2000-00000F290000}" name="Column10484"/>
    <tableColumn id="10512" xr3:uid="{00000000-0010-0000-2000-000010290000}" name="Column10485"/>
    <tableColumn id="10513" xr3:uid="{00000000-0010-0000-2000-000011290000}" name="Column10486"/>
    <tableColumn id="10514" xr3:uid="{00000000-0010-0000-2000-000012290000}" name="Column10487"/>
    <tableColumn id="10515" xr3:uid="{00000000-0010-0000-2000-000013290000}" name="Column10488"/>
    <tableColumn id="10516" xr3:uid="{00000000-0010-0000-2000-000014290000}" name="Column10489"/>
    <tableColumn id="10517" xr3:uid="{00000000-0010-0000-2000-000015290000}" name="Column10490"/>
    <tableColumn id="10518" xr3:uid="{00000000-0010-0000-2000-000016290000}" name="Column10491"/>
    <tableColumn id="10519" xr3:uid="{00000000-0010-0000-2000-000017290000}" name="Column10492"/>
    <tableColumn id="10520" xr3:uid="{00000000-0010-0000-2000-000018290000}" name="Column10493"/>
    <tableColumn id="10521" xr3:uid="{00000000-0010-0000-2000-000019290000}" name="Column10494"/>
    <tableColumn id="10522" xr3:uid="{00000000-0010-0000-2000-00001A290000}" name="Column10495"/>
    <tableColumn id="10523" xr3:uid="{00000000-0010-0000-2000-00001B290000}" name="Column10496"/>
    <tableColumn id="10524" xr3:uid="{00000000-0010-0000-2000-00001C290000}" name="Column10497"/>
    <tableColumn id="10525" xr3:uid="{00000000-0010-0000-2000-00001D290000}" name="Column10498"/>
    <tableColumn id="10526" xr3:uid="{00000000-0010-0000-2000-00001E290000}" name="Column10499"/>
    <tableColumn id="10527" xr3:uid="{00000000-0010-0000-2000-00001F290000}" name="Column10500"/>
    <tableColumn id="10528" xr3:uid="{00000000-0010-0000-2000-000020290000}" name="Column10501"/>
    <tableColumn id="10529" xr3:uid="{00000000-0010-0000-2000-000021290000}" name="Column10502"/>
    <tableColumn id="10530" xr3:uid="{00000000-0010-0000-2000-000022290000}" name="Column10503"/>
    <tableColumn id="10531" xr3:uid="{00000000-0010-0000-2000-000023290000}" name="Column10504"/>
    <tableColumn id="10532" xr3:uid="{00000000-0010-0000-2000-000024290000}" name="Column10505"/>
    <tableColumn id="10533" xr3:uid="{00000000-0010-0000-2000-000025290000}" name="Column10506"/>
    <tableColumn id="10534" xr3:uid="{00000000-0010-0000-2000-000026290000}" name="Column10507"/>
    <tableColumn id="10535" xr3:uid="{00000000-0010-0000-2000-000027290000}" name="Column10508"/>
    <tableColumn id="10536" xr3:uid="{00000000-0010-0000-2000-000028290000}" name="Column10509"/>
    <tableColumn id="10537" xr3:uid="{00000000-0010-0000-2000-000029290000}" name="Column10510"/>
    <tableColumn id="10538" xr3:uid="{00000000-0010-0000-2000-00002A290000}" name="Column10511"/>
    <tableColumn id="10539" xr3:uid="{00000000-0010-0000-2000-00002B290000}" name="Column10512"/>
    <tableColumn id="10540" xr3:uid="{00000000-0010-0000-2000-00002C290000}" name="Column10513"/>
    <tableColumn id="10541" xr3:uid="{00000000-0010-0000-2000-00002D290000}" name="Column10514"/>
    <tableColumn id="10542" xr3:uid="{00000000-0010-0000-2000-00002E290000}" name="Column10515"/>
    <tableColumn id="10543" xr3:uid="{00000000-0010-0000-2000-00002F290000}" name="Column10516"/>
    <tableColumn id="10544" xr3:uid="{00000000-0010-0000-2000-000030290000}" name="Column10517"/>
    <tableColumn id="10545" xr3:uid="{00000000-0010-0000-2000-000031290000}" name="Column10518"/>
    <tableColumn id="10546" xr3:uid="{00000000-0010-0000-2000-000032290000}" name="Column10519"/>
    <tableColumn id="10547" xr3:uid="{00000000-0010-0000-2000-000033290000}" name="Column10520"/>
    <tableColumn id="10548" xr3:uid="{00000000-0010-0000-2000-000034290000}" name="Column10521"/>
    <tableColumn id="10549" xr3:uid="{00000000-0010-0000-2000-000035290000}" name="Column10522"/>
    <tableColumn id="10550" xr3:uid="{00000000-0010-0000-2000-000036290000}" name="Column10523"/>
    <tableColumn id="10551" xr3:uid="{00000000-0010-0000-2000-000037290000}" name="Column10524"/>
    <tableColumn id="10552" xr3:uid="{00000000-0010-0000-2000-000038290000}" name="Column10525"/>
    <tableColumn id="10553" xr3:uid="{00000000-0010-0000-2000-000039290000}" name="Column10526"/>
    <tableColumn id="10554" xr3:uid="{00000000-0010-0000-2000-00003A290000}" name="Column10527"/>
    <tableColumn id="10555" xr3:uid="{00000000-0010-0000-2000-00003B290000}" name="Column10528"/>
    <tableColumn id="10556" xr3:uid="{00000000-0010-0000-2000-00003C290000}" name="Column10529"/>
    <tableColumn id="10557" xr3:uid="{00000000-0010-0000-2000-00003D290000}" name="Column10530"/>
    <tableColumn id="10558" xr3:uid="{00000000-0010-0000-2000-00003E290000}" name="Column10531"/>
    <tableColumn id="10559" xr3:uid="{00000000-0010-0000-2000-00003F290000}" name="Column10532"/>
    <tableColumn id="10560" xr3:uid="{00000000-0010-0000-2000-000040290000}" name="Column10533"/>
    <tableColumn id="10561" xr3:uid="{00000000-0010-0000-2000-000041290000}" name="Column10534"/>
    <tableColumn id="10562" xr3:uid="{00000000-0010-0000-2000-000042290000}" name="Column10535"/>
    <tableColumn id="10563" xr3:uid="{00000000-0010-0000-2000-000043290000}" name="Column10536"/>
    <tableColumn id="10564" xr3:uid="{00000000-0010-0000-2000-000044290000}" name="Column10537"/>
    <tableColumn id="10565" xr3:uid="{00000000-0010-0000-2000-000045290000}" name="Column10538"/>
    <tableColumn id="10566" xr3:uid="{00000000-0010-0000-2000-000046290000}" name="Column10539"/>
    <tableColumn id="10567" xr3:uid="{00000000-0010-0000-2000-000047290000}" name="Column10540"/>
    <tableColumn id="10568" xr3:uid="{00000000-0010-0000-2000-000048290000}" name="Column10541"/>
    <tableColumn id="10569" xr3:uid="{00000000-0010-0000-2000-000049290000}" name="Column10542"/>
    <tableColumn id="10570" xr3:uid="{00000000-0010-0000-2000-00004A290000}" name="Column10543"/>
    <tableColumn id="10571" xr3:uid="{00000000-0010-0000-2000-00004B290000}" name="Column10544"/>
    <tableColumn id="10572" xr3:uid="{00000000-0010-0000-2000-00004C290000}" name="Column10545"/>
    <tableColumn id="10573" xr3:uid="{00000000-0010-0000-2000-00004D290000}" name="Column10546"/>
    <tableColumn id="10574" xr3:uid="{00000000-0010-0000-2000-00004E290000}" name="Column10547"/>
    <tableColumn id="10575" xr3:uid="{00000000-0010-0000-2000-00004F290000}" name="Column10548"/>
    <tableColumn id="10576" xr3:uid="{00000000-0010-0000-2000-000050290000}" name="Column10549"/>
    <tableColumn id="10577" xr3:uid="{00000000-0010-0000-2000-000051290000}" name="Column10550"/>
    <tableColumn id="10578" xr3:uid="{00000000-0010-0000-2000-000052290000}" name="Column10551"/>
    <tableColumn id="10579" xr3:uid="{00000000-0010-0000-2000-000053290000}" name="Column10552"/>
    <tableColumn id="10580" xr3:uid="{00000000-0010-0000-2000-000054290000}" name="Column10553"/>
    <tableColumn id="10581" xr3:uid="{00000000-0010-0000-2000-000055290000}" name="Column10554"/>
    <tableColumn id="10582" xr3:uid="{00000000-0010-0000-2000-000056290000}" name="Column10555"/>
    <tableColumn id="10583" xr3:uid="{00000000-0010-0000-2000-000057290000}" name="Column10556"/>
    <tableColumn id="10584" xr3:uid="{00000000-0010-0000-2000-000058290000}" name="Column10557"/>
    <tableColumn id="10585" xr3:uid="{00000000-0010-0000-2000-000059290000}" name="Column10558"/>
    <tableColumn id="10586" xr3:uid="{00000000-0010-0000-2000-00005A290000}" name="Column10559"/>
    <tableColumn id="10587" xr3:uid="{00000000-0010-0000-2000-00005B290000}" name="Column10560"/>
    <tableColumn id="10588" xr3:uid="{00000000-0010-0000-2000-00005C290000}" name="Column10561"/>
    <tableColumn id="10589" xr3:uid="{00000000-0010-0000-2000-00005D290000}" name="Column10562"/>
    <tableColumn id="10590" xr3:uid="{00000000-0010-0000-2000-00005E290000}" name="Column10563"/>
    <tableColumn id="10591" xr3:uid="{00000000-0010-0000-2000-00005F290000}" name="Column10564"/>
    <tableColumn id="10592" xr3:uid="{00000000-0010-0000-2000-000060290000}" name="Column10565"/>
    <tableColumn id="10593" xr3:uid="{00000000-0010-0000-2000-000061290000}" name="Column10566"/>
    <tableColumn id="10594" xr3:uid="{00000000-0010-0000-2000-000062290000}" name="Column10567"/>
    <tableColumn id="10595" xr3:uid="{00000000-0010-0000-2000-000063290000}" name="Column10568"/>
    <tableColumn id="10596" xr3:uid="{00000000-0010-0000-2000-000064290000}" name="Column10569"/>
    <tableColumn id="10597" xr3:uid="{00000000-0010-0000-2000-000065290000}" name="Column10570"/>
    <tableColumn id="10598" xr3:uid="{00000000-0010-0000-2000-000066290000}" name="Column10571"/>
    <tableColumn id="10599" xr3:uid="{00000000-0010-0000-2000-000067290000}" name="Column10572"/>
    <tableColumn id="10600" xr3:uid="{00000000-0010-0000-2000-000068290000}" name="Column10573"/>
    <tableColumn id="10601" xr3:uid="{00000000-0010-0000-2000-000069290000}" name="Column10574"/>
    <tableColumn id="10602" xr3:uid="{00000000-0010-0000-2000-00006A290000}" name="Column10575"/>
    <tableColumn id="10603" xr3:uid="{00000000-0010-0000-2000-00006B290000}" name="Column10576"/>
    <tableColumn id="10604" xr3:uid="{00000000-0010-0000-2000-00006C290000}" name="Column10577"/>
    <tableColumn id="10605" xr3:uid="{00000000-0010-0000-2000-00006D290000}" name="Column10578"/>
    <tableColumn id="10606" xr3:uid="{00000000-0010-0000-2000-00006E290000}" name="Column10579"/>
    <tableColumn id="10607" xr3:uid="{00000000-0010-0000-2000-00006F290000}" name="Column10580"/>
    <tableColumn id="10608" xr3:uid="{00000000-0010-0000-2000-000070290000}" name="Column10581"/>
    <tableColumn id="10609" xr3:uid="{00000000-0010-0000-2000-000071290000}" name="Column10582"/>
    <tableColumn id="10610" xr3:uid="{00000000-0010-0000-2000-000072290000}" name="Column10583"/>
    <tableColumn id="10611" xr3:uid="{00000000-0010-0000-2000-000073290000}" name="Column10584"/>
    <tableColumn id="10612" xr3:uid="{00000000-0010-0000-2000-000074290000}" name="Column10585"/>
    <tableColumn id="10613" xr3:uid="{00000000-0010-0000-2000-000075290000}" name="Column10586"/>
    <tableColumn id="10614" xr3:uid="{00000000-0010-0000-2000-000076290000}" name="Column10587"/>
    <tableColumn id="10615" xr3:uid="{00000000-0010-0000-2000-000077290000}" name="Column10588"/>
    <tableColumn id="10616" xr3:uid="{00000000-0010-0000-2000-000078290000}" name="Column10589"/>
    <tableColumn id="10617" xr3:uid="{00000000-0010-0000-2000-000079290000}" name="Column10590"/>
    <tableColumn id="10618" xr3:uid="{00000000-0010-0000-2000-00007A290000}" name="Column10591"/>
    <tableColumn id="10619" xr3:uid="{00000000-0010-0000-2000-00007B290000}" name="Column10592"/>
    <tableColumn id="10620" xr3:uid="{00000000-0010-0000-2000-00007C290000}" name="Column10593"/>
    <tableColumn id="10621" xr3:uid="{00000000-0010-0000-2000-00007D290000}" name="Column10594"/>
    <tableColumn id="10622" xr3:uid="{00000000-0010-0000-2000-00007E290000}" name="Column10595"/>
    <tableColumn id="10623" xr3:uid="{00000000-0010-0000-2000-00007F290000}" name="Column10596"/>
    <tableColumn id="10624" xr3:uid="{00000000-0010-0000-2000-000080290000}" name="Column10597"/>
    <tableColumn id="10625" xr3:uid="{00000000-0010-0000-2000-000081290000}" name="Column10598"/>
    <tableColumn id="10626" xr3:uid="{00000000-0010-0000-2000-000082290000}" name="Column10599"/>
    <tableColumn id="10627" xr3:uid="{00000000-0010-0000-2000-000083290000}" name="Column10600"/>
    <tableColumn id="10628" xr3:uid="{00000000-0010-0000-2000-000084290000}" name="Column10601"/>
    <tableColumn id="10629" xr3:uid="{00000000-0010-0000-2000-000085290000}" name="Column10602"/>
    <tableColumn id="10630" xr3:uid="{00000000-0010-0000-2000-000086290000}" name="Column10603"/>
    <tableColumn id="10631" xr3:uid="{00000000-0010-0000-2000-000087290000}" name="Column10604"/>
    <tableColumn id="10632" xr3:uid="{00000000-0010-0000-2000-000088290000}" name="Column10605"/>
    <tableColumn id="10633" xr3:uid="{00000000-0010-0000-2000-000089290000}" name="Column10606"/>
    <tableColumn id="10634" xr3:uid="{00000000-0010-0000-2000-00008A290000}" name="Column10607"/>
    <tableColumn id="10635" xr3:uid="{00000000-0010-0000-2000-00008B290000}" name="Column10608"/>
    <tableColumn id="10636" xr3:uid="{00000000-0010-0000-2000-00008C290000}" name="Column10609"/>
    <tableColumn id="10637" xr3:uid="{00000000-0010-0000-2000-00008D290000}" name="Column10610"/>
    <tableColumn id="10638" xr3:uid="{00000000-0010-0000-2000-00008E290000}" name="Column10611"/>
    <tableColumn id="10639" xr3:uid="{00000000-0010-0000-2000-00008F290000}" name="Column10612"/>
    <tableColumn id="10640" xr3:uid="{00000000-0010-0000-2000-000090290000}" name="Column10613"/>
    <tableColumn id="10641" xr3:uid="{00000000-0010-0000-2000-000091290000}" name="Column10614"/>
    <tableColumn id="10642" xr3:uid="{00000000-0010-0000-2000-000092290000}" name="Column10615"/>
    <tableColumn id="10643" xr3:uid="{00000000-0010-0000-2000-000093290000}" name="Column10616"/>
    <tableColumn id="10644" xr3:uid="{00000000-0010-0000-2000-000094290000}" name="Column10617"/>
    <tableColumn id="10645" xr3:uid="{00000000-0010-0000-2000-000095290000}" name="Column10618"/>
    <tableColumn id="10646" xr3:uid="{00000000-0010-0000-2000-000096290000}" name="Column10619"/>
    <tableColumn id="10647" xr3:uid="{00000000-0010-0000-2000-000097290000}" name="Column10620"/>
    <tableColumn id="10648" xr3:uid="{00000000-0010-0000-2000-000098290000}" name="Column10621"/>
    <tableColumn id="10649" xr3:uid="{00000000-0010-0000-2000-000099290000}" name="Column10622"/>
    <tableColumn id="10650" xr3:uid="{00000000-0010-0000-2000-00009A290000}" name="Column10623"/>
    <tableColumn id="10651" xr3:uid="{00000000-0010-0000-2000-00009B290000}" name="Column10624"/>
    <tableColumn id="10652" xr3:uid="{00000000-0010-0000-2000-00009C290000}" name="Column10625"/>
    <tableColumn id="10653" xr3:uid="{00000000-0010-0000-2000-00009D290000}" name="Column10626"/>
    <tableColumn id="10654" xr3:uid="{00000000-0010-0000-2000-00009E290000}" name="Column10627"/>
    <tableColumn id="10655" xr3:uid="{00000000-0010-0000-2000-00009F290000}" name="Column10628"/>
    <tableColumn id="10656" xr3:uid="{00000000-0010-0000-2000-0000A0290000}" name="Column10629"/>
    <tableColumn id="10657" xr3:uid="{00000000-0010-0000-2000-0000A1290000}" name="Column10630"/>
    <tableColumn id="10658" xr3:uid="{00000000-0010-0000-2000-0000A2290000}" name="Column10631"/>
    <tableColumn id="10659" xr3:uid="{00000000-0010-0000-2000-0000A3290000}" name="Column10632"/>
    <tableColumn id="10660" xr3:uid="{00000000-0010-0000-2000-0000A4290000}" name="Column10633"/>
    <tableColumn id="10661" xr3:uid="{00000000-0010-0000-2000-0000A5290000}" name="Column10634"/>
    <tableColumn id="10662" xr3:uid="{00000000-0010-0000-2000-0000A6290000}" name="Column10635"/>
    <tableColumn id="10663" xr3:uid="{00000000-0010-0000-2000-0000A7290000}" name="Column10636"/>
    <tableColumn id="10664" xr3:uid="{00000000-0010-0000-2000-0000A8290000}" name="Column10637"/>
    <tableColumn id="10665" xr3:uid="{00000000-0010-0000-2000-0000A9290000}" name="Column10638"/>
    <tableColumn id="10666" xr3:uid="{00000000-0010-0000-2000-0000AA290000}" name="Column10639"/>
    <tableColumn id="10667" xr3:uid="{00000000-0010-0000-2000-0000AB290000}" name="Column10640"/>
    <tableColumn id="10668" xr3:uid="{00000000-0010-0000-2000-0000AC290000}" name="Column10641"/>
    <tableColumn id="10669" xr3:uid="{00000000-0010-0000-2000-0000AD290000}" name="Column10642"/>
    <tableColumn id="10670" xr3:uid="{00000000-0010-0000-2000-0000AE290000}" name="Column10643"/>
    <tableColumn id="10671" xr3:uid="{00000000-0010-0000-2000-0000AF290000}" name="Column10644"/>
    <tableColumn id="10672" xr3:uid="{00000000-0010-0000-2000-0000B0290000}" name="Column10645"/>
    <tableColumn id="10673" xr3:uid="{00000000-0010-0000-2000-0000B1290000}" name="Column10646"/>
    <tableColumn id="10674" xr3:uid="{00000000-0010-0000-2000-0000B2290000}" name="Column10647"/>
    <tableColumn id="10675" xr3:uid="{00000000-0010-0000-2000-0000B3290000}" name="Column10648"/>
    <tableColumn id="10676" xr3:uid="{00000000-0010-0000-2000-0000B4290000}" name="Column10649"/>
    <tableColumn id="10677" xr3:uid="{00000000-0010-0000-2000-0000B5290000}" name="Column10650"/>
    <tableColumn id="10678" xr3:uid="{00000000-0010-0000-2000-0000B6290000}" name="Column10651"/>
    <tableColumn id="10679" xr3:uid="{00000000-0010-0000-2000-0000B7290000}" name="Column10652"/>
    <tableColumn id="10680" xr3:uid="{00000000-0010-0000-2000-0000B8290000}" name="Column10653"/>
    <tableColumn id="10681" xr3:uid="{00000000-0010-0000-2000-0000B9290000}" name="Column10654"/>
    <tableColumn id="10682" xr3:uid="{00000000-0010-0000-2000-0000BA290000}" name="Column10655"/>
    <tableColumn id="10683" xr3:uid="{00000000-0010-0000-2000-0000BB290000}" name="Column10656"/>
    <tableColumn id="10684" xr3:uid="{00000000-0010-0000-2000-0000BC290000}" name="Column10657"/>
    <tableColumn id="10685" xr3:uid="{00000000-0010-0000-2000-0000BD290000}" name="Column10658"/>
    <tableColumn id="10686" xr3:uid="{00000000-0010-0000-2000-0000BE290000}" name="Column10659"/>
    <tableColumn id="10687" xr3:uid="{00000000-0010-0000-2000-0000BF290000}" name="Column10660"/>
    <tableColumn id="10688" xr3:uid="{00000000-0010-0000-2000-0000C0290000}" name="Column10661"/>
    <tableColumn id="10689" xr3:uid="{00000000-0010-0000-2000-0000C1290000}" name="Column10662"/>
    <tableColumn id="10690" xr3:uid="{00000000-0010-0000-2000-0000C2290000}" name="Column10663"/>
    <tableColumn id="10691" xr3:uid="{00000000-0010-0000-2000-0000C3290000}" name="Column10664"/>
    <tableColumn id="10692" xr3:uid="{00000000-0010-0000-2000-0000C4290000}" name="Column10665"/>
    <tableColumn id="10693" xr3:uid="{00000000-0010-0000-2000-0000C5290000}" name="Column10666"/>
    <tableColumn id="10694" xr3:uid="{00000000-0010-0000-2000-0000C6290000}" name="Column10667"/>
    <tableColumn id="10695" xr3:uid="{00000000-0010-0000-2000-0000C7290000}" name="Column10668"/>
    <tableColumn id="10696" xr3:uid="{00000000-0010-0000-2000-0000C8290000}" name="Column10669"/>
    <tableColumn id="10697" xr3:uid="{00000000-0010-0000-2000-0000C9290000}" name="Column10670"/>
    <tableColumn id="10698" xr3:uid="{00000000-0010-0000-2000-0000CA290000}" name="Column10671"/>
    <tableColumn id="10699" xr3:uid="{00000000-0010-0000-2000-0000CB290000}" name="Column10672"/>
    <tableColumn id="10700" xr3:uid="{00000000-0010-0000-2000-0000CC290000}" name="Column10673"/>
    <tableColumn id="10701" xr3:uid="{00000000-0010-0000-2000-0000CD290000}" name="Column10674"/>
    <tableColumn id="10702" xr3:uid="{00000000-0010-0000-2000-0000CE290000}" name="Column10675"/>
    <tableColumn id="10703" xr3:uid="{00000000-0010-0000-2000-0000CF290000}" name="Column10676"/>
    <tableColumn id="10704" xr3:uid="{00000000-0010-0000-2000-0000D0290000}" name="Column10677"/>
    <tableColumn id="10705" xr3:uid="{00000000-0010-0000-2000-0000D1290000}" name="Column10678"/>
    <tableColumn id="10706" xr3:uid="{00000000-0010-0000-2000-0000D2290000}" name="Column10679"/>
    <tableColumn id="10707" xr3:uid="{00000000-0010-0000-2000-0000D3290000}" name="Column10680"/>
    <tableColumn id="10708" xr3:uid="{00000000-0010-0000-2000-0000D4290000}" name="Column10681"/>
    <tableColumn id="10709" xr3:uid="{00000000-0010-0000-2000-0000D5290000}" name="Column10682"/>
    <tableColumn id="10710" xr3:uid="{00000000-0010-0000-2000-0000D6290000}" name="Column10683"/>
    <tableColumn id="10711" xr3:uid="{00000000-0010-0000-2000-0000D7290000}" name="Column10684"/>
    <tableColumn id="10712" xr3:uid="{00000000-0010-0000-2000-0000D8290000}" name="Column10685"/>
    <tableColumn id="10713" xr3:uid="{00000000-0010-0000-2000-0000D9290000}" name="Column10686"/>
    <tableColumn id="10714" xr3:uid="{00000000-0010-0000-2000-0000DA290000}" name="Column10687"/>
    <tableColumn id="10715" xr3:uid="{00000000-0010-0000-2000-0000DB290000}" name="Column10688"/>
    <tableColumn id="10716" xr3:uid="{00000000-0010-0000-2000-0000DC290000}" name="Column10689"/>
    <tableColumn id="10717" xr3:uid="{00000000-0010-0000-2000-0000DD290000}" name="Column10690"/>
    <tableColumn id="10718" xr3:uid="{00000000-0010-0000-2000-0000DE290000}" name="Column10691"/>
    <tableColumn id="10719" xr3:uid="{00000000-0010-0000-2000-0000DF290000}" name="Column10692"/>
    <tableColumn id="10720" xr3:uid="{00000000-0010-0000-2000-0000E0290000}" name="Column10693"/>
    <tableColumn id="10721" xr3:uid="{00000000-0010-0000-2000-0000E1290000}" name="Column10694"/>
    <tableColumn id="10722" xr3:uid="{00000000-0010-0000-2000-0000E2290000}" name="Column10695"/>
    <tableColumn id="10723" xr3:uid="{00000000-0010-0000-2000-0000E3290000}" name="Column10696"/>
    <tableColumn id="10724" xr3:uid="{00000000-0010-0000-2000-0000E4290000}" name="Column10697"/>
    <tableColumn id="10725" xr3:uid="{00000000-0010-0000-2000-0000E5290000}" name="Column10698"/>
    <tableColumn id="10726" xr3:uid="{00000000-0010-0000-2000-0000E6290000}" name="Column10699"/>
    <tableColumn id="10727" xr3:uid="{00000000-0010-0000-2000-0000E7290000}" name="Column10700"/>
    <tableColumn id="10728" xr3:uid="{00000000-0010-0000-2000-0000E8290000}" name="Column10701"/>
    <tableColumn id="10729" xr3:uid="{00000000-0010-0000-2000-0000E9290000}" name="Column10702"/>
    <tableColumn id="10730" xr3:uid="{00000000-0010-0000-2000-0000EA290000}" name="Column10703"/>
    <tableColumn id="10731" xr3:uid="{00000000-0010-0000-2000-0000EB290000}" name="Column10704"/>
    <tableColumn id="10732" xr3:uid="{00000000-0010-0000-2000-0000EC290000}" name="Column10705"/>
    <tableColumn id="10733" xr3:uid="{00000000-0010-0000-2000-0000ED290000}" name="Column10706"/>
    <tableColumn id="10734" xr3:uid="{00000000-0010-0000-2000-0000EE290000}" name="Column10707"/>
    <tableColumn id="10735" xr3:uid="{00000000-0010-0000-2000-0000EF290000}" name="Column10708"/>
    <tableColumn id="10736" xr3:uid="{00000000-0010-0000-2000-0000F0290000}" name="Column10709"/>
    <tableColumn id="10737" xr3:uid="{00000000-0010-0000-2000-0000F1290000}" name="Column10710"/>
    <tableColumn id="10738" xr3:uid="{00000000-0010-0000-2000-0000F2290000}" name="Column10711"/>
    <tableColumn id="10739" xr3:uid="{00000000-0010-0000-2000-0000F3290000}" name="Column10712"/>
    <tableColumn id="10740" xr3:uid="{00000000-0010-0000-2000-0000F4290000}" name="Column10713"/>
    <tableColumn id="10741" xr3:uid="{00000000-0010-0000-2000-0000F5290000}" name="Column10714"/>
    <tableColumn id="10742" xr3:uid="{00000000-0010-0000-2000-0000F6290000}" name="Column10715"/>
    <tableColumn id="10743" xr3:uid="{00000000-0010-0000-2000-0000F7290000}" name="Column10716"/>
    <tableColumn id="10744" xr3:uid="{00000000-0010-0000-2000-0000F8290000}" name="Column10717"/>
    <tableColumn id="10745" xr3:uid="{00000000-0010-0000-2000-0000F9290000}" name="Column10718"/>
    <tableColumn id="10746" xr3:uid="{00000000-0010-0000-2000-0000FA290000}" name="Column10719"/>
    <tableColumn id="10747" xr3:uid="{00000000-0010-0000-2000-0000FB290000}" name="Column10720"/>
    <tableColumn id="10748" xr3:uid="{00000000-0010-0000-2000-0000FC290000}" name="Column10721"/>
    <tableColumn id="10749" xr3:uid="{00000000-0010-0000-2000-0000FD290000}" name="Column10722"/>
    <tableColumn id="10750" xr3:uid="{00000000-0010-0000-2000-0000FE290000}" name="Column10723"/>
    <tableColumn id="10751" xr3:uid="{00000000-0010-0000-2000-0000FF290000}" name="Column10724"/>
    <tableColumn id="10752" xr3:uid="{00000000-0010-0000-2000-0000002A0000}" name="Column10725"/>
    <tableColumn id="10753" xr3:uid="{00000000-0010-0000-2000-0000012A0000}" name="Column10726"/>
    <tableColumn id="10754" xr3:uid="{00000000-0010-0000-2000-0000022A0000}" name="Column10727"/>
    <tableColumn id="10755" xr3:uid="{00000000-0010-0000-2000-0000032A0000}" name="Column10728"/>
    <tableColumn id="10756" xr3:uid="{00000000-0010-0000-2000-0000042A0000}" name="Column10729"/>
    <tableColumn id="10757" xr3:uid="{00000000-0010-0000-2000-0000052A0000}" name="Column10730"/>
    <tableColumn id="10758" xr3:uid="{00000000-0010-0000-2000-0000062A0000}" name="Column10731"/>
    <tableColumn id="10759" xr3:uid="{00000000-0010-0000-2000-0000072A0000}" name="Column10732"/>
    <tableColumn id="10760" xr3:uid="{00000000-0010-0000-2000-0000082A0000}" name="Column10733"/>
    <tableColumn id="10761" xr3:uid="{00000000-0010-0000-2000-0000092A0000}" name="Column10734"/>
    <tableColumn id="10762" xr3:uid="{00000000-0010-0000-2000-00000A2A0000}" name="Column10735"/>
    <tableColumn id="10763" xr3:uid="{00000000-0010-0000-2000-00000B2A0000}" name="Column10736"/>
    <tableColumn id="10764" xr3:uid="{00000000-0010-0000-2000-00000C2A0000}" name="Column10737"/>
    <tableColumn id="10765" xr3:uid="{00000000-0010-0000-2000-00000D2A0000}" name="Column10738"/>
    <tableColumn id="10766" xr3:uid="{00000000-0010-0000-2000-00000E2A0000}" name="Column10739"/>
    <tableColumn id="10767" xr3:uid="{00000000-0010-0000-2000-00000F2A0000}" name="Column10740"/>
    <tableColumn id="10768" xr3:uid="{00000000-0010-0000-2000-0000102A0000}" name="Column10741"/>
    <tableColumn id="10769" xr3:uid="{00000000-0010-0000-2000-0000112A0000}" name="Column10742"/>
    <tableColumn id="10770" xr3:uid="{00000000-0010-0000-2000-0000122A0000}" name="Column10743"/>
    <tableColumn id="10771" xr3:uid="{00000000-0010-0000-2000-0000132A0000}" name="Column10744"/>
    <tableColumn id="10772" xr3:uid="{00000000-0010-0000-2000-0000142A0000}" name="Column10745"/>
    <tableColumn id="10773" xr3:uid="{00000000-0010-0000-2000-0000152A0000}" name="Column10746"/>
    <tableColumn id="10774" xr3:uid="{00000000-0010-0000-2000-0000162A0000}" name="Column10747"/>
    <tableColumn id="10775" xr3:uid="{00000000-0010-0000-2000-0000172A0000}" name="Column10748"/>
    <tableColumn id="10776" xr3:uid="{00000000-0010-0000-2000-0000182A0000}" name="Column10749"/>
    <tableColumn id="10777" xr3:uid="{00000000-0010-0000-2000-0000192A0000}" name="Column10750"/>
    <tableColumn id="10778" xr3:uid="{00000000-0010-0000-2000-00001A2A0000}" name="Column10751"/>
    <tableColumn id="10779" xr3:uid="{00000000-0010-0000-2000-00001B2A0000}" name="Column10752"/>
    <tableColumn id="10780" xr3:uid="{00000000-0010-0000-2000-00001C2A0000}" name="Column10753"/>
    <tableColumn id="10781" xr3:uid="{00000000-0010-0000-2000-00001D2A0000}" name="Column10754"/>
    <tableColumn id="10782" xr3:uid="{00000000-0010-0000-2000-00001E2A0000}" name="Column10755"/>
    <tableColumn id="10783" xr3:uid="{00000000-0010-0000-2000-00001F2A0000}" name="Column10756"/>
    <tableColumn id="10784" xr3:uid="{00000000-0010-0000-2000-0000202A0000}" name="Column10757"/>
    <tableColumn id="10785" xr3:uid="{00000000-0010-0000-2000-0000212A0000}" name="Column10758"/>
    <tableColumn id="10786" xr3:uid="{00000000-0010-0000-2000-0000222A0000}" name="Column10759"/>
    <tableColumn id="10787" xr3:uid="{00000000-0010-0000-2000-0000232A0000}" name="Column10760"/>
    <tableColumn id="10788" xr3:uid="{00000000-0010-0000-2000-0000242A0000}" name="Column10761"/>
    <tableColumn id="10789" xr3:uid="{00000000-0010-0000-2000-0000252A0000}" name="Column10762"/>
    <tableColumn id="10790" xr3:uid="{00000000-0010-0000-2000-0000262A0000}" name="Column10763"/>
    <tableColumn id="10791" xr3:uid="{00000000-0010-0000-2000-0000272A0000}" name="Column10764"/>
    <tableColumn id="10792" xr3:uid="{00000000-0010-0000-2000-0000282A0000}" name="Column10765"/>
    <tableColumn id="10793" xr3:uid="{00000000-0010-0000-2000-0000292A0000}" name="Column10766"/>
    <tableColumn id="10794" xr3:uid="{00000000-0010-0000-2000-00002A2A0000}" name="Column10767"/>
    <tableColumn id="10795" xr3:uid="{00000000-0010-0000-2000-00002B2A0000}" name="Column10768"/>
    <tableColumn id="10796" xr3:uid="{00000000-0010-0000-2000-00002C2A0000}" name="Column10769"/>
    <tableColumn id="10797" xr3:uid="{00000000-0010-0000-2000-00002D2A0000}" name="Column10770"/>
    <tableColumn id="10798" xr3:uid="{00000000-0010-0000-2000-00002E2A0000}" name="Column10771"/>
    <tableColumn id="10799" xr3:uid="{00000000-0010-0000-2000-00002F2A0000}" name="Column10772"/>
    <tableColumn id="10800" xr3:uid="{00000000-0010-0000-2000-0000302A0000}" name="Column10773"/>
    <tableColumn id="10801" xr3:uid="{00000000-0010-0000-2000-0000312A0000}" name="Column10774"/>
    <tableColumn id="10802" xr3:uid="{00000000-0010-0000-2000-0000322A0000}" name="Column10775"/>
    <tableColumn id="10803" xr3:uid="{00000000-0010-0000-2000-0000332A0000}" name="Column10776"/>
    <tableColumn id="10804" xr3:uid="{00000000-0010-0000-2000-0000342A0000}" name="Column10777"/>
    <tableColumn id="10805" xr3:uid="{00000000-0010-0000-2000-0000352A0000}" name="Column10778"/>
    <tableColumn id="10806" xr3:uid="{00000000-0010-0000-2000-0000362A0000}" name="Column10779"/>
    <tableColumn id="10807" xr3:uid="{00000000-0010-0000-2000-0000372A0000}" name="Column10780"/>
    <tableColumn id="10808" xr3:uid="{00000000-0010-0000-2000-0000382A0000}" name="Column10781"/>
    <tableColumn id="10809" xr3:uid="{00000000-0010-0000-2000-0000392A0000}" name="Column10782"/>
    <tableColumn id="10810" xr3:uid="{00000000-0010-0000-2000-00003A2A0000}" name="Column10783"/>
    <tableColumn id="10811" xr3:uid="{00000000-0010-0000-2000-00003B2A0000}" name="Column10784"/>
    <tableColumn id="10812" xr3:uid="{00000000-0010-0000-2000-00003C2A0000}" name="Column10785"/>
    <tableColumn id="10813" xr3:uid="{00000000-0010-0000-2000-00003D2A0000}" name="Column10786"/>
    <tableColumn id="10814" xr3:uid="{00000000-0010-0000-2000-00003E2A0000}" name="Column10787"/>
    <tableColumn id="10815" xr3:uid="{00000000-0010-0000-2000-00003F2A0000}" name="Column10788"/>
    <tableColumn id="10816" xr3:uid="{00000000-0010-0000-2000-0000402A0000}" name="Column10789"/>
    <tableColumn id="10817" xr3:uid="{00000000-0010-0000-2000-0000412A0000}" name="Column10790"/>
    <tableColumn id="10818" xr3:uid="{00000000-0010-0000-2000-0000422A0000}" name="Column10791"/>
    <tableColumn id="10819" xr3:uid="{00000000-0010-0000-2000-0000432A0000}" name="Column10792"/>
    <tableColumn id="10820" xr3:uid="{00000000-0010-0000-2000-0000442A0000}" name="Column10793"/>
    <tableColumn id="10821" xr3:uid="{00000000-0010-0000-2000-0000452A0000}" name="Column10794"/>
    <tableColumn id="10822" xr3:uid="{00000000-0010-0000-2000-0000462A0000}" name="Column10795"/>
    <tableColumn id="10823" xr3:uid="{00000000-0010-0000-2000-0000472A0000}" name="Column10796"/>
    <tableColumn id="10824" xr3:uid="{00000000-0010-0000-2000-0000482A0000}" name="Column10797"/>
    <tableColumn id="10825" xr3:uid="{00000000-0010-0000-2000-0000492A0000}" name="Column10798"/>
    <tableColumn id="10826" xr3:uid="{00000000-0010-0000-2000-00004A2A0000}" name="Column10799"/>
    <tableColumn id="10827" xr3:uid="{00000000-0010-0000-2000-00004B2A0000}" name="Column10800"/>
    <tableColumn id="10828" xr3:uid="{00000000-0010-0000-2000-00004C2A0000}" name="Column10801"/>
    <tableColumn id="10829" xr3:uid="{00000000-0010-0000-2000-00004D2A0000}" name="Column10802"/>
    <tableColumn id="10830" xr3:uid="{00000000-0010-0000-2000-00004E2A0000}" name="Column10803"/>
    <tableColumn id="10831" xr3:uid="{00000000-0010-0000-2000-00004F2A0000}" name="Column10804"/>
    <tableColumn id="10832" xr3:uid="{00000000-0010-0000-2000-0000502A0000}" name="Column10805"/>
    <tableColumn id="10833" xr3:uid="{00000000-0010-0000-2000-0000512A0000}" name="Column10806"/>
    <tableColumn id="10834" xr3:uid="{00000000-0010-0000-2000-0000522A0000}" name="Column10807"/>
    <tableColumn id="10835" xr3:uid="{00000000-0010-0000-2000-0000532A0000}" name="Column10808"/>
    <tableColumn id="10836" xr3:uid="{00000000-0010-0000-2000-0000542A0000}" name="Column10809"/>
    <tableColumn id="10837" xr3:uid="{00000000-0010-0000-2000-0000552A0000}" name="Column10810"/>
    <tableColumn id="10838" xr3:uid="{00000000-0010-0000-2000-0000562A0000}" name="Column10811"/>
    <tableColumn id="10839" xr3:uid="{00000000-0010-0000-2000-0000572A0000}" name="Column10812"/>
    <tableColumn id="10840" xr3:uid="{00000000-0010-0000-2000-0000582A0000}" name="Column10813"/>
    <tableColumn id="10841" xr3:uid="{00000000-0010-0000-2000-0000592A0000}" name="Column10814"/>
    <tableColumn id="10842" xr3:uid="{00000000-0010-0000-2000-00005A2A0000}" name="Column10815"/>
    <tableColumn id="10843" xr3:uid="{00000000-0010-0000-2000-00005B2A0000}" name="Column10816"/>
    <tableColumn id="10844" xr3:uid="{00000000-0010-0000-2000-00005C2A0000}" name="Column10817"/>
    <tableColumn id="10845" xr3:uid="{00000000-0010-0000-2000-00005D2A0000}" name="Column10818"/>
    <tableColumn id="10846" xr3:uid="{00000000-0010-0000-2000-00005E2A0000}" name="Column10819"/>
    <tableColumn id="10847" xr3:uid="{00000000-0010-0000-2000-00005F2A0000}" name="Column10820"/>
    <tableColumn id="10848" xr3:uid="{00000000-0010-0000-2000-0000602A0000}" name="Column10821"/>
    <tableColumn id="10849" xr3:uid="{00000000-0010-0000-2000-0000612A0000}" name="Column10822"/>
    <tableColumn id="10850" xr3:uid="{00000000-0010-0000-2000-0000622A0000}" name="Column10823"/>
    <tableColumn id="10851" xr3:uid="{00000000-0010-0000-2000-0000632A0000}" name="Column10824"/>
    <tableColumn id="10852" xr3:uid="{00000000-0010-0000-2000-0000642A0000}" name="Column10825"/>
    <tableColumn id="10853" xr3:uid="{00000000-0010-0000-2000-0000652A0000}" name="Column10826"/>
    <tableColumn id="10854" xr3:uid="{00000000-0010-0000-2000-0000662A0000}" name="Column10827"/>
    <tableColumn id="10855" xr3:uid="{00000000-0010-0000-2000-0000672A0000}" name="Column10828"/>
    <tableColumn id="10856" xr3:uid="{00000000-0010-0000-2000-0000682A0000}" name="Column10829"/>
    <tableColumn id="10857" xr3:uid="{00000000-0010-0000-2000-0000692A0000}" name="Column10830"/>
    <tableColumn id="10858" xr3:uid="{00000000-0010-0000-2000-00006A2A0000}" name="Column10831"/>
    <tableColumn id="10859" xr3:uid="{00000000-0010-0000-2000-00006B2A0000}" name="Column10832"/>
    <tableColumn id="10860" xr3:uid="{00000000-0010-0000-2000-00006C2A0000}" name="Column10833"/>
    <tableColumn id="10861" xr3:uid="{00000000-0010-0000-2000-00006D2A0000}" name="Column10834"/>
    <tableColumn id="10862" xr3:uid="{00000000-0010-0000-2000-00006E2A0000}" name="Column10835"/>
    <tableColumn id="10863" xr3:uid="{00000000-0010-0000-2000-00006F2A0000}" name="Column10836"/>
    <tableColumn id="10864" xr3:uid="{00000000-0010-0000-2000-0000702A0000}" name="Column10837"/>
    <tableColumn id="10865" xr3:uid="{00000000-0010-0000-2000-0000712A0000}" name="Column10838"/>
    <tableColumn id="10866" xr3:uid="{00000000-0010-0000-2000-0000722A0000}" name="Column10839"/>
    <tableColumn id="10867" xr3:uid="{00000000-0010-0000-2000-0000732A0000}" name="Column10840"/>
    <tableColumn id="10868" xr3:uid="{00000000-0010-0000-2000-0000742A0000}" name="Column10841"/>
    <tableColumn id="10869" xr3:uid="{00000000-0010-0000-2000-0000752A0000}" name="Column10842"/>
    <tableColumn id="10870" xr3:uid="{00000000-0010-0000-2000-0000762A0000}" name="Column10843"/>
    <tableColumn id="10871" xr3:uid="{00000000-0010-0000-2000-0000772A0000}" name="Column10844"/>
    <tableColumn id="10872" xr3:uid="{00000000-0010-0000-2000-0000782A0000}" name="Column10845"/>
    <tableColumn id="10873" xr3:uid="{00000000-0010-0000-2000-0000792A0000}" name="Column10846"/>
    <tableColumn id="10874" xr3:uid="{00000000-0010-0000-2000-00007A2A0000}" name="Column10847"/>
    <tableColumn id="10875" xr3:uid="{00000000-0010-0000-2000-00007B2A0000}" name="Column10848"/>
    <tableColumn id="10876" xr3:uid="{00000000-0010-0000-2000-00007C2A0000}" name="Column10849"/>
    <tableColumn id="10877" xr3:uid="{00000000-0010-0000-2000-00007D2A0000}" name="Column10850"/>
    <tableColumn id="10878" xr3:uid="{00000000-0010-0000-2000-00007E2A0000}" name="Column10851"/>
    <tableColumn id="10879" xr3:uid="{00000000-0010-0000-2000-00007F2A0000}" name="Column10852"/>
    <tableColumn id="10880" xr3:uid="{00000000-0010-0000-2000-0000802A0000}" name="Column10853"/>
    <tableColumn id="10881" xr3:uid="{00000000-0010-0000-2000-0000812A0000}" name="Column10854"/>
    <tableColumn id="10882" xr3:uid="{00000000-0010-0000-2000-0000822A0000}" name="Column10855"/>
    <tableColumn id="10883" xr3:uid="{00000000-0010-0000-2000-0000832A0000}" name="Column10856"/>
    <tableColumn id="10884" xr3:uid="{00000000-0010-0000-2000-0000842A0000}" name="Column10857"/>
    <tableColumn id="10885" xr3:uid="{00000000-0010-0000-2000-0000852A0000}" name="Column10858"/>
    <tableColumn id="10886" xr3:uid="{00000000-0010-0000-2000-0000862A0000}" name="Column10859"/>
    <tableColumn id="10887" xr3:uid="{00000000-0010-0000-2000-0000872A0000}" name="Column10860"/>
    <tableColumn id="10888" xr3:uid="{00000000-0010-0000-2000-0000882A0000}" name="Column10861"/>
    <tableColumn id="10889" xr3:uid="{00000000-0010-0000-2000-0000892A0000}" name="Column10862"/>
    <tableColumn id="10890" xr3:uid="{00000000-0010-0000-2000-00008A2A0000}" name="Column10863"/>
    <tableColumn id="10891" xr3:uid="{00000000-0010-0000-2000-00008B2A0000}" name="Column10864"/>
    <tableColumn id="10892" xr3:uid="{00000000-0010-0000-2000-00008C2A0000}" name="Column10865"/>
    <tableColumn id="10893" xr3:uid="{00000000-0010-0000-2000-00008D2A0000}" name="Column10866"/>
    <tableColumn id="10894" xr3:uid="{00000000-0010-0000-2000-00008E2A0000}" name="Column10867"/>
    <tableColumn id="10895" xr3:uid="{00000000-0010-0000-2000-00008F2A0000}" name="Column10868"/>
    <tableColumn id="10896" xr3:uid="{00000000-0010-0000-2000-0000902A0000}" name="Column10869"/>
    <tableColumn id="10897" xr3:uid="{00000000-0010-0000-2000-0000912A0000}" name="Column10870"/>
    <tableColumn id="10898" xr3:uid="{00000000-0010-0000-2000-0000922A0000}" name="Column10871"/>
    <tableColumn id="10899" xr3:uid="{00000000-0010-0000-2000-0000932A0000}" name="Column10872"/>
    <tableColumn id="10900" xr3:uid="{00000000-0010-0000-2000-0000942A0000}" name="Column10873"/>
    <tableColumn id="10901" xr3:uid="{00000000-0010-0000-2000-0000952A0000}" name="Column10874"/>
    <tableColumn id="10902" xr3:uid="{00000000-0010-0000-2000-0000962A0000}" name="Column10875"/>
    <tableColumn id="10903" xr3:uid="{00000000-0010-0000-2000-0000972A0000}" name="Column10876"/>
    <tableColumn id="10904" xr3:uid="{00000000-0010-0000-2000-0000982A0000}" name="Column10877"/>
    <tableColumn id="10905" xr3:uid="{00000000-0010-0000-2000-0000992A0000}" name="Column10878"/>
    <tableColumn id="10906" xr3:uid="{00000000-0010-0000-2000-00009A2A0000}" name="Column10879"/>
    <tableColumn id="10907" xr3:uid="{00000000-0010-0000-2000-00009B2A0000}" name="Column10880"/>
    <tableColumn id="10908" xr3:uid="{00000000-0010-0000-2000-00009C2A0000}" name="Column10881"/>
    <tableColumn id="10909" xr3:uid="{00000000-0010-0000-2000-00009D2A0000}" name="Column10882"/>
    <tableColumn id="10910" xr3:uid="{00000000-0010-0000-2000-00009E2A0000}" name="Column10883"/>
    <tableColumn id="10911" xr3:uid="{00000000-0010-0000-2000-00009F2A0000}" name="Column10884"/>
    <tableColumn id="10912" xr3:uid="{00000000-0010-0000-2000-0000A02A0000}" name="Column10885"/>
    <tableColumn id="10913" xr3:uid="{00000000-0010-0000-2000-0000A12A0000}" name="Column10886"/>
    <tableColumn id="10914" xr3:uid="{00000000-0010-0000-2000-0000A22A0000}" name="Column10887"/>
    <tableColumn id="10915" xr3:uid="{00000000-0010-0000-2000-0000A32A0000}" name="Column10888"/>
    <tableColumn id="10916" xr3:uid="{00000000-0010-0000-2000-0000A42A0000}" name="Column10889"/>
    <tableColumn id="10917" xr3:uid="{00000000-0010-0000-2000-0000A52A0000}" name="Column10890"/>
    <tableColumn id="10918" xr3:uid="{00000000-0010-0000-2000-0000A62A0000}" name="Column10891"/>
    <tableColumn id="10919" xr3:uid="{00000000-0010-0000-2000-0000A72A0000}" name="Column10892"/>
    <tableColumn id="10920" xr3:uid="{00000000-0010-0000-2000-0000A82A0000}" name="Column10893"/>
    <tableColumn id="10921" xr3:uid="{00000000-0010-0000-2000-0000A92A0000}" name="Column10894"/>
    <tableColumn id="10922" xr3:uid="{00000000-0010-0000-2000-0000AA2A0000}" name="Column10895"/>
    <tableColumn id="10923" xr3:uid="{00000000-0010-0000-2000-0000AB2A0000}" name="Column10896"/>
    <tableColumn id="10924" xr3:uid="{00000000-0010-0000-2000-0000AC2A0000}" name="Column10897"/>
    <tableColumn id="10925" xr3:uid="{00000000-0010-0000-2000-0000AD2A0000}" name="Column10898"/>
    <tableColumn id="10926" xr3:uid="{00000000-0010-0000-2000-0000AE2A0000}" name="Column10899"/>
    <tableColumn id="10927" xr3:uid="{00000000-0010-0000-2000-0000AF2A0000}" name="Column10900"/>
    <tableColumn id="10928" xr3:uid="{00000000-0010-0000-2000-0000B02A0000}" name="Column10901"/>
    <tableColumn id="10929" xr3:uid="{00000000-0010-0000-2000-0000B12A0000}" name="Column10902"/>
    <tableColumn id="10930" xr3:uid="{00000000-0010-0000-2000-0000B22A0000}" name="Column10903"/>
    <tableColumn id="10931" xr3:uid="{00000000-0010-0000-2000-0000B32A0000}" name="Column10904"/>
    <tableColumn id="10932" xr3:uid="{00000000-0010-0000-2000-0000B42A0000}" name="Column10905"/>
    <tableColumn id="10933" xr3:uid="{00000000-0010-0000-2000-0000B52A0000}" name="Column10906"/>
    <tableColumn id="10934" xr3:uid="{00000000-0010-0000-2000-0000B62A0000}" name="Column10907"/>
    <tableColumn id="10935" xr3:uid="{00000000-0010-0000-2000-0000B72A0000}" name="Column10908"/>
    <tableColumn id="10936" xr3:uid="{00000000-0010-0000-2000-0000B82A0000}" name="Column10909"/>
    <tableColumn id="10937" xr3:uid="{00000000-0010-0000-2000-0000B92A0000}" name="Column10910"/>
    <tableColumn id="10938" xr3:uid="{00000000-0010-0000-2000-0000BA2A0000}" name="Column10911"/>
    <tableColumn id="10939" xr3:uid="{00000000-0010-0000-2000-0000BB2A0000}" name="Column10912"/>
    <tableColumn id="10940" xr3:uid="{00000000-0010-0000-2000-0000BC2A0000}" name="Column10913"/>
    <tableColumn id="10941" xr3:uid="{00000000-0010-0000-2000-0000BD2A0000}" name="Column10914"/>
    <tableColumn id="10942" xr3:uid="{00000000-0010-0000-2000-0000BE2A0000}" name="Column10915"/>
    <tableColumn id="10943" xr3:uid="{00000000-0010-0000-2000-0000BF2A0000}" name="Column10916"/>
    <tableColumn id="10944" xr3:uid="{00000000-0010-0000-2000-0000C02A0000}" name="Column10917"/>
    <tableColumn id="10945" xr3:uid="{00000000-0010-0000-2000-0000C12A0000}" name="Column10918"/>
    <tableColumn id="10946" xr3:uid="{00000000-0010-0000-2000-0000C22A0000}" name="Column10919"/>
    <tableColumn id="10947" xr3:uid="{00000000-0010-0000-2000-0000C32A0000}" name="Column10920"/>
    <tableColumn id="10948" xr3:uid="{00000000-0010-0000-2000-0000C42A0000}" name="Column10921"/>
    <tableColumn id="10949" xr3:uid="{00000000-0010-0000-2000-0000C52A0000}" name="Column10922"/>
    <tableColumn id="10950" xr3:uid="{00000000-0010-0000-2000-0000C62A0000}" name="Column10923"/>
    <tableColumn id="10951" xr3:uid="{00000000-0010-0000-2000-0000C72A0000}" name="Column10924"/>
    <tableColumn id="10952" xr3:uid="{00000000-0010-0000-2000-0000C82A0000}" name="Column10925"/>
    <tableColumn id="10953" xr3:uid="{00000000-0010-0000-2000-0000C92A0000}" name="Column10926"/>
    <tableColumn id="10954" xr3:uid="{00000000-0010-0000-2000-0000CA2A0000}" name="Column10927"/>
    <tableColumn id="10955" xr3:uid="{00000000-0010-0000-2000-0000CB2A0000}" name="Column10928"/>
    <tableColumn id="10956" xr3:uid="{00000000-0010-0000-2000-0000CC2A0000}" name="Column10929"/>
    <tableColumn id="10957" xr3:uid="{00000000-0010-0000-2000-0000CD2A0000}" name="Column10930"/>
    <tableColumn id="10958" xr3:uid="{00000000-0010-0000-2000-0000CE2A0000}" name="Column10931"/>
    <tableColumn id="10959" xr3:uid="{00000000-0010-0000-2000-0000CF2A0000}" name="Column10932"/>
    <tableColumn id="10960" xr3:uid="{00000000-0010-0000-2000-0000D02A0000}" name="Column10933"/>
    <tableColumn id="10961" xr3:uid="{00000000-0010-0000-2000-0000D12A0000}" name="Column10934"/>
    <tableColumn id="10962" xr3:uid="{00000000-0010-0000-2000-0000D22A0000}" name="Column10935"/>
    <tableColumn id="10963" xr3:uid="{00000000-0010-0000-2000-0000D32A0000}" name="Column10936"/>
    <tableColumn id="10964" xr3:uid="{00000000-0010-0000-2000-0000D42A0000}" name="Column10937"/>
    <tableColumn id="10965" xr3:uid="{00000000-0010-0000-2000-0000D52A0000}" name="Column10938"/>
    <tableColumn id="10966" xr3:uid="{00000000-0010-0000-2000-0000D62A0000}" name="Column10939"/>
    <tableColumn id="10967" xr3:uid="{00000000-0010-0000-2000-0000D72A0000}" name="Column10940"/>
    <tableColumn id="10968" xr3:uid="{00000000-0010-0000-2000-0000D82A0000}" name="Column10941"/>
    <tableColumn id="10969" xr3:uid="{00000000-0010-0000-2000-0000D92A0000}" name="Column10942"/>
    <tableColumn id="10970" xr3:uid="{00000000-0010-0000-2000-0000DA2A0000}" name="Column10943"/>
    <tableColumn id="10971" xr3:uid="{00000000-0010-0000-2000-0000DB2A0000}" name="Column10944"/>
    <tableColumn id="10972" xr3:uid="{00000000-0010-0000-2000-0000DC2A0000}" name="Column10945"/>
    <tableColumn id="10973" xr3:uid="{00000000-0010-0000-2000-0000DD2A0000}" name="Column10946"/>
    <tableColumn id="10974" xr3:uid="{00000000-0010-0000-2000-0000DE2A0000}" name="Column10947"/>
    <tableColumn id="10975" xr3:uid="{00000000-0010-0000-2000-0000DF2A0000}" name="Column10948"/>
    <tableColumn id="10976" xr3:uid="{00000000-0010-0000-2000-0000E02A0000}" name="Column10949"/>
    <tableColumn id="10977" xr3:uid="{00000000-0010-0000-2000-0000E12A0000}" name="Column10950"/>
    <tableColumn id="10978" xr3:uid="{00000000-0010-0000-2000-0000E22A0000}" name="Column10951"/>
    <tableColumn id="10979" xr3:uid="{00000000-0010-0000-2000-0000E32A0000}" name="Column10952"/>
    <tableColumn id="10980" xr3:uid="{00000000-0010-0000-2000-0000E42A0000}" name="Column10953"/>
    <tableColumn id="10981" xr3:uid="{00000000-0010-0000-2000-0000E52A0000}" name="Column10954"/>
    <tableColumn id="10982" xr3:uid="{00000000-0010-0000-2000-0000E62A0000}" name="Column10955"/>
    <tableColumn id="10983" xr3:uid="{00000000-0010-0000-2000-0000E72A0000}" name="Column10956"/>
    <tableColumn id="10984" xr3:uid="{00000000-0010-0000-2000-0000E82A0000}" name="Column10957"/>
    <tableColumn id="10985" xr3:uid="{00000000-0010-0000-2000-0000E92A0000}" name="Column10958"/>
    <tableColumn id="10986" xr3:uid="{00000000-0010-0000-2000-0000EA2A0000}" name="Column10959"/>
    <tableColumn id="10987" xr3:uid="{00000000-0010-0000-2000-0000EB2A0000}" name="Column10960"/>
    <tableColumn id="10988" xr3:uid="{00000000-0010-0000-2000-0000EC2A0000}" name="Column10961"/>
    <tableColumn id="10989" xr3:uid="{00000000-0010-0000-2000-0000ED2A0000}" name="Column10962"/>
    <tableColumn id="10990" xr3:uid="{00000000-0010-0000-2000-0000EE2A0000}" name="Column10963"/>
    <tableColumn id="10991" xr3:uid="{00000000-0010-0000-2000-0000EF2A0000}" name="Column10964"/>
    <tableColumn id="10992" xr3:uid="{00000000-0010-0000-2000-0000F02A0000}" name="Column10965"/>
    <tableColumn id="10993" xr3:uid="{00000000-0010-0000-2000-0000F12A0000}" name="Column10966"/>
    <tableColumn id="10994" xr3:uid="{00000000-0010-0000-2000-0000F22A0000}" name="Column10967"/>
    <tableColumn id="10995" xr3:uid="{00000000-0010-0000-2000-0000F32A0000}" name="Column10968"/>
    <tableColumn id="10996" xr3:uid="{00000000-0010-0000-2000-0000F42A0000}" name="Column10969"/>
    <tableColumn id="10997" xr3:uid="{00000000-0010-0000-2000-0000F52A0000}" name="Column10970"/>
    <tableColumn id="10998" xr3:uid="{00000000-0010-0000-2000-0000F62A0000}" name="Column10971"/>
    <tableColumn id="10999" xr3:uid="{00000000-0010-0000-2000-0000F72A0000}" name="Column10972"/>
    <tableColumn id="11000" xr3:uid="{00000000-0010-0000-2000-0000F82A0000}" name="Column10973"/>
    <tableColumn id="11001" xr3:uid="{00000000-0010-0000-2000-0000F92A0000}" name="Column10974"/>
    <tableColumn id="11002" xr3:uid="{00000000-0010-0000-2000-0000FA2A0000}" name="Column10975"/>
    <tableColumn id="11003" xr3:uid="{00000000-0010-0000-2000-0000FB2A0000}" name="Column10976"/>
    <tableColumn id="11004" xr3:uid="{00000000-0010-0000-2000-0000FC2A0000}" name="Column10977"/>
    <tableColumn id="11005" xr3:uid="{00000000-0010-0000-2000-0000FD2A0000}" name="Column10978"/>
    <tableColumn id="11006" xr3:uid="{00000000-0010-0000-2000-0000FE2A0000}" name="Column10979"/>
    <tableColumn id="11007" xr3:uid="{00000000-0010-0000-2000-0000FF2A0000}" name="Column10980"/>
    <tableColumn id="11008" xr3:uid="{00000000-0010-0000-2000-0000002B0000}" name="Column10981"/>
    <tableColumn id="11009" xr3:uid="{00000000-0010-0000-2000-0000012B0000}" name="Column10982"/>
    <tableColumn id="11010" xr3:uid="{00000000-0010-0000-2000-0000022B0000}" name="Column10983"/>
    <tableColumn id="11011" xr3:uid="{00000000-0010-0000-2000-0000032B0000}" name="Column10984"/>
    <tableColumn id="11012" xr3:uid="{00000000-0010-0000-2000-0000042B0000}" name="Column10985"/>
    <tableColumn id="11013" xr3:uid="{00000000-0010-0000-2000-0000052B0000}" name="Column10986"/>
    <tableColumn id="11014" xr3:uid="{00000000-0010-0000-2000-0000062B0000}" name="Column10987"/>
    <tableColumn id="11015" xr3:uid="{00000000-0010-0000-2000-0000072B0000}" name="Column10988"/>
    <tableColumn id="11016" xr3:uid="{00000000-0010-0000-2000-0000082B0000}" name="Column10989"/>
    <tableColumn id="11017" xr3:uid="{00000000-0010-0000-2000-0000092B0000}" name="Column10990"/>
    <tableColumn id="11018" xr3:uid="{00000000-0010-0000-2000-00000A2B0000}" name="Column10991"/>
    <tableColumn id="11019" xr3:uid="{00000000-0010-0000-2000-00000B2B0000}" name="Column10992"/>
    <tableColumn id="11020" xr3:uid="{00000000-0010-0000-2000-00000C2B0000}" name="Column10993"/>
    <tableColumn id="11021" xr3:uid="{00000000-0010-0000-2000-00000D2B0000}" name="Column10994"/>
    <tableColumn id="11022" xr3:uid="{00000000-0010-0000-2000-00000E2B0000}" name="Column10995"/>
    <tableColumn id="11023" xr3:uid="{00000000-0010-0000-2000-00000F2B0000}" name="Column10996"/>
    <tableColumn id="11024" xr3:uid="{00000000-0010-0000-2000-0000102B0000}" name="Column10997"/>
    <tableColumn id="11025" xr3:uid="{00000000-0010-0000-2000-0000112B0000}" name="Column10998"/>
    <tableColumn id="11026" xr3:uid="{00000000-0010-0000-2000-0000122B0000}" name="Column10999"/>
    <tableColumn id="11027" xr3:uid="{00000000-0010-0000-2000-0000132B0000}" name="Column11000"/>
    <tableColumn id="11028" xr3:uid="{00000000-0010-0000-2000-0000142B0000}" name="Column11001"/>
    <tableColumn id="11029" xr3:uid="{00000000-0010-0000-2000-0000152B0000}" name="Column11002"/>
    <tableColumn id="11030" xr3:uid="{00000000-0010-0000-2000-0000162B0000}" name="Column11003"/>
    <tableColumn id="11031" xr3:uid="{00000000-0010-0000-2000-0000172B0000}" name="Column11004"/>
    <tableColumn id="11032" xr3:uid="{00000000-0010-0000-2000-0000182B0000}" name="Column11005"/>
    <tableColumn id="11033" xr3:uid="{00000000-0010-0000-2000-0000192B0000}" name="Column11006"/>
    <tableColumn id="11034" xr3:uid="{00000000-0010-0000-2000-00001A2B0000}" name="Column11007"/>
    <tableColumn id="11035" xr3:uid="{00000000-0010-0000-2000-00001B2B0000}" name="Column11008"/>
    <tableColumn id="11036" xr3:uid="{00000000-0010-0000-2000-00001C2B0000}" name="Column11009"/>
    <tableColumn id="11037" xr3:uid="{00000000-0010-0000-2000-00001D2B0000}" name="Column11010"/>
    <tableColumn id="11038" xr3:uid="{00000000-0010-0000-2000-00001E2B0000}" name="Column11011"/>
    <tableColumn id="11039" xr3:uid="{00000000-0010-0000-2000-00001F2B0000}" name="Column11012"/>
    <tableColumn id="11040" xr3:uid="{00000000-0010-0000-2000-0000202B0000}" name="Column11013"/>
    <tableColumn id="11041" xr3:uid="{00000000-0010-0000-2000-0000212B0000}" name="Column11014"/>
    <tableColumn id="11042" xr3:uid="{00000000-0010-0000-2000-0000222B0000}" name="Column11015"/>
    <tableColumn id="11043" xr3:uid="{00000000-0010-0000-2000-0000232B0000}" name="Column11016"/>
    <tableColumn id="11044" xr3:uid="{00000000-0010-0000-2000-0000242B0000}" name="Column11017"/>
    <tableColumn id="11045" xr3:uid="{00000000-0010-0000-2000-0000252B0000}" name="Column11018"/>
    <tableColumn id="11046" xr3:uid="{00000000-0010-0000-2000-0000262B0000}" name="Column11019"/>
    <tableColumn id="11047" xr3:uid="{00000000-0010-0000-2000-0000272B0000}" name="Column11020"/>
    <tableColumn id="11048" xr3:uid="{00000000-0010-0000-2000-0000282B0000}" name="Column11021"/>
    <tableColumn id="11049" xr3:uid="{00000000-0010-0000-2000-0000292B0000}" name="Column11022"/>
    <tableColumn id="11050" xr3:uid="{00000000-0010-0000-2000-00002A2B0000}" name="Column11023"/>
    <tableColumn id="11051" xr3:uid="{00000000-0010-0000-2000-00002B2B0000}" name="Column11024"/>
    <tableColumn id="11052" xr3:uid="{00000000-0010-0000-2000-00002C2B0000}" name="Column11025"/>
    <tableColumn id="11053" xr3:uid="{00000000-0010-0000-2000-00002D2B0000}" name="Column11026"/>
    <tableColumn id="11054" xr3:uid="{00000000-0010-0000-2000-00002E2B0000}" name="Column11027"/>
    <tableColumn id="11055" xr3:uid="{00000000-0010-0000-2000-00002F2B0000}" name="Column11028"/>
    <tableColumn id="11056" xr3:uid="{00000000-0010-0000-2000-0000302B0000}" name="Column11029"/>
    <tableColumn id="11057" xr3:uid="{00000000-0010-0000-2000-0000312B0000}" name="Column11030"/>
    <tableColumn id="11058" xr3:uid="{00000000-0010-0000-2000-0000322B0000}" name="Column11031"/>
    <tableColumn id="11059" xr3:uid="{00000000-0010-0000-2000-0000332B0000}" name="Column11032"/>
    <tableColumn id="11060" xr3:uid="{00000000-0010-0000-2000-0000342B0000}" name="Column11033"/>
    <tableColumn id="11061" xr3:uid="{00000000-0010-0000-2000-0000352B0000}" name="Column11034"/>
    <tableColumn id="11062" xr3:uid="{00000000-0010-0000-2000-0000362B0000}" name="Column11035"/>
    <tableColumn id="11063" xr3:uid="{00000000-0010-0000-2000-0000372B0000}" name="Column11036"/>
    <tableColumn id="11064" xr3:uid="{00000000-0010-0000-2000-0000382B0000}" name="Column11037"/>
    <tableColumn id="11065" xr3:uid="{00000000-0010-0000-2000-0000392B0000}" name="Column11038"/>
    <tableColumn id="11066" xr3:uid="{00000000-0010-0000-2000-00003A2B0000}" name="Column11039"/>
    <tableColumn id="11067" xr3:uid="{00000000-0010-0000-2000-00003B2B0000}" name="Column11040"/>
    <tableColumn id="11068" xr3:uid="{00000000-0010-0000-2000-00003C2B0000}" name="Column11041"/>
    <tableColumn id="11069" xr3:uid="{00000000-0010-0000-2000-00003D2B0000}" name="Column11042"/>
    <tableColumn id="11070" xr3:uid="{00000000-0010-0000-2000-00003E2B0000}" name="Column11043"/>
    <tableColumn id="11071" xr3:uid="{00000000-0010-0000-2000-00003F2B0000}" name="Column11044"/>
    <tableColumn id="11072" xr3:uid="{00000000-0010-0000-2000-0000402B0000}" name="Column11045"/>
    <tableColumn id="11073" xr3:uid="{00000000-0010-0000-2000-0000412B0000}" name="Column11046"/>
    <tableColumn id="11074" xr3:uid="{00000000-0010-0000-2000-0000422B0000}" name="Column11047"/>
    <tableColumn id="11075" xr3:uid="{00000000-0010-0000-2000-0000432B0000}" name="Column11048"/>
    <tableColumn id="11076" xr3:uid="{00000000-0010-0000-2000-0000442B0000}" name="Column11049"/>
    <tableColumn id="11077" xr3:uid="{00000000-0010-0000-2000-0000452B0000}" name="Column11050"/>
    <tableColumn id="11078" xr3:uid="{00000000-0010-0000-2000-0000462B0000}" name="Column11051"/>
    <tableColumn id="11079" xr3:uid="{00000000-0010-0000-2000-0000472B0000}" name="Column11052"/>
    <tableColumn id="11080" xr3:uid="{00000000-0010-0000-2000-0000482B0000}" name="Column11053"/>
    <tableColumn id="11081" xr3:uid="{00000000-0010-0000-2000-0000492B0000}" name="Column11054"/>
    <tableColumn id="11082" xr3:uid="{00000000-0010-0000-2000-00004A2B0000}" name="Column11055"/>
    <tableColumn id="11083" xr3:uid="{00000000-0010-0000-2000-00004B2B0000}" name="Column11056"/>
    <tableColumn id="11084" xr3:uid="{00000000-0010-0000-2000-00004C2B0000}" name="Column11057"/>
    <tableColumn id="11085" xr3:uid="{00000000-0010-0000-2000-00004D2B0000}" name="Column11058"/>
    <tableColumn id="11086" xr3:uid="{00000000-0010-0000-2000-00004E2B0000}" name="Column11059"/>
    <tableColumn id="11087" xr3:uid="{00000000-0010-0000-2000-00004F2B0000}" name="Column11060"/>
    <tableColumn id="11088" xr3:uid="{00000000-0010-0000-2000-0000502B0000}" name="Column11061"/>
    <tableColumn id="11089" xr3:uid="{00000000-0010-0000-2000-0000512B0000}" name="Column11062"/>
    <tableColumn id="11090" xr3:uid="{00000000-0010-0000-2000-0000522B0000}" name="Column11063"/>
    <tableColumn id="11091" xr3:uid="{00000000-0010-0000-2000-0000532B0000}" name="Column11064"/>
    <tableColumn id="11092" xr3:uid="{00000000-0010-0000-2000-0000542B0000}" name="Column11065"/>
    <tableColumn id="11093" xr3:uid="{00000000-0010-0000-2000-0000552B0000}" name="Column11066"/>
    <tableColumn id="11094" xr3:uid="{00000000-0010-0000-2000-0000562B0000}" name="Column11067"/>
    <tableColumn id="11095" xr3:uid="{00000000-0010-0000-2000-0000572B0000}" name="Column11068"/>
    <tableColumn id="11096" xr3:uid="{00000000-0010-0000-2000-0000582B0000}" name="Column11069"/>
    <tableColumn id="11097" xr3:uid="{00000000-0010-0000-2000-0000592B0000}" name="Column11070"/>
    <tableColumn id="11098" xr3:uid="{00000000-0010-0000-2000-00005A2B0000}" name="Column11071"/>
    <tableColumn id="11099" xr3:uid="{00000000-0010-0000-2000-00005B2B0000}" name="Column11072"/>
    <tableColumn id="11100" xr3:uid="{00000000-0010-0000-2000-00005C2B0000}" name="Column11073"/>
    <tableColumn id="11101" xr3:uid="{00000000-0010-0000-2000-00005D2B0000}" name="Column11074"/>
    <tableColumn id="11102" xr3:uid="{00000000-0010-0000-2000-00005E2B0000}" name="Column11075"/>
    <tableColumn id="11103" xr3:uid="{00000000-0010-0000-2000-00005F2B0000}" name="Column11076"/>
    <tableColumn id="11104" xr3:uid="{00000000-0010-0000-2000-0000602B0000}" name="Column11077"/>
    <tableColumn id="11105" xr3:uid="{00000000-0010-0000-2000-0000612B0000}" name="Column11078"/>
    <tableColumn id="11106" xr3:uid="{00000000-0010-0000-2000-0000622B0000}" name="Column11079"/>
    <tableColumn id="11107" xr3:uid="{00000000-0010-0000-2000-0000632B0000}" name="Column11080"/>
    <tableColumn id="11108" xr3:uid="{00000000-0010-0000-2000-0000642B0000}" name="Column11081"/>
    <tableColumn id="11109" xr3:uid="{00000000-0010-0000-2000-0000652B0000}" name="Column11082"/>
    <tableColumn id="11110" xr3:uid="{00000000-0010-0000-2000-0000662B0000}" name="Column11083"/>
    <tableColumn id="11111" xr3:uid="{00000000-0010-0000-2000-0000672B0000}" name="Column11084"/>
    <tableColumn id="11112" xr3:uid="{00000000-0010-0000-2000-0000682B0000}" name="Column11085"/>
    <tableColumn id="11113" xr3:uid="{00000000-0010-0000-2000-0000692B0000}" name="Column11086"/>
    <tableColumn id="11114" xr3:uid="{00000000-0010-0000-2000-00006A2B0000}" name="Column11087"/>
    <tableColumn id="11115" xr3:uid="{00000000-0010-0000-2000-00006B2B0000}" name="Column11088"/>
    <tableColumn id="11116" xr3:uid="{00000000-0010-0000-2000-00006C2B0000}" name="Column11089"/>
    <tableColumn id="11117" xr3:uid="{00000000-0010-0000-2000-00006D2B0000}" name="Column11090"/>
    <tableColumn id="11118" xr3:uid="{00000000-0010-0000-2000-00006E2B0000}" name="Column11091"/>
    <tableColumn id="11119" xr3:uid="{00000000-0010-0000-2000-00006F2B0000}" name="Column11092"/>
    <tableColumn id="11120" xr3:uid="{00000000-0010-0000-2000-0000702B0000}" name="Column11093"/>
    <tableColumn id="11121" xr3:uid="{00000000-0010-0000-2000-0000712B0000}" name="Column11094"/>
    <tableColumn id="11122" xr3:uid="{00000000-0010-0000-2000-0000722B0000}" name="Column11095"/>
    <tableColumn id="11123" xr3:uid="{00000000-0010-0000-2000-0000732B0000}" name="Column11096"/>
    <tableColumn id="11124" xr3:uid="{00000000-0010-0000-2000-0000742B0000}" name="Column11097"/>
    <tableColumn id="11125" xr3:uid="{00000000-0010-0000-2000-0000752B0000}" name="Column11098"/>
    <tableColumn id="11126" xr3:uid="{00000000-0010-0000-2000-0000762B0000}" name="Column11099"/>
    <tableColumn id="11127" xr3:uid="{00000000-0010-0000-2000-0000772B0000}" name="Column11100"/>
    <tableColumn id="11128" xr3:uid="{00000000-0010-0000-2000-0000782B0000}" name="Column11101"/>
    <tableColumn id="11129" xr3:uid="{00000000-0010-0000-2000-0000792B0000}" name="Column11102"/>
    <tableColumn id="11130" xr3:uid="{00000000-0010-0000-2000-00007A2B0000}" name="Column11103"/>
    <tableColumn id="11131" xr3:uid="{00000000-0010-0000-2000-00007B2B0000}" name="Column11104"/>
    <tableColumn id="11132" xr3:uid="{00000000-0010-0000-2000-00007C2B0000}" name="Column11105"/>
    <tableColumn id="11133" xr3:uid="{00000000-0010-0000-2000-00007D2B0000}" name="Column11106"/>
    <tableColumn id="11134" xr3:uid="{00000000-0010-0000-2000-00007E2B0000}" name="Column11107"/>
    <tableColumn id="11135" xr3:uid="{00000000-0010-0000-2000-00007F2B0000}" name="Column11108"/>
    <tableColumn id="11136" xr3:uid="{00000000-0010-0000-2000-0000802B0000}" name="Column11109"/>
    <tableColumn id="11137" xr3:uid="{00000000-0010-0000-2000-0000812B0000}" name="Column11110"/>
    <tableColumn id="11138" xr3:uid="{00000000-0010-0000-2000-0000822B0000}" name="Column11111"/>
    <tableColumn id="11139" xr3:uid="{00000000-0010-0000-2000-0000832B0000}" name="Column11112"/>
    <tableColumn id="11140" xr3:uid="{00000000-0010-0000-2000-0000842B0000}" name="Column11113"/>
    <tableColumn id="11141" xr3:uid="{00000000-0010-0000-2000-0000852B0000}" name="Column11114"/>
    <tableColumn id="11142" xr3:uid="{00000000-0010-0000-2000-0000862B0000}" name="Column11115"/>
    <tableColumn id="11143" xr3:uid="{00000000-0010-0000-2000-0000872B0000}" name="Column11116"/>
    <tableColumn id="11144" xr3:uid="{00000000-0010-0000-2000-0000882B0000}" name="Column11117"/>
    <tableColumn id="11145" xr3:uid="{00000000-0010-0000-2000-0000892B0000}" name="Column11118"/>
    <tableColumn id="11146" xr3:uid="{00000000-0010-0000-2000-00008A2B0000}" name="Column11119"/>
    <tableColumn id="11147" xr3:uid="{00000000-0010-0000-2000-00008B2B0000}" name="Column11120"/>
    <tableColumn id="11148" xr3:uid="{00000000-0010-0000-2000-00008C2B0000}" name="Column11121"/>
    <tableColumn id="11149" xr3:uid="{00000000-0010-0000-2000-00008D2B0000}" name="Column11122"/>
    <tableColumn id="11150" xr3:uid="{00000000-0010-0000-2000-00008E2B0000}" name="Column11123"/>
    <tableColumn id="11151" xr3:uid="{00000000-0010-0000-2000-00008F2B0000}" name="Column11124"/>
    <tableColumn id="11152" xr3:uid="{00000000-0010-0000-2000-0000902B0000}" name="Column11125"/>
    <tableColumn id="11153" xr3:uid="{00000000-0010-0000-2000-0000912B0000}" name="Column11126"/>
    <tableColumn id="11154" xr3:uid="{00000000-0010-0000-2000-0000922B0000}" name="Column11127"/>
    <tableColumn id="11155" xr3:uid="{00000000-0010-0000-2000-0000932B0000}" name="Column11128"/>
    <tableColumn id="11156" xr3:uid="{00000000-0010-0000-2000-0000942B0000}" name="Column11129"/>
    <tableColumn id="11157" xr3:uid="{00000000-0010-0000-2000-0000952B0000}" name="Column11130"/>
    <tableColumn id="11158" xr3:uid="{00000000-0010-0000-2000-0000962B0000}" name="Column11131"/>
    <tableColumn id="11159" xr3:uid="{00000000-0010-0000-2000-0000972B0000}" name="Column11132"/>
    <tableColumn id="11160" xr3:uid="{00000000-0010-0000-2000-0000982B0000}" name="Column11133"/>
    <tableColumn id="11161" xr3:uid="{00000000-0010-0000-2000-0000992B0000}" name="Column11134"/>
    <tableColumn id="11162" xr3:uid="{00000000-0010-0000-2000-00009A2B0000}" name="Column11135"/>
    <tableColumn id="11163" xr3:uid="{00000000-0010-0000-2000-00009B2B0000}" name="Column11136"/>
    <tableColumn id="11164" xr3:uid="{00000000-0010-0000-2000-00009C2B0000}" name="Column11137"/>
    <tableColumn id="11165" xr3:uid="{00000000-0010-0000-2000-00009D2B0000}" name="Column11138"/>
    <tableColumn id="11166" xr3:uid="{00000000-0010-0000-2000-00009E2B0000}" name="Column11139"/>
    <tableColumn id="11167" xr3:uid="{00000000-0010-0000-2000-00009F2B0000}" name="Column11140"/>
    <tableColumn id="11168" xr3:uid="{00000000-0010-0000-2000-0000A02B0000}" name="Column11141"/>
    <tableColumn id="11169" xr3:uid="{00000000-0010-0000-2000-0000A12B0000}" name="Column11142"/>
    <tableColumn id="11170" xr3:uid="{00000000-0010-0000-2000-0000A22B0000}" name="Column11143"/>
    <tableColumn id="11171" xr3:uid="{00000000-0010-0000-2000-0000A32B0000}" name="Column11144"/>
    <tableColumn id="11172" xr3:uid="{00000000-0010-0000-2000-0000A42B0000}" name="Column11145"/>
    <tableColumn id="11173" xr3:uid="{00000000-0010-0000-2000-0000A52B0000}" name="Column11146"/>
    <tableColumn id="11174" xr3:uid="{00000000-0010-0000-2000-0000A62B0000}" name="Column11147"/>
    <tableColumn id="11175" xr3:uid="{00000000-0010-0000-2000-0000A72B0000}" name="Column11148"/>
    <tableColumn id="11176" xr3:uid="{00000000-0010-0000-2000-0000A82B0000}" name="Column11149"/>
    <tableColumn id="11177" xr3:uid="{00000000-0010-0000-2000-0000A92B0000}" name="Column11150"/>
    <tableColumn id="11178" xr3:uid="{00000000-0010-0000-2000-0000AA2B0000}" name="Column11151"/>
    <tableColumn id="11179" xr3:uid="{00000000-0010-0000-2000-0000AB2B0000}" name="Column11152"/>
    <tableColumn id="11180" xr3:uid="{00000000-0010-0000-2000-0000AC2B0000}" name="Column11153"/>
    <tableColumn id="11181" xr3:uid="{00000000-0010-0000-2000-0000AD2B0000}" name="Column11154"/>
    <tableColumn id="11182" xr3:uid="{00000000-0010-0000-2000-0000AE2B0000}" name="Column11155"/>
    <tableColumn id="11183" xr3:uid="{00000000-0010-0000-2000-0000AF2B0000}" name="Column11156"/>
    <tableColumn id="11184" xr3:uid="{00000000-0010-0000-2000-0000B02B0000}" name="Column11157"/>
    <tableColumn id="11185" xr3:uid="{00000000-0010-0000-2000-0000B12B0000}" name="Column11158"/>
    <tableColumn id="11186" xr3:uid="{00000000-0010-0000-2000-0000B22B0000}" name="Column11159"/>
    <tableColumn id="11187" xr3:uid="{00000000-0010-0000-2000-0000B32B0000}" name="Column11160"/>
    <tableColumn id="11188" xr3:uid="{00000000-0010-0000-2000-0000B42B0000}" name="Column11161"/>
    <tableColumn id="11189" xr3:uid="{00000000-0010-0000-2000-0000B52B0000}" name="Column11162"/>
    <tableColumn id="11190" xr3:uid="{00000000-0010-0000-2000-0000B62B0000}" name="Column11163"/>
    <tableColumn id="11191" xr3:uid="{00000000-0010-0000-2000-0000B72B0000}" name="Column11164"/>
    <tableColumn id="11192" xr3:uid="{00000000-0010-0000-2000-0000B82B0000}" name="Column11165"/>
    <tableColumn id="11193" xr3:uid="{00000000-0010-0000-2000-0000B92B0000}" name="Column11166"/>
    <tableColumn id="11194" xr3:uid="{00000000-0010-0000-2000-0000BA2B0000}" name="Column11167"/>
    <tableColumn id="11195" xr3:uid="{00000000-0010-0000-2000-0000BB2B0000}" name="Column11168"/>
    <tableColumn id="11196" xr3:uid="{00000000-0010-0000-2000-0000BC2B0000}" name="Column11169"/>
    <tableColumn id="11197" xr3:uid="{00000000-0010-0000-2000-0000BD2B0000}" name="Column11170"/>
    <tableColumn id="11198" xr3:uid="{00000000-0010-0000-2000-0000BE2B0000}" name="Column11171"/>
    <tableColumn id="11199" xr3:uid="{00000000-0010-0000-2000-0000BF2B0000}" name="Column11172"/>
    <tableColumn id="11200" xr3:uid="{00000000-0010-0000-2000-0000C02B0000}" name="Column11173"/>
    <tableColumn id="11201" xr3:uid="{00000000-0010-0000-2000-0000C12B0000}" name="Column11174"/>
    <tableColumn id="11202" xr3:uid="{00000000-0010-0000-2000-0000C22B0000}" name="Column11175"/>
    <tableColumn id="11203" xr3:uid="{00000000-0010-0000-2000-0000C32B0000}" name="Column11176"/>
    <tableColumn id="11204" xr3:uid="{00000000-0010-0000-2000-0000C42B0000}" name="Column11177"/>
    <tableColumn id="11205" xr3:uid="{00000000-0010-0000-2000-0000C52B0000}" name="Column11178"/>
    <tableColumn id="11206" xr3:uid="{00000000-0010-0000-2000-0000C62B0000}" name="Column11179"/>
    <tableColumn id="11207" xr3:uid="{00000000-0010-0000-2000-0000C72B0000}" name="Column11180"/>
    <tableColumn id="11208" xr3:uid="{00000000-0010-0000-2000-0000C82B0000}" name="Column11181"/>
    <tableColumn id="11209" xr3:uid="{00000000-0010-0000-2000-0000C92B0000}" name="Column11182"/>
    <tableColumn id="11210" xr3:uid="{00000000-0010-0000-2000-0000CA2B0000}" name="Column11183"/>
    <tableColumn id="11211" xr3:uid="{00000000-0010-0000-2000-0000CB2B0000}" name="Column11184"/>
    <tableColumn id="11212" xr3:uid="{00000000-0010-0000-2000-0000CC2B0000}" name="Column11185"/>
    <tableColumn id="11213" xr3:uid="{00000000-0010-0000-2000-0000CD2B0000}" name="Column11186"/>
    <tableColumn id="11214" xr3:uid="{00000000-0010-0000-2000-0000CE2B0000}" name="Column11187"/>
    <tableColumn id="11215" xr3:uid="{00000000-0010-0000-2000-0000CF2B0000}" name="Column11188"/>
    <tableColumn id="11216" xr3:uid="{00000000-0010-0000-2000-0000D02B0000}" name="Column11189"/>
    <tableColumn id="11217" xr3:uid="{00000000-0010-0000-2000-0000D12B0000}" name="Column11190"/>
    <tableColumn id="11218" xr3:uid="{00000000-0010-0000-2000-0000D22B0000}" name="Column11191"/>
    <tableColumn id="11219" xr3:uid="{00000000-0010-0000-2000-0000D32B0000}" name="Column11192"/>
    <tableColumn id="11220" xr3:uid="{00000000-0010-0000-2000-0000D42B0000}" name="Column11193"/>
    <tableColumn id="11221" xr3:uid="{00000000-0010-0000-2000-0000D52B0000}" name="Column11194"/>
    <tableColumn id="11222" xr3:uid="{00000000-0010-0000-2000-0000D62B0000}" name="Column11195"/>
    <tableColumn id="11223" xr3:uid="{00000000-0010-0000-2000-0000D72B0000}" name="Column11196"/>
    <tableColumn id="11224" xr3:uid="{00000000-0010-0000-2000-0000D82B0000}" name="Column11197"/>
    <tableColumn id="11225" xr3:uid="{00000000-0010-0000-2000-0000D92B0000}" name="Column11198"/>
    <tableColumn id="11226" xr3:uid="{00000000-0010-0000-2000-0000DA2B0000}" name="Column11199"/>
    <tableColumn id="11227" xr3:uid="{00000000-0010-0000-2000-0000DB2B0000}" name="Column11200"/>
    <tableColumn id="11228" xr3:uid="{00000000-0010-0000-2000-0000DC2B0000}" name="Column11201"/>
    <tableColumn id="11229" xr3:uid="{00000000-0010-0000-2000-0000DD2B0000}" name="Column11202"/>
    <tableColumn id="11230" xr3:uid="{00000000-0010-0000-2000-0000DE2B0000}" name="Column11203"/>
    <tableColumn id="11231" xr3:uid="{00000000-0010-0000-2000-0000DF2B0000}" name="Column11204"/>
    <tableColumn id="11232" xr3:uid="{00000000-0010-0000-2000-0000E02B0000}" name="Column11205"/>
    <tableColumn id="11233" xr3:uid="{00000000-0010-0000-2000-0000E12B0000}" name="Column11206"/>
    <tableColumn id="11234" xr3:uid="{00000000-0010-0000-2000-0000E22B0000}" name="Column11207"/>
    <tableColumn id="11235" xr3:uid="{00000000-0010-0000-2000-0000E32B0000}" name="Column11208"/>
    <tableColumn id="11236" xr3:uid="{00000000-0010-0000-2000-0000E42B0000}" name="Column11209"/>
    <tableColumn id="11237" xr3:uid="{00000000-0010-0000-2000-0000E52B0000}" name="Column11210"/>
    <tableColumn id="11238" xr3:uid="{00000000-0010-0000-2000-0000E62B0000}" name="Column11211"/>
    <tableColumn id="11239" xr3:uid="{00000000-0010-0000-2000-0000E72B0000}" name="Column11212"/>
    <tableColumn id="11240" xr3:uid="{00000000-0010-0000-2000-0000E82B0000}" name="Column11213"/>
    <tableColumn id="11241" xr3:uid="{00000000-0010-0000-2000-0000E92B0000}" name="Column11214"/>
    <tableColumn id="11242" xr3:uid="{00000000-0010-0000-2000-0000EA2B0000}" name="Column11215"/>
    <tableColumn id="11243" xr3:uid="{00000000-0010-0000-2000-0000EB2B0000}" name="Column11216"/>
    <tableColumn id="11244" xr3:uid="{00000000-0010-0000-2000-0000EC2B0000}" name="Column11217"/>
    <tableColumn id="11245" xr3:uid="{00000000-0010-0000-2000-0000ED2B0000}" name="Column11218"/>
    <tableColumn id="11246" xr3:uid="{00000000-0010-0000-2000-0000EE2B0000}" name="Column11219"/>
    <tableColumn id="11247" xr3:uid="{00000000-0010-0000-2000-0000EF2B0000}" name="Column11220"/>
    <tableColumn id="11248" xr3:uid="{00000000-0010-0000-2000-0000F02B0000}" name="Column11221"/>
    <tableColumn id="11249" xr3:uid="{00000000-0010-0000-2000-0000F12B0000}" name="Column11222"/>
    <tableColumn id="11250" xr3:uid="{00000000-0010-0000-2000-0000F22B0000}" name="Column11223"/>
    <tableColumn id="11251" xr3:uid="{00000000-0010-0000-2000-0000F32B0000}" name="Column11224"/>
    <tableColumn id="11252" xr3:uid="{00000000-0010-0000-2000-0000F42B0000}" name="Column11225"/>
    <tableColumn id="11253" xr3:uid="{00000000-0010-0000-2000-0000F52B0000}" name="Column11226"/>
    <tableColumn id="11254" xr3:uid="{00000000-0010-0000-2000-0000F62B0000}" name="Column11227"/>
    <tableColumn id="11255" xr3:uid="{00000000-0010-0000-2000-0000F72B0000}" name="Column11228"/>
    <tableColumn id="11256" xr3:uid="{00000000-0010-0000-2000-0000F82B0000}" name="Column11229"/>
    <tableColumn id="11257" xr3:uid="{00000000-0010-0000-2000-0000F92B0000}" name="Column11230"/>
    <tableColumn id="11258" xr3:uid="{00000000-0010-0000-2000-0000FA2B0000}" name="Column11231"/>
    <tableColumn id="11259" xr3:uid="{00000000-0010-0000-2000-0000FB2B0000}" name="Column11232"/>
    <tableColumn id="11260" xr3:uid="{00000000-0010-0000-2000-0000FC2B0000}" name="Column11233"/>
    <tableColumn id="11261" xr3:uid="{00000000-0010-0000-2000-0000FD2B0000}" name="Column11234"/>
    <tableColumn id="11262" xr3:uid="{00000000-0010-0000-2000-0000FE2B0000}" name="Column11235"/>
    <tableColumn id="11263" xr3:uid="{00000000-0010-0000-2000-0000FF2B0000}" name="Column11236"/>
    <tableColumn id="11264" xr3:uid="{00000000-0010-0000-2000-0000002C0000}" name="Column11237"/>
    <tableColumn id="11265" xr3:uid="{00000000-0010-0000-2000-0000012C0000}" name="Column11238"/>
    <tableColumn id="11266" xr3:uid="{00000000-0010-0000-2000-0000022C0000}" name="Column11239"/>
    <tableColumn id="11267" xr3:uid="{00000000-0010-0000-2000-0000032C0000}" name="Column11240"/>
    <tableColumn id="11268" xr3:uid="{00000000-0010-0000-2000-0000042C0000}" name="Column11241"/>
    <tableColumn id="11269" xr3:uid="{00000000-0010-0000-2000-0000052C0000}" name="Column11242"/>
    <tableColumn id="11270" xr3:uid="{00000000-0010-0000-2000-0000062C0000}" name="Column11243"/>
    <tableColumn id="11271" xr3:uid="{00000000-0010-0000-2000-0000072C0000}" name="Column11244"/>
    <tableColumn id="11272" xr3:uid="{00000000-0010-0000-2000-0000082C0000}" name="Column11245"/>
    <tableColumn id="11273" xr3:uid="{00000000-0010-0000-2000-0000092C0000}" name="Column11246"/>
    <tableColumn id="11274" xr3:uid="{00000000-0010-0000-2000-00000A2C0000}" name="Column11247"/>
    <tableColumn id="11275" xr3:uid="{00000000-0010-0000-2000-00000B2C0000}" name="Column11248"/>
    <tableColumn id="11276" xr3:uid="{00000000-0010-0000-2000-00000C2C0000}" name="Column11249"/>
    <tableColumn id="11277" xr3:uid="{00000000-0010-0000-2000-00000D2C0000}" name="Column11250"/>
    <tableColumn id="11278" xr3:uid="{00000000-0010-0000-2000-00000E2C0000}" name="Column11251"/>
    <tableColumn id="11279" xr3:uid="{00000000-0010-0000-2000-00000F2C0000}" name="Column11252"/>
    <tableColumn id="11280" xr3:uid="{00000000-0010-0000-2000-0000102C0000}" name="Column11253"/>
    <tableColumn id="11281" xr3:uid="{00000000-0010-0000-2000-0000112C0000}" name="Column11254"/>
    <tableColumn id="11282" xr3:uid="{00000000-0010-0000-2000-0000122C0000}" name="Column11255"/>
    <tableColumn id="11283" xr3:uid="{00000000-0010-0000-2000-0000132C0000}" name="Column11256"/>
    <tableColumn id="11284" xr3:uid="{00000000-0010-0000-2000-0000142C0000}" name="Column11257"/>
    <tableColumn id="11285" xr3:uid="{00000000-0010-0000-2000-0000152C0000}" name="Column11258"/>
    <tableColumn id="11286" xr3:uid="{00000000-0010-0000-2000-0000162C0000}" name="Column11259"/>
    <tableColumn id="11287" xr3:uid="{00000000-0010-0000-2000-0000172C0000}" name="Column11260"/>
    <tableColumn id="11288" xr3:uid="{00000000-0010-0000-2000-0000182C0000}" name="Column11261"/>
    <tableColumn id="11289" xr3:uid="{00000000-0010-0000-2000-0000192C0000}" name="Column11262"/>
    <tableColumn id="11290" xr3:uid="{00000000-0010-0000-2000-00001A2C0000}" name="Column11263"/>
    <tableColumn id="11291" xr3:uid="{00000000-0010-0000-2000-00001B2C0000}" name="Column11264"/>
    <tableColumn id="11292" xr3:uid="{00000000-0010-0000-2000-00001C2C0000}" name="Column11265"/>
    <tableColumn id="11293" xr3:uid="{00000000-0010-0000-2000-00001D2C0000}" name="Column11266"/>
    <tableColumn id="11294" xr3:uid="{00000000-0010-0000-2000-00001E2C0000}" name="Column11267"/>
    <tableColumn id="11295" xr3:uid="{00000000-0010-0000-2000-00001F2C0000}" name="Column11268"/>
    <tableColumn id="11296" xr3:uid="{00000000-0010-0000-2000-0000202C0000}" name="Column11269"/>
    <tableColumn id="11297" xr3:uid="{00000000-0010-0000-2000-0000212C0000}" name="Column11270"/>
    <tableColumn id="11298" xr3:uid="{00000000-0010-0000-2000-0000222C0000}" name="Column11271"/>
    <tableColumn id="11299" xr3:uid="{00000000-0010-0000-2000-0000232C0000}" name="Column11272"/>
    <tableColumn id="11300" xr3:uid="{00000000-0010-0000-2000-0000242C0000}" name="Column11273"/>
    <tableColumn id="11301" xr3:uid="{00000000-0010-0000-2000-0000252C0000}" name="Column11274"/>
    <tableColumn id="11302" xr3:uid="{00000000-0010-0000-2000-0000262C0000}" name="Column11275"/>
    <tableColumn id="11303" xr3:uid="{00000000-0010-0000-2000-0000272C0000}" name="Column11276"/>
    <tableColumn id="11304" xr3:uid="{00000000-0010-0000-2000-0000282C0000}" name="Column11277"/>
    <tableColumn id="11305" xr3:uid="{00000000-0010-0000-2000-0000292C0000}" name="Column11278"/>
    <tableColumn id="11306" xr3:uid="{00000000-0010-0000-2000-00002A2C0000}" name="Column11279"/>
    <tableColumn id="11307" xr3:uid="{00000000-0010-0000-2000-00002B2C0000}" name="Column11280"/>
    <tableColumn id="11308" xr3:uid="{00000000-0010-0000-2000-00002C2C0000}" name="Column11281"/>
    <tableColumn id="11309" xr3:uid="{00000000-0010-0000-2000-00002D2C0000}" name="Column11282"/>
    <tableColumn id="11310" xr3:uid="{00000000-0010-0000-2000-00002E2C0000}" name="Column11283"/>
    <tableColumn id="11311" xr3:uid="{00000000-0010-0000-2000-00002F2C0000}" name="Column11284"/>
    <tableColumn id="11312" xr3:uid="{00000000-0010-0000-2000-0000302C0000}" name="Column11285"/>
    <tableColumn id="11313" xr3:uid="{00000000-0010-0000-2000-0000312C0000}" name="Column11286"/>
    <tableColumn id="11314" xr3:uid="{00000000-0010-0000-2000-0000322C0000}" name="Column11287"/>
    <tableColumn id="11315" xr3:uid="{00000000-0010-0000-2000-0000332C0000}" name="Column11288"/>
    <tableColumn id="11316" xr3:uid="{00000000-0010-0000-2000-0000342C0000}" name="Column11289"/>
    <tableColumn id="11317" xr3:uid="{00000000-0010-0000-2000-0000352C0000}" name="Column11290"/>
    <tableColumn id="11318" xr3:uid="{00000000-0010-0000-2000-0000362C0000}" name="Column11291"/>
    <tableColumn id="11319" xr3:uid="{00000000-0010-0000-2000-0000372C0000}" name="Column11292"/>
    <tableColumn id="11320" xr3:uid="{00000000-0010-0000-2000-0000382C0000}" name="Column11293"/>
    <tableColumn id="11321" xr3:uid="{00000000-0010-0000-2000-0000392C0000}" name="Column11294"/>
    <tableColumn id="11322" xr3:uid="{00000000-0010-0000-2000-00003A2C0000}" name="Column11295"/>
    <tableColumn id="11323" xr3:uid="{00000000-0010-0000-2000-00003B2C0000}" name="Column11296"/>
    <tableColumn id="11324" xr3:uid="{00000000-0010-0000-2000-00003C2C0000}" name="Column11297"/>
    <tableColumn id="11325" xr3:uid="{00000000-0010-0000-2000-00003D2C0000}" name="Column11298"/>
    <tableColumn id="11326" xr3:uid="{00000000-0010-0000-2000-00003E2C0000}" name="Column11299"/>
    <tableColumn id="11327" xr3:uid="{00000000-0010-0000-2000-00003F2C0000}" name="Column11300"/>
    <tableColumn id="11328" xr3:uid="{00000000-0010-0000-2000-0000402C0000}" name="Column11301"/>
    <tableColumn id="11329" xr3:uid="{00000000-0010-0000-2000-0000412C0000}" name="Column11302"/>
    <tableColumn id="11330" xr3:uid="{00000000-0010-0000-2000-0000422C0000}" name="Column11303"/>
    <tableColumn id="11331" xr3:uid="{00000000-0010-0000-2000-0000432C0000}" name="Column11304"/>
    <tableColumn id="11332" xr3:uid="{00000000-0010-0000-2000-0000442C0000}" name="Column11305"/>
    <tableColumn id="11333" xr3:uid="{00000000-0010-0000-2000-0000452C0000}" name="Column11306"/>
    <tableColumn id="11334" xr3:uid="{00000000-0010-0000-2000-0000462C0000}" name="Column11307"/>
    <tableColumn id="11335" xr3:uid="{00000000-0010-0000-2000-0000472C0000}" name="Column11308"/>
    <tableColumn id="11336" xr3:uid="{00000000-0010-0000-2000-0000482C0000}" name="Column11309"/>
    <tableColumn id="11337" xr3:uid="{00000000-0010-0000-2000-0000492C0000}" name="Column11310"/>
    <tableColumn id="11338" xr3:uid="{00000000-0010-0000-2000-00004A2C0000}" name="Column11311"/>
    <tableColumn id="11339" xr3:uid="{00000000-0010-0000-2000-00004B2C0000}" name="Column11312"/>
    <tableColumn id="11340" xr3:uid="{00000000-0010-0000-2000-00004C2C0000}" name="Column11313"/>
    <tableColumn id="11341" xr3:uid="{00000000-0010-0000-2000-00004D2C0000}" name="Column11314"/>
    <tableColumn id="11342" xr3:uid="{00000000-0010-0000-2000-00004E2C0000}" name="Column11315"/>
    <tableColumn id="11343" xr3:uid="{00000000-0010-0000-2000-00004F2C0000}" name="Column11316"/>
    <tableColumn id="11344" xr3:uid="{00000000-0010-0000-2000-0000502C0000}" name="Column11317"/>
    <tableColumn id="11345" xr3:uid="{00000000-0010-0000-2000-0000512C0000}" name="Column11318"/>
    <tableColumn id="11346" xr3:uid="{00000000-0010-0000-2000-0000522C0000}" name="Column11319"/>
    <tableColumn id="11347" xr3:uid="{00000000-0010-0000-2000-0000532C0000}" name="Column11320"/>
    <tableColumn id="11348" xr3:uid="{00000000-0010-0000-2000-0000542C0000}" name="Column11321"/>
    <tableColumn id="11349" xr3:uid="{00000000-0010-0000-2000-0000552C0000}" name="Column11322"/>
    <tableColumn id="11350" xr3:uid="{00000000-0010-0000-2000-0000562C0000}" name="Column11323"/>
    <tableColumn id="11351" xr3:uid="{00000000-0010-0000-2000-0000572C0000}" name="Column11324"/>
    <tableColumn id="11352" xr3:uid="{00000000-0010-0000-2000-0000582C0000}" name="Column11325"/>
    <tableColumn id="11353" xr3:uid="{00000000-0010-0000-2000-0000592C0000}" name="Column11326"/>
    <tableColumn id="11354" xr3:uid="{00000000-0010-0000-2000-00005A2C0000}" name="Column11327"/>
    <tableColumn id="11355" xr3:uid="{00000000-0010-0000-2000-00005B2C0000}" name="Column11328"/>
    <tableColumn id="11356" xr3:uid="{00000000-0010-0000-2000-00005C2C0000}" name="Column11329"/>
    <tableColumn id="11357" xr3:uid="{00000000-0010-0000-2000-00005D2C0000}" name="Column11330"/>
    <tableColumn id="11358" xr3:uid="{00000000-0010-0000-2000-00005E2C0000}" name="Column11331"/>
    <tableColumn id="11359" xr3:uid="{00000000-0010-0000-2000-00005F2C0000}" name="Column11332"/>
    <tableColumn id="11360" xr3:uid="{00000000-0010-0000-2000-0000602C0000}" name="Column11333"/>
    <tableColumn id="11361" xr3:uid="{00000000-0010-0000-2000-0000612C0000}" name="Column11334"/>
    <tableColumn id="11362" xr3:uid="{00000000-0010-0000-2000-0000622C0000}" name="Column11335"/>
    <tableColumn id="11363" xr3:uid="{00000000-0010-0000-2000-0000632C0000}" name="Column11336"/>
    <tableColumn id="11364" xr3:uid="{00000000-0010-0000-2000-0000642C0000}" name="Column11337"/>
    <tableColumn id="11365" xr3:uid="{00000000-0010-0000-2000-0000652C0000}" name="Column11338"/>
    <tableColumn id="11366" xr3:uid="{00000000-0010-0000-2000-0000662C0000}" name="Column11339"/>
    <tableColumn id="11367" xr3:uid="{00000000-0010-0000-2000-0000672C0000}" name="Column11340"/>
    <tableColumn id="11368" xr3:uid="{00000000-0010-0000-2000-0000682C0000}" name="Column11341"/>
    <tableColumn id="11369" xr3:uid="{00000000-0010-0000-2000-0000692C0000}" name="Column11342"/>
    <tableColumn id="11370" xr3:uid="{00000000-0010-0000-2000-00006A2C0000}" name="Column11343"/>
    <tableColumn id="11371" xr3:uid="{00000000-0010-0000-2000-00006B2C0000}" name="Column11344"/>
    <tableColumn id="11372" xr3:uid="{00000000-0010-0000-2000-00006C2C0000}" name="Column11345"/>
    <tableColumn id="11373" xr3:uid="{00000000-0010-0000-2000-00006D2C0000}" name="Column11346"/>
    <tableColumn id="11374" xr3:uid="{00000000-0010-0000-2000-00006E2C0000}" name="Column11347"/>
    <tableColumn id="11375" xr3:uid="{00000000-0010-0000-2000-00006F2C0000}" name="Column11348"/>
    <tableColumn id="11376" xr3:uid="{00000000-0010-0000-2000-0000702C0000}" name="Column11349"/>
    <tableColumn id="11377" xr3:uid="{00000000-0010-0000-2000-0000712C0000}" name="Column11350"/>
    <tableColumn id="11378" xr3:uid="{00000000-0010-0000-2000-0000722C0000}" name="Column11351"/>
    <tableColumn id="11379" xr3:uid="{00000000-0010-0000-2000-0000732C0000}" name="Column11352"/>
    <tableColumn id="11380" xr3:uid="{00000000-0010-0000-2000-0000742C0000}" name="Column11353"/>
    <tableColumn id="11381" xr3:uid="{00000000-0010-0000-2000-0000752C0000}" name="Column11354"/>
    <tableColumn id="11382" xr3:uid="{00000000-0010-0000-2000-0000762C0000}" name="Column11355"/>
    <tableColumn id="11383" xr3:uid="{00000000-0010-0000-2000-0000772C0000}" name="Column11356"/>
    <tableColumn id="11384" xr3:uid="{00000000-0010-0000-2000-0000782C0000}" name="Column11357"/>
    <tableColumn id="11385" xr3:uid="{00000000-0010-0000-2000-0000792C0000}" name="Column11358"/>
    <tableColumn id="11386" xr3:uid="{00000000-0010-0000-2000-00007A2C0000}" name="Column11359"/>
    <tableColumn id="11387" xr3:uid="{00000000-0010-0000-2000-00007B2C0000}" name="Column11360"/>
    <tableColumn id="11388" xr3:uid="{00000000-0010-0000-2000-00007C2C0000}" name="Column11361"/>
    <tableColumn id="11389" xr3:uid="{00000000-0010-0000-2000-00007D2C0000}" name="Column11362"/>
    <tableColumn id="11390" xr3:uid="{00000000-0010-0000-2000-00007E2C0000}" name="Column11363"/>
    <tableColumn id="11391" xr3:uid="{00000000-0010-0000-2000-00007F2C0000}" name="Column11364"/>
    <tableColumn id="11392" xr3:uid="{00000000-0010-0000-2000-0000802C0000}" name="Column11365"/>
    <tableColumn id="11393" xr3:uid="{00000000-0010-0000-2000-0000812C0000}" name="Column11366"/>
    <tableColumn id="11394" xr3:uid="{00000000-0010-0000-2000-0000822C0000}" name="Column11367"/>
    <tableColumn id="11395" xr3:uid="{00000000-0010-0000-2000-0000832C0000}" name="Column11368"/>
    <tableColumn id="11396" xr3:uid="{00000000-0010-0000-2000-0000842C0000}" name="Column11369"/>
    <tableColumn id="11397" xr3:uid="{00000000-0010-0000-2000-0000852C0000}" name="Column11370"/>
    <tableColumn id="11398" xr3:uid="{00000000-0010-0000-2000-0000862C0000}" name="Column11371"/>
    <tableColumn id="11399" xr3:uid="{00000000-0010-0000-2000-0000872C0000}" name="Column11372"/>
    <tableColumn id="11400" xr3:uid="{00000000-0010-0000-2000-0000882C0000}" name="Column11373"/>
    <tableColumn id="11401" xr3:uid="{00000000-0010-0000-2000-0000892C0000}" name="Column11374"/>
    <tableColumn id="11402" xr3:uid="{00000000-0010-0000-2000-00008A2C0000}" name="Column11375"/>
    <tableColumn id="11403" xr3:uid="{00000000-0010-0000-2000-00008B2C0000}" name="Column11376"/>
    <tableColumn id="11404" xr3:uid="{00000000-0010-0000-2000-00008C2C0000}" name="Column11377"/>
    <tableColumn id="11405" xr3:uid="{00000000-0010-0000-2000-00008D2C0000}" name="Column11378"/>
    <tableColumn id="11406" xr3:uid="{00000000-0010-0000-2000-00008E2C0000}" name="Column11379"/>
    <tableColumn id="11407" xr3:uid="{00000000-0010-0000-2000-00008F2C0000}" name="Column11380"/>
    <tableColumn id="11408" xr3:uid="{00000000-0010-0000-2000-0000902C0000}" name="Column11381"/>
    <tableColumn id="11409" xr3:uid="{00000000-0010-0000-2000-0000912C0000}" name="Column11382"/>
    <tableColumn id="11410" xr3:uid="{00000000-0010-0000-2000-0000922C0000}" name="Column11383"/>
    <tableColumn id="11411" xr3:uid="{00000000-0010-0000-2000-0000932C0000}" name="Column11384"/>
    <tableColumn id="11412" xr3:uid="{00000000-0010-0000-2000-0000942C0000}" name="Column11385"/>
    <tableColumn id="11413" xr3:uid="{00000000-0010-0000-2000-0000952C0000}" name="Column11386"/>
    <tableColumn id="11414" xr3:uid="{00000000-0010-0000-2000-0000962C0000}" name="Column11387"/>
    <tableColumn id="11415" xr3:uid="{00000000-0010-0000-2000-0000972C0000}" name="Column11388"/>
    <tableColumn id="11416" xr3:uid="{00000000-0010-0000-2000-0000982C0000}" name="Column11389"/>
    <tableColumn id="11417" xr3:uid="{00000000-0010-0000-2000-0000992C0000}" name="Column11390"/>
    <tableColumn id="11418" xr3:uid="{00000000-0010-0000-2000-00009A2C0000}" name="Column11391"/>
    <tableColumn id="11419" xr3:uid="{00000000-0010-0000-2000-00009B2C0000}" name="Column11392"/>
    <tableColumn id="11420" xr3:uid="{00000000-0010-0000-2000-00009C2C0000}" name="Column11393"/>
    <tableColumn id="11421" xr3:uid="{00000000-0010-0000-2000-00009D2C0000}" name="Column11394"/>
    <tableColumn id="11422" xr3:uid="{00000000-0010-0000-2000-00009E2C0000}" name="Column11395"/>
    <tableColumn id="11423" xr3:uid="{00000000-0010-0000-2000-00009F2C0000}" name="Column11396"/>
    <tableColumn id="11424" xr3:uid="{00000000-0010-0000-2000-0000A02C0000}" name="Column11397"/>
    <tableColumn id="11425" xr3:uid="{00000000-0010-0000-2000-0000A12C0000}" name="Column11398"/>
    <tableColumn id="11426" xr3:uid="{00000000-0010-0000-2000-0000A22C0000}" name="Column11399"/>
    <tableColumn id="11427" xr3:uid="{00000000-0010-0000-2000-0000A32C0000}" name="Column11400"/>
    <tableColumn id="11428" xr3:uid="{00000000-0010-0000-2000-0000A42C0000}" name="Column11401"/>
    <tableColumn id="11429" xr3:uid="{00000000-0010-0000-2000-0000A52C0000}" name="Column11402"/>
    <tableColumn id="11430" xr3:uid="{00000000-0010-0000-2000-0000A62C0000}" name="Column11403"/>
    <tableColumn id="11431" xr3:uid="{00000000-0010-0000-2000-0000A72C0000}" name="Column11404"/>
    <tableColumn id="11432" xr3:uid="{00000000-0010-0000-2000-0000A82C0000}" name="Column11405"/>
    <tableColumn id="11433" xr3:uid="{00000000-0010-0000-2000-0000A92C0000}" name="Column11406"/>
    <tableColumn id="11434" xr3:uid="{00000000-0010-0000-2000-0000AA2C0000}" name="Column11407"/>
    <tableColumn id="11435" xr3:uid="{00000000-0010-0000-2000-0000AB2C0000}" name="Column11408"/>
    <tableColumn id="11436" xr3:uid="{00000000-0010-0000-2000-0000AC2C0000}" name="Column11409"/>
    <tableColumn id="11437" xr3:uid="{00000000-0010-0000-2000-0000AD2C0000}" name="Column11410"/>
    <tableColumn id="11438" xr3:uid="{00000000-0010-0000-2000-0000AE2C0000}" name="Column11411"/>
    <tableColumn id="11439" xr3:uid="{00000000-0010-0000-2000-0000AF2C0000}" name="Column11412"/>
    <tableColumn id="11440" xr3:uid="{00000000-0010-0000-2000-0000B02C0000}" name="Column11413"/>
    <tableColumn id="11441" xr3:uid="{00000000-0010-0000-2000-0000B12C0000}" name="Column11414"/>
    <tableColumn id="11442" xr3:uid="{00000000-0010-0000-2000-0000B22C0000}" name="Column11415"/>
    <tableColumn id="11443" xr3:uid="{00000000-0010-0000-2000-0000B32C0000}" name="Column11416"/>
    <tableColumn id="11444" xr3:uid="{00000000-0010-0000-2000-0000B42C0000}" name="Column11417"/>
    <tableColumn id="11445" xr3:uid="{00000000-0010-0000-2000-0000B52C0000}" name="Column11418"/>
    <tableColumn id="11446" xr3:uid="{00000000-0010-0000-2000-0000B62C0000}" name="Column11419"/>
    <tableColumn id="11447" xr3:uid="{00000000-0010-0000-2000-0000B72C0000}" name="Column11420"/>
    <tableColumn id="11448" xr3:uid="{00000000-0010-0000-2000-0000B82C0000}" name="Column11421"/>
    <tableColumn id="11449" xr3:uid="{00000000-0010-0000-2000-0000B92C0000}" name="Column11422"/>
    <tableColumn id="11450" xr3:uid="{00000000-0010-0000-2000-0000BA2C0000}" name="Column11423"/>
    <tableColumn id="11451" xr3:uid="{00000000-0010-0000-2000-0000BB2C0000}" name="Column11424"/>
    <tableColumn id="11452" xr3:uid="{00000000-0010-0000-2000-0000BC2C0000}" name="Column11425"/>
    <tableColumn id="11453" xr3:uid="{00000000-0010-0000-2000-0000BD2C0000}" name="Column11426"/>
    <tableColumn id="11454" xr3:uid="{00000000-0010-0000-2000-0000BE2C0000}" name="Column11427"/>
    <tableColumn id="11455" xr3:uid="{00000000-0010-0000-2000-0000BF2C0000}" name="Column11428"/>
    <tableColumn id="11456" xr3:uid="{00000000-0010-0000-2000-0000C02C0000}" name="Column11429"/>
    <tableColumn id="11457" xr3:uid="{00000000-0010-0000-2000-0000C12C0000}" name="Column11430"/>
    <tableColumn id="11458" xr3:uid="{00000000-0010-0000-2000-0000C22C0000}" name="Column11431"/>
    <tableColumn id="11459" xr3:uid="{00000000-0010-0000-2000-0000C32C0000}" name="Column11432"/>
    <tableColumn id="11460" xr3:uid="{00000000-0010-0000-2000-0000C42C0000}" name="Column11433"/>
    <tableColumn id="11461" xr3:uid="{00000000-0010-0000-2000-0000C52C0000}" name="Column11434"/>
    <tableColumn id="11462" xr3:uid="{00000000-0010-0000-2000-0000C62C0000}" name="Column11435"/>
    <tableColumn id="11463" xr3:uid="{00000000-0010-0000-2000-0000C72C0000}" name="Column11436"/>
    <tableColumn id="11464" xr3:uid="{00000000-0010-0000-2000-0000C82C0000}" name="Column11437"/>
    <tableColumn id="11465" xr3:uid="{00000000-0010-0000-2000-0000C92C0000}" name="Column11438"/>
    <tableColumn id="11466" xr3:uid="{00000000-0010-0000-2000-0000CA2C0000}" name="Column11439"/>
    <tableColumn id="11467" xr3:uid="{00000000-0010-0000-2000-0000CB2C0000}" name="Column11440"/>
    <tableColumn id="11468" xr3:uid="{00000000-0010-0000-2000-0000CC2C0000}" name="Column11441"/>
    <tableColumn id="11469" xr3:uid="{00000000-0010-0000-2000-0000CD2C0000}" name="Column11442"/>
    <tableColumn id="11470" xr3:uid="{00000000-0010-0000-2000-0000CE2C0000}" name="Column11443"/>
    <tableColumn id="11471" xr3:uid="{00000000-0010-0000-2000-0000CF2C0000}" name="Column11444"/>
    <tableColumn id="11472" xr3:uid="{00000000-0010-0000-2000-0000D02C0000}" name="Column11445"/>
    <tableColumn id="11473" xr3:uid="{00000000-0010-0000-2000-0000D12C0000}" name="Column11446"/>
    <tableColumn id="11474" xr3:uid="{00000000-0010-0000-2000-0000D22C0000}" name="Column11447"/>
    <tableColumn id="11475" xr3:uid="{00000000-0010-0000-2000-0000D32C0000}" name="Column11448"/>
    <tableColumn id="11476" xr3:uid="{00000000-0010-0000-2000-0000D42C0000}" name="Column11449"/>
    <tableColumn id="11477" xr3:uid="{00000000-0010-0000-2000-0000D52C0000}" name="Column11450"/>
    <tableColumn id="11478" xr3:uid="{00000000-0010-0000-2000-0000D62C0000}" name="Column11451"/>
    <tableColumn id="11479" xr3:uid="{00000000-0010-0000-2000-0000D72C0000}" name="Column11452"/>
    <tableColumn id="11480" xr3:uid="{00000000-0010-0000-2000-0000D82C0000}" name="Column11453"/>
    <tableColumn id="11481" xr3:uid="{00000000-0010-0000-2000-0000D92C0000}" name="Column11454"/>
    <tableColumn id="11482" xr3:uid="{00000000-0010-0000-2000-0000DA2C0000}" name="Column11455"/>
    <tableColumn id="11483" xr3:uid="{00000000-0010-0000-2000-0000DB2C0000}" name="Column11456"/>
    <tableColumn id="11484" xr3:uid="{00000000-0010-0000-2000-0000DC2C0000}" name="Column11457"/>
    <tableColumn id="11485" xr3:uid="{00000000-0010-0000-2000-0000DD2C0000}" name="Column11458"/>
    <tableColumn id="11486" xr3:uid="{00000000-0010-0000-2000-0000DE2C0000}" name="Column11459"/>
    <tableColumn id="11487" xr3:uid="{00000000-0010-0000-2000-0000DF2C0000}" name="Column11460"/>
    <tableColumn id="11488" xr3:uid="{00000000-0010-0000-2000-0000E02C0000}" name="Column11461"/>
    <tableColumn id="11489" xr3:uid="{00000000-0010-0000-2000-0000E12C0000}" name="Column11462"/>
    <tableColumn id="11490" xr3:uid="{00000000-0010-0000-2000-0000E22C0000}" name="Column11463"/>
    <tableColumn id="11491" xr3:uid="{00000000-0010-0000-2000-0000E32C0000}" name="Column11464"/>
    <tableColumn id="11492" xr3:uid="{00000000-0010-0000-2000-0000E42C0000}" name="Column11465"/>
    <tableColumn id="11493" xr3:uid="{00000000-0010-0000-2000-0000E52C0000}" name="Column11466"/>
    <tableColumn id="11494" xr3:uid="{00000000-0010-0000-2000-0000E62C0000}" name="Column11467"/>
    <tableColumn id="11495" xr3:uid="{00000000-0010-0000-2000-0000E72C0000}" name="Column11468"/>
    <tableColumn id="11496" xr3:uid="{00000000-0010-0000-2000-0000E82C0000}" name="Column11469"/>
    <tableColumn id="11497" xr3:uid="{00000000-0010-0000-2000-0000E92C0000}" name="Column11470"/>
    <tableColumn id="11498" xr3:uid="{00000000-0010-0000-2000-0000EA2C0000}" name="Column11471"/>
    <tableColumn id="11499" xr3:uid="{00000000-0010-0000-2000-0000EB2C0000}" name="Column11472"/>
    <tableColumn id="11500" xr3:uid="{00000000-0010-0000-2000-0000EC2C0000}" name="Column11473"/>
    <tableColumn id="11501" xr3:uid="{00000000-0010-0000-2000-0000ED2C0000}" name="Column11474"/>
    <tableColumn id="11502" xr3:uid="{00000000-0010-0000-2000-0000EE2C0000}" name="Column11475"/>
    <tableColumn id="11503" xr3:uid="{00000000-0010-0000-2000-0000EF2C0000}" name="Column11476"/>
    <tableColumn id="11504" xr3:uid="{00000000-0010-0000-2000-0000F02C0000}" name="Column11477"/>
    <tableColumn id="11505" xr3:uid="{00000000-0010-0000-2000-0000F12C0000}" name="Column11478"/>
    <tableColumn id="11506" xr3:uid="{00000000-0010-0000-2000-0000F22C0000}" name="Column11479"/>
    <tableColumn id="11507" xr3:uid="{00000000-0010-0000-2000-0000F32C0000}" name="Column11480"/>
    <tableColumn id="11508" xr3:uid="{00000000-0010-0000-2000-0000F42C0000}" name="Column11481"/>
    <tableColumn id="11509" xr3:uid="{00000000-0010-0000-2000-0000F52C0000}" name="Column11482"/>
    <tableColumn id="11510" xr3:uid="{00000000-0010-0000-2000-0000F62C0000}" name="Column11483"/>
    <tableColumn id="11511" xr3:uid="{00000000-0010-0000-2000-0000F72C0000}" name="Column11484"/>
    <tableColumn id="11512" xr3:uid="{00000000-0010-0000-2000-0000F82C0000}" name="Column11485"/>
    <tableColumn id="11513" xr3:uid="{00000000-0010-0000-2000-0000F92C0000}" name="Column11486"/>
    <tableColumn id="11514" xr3:uid="{00000000-0010-0000-2000-0000FA2C0000}" name="Column11487"/>
    <tableColumn id="11515" xr3:uid="{00000000-0010-0000-2000-0000FB2C0000}" name="Column11488"/>
    <tableColumn id="11516" xr3:uid="{00000000-0010-0000-2000-0000FC2C0000}" name="Column11489"/>
    <tableColumn id="11517" xr3:uid="{00000000-0010-0000-2000-0000FD2C0000}" name="Column11490"/>
    <tableColumn id="11518" xr3:uid="{00000000-0010-0000-2000-0000FE2C0000}" name="Column11491"/>
    <tableColumn id="11519" xr3:uid="{00000000-0010-0000-2000-0000FF2C0000}" name="Column11492"/>
    <tableColumn id="11520" xr3:uid="{00000000-0010-0000-2000-0000002D0000}" name="Column11493"/>
    <tableColumn id="11521" xr3:uid="{00000000-0010-0000-2000-0000012D0000}" name="Column11494"/>
    <tableColumn id="11522" xr3:uid="{00000000-0010-0000-2000-0000022D0000}" name="Column11495"/>
    <tableColumn id="11523" xr3:uid="{00000000-0010-0000-2000-0000032D0000}" name="Column11496"/>
    <tableColumn id="11524" xr3:uid="{00000000-0010-0000-2000-0000042D0000}" name="Column11497"/>
    <tableColumn id="11525" xr3:uid="{00000000-0010-0000-2000-0000052D0000}" name="Column11498"/>
    <tableColumn id="11526" xr3:uid="{00000000-0010-0000-2000-0000062D0000}" name="Column11499"/>
    <tableColumn id="11527" xr3:uid="{00000000-0010-0000-2000-0000072D0000}" name="Column11500"/>
    <tableColumn id="11528" xr3:uid="{00000000-0010-0000-2000-0000082D0000}" name="Column11501"/>
    <tableColumn id="11529" xr3:uid="{00000000-0010-0000-2000-0000092D0000}" name="Column11502"/>
    <tableColumn id="11530" xr3:uid="{00000000-0010-0000-2000-00000A2D0000}" name="Column11503"/>
    <tableColumn id="11531" xr3:uid="{00000000-0010-0000-2000-00000B2D0000}" name="Column11504"/>
    <tableColumn id="11532" xr3:uid="{00000000-0010-0000-2000-00000C2D0000}" name="Column11505"/>
    <tableColumn id="11533" xr3:uid="{00000000-0010-0000-2000-00000D2D0000}" name="Column11506"/>
    <tableColumn id="11534" xr3:uid="{00000000-0010-0000-2000-00000E2D0000}" name="Column11507"/>
    <tableColumn id="11535" xr3:uid="{00000000-0010-0000-2000-00000F2D0000}" name="Column11508"/>
    <tableColumn id="11536" xr3:uid="{00000000-0010-0000-2000-0000102D0000}" name="Column11509"/>
    <tableColumn id="11537" xr3:uid="{00000000-0010-0000-2000-0000112D0000}" name="Column11510"/>
    <tableColumn id="11538" xr3:uid="{00000000-0010-0000-2000-0000122D0000}" name="Column11511"/>
    <tableColumn id="11539" xr3:uid="{00000000-0010-0000-2000-0000132D0000}" name="Column11512"/>
    <tableColumn id="11540" xr3:uid="{00000000-0010-0000-2000-0000142D0000}" name="Column11513"/>
    <tableColumn id="11541" xr3:uid="{00000000-0010-0000-2000-0000152D0000}" name="Column11514"/>
    <tableColumn id="11542" xr3:uid="{00000000-0010-0000-2000-0000162D0000}" name="Column11515"/>
    <tableColumn id="11543" xr3:uid="{00000000-0010-0000-2000-0000172D0000}" name="Column11516"/>
    <tableColumn id="11544" xr3:uid="{00000000-0010-0000-2000-0000182D0000}" name="Column11517"/>
    <tableColumn id="11545" xr3:uid="{00000000-0010-0000-2000-0000192D0000}" name="Column11518"/>
    <tableColumn id="11546" xr3:uid="{00000000-0010-0000-2000-00001A2D0000}" name="Column11519"/>
    <tableColumn id="11547" xr3:uid="{00000000-0010-0000-2000-00001B2D0000}" name="Column11520"/>
    <tableColumn id="11548" xr3:uid="{00000000-0010-0000-2000-00001C2D0000}" name="Column11521"/>
    <tableColumn id="11549" xr3:uid="{00000000-0010-0000-2000-00001D2D0000}" name="Column11522"/>
    <tableColumn id="11550" xr3:uid="{00000000-0010-0000-2000-00001E2D0000}" name="Column11523"/>
    <tableColumn id="11551" xr3:uid="{00000000-0010-0000-2000-00001F2D0000}" name="Column11524"/>
    <tableColumn id="11552" xr3:uid="{00000000-0010-0000-2000-0000202D0000}" name="Column11525"/>
    <tableColumn id="11553" xr3:uid="{00000000-0010-0000-2000-0000212D0000}" name="Column11526"/>
    <tableColumn id="11554" xr3:uid="{00000000-0010-0000-2000-0000222D0000}" name="Column11527"/>
    <tableColumn id="11555" xr3:uid="{00000000-0010-0000-2000-0000232D0000}" name="Column11528"/>
    <tableColumn id="11556" xr3:uid="{00000000-0010-0000-2000-0000242D0000}" name="Column11529"/>
    <tableColumn id="11557" xr3:uid="{00000000-0010-0000-2000-0000252D0000}" name="Column11530"/>
    <tableColumn id="11558" xr3:uid="{00000000-0010-0000-2000-0000262D0000}" name="Column11531"/>
    <tableColumn id="11559" xr3:uid="{00000000-0010-0000-2000-0000272D0000}" name="Column11532"/>
    <tableColumn id="11560" xr3:uid="{00000000-0010-0000-2000-0000282D0000}" name="Column11533"/>
    <tableColumn id="11561" xr3:uid="{00000000-0010-0000-2000-0000292D0000}" name="Column11534"/>
    <tableColumn id="11562" xr3:uid="{00000000-0010-0000-2000-00002A2D0000}" name="Column11535"/>
    <tableColumn id="11563" xr3:uid="{00000000-0010-0000-2000-00002B2D0000}" name="Column11536"/>
    <tableColumn id="11564" xr3:uid="{00000000-0010-0000-2000-00002C2D0000}" name="Column11537"/>
    <tableColumn id="11565" xr3:uid="{00000000-0010-0000-2000-00002D2D0000}" name="Column11538"/>
    <tableColumn id="11566" xr3:uid="{00000000-0010-0000-2000-00002E2D0000}" name="Column11539"/>
    <tableColumn id="11567" xr3:uid="{00000000-0010-0000-2000-00002F2D0000}" name="Column11540"/>
    <tableColumn id="11568" xr3:uid="{00000000-0010-0000-2000-0000302D0000}" name="Column11541"/>
    <tableColumn id="11569" xr3:uid="{00000000-0010-0000-2000-0000312D0000}" name="Column11542"/>
    <tableColumn id="11570" xr3:uid="{00000000-0010-0000-2000-0000322D0000}" name="Column11543"/>
    <tableColumn id="11571" xr3:uid="{00000000-0010-0000-2000-0000332D0000}" name="Column11544"/>
    <tableColumn id="11572" xr3:uid="{00000000-0010-0000-2000-0000342D0000}" name="Column11545"/>
    <tableColumn id="11573" xr3:uid="{00000000-0010-0000-2000-0000352D0000}" name="Column11546"/>
    <tableColumn id="11574" xr3:uid="{00000000-0010-0000-2000-0000362D0000}" name="Column11547"/>
    <tableColumn id="11575" xr3:uid="{00000000-0010-0000-2000-0000372D0000}" name="Column11548"/>
    <tableColumn id="11576" xr3:uid="{00000000-0010-0000-2000-0000382D0000}" name="Column11549"/>
    <tableColumn id="11577" xr3:uid="{00000000-0010-0000-2000-0000392D0000}" name="Column11550"/>
    <tableColumn id="11578" xr3:uid="{00000000-0010-0000-2000-00003A2D0000}" name="Column11551"/>
    <tableColumn id="11579" xr3:uid="{00000000-0010-0000-2000-00003B2D0000}" name="Column11552"/>
    <tableColumn id="11580" xr3:uid="{00000000-0010-0000-2000-00003C2D0000}" name="Column11553"/>
    <tableColumn id="11581" xr3:uid="{00000000-0010-0000-2000-00003D2D0000}" name="Column11554"/>
    <tableColumn id="11582" xr3:uid="{00000000-0010-0000-2000-00003E2D0000}" name="Column11555"/>
    <tableColumn id="11583" xr3:uid="{00000000-0010-0000-2000-00003F2D0000}" name="Column11556"/>
    <tableColumn id="11584" xr3:uid="{00000000-0010-0000-2000-0000402D0000}" name="Column11557"/>
    <tableColumn id="11585" xr3:uid="{00000000-0010-0000-2000-0000412D0000}" name="Column11558"/>
    <tableColumn id="11586" xr3:uid="{00000000-0010-0000-2000-0000422D0000}" name="Column11559"/>
    <tableColumn id="11587" xr3:uid="{00000000-0010-0000-2000-0000432D0000}" name="Column11560"/>
    <tableColumn id="11588" xr3:uid="{00000000-0010-0000-2000-0000442D0000}" name="Column11561"/>
    <tableColumn id="11589" xr3:uid="{00000000-0010-0000-2000-0000452D0000}" name="Column11562"/>
    <tableColumn id="11590" xr3:uid="{00000000-0010-0000-2000-0000462D0000}" name="Column11563"/>
    <tableColumn id="11591" xr3:uid="{00000000-0010-0000-2000-0000472D0000}" name="Column11564"/>
    <tableColumn id="11592" xr3:uid="{00000000-0010-0000-2000-0000482D0000}" name="Column11565"/>
    <tableColumn id="11593" xr3:uid="{00000000-0010-0000-2000-0000492D0000}" name="Column11566"/>
    <tableColumn id="11594" xr3:uid="{00000000-0010-0000-2000-00004A2D0000}" name="Column11567"/>
    <tableColumn id="11595" xr3:uid="{00000000-0010-0000-2000-00004B2D0000}" name="Column11568"/>
    <tableColumn id="11596" xr3:uid="{00000000-0010-0000-2000-00004C2D0000}" name="Column11569"/>
    <tableColumn id="11597" xr3:uid="{00000000-0010-0000-2000-00004D2D0000}" name="Column11570"/>
    <tableColumn id="11598" xr3:uid="{00000000-0010-0000-2000-00004E2D0000}" name="Column11571"/>
    <tableColumn id="11599" xr3:uid="{00000000-0010-0000-2000-00004F2D0000}" name="Column11572"/>
    <tableColumn id="11600" xr3:uid="{00000000-0010-0000-2000-0000502D0000}" name="Column11573"/>
    <tableColumn id="11601" xr3:uid="{00000000-0010-0000-2000-0000512D0000}" name="Column11574"/>
    <tableColumn id="11602" xr3:uid="{00000000-0010-0000-2000-0000522D0000}" name="Column11575"/>
    <tableColumn id="11603" xr3:uid="{00000000-0010-0000-2000-0000532D0000}" name="Column11576"/>
    <tableColumn id="11604" xr3:uid="{00000000-0010-0000-2000-0000542D0000}" name="Column11577"/>
    <tableColumn id="11605" xr3:uid="{00000000-0010-0000-2000-0000552D0000}" name="Column11578"/>
    <tableColumn id="11606" xr3:uid="{00000000-0010-0000-2000-0000562D0000}" name="Column11579"/>
    <tableColumn id="11607" xr3:uid="{00000000-0010-0000-2000-0000572D0000}" name="Column11580"/>
    <tableColumn id="11608" xr3:uid="{00000000-0010-0000-2000-0000582D0000}" name="Column11581"/>
    <tableColumn id="11609" xr3:uid="{00000000-0010-0000-2000-0000592D0000}" name="Column11582"/>
    <tableColumn id="11610" xr3:uid="{00000000-0010-0000-2000-00005A2D0000}" name="Column11583"/>
    <tableColumn id="11611" xr3:uid="{00000000-0010-0000-2000-00005B2D0000}" name="Column11584"/>
    <tableColumn id="11612" xr3:uid="{00000000-0010-0000-2000-00005C2D0000}" name="Column11585"/>
    <tableColumn id="11613" xr3:uid="{00000000-0010-0000-2000-00005D2D0000}" name="Column11586"/>
    <tableColumn id="11614" xr3:uid="{00000000-0010-0000-2000-00005E2D0000}" name="Column11587"/>
    <tableColumn id="11615" xr3:uid="{00000000-0010-0000-2000-00005F2D0000}" name="Column11588"/>
    <tableColumn id="11616" xr3:uid="{00000000-0010-0000-2000-0000602D0000}" name="Column11589"/>
    <tableColumn id="11617" xr3:uid="{00000000-0010-0000-2000-0000612D0000}" name="Column11590"/>
    <tableColumn id="11618" xr3:uid="{00000000-0010-0000-2000-0000622D0000}" name="Column11591"/>
    <tableColumn id="11619" xr3:uid="{00000000-0010-0000-2000-0000632D0000}" name="Column11592"/>
    <tableColumn id="11620" xr3:uid="{00000000-0010-0000-2000-0000642D0000}" name="Column11593"/>
    <tableColumn id="11621" xr3:uid="{00000000-0010-0000-2000-0000652D0000}" name="Column11594"/>
    <tableColumn id="11622" xr3:uid="{00000000-0010-0000-2000-0000662D0000}" name="Column11595"/>
    <tableColumn id="11623" xr3:uid="{00000000-0010-0000-2000-0000672D0000}" name="Column11596"/>
    <tableColumn id="11624" xr3:uid="{00000000-0010-0000-2000-0000682D0000}" name="Column11597"/>
    <tableColumn id="11625" xr3:uid="{00000000-0010-0000-2000-0000692D0000}" name="Column11598"/>
    <tableColumn id="11626" xr3:uid="{00000000-0010-0000-2000-00006A2D0000}" name="Column11599"/>
    <tableColumn id="11627" xr3:uid="{00000000-0010-0000-2000-00006B2D0000}" name="Column11600"/>
    <tableColumn id="11628" xr3:uid="{00000000-0010-0000-2000-00006C2D0000}" name="Column11601"/>
    <tableColumn id="11629" xr3:uid="{00000000-0010-0000-2000-00006D2D0000}" name="Column11602"/>
    <tableColumn id="11630" xr3:uid="{00000000-0010-0000-2000-00006E2D0000}" name="Column11603"/>
    <tableColumn id="11631" xr3:uid="{00000000-0010-0000-2000-00006F2D0000}" name="Column11604"/>
    <tableColumn id="11632" xr3:uid="{00000000-0010-0000-2000-0000702D0000}" name="Column11605"/>
    <tableColumn id="11633" xr3:uid="{00000000-0010-0000-2000-0000712D0000}" name="Column11606"/>
    <tableColumn id="11634" xr3:uid="{00000000-0010-0000-2000-0000722D0000}" name="Column11607"/>
    <tableColumn id="11635" xr3:uid="{00000000-0010-0000-2000-0000732D0000}" name="Column11608"/>
    <tableColumn id="11636" xr3:uid="{00000000-0010-0000-2000-0000742D0000}" name="Column11609"/>
    <tableColumn id="11637" xr3:uid="{00000000-0010-0000-2000-0000752D0000}" name="Column11610"/>
    <tableColumn id="11638" xr3:uid="{00000000-0010-0000-2000-0000762D0000}" name="Column11611"/>
    <tableColumn id="11639" xr3:uid="{00000000-0010-0000-2000-0000772D0000}" name="Column11612"/>
    <tableColumn id="11640" xr3:uid="{00000000-0010-0000-2000-0000782D0000}" name="Column11613"/>
    <tableColumn id="11641" xr3:uid="{00000000-0010-0000-2000-0000792D0000}" name="Column11614"/>
    <tableColumn id="11642" xr3:uid="{00000000-0010-0000-2000-00007A2D0000}" name="Column11615"/>
    <tableColumn id="11643" xr3:uid="{00000000-0010-0000-2000-00007B2D0000}" name="Column11616"/>
    <tableColumn id="11644" xr3:uid="{00000000-0010-0000-2000-00007C2D0000}" name="Column11617"/>
    <tableColumn id="11645" xr3:uid="{00000000-0010-0000-2000-00007D2D0000}" name="Column11618"/>
    <tableColumn id="11646" xr3:uid="{00000000-0010-0000-2000-00007E2D0000}" name="Column11619"/>
    <tableColumn id="11647" xr3:uid="{00000000-0010-0000-2000-00007F2D0000}" name="Column11620"/>
    <tableColumn id="11648" xr3:uid="{00000000-0010-0000-2000-0000802D0000}" name="Column11621"/>
    <tableColumn id="11649" xr3:uid="{00000000-0010-0000-2000-0000812D0000}" name="Column11622"/>
    <tableColumn id="11650" xr3:uid="{00000000-0010-0000-2000-0000822D0000}" name="Column11623"/>
    <tableColumn id="11651" xr3:uid="{00000000-0010-0000-2000-0000832D0000}" name="Column11624"/>
    <tableColumn id="11652" xr3:uid="{00000000-0010-0000-2000-0000842D0000}" name="Column11625"/>
    <tableColumn id="11653" xr3:uid="{00000000-0010-0000-2000-0000852D0000}" name="Column11626"/>
    <tableColumn id="11654" xr3:uid="{00000000-0010-0000-2000-0000862D0000}" name="Column11627"/>
    <tableColumn id="11655" xr3:uid="{00000000-0010-0000-2000-0000872D0000}" name="Column11628"/>
    <tableColumn id="11656" xr3:uid="{00000000-0010-0000-2000-0000882D0000}" name="Column11629"/>
    <tableColumn id="11657" xr3:uid="{00000000-0010-0000-2000-0000892D0000}" name="Column11630"/>
    <tableColumn id="11658" xr3:uid="{00000000-0010-0000-2000-00008A2D0000}" name="Column11631"/>
    <tableColumn id="11659" xr3:uid="{00000000-0010-0000-2000-00008B2D0000}" name="Column11632"/>
    <tableColumn id="11660" xr3:uid="{00000000-0010-0000-2000-00008C2D0000}" name="Column11633"/>
    <tableColumn id="11661" xr3:uid="{00000000-0010-0000-2000-00008D2D0000}" name="Column11634"/>
    <tableColumn id="11662" xr3:uid="{00000000-0010-0000-2000-00008E2D0000}" name="Column11635"/>
    <tableColumn id="11663" xr3:uid="{00000000-0010-0000-2000-00008F2D0000}" name="Column11636"/>
    <tableColumn id="11664" xr3:uid="{00000000-0010-0000-2000-0000902D0000}" name="Column11637"/>
    <tableColumn id="11665" xr3:uid="{00000000-0010-0000-2000-0000912D0000}" name="Column11638"/>
    <tableColumn id="11666" xr3:uid="{00000000-0010-0000-2000-0000922D0000}" name="Column11639"/>
    <tableColumn id="11667" xr3:uid="{00000000-0010-0000-2000-0000932D0000}" name="Column11640"/>
    <tableColumn id="11668" xr3:uid="{00000000-0010-0000-2000-0000942D0000}" name="Column11641"/>
    <tableColumn id="11669" xr3:uid="{00000000-0010-0000-2000-0000952D0000}" name="Column11642"/>
    <tableColumn id="11670" xr3:uid="{00000000-0010-0000-2000-0000962D0000}" name="Column11643"/>
    <tableColumn id="11671" xr3:uid="{00000000-0010-0000-2000-0000972D0000}" name="Column11644"/>
    <tableColumn id="11672" xr3:uid="{00000000-0010-0000-2000-0000982D0000}" name="Column11645"/>
    <tableColumn id="11673" xr3:uid="{00000000-0010-0000-2000-0000992D0000}" name="Column11646"/>
    <tableColumn id="11674" xr3:uid="{00000000-0010-0000-2000-00009A2D0000}" name="Column11647"/>
    <tableColumn id="11675" xr3:uid="{00000000-0010-0000-2000-00009B2D0000}" name="Column11648"/>
    <tableColumn id="11676" xr3:uid="{00000000-0010-0000-2000-00009C2D0000}" name="Column11649"/>
    <tableColumn id="11677" xr3:uid="{00000000-0010-0000-2000-00009D2D0000}" name="Column11650"/>
    <tableColumn id="11678" xr3:uid="{00000000-0010-0000-2000-00009E2D0000}" name="Column11651"/>
    <tableColumn id="11679" xr3:uid="{00000000-0010-0000-2000-00009F2D0000}" name="Column11652"/>
    <tableColumn id="11680" xr3:uid="{00000000-0010-0000-2000-0000A02D0000}" name="Column11653"/>
    <tableColumn id="11681" xr3:uid="{00000000-0010-0000-2000-0000A12D0000}" name="Column11654"/>
    <tableColumn id="11682" xr3:uid="{00000000-0010-0000-2000-0000A22D0000}" name="Column11655"/>
    <tableColumn id="11683" xr3:uid="{00000000-0010-0000-2000-0000A32D0000}" name="Column11656"/>
    <tableColumn id="11684" xr3:uid="{00000000-0010-0000-2000-0000A42D0000}" name="Column11657"/>
    <tableColumn id="11685" xr3:uid="{00000000-0010-0000-2000-0000A52D0000}" name="Column11658"/>
    <tableColumn id="11686" xr3:uid="{00000000-0010-0000-2000-0000A62D0000}" name="Column11659"/>
    <tableColumn id="11687" xr3:uid="{00000000-0010-0000-2000-0000A72D0000}" name="Column11660"/>
    <tableColumn id="11688" xr3:uid="{00000000-0010-0000-2000-0000A82D0000}" name="Column11661"/>
    <tableColumn id="11689" xr3:uid="{00000000-0010-0000-2000-0000A92D0000}" name="Column11662"/>
    <tableColumn id="11690" xr3:uid="{00000000-0010-0000-2000-0000AA2D0000}" name="Column11663"/>
    <tableColumn id="11691" xr3:uid="{00000000-0010-0000-2000-0000AB2D0000}" name="Column11664"/>
    <tableColumn id="11692" xr3:uid="{00000000-0010-0000-2000-0000AC2D0000}" name="Column11665"/>
    <tableColumn id="11693" xr3:uid="{00000000-0010-0000-2000-0000AD2D0000}" name="Column11666"/>
    <tableColumn id="11694" xr3:uid="{00000000-0010-0000-2000-0000AE2D0000}" name="Column11667"/>
    <tableColumn id="11695" xr3:uid="{00000000-0010-0000-2000-0000AF2D0000}" name="Column11668"/>
    <tableColumn id="11696" xr3:uid="{00000000-0010-0000-2000-0000B02D0000}" name="Column11669"/>
    <tableColumn id="11697" xr3:uid="{00000000-0010-0000-2000-0000B12D0000}" name="Column11670"/>
    <tableColumn id="11698" xr3:uid="{00000000-0010-0000-2000-0000B22D0000}" name="Column11671"/>
    <tableColumn id="11699" xr3:uid="{00000000-0010-0000-2000-0000B32D0000}" name="Column11672"/>
    <tableColumn id="11700" xr3:uid="{00000000-0010-0000-2000-0000B42D0000}" name="Column11673"/>
    <tableColumn id="11701" xr3:uid="{00000000-0010-0000-2000-0000B52D0000}" name="Column11674"/>
    <tableColumn id="11702" xr3:uid="{00000000-0010-0000-2000-0000B62D0000}" name="Column11675"/>
    <tableColumn id="11703" xr3:uid="{00000000-0010-0000-2000-0000B72D0000}" name="Column11676"/>
    <tableColumn id="11704" xr3:uid="{00000000-0010-0000-2000-0000B82D0000}" name="Column11677"/>
    <tableColumn id="11705" xr3:uid="{00000000-0010-0000-2000-0000B92D0000}" name="Column11678"/>
    <tableColumn id="11706" xr3:uid="{00000000-0010-0000-2000-0000BA2D0000}" name="Column11679"/>
    <tableColumn id="11707" xr3:uid="{00000000-0010-0000-2000-0000BB2D0000}" name="Column11680"/>
    <tableColumn id="11708" xr3:uid="{00000000-0010-0000-2000-0000BC2D0000}" name="Column11681"/>
    <tableColumn id="11709" xr3:uid="{00000000-0010-0000-2000-0000BD2D0000}" name="Column11682"/>
    <tableColumn id="11710" xr3:uid="{00000000-0010-0000-2000-0000BE2D0000}" name="Column11683"/>
    <tableColumn id="11711" xr3:uid="{00000000-0010-0000-2000-0000BF2D0000}" name="Column11684"/>
    <tableColumn id="11712" xr3:uid="{00000000-0010-0000-2000-0000C02D0000}" name="Column11685"/>
    <tableColumn id="11713" xr3:uid="{00000000-0010-0000-2000-0000C12D0000}" name="Column11686"/>
    <tableColumn id="11714" xr3:uid="{00000000-0010-0000-2000-0000C22D0000}" name="Column11687"/>
    <tableColumn id="11715" xr3:uid="{00000000-0010-0000-2000-0000C32D0000}" name="Column11688"/>
    <tableColumn id="11716" xr3:uid="{00000000-0010-0000-2000-0000C42D0000}" name="Column11689"/>
    <tableColumn id="11717" xr3:uid="{00000000-0010-0000-2000-0000C52D0000}" name="Column11690"/>
    <tableColumn id="11718" xr3:uid="{00000000-0010-0000-2000-0000C62D0000}" name="Column11691"/>
    <tableColumn id="11719" xr3:uid="{00000000-0010-0000-2000-0000C72D0000}" name="Column11692"/>
    <tableColumn id="11720" xr3:uid="{00000000-0010-0000-2000-0000C82D0000}" name="Column11693"/>
    <tableColumn id="11721" xr3:uid="{00000000-0010-0000-2000-0000C92D0000}" name="Column11694"/>
    <tableColumn id="11722" xr3:uid="{00000000-0010-0000-2000-0000CA2D0000}" name="Column11695"/>
    <tableColumn id="11723" xr3:uid="{00000000-0010-0000-2000-0000CB2D0000}" name="Column11696"/>
    <tableColumn id="11724" xr3:uid="{00000000-0010-0000-2000-0000CC2D0000}" name="Column11697"/>
    <tableColumn id="11725" xr3:uid="{00000000-0010-0000-2000-0000CD2D0000}" name="Column11698"/>
    <tableColumn id="11726" xr3:uid="{00000000-0010-0000-2000-0000CE2D0000}" name="Column11699"/>
    <tableColumn id="11727" xr3:uid="{00000000-0010-0000-2000-0000CF2D0000}" name="Column11700"/>
    <tableColumn id="11728" xr3:uid="{00000000-0010-0000-2000-0000D02D0000}" name="Column11701"/>
    <tableColumn id="11729" xr3:uid="{00000000-0010-0000-2000-0000D12D0000}" name="Column11702"/>
    <tableColumn id="11730" xr3:uid="{00000000-0010-0000-2000-0000D22D0000}" name="Column11703"/>
    <tableColumn id="11731" xr3:uid="{00000000-0010-0000-2000-0000D32D0000}" name="Column11704"/>
    <tableColumn id="11732" xr3:uid="{00000000-0010-0000-2000-0000D42D0000}" name="Column11705"/>
    <tableColumn id="11733" xr3:uid="{00000000-0010-0000-2000-0000D52D0000}" name="Column11706"/>
    <tableColumn id="11734" xr3:uid="{00000000-0010-0000-2000-0000D62D0000}" name="Column11707"/>
    <tableColumn id="11735" xr3:uid="{00000000-0010-0000-2000-0000D72D0000}" name="Column11708"/>
    <tableColumn id="11736" xr3:uid="{00000000-0010-0000-2000-0000D82D0000}" name="Column11709"/>
    <tableColumn id="11737" xr3:uid="{00000000-0010-0000-2000-0000D92D0000}" name="Column11710"/>
    <tableColumn id="11738" xr3:uid="{00000000-0010-0000-2000-0000DA2D0000}" name="Column11711"/>
    <tableColumn id="11739" xr3:uid="{00000000-0010-0000-2000-0000DB2D0000}" name="Column11712"/>
    <tableColumn id="11740" xr3:uid="{00000000-0010-0000-2000-0000DC2D0000}" name="Column11713"/>
    <tableColumn id="11741" xr3:uid="{00000000-0010-0000-2000-0000DD2D0000}" name="Column11714"/>
    <tableColumn id="11742" xr3:uid="{00000000-0010-0000-2000-0000DE2D0000}" name="Column11715"/>
    <tableColumn id="11743" xr3:uid="{00000000-0010-0000-2000-0000DF2D0000}" name="Column11716"/>
    <tableColumn id="11744" xr3:uid="{00000000-0010-0000-2000-0000E02D0000}" name="Column11717"/>
    <tableColumn id="11745" xr3:uid="{00000000-0010-0000-2000-0000E12D0000}" name="Column11718"/>
    <tableColumn id="11746" xr3:uid="{00000000-0010-0000-2000-0000E22D0000}" name="Column11719"/>
    <tableColumn id="11747" xr3:uid="{00000000-0010-0000-2000-0000E32D0000}" name="Column11720"/>
    <tableColumn id="11748" xr3:uid="{00000000-0010-0000-2000-0000E42D0000}" name="Column11721"/>
    <tableColumn id="11749" xr3:uid="{00000000-0010-0000-2000-0000E52D0000}" name="Column11722"/>
    <tableColumn id="11750" xr3:uid="{00000000-0010-0000-2000-0000E62D0000}" name="Column11723"/>
    <tableColumn id="11751" xr3:uid="{00000000-0010-0000-2000-0000E72D0000}" name="Column11724"/>
    <tableColumn id="11752" xr3:uid="{00000000-0010-0000-2000-0000E82D0000}" name="Column11725"/>
    <tableColumn id="11753" xr3:uid="{00000000-0010-0000-2000-0000E92D0000}" name="Column11726"/>
    <tableColumn id="11754" xr3:uid="{00000000-0010-0000-2000-0000EA2D0000}" name="Column11727"/>
    <tableColumn id="11755" xr3:uid="{00000000-0010-0000-2000-0000EB2D0000}" name="Column11728"/>
    <tableColumn id="11756" xr3:uid="{00000000-0010-0000-2000-0000EC2D0000}" name="Column11729"/>
    <tableColumn id="11757" xr3:uid="{00000000-0010-0000-2000-0000ED2D0000}" name="Column11730"/>
    <tableColumn id="11758" xr3:uid="{00000000-0010-0000-2000-0000EE2D0000}" name="Column11731"/>
    <tableColumn id="11759" xr3:uid="{00000000-0010-0000-2000-0000EF2D0000}" name="Column11732"/>
    <tableColumn id="11760" xr3:uid="{00000000-0010-0000-2000-0000F02D0000}" name="Column11733"/>
    <tableColumn id="11761" xr3:uid="{00000000-0010-0000-2000-0000F12D0000}" name="Column11734"/>
    <tableColumn id="11762" xr3:uid="{00000000-0010-0000-2000-0000F22D0000}" name="Column11735"/>
    <tableColumn id="11763" xr3:uid="{00000000-0010-0000-2000-0000F32D0000}" name="Column11736"/>
    <tableColumn id="11764" xr3:uid="{00000000-0010-0000-2000-0000F42D0000}" name="Column11737"/>
    <tableColumn id="11765" xr3:uid="{00000000-0010-0000-2000-0000F52D0000}" name="Column11738"/>
    <tableColumn id="11766" xr3:uid="{00000000-0010-0000-2000-0000F62D0000}" name="Column11739"/>
    <tableColumn id="11767" xr3:uid="{00000000-0010-0000-2000-0000F72D0000}" name="Column11740"/>
    <tableColumn id="11768" xr3:uid="{00000000-0010-0000-2000-0000F82D0000}" name="Column11741"/>
    <tableColumn id="11769" xr3:uid="{00000000-0010-0000-2000-0000F92D0000}" name="Column11742"/>
    <tableColumn id="11770" xr3:uid="{00000000-0010-0000-2000-0000FA2D0000}" name="Column11743"/>
    <tableColumn id="11771" xr3:uid="{00000000-0010-0000-2000-0000FB2D0000}" name="Column11744"/>
    <tableColumn id="11772" xr3:uid="{00000000-0010-0000-2000-0000FC2D0000}" name="Column11745"/>
    <tableColumn id="11773" xr3:uid="{00000000-0010-0000-2000-0000FD2D0000}" name="Column11746"/>
    <tableColumn id="11774" xr3:uid="{00000000-0010-0000-2000-0000FE2D0000}" name="Column11747"/>
    <tableColumn id="11775" xr3:uid="{00000000-0010-0000-2000-0000FF2D0000}" name="Column11748"/>
    <tableColumn id="11776" xr3:uid="{00000000-0010-0000-2000-0000002E0000}" name="Column11749"/>
    <tableColumn id="11777" xr3:uid="{00000000-0010-0000-2000-0000012E0000}" name="Column11750"/>
    <tableColumn id="11778" xr3:uid="{00000000-0010-0000-2000-0000022E0000}" name="Column11751"/>
    <tableColumn id="11779" xr3:uid="{00000000-0010-0000-2000-0000032E0000}" name="Column11752"/>
    <tableColumn id="11780" xr3:uid="{00000000-0010-0000-2000-0000042E0000}" name="Column11753"/>
    <tableColumn id="11781" xr3:uid="{00000000-0010-0000-2000-0000052E0000}" name="Column11754"/>
    <tableColumn id="11782" xr3:uid="{00000000-0010-0000-2000-0000062E0000}" name="Column11755"/>
    <tableColumn id="11783" xr3:uid="{00000000-0010-0000-2000-0000072E0000}" name="Column11756"/>
    <tableColumn id="11784" xr3:uid="{00000000-0010-0000-2000-0000082E0000}" name="Column11757"/>
    <tableColumn id="11785" xr3:uid="{00000000-0010-0000-2000-0000092E0000}" name="Column11758"/>
    <tableColumn id="11786" xr3:uid="{00000000-0010-0000-2000-00000A2E0000}" name="Column11759"/>
    <tableColumn id="11787" xr3:uid="{00000000-0010-0000-2000-00000B2E0000}" name="Column11760"/>
    <tableColumn id="11788" xr3:uid="{00000000-0010-0000-2000-00000C2E0000}" name="Column11761"/>
    <tableColumn id="11789" xr3:uid="{00000000-0010-0000-2000-00000D2E0000}" name="Column11762"/>
    <tableColumn id="11790" xr3:uid="{00000000-0010-0000-2000-00000E2E0000}" name="Column11763"/>
    <tableColumn id="11791" xr3:uid="{00000000-0010-0000-2000-00000F2E0000}" name="Column11764"/>
    <tableColumn id="11792" xr3:uid="{00000000-0010-0000-2000-0000102E0000}" name="Column11765"/>
    <tableColumn id="11793" xr3:uid="{00000000-0010-0000-2000-0000112E0000}" name="Column11766"/>
    <tableColumn id="11794" xr3:uid="{00000000-0010-0000-2000-0000122E0000}" name="Column11767"/>
    <tableColumn id="11795" xr3:uid="{00000000-0010-0000-2000-0000132E0000}" name="Column11768"/>
    <tableColumn id="11796" xr3:uid="{00000000-0010-0000-2000-0000142E0000}" name="Column11769"/>
    <tableColumn id="11797" xr3:uid="{00000000-0010-0000-2000-0000152E0000}" name="Column11770"/>
    <tableColumn id="11798" xr3:uid="{00000000-0010-0000-2000-0000162E0000}" name="Column11771"/>
    <tableColumn id="11799" xr3:uid="{00000000-0010-0000-2000-0000172E0000}" name="Column11772"/>
    <tableColumn id="11800" xr3:uid="{00000000-0010-0000-2000-0000182E0000}" name="Column11773"/>
    <tableColumn id="11801" xr3:uid="{00000000-0010-0000-2000-0000192E0000}" name="Column11774"/>
    <tableColumn id="11802" xr3:uid="{00000000-0010-0000-2000-00001A2E0000}" name="Column11775"/>
    <tableColumn id="11803" xr3:uid="{00000000-0010-0000-2000-00001B2E0000}" name="Column11776"/>
    <tableColumn id="11804" xr3:uid="{00000000-0010-0000-2000-00001C2E0000}" name="Column11777"/>
    <tableColumn id="11805" xr3:uid="{00000000-0010-0000-2000-00001D2E0000}" name="Column11778"/>
    <tableColumn id="11806" xr3:uid="{00000000-0010-0000-2000-00001E2E0000}" name="Column11779"/>
    <tableColumn id="11807" xr3:uid="{00000000-0010-0000-2000-00001F2E0000}" name="Column11780"/>
    <tableColumn id="11808" xr3:uid="{00000000-0010-0000-2000-0000202E0000}" name="Column11781"/>
    <tableColumn id="11809" xr3:uid="{00000000-0010-0000-2000-0000212E0000}" name="Column11782"/>
    <tableColumn id="11810" xr3:uid="{00000000-0010-0000-2000-0000222E0000}" name="Column11783"/>
    <tableColumn id="11811" xr3:uid="{00000000-0010-0000-2000-0000232E0000}" name="Column11784"/>
    <tableColumn id="11812" xr3:uid="{00000000-0010-0000-2000-0000242E0000}" name="Column11785"/>
    <tableColumn id="11813" xr3:uid="{00000000-0010-0000-2000-0000252E0000}" name="Column11786"/>
    <tableColumn id="11814" xr3:uid="{00000000-0010-0000-2000-0000262E0000}" name="Column11787"/>
    <tableColumn id="11815" xr3:uid="{00000000-0010-0000-2000-0000272E0000}" name="Column11788"/>
    <tableColumn id="11816" xr3:uid="{00000000-0010-0000-2000-0000282E0000}" name="Column11789"/>
    <tableColumn id="11817" xr3:uid="{00000000-0010-0000-2000-0000292E0000}" name="Column11790"/>
    <tableColumn id="11818" xr3:uid="{00000000-0010-0000-2000-00002A2E0000}" name="Column11791"/>
    <tableColumn id="11819" xr3:uid="{00000000-0010-0000-2000-00002B2E0000}" name="Column11792"/>
    <tableColumn id="11820" xr3:uid="{00000000-0010-0000-2000-00002C2E0000}" name="Column11793"/>
    <tableColumn id="11821" xr3:uid="{00000000-0010-0000-2000-00002D2E0000}" name="Column11794"/>
    <tableColumn id="11822" xr3:uid="{00000000-0010-0000-2000-00002E2E0000}" name="Column11795"/>
    <tableColumn id="11823" xr3:uid="{00000000-0010-0000-2000-00002F2E0000}" name="Column11796"/>
    <tableColumn id="11824" xr3:uid="{00000000-0010-0000-2000-0000302E0000}" name="Column11797"/>
    <tableColumn id="11825" xr3:uid="{00000000-0010-0000-2000-0000312E0000}" name="Column11798"/>
    <tableColumn id="11826" xr3:uid="{00000000-0010-0000-2000-0000322E0000}" name="Column11799"/>
    <tableColumn id="11827" xr3:uid="{00000000-0010-0000-2000-0000332E0000}" name="Column11800"/>
    <tableColumn id="11828" xr3:uid="{00000000-0010-0000-2000-0000342E0000}" name="Column11801"/>
    <tableColumn id="11829" xr3:uid="{00000000-0010-0000-2000-0000352E0000}" name="Column11802"/>
    <tableColumn id="11830" xr3:uid="{00000000-0010-0000-2000-0000362E0000}" name="Column11803"/>
    <tableColumn id="11831" xr3:uid="{00000000-0010-0000-2000-0000372E0000}" name="Column11804"/>
    <tableColumn id="11832" xr3:uid="{00000000-0010-0000-2000-0000382E0000}" name="Column11805"/>
    <tableColumn id="11833" xr3:uid="{00000000-0010-0000-2000-0000392E0000}" name="Column11806"/>
    <tableColumn id="11834" xr3:uid="{00000000-0010-0000-2000-00003A2E0000}" name="Column11807"/>
    <tableColumn id="11835" xr3:uid="{00000000-0010-0000-2000-00003B2E0000}" name="Column11808"/>
    <tableColumn id="11836" xr3:uid="{00000000-0010-0000-2000-00003C2E0000}" name="Column11809"/>
    <tableColumn id="11837" xr3:uid="{00000000-0010-0000-2000-00003D2E0000}" name="Column11810"/>
    <tableColumn id="11838" xr3:uid="{00000000-0010-0000-2000-00003E2E0000}" name="Column11811"/>
    <tableColumn id="11839" xr3:uid="{00000000-0010-0000-2000-00003F2E0000}" name="Column11812"/>
    <tableColumn id="11840" xr3:uid="{00000000-0010-0000-2000-0000402E0000}" name="Column11813"/>
    <tableColumn id="11841" xr3:uid="{00000000-0010-0000-2000-0000412E0000}" name="Column11814"/>
    <tableColumn id="11842" xr3:uid="{00000000-0010-0000-2000-0000422E0000}" name="Column11815"/>
    <tableColumn id="11843" xr3:uid="{00000000-0010-0000-2000-0000432E0000}" name="Column11816"/>
    <tableColumn id="11844" xr3:uid="{00000000-0010-0000-2000-0000442E0000}" name="Column11817"/>
    <tableColumn id="11845" xr3:uid="{00000000-0010-0000-2000-0000452E0000}" name="Column11818"/>
    <tableColumn id="11846" xr3:uid="{00000000-0010-0000-2000-0000462E0000}" name="Column11819"/>
    <tableColumn id="11847" xr3:uid="{00000000-0010-0000-2000-0000472E0000}" name="Column11820"/>
    <tableColumn id="11848" xr3:uid="{00000000-0010-0000-2000-0000482E0000}" name="Column11821"/>
    <tableColumn id="11849" xr3:uid="{00000000-0010-0000-2000-0000492E0000}" name="Column11822"/>
    <tableColumn id="11850" xr3:uid="{00000000-0010-0000-2000-00004A2E0000}" name="Column11823"/>
    <tableColumn id="11851" xr3:uid="{00000000-0010-0000-2000-00004B2E0000}" name="Column11824"/>
    <tableColumn id="11852" xr3:uid="{00000000-0010-0000-2000-00004C2E0000}" name="Column11825"/>
    <tableColumn id="11853" xr3:uid="{00000000-0010-0000-2000-00004D2E0000}" name="Column11826"/>
    <tableColumn id="11854" xr3:uid="{00000000-0010-0000-2000-00004E2E0000}" name="Column11827"/>
    <tableColumn id="11855" xr3:uid="{00000000-0010-0000-2000-00004F2E0000}" name="Column11828"/>
    <tableColumn id="11856" xr3:uid="{00000000-0010-0000-2000-0000502E0000}" name="Column11829"/>
    <tableColumn id="11857" xr3:uid="{00000000-0010-0000-2000-0000512E0000}" name="Column11830"/>
    <tableColumn id="11858" xr3:uid="{00000000-0010-0000-2000-0000522E0000}" name="Column11831"/>
    <tableColumn id="11859" xr3:uid="{00000000-0010-0000-2000-0000532E0000}" name="Column11832"/>
    <tableColumn id="11860" xr3:uid="{00000000-0010-0000-2000-0000542E0000}" name="Column11833"/>
    <tableColumn id="11861" xr3:uid="{00000000-0010-0000-2000-0000552E0000}" name="Column11834"/>
    <tableColumn id="11862" xr3:uid="{00000000-0010-0000-2000-0000562E0000}" name="Column11835"/>
    <tableColumn id="11863" xr3:uid="{00000000-0010-0000-2000-0000572E0000}" name="Column11836"/>
    <tableColumn id="11864" xr3:uid="{00000000-0010-0000-2000-0000582E0000}" name="Column11837"/>
    <tableColumn id="11865" xr3:uid="{00000000-0010-0000-2000-0000592E0000}" name="Column11838"/>
    <tableColumn id="11866" xr3:uid="{00000000-0010-0000-2000-00005A2E0000}" name="Column11839"/>
    <tableColumn id="11867" xr3:uid="{00000000-0010-0000-2000-00005B2E0000}" name="Column11840"/>
    <tableColumn id="11868" xr3:uid="{00000000-0010-0000-2000-00005C2E0000}" name="Column11841"/>
    <tableColumn id="11869" xr3:uid="{00000000-0010-0000-2000-00005D2E0000}" name="Column11842"/>
    <tableColumn id="11870" xr3:uid="{00000000-0010-0000-2000-00005E2E0000}" name="Column11843"/>
    <tableColumn id="11871" xr3:uid="{00000000-0010-0000-2000-00005F2E0000}" name="Column11844"/>
    <tableColumn id="11872" xr3:uid="{00000000-0010-0000-2000-0000602E0000}" name="Column11845"/>
    <tableColumn id="11873" xr3:uid="{00000000-0010-0000-2000-0000612E0000}" name="Column11846"/>
    <tableColumn id="11874" xr3:uid="{00000000-0010-0000-2000-0000622E0000}" name="Column11847"/>
    <tableColumn id="11875" xr3:uid="{00000000-0010-0000-2000-0000632E0000}" name="Column11848"/>
    <tableColumn id="11876" xr3:uid="{00000000-0010-0000-2000-0000642E0000}" name="Column11849"/>
    <tableColumn id="11877" xr3:uid="{00000000-0010-0000-2000-0000652E0000}" name="Column11850"/>
    <tableColumn id="11878" xr3:uid="{00000000-0010-0000-2000-0000662E0000}" name="Column11851"/>
    <tableColumn id="11879" xr3:uid="{00000000-0010-0000-2000-0000672E0000}" name="Column11852"/>
    <tableColumn id="11880" xr3:uid="{00000000-0010-0000-2000-0000682E0000}" name="Column11853"/>
    <tableColumn id="11881" xr3:uid="{00000000-0010-0000-2000-0000692E0000}" name="Column11854"/>
    <tableColumn id="11882" xr3:uid="{00000000-0010-0000-2000-00006A2E0000}" name="Column11855"/>
    <tableColumn id="11883" xr3:uid="{00000000-0010-0000-2000-00006B2E0000}" name="Column11856"/>
    <tableColumn id="11884" xr3:uid="{00000000-0010-0000-2000-00006C2E0000}" name="Column11857"/>
    <tableColumn id="11885" xr3:uid="{00000000-0010-0000-2000-00006D2E0000}" name="Column11858"/>
    <tableColumn id="11886" xr3:uid="{00000000-0010-0000-2000-00006E2E0000}" name="Column11859"/>
    <tableColumn id="11887" xr3:uid="{00000000-0010-0000-2000-00006F2E0000}" name="Column11860"/>
    <tableColumn id="11888" xr3:uid="{00000000-0010-0000-2000-0000702E0000}" name="Column11861"/>
    <tableColumn id="11889" xr3:uid="{00000000-0010-0000-2000-0000712E0000}" name="Column11862"/>
    <tableColumn id="11890" xr3:uid="{00000000-0010-0000-2000-0000722E0000}" name="Column11863"/>
    <tableColumn id="11891" xr3:uid="{00000000-0010-0000-2000-0000732E0000}" name="Column11864"/>
    <tableColumn id="11892" xr3:uid="{00000000-0010-0000-2000-0000742E0000}" name="Column11865"/>
    <tableColumn id="11893" xr3:uid="{00000000-0010-0000-2000-0000752E0000}" name="Column11866"/>
    <tableColumn id="11894" xr3:uid="{00000000-0010-0000-2000-0000762E0000}" name="Column11867"/>
    <tableColumn id="11895" xr3:uid="{00000000-0010-0000-2000-0000772E0000}" name="Column11868"/>
    <tableColumn id="11896" xr3:uid="{00000000-0010-0000-2000-0000782E0000}" name="Column11869"/>
    <tableColumn id="11897" xr3:uid="{00000000-0010-0000-2000-0000792E0000}" name="Column11870"/>
    <tableColumn id="11898" xr3:uid="{00000000-0010-0000-2000-00007A2E0000}" name="Column11871"/>
    <tableColumn id="11899" xr3:uid="{00000000-0010-0000-2000-00007B2E0000}" name="Column11872"/>
    <tableColumn id="11900" xr3:uid="{00000000-0010-0000-2000-00007C2E0000}" name="Column11873"/>
    <tableColumn id="11901" xr3:uid="{00000000-0010-0000-2000-00007D2E0000}" name="Column11874"/>
    <tableColumn id="11902" xr3:uid="{00000000-0010-0000-2000-00007E2E0000}" name="Column11875"/>
    <tableColumn id="11903" xr3:uid="{00000000-0010-0000-2000-00007F2E0000}" name="Column11876"/>
    <tableColumn id="11904" xr3:uid="{00000000-0010-0000-2000-0000802E0000}" name="Column11877"/>
    <tableColumn id="11905" xr3:uid="{00000000-0010-0000-2000-0000812E0000}" name="Column11878"/>
    <tableColumn id="11906" xr3:uid="{00000000-0010-0000-2000-0000822E0000}" name="Column11879"/>
    <tableColumn id="11907" xr3:uid="{00000000-0010-0000-2000-0000832E0000}" name="Column11880"/>
    <tableColumn id="11908" xr3:uid="{00000000-0010-0000-2000-0000842E0000}" name="Column11881"/>
    <tableColumn id="11909" xr3:uid="{00000000-0010-0000-2000-0000852E0000}" name="Column11882"/>
    <tableColumn id="11910" xr3:uid="{00000000-0010-0000-2000-0000862E0000}" name="Column11883"/>
    <tableColumn id="11911" xr3:uid="{00000000-0010-0000-2000-0000872E0000}" name="Column11884"/>
    <tableColumn id="11912" xr3:uid="{00000000-0010-0000-2000-0000882E0000}" name="Column11885"/>
    <tableColumn id="11913" xr3:uid="{00000000-0010-0000-2000-0000892E0000}" name="Column11886"/>
    <tableColumn id="11914" xr3:uid="{00000000-0010-0000-2000-00008A2E0000}" name="Column11887"/>
    <tableColumn id="11915" xr3:uid="{00000000-0010-0000-2000-00008B2E0000}" name="Column11888"/>
    <tableColumn id="11916" xr3:uid="{00000000-0010-0000-2000-00008C2E0000}" name="Column11889"/>
    <tableColumn id="11917" xr3:uid="{00000000-0010-0000-2000-00008D2E0000}" name="Column11890"/>
    <tableColumn id="11918" xr3:uid="{00000000-0010-0000-2000-00008E2E0000}" name="Column11891"/>
    <tableColumn id="11919" xr3:uid="{00000000-0010-0000-2000-00008F2E0000}" name="Column11892"/>
    <tableColumn id="11920" xr3:uid="{00000000-0010-0000-2000-0000902E0000}" name="Column11893"/>
    <tableColumn id="11921" xr3:uid="{00000000-0010-0000-2000-0000912E0000}" name="Column11894"/>
    <tableColumn id="11922" xr3:uid="{00000000-0010-0000-2000-0000922E0000}" name="Column11895"/>
    <tableColumn id="11923" xr3:uid="{00000000-0010-0000-2000-0000932E0000}" name="Column11896"/>
    <tableColumn id="11924" xr3:uid="{00000000-0010-0000-2000-0000942E0000}" name="Column11897"/>
    <tableColumn id="11925" xr3:uid="{00000000-0010-0000-2000-0000952E0000}" name="Column11898"/>
    <tableColumn id="11926" xr3:uid="{00000000-0010-0000-2000-0000962E0000}" name="Column11899"/>
    <tableColumn id="11927" xr3:uid="{00000000-0010-0000-2000-0000972E0000}" name="Column11900"/>
    <tableColumn id="11928" xr3:uid="{00000000-0010-0000-2000-0000982E0000}" name="Column11901"/>
    <tableColumn id="11929" xr3:uid="{00000000-0010-0000-2000-0000992E0000}" name="Column11902"/>
    <tableColumn id="11930" xr3:uid="{00000000-0010-0000-2000-00009A2E0000}" name="Column11903"/>
    <tableColumn id="11931" xr3:uid="{00000000-0010-0000-2000-00009B2E0000}" name="Column11904"/>
    <tableColumn id="11932" xr3:uid="{00000000-0010-0000-2000-00009C2E0000}" name="Column11905"/>
    <tableColumn id="11933" xr3:uid="{00000000-0010-0000-2000-00009D2E0000}" name="Column11906"/>
    <tableColumn id="11934" xr3:uid="{00000000-0010-0000-2000-00009E2E0000}" name="Column11907"/>
    <tableColumn id="11935" xr3:uid="{00000000-0010-0000-2000-00009F2E0000}" name="Column11908"/>
    <tableColumn id="11936" xr3:uid="{00000000-0010-0000-2000-0000A02E0000}" name="Column11909"/>
    <tableColumn id="11937" xr3:uid="{00000000-0010-0000-2000-0000A12E0000}" name="Column11910"/>
    <tableColumn id="11938" xr3:uid="{00000000-0010-0000-2000-0000A22E0000}" name="Column11911"/>
    <tableColumn id="11939" xr3:uid="{00000000-0010-0000-2000-0000A32E0000}" name="Column11912"/>
    <tableColumn id="11940" xr3:uid="{00000000-0010-0000-2000-0000A42E0000}" name="Column11913"/>
    <tableColumn id="11941" xr3:uid="{00000000-0010-0000-2000-0000A52E0000}" name="Column11914"/>
    <tableColumn id="11942" xr3:uid="{00000000-0010-0000-2000-0000A62E0000}" name="Column11915"/>
    <tableColumn id="11943" xr3:uid="{00000000-0010-0000-2000-0000A72E0000}" name="Column11916"/>
    <tableColumn id="11944" xr3:uid="{00000000-0010-0000-2000-0000A82E0000}" name="Column11917"/>
    <tableColumn id="11945" xr3:uid="{00000000-0010-0000-2000-0000A92E0000}" name="Column11918"/>
    <tableColumn id="11946" xr3:uid="{00000000-0010-0000-2000-0000AA2E0000}" name="Column11919"/>
    <tableColumn id="11947" xr3:uid="{00000000-0010-0000-2000-0000AB2E0000}" name="Column11920"/>
    <tableColumn id="11948" xr3:uid="{00000000-0010-0000-2000-0000AC2E0000}" name="Column11921"/>
    <tableColumn id="11949" xr3:uid="{00000000-0010-0000-2000-0000AD2E0000}" name="Column11922"/>
    <tableColumn id="11950" xr3:uid="{00000000-0010-0000-2000-0000AE2E0000}" name="Column11923"/>
    <tableColumn id="11951" xr3:uid="{00000000-0010-0000-2000-0000AF2E0000}" name="Column11924"/>
    <tableColumn id="11952" xr3:uid="{00000000-0010-0000-2000-0000B02E0000}" name="Column11925"/>
    <tableColumn id="11953" xr3:uid="{00000000-0010-0000-2000-0000B12E0000}" name="Column11926"/>
    <tableColumn id="11954" xr3:uid="{00000000-0010-0000-2000-0000B22E0000}" name="Column11927"/>
    <tableColumn id="11955" xr3:uid="{00000000-0010-0000-2000-0000B32E0000}" name="Column11928"/>
    <tableColumn id="11956" xr3:uid="{00000000-0010-0000-2000-0000B42E0000}" name="Column11929"/>
    <tableColumn id="11957" xr3:uid="{00000000-0010-0000-2000-0000B52E0000}" name="Column11930"/>
    <tableColumn id="11958" xr3:uid="{00000000-0010-0000-2000-0000B62E0000}" name="Column11931"/>
    <tableColumn id="11959" xr3:uid="{00000000-0010-0000-2000-0000B72E0000}" name="Column11932"/>
    <tableColumn id="11960" xr3:uid="{00000000-0010-0000-2000-0000B82E0000}" name="Column11933"/>
    <tableColumn id="11961" xr3:uid="{00000000-0010-0000-2000-0000B92E0000}" name="Column11934"/>
    <tableColumn id="11962" xr3:uid="{00000000-0010-0000-2000-0000BA2E0000}" name="Column11935"/>
    <tableColumn id="11963" xr3:uid="{00000000-0010-0000-2000-0000BB2E0000}" name="Column11936"/>
    <tableColumn id="11964" xr3:uid="{00000000-0010-0000-2000-0000BC2E0000}" name="Column11937"/>
    <tableColumn id="11965" xr3:uid="{00000000-0010-0000-2000-0000BD2E0000}" name="Column11938"/>
    <tableColumn id="11966" xr3:uid="{00000000-0010-0000-2000-0000BE2E0000}" name="Column11939"/>
    <tableColumn id="11967" xr3:uid="{00000000-0010-0000-2000-0000BF2E0000}" name="Column11940"/>
    <tableColumn id="11968" xr3:uid="{00000000-0010-0000-2000-0000C02E0000}" name="Column11941"/>
    <tableColumn id="11969" xr3:uid="{00000000-0010-0000-2000-0000C12E0000}" name="Column11942"/>
    <tableColumn id="11970" xr3:uid="{00000000-0010-0000-2000-0000C22E0000}" name="Column11943"/>
    <tableColumn id="11971" xr3:uid="{00000000-0010-0000-2000-0000C32E0000}" name="Column11944"/>
    <tableColumn id="11972" xr3:uid="{00000000-0010-0000-2000-0000C42E0000}" name="Column11945"/>
    <tableColumn id="11973" xr3:uid="{00000000-0010-0000-2000-0000C52E0000}" name="Column11946"/>
    <tableColumn id="11974" xr3:uid="{00000000-0010-0000-2000-0000C62E0000}" name="Column11947"/>
    <tableColumn id="11975" xr3:uid="{00000000-0010-0000-2000-0000C72E0000}" name="Column11948"/>
    <tableColumn id="11976" xr3:uid="{00000000-0010-0000-2000-0000C82E0000}" name="Column11949"/>
    <tableColumn id="11977" xr3:uid="{00000000-0010-0000-2000-0000C92E0000}" name="Column11950"/>
    <tableColumn id="11978" xr3:uid="{00000000-0010-0000-2000-0000CA2E0000}" name="Column11951"/>
    <tableColumn id="11979" xr3:uid="{00000000-0010-0000-2000-0000CB2E0000}" name="Column11952"/>
    <tableColumn id="11980" xr3:uid="{00000000-0010-0000-2000-0000CC2E0000}" name="Column11953"/>
    <tableColumn id="11981" xr3:uid="{00000000-0010-0000-2000-0000CD2E0000}" name="Column11954"/>
    <tableColumn id="11982" xr3:uid="{00000000-0010-0000-2000-0000CE2E0000}" name="Column11955"/>
    <tableColumn id="11983" xr3:uid="{00000000-0010-0000-2000-0000CF2E0000}" name="Column11956"/>
    <tableColumn id="11984" xr3:uid="{00000000-0010-0000-2000-0000D02E0000}" name="Column11957"/>
    <tableColumn id="11985" xr3:uid="{00000000-0010-0000-2000-0000D12E0000}" name="Column11958"/>
    <tableColumn id="11986" xr3:uid="{00000000-0010-0000-2000-0000D22E0000}" name="Column11959"/>
    <tableColumn id="11987" xr3:uid="{00000000-0010-0000-2000-0000D32E0000}" name="Column11960"/>
    <tableColumn id="11988" xr3:uid="{00000000-0010-0000-2000-0000D42E0000}" name="Column11961"/>
    <tableColumn id="11989" xr3:uid="{00000000-0010-0000-2000-0000D52E0000}" name="Column11962"/>
    <tableColumn id="11990" xr3:uid="{00000000-0010-0000-2000-0000D62E0000}" name="Column11963"/>
    <tableColumn id="11991" xr3:uid="{00000000-0010-0000-2000-0000D72E0000}" name="Column11964"/>
    <tableColumn id="11992" xr3:uid="{00000000-0010-0000-2000-0000D82E0000}" name="Column11965"/>
    <tableColumn id="11993" xr3:uid="{00000000-0010-0000-2000-0000D92E0000}" name="Column11966"/>
    <tableColumn id="11994" xr3:uid="{00000000-0010-0000-2000-0000DA2E0000}" name="Column11967"/>
    <tableColumn id="11995" xr3:uid="{00000000-0010-0000-2000-0000DB2E0000}" name="Column11968"/>
    <tableColumn id="11996" xr3:uid="{00000000-0010-0000-2000-0000DC2E0000}" name="Column11969"/>
    <tableColumn id="11997" xr3:uid="{00000000-0010-0000-2000-0000DD2E0000}" name="Column11970"/>
    <tableColumn id="11998" xr3:uid="{00000000-0010-0000-2000-0000DE2E0000}" name="Column11971"/>
    <tableColumn id="11999" xr3:uid="{00000000-0010-0000-2000-0000DF2E0000}" name="Column11972"/>
    <tableColumn id="12000" xr3:uid="{00000000-0010-0000-2000-0000E02E0000}" name="Column11973"/>
    <tableColumn id="12001" xr3:uid="{00000000-0010-0000-2000-0000E12E0000}" name="Column11974"/>
    <tableColumn id="12002" xr3:uid="{00000000-0010-0000-2000-0000E22E0000}" name="Column11975"/>
    <tableColumn id="12003" xr3:uid="{00000000-0010-0000-2000-0000E32E0000}" name="Column11976"/>
    <tableColumn id="12004" xr3:uid="{00000000-0010-0000-2000-0000E42E0000}" name="Column11977"/>
    <tableColumn id="12005" xr3:uid="{00000000-0010-0000-2000-0000E52E0000}" name="Column11978"/>
    <tableColumn id="12006" xr3:uid="{00000000-0010-0000-2000-0000E62E0000}" name="Column11979"/>
    <tableColumn id="12007" xr3:uid="{00000000-0010-0000-2000-0000E72E0000}" name="Column11980"/>
    <tableColumn id="12008" xr3:uid="{00000000-0010-0000-2000-0000E82E0000}" name="Column11981"/>
    <tableColumn id="12009" xr3:uid="{00000000-0010-0000-2000-0000E92E0000}" name="Column11982"/>
    <tableColumn id="12010" xr3:uid="{00000000-0010-0000-2000-0000EA2E0000}" name="Column11983"/>
    <tableColumn id="12011" xr3:uid="{00000000-0010-0000-2000-0000EB2E0000}" name="Column11984"/>
    <tableColumn id="12012" xr3:uid="{00000000-0010-0000-2000-0000EC2E0000}" name="Column11985"/>
    <tableColumn id="12013" xr3:uid="{00000000-0010-0000-2000-0000ED2E0000}" name="Column11986"/>
    <tableColumn id="12014" xr3:uid="{00000000-0010-0000-2000-0000EE2E0000}" name="Column11987"/>
    <tableColumn id="12015" xr3:uid="{00000000-0010-0000-2000-0000EF2E0000}" name="Column11988"/>
    <tableColumn id="12016" xr3:uid="{00000000-0010-0000-2000-0000F02E0000}" name="Column11989"/>
    <tableColumn id="12017" xr3:uid="{00000000-0010-0000-2000-0000F12E0000}" name="Column11990"/>
    <tableColumn id="12018" xr3:uid="{00000000-0010-0000-2000-0000F22E0000}" name="Column11991"/>
    <tableColumn id="12019" xr3:uid="{00000000-0010-0000-2000-0000F32E0000}" name="Column11992"/>
    <tableColumn id="12020" xr3:uid="{00000000-0010-0000-2000-0000F42E0000}" name="Column11993"/>
    <tableColumn id="12021" xr3:uid="{00000000-0010-0000-2000-0000F52E0000}" name="Column11994"/>
    <tableColumn id="12022" xr3:uid="{00000000-0010-0000-2000-0000F62E0000}" name="Column11995"/>
    <tableColumn id="12023" xr3:uid="{00000000-0010-0000-2000-0000F72E0000}" name="Column11996"/>
    <tableColumn id="12024" xr3:uid="{00000000-0010-0000-2000-0000F82E0000}" name="Column11997"/>
    <tableColumn id="12025" xr3:uid="{00000000-0010-0000-2000-0000F92E0000}" name="Column11998"/>
    <tableColumn id="12026" xr3:uid="{00000000-0010-0000-2000-0000FA2E0000}" name="Column11999"/>
    <tableColumn id="12027" xr3:uid="{00000000-0010-0000-2000-0000FB2E0000}" name="Column12000"/>
    <tableColumn id="12028" xr3:uid="{00000000-0010-0000-2000-0000FC2E0000}" name="Column12001"/>
    <tableColumn id="12029" xr3:uid="{00000000-0010-0000-2000-0000FD2E0000}" name="Column12002"/>
    <tableColumn id="12030" xr3:uid="{00000000-0010-0000-2000-0000FE2E0000}" name="Column12003"/>
    <tableColumn id="12031" xr3:uid="{00000000-0010-0000-2000-0000FF2E0000}" name="Column12004"/>
    <tableColumn id="12032" xr3:uid="{00000000-0010-0000-2000-0000002F0000}" name="Column12005"/>
    <tableColumn id="12033" xr3:uid="{00000000-0010-0000-2000-0000012F0000}" name="Column12006"/>
    <tableColumn id="12034" xr3:uid="{00000000-0010-0000-2000-0000022F0000}" name="Column12007"/>
    <tableColumn id="12035" xr3:uid="{00000000-0010-0000-2000-0000032F0000}" name="Column12008"/>
    <tableColumn id="12036" xr3:uid="{00000000-0010-0000-2000-0000042F0000}" name="Column12009"/>
    <tableColumn id="12037" xr3:uid="{00000000-0010-0000-2000-0000052F0000}" name="Column12010"/>
    <tableColumn id="12038" xr3:uid="{00000000-0010-0000-2000-0000062F0000}" name="Column12011"/>
    <tableColumn id="12039" xr3:uid="{00000000-0010-0000-2000-0000072F0000}" name="Column12012"/>
    <tableColumn id="12040" xr3:uid="{00000000-0010-0000-2000-0000082F0000}" name="Column12013"/>
    <tableColumn id="12041" xr3:uid="{00000000-0010-0000-2000-0000092F0000}" name="Column12014"/>
    <tableColumn id="12042" xr3:uid="{00000000-0010-0000-2000-00000A2F0000}" name="Column12015"/>
    <tableColumn id="12043" xr3:uid="{00000000-0010-0000-2000-00000B2F0000}" name="Column12016"/>
    <tableColumn id="12044" xr3:uid="{00000000-0010-0000-2000-00000C2F0000}" name="Column12017"/>
    <tableColumn id="12045" xr3:uid="{00000000-0010-0000-2000-00000D2F0000}" name="Column12018"/>
    <tableColumn id="12046" xr3:uid="{00000000-0010-0000-2000-00000E2F0000}" name="Column12019"/>
    <tableColumn id="12047" xr3:uid="{00000000-0010-0000-2000-00000F2F0000}" name="Column12020"/>
    <tableColumn id="12048" xr3:uid="{00000000-0010-0000-2000-0000102F0000}" name="Column12021"/>
    <tableColumn id="12049" xr3:uid="{00000000-0010-0000-2000-0000112F0000}" name="Column12022"/>
    <tableColumn id="12050" xr3:uid="{00000000-0010-0000-2000-0000122F0000}" name="Column12023"/>
    <tableColumn id="12051" xr3:uid="{00000000-0010-0000-2000-0000132F0000}" name="Column12024"/>
    <tableColumn id="12052" xr3:uid="{00000000-0010-0000-2000-0000142F0000}" name="Column12025"/>
    <tableColumn id="12053" xr3:uid="{00000000-0010-0000-2000-0000152F0000}" name="Column12026"/>
    <tableColumn id="12054" xr3:uid="{00000000-0010-0000-2000-0000162F0000}" name="Column12027"/>
    <tableColumn id="12055" xr3:uid="{00000000-0010-0000-2000-0000172F0000}" name="Column12028"/>
    <tableColumn id="12056" xr3:uid="{00000000-0010-0000-2000-0000182F0000}" name="Column12029"/>
    <tableColumn id="12057" xr3:uid="{00000000-0010-0000-2000-0000192F0000}" name="Column12030"/>
    <tableColumn id="12058" xr3:uid="{00000000-0010-0000-2000-00001A2F0000}" name="Column12031"/>
    <tableColumn id="12059" xr3:uid="{00000000-0010-0000-2000-00001B2F0000}" name="Column12032"/>
    <tableColumn id="12060" xr3:uid="{00000000-0010-0000-2000-00001C2F0000}" name="Column12033"/>
    <tableColumn id="12061" xr3:uid="{00000000-0010-0000-2000-00001D2F0000}" name="Column12034"/>
    <tableColumn id="12062" xr3:uid="{00000000-0010-0000-2000-00001E2F0000}" name="Column12035"/>
    <tableColumn id="12063" xr3:uid="{00000000-0010-0000-2000-00001F2F0000}" name="Column12036"/>
    <tableColumn id="12064" xr3:uid="{00000000-0010-0000-2000-0000202F0000}" name="Column12037"/>
    <tableColumn id="12065" xr3:uid="{00000000-0010-0000-2000-0000212F0000}" name="Column12038"/>
    <tableColumn id="12066" xr3:uid="{00000000-0010-0000-2000-0000222F0000}" name="Column12039"/>
    <tableColumn id="12067" xr3:uid="{00000000-0010-0000-2000-0000232F0000}" name="Column12040"/>
    <tableColumn id="12068" xr3:uid="{00000000-0010-0000-2000-0000242F0000}" name="Column12041"/>
    <tableColumn id="12069" xr3:uid="{00000000-0010-0000-2000-0000252F0000}" name="Column12042"/>
    <tableColumn id="12070" xr3:uid="{00000000-0010-0000-2000-0000262F0000}" name="Column12043"/>
    <tableColumn id="12071" xr3:uid="{00000000-0010-0000-2000-0000272F0000}" name="Column12044"/>
    <tableColumn id="12072" xr3:uid="{00000000-0010-0000-2000-0000282F0000}" name="Column12045"/>
    <tableColumn id="12073" xr3:uid="{00000000-0010-0000-2000-0000292F0000}" name="Column12046"/>
    <tableColumn id="12074" xr3:uid="{00000000-0010-0000-2000-00002A2F0000}" name="Column12047"/>
    <tableColumn id="12075" xr3:uid="{00000000-0010-0000-2000-00002B2F0000}" name="Column12048"/>
    <tableColumn id="12076" xr3:uid="{00000000-0010-0000-2000-00002C2F0000}" name="Column12049"/>
    <tableColumn id="12077" xr3:uid="{00000000-0010-0000-2000-00002D2F0000}" name="Column12050"/>
    <tableColumn id="12078" xr3:uid="{00000000-0010-0000-2000-00002E2F0000}" name="Column12051"/>
    <tableColumn id="12079" xr3:uid="{00000000-0010-0000-2000-00002F2F0000}" name="Column12052"/>
    <tableColumn id="12080" xr3:uid="{00000000-0010-0000-2000-0000302F0000}" name="Column12053"/>
    <tableColumn id="12081" xr3:uid="{00000000-0010-0000-2000-0000312F0000}" name="Column12054"/>
    <tableColumn id="12082" xr3:uid="{00000000-0010-0000-2000-0000322F0000}" name="Column12055"/>
    <tableColumn id="12083" xr3:uid="{00000000-0010-0000-2000-0000332F0000}" name="Column12056"/>
    <tableColumn id="12084" xr3:uid="{00000000-0010-0000-2000-0000342F0000}" name="Column12057"/>
    <tableColumn id="12085" xr3:uid="{00000000-0010-0000-2000-0000352F0000}" name="Column12058"/>
    <tableColumn id="12086" xr3:uid="{00000000-0010-0000-2000-0000362F0000}" name="Column12059"/>
    <tableColumn id="12087" xr3:uid="{00000000-0010-0000-2000-0000372F0000}" name="Column12060"/>
    <tableColumn id="12088" xr3:uid="{00000000-0010-0000-2000-0000382F0000}" name="Column12061"/>
    <tableColumn id="12089" xr3:uid="{00000000-0010-0000-2000-0000392F0000}" name="Column12062"/>
    <tableColumn id="12090" xr3:uid="{00000000-0010-0000-2000-00003A2F0000}" name="Column12063"/>
    <tableColumn id="12091" xr3:uid="{00000000-0010-0000-2000-00003B2F0000}" name="Column12064"/>
    <tableColumn id="12092" xr3:uid="{00000000-0010-0000-2000-00003C2F0000}" name="Column12065"/>
    <tableColumn id="12093" xr3:uid="{00000000-0010-0000-2000-00003D2F0000}" name="Column12066"/>
    <tableColumn id="12094" xr3:uid="{00000000-0010-0000-2000-00003E2F0000}" name="Column12067"/>
    <tableColumn id="12095" xr3:uid="{00000000-0010-0000-2000-00003F2F0000}" name="Column12068"/>
    <tableColumn id="12096" xr3:uid="{00000000-0010-0000-2000-0000402F0000}" name="Column12069"/>
    <tableColumn id="12097" xr3:uid="{00000000-0010-0000-2000-0000412F0000}" name="Column12070"/>
    <tableColumn id="12098" xr3:uid="{00000000-0010-0000-2000-0000422F0000}" name="Column12071"/>
    <tableColumn id="12099" xr3:uid="{00000000-0010-0000-2000-0000432F0000}" name="Column12072"/>
    <tableColumn id="12100" xr3:uid="{00000000-0010-0000-2000-0000442F0000}" name="Column12073"/>
    <tableColumn id="12101" xr3:uid="{00000000-0010-0000-2000-0000452F0000}" name="Column12074"/>
    <tableColumn id="12102" xr3:uid="{00000000-0010-0000-2000-0000462F0000}" name="Column12075"/>
    <tableColumn id="12103" xr3:uid="{00000000-0010-0000-2000-0000472F0000}" name="Column12076"/>
    <tableColumn id="12104" xr3:uid="{00000000-0010-0000-2000-0000482F0000}" name="Column12077"/>
    <tableColumn id="12105" xr3:uid="{00000000-0010-0000-2000-0000492F0000}" name="Column12078"/>
    <tableColumn id="12106" xr3:uid="{00000000-0010-0000-2000-00004A2F0000}" name="Column12079"/>
    <tableColumn id="12107" xr3:uid="{00000000-0010-0000-2000-00004B2F0000}" name="Column12080"/>
    <tableColumn id="12108" xr3:uid="{00000000-0010-0000-2000-00004C2F0000}" name="Column12081"/>
    <tableColumn id="12109" xr3:uid="{00000000-0010-0000-2000-00004D2F0000}" name="Column12082"/>
    <tableColumn id="12110" xr3:uid="{00000000-0010-0000-2000-00004E2F0000}" name="Column12083"/>
    <tableColumn id="12111" xr3:uid="{00000000-0010-0000-2000-00004F2F0000}" name="Column12084"/>
    <tableColumn id="12112" xr3:uid="{00000000-0010-0000-2000-0000502F0000}" name="Column12085"/>
    <tableColumn id="12113" xr3:uid="{00000000-0010-0000-2000-0000512F0000}" name="Column12086"/>
    <tableColumn id="12114" xr3:uid="{00000000-0010-0000-2000-0000522F0000}" name="Column12087"/>
    <tableColumn id="12115" xr3:uid="{00000000-0010-0000-2000-0000532F0000}" name="Column12088"/>
    <tableColumn id="12116" xr3:uid="{00000000-0010-0000-2000-0000542F0000}" name="Column12089"/>
    <tableColumn id="12117" xr3:uid="{00000000-0010-0000-2000-0000552F0000}" name="Column12090"/>
    <tableColumn id="12118" xr3:uid="{00000000-0010-0000-2000-0000562F0000}" name="Column12091"/>
    <tableColumn id="12119" xr3:uid="{00000000-0010-0000-2000-0000572F0000}" name="Column12092"/>
    <tableColumn id="12120" xr3:uid="{00000000-0010-0000-2000-0000582F0000}" name="Column12093"/>
    <tableColumn id="12121" xr3:uid="{00000000-0010-0000-2000-0000592F0000}" name="Column12094"/>
    <tableColumn id="12122" xr3:uid="{00000000-0010-0000-2000-00005A2F0000}" name="Column12095"/>
    <tableColumn id="12123" xr3:uid="{00000000-0010-0000-2000-00005B2F0000}" name="Column12096"/>
    <tableColumn id="12124" xr3:uid="{00000000-0010-0000-2000-00005C2F0000}" name="Column12097"/>
    <tableColumn id="12125" xr3:uid="{00000000-0010-0000-2000-00005D2F0000}" name="Column12098"/>
    <tableColumn id="12126" xr3:uid="{00000000-0010-0000-2000-00005E2F0000}" name="Column12099"/>
    <tableColumn id="12127" xr3:uid="{00000000-0010-0000-2000-00005F2F0000}" name="Column12100"/>
    <tableColumn id="12128" xr3:uid="{00000000-0010-0000-2000-0000602F0000}" name="Column12101"/>
    <tableColumn id="12129" xr3:uid="{00000000-0010-0000-2000-0000612F0000}" name="Column12102"/>
    <tableColumn id="12130" xr3:uid="{00000000-0010-0000-2000-0000622F0000}" name="Column12103"/>
    <tableColumn id="12131" xr3:uid="{00000000-0010-0000-2000-0000632F0000}" name="Column12104"/>
    <tableColumn id="12132" xr3:uid="{00000000-0010-0000-2000-0000642F0000}" name="Column12105"/>
    <tableColumn id="12133" xr3:uid="{00000000-0010-0000-2000-0000652F0000}" name="Column12106"/>
    <tableColumn id="12134" xr3:uid="{00000000-0010-0000-2000-0000662F0000}" name="Column12107"/>
    <tableColumn id="12135" xr3:uid="{00000000-0010-0000-2000-0000672F0000}" name="Column12108"/>
    <tableColumn id="12136" xr3:uid="{00000000-0010-0000-2000-0000682F0000}" name="Column12109"/>
    <tableColumn id="12137" xr3:uid="{00000000-0010-0000-2000-0000692F0000}" name="Column12110"/>
    <tableColumn id="12138" xr3:uid="{00000000-0010-0000-2000-00006A2F0000}" name="Column12111"/>
    <tableColumn id="12139" xr3:uid="{00000000-0010-0000-2000-00006B2F0000}" name="Column12112"/>
    <tableColumn id="12140" xr3:uid="{00000000-0010-0000-2000-00006C2F0000}" name="Column12113"/>
    <tableColumn id="12141" xr3:uid="{00000000-0010-0000-2000-00006D2F0000}" name="Column12114"/>
    <tableColumn id="12142" xr3:uid="{00000000-0010-0000-2000-00006E2F0000}" name="Column12115"/>
    <tableColumn id="12143" xr3:uid="{00000000-0010-0000-2000-00006F2F0000}" name="Column12116"/>
    <tableColumn id="12144" xr3:uid="{00000000-0010-0000-2000-0000702F0000}" name="Column12117"/>
    <tableColumn id="12145" xr3:uid="{00000000-0010-0000-2000-0000712F0000}" name="Column12118"/>
    <tableColumn id="12146" xr3:uid="{00000000-0010-0000-2000-0000722F0000}" name="Column12119"/>
    <tableColumn id="12147" xr3:uid="{00000000-0010-0000-2000-0000732F0000}" name="Column12120"/>
    <tableColumn id="12148" xr3:uid="{00000000-0010-0000-2000-0000742F0000}" name="Column12121"/>
    <tableColumn id="12149" xr3:uid="{00000000-0010-0000-2000-0000752F0000}" name="Column12122"/>
    <tableColumn id="12150" xr3:uid="{00000000-0010-0000-2000-0000762F0000}" name="Column12123"/>
    <tableColumn id="12151" xr3:uid="{00000000-0010-0000-2000-0000772F0000}" name="Column12124"/>
    <tableColumn id="12152" xr3:uid="{00000000-0010-0000-2000-0000782F0000}" name="Column12125"/>
    <tableColumn id="12153" xr3:uid="{00000000-0010-0000-2000-0000792F0000}" name="Column12126"/>
    <tableColumn id="12154" xr3:uid="{00000000-0010-0000-2000-00007A2F0000}" name="Column12127"/>
    <tableColumn id="12155" xr3:uid="{00000000-0010-0000-2000-00007B2F0000}" name="Column12128"/>
    <tableColumn id="12156" xr3:uid="{00000000-0010-0000-2000-00007C2F0000}" name="Column12129"/>
    <tableColumn id="12157" xr3:uid="{00000000-0010-0000-2000-00007D2F0000}" name="Column12130"/>
    <tableColumn id="12158" xr3:uid="{00000000-0010-0000-2000-00007E2F0000}" name="Column12131"/>
    <tableColumn id="12159" xr3:uid="{00000000-0010-0000-2000-00007F2F0000}" name="Column12132"/>
    <tableColumn id="12160" xr3:uid="{00000000-0010-0000-2000-0000802F0000}" name="Column12133"/>
    <tableColumn id="12161" xr3:uid="{00000000-0010-0000-2000-0000812F0000}" name="Column12134"/>
    <tableColumn id="12162" xr3:uid="{00000000-0010-0000-2000-0000822F0000}" name="Column12135"/>
    <tableColumn id="12163" xr3:uid="{00000000-0010-0000-2000-0000832F0000}" name="Column12136"/>
    <tableColumn id="12164" xr3:uid="{00000000-0010-0000-2000-0000842F0000}" name="Column12137"/>
    <tableColumn id="12165" xr3:uid="{00000000-0010-0000-2000-0000852F0000}" name="Column12138"/>
    <tableColumn id="12166" xr3:uid="{00000000-0010-0000-2000-0000862F0000}" name="Column12139"/>
    <tableColumn id="12167" xr3:uid="{00000000-0010-0000-2000-0000872F0000}" name="Column12140"/>
    <tableColumn id="12168" xr3:uid="{00000000-0010-0000-2000-0000882F0000}" name="Column12141"/>
    <tableColumn id="12169" xr3:uid="{00000000-0010-0000-2000-0000892F0000}" name="Column12142"/>
    <tableColumn id="12170" xr3:uid="{00000000-0010-0000-2000-00008A2F0000}" name="Column12143"/>
    <tableColumn id="12171" xr3:uid="{00000000-0010-0000-2000-00008B2F0000}" name="Column12144"/>
    <tableColumn id="12172" xr3:uid="{00000000-0010-0000-2000-00008C2F0000}" name="Column12145"/>
    <tableColumn id="12173" xr3:uid="{00000000-0010-0000-2000-00008D2F0000}" name="Column12146"/>
    <tableColumn id="12174" xr3:uid="{00000000-0010-0000-2000-00008E2F0000}" name="Column12147"/>
    <tableColumn id="12175" xr3:uid="{00000000-0010-0000-2000-00008F2F0000}" name="Column12148"/>
    <tableColumn id="12176" xr3:uid="{00000000-0010-0000-2000-0000902F0000}" name="Column12149"/>
    <tableColumn id="12177" xr3:uid="{00000000-0010-0000-2000-0000912F0000}" name="Column12150"/>
    <tableColumn id="12178" xr3:uid="{00000000-0010-0000-2000-0000922F0000}" name="Column12151"/>
    <tableColumn id="12179" xr3:uid="{00000000-0010-0000-2000-0000932F0000}" name="Column12152"/>
    <tableColumn id="12180" xr3:uid="{00000000-0010-0000-2000-0000942F0000}" name="Column12153"/>
    <tableColumn id="12181" xr3:uid="{00000000-0010-0000-2000-0000952F0000}" name="Column12154"/>
    <tableColumn id="12182" xr3:uid="{00000000-0010-0000-2000-0000962F0000}" name="Column12155"/>
    <tableColumn id="12183" xr3:uid="{00000000-0010-0000-2000-0000972F0000}" name="Column12156"/>
    <tableColumn id="12184" xr3:uid="{00000000-0010-0000-2000-0000982F0000}" name="Column12157"/>
    <tableColumn id="12185" xr3:uid="{00000000-0010-0000-2000-0000992F0000}" name="Column12158"/>
    <tableColumn id="12186" xr3:uid="{00000000-0010-0000-2000-00009A2F0000}" name="Column12159"/>
    <tableColumn id="12187" xr3:uid="{00000000-0010-0000-2000-00009B2F0000}" name="Column12160"/>
    <tableColumn id="12188" xr3:uid="{00000000-0010-0000-2000-00009C2F0000}" name="Column12161"/>
    <tableColumn id="12189" xr3:uid="{00000000-0010-0000-2000-00009D2F0000}" name="Column12162"/>
    <tableColumn id="12190" xr3:uid="{00000000-0010-0000-2000-00009E2F0000}" name="Column12163"/>
    <tableColumn id="12191" xr3:uid="{00000000-0010-0000-2000-00009F2F0000}" name="Column12164"/>
    <tableColumn id="12192" xr3:uid="{00000000-0010-0000-2000-0000A02F0000}" name="Column12165"/>
    <tableColumn id="12193" xr3:uid="{00000000-0010-0000-2000-0000A12F0000}" name="Column12166"/>
    <tableColumn id="12194" xr3:uid="{00000000-0010-0000-2000-0000A22F0000}" name="Column12167"/>
    <tableColumn id="12195" xr3:uid="{00000000-0010-0000-2000-0000A32F0000}" name="Column12168"/>
    <tableColumn id="12196" xr3:uid="{00000000-0010-0000-2000-0000A42F0000}" name="Column12169"/>
    <tableColumn id="12197" xr3:uid="{00000000-0010-0000-2000-0000A52F0000}" name="Column12170"/>
    <tableColumn id="12198" xr3:uid="{00000000-0010-0000-2000-0000A62F0000}" name="Column12171"/>
    <tableColumn id="12199" xr3:uid="{00000000-0010-0000-2000-0000A72F0000}" name="Column12172"/>
    <tableColumn id="12200" xr3:uid="{00000000-0010-0000-2000-0000A82F0000}" name="Column12173"/>
    <tableColumn id="12201" xr3:uid="{00000000-0010-0000-2000-0000A92F0000}" name="Column12174"/>
    <tableColumn id="12202" xr3:uid="{00000000-0010-0000-2000-0000AA2F0000}" name="Column12175"/>
    <tableColumn id="12203" xr3:uid="{00000000-0010-0000-2000-0000AB2F0000}" name="Column12176"/>
    <tableColumn id="12204" xr3:uid="{00000000-0010-0000-2000-0000AC2F0000}" name="Column12177"/>
    <tableColumn id="12205" xr3:uid="{00000000-0010-0000-2000-0000AD2F0000}" name="Column12178"/>
    <tableColumn id="12206" xr3:uid="{00000000-0010-0000-2000-0000AE2F0000}" name="Column12179"/>
    <tableColumn id="12207" xr3:uid="{00000000-0010-0000-2000-0000AF2F0000}" name="Column12180"/>
    <tableColumn id="12208" xr3:uid="{00000000-0010-0000-2000-0000B02F0000}" name="Column12181"/>
    <tableColumn id="12209" xr3:uid="{00000000-0010-0000-2000-0000B12F0000}" name="Column12182"/>
    <tableColumn id="12210" xr3:uid="{00000000-0010-0000-2000-0000B22F0000}" name="Column12183"/>
    <tableColumn id="12211" xr3:uid="{00000000-0010-0000-2000-0000B32F0000}" name="Column12184"/>
    <tableColumn id="12212" xr3:uid="{00000000-0010-0000-2000-0000B42F0000}" name="Column12185"/>
    <tableColumn id="12213" xr3:uid="{00000000-0010-0000-2000-0000B52F0000}" name="Column12186"/>
    <tableColumn id="12214" xr3:uid="{00000000-0010-0000-2000-0000B62F0000}" name="Column12187"/>
    <tableColumn id="12215" xr3:uid="{00000000-0010-0000-2000-0000B72F0000}" name="Column12188"/>
    <tableColumn id="12216" xr3:uid="{00000000-0010-0000-2000-0000B82F0000}" name="Column12189"/>
    <tableColumn id="12217" xr3:uid="{00000000-0010-0000-2000-0000B92F0000}" name="Column12190"/>
    <tableColumn id="12218" xr3:uid="{00000000-0010-0000-2000-0000BA2F0000}" name="Column12191"/>
    <tableColumn id="12219" xr3:uid="{00000000-0010-0000-2000-0000BB2F0000}" name="Column12192"/>
    <tableColumn id="12220" xr3:uid="{00000000-0010-0000-2000-0000BC2F0000}" name="Column12193"/>
    <tableColumn id="12221" xr3:uid="{00000000-0010-0000-2000-0000BD2F0000}" name="Column12194"/>
    <tableColumn id="12222" xr3:uid="{00000000-0010-0000-2000-0000BE2F0000}" name="Column12195"/>
    <tableColumn id="12223" xr3:uid="{00000000-0010-0000-2000-0000BF2F0000}" name="Column12196"/>
    <tableColumn id="12224" xr3:uid="{00000000-0010-0000-2000-0000C02F0000}" name="Column12197"/>
    <tableColumn id="12225" xr3:uid="{00000000-0010-0000-2000-0000C12F0000}" name="Column12198"/>
    <tableColumn id="12226" xr3:uid="{00000000-0010-0000-2000-0000C22F0000}" name="Column12199"/>
    <tableColumn id="12227" xr3:uid="{00000000-0010-0000-2000-0000C32F0000}" name="Column12200"/>
    <tableColumn id="12228" xr3:uid="{00000000-0010-0000-2000-0000C42F0000}" name="Column12201"/>
    <tableColumn id="12229" xr3:uid="{00000000-0010-0000-2000-0000C52F0000}" name="Column12202"/>
    <tableColumn id="12230" xr3:uid="{00000000-0010-0000-2000-0000C62F0000}" name="Column12203"/>
    <tableColumn id="12231" xr3:uid="{00000000-0010-0000-2000-0000C72F0000}" name="Column12204"/>
    <tableColumn id="12232" xr3:uid="{00000000-0010-0000-2000-0000C82F0000}" name="Column12205"/>
    <tableColumn id="12233" xr3:uid="{00000000-0010-0000-2000-0000C92F0000}" name="Column12206"/>
    <tableColumn id="12234" xr3:uid="{00000000-0010-0000-2000-0000CA2F0000}" name="Column12207"/>
    <tableColumn id="12235" xr3:uid="{00000000-0010-0000-2000-0000CB2F0000}" name="Column12208"/>
    <tableColumn id="12236" xr3:uid="{00000000-0010-0000-2000-0000CC2F0000}" name="Column12209"/>
    <tableColumn id="12237" xr3:uid="{00000000-0010-0000-2000-0000CD2F0000}" name="Column12210"/>
    <tableColumn id="12238" xr3:uid="{00000000-0010-0000-2000-0000CE2F0000}" name="Column12211"/>
    <tableColumn id="12239" xr3:uid="{00000000-0010-0000-2000-0000CF2F0000}" name="Column12212"/>
    <tableColumn id="12240" xr3:uid="{00000000-0010-0000-2000-0000D02F0000}" name="Column12213"/>
    <tableColumn id="12241" xr3:uid="{00000000-0010-0000-2000-0000D12F0000}" name="Column12214"/>
    <tableColumn id="12242" xr3:uid="{00000000-0010-0000-2000-0000D22F0000}" name="Column12215"/>
    <tableColumn id="12243" xr3:uid="{00000000-0010-0000-2000-0000D32F0000}" name="Column12216"/>
    <tableColumn id="12244" xr3:uid="{00000000-0010-0000-2000-0000D42F0000}" name="Column12217"/>
    <tableColumn id="12245" xr3:uid="{00000000-0010-0000-2000-0000D52F0000}" name="Column12218"/>
    <tableColumn id="12246" xr3:uid="{00000000-0010-0000-2000-0000D62F0000}" name="Column12219"/>
    <tableColumn id="12247" xr3:uid="{00000000-0010-0000-2000-0000D72F0000}" name="Column12220"/>
    <tableColumn id="12248" xr3:uid="{00000000-0010-0000-2000-0000D82F0000}" name="Column12221"/>
    <tableColumn id="12249" xr3:uid="{00000000-0010-0000-2000-0000D92F0000}" name="Column12222"/>
    <tableColumn id="12250" xr3:uid="{00000000-0010-0000-2000-0000DA2F0000}" name="Column12223"/>
    <tableColumn id="12251" xr3:uid="{00000000-0010-0000-2000-0000DB2F0000}" name="Column12224"/>
    <tableColumn id="12252" xr3:uid="{00000000-0010-0000-2000-0000DC2F0000}" name="Column12225"/>
    <tableColumn id="12253" xr3:uid="{00000000-0010-0000-2000-0000DD2F0000}" name="Column12226"/>
    <tableColumn id="12254" xr3:uid="{00000000-0010-0000-2000-0000DE2F0000}" name="Column12227"/>
    <tableColumn id="12255" xr3:uid="{00000000-0010-0000-2000-0000DF2F0000}" name="Column12228"/>
    <tableColumn id="12256" xr3:uid="{00000000-0010-0000-2000-0000E02F0000}" name="Column12229"/>
    <tableColumn id="12257" xr3:uid="{00000000-0010-0000-2000-0000E12F0000}" name="Column12230"/>
    <tableColumn id="12258" xr3:uid="{00000000-0010-0000-2000-0000E22F0000}" name="Column12231"/>
    <tableColumn id="12259" xr3:uid="{00000000-0010-0000-2000-0000E32F0000}" name="Column12232"/>
    <tableColumn id="12260" xr3:uid="{00000000-0010-0000-2000-0000E42F0000}" name="Column12233"/>
    <tableColumn id="12261" xr3:uid="{00000000-0010-0000-2000-0000E52F0000}" name="Column12234"/>
    <tableColumn id="12262" xr3:uid="{00000000-0010-0000-2000-0000E62F0000}" name="Column12235"/>
    <tableColumn id="12263" xr3:uid="{00000000-0010-0000-2000-0000E72F0000}" name="Column12236"/>
    <tableColumn id="12264" xr3:uid="{00000000-0010-0000-2000-0000E82F0000}" name="Column12237"/>
    <tableColumn id="12265" xr3:uid="{00000000-0010-0000-2000-0000E92F0000}" name="Column12238"/>
    <tableColumn id="12266" xr3:uid="{00000000-0010-0000-2000-0000EA2F0000}" name="Column12239"/>
    <tableColumn id="12267" xr3:uid="{00000000-0010-0000-2000-0000EB2F0000}" name="Column12240"/>
    <tableColumn id="12268" xr3:uid="{00000000-0010-0000-2000-0000EC2F0000}" name="Column12241"/>
    <tableColumn id="12269" xr3:uid="{00000000-0010-0000-2000-0000ED2F0000}" name="Column12242"/>
    <tableColumn id="12270" xr3:uid="{00000000-0010-0000-2000-0000EE2F0000}" name="Column12243"/>
    <tableColumn id="12271" xr3:uid="{00000000-0010-0000-2000-0000EF2F0000}" name="Column12244"/>
    <tableColumn id="12272" xr3:uid="{00000000-0010-0000-2000-0000F02F0000}" name="Column12245"/>
    <tableColumn id="12273" xr3:uid="{00000000-0010-0000-2000-0000F12F0000}" name="Column12246"/>
    <tableColumn id="12274" xr3:uid="{00000000-0010-0000-2000-0000F22F0000}" name="Column12247"/>
    <tableColumn id="12275" xr3:uid="{00000000-0010-0000-2000-0000F32F0000}" name="Column12248"/>
    <tableColumn id="12276" xr3:uid="{00000000-0010-0000-2000-0000F42F0000}" name="Column12249"/>
    <tableColumn id="12277" xr3:uid="{00000000-0010-0000-2000-0000F52F0000}" name="Column12250"/>
    <tableColumn id="12278" xr3:uid="{00000000-0010-0000-2000-0000F62F0000}" name="Column12251"/>
    <tableColumn id="12279" xr3:uid="{00000000-0010-0000-2000-0000F72F0000}" name="Column12252"/>
    <tableColumn id="12280" xr3:uid="{00000000-0010-0000-2000-0000F82F0000}" name="Column12253"/>
    <tableColumn id="12281" xr3:uid="{00000000-0010-0000-2000-0000F92F0000}" name="Column12254"/>
    <tableColumn id="12282" xr3:uid="{00000000-0010-0000-2000-0000FA2F0000}" name="Column12255"/>
    <tableColumn id="12283" xr3:uid="{00000000-0010-0000-2000-0000FB2F0000}" name="Column12256"/>
    <tableColumn id="12284" xr3:uid="{00000000-0010-0000-2000-0000FC2F0000}" name="Column12257"/>
    <tableColumn id="12285" xr3:uid="{00000000-0010-0000-2000-0000FD2F0000}" name="Column12258"/>
    <tableColumn id="12286" xr3:uid="{00000000-0010-0000-2000-0000FE2F0000}" name="Column12259"/>
    <tableColumn id="12287" xr3:uid="{00000000-0010-0000-2000-0000FF2F0000}" name="Column12260"/>
    <tableColumn id="12288" xr3:uid="{00000000-0010-0000-2000-000000300000}" name="Column12261"/>
    <tableColumn id="12289" xr3:uid="{00000000-0010-0000-2000-000001300000}" name="Column12262"/>
    <tableColumn id="12290" xr3:uid="{00000000-0010-0000-2000-000002300000}" name="Column12263"/>
    <tableColumn id="12291" xr3:uid="{00000000-0010-0000-2000-000003300000}" name="Column12264"/>
    <tableColumn id="12292" xr3:uid="{00000000-0010-0000-2000-000004300000}" name="Column12265"/>
    <tableColumn id="12293" xr3:uid="{00000000-0010-0000-2000-000005300000}" name="Column12266"/>
    <tableColumn id="12294" xr3:uid="{00000000-0010-0000-2000-000006300000}" name="Column12267"/>
    <tableColumn id="12295" xr3:uid="{00000000-0010-0000-2000-000007300000}" name="Column12268"/>
    <tableColumn id="12296" xr3:uid="{00000000-0010-0000-2000-000008300000}" name="Column12269"/>
    <tableColumn id="12297" xr3:uid="{00000000-0010-0000-2000-000009300000}" name="Column12270"/>
    <tableColumn id="12298" xr3:uid="{00000000-0010-0000-2000-00000A300000}" name="Column12271"/>
    <tableColumn id="12299" xr3:uid="{00000000-0010-0000-2000-00000B300000}" name="Column12272"/>
    <tableColumn id="12300" xr3:uid="{00000000-0010-0000-2000-00000C300000}" name="Column12273"/>
    <tableColumn id="12301" xr3:uid="{00000000-0010-0000-2000-00000D300000}" name="Column12274"/>
    <tableColumn id="12302" xr3:uid="{00000000-0010-0000-2000-00000E300000}" name="Column12275"/>
    <tableColumn id="12303" xr3:uid="{00000000-0010-0000-2000-00000F300000}" name="Column12276"/>
    <tableColumn id="12304" xr3:uid="{00000000-0010-0000-2000-000010300000}" name="Column12277"/>
    <tableColumn id="12305" xr3:uid="{00000000-0010-0000-2000-000011300000}" name="Column12278"/>
    <tableColumn id="12306" xr3:uid="{00000000-0010-0000-2000-000012300000}" name="Column12279"/>
    <tableColumn id="12307" xr3:uid="{00000000-0010-0000-2000-000013300000}" name="Column12280"/>
    <tableColumn id="12308" xr3:uid="{00000000-0010-0000-2000-000014300000}" name="Column12281"/>
    <tableColumn id="12309" xr3:uid="{00000000-0010-0000-2000-000015300000}" name="Column12282"/>
    <tableColumn id="12310" xr3:uid="{00000000-0010-0000-2000-000016300000}" name="Column12283"/>
    <tableColumn id="12311" xr3:uid="{00000000-0010-0000-2000-000017300000}" name="Column12284"/>
    <tableColumn id="12312" xr3:uid="{00000000-0010-0000-2000-000018300000}" name="Column12285"/>
    <tableColumn id="12313" xr3:uid="{00000000-0010-0000-2000-000019300000}" name="Column12286"/>
    <tableColumn id="12314" xr3:uid="{00000000-0010-0000-2000-00001A300000}" name="Column12287"/>
    <tableColumn id="12315" xr3:uid="{00000000-0010-0000-2000-00001B300000}" name="Column12288"/>
    <tableColumn id="12316" xr3:uid="{00000000-0010-0000-2000-00001C300000}" name="Column12289"/>
    <tableColumn id="12317" xr3:uid="{00000000-0010-0000-2000-00001D300000}" name="Column12290"/>
    <tableColumn id="12318" xr3:uid="{00000000-0010-0000-2000-00001E300000}" name="Column12291"/>
    <tableColumn id="12319" xr3:uid="{00000000-0010-0000-2000-00001F300000}" name="Column12292"/>
    <tableColumn id="12320" xr3:uid="{00000000-0010-0000-2000-000020300000}" name="Column12293"/>
    <tableColumn id="12321" xr3:uid="{00000000-0010-0000-2000-000021300000}" name="Column12294"/>
    <tableColumn id="12322" xr3:uid="{00000000-0010-0000-2000-000022300000}" name="Column12295"/>
    <tableColumn id="12323" xr3:uid="{00000000-0010-0000-2000-000023300000}" name="Column12296"/>
    <tableColumn id="12324" xr3:uid="{00000000-0010-0000-2000-000024300000}" name="Column12297"/>
    <tableColumn id="12325" xr3:uid="{00000000-0010-0000-2000-000025300000}" name="Column12298"/>
    <tableColumn id="12326" xr3:uid="{00000000-0010-0000-2000-000026300000}" name="Column12299"/>
    <tableColumn id="12327" xr3:uid="{00000000-0010-0000-2000-000027300000}" name="Column12300"/>
    <tableColumn id="12328" xr3:uid="{00000000-0010-0000-2000-000028300000}" name="Column12301"/>
    <tableColumn id="12329" xr3:uid="{00000000-0010-0000-2000-000029300000}" name="Column12302"/>
    <tableColumn id="12330" xr3:uid="{00000000-0010-0000-2000-00002A300000}" name="Column12303"/>
    <tableColumn id="12331" xr3:uid="{00000000-0010-0000-2000-00002B300000}" name="Column12304"/>
    <tableColumn id="12332" xr3:uid="{00000000-0010-0000-2000-00002C300000}" name="Column12305"/>
    <tableColumn id="12333" xr3:uid="{00000000-0010-0000-2000-00002D300000}" name="Column12306"/>
    <tableColumn id="12334" xr3:uid="{00000000-0010-0000-2000-00002E300000}" name="Column12307"/>
    <tableColumn id="12335" xr3:uid="{00000000-0010-0000-2000-00002F300000}" name="Column12308"/>
    <tableColumn id="12336" xr3:uid="{00000000-0010-0000-2000-000030300000}" name="Column12309"/>
    <tableColumn id="12337" xr3:uid="{00000000-0010-0000-2000-000031300000}" name="Column12310"/>
    <tableColumn id="12338" xr3:uid="{00000000-0010-0000-2000-000032300000}" name="Column12311"/>
    <tableColumn id="12339" xr3:uid="{00000000-0010-0000-2000-000033300000}" name="Column12312"/>
    <tableColumn id="12340" xr3:uid="{00000000-0010-0000-2000-000034300000}" name="Column12313"/>
    <tableColumn id="12341" xr3:uid="{00000000-0010-0000-2000-000035300000}" name="Column12314"/>
    <tableColumn id="12342" xr3:uid="{00000000-0010-0000-2000-000036300000}" name="Column12315"/>
    <tableColumn id="12343" xr3:uid="{00000000-0010-0000-2000-000037300000}" name="Column12316"/>
    <tableColumn id="12344" xr3:uid="{00000000-0010-0000-2000-000038300000}" name="Column12317"/>
    <tableColumn id="12345" xr3:uid="{00000000-0010-0000-2000-000039300000}" name="Column12318"/>
    <tableColumn id="12346" xr3:uid="{00000000-0010-0000-2000-00003A300000}" name="Column12319"/>
    <tableColumn id="12347" xr3:uid="{00000000-0010-0000-2000-00003B300000}" name="Column12320"/>
    <tableColumn id="12348" xr3:uid="{00000000-0010-0000-2000-00003C300000}" name="Column12321"/>
    <tableColumn id="12349" xr3:uid="{00000000-0010-0000-2000-00003D300000}" name="Column12322"/>
    <tableColumn id="12350" xr3:uid="{00000000-0010-0000-2000-00003E300000}" name="Column12323"/>
    <tableColumn id="12351" xr3:uid="{00000000-0010-0000-2000-00003F300000}" name="Column12324"/>
    <tableColumn id="12352" xr3:uid="{00000000-0010-0000-2000-000040300000}" name="Column12325"/>
    <tableColumn id="12353" xr3:uid="{00000000-0010-0000-2000-000041300000}" name="Column12326"/>
    <tableColumn id="12354" xr3:uid="{00000000-0010-0000-2000-000042300000}" name="Column12327"/>
    <tableColumn id="12355" xr3:uid="{00000000-0010-0000-2000-000043300000}" name="Column12328"/>
    <tableColumn id="12356" xr3:uid="{00000000-0010-0000-2000-000044300000}" name="Column12329"/>
    <tableColumn id="12357" xr3:uid="{00000000-0010-0000-2000-000045300000}" name="Column12330"/>
    <tableColumn id="12358" xr3:uid="{00000000-0010-0000-2000-000046300000}" name="Column12331"/>
    <tableColumn id="12359" xr3:uid="{00000000-0010-0000-2000-000047300000}" name="Column12332"/>
    <tableColumn id="12360" xr3:uid="{00000000-0010-0000-2000-000048300000}" name="Column12333"/>
    <tableColumn id="12361" xr3:uid="{00000000-0010-0000-2000-000049300000}" name="Column12334"/>
    <tableColumn id="12362" xr3:uid="{00000000-0010-0000-2000-00004A300000}" name="Column12335"/>
    <tableColumn id="12363" xr3:uid="{00000000-0010-0000-2000-00004B300000}" name="Column12336"/>
    <tableColumn id="12364" xr3:uid="{00000000-0010-0000-2000-00004C300000}" name="Column12337"/>
    <tableColumn id="12365" xr3:uid="{00000000-0010-0000-2000-00004D300000}" name="Column12338"/>
    <tableColumn id="12366" xr3:uid="{00000000-0010-0000-2000-00004E300000}" name="Column12339"/>
    <tableColumn id="12367" xr3:uid="{00000000-0010-0000-2000-00004F300000}" name="Column12340"/>
    <tableColumn id="12368" xr3:uid="{00000000-0010-0000-2000-000050300000}" name="Column12341"/>
    <tableColumn id="12369" xr3:uid="{00000000-0010-0000-2000-000051300000}" name="Column12342"/>
    <tableColumn id="12370" xr3:uid="{00000000-0010-0000-2000-000052300000}" name="Column12343"/>
    <tableColumn id="12371" xr3:uid="{00000000-0010-0000-2000-000053300000}" name="Column12344"/>
    <tableColumn id="12372" xr3:uid="{00000000-0010-0000-2000-000054300000}" name="Column12345"/>
    <tableColumn id="12373" xr3:uid="{00000000-0010-0000-2000-000055300000}" name="Column12346"/>
    <tableColumn id="12374" xr3:uid="{00000000-0010-0000-2000-000056300000}" name="Column12347"/>
    <tableColumn id="12375" xr3:uid="{00000000-0010-0000-2000-000057300000}" name="Column12348"/>
    <tableColumn id="12376" xr3:uid="{00000000-0010-0000-2000-000058300000}" name="Column12349"/>
    <tableColumn id="12377" xr3:uid="{00000000-0010-0000-2000-000059300000}" name="Column12350"/>
    <tableColumn id="12378" xr3:uid="{00000000-0010-0000-2000-00005A300000}" name="Column12351"/>
    <tableColumn id="12379" xr3:uid="{00000000-0010-0000-2000-00005B300000}" name="Column12352"/>
    <tableColumn id="12380" xr3:uid="{00000000-0010-0000-2000-00005C300000}" name="Column12353"/>
    <tableColumn id="12381" xr3:uid="{00000000-0010-0000-2000-00005D300000}" name="Column12354"/>
    <tableColumn id="12382" xr3:uid="{00000000-0010-0000-2000-00005E300000}" name="Column12355"/>
    <tableColumn id="12383" xr3:uid="{00000000-0010-0000-2000-00005F300000}" name="Column12356"/>
    <tableColumn id="12384" xr3:uid="{00000000-0010-0000-2000-000060300000}" name="Column12357"/>
    <tableColumn id="12385" xr3:uid="{00000000-0010-0000-2000-000061300000}" name="Column12358"/>
    <tableColumn id="12386" xr3:uid="{00000000-0010-0000-2000-000062300000}" name="Column12359"/>
    <tableColumn id="12387" xr3:uid="{00000000-0010-0000-2000-000063300000}" name="Column12360"/>
    <tableColumn id="12388" xr3:uid="{00000000-0010-0000-2000-000064300000}" name="Column12361"/>
    <tableColumn id="12389" xr3:uid="{00000000-0010-0000-2000-000065300000}" name="Column12362"/>
    <tableColumn id="12390" xr3:uid="{00000000-0010-0000-2000-000066300000}" name="Column12363"/>
    <tableColumn id="12391" xr3:uid="{00000000-0010-0000-2000-000067300000}" name="Column12364"/>
    <tableColumn id="12392" xr3:uid="{00000000-0010-0000-2000-000068300000}" name="Column12365"/>
    <tableColumn id="12393" xr3:uid="{00000000-0010-0000-2000-000069300000}" name="Column12366"/>
    <tableColumn id="12394" xr3:uid="{00000000-0010-0000-2000-00006A300000}" name="Column12367"/>
    <tableColumn id="12395" xr3:uid="{00000000-0010-0000-2000-00006B300000}" name="Column12368"/>
    <tableColumn id="12396" xr3:uid="{00000000-0010-0000-2000-00006C300000}" name="Column12369"/>
    <tableColumn id="12397" xr3:uid="{00000000-0010-0000-2000-00006D300000}" name="Column12370"/>
    <tableColumn id="12398" xr3:uid="{00000000-0010-0000-2000-00006E300000}" name="Column12371"/>
    <tableColumn id="12399" xr3:uid="{00000000-0010-0000-2000-00006F300000}" name="Column12372"/>
    <tableColumn id="12400" xr3:uid="{00000000-0010-0000-2000-000070300000}" name="Column12373"/>
    <tableColumn id="12401" xr3:uid="{00000000-0010-0000-2000-000071300000}" name="Column12374"/>
    <tableColumn id="12402" xr3:uid="{00000000-0010-0000-2000-000072300000}" name="Column12375"/>
    <tableColumn id="12403" xr3:uid="{00000000-0010-0000-2000-000073300000}" name="Column12376"/>
    <tableColumn id="12404" xr3:uid="{00000000-0010-0000-2000-000074300000}" name="Column12377"/>
    <tableColumn id="12405" xr3:uid="{00000000-0010-0000-2000-000075300000}" name="Column12378"/>
    <tableColumn id="12406" xr3:uid="{00000000-0010-0000-2000-000076300000}" name="Column12379"/>
    <tableColumn id="12407" xr3:uid="{00000000-0010-0000-2000-000077300000}" name="Column12380"/>
    <tableColumn id="12408" xr3:uid="{00000000-0010-0000-2000-000078300000}" name="Column12381"/>
    <tableColumn id="12409" xr3:uid="{00000000-0010-0000-2000-000079300000}" name="Column12382"/>
    <tableColumn id="12410" xr3:uid="{00000000-0010-0000-2000-00007A300000}" name="Column12383"/>
    <tableColumn id="12411" xr3:uid="{00000000-0010-0000-2000-00007B300000}" name="Column12384"/>
    <tableColumn id="12412" xr3:uid="{00000000-0010-0000-2000-00007C300000}" name="Column12385"/>
    <tableColumn id="12413" xr3:uid="{00000000-0010-0000-2000-00007D300000}" name="Column12386"/>
    <tableColumn id="12414" xr3:uid="{00000000-0010-0000-2000-00007E300000}" name="Column12387"/>
    <tableColumn id="12415" xr3:uid="{00000000-0010-0000-2000-00007F300000}" name="Column12388"/>
    <tableColumn id="12416" xr3:uid="{00000000-0010-0000-2000-000080300000}" name="Column12389"/>
    <tableColumn id="12417" xr3:uid="{00000000-0010-0000-2000-000081300000}" name="Column12390"/>
    <tableColumn id="12418" xr3:uid="{00000000-0010-0000-2000-000082300000}" name="Column12391"/>
    <tableColumn id="12419" xr3:uid="{00000000-0010-0000-2000-000083300000}" name="Column12392"/>
    <tableColumn id="12420" xr3:uid="{00000000-0010-0000-2000-000084300000}" name="Column12393"/>
    <tableColumn id="12421" xr3:uid="{00000000-0010-0000-2000-000085300000}" name="Column12394"/>
    <tableColumn id="12422" xr3:uid="{00000000-0010-0000-2000-000086300000}" name="Column12395"/>
    <tableColumn id="12423" xr3:uid="{00000000-0010-0000-2000-000087300000}" name="Column12396"/>
    <tableColumn id="12424" xr3:uid="{00000000-0010-0000-2000-000088300000}" name="Column12397"/>
    <tableColumn id="12425" xr3:uid="{00000000-0010-0000-2000-000089300000}" name="Column12398"/>
    <tableColumn id="12426" xr3:uid="{00000000-0010-0000-2000-00008A300000}" name="Column12399"/>
    <tableColumn id="12427" xr3:uid="{00000000-0010-0000-2000-00008B300000}" name="Column12400"/>
    <tableColumn id="12428" xr3:uid="{00000000-0010-0000-2000-00008C300000}" name="Column12401"/>
    <tableColumn id="12429" xr3:uid="{00000000-0010-0000-2000-00008D300000}" name="Column12402"/>
    <tableColumn id="12430" xr3:uid="{00000000-0010-0000-2000-00008E300000}" name="Column12403"/>
    <tableColumn id="12431" xr3:uid="{00000000-0010-0000-2000-00008F300000}" name="Column12404"/>
    <tableColumn id="12432" xr3:uid="{00000000-0010-0000-2000-000090300000}" name="Column12405"/>
    <tableColumn id="12433" xr3:uid="{00000000-0010-0000-2000-000091300000}" name="Column12406"/>
    <tableColumn id="12434" xr3:uid="{00000000-0010-0000-2000-000092300000}" name="Column12407"/>
    <tableColumn id="12435" xr3:uid="{00000000-0010-0000-2000-000093300000}" name="Column12408"/>
    <tableColumn id="12436" xr3:uid="{00000000-0010-0000-2000-000094300000}" name="Column12409"/>
    <tableColumn id="12437" xr3:uid="{00000000-0010-0000-2000-000095300000}" name="Column12410"/>
    <tableColumn id="12438" xr3:uid="{00000000-0010-0000-2000-000096300000}" name="Column12411"/>
    <tableColumn id="12439" xr3:uid="{00000000-0010-0000-2000-000097300000}" name="Column12412"/>
    <tableColumn id="12440" xr3:uid="{00000000-0010-0000-2000-000098300000}" name="Column12413"/>
    <tableColumn id="12441" xr3:uid="{00000000-0010-0000-2000-000099300000}" name="Column12414"/>
    <tableColumn id="12442" xr3:uid="{00000000-0010-0000-2000-00009A300000}" name="Column12415"/>
    <tableColumn id="12443" xr3:uid="{00000000-0010-0000-2000-00009B300000}" name="Column12416"/>
    <tableColumn id="12444" xr3:uid="{00000000-0010-0000-2000-00009C300000}" name="Column12417"/>
    <tableColumn id="12445" xr3:uid="{00000000-0010-0000-2000-00009D300000}" name="Column12418"/>
    <tableColumn id="12446" xr3:uid="{00000000-0010-0000-2000-00009E300000}" name="Column12419"/>
    <tableColumn id="12447" xr3:uid="{00000000-0010-0000-2000-00009F300000}" name="Column12420"/>
    <tableColumn id="12448" xr3:uid="{00000000-0010-0000-2000-0000A0300000}" name="Column12421"/>
    <tableColumn id="12449" xr3:uid="{00000000-0010-0000-2000-0000A1300000}" name="Column12422"/>
    <tableColumn id="12450" xr3:uid="{00000000-0010-0000-2000-0000A2300000}" name="Column12423"/>
    <tableColumn id="12451" xr3:uid="{00000000-0010-0000-2000-0000A3300000}" name="Column12424"/>
    <tableColumn id="12452" xr3:uid="{00000000-0010-0000-2000-0000A4300000}" name="Column12425"/>
    <tableColumn id="12453" xr3:uid="{00000000-0010-0000-2000-0000A5300000}" name="Column12426"/>
    <tableColumn id="12454" xr3:uid="{00000000-0010-0000-2000-0000A6300000}" name="Column12427"/>
    <tableColumn id="12455" xr3:uid="{00000000-0010-0000-2000-0000A7300000}" name="Column12428"/>
    <tableColumn id="12456" xr3:uid="{00000000-0010-0000-2000-0000A8300000}" name="Column12429"/>
    <tableColumn id="12457" xr3:uid="{00000000-0010-0000-2000-0000A9300000}" name="Column12430"/>
    <tableColumn id="12458" xr3:uid="{00000000-0010-0000-2000-0000AA300000}" name="Column12431"/>
    <tableColumn id="12459" xr3:uid="{00000000-0010-0000-2000-0000AB300000}" name="Column12432"/>
    <tableColumn id="12460" xr3:uid="{00000000-0010-0000-2000-0000AC300000}" name="Column12433"/>
    <tableColumn id="12461" xr3:uid="{00000000-0010-0000-2000-0000AD300000}" name="Column12434"/>
    <tableColumn id="12462" xr3:uid="{00000000-0010-0000-2000-0000AE300000}" name="Column12435"/>
    <tableColumn id="12463" xr3:uid="{00000000-0010-0000-2000-0000AF300000}" name="Column12436"/>
    <tableColumn id="12464" xr3:uid="{00000000-0010-0000-2000-0000B0300000}" name="Column12437"/>
    <tableColumn id="12465" xr3:uid="{00000000-0010-0000-2000-0000B1300000}" name="Column12438"/>
    <tableColumn id="12466" xr3:uid="{00000000-0010-0000-2000-0000B2300000}" name="Column12439"/>
    <tableColumn id="12467" xr3:uid="{00000000-0010-0000-2000-0000B3300000}" name="Column12440"/>
    <tableColumn id="12468" xr3:uid="{00000000-0010-0000-2000-0000B4300000}" name="Column12441"/>
    <tableColumn id="12469" xr3:uid="{00000000-0010-0000-2000-0000B5300000}" name="Column12442"/>
    <tableColumn id="12470" xr3:uid="{00000000-0010-0000-2000-0000B6300000}" name="Column12443"/>
    <tableColumn id="12471" xr3:uid="{00000000-0010-0000-2000-0000B7300000}" name="Column12444"/>
    <tableColumn id="12472" xr3:uid="{00000000-0010-0000-2000-0000B8300000}" name="Column12445"/>
    <tableColumn id="12473" xr3:uid="{00000000-0010-0000-2000-0000B9300000}" name="Column12446"/>
    <tableColumn id="12474" xr3:uid="{00000000-0010-0000-2000-0000BA300000}" name="Column12447"/>
    <tableColumn id="12475" xr3:uid="{00000000-0010-0000-2000-0000BB300000}" name="Column12448"/>
    <tableColumn id="12476" xr3:uid="{00000000-0010-0000-2000-0000BC300000}" name="Column12449"/>
    <tableColumn id="12477" xr3:uid="{00000000-0010-0000-2000-0000BD300000}" name="Column12450"/>
    <tableColumn id="12478" xr3:uid="{00000000-0010-0000-2000-0000BE300000}" name="Column12451"/>
    <tableColumn id="12479" xr3:uid="{00000000-0010-0000-2000-0000BF300000}" name="Column12452"/>
    <tableColumn id="12480" xr3:uid="{00000000-0010-0000-2000-0000C0300000}" name="Column12453"/>
    <tableColumn id="12481" xr3:uid="{00000000-0010-0000-2000-0000C1300000}" name="Column12454"/>
    <tableColumn id="12482" xr3:uid="{00000000-0010-0000-2000-0000C2300000}" name="Column12455"/>
    <tableColumn id="12483" xr3:uid="{00000000-0010-0000-2000-0000C3300000}" name="Column12456"/>
    <tableColumn id="12484" xr3:uid="{00000000-0010-0000-2000-0000C4300000}" name="Column12457"/>
    <tableColumn id="12485" xr3:uid="{00000000-0010-0000-2000-0000C5300000}" name="Column12458"/>
    <tableColumn id="12486" xr3:uid="{00000000-0010-0000-2000-0000C6300000}" name="Column12459"/>
    <tableColumn id="12487" xr3:uid="{00000000-0010-0000-2000-0000C7300000}" name="Column12460"/>
    <tableColumn id="12488" xr3:uid="{00000000-0010-0000-2000-0000C8300000}" name="Column12461"/>
    <tableColumn id="12489" xr3:uid="{00000000-0010-0000-2000-0000C9300000}" name="Column12462"/>
    <tableColumn id="12490" xr3:uid="{00000000-0010-0000-2000-0000CA300000}" name="Column12463"/>
    <tableColumn id="12491" xr3:uid="{00000000-0010-0000-2000-0000CB300000}" name="Column12464"/>
    <tableColumn id="12492" xr3:uid="{00000000-0010-0000-2000-0000CC300000}" name="Column12465"/>
    <tableColumn id="12493" xr3:uid="{00000000-0010-0000-2000-0000CD300000}" name="Column12466"/>
    <tableColumn id="12494" xr3:uid="{00000000-0010-0000-2000-0000CE300000}" name="Column12467"/>
    <tableColumn id="12495" xr3:uid="{00000000-0010-0000-2000-0000CF300000}" name="Column12468"/>
    <tableColumn id="12496" xr3:uid="{00000000-0010-0000-2000-0000D0300000}" name="Column12469"/>
    <tableColumn id="12497" xr3:uid="{00000000-0010-0000-2000-0000D1300000}" name="Column12470"/>
    <tableColumn id="12498" xr3:uid="{00000000-0010-0000-2000-0000D2300000}" name="Column12471"/>
    <tableColumn id="12499" xr3:uid="{00000000-0010-0000-2000-0000D3300000}" name="Column12472"/>
    <tableColumn id="12500" xr3:uid="{00000000-0010-0000-2000-0000D4300000}" name="Column12473"/>
    <tableColumn id="12501" xr3:uid="{00000000-0010-0000-2000-0000D5300000}" name="Column12474"/>
    <tableColumn id="12502" xr3:uid="{00000000-0010-0000-2000-0000D6300000}" name="Column12475"/>
    <tableColumn id="12503" xr3:uid="{00000000-0010-0000-2000-0000D7300000}" name="Column12476"/>
    <tableColumn id="12504" xr3:uid="{00000000-0010-0000-2000-0000D8300000}" name="Column12477"/>
    <tableColumn id="12505" xr3:uid="{00000000-0010-0000-2000-0000D9300000}" name="Column12478"/>
    <tableColumn id="12506" xr3:uid="{00000000-0010-0000-2000-0000DA300000}" name="Column12479"/>
    <tableColumn id="12507" xr3:uid="{00000000-0010-0000-2000-0000DB300000}" name="Column12480"/>
    <tableColumn id="12508" xr3:uid="{00000000-0010-0000-2000-0000DC300000}" name="Column12481"/>
    <tableColumn id="12509" xr3:uid="{00000000-0010-0000-2000-0000DD300000}" name="Column12482"/>
    <tableColumn id="12510" xr3:uid="{00000000-0010-0000-2000-0000DE300000}" name="Column12483"/>
    <tableColumn id="12511" xr3:uid="{00000000-0010-0000-2000-0000DF300000}" name="Column12484"/>
    <tableColumn id="12512" xr3:uid="{00000000-0010-0000-2000-0000E0300000}" name="Column12485"/>
    <tableColumn id="12513" xr3:uid="{00000000-0010-0000-2000-0000E1300000}" name="Column12486"/>
    <tableColumn id="12514" xr3:uid="{00000000-0010-0000-2000-0000E2300000}" name="Column12487"/>
    <tableColumn id="12515" xr3:uid="{00000000-0010-0000-2000-0000E3300000}" name="Column12488"/>
    <tableColumn id="12516" xr3:uid="{00000000-0010-0000-2000-0000E4300000}" name="Column12489"/>
    <tableColumn id="12517" xr3:uid="{00000000-0010-0000-2000-0000E5300000}" name="Column12490"/>
    <tableColumn id="12518" xr3:uid="{00000000-0010-0000-2000-0000E6300000}" name="Column12491"/>
    <tableColumn id="12519" xr3:uid="{00000000-0010-0000-2000-0000E7300000}" name="Column12492"/>
    <tableColumn id="12520" xr3:uid="{00000000-0010-0000-2000-0000E8300000}" name="Column12493"/>
    <tableColumn id="12521" xr3:uid="{00000000-0010-0000-2000-0000E9300000}" name="Column12494"/>
    <tableColumn id="12522" xr3:uid="{00000000-0010-0000-2000-0000EA300000}" name="Column12495"/>
    <tableColumn id="12523" xr3:uid="{00000000-0010-0000-2000-0000EB300000}" name="Column12496"/>
    <tableColumn id="12524" xr3:uid="{00000000-0010-0000-2000-0000EC300000}" name="Column12497"/>
    <tableColumn id="12525" xr3:uid="{00000000-0010-0000-2000-0000ED300000}" name="Column12498"/>
    <tableColumn id="12526" xr3:uid="{00000000-0010-0000-2000-0000EE300000}" name="Column12499"/>
    <tableColumn id="12527" xr3:uid="{00000000-0010-0000-2000-0000EF300000}" name="Column12500"/>
    <tableColumn id="12528" xr3:uid="{00000000-0010-0000-2000-0000F0300000}" name="Column12501"/>
    <tableColumn id="12529" xr3:uid="{00000000-0010-0000-2000-0000F1300000}" name="Column12502"/>
    <tableColumn id="12530" xr3:uid="{00000000-0010-0000-2000-0000F2300000}" name="Column12503"/>
    <tableColumn id="12531" xr3:uid="{00000000-0010-0000-2000-0000F3300000}" name="Column12504"/>
    <tableColumn id="12532" xr3:uid="{00000000-0010-0000-2000-0000F4300000}" name="Column12505"/>
    <tableColumn id="12533" xr3:uid="{00000000-0010-0000-2000-0000F5300000}" name="Column12506"/>
    <tableColumn id="12534" xr3:uid="{00000000-0010-0000-2000-0000F6300000}" name="Column12507"/>
    <tableColumn id="12535" xr3:uid="{00000000-0010-0000-2000-0000F7300000}" name="Column12508"/>
    <tableColumn id="12536" xr3:uid="{00000000-0010-0000-2000-0000F8300000}" name="Column12509"/>
    <tableColumn id="12537" xr3:uid="{00000000-0010-0000-2000-0000F9300000}" name="Column12510"/>
    <tableColumn id="12538" xr3:uid="{00000000-0010-0000-2000-0000FA300000}" name="Column12511"/>
    <tableColumn id="12539" xr3:uid="{00000000-0010-0000-2000-0000FB300000}" name="Column12512"/>
    <tableColumn id="12540" xr3:uid="{00000000-0010-0000-2000-0000FC300000}" name="Column12513"/>
    <tableColumn id="12541" xr3:uid="{00000000-0010-0000-2000-0000FD300000}" name="Column12514"/>
    <tableColumn id="12542" xr3:uid="{00000000-0010-0000-2000-0000FE300000}" name="Column12515"/>
    <tableColumn id="12543" xr3:uid="{00000000-0010-0000-2000-0000FF300000}" name="Column12516"/>
    <tableColumn id="12544" xr3:uid="{00000000-0010-0000-2000-000000310000}" name="Column12517"/>
    <tableColumn id="12545" xr3:uid="{00000000-0010-0000-2000-000001310000}" name="Column12518"/>
    <tableColumn id="12546" xr3:uid="{00000000-0010-0000-2000-000002310000}" name="Column12519"/>
    <tableColumn id="12547" xr3:uid="{00000000-0010-0000-2000-000003310000}" name="Column12520"/>
    <tableColumn id="12548" xr3:uid="{00000000-0010-0000-2000-000004310000}" name="Column12521"/>
    <tableColumn id="12549" xr3:uid="{00000000-0010-0000-2000-000005310000}" name="Column12522"/>
    <tableColumn id="12550" xr3:uid="{00000000-0010-0000-2000-000006310000}" name="Column12523"/>
    <tableColumn id="12551" xr3:uid="{00000000-0010-0000-2000-000007310000}" name="Column12524"/>
    <tableColumn id="12552" xr3:uid="{00000000-0010-0000-2000-000008310000}" name="Column12525"/>
    <tableColumn id="12553" xr3:uid="{00000000-0010-0000-2000-000009310000}" name="Column12526"/>
    <tableColumn id="12554" xr3:uid="{00000000-0010-0000-2000-00000A310000}" name="Column12527"/>
    <tableColumn id="12555" xr3:uid="{00000000-0010-0000-2000-00000B310000}" name="Column12528"/>
    <tableColumn id="12556" xr3:uid="{00000000-0010-0000-2000-00000C310000}" name="Column12529"/>
    <tableColumn id="12557" xr3:uid="{00000000-0010-0000-2000-00000D310000}" name="Column12530"/>
    <tableColumn id="12558" xr3:uid="{00000000-0010-0000-2000-00000E310000}" name="Column12531"/>
    <tableColumn id="12559" xr3:uid="{00000000-0010-0000-2000-00000F310000}" name="Column12532"/>
    <tableColumn id="12560" xr3:uid="{00000000-0010-0000-2000-000010310000}" name="Column12533"/>
    <tableColumn id="12561" xr3:uid="{00000000-0010-0000-2000-000011310000}" name="Column12534"/>
    <tableColumn id="12562" xr3:uid="{00000000-0010-0000-2000-000012310000}" name="Column12535"/>
    <tableColumn id="12563" xr3:uid="{00000000-0010-0000-2000-000013310000}" name="Column12536"/>
    <tableColumn id="12564" xr3:uid="{00000000-0010-0000-2000-000014310000}" name="Column12537"/>
    <tableColumn id="12565" xr3:uid="{00000000-0010-0000-2000-000015310000}" name="Column12538"/>
    <tableColumn id="12566" xr3:uid="{00000000-0010-0000-2000-000016310000}" name="Column12539"/>
    <tableColumn id="12567" xr3:uid="{00000000-0010-0000-2000-000017310000}" name="Column12540"/>
    <tableColumn id="12568" xr3:uid="{00000000-0010-0000-2000-000018310000}" name="Column12541"/>
    <tableColumn id="12569" xr3:uid="{00000000-0010-0000-2000-000019310000}" name="Column12542"/>
    <tableColumn id="12570" xr3:uid="{00000000-0010-0000-2000-00001A310000}" name="Column12543"/>
    <tableColumn id="12571" xr3:uid="{00000000-0010-0000-2000-00001B310000}" name="Column12544"/>
    <tableColumn id="12572" xr3:uid="{00000000-0010-0000-2000-00001C310000}" name="Column12545"/>
    <tableColumn id="12573" xr3:uid="{00000000-0010-0000-2000-00001D310000}" name="Column12546"/>
    <tableColumn id="12574" xr3:uid="{00000000-0010-0000-2000-00001E310000}" name="Column12547"/>
    <tableColumn id="12575" xr3:uid="{00000000-0010-0000-2000-00001F310000}" name="Column12548"/>
    <tableColumn id="12576" xr3:uid="{00000000-0010-0000-2000-000020310000}" name="Column12549"/>
    <tableColumn id="12577" xr3:uid="{00000000-0010-0000-2000-000021310000}" name="Column12550"/>
    <tableColumn id="12578" xr3:uid="{00000000-0010-0000-2000-000022310000}" name="Column12551"/>
    <tableColumn id="12579" xr3:uid="{00000000-0010-0000-2000-000023310000}" name="Column12552"/>
    <tableColumn id="12580" xr3:uid="{00000000-0010-0000-2000-000024310000}" name="Column12553"/>
    <tableColumn id="12581" xr3:uid="{00000000-0010-0000-2000-000025310000}" name="Column12554"/>
    <tableColumn id="12582" xr3:uid="{00000000-0010-0000-2000-000026310000}" name="Column12555"/>
    <tableColumn id="12583" xr3:uid="{00000000-0010-0000-2000-000027310000}" name="Column12556"/>
    <tableColumn id="12584" xr3:uid="{00000000-0010-0000-2000-000028310000}" name="Column12557"/>
    <tableColumn id="12585" xr3:uid="{00000000-0010-0000-2000-000029310000}" name="Column12558"/>
    <tableColumn id="12586" xr3:uid="{00000000-0010-0000-2000-00002A310000}" name="Column12559"/>
    <tableColumn id="12587" xr3:uid="{00000000-0010-0000-2000-00002B310000}" name="Column12560"/>
    <tableColumn id="12588" xr3:uid="{00000000-0010-0000-2000-00002C310000}" name="Column12561"/>
    <tableColumn id="12589" xr3:uid="{00000000-0010-0000-2000-00002D310000}" name="Column12562"/>
    <tableColumn id="12590" xr3:uid="{00000000-0010-0000-2000-00002E310000}" name="Column12563"/>
    <tableColumn id="12591" xr3:uid="{00000000-0010-0000-2000-00002F310000}" name="Column12564"/>
    <tableColumn id="12592" xr3:uid="{00000000-0010-0000-2000-000030310000}" name="Column12565"/>
    <tableColumn id="12593" xr3:uid="{00000000-0010-0000-2000-000031310000}" name="Column12566"/>
    <tableColumn id="12594" xr3:uid="{00000000-0010-0000-2000-000032310000}" name="Column12567"/>
    <tableColumn id="12595" xr3:uid="{00000000-0010-0000-2000-000033310000}" name="Column12568"/>
    <tableColumn id="12596" xr3:uid="{00000000-0010-0000-2000-000034310000}" name="Column12569"/>
    <tableColumn id="12597" xr3:uid="{00000000-0010-0000-2000-000035310000}" name="Column12570"/>
    <tableColumn id="12598" xr3:uid="{00000000-0010-0000-2000-000036310000}" name="Column12571"/>
    <tableColumn id="12599" xr3:uid="{00000000-0010-0000-2000-000037310000}" name="Column12572"/>
    <tableColumn id="12600" xr3:uid="{00000000-0010-0000-2000-000038310000}" name="Column12573"/>
    <tableColumn id="12601" xr3:uid="{00000000-0010-0000-2000-000039310000}" name="Column12574"/>
    <tableColumn id="12602" xr3:uid="{00000000-0010-0000-2000-00003A310000}" name="Column12575"/>
    <tableColumn id="12603" xr3:uid="{00000000-0010-0000-2000-00003B310000}" name="Column12576"/>
    <tableColumn id="12604" xr3:uid="{00000000-0010-0000-2000-00003C310000}" name="Column12577"/>
    <tableColumn id="12605" xr3:uid="{00000000-0010-0000-2000-00003D310000}" name="Column12578"/>
    <tableColumn id="12606" xr3:uid="{00000000-0010-0000-2000-00003E310000}" name="Column12579"/>
    <tableColumn id="12607" xr3:uid="{00000000-0010-0000-2000-00003F310000}" name="Column12580"/>
    <tableColumn id="12608" xr3:uid="{00000000-0010-0000-2000-000040310000}" name="Column12581"/>
    <tableColumn id="12609" xr3:uid="{00000000-0010-0000-2000-000041310000}" name="Column12582"/>
    <tableColumn id="12610" xr3:uid="{00000000-0010-0000-2000-000042310000}" name="Column12583"/>
    <tableColumn id="12611" xr3:uid="{00000000-0010-0000-2000-000043310000}" name="Column12584"/>
    <tableColumn id="12612" xr3:uid="{00000000-0010-0000-2000-000044310000}" name="Column12585"/>
    <tableColumn id="12613" xr3:uid="{00000000-0010-0000-2000-000045310000}" name="Column12586"/>
    <tableColumn id="12614" xr3:uid="{00000000-0010-0000-2000-000046310000}" name="Column12587"/>
    <tableColumn id="12615" xr3:uid="{00000000-0010-0000-2000-000047310000}" name="Column12588"/>
    <tableColumn id="12616" xr3:uid="{00000000-0010-0000-2000-000048310000}" name="Column12589"/>
    <tableColumn id="12617" xr3:uid="{00000000-0010-0000-2000-000049310000}" name="Column12590"/>
    <tableColumn id="12618" xr3:uid="{00000000-0010-0000-2000-00004A310000}" name="Column12591"/>
    <tableColumn id="12619" xr3:uid="{00000000-0010-0000-2000-00004B310000}" name="Column12592"/>
    <tableColumn id="12620" xr3:uid="{00000000-0010-0000-2000-00004C310000}" name="Column12593"/>
    <tableColumn id="12621" xr3:uid="{00000000-0010-0000-2000-00004D310000}" name="Column12594"/>
    <tableColumn id="12622" xr3:uid="{00000000-0010-0000-2000-00004E310000}" name="Column12595"/>
    <tableColumn id="12623" xr3:uid="{00000000-0010-0000-2000-00004F310000}" name="Column12596"/>
    <tableColumn id="12624" xr3:uid="{00000000-0010-0000-2000-000050310000}" name="Column12597"/>
    <tableColumn id="12625" xr3:uid="{00000000-0010-0000-2000-000051310000}" name="Column12598"/>
    <tableColumn id="12626" xr3:uid="{00000000-0010-0000-2000-000052310000}" name="Column12599"/>
    <tableColumn id="12627" xr3:uid="{00000000-0010-0000-2000-000053310000}" name="Column12600"/>
    <tableColumn id="12628" xr3:uid="{00000000-0010-0000-2000-000054310000}" name="Column12601"/>
    <tableColumn id="12629" xr3:uid="{00000000-0010-0000-2000-000055310000}" name="Column12602"/>
    <tableColumn id="12630" xr3:uid="{00000000-0010-0000-2000-000056310000}" name="Column12603"/>
    <tableColumn id="12631" xr3:uid="{00000000-0010-0000-2000-000057310000}" name="Column12604"/>
    <tableColumn id="12632" xr3:uid="{00000000-0010-0000-2000-000058310000}" name="Column12605"/>
    <tableColumn id="12633" xr3:uid="{00000000-0010-0000-2000-000059310000}" name="Column12606"/>
    <tableColumn id="12634" xr3:uid="{00000000-0010-0000-2000-00005A310000}" name="Column12607"/>
    <tableColumn id="12635" xr3:uid="{00000000-0010-0000-2000-00005B310000}" name="Column12608"/>
    <tableColumn id="12636" xr3:uid="{00000000-0010-0000-2000-00005C310000}" name="Column12609"/>
    <tableColumn id="12637" xr3:uid="{00000000-0010-0000-2000-00005D310000}" name="Column12610"/>
    <tableColumn id="12638" xr3:uid="{00000000-0010-0000-2000-00005E310000}" name="Column12611"/>
    <tableColumn id="12639" xr3:uid="{00000000-0010-0000-2000-00005F310000}" name="Column12612"/>
    <tableColumn id="12640" xr3:uid="{00000000-0010-0000-2000-000060310000}" name="Column12613"/>
    <tableColumn id="12641" xr3:uid="{00000000-0010-0000-2000-000061310000}" name="Column12614"/>
    <tableColumn id="12642" xr3:uid="{00000000-0010-0000-2000-000062310000}" name="Column12615"/>
    <tableColumn id="12643" xr3:uid="{00000000-0010-0000-2000-000063310000}" name="Column12616"/>
    <tableColumn id="12644" xr3:uid="{00000000-0010-0000-2000-000064310000}" name="Column12617"/>
    <tableColumn id="12645" xr3:uid="{00000000-0010-0000-2000-000065310000}" name="Column12618"/>
    <tableColumn id="12646" xr3:uid="{00000000-0010-0000-2000-000066310000}" name="Column12619"/>
    <tableColumn id="12647" xr3:uid="{00000000-0010-0000-2000-000067310000}" name="Column12620"/>
    <tableColumn id="12648" xr3:uid="{00000000-0010-0000-2000-000068310000}" name="Column12621"/>
    <tableColumn id="12649" xr3:uid="{00000000-0010-0000-2000-000069310000}" name="Column12622"/>
    <tableColumn id="12650" xr3:uid="{00000000-0010-0000-2000-00006A310000}" name="Column12623"/>
    <tableColumn id="12651" xr3:uid="{00000000-0010-0000-2000-00006B310000}" name="Column12624"/>
    <tableColumn id="12652" xr3:uid="{00000000-0010-0000-2000-00006C310000}" name="Column12625"/>
    <tableColumn id="12653" xr3:uid="{00000000-0010-0000-2000-00006D310000}" name="Column12626"/>
    <tableColumn id="12654" xr3:uid="{00000000-0010-0000-2000-00006E310000}" name="Column12627"/>
    <tableColumn id="12655" xr3:uid="{00000000-0010-0000-2000-00006F310000}" name="Column12628"/>
    <tableColumn id="12656" xr3:uid="{00000000-0010-0000-2000-000070310000}" name="Column12629"/>
    <tableColumn id="12657" xr3:uid="{00000000-0010-0000-2000-000071310000}" name="Column12630"/>
    <tableColumn id="12658" xr3:uid="{00000000-0010-0000-2000-000072310000}" name="Column12631"/>
    <tableColumn id="12659" xr3:uid="{00000000-0010-0000-2000-000073310000}" name="Column12632"/>
    <tableColumn id="12660" xr3:uid="{00000000-0010-0000-2000-000074310000}" name="Column12633"/>
    <tableColumn id="12661" xr3:uid="{00000000-0010-0000-2000-000075310000}" name="Column12634"/>
    <tableColumn id="12662" xr3:uid="{00000000-0010-0000-2000-000076310000}" name="Column12635"/>
    <tableColumn id="12663" xr3:uid="{00000000-0010-0000-2000-000077310000}" name="Column12636"/>
    <tableColumn id="12664" xr3:uid="{00000000-0010-0000-2000-000078310000}" name="Column12637"/>
    <tableColumn id="12665" xr3:uid="{00000000-0010-0000-2000-000079310000}" name="Column12638"/>
    <tableColumn id="12666" xr3:uid="{00000000-0010-0000-2000-00007A310000}" name="Column12639"/>
    <tableColumn id="12667" xr3:uid="{00000000-0010-0000-2000-00007B310000}" name="Column12640"/>
    <tableColumn id="12668" xr3:uid="{00000000-0010-0000-2000-00007C310000}" name="Column12641"/>
    <tableColumn id="12669" xr3:uid="{00000000-0010-0000-2000-00007D310000}" name="Column12642"/>
    <tableColumn id="12670" xr3:uid="{00000000-0010-0000-2000-00007E310000}" name="Column12643"/>
    <tableColumn id="12671" xr3:uid="{00000000-0010-0000-2000-00007F310000}" name="Column12644"/>
    <tableColumn id="12672" xr3:uid="{00000000-0010-0000-2000-000080310000}" name="Column12645"/>
    <tableColumn id="12673" xr3:uid="{00000000-0010-0000-2000-000081310000}" name="Column12646"/>
    <tableColumn id="12674" xr3:uid="{00000000-0010-0000-2000-000082310000}" name="Column12647"/>
    <tableColumn id="12675" xr3:uid="{00000000-0010-0000-2000-000083310000}" name="Column12648"/>
    <tableColumn id="12676" xr3:uid="{00000000-0010-0000-2000-000084310000}" name="Column12649"/>
    <tableColumn id="12677" xr3:uid="{00000000-0010-0000-2000-000085310000}" name="Column12650"/>
    <tableColumn id="12678" xr3:uid="{00000000-0010-0000-2000-000086310000}" name="Column12651"/>
    <tableColumn id="12679" xr3:uid="{00000000-0010-0000-2000-000087310000}" name="Column12652"/>
    <tableColumn id="12680" xr3:uid="{00000000-0010-0000-2000-000088310000}" name="Column12653"/>
    <tableColumn id="12681" xr3:uid="{00000000-0010-0000-2000-000089310000}" name="Column12654"/>
    <tableColumn id="12682" xr3:uid="{00000000-0010-0000-2000-00008A310000}" name="Column12655"/>
    <tableColumn id="12683" xr3:uid="{00000000-0010-0000-2000-00008B310000}" name="Column12656"/>
    <tableColumn id="12684" xr3:uid="{00000000-0010-0000-2000-00008C310000}" name="Column12657"/>
    <tableColumn id="12685" xr3:uid="{00000000-0010-0000-2000-00008D310000}" name="Column12658"/>
    <tableColumn id="12686" xr3:uid="{00000000-0010-0000-2000-00008E310000}" name="Column12659"/>
    <tableColumn id="12687" xr3:uid="{00000000-0010-0000-2000-00008F310000}" name="Column12660"/>
    <tableColumn id="12688" xr3:uid="{00000000-0010-0000-2000-000090310000}" name="Column12661"/>
    <tableColumn id="12689" xr3:uid="{00000000-0010-0000-2000-000091310000}" name="Column12662"/>
    <tableColumn id="12690" xr3:uid="{00000000-0010-0000-2000-000092310000}" name="Column12663"/>
    <tableColumn id="12691" xr3:uid="{00000000-0010-0000-2000-000093310000}" name="Column12664"/>
    <tableColumn id="12692" xr3:uid="{00000000-0010-0000-2000-000094310000}" name="Column12665"/>
    <tableColumn id="12693" xr3:uid="{00000000-0010-0000-2000-000095310000}" name="Column12666"/>
    <tableColumn id="12694" xr3:uid="{00000000-0010-0000-2000-000096310000}" name="Column12667"/>
    <tableColumn id="12695" xr3:uid="{00000000-0010-0000-2000-000097310000}" name="Column12668"/>
    <tableColumn id="12696" xr3:uid="{00000000-0010-0000-2000-000098310000}" name="Column12669"/>
    <tableColumn id="12697" xr3:uid="{00000000-0010-0000-2000-000099310000}" name="Column12670"/>
    <tableColumn id="12698" xr3:uid="{00000000-0010-0000-2000-00009A310000}" name="Column12671"/>
    <tableColumn id="12699" xr3:uid="{00000000-0010-0000-2000-00009B310000}" name="Column12672"/>
    <tableColumn id="12700" xr3:uid="{00000000-0010-0000-2000-00009C310000}" name="Column12673"/>
    <tableColumn id="12701" xr3:uid="{00000000-0010-0000-2000-00009D310000}" name="Column12674"/>
    <tableColumn id="12702" xr3:uid="{00000000-0010-0000-2000-00009E310000}" name="Column12675"/>
    <tableColumn id="12703" xr3:uid="{00000000-0010-0000-2000-00009F310000}" name="Column12676"/>
    <tableColumn id="12704" xr3:uid="{00000000-0010-0000-2000-0000A0310000}" name="Column12677"/>
    <tableColumn id="12705" xr3:uid="{00000000-0010-0000-2000-0000A1310000}" name="Column12678"/>
    <tableColumn id="12706" xr3:uid="{00000000-0010-0000-2000-0000A2310000}" name="Column12679"/>
    <tableColumn id="12707" xr3:uid="{00000000-0010-0000-2000-0000A3310000}" name="Column12680"/>
    <tableColumn id="12708" xr3:uid="{00000000-0010-0000-2000-0000A4310000}" name="Column12681"/>
    <tableColumn id="12709" xr3:uid="{00000000-0010-0000-2000-0000A5310000}" name="Column12682"/>
    <tableColumn id="12710" xr3:uid="{00000000-0010-0000-2000-0000A6310000}" name="Column12683"/>
    <tableColumn id="12711" xr3:uid="{00000000-0010-0000-2000-0000A7310000}" name="Column12684"/>
    <tableColumn id="12712" xr3:uid="{00000000-0010-0000-2000-0000A8310000}" name="Column12685"/>
    <tableColumn id="12713" xr3:uid="{00000000-0010-0000-2000-0000A9310000}" name="Column12686"/>
    <tableColumn id="12714" xr3:uid="{00000000-0010-0000-2000-0000AA310000}" name="Column12687"/>
    <tableColumn id="12715" xr3:uid="{00000000-0010-0000-2000-0000AB310000}" name="Column12688"/>
    <tableColumn id="12716" xr3:uid="{00000000-0010-0000-2000-0000AC310000}" name="Column12689"/>
    <tableColumn id="12717" xr3:uid="{00000000-0010-0000-2000-0000AD310000}" name="Column12690"/>
    <tableColumn id="12718" xr3:uid="{00000000-0010-0000-2000-0000AE310000}" name="Column12691"/>
    <tableColumn id="12719" xr3:uid="{00000000-0010-0000-2000-0000AF310000}" name="Column12692"/>
    <tableColumn id="12720" xr3:uid="{00000000-0010-0000-2000-0000B0310000}" name="Column12693"/>
    <tableColumn id="12721" xr3:uid="{00000000-0010-0000-2000-0000B1310000}" name="Column12694"/>
    <tableColumn id="12722" xr3:uid="{00000000-0010-0000-2000-0000B2310000}" name="Column12695"/>
    <tableColumn id="12723" xr3:uid="{00000000-0010-0000-2000-0000B3310000}" name="Column12696"/>
    <tableColumn id="12724" xr3:uid="{00000000-0010-0000-2000-0000B4310000}" name="Column12697"/>
    <tableColumn id="12725" xr3:uid="{00000000-0010-0000-2000-0000B5310000}" name="Column12698"/>
    <tableColumn id="12726" xr3:uid="{00000000-0010-0000-2000-0000B6310000}" name="Column12699"/>
    <tableColumn id="12727" xr3:uid="{00000000-0010-0000-2000-0000B7310000}" name="Column12700"/>
    <tableColumn id="12728" xr3:uid="{00000000-0010-0000-2000-0000B8310000}" name="Column12701"/>
    <tableColumn id="12729" xr3:uid="{00000000-0010-0000-2000-0000B9310000}" name="Column12702"/>
    <tableColumn id="12730" xr3:uid="{00000000-0010-0000-2000-0000BA310000}" name="Column12703"/>
    <tableColumn id="12731" xr3:uid="{00000000-0010-0000-2000-0000BB310000}" name="Column12704"/>
    <tableColumn id="12732" xr3:uid="{00000000-0010-0000-2000-0000BC310000}" name="Column12705"/>
    <tableColumn id="12733" xr3:uid="{00000000-0010-0000-2000-0000BD310000}" name="Column12706"/>
    <tableColumn id="12734" xr3:uid="{00000000-0010-0000-2000-0000BE310000}" name="Column12707"/>
    <tableColumn id="12735" xr3:uid="{00000000-0010-0000-2000-0000BF310000}" name="Column12708"/>
    <tableColumn id="12736" xr3:uid="{00000000-0010-0000-2000-0000C0310000}" name="Column12709"/>
    <tableColumn id="12737" xr3:uid="{00000000-0010-0000-2000-0000C1310000}" name="Column12710"/>
    <tableColumn id="12738" xr3:uid="{00000000-0010-0000-2000-0000C2310000}" name="Column12711"/>
    <tableColumn id="12739" xr3:uid="{00000000-0010-0000-2000-0000C3310000}" name="Column12712"/>
    <tableColumn id="12740" xr3:uid="{00000000-0010-0000-2000-0000C4310000}" name="Column12713"/>
    <tableColumn id="12741" xr3:uid="{00000000-0010-0000-2000-0000C5310000}" name="Column12714"/>
    <tableColumn id="12742" xr3:uid="{00000000-0010-0000-2000-0000C6310000}" name="Column12715"/>
    <tableColumn id="12743" xr3:uid="{00000000-0010-0000-2000-0000C7310000}" name="Column12716"/>
    <tableColumn id="12744" xr3:uid="{00000000-0010-0000-2000-0000C8310000}" name="Column12717"/>
    <tableColumn id="12745" xr3:uid="{00000000-0010-0000-2000-0000C9310000}" name="Column12718"/>
    <tableColumn id="12746" xr3:uid="{00000000-0010-0000-2000-0000CA310000}" name="Column12719"/>
    <tableColumn id="12747" xr3:uid="{00000000-0010-0000-2000-0000CB310000}" name="Column12720"/>
    <tableColumn id="12748" xr3:uid="{00000000-0010-0000-2000-0000CC310000}" name="Column12721"/>
    <tableColumn id="12749" xr3:uid="{00000000-0010-0000-2000-0000CD310000}" name="Column12722"/>
    <tableColumn id="12750" xr3:uid="{00000000-0010-0000-2000-0000CE310000}" name="Column12723"/>
    <tableColumn id="12751" xr3:uid="{00000000-0010-0000-2000-0000CF310000}" name="Column12724"/>
    <tableColumn id="12752" xr3:uid="{00000000-0010-0000-2000-0000D0310000}" name="Column12725"/>
    <tableColumn id="12753" xr3:uid="{00000000-0010-0000-2000-0000D1310000}" name="Column12726"/>
    <tableColumn id="12754" xr3:uid="{00000000-0010-0000-2000-0000D2310000}" name="Column12727"/>
    <tableColumn id="12755" xr3:uid="{00000000-0010-0000-2000-0000D3310000}" name="Column12728"/>
    <tableColumn id="12756" xr3:uid="{00000000-0010-0000-2000-0000D4310000}" name="Column12729"/>
    <tableColumn id="12757" xr3:uid="{00000000-0010-0000-2000-0000D5310000}" name="Column12730"/>
    <tableColumn id="12758" xr3:uid="{00000000-0010-0000-2000-0000D6310000}" name="Column12731"/>
    <tableColumn id="12759" xr3:uid="{00000000-0010-0000-2000-0000D7310000}" name="Column12732"/>
    <tableColumn id="12760" xr3:uid="{00000000-0010-0000-2000-0000D8310000}" name="Column12733"/>
    <tableColumn id="12761" xr3:uid="{00000000-0010-0000-2000-0000D9310000}" name="Column12734"/>
    <tableColumn id="12762" xr3:uid="{00000000-0010-0000-2000-0000DA310000}" name="Column12735"/>
    <tableColumn id="12763" xr3:uid="{00000000-0010-0000-2000-0000DB310000}" name="Column12736"/>
    <tableColumn id="12764" xr3:uid="{00000000-0010-0000-2000-0000DC310000}" name="Column12737"/>
    <tableColumn id="12765" xr3:uid="{00000000-0010-0000-2000-0000DD310000}" name="Column12738"/>
    <tableColumn id="12766" xr3:uid="{00000000-0010-0000-2000-0000DE310000}" name="Column12739"/>
    <tableColumn id="12767" xr3:uid="{00000000-0010-0000-2000-0000DF310000}" name="Column12740"/>
    <tableColumn id="12768" xr3:uid="{00000000-0010-0000-2000-0000E0310000}" name="Column12741"/>
    <tableColumn id="12769" xr3:uid="{00000000-0010-0000-2000-0000E1310000}" name="Column12742"/>
    <tableColumn id="12770" xr3:uid="{00000000-0010-0000-2000-0000E2310000}" name="Column12743"/>
    <tableColumn id="12771" xr3:uid="{00000000-0010-0000-2000-0000E3310000}" name="Column12744"/>
    <tableColumn id="12772" xr3:uid="{00000000-0010-0000-2000-0000E4310000}" name="Column12745"/>
    <tableColumn id="12773" xr3:uid="{00000000-0010-0000-2000-0000E5310000}" name="Column12746"/>
    <tableColumn id="12774" xr3:uid="{00000000-0010-0000-2000-0000E6310000}" name="Column12747"/>
    <tableColumn id="12775" xr3:uid="{00000000-0010-0000-2000-0000E7310000}" name="Column12748"/>
    <tableColumn id="12776" xr3:uid="{00000000-0010-0000-2000-0000E8310000}" name="Column12749"/>
    <tableColumn id="12777" xr3:uid="{00000000-0010-0000-2000-0000E9310000}" name="Column12750"/>
    <tableColumn id="12778" xr3:uid="{00000000-0010-0000-2000-0000EA310000}" name="Column12751"/>
    <tableColumn id="12779" xr3:uid="{00000000-0010-0000-2000-0000EB310000}" name="Column12752"/>
    <tableColumn id="12780" xr3:uid="{00000000-0010-0000-2000-0000EC310000}" name="Column12753"/>
    <tableColumn id="12781" xr3:uid="{00000000-0010-0000-2000-0000ED310000}" name="Column12754"/>
    <tableColumn id="12782" xr3:uid="{00000000-0010-0000-2000-0000EE310000}" name="Column12755"/>
    <tableColumn id="12783" xr3:uid="{00000000-0010-0000-2000-0000EF310000}" name="Column12756"/>
    <tableColumn id="12784" xr3:uid="{00000000-0010-0000-2000-0000F0310000}" name="Column12757"/>
    <tableColumn id="12785" xr3:uid="{00000000-0010-0000-2000-0000F1310000}" name="Column12758"/>
    <tableColumn id="12786" xr3:uid="{00000000-0010-0000-2000-0000F2310000}" name="Column12759"/>
    <tableColumn id="12787" xr3:uid="{00000000-0010-0000-2000-0000F3310000}" name="Column12760"/>
    <tableColumn id="12788" xr3:uid="{00000000-0010-0000-2000-0000F4310000}" name="Column12761"/>
    <tableColumn id="12789" xr3:uid="{00000000-0010-0000-2000-0000F5310000}" name="Column12762"/>
    <tableColumn id="12790" xr3:uid="{00000000-0010-0000-2000-0000F6310000}" name="Column12763"/>
    <tableColumn id="12791" xr3:uid="{00000000-0010-0000-2000-0000F7310000}" name="Column12764"/>
    <tableColumn id="12792" xr3:uid="{00000000-0010-0000-2000-0000F8310000}" name="Column12765"/>
    <tableColumn id="12793" xr3:uid="{00000000-0010-0000-2000-0000F9310000}" name="Column12766"/>
    <tableColumn id="12794" xr3:uid="{00000000-0010-0000-2000-0000FA310000}" name="Column12767"/>
    <tableColumn id="12795" xr3:uid="{00000000-0010-0000-2000-0000FB310000}" name="Column12768"/>
    <tableColumn id="12796" xr3:uid="{00000000-0010-0000-2000-0000FC310000}" name="Column12769"/>
    <tableColumn id="12797" xr3:uid="{00000000-0010-0000-2000-0000FD310000}" name="Column12770"/>
    <tableColumn id="12798" xr3:uid="{00000000-0010-0000-2000-0000FE310000}" name="Column12771"/>
    <tableColumn id="12799" xr3:uid="{00000000-0010-0000-2000-0000FF310000}" name="Column12772"/>
    <tableColumn id="12800" xr3:uid="{00000000-0010-0000-2000-000000320000}" name="Column12773"/>
    <tableColumn id="12801" xr3:uid="{00000000-0010-0000-2000-000001320000}" name="Column12774"/>
    <tableColumn id="12802" xr3:uid="{00000000-0010-0000-2000-000002320000}" name="Column12775"/>
    <tableColumn id="12803" xr3:uid="{00000000-0010-0000-2000-000003320000}" name="Column12776"/>
    <tableColumn id="12804" xr3:uid="{00000000-0010-0000-2000-000004320000}" name="Column12777"/>
    <tableColumn id="12805" xr3:uid="{00000000-0010-0000-2000-000005320000}" name="Column12778"/>
    <tableColumn id="12806" xr3:uid="{00000000-0010-0000-2000-000006320000}" name="Column12779"/>
    <tableColumn id="12807" xr3:uid="{00000000-0010-0000-2000-000007320000}" name="Column12780"/>
    <tableColumn id="12808" xr3:uid="{00000000-0010-0000-2000-000008320000}" name="Column12781"/>
    <tableColumn id="12809" xr3:uid="{00000000-0010-0000-2000-000009320000}" name="Column12782"/>
    <tableColumn id="12810" xr3:uid="{00000000-0010-0000-2000-00000A320000}" name="Column12783"/>
    <tableColumn id="12811" xr3:uid="{00000000-0010-0000-2000-00000B320000}" name="Column12784"/>
    <tableColumn id="12812" xr3:uid="{00000000-0010-0000-2000-00000C320000}" name="Column12785"/>
    <tableColumn id="12813" xr3:uid="{00000000-0010-0000-2000-00000D320000}" name="Column12786"/>
    <tableColumn id="12814" xr3:uid="{00000000-0010-0000-2000-00000E320000}" name="Column12787"/>
    <tableColumn id="12815" xr3:uid="{00000000-0010-0000-2000-00000F320000}" name="Column12788"/>
    <tableColumn id="12816" xr3:uid="{00000000-0010-0000-2000-000010320000}" name="Column12789"/>
    <tableColumn id="12817" xr3:uid="{00000000-0010-0000-2000-000011320000}" name="Column12790"/>
    <tableColumn id="12818" xr3:uid="{00000000-0010-0000-2000-000012320000}" name="Column12791"/>
    <tableColumn id="12819" xr3:uid="{00000000-0010-0000-2000-000013320000}" name="Column12792"/>
    <tableColumn id="12820" xr3:uid="{00000000-0010-0000-2000-000014320000}" name="Column12793"/>
    <tableColumn id="12821" xr3:uid="{00000000-0010-0000-2000-000015320000}" name="Column12794"/>
    <tableColumn id="12822" xr3:uid="{00000000-0010-0000-2000-000016320000}" name="Column12795"/>
    <tableColumn id="12823" xr3:uid="{00000000-0010-0000-2000-000017320000}" name="Column12796"/>
    <tableColumn id="12824" xr3:uid="{00000000-0010-0000-2000-000018320000}" name="Column12797"/>
    <tableColumn id="12825" xr3:uid="{00000000-0010-0000-2000-000019320000}" name="Column12798"/>
    <tableColumn id="12826" xr3:uid="{00000000-0010-0000-2000-00001A320000}" name="Column12799"/>
    <tableColumn id="12827" xr3:uid="{00000000-0010-0000-2000-00001B320000}" name="Column12800"/>
    <tableColumn id="12828" xr3:uid="{00000000-0010-0000-2000-00001C320000}" name="Column12801"/>
    <tableColumn id="12829" xr3:uid="{00000000-0010-0000-2000-00001D320000}" name="Column12802"/>
    <tableColumn id="12830" xr3:uid="{00000000-0010-0000-2000-00001E320000}" name="Column12803"/>
    <tableColumn id="12831" xr3:uid="{00000000-0010-0000-2000-00001F320000}" name="Column12804"/>
    <tableColumn id="12832" xr3:uid="{00000000-0010-0000-2000-000020320000}" name="Column12805"/>
    <tableColumn id="12833" xr3:uid="{00000000-0010-0000-2000-000021320000}" name="Column12806"/>
    <tableColumn id="12834" xr3:uid="{00000000-0010-0000-2000-000022320000}" name="Column12807"/>
    <tableColumn id="12835" xr3:uid="{00000000-0010-0000-2000-000023320000}" name="Column12808"/>
    <tableColumn id="12836" xr3:uid="{00000000-0010-0000-2000-000024320000}" name="Column12809"/>
    <tableColumn id="12837" xr3:uid="{00000000-0010-0000-2000-000025320000}" name="Column12810"/>
    <tableColumn id="12838" xr3:uid="{00000000-0010-0000-2000-000026320000}" name="Column12811"/>
    <tableColumn id="12839" xr3:uid="{00000000-0010-0000-2000-000027320000}" name="Column12812"/>
    <tableColumn id="12840" xr3:uid="{00000000-0010-0000-2000-000028320000}" name="Column12813"/>
    <tableColumn id="12841" xr3:uid="{00000000-0010-0000-2000-000029320000}" name="Column12814"/>
    <tableColumn id="12842" xr3:uid="{00000000-0010-0000-2000-00002A320000}" name="Column12815"/>
    <tableColumn id="12843" xr3:uid="{00000000-0010-0000-2000-00002B320000}" name="Column12816"/>
    <tableColumn id="12844" xr3:uid="{00000000-0010-0000-2000-00002C320000}" name="Column12817"/>
    <tableColumn id="12845" xr3:uid="{00000000-0010-0000-2000-00002D320000}" name="Column12818"/>
    <tableColumn id="12846" xr3:uid="{00000000-0010-0000-2000-00002E320000}" name="Column12819"/>
    <tableColumn id="12847" xr3:uid="{00000000-0010-0000-2000-00002F320000}" name="Column12820"/>
    <tableColumn id="12848" xr3:uid="{00000000-0010-0000-2000-000030320000}" name="Column12821"/>
    <tableColumn id="12849" xr3:uid="{00000000-0010-0000-2000-000031320000}" name="Column12822"/>
    <tableColumn id="12850" xr3:uid="{00000000-0010-0000-2000-000032320000}" name="Column12823"/>
    <tableColumn id="12851" xr3:uid="{00000000-0010-0000-2000-000033320000}" name="Column12824"/>
    <tableColumn id="12852" xr3:uid="{00000000-0010-0000-2000-000034320000}" name="Column12825"/>
    <tableColumn id="12853" xr3:uid="{00000000-0010-0000-2000-000035320000}" name="Column12826"/>
    <tableColumn id="12854" xr3:uid="{00000000-0010-0000-2000-000036320000}" name="Column12827"/>
    <tableColumn id="12855" xr3:uid="{00000000-0010-0000-2000-000037320000}" name="Column12828"/>
    <tableColumn id="12856" xr3:uid="{00000000-0010-0000-2000-000038320000}" name="Column12829"/>
    <tableColumn id="12857" xr3:uid="{00000000-0010-0000-2000-000039320000}" name="Column12830"/>
    <tableColumn id="12858" xr3:uid="{00000000-0010-0000-2000-00003A320000}" name="Column12831"/>
    <tableColumn id="12859" xr3:uid="{00000000-0010-0000-2000-00003B320000}" name="Column12832"/>
    <tableColumn id="12860" xr3:uid="{00000000-0010-0000-2000-00003C320000}" name="Column12833"/>
    <tableColumn id="12861" xr3:uid="{00000000-0010-0000-2000-00003D320000}" name="Column12834"/>
    <tableColumn id="12862" xr3:uid="{00000000-0010-0000-2000-00003E320000}" name="Column12835"/>
    <tableColumn id="12863" xr3:uid="{00000000-0010-0000-2000-00003F320000}" name="Column12836"/>
    <tableColumn id="12864" xr3:uid="{00000000-0010-0000-2000-000040320000}" name="Column12837"/>
    <tableColumn id="12865" xr3:uid="{00000000-0010-0000-2000-000041320000}" name="Column12838"/>
    <tableColumn id="12866" xr3:uid="{00000000-0010-0000-2000-000042320000}" name="Column12839"/>
    <tableColumn id="12867" xr3:uid="{00000000-0010-0000-2000-000043320000}" name="Column12840"/>
    <tableColumn id="12868" xr3:uid="{00000000-0010-0000-2000-000044320000}" name="Column12841"/>
    <tableColumn id="12869" xr3:uid="{00000000-0010-0000-2000-000045320000}" name="Column12842"/>
    <tableColumn id="12870" xr3:uid="{00000000-0010-0000-2000-000046320000}" name="Column12843"/>
    <tableColumn id="12871" xr3:uid="{00000000-0010-0000-2000-000047320000}" name="Column12844"/>
    <tableColumn id="12872" xr3:uid="{00000000-0010-0000-2000-000048320000}" name="Column12845"/>
    <tableColumn id="12873" xr3:uid="{00000000-0010-0000-2000-000049320000}" name="Column12846"/>
    <tableColumn id="12874" xr3:uid="{00000000-0010-0000-2000-00004A320000}" name="Column12847"/>
    <tableColumn id="12875" xr3:uid="{00000000-0010-0000-2000-00004B320000}" name="Column12848"/>
    <tableColumn id="12876" xr3:uid="{00000000-0010-0000-2000-00004C320000}" name="Column12849"/>
    <tableColumn id="12877" xr3:uid="{00000000-0010-0000-2000-00004D320000}" name="Column12850"/>
    <tableColumn id="12878" xr3:uid="{00000000-0010-0000-2000-00004E320000}" name="Column12851"/>
    <tableColumn id="12879" xr3:uid="{00000000-0010-0000-2000-00004F320000}" name="Column12852"/>
    <tableColumn id="12880" xr3:uid="{00000000-0010-0000-2000-000050320000}" name="Column12853"/>
    <tableColumn id="12881" xr3:uid="{00000000-0010-0000-2000-000051320000}" name="Column12854"/>
    <tableColumn id="12882" xr3:uid="{00000000-0010-0000-2000-000052320000}" name="Column12855"/>
    <tableColumn id="12883" xr3:uid="{00000000-0010-0000-2000-000053320000}" name="Column12856"/>
    <tableColumn id="12884" xr3:uid="{00000000-0010-0000-2000-000054320000}" name="Column12857"/>
    <tableColumn id="12885" xr3:uid="{00000000-0010-0000-2000-000055320000}" name="Column12858"/>
    <tableColumn id="12886" xr3:uid="{00000000-0010-0000-2000-000056320000}" name="Column12859"/>
    <tableColumn id="12887" xr3:uid="{00000000-0010-0000-2000-000057320000}" name="Column12860"/>
    <tableColumn id="12888" xr3:uid="{00000000-0010-0000-2000-000058320000}" name="Column12861"/>
    <tableColumn id="12889" xr3:uid="{00000000-0010-0000-2000-000059320000}" name="Column12862"/>
    <tableColumn id="12890" xr3:uid="{00000000-0010-0000-2000-00005A320000}" name="Column12863"/>
    <tableColumn id="12891" xr3:uid="{00000000-0010-0000-2000-00005B320000}" name="Column12864"/>
    <tableColumn id="12892" xr3:uid="{00000000-0010-0000-2000-00005C320000}" name="Column12865"/>
    <tableColumn id="12893" xr3:uid="{00000000-0010-0000-2000-00005D320000}" name="Column12866"/>
    <tableColumn id="12894" xr3:uid="{00000000-0010-0000-2000-00005E320000}" name="Column12867"/>
    <tableColumn id="12895" xr3:uid="{00000000-0010-0000-2000-00005F320000}" name="Column12868"/>
    <tableColumn id="12896" xr3:uid="{00000000-0010-0000-2000-000060320000}" name="Column12869"/>
    <tableColumn id="12897" xr3:uid="{00000000-0010-0000-2000-000061320000}" name="Column12870"/>
    <tableColumn id="12898" xr3:uid="{00000000-0010-0000-2000-000062320000}" name="Column12871"/>
    <tableColumn id="12899" xr3:uid="{00000000-0010-0000-2000-000063320000}" name="Column12872"/>
    <tableColumn id="12900" xr3:uid="{00000000-0010-0000-2000-000064320000}" name="Column12873"/>
    <tableColumn id="12901" xr3:uid="{00000000-0010-0000-2000-000065320000}" name="Column12874"/>
    <tableColumn id="12902" xr3:uid="{00000000-0010-0000-2000-000066320000}" name="Column12875"/>
    <tableColumn id="12903" xr3:uid="{00000000-0010-0000-2000-000067320000}" name="Column12876"/>
    <tableColumn id="12904" xr3:uid="{00000000-0010-0000-2000-000068320000}" name="Column12877"/>
    <tableColumn id="12905" xr3:uid="{00000000-0010-0000-2000-000069320000}" name="Column12878"/>
    <tableColumn id="12906" xr3:uid="{00000000-0010-0000-2000-00006A320000}" name="Column12879"/>
    <tableColumn id="12907" xr3:uid="{00000000-0010-0000-2000-00006B320000}" name="Column12880"/>
    <tableColumn id="12908" xr3:uid="{00000000-0010-0000-2000-00006C320000}" name="Column12881"/>
    <tableColumn id="12909" xr3:uid="{00000000-0010-0000-2000-00006D320000}" name="Column12882"/>
    <tableColumn id="12910" xr3:uid="{00000000-0010-0000-2000-00006E320000}" name="Column12883"/>
    <tableColumn id="12911" xr3:uid="{00000000-0010-0000-2000-00006F320000}" name="Column12884"/>
    <tableColumn id="12912" xr3:uid="{00000000-0010-0000-2000-000070320000}" name="Column12885"/>
    <tableColumn id="12913" xr3:uid="{00000000-0010-0000-2000-000071320000}" name="Column12886"/>
    <tableColumn id="12914" xr3:uid="{00000000-0010-0000-2000-000072320000}" name="Column12887"/>
    <tableColumn id="12915" xr3:uid="{00000000-0010-0000-2000-000073320000}" name="Column12888"/>
    <tableColumn id="12916" xr3:uid="{00000000-0010-0000-2000-000074320000}" name="Column12889"/>
    <tableColumn id="12917" xr3:uid="{00000000-0010-0000-2000-000075320000}" name="Column12890"/>
    <tableColumn id="12918" xr3:uid="{00000000-0010-0000-2000-000076320000}" name="Column12891"/>
    <tableColumn id="12919" xr3:uid="{00000000-0010-0000-2000-000077320000}" name="Column12892"/>
    <tableColumn id="12920" xr3:uid="{00000000-0010-0000-2000-000078320000}" name="Column12893"/>
    <tableColumn id="12921" xr3:uid="{00000000-0010-0000-2000-000079320000}" name="Column12894"/>
    <tableColumn id="12922" xr3:uid="{00000000-0010-0000-2000-00007A320000}" name="Column12895"/>
    <tableColumn id="12923" xr3:uid="{00000000-0010-0000-2000-00007B320000}" name="Column12896"/>
    <tableColumn id="12924" xr3:uid="{00000000-0010-0000-2000-00007C320000}" name="Column12897"/>
    <tableColumn id="12925" xr3:uid="{00000000-0010-0000-2000-00007D320000}" name="Column12898"/>
    <tableColumn id="12926" xr3:uid="{00000000-0010-0000-2000-00007E320000}" name="Column12899"/>
    <tableColumn id="12927" xr3:uid="{00000000-0010-0000-2000-00007F320000}" name="Column12900"/>
    <tableColumn id="12928" xr3:uid="{00000000-0010-0000-2000-000080320000}" name="Column12901"/>
    <tableColumn id="12929" xr3:uid="{00000000-0010-0000-2000-000081320000}" name="Column12902"/>
    <tableColumn id="12930" xr3:uid="{00000000-0010-0000-2000-000082320000}" name="Column12903"/>
    <tableColumn id="12931" xr3:uid="{00000000-0010-0000-2000-000083320000}" name="Column12904"/>
    <tableColumn id="12932" xr3:uid="{00000000-0010-0000-2000-000084320000}" name="Column12905"/>
    <tableColumn id="12933" xr3:uid="{00000000-0010-0000-2000-000085320000}" name="Column12906"/>
    <tableColumn id="12934" xr3:uid="{00000000-0010-0000-2000-000086320000}" name="Column12907"/>
    <tableColumn id="12935" xr3:uid="{00000000-0010-0000-2000-000087320000}" name="Column12908"/>
    <tableColumn id="12936" xr3:uid="{00000000-0010-0000-2000-000088320000}" name="Column12909"/>
    <tableColumn id="12937" xr3:uid="{00000000-0010-0000-2000-000089320000}" name="Column12910"/>
    <tableColumn id="12938" xr3:uid="{00000000-0010-0000-2000-00008A320000}" name="Column12911"/>
    <tableColumn id="12939" xr3:uid="{00000000-0010-0000-2000-00008B320000}" name="Column12912"/>
    <tableColumn id="12940" xr3:uid="{00000000-0010-0000-2000-00008C320000}" name="Column12913"/>
    <tableColumn id="12941" xr3:uid="{00000000-0010-0000-2000-00008D320000}" name="Column12914"/>
    <tableColumn id="12942" xr3:uid="{00000000-0010-0000-2000-00008E320000}" name="Column12915"/>
    <tableColumn id="12943" xr3:uid="{00000000-0010-0000-2000-00008F320000}" name="Column12916"/>
    <tableColumn id="12944" xr3:uid="{00000000-0010-0000-2000-000090320000}" name="Column12917"/>
    <tableColumn id="12945" xr3:uid="{00000000-0010-0000-2000-000091320000}" name="Column12918"/>
    <tableColumn id="12946" xr3:uid="{00000000-0010-0000-2000-000092320000}" name="Column12919"/>
    <tableColumn id="12947" xr3:uid="{00000000-0010-0000-2000-000093320000}" name="Column12920"/>
    <tableColumn id="12948" xr3:uid="{00000000-0010-0000-2000-000094320000}" name="Column12921"/>
    <tableColumn id="12949" xr3:uid="{00000000-0010-0000-2000-000095320000}" name="Column12922"/>
    <tableColumn id="12950" xr3:uid="{00000000-0010-0000-2000-000096320000}" name="Column12923"/>
    <tableColumn id="12951" xr3:uid="{00000000-0010-0000-2000-000097320000}" name="Column12924"/>
    <tableColumn id="12952" xr3:uid="{00000000-0010-0000-2000-000098320000}" name="Column12925"/>
    <tableColumn id="12953" xr3:uid="{00000000-0010-0000-2000-000099320000}" name="Column12926"/>
    <tableColumn id="12954" xr3:uid="{00000000-0010-0000-2000-00009A320000}" name="Column12927"/>
    <tableColumn id="12955" xr3:uid="{00000000-0010-0000-2000-00009B320000}" name="Column12928"/>
    <tableColumn id="12956" xr3:uid="{00000000-0010-0000-2000-00009C320000}" name="Column12929"/>
    <tableColumn id="12957" xr3:uid="{00000000-0010-0000-2000-00009D320000}" name="Column12930"/>
    <tableColumn id="12958" xr3:uid="{00000000-0010-0000-2000-00009E320000}" name="Column12931"/>
    <tableColumn id="12959" xr3:uid="{00000000-0010-0000-2000-00009F320000}" name="Column12932"/>
    <tableColumn id="12960" xr3:uid="{00000000-0010-0000-2000-0000A0320000}" name="Column12933"/>
    <tableColumn id="12961" xr3:uid="{00000000-0010-0000-2000-0000A1320000}" name="Column12934"/>
    <tableColumn id="12962" xr3:uid="{00000000-0010-0000-2000-0000A2320000}" name="Column12935"/>
    <tableColumn id="12963" xr3:uid="{00000000-0010-0000-2000-0000A3320000}" name="Column12936"/>
    <tableColumn id="12964" xr3:uid="{00000000-0010-0000-2000-0000A4320000}" name="Column12937"/>
    <tableColumn id="12965" xr3:uid="{00000000-0010-0000-2000-0000A5320000}" name="Column12938"/>
    <tableColumn id="12966" xr3:uid="{00000000-0010-0000-2000-0000A6320000}" name="Column12939"/>
    <tableColumn id="12967" xr3:uid="{00000000-0010-0000-2000-0000A7320000}" name="Column12940"/>
    <tableColumn id="12968" xr3:uid="{00000000-0010-0000-2000-0000A8320000}" name="Column12941"/>
    <tableColumn id="12969" xr3:uid="{00000000-0010-0000-2000-0000A9320000}" name="Column12942"/>
    <tableColumn id="12970" xr3:uid="{00000000-0010-0000-2000-0000AA320000}" name="Column12943"/>
    <tableColumn id="12971" xr3:uid="{00000000-0010-0000-2000-0000AB320000}" name="Column12944"/>
    <tableColumn id="12972" xr3:uid="{00000000-0010-0000-2000-0000AC320000}" name="Column12945"/>
    <tableColumn id="12973" xr3:uid="{00000000-0010-0000-2000-0000AD320000}" name="Column12946"/>
    <tableColumn id="12974" xr3:uid="{00000000-0010-0000-2000-0000AE320000}" name="Column12947"/>
    <tableColumn id="12975" xr3:uid="{00000000-0010-0000-2000-0000AF320000}" name="Column12948"/>
    <tableColumn id="12976" xr3:uid="{00000000-0010-0000-2000-0000B0320000}" name="Column12949"/>
    <tableColumn id="12977" xr3:uid="{00000000-0010-0000-2000-0000B1320000}" name="Column12950"/>
    <tableColumn id="12978" xr3:uid="{00000000-0010-0000-2000-0000B2320000}" name="Column12951"/>
    <tableColumn id="12979" xr3:uid="{00000000-0010-0000-2000-0000B3320000}" name="Column12952"/>
    <tableColumn id="12980" xr3:uid="{00000000-0010-0000-2000-0000B4320000}" name="Column12953"/>
    <tableColumn id="12981" xr3:uid="{00000000-0010-0000-2000-0000B5320000}" name="Column12954"/>
    <tableColumn id="12982" xr3:uid="{00000000-0010-0000-2000-0000B6320000}" name="Column12955"/>
    <tableColumn id="12983" xr3:uid="{00000000-0010-0000-2000-0000B7320000}" name="Column12956"/>
    <tableColumn id="12984" xr3:uid="{00000000-0010-0000-2000-0000B8320000}" name="Column12957"/>
    <tableColumn id="12985" xr3:uid="{00000000-0010-0000-2000-0000B9320000}" name="Column12958"/>
    <tableColumn id="12986" xr3:uid="{00000000-0010-0000-2000-0000BA320000}" name="Column12959"/>
    <tableColumn id="12987" xr3:uid="{00000000-0010-0000-2000-0000BB320000}" name="Column12960"/>
    <tableColumn id="12988" xr3:uid="{00000000-0010-0000-2000-0000BC320000}" name="Column12961"/>
    <tableColumn id="12989" xr3:uid="{00000000-0010-0000-2000-0000BD320000}" name="Column12962"/>
    <tableColumn id="12990" xr3:uid="{00000000-0010-0000-2000-0000BE320000}" name="Column12963"/>
    <tableColumn id="12991" xr3:uid="{00000000-0010-0000-2000-0000BF320000}" name="Column12964"/>
    <tableColumn id="12992" xr3:uid="{00000000-0010-0000-2000-0000C0320000}" name="Column12965"/>
    <tableColumn id="12993" xr3:uid="{00000000-0010-0000-2000-0000C1320000}" name="Column12966"/>
    <tableColumn id="12994" xr3:uid="{00000000-0010-0000-2000-0000C2320000}" name="Column12967"/>
    <tableColumn id="12995" xr3:uid="{00000000-0010-0000-2000-0000C3320000}" name="Column12968"/>
    <tableColumn id="12996" xr3:uid="{00000000-0010-0000-2000-0000C4320000}" name="Column12969"/>
    <tableColumn id="12997" xr3:uid="{00000000-0010-0000-2000-0000C5320000}" name="Column12970"/>
    <tableColumn id="12998" xr3:uid="{00000000-0010-0000-2000-0000C6320000}" name="Column12971"/>
    <tableColumn id="12999" xr3:uid="{00000000-0010-0000-2000-0000C7320000}" name="Column12972"/>
    <tableColumn id="13000" xr3:uid="{00000000-0010-0000-2000-0000C8320000}" name="Column12973"/>
    <tableColumn id="13001" xr3:uid="{00000000-0010-0000-2000-0000C9320000}" name="Column12974"/>
    <tableColumn id="13002" xr3:uid="{00000000-0010-0000-2000-0000CA320000}" name="Column12975"/>
    <tableColumn id="13003" xr3:uid="{00000000-0010-0000-2000-0000CB320000}" name="Column12976"/>
    <tableColumn id="13004" xr3:uid="{00000000-0010-0000-2000-0000CC320000}" name="Column12977"/>
    <tableColumn id="13005" xr3:uid="{00000000-0010-0000-2000-0000CD320000}" name="Column12978"/>
    <tableColumn id="13006" xr3:uid="{00000000-0010-0000-2000-0000CE320000}" name="Column12979"/>
    <tableColumn id="13007" xr3:uid="{00000000-0010-0000-2000-0000CF320000}" name="Column12980"/>
    <tableColumn id="13008" xr3:uid="{00000000-0010-0000-2000-0000D0320000}" name="Column12981"/>
    <tableColumn id="13009" xr3:uid="{00000000-0010-0000-2000-0000D1320000}" name="Column12982"/>
    <tableColumn id="13010" xr3:uid="{00000000-0010-0000-2000-0000D2320000}" name="Column12983"/>
    <tableColumn id="13011" xr3:uid="{00000000-0010-0000-2000-0000D3320000}" name="Column12984"/>
    <tableColumn id="13012" xr3:uid="{00000000-0010-0000-2000-0000D4320000}" name="Column12985"/>
    <tableColumn id="13013" xr3:uid="{00000000-0010-0000-2000-0000D5320000}" name="Column12986"/>
    <tableColumn id="13014" xr3:uid="{00000000-0010-0000-2000-0000D6320000}" name="Column12987"/>
    <tableColumn id="13015" xr3:uid="{00000000-0010-0000-2000-0000D7320000}" name="Column12988"/>
    <tableColumn id="13016" xr3:uid="{00000000-0010-0000-2000-0000D8320000}" name="Column12989"/>
    <tableColumn id="13017" xr3:uid="{00000000-0010-0000-2000-0000D9320000}" name="Column12990"/>
    <tableColumn id="13018" xr3:uid="{00000000-0010-0000-2000-0000DA320000}" name="Column12991"/>
    <tableColumn id="13019" xr3:uid="{00000000-0010-0000-2000-0000DB320000}" name="Column12992"/>
    <tableColumn id="13020" xr3:uid="{00000000-0010-0000-2000-0000DC320000}" name="Column12993"/>
    <tableColumn id="13021" xr3:uid="{00000000-0010-0000-2000-0000DD320000}" name="Column12994"/>
    <tableColumn id="13022" xr3:uid="{00000000-0010-0000-2000-0000DE320000}" name="Column12995"/>
    <tableColumn id="13023" xr3:uid="{00000000-0010-0000-2000-0000DF320000}" name="Column12996"/>
    <tableColumn id="13024" xr3:uid="{00000000-0010-0000-2000-0000E0320000}" name="Column12997"/>
    <tableColumn id="13025" xr3:uid="{00000000-0010-0000-2000-0000E1320000}" name="Column12998"/>
    <tableColumn id="13026" xr3:uid="{00000000-0010-0000-2000-0000E2320000}" name="Column12999"/>
    <tableColumn id="13027" xr3:uid="{00000000-0010-0000-2000-0000E3320000}" name="Column13000"/>
    <tableColumn id="13028" xr3:uid="{00000000-0010-0000-2000-0000E4320000}" name="Column13001"/>
    <tableColumn id="13029" xr3:uid="{00000000-0010-0000-2000-0000E5320000}" name="Column13002"/>
    <tableColumn id="13030" xr3:uid="{00000000-0010-0000-2000-0000E6320000}" name="Column13003"/>
    <tableColumn id="13031" xr3:uid="{00000000-0010-0000-2000-0000E7320000}" name="Column13004"/>
    <tableColumn id="13032" xr3:uid="{00000000-0010-0000-2000-0000E8320000}" name="Column13005"/>
    <tableColumn id="13033" xr3:uid="{00000000-0010-0000-2000-0000E9320000}" name="Column13006"/>
    <tableColumn id="13034" xr3:uid="{00000000-0010-0000-2000-0000EA320000}" name="Column13007"/>
    <tableColumn id="13035" xr3:uid="{00000000-0010-0000-2000-0000EB320000}" name="Column13008"/>
    <tableColumn id="13036" xr3:uid="{00000000-0010-0000-2000-0000EC320000}" name="Column13009"/>
    <tableColumn id="13037" xr3:uid="{00000000-0010-0000-2000-0000ED320000}" name="Column13010"/>
    <tableColumn id="13038" xr3:uid="{00000000-0010-0000-2000-0000EE320000}" name="Column13011"/>
    <tableColumn id="13039" xr3:uid="{00000000-0010-0000-2000-0000EF320000}" name="Column13012"/>
    <tableColumn id="13040" xr3:uid="{00000000-0010-0000-2000-0000F0320000}" name="Column13013"/>
    <tableColumn id="13041" xr3:uid="{00000000-0010-0000-2000-0000F1320000}" name="Column13014"/>
    <tableColumn id="13042" xr3:uid="{00000000-0010-0000-2000-0000F2320000}" name="Column13015"/>
    <tableColumn id="13043" xr3:uid="{00000000-0010-0000-2000-0000F3320000}" name="Column13016"/>
    <tableColumn id="13044" xr3:uid="{00000000-0010-0000-2000-0000F4320000}" name="Column13017"/>
    <tableColumn id="13045" xr3:uid="{00000000-0010-0000-2000-0000F5320000}" name="Column13018"/>
    <tableColumn id="13046" xr3:uid="{00000000-0010-0000-2000-0000F6320000}" name="Column13019"/>
    <tableColumn id="13047" xr3:uid="{00000000-0010-0000-2000-0000F7320000}" name="Column13020"/>
    <tableColumn id="13048" xr3:uid="{00000000-0010-0000-2000-0000F8320000}" name="Column13021"/>
    <tableColumn id="13049" xr3:uid="{00000000-0010-0000-2000-0000F9320000}" name="Column13022"/>
    <tableColumn id="13050" xr3:uid="{00000000-0010-0000-2000-0000FA320000}" name="Column13023"/>
    <tableColumn id="13051" xr3:uid="{00000000-0010-0000-2000-0000FB320000}" name="Column13024"/>
    <tableColumn id="13052" xr3:uid="{00000000-0010-0000-2000-0000FC320000}" name="Column13025"/>
    <tableColumn id="13053" xr3:uid="{00000000-0010-0000-2000-0000FD320000}" name="Column13026"/>
    <tableColumn id="13054" xr3:uid="{00000000-0010-0000-2000-0000FE320000}" name="Column13027"/>
    <tableColumn id="13055" xr3:uid="{00000000-0010-0000-2000-0000FF320000}" name="Column13028"/>
    <tableColumn id="13056" xr3:uid="{00000000-0010-0000-2000-000000330000}" name="Column13029"/>
    <tableColumn id="13057" xr3:uid="{00000000-0010-0000-2000-000001330000}" name="Column13030"/>
    <tableColumn id="13058" xr3:uid="{00000000-0010-0000-2000-000002330000}" name="Column13031"/>
    <tableColumn id="13059" xr3:uid="{00000000-0010-0000-2000-000003330000}" name="Column13032"/>
    <tableColumn id="13060" xr3:uid="{00000000-0010-0000-2000-000004330000}" name="Column13033"/>
    <tableColumn id="13061" xr3:uid="{00000000-0010-0000-2000-000005330000}" name="Column13034"/>
    <tableColumn id="13062" xr3:uid="{00000000-0010-0000-2000-000006330000}" name="Column13035"/>
    <tableColumn id="13063" xr3:uid="{00000000-0010-0000-2000-000007330000}" name="Column13036"/>
    <tableColumn id="13064" xr3:uid="{00000000-0010-0000-2000-000008330000}" name="Column13037"/>
    <tableColumn id="13065" xr3:uid="{00000000-0010-0000-2000-000009330000}" name="Column13038"/>
    <tableColumn id="13066" xr3:uid="{00000000-0010-0000-2000-00000A330000}" name="Column13039"/>
    <tableColumn id="13067" xr3:uid="{00000000-0010-0000-2000-00000B330000}" name="Column13040"/>
    <tableColumn id="13068" xr3:uid="{00000000-0010-0000-2000-00000C330000}" name="Column13041"/>
    <tableColumn id="13069" xr3:uid="{00000000-0010-0000-2000-00000D330000}" name="Column13042"/>
    <tableColumn id="13070" xr3:uid="{00000000-0010-0000-2000-00000E330000}" name="Column13043"/>
    <tableColumn id="13071" xr3:uid="{00000000-0010-0000-2000-00000F330000}" name="Column13044"/>
    <tableColumn id="13072" xr3:uid="{00000000-0010-0000-2000-000010330000}" name="Column13045"/>
    <tableColumn id="13073" xr3:uid="{00000000-0010-0000-2000-000011330000}" name="Column13046"/>
    <tableColumn id="13074" xr3:uid="{00000000-0010-0000-2000-000012330000}" name="Column13047"/>
    <tableColumn id="13075" xr3:uid="{00000000-0010-0000-2000-000013330000}" name="Column13048"/>
    <tableColumn id="13076" xr3:uid="{00000000-0010-0000-2000-000014330000}" name="Column13049"/>
    <tableColumn id="13077" xr3:uid="{00000000-0010-0000-2000-000015330000}" name="Column13050"/>
    <tableColumn id="13078" xr3:uid="{00000000-0010-0000-2000-000016330000}" name="Column13051"/>
    <tableColumn id="13079" xr3:uid="{00000000-0010-0000-2000-000017330000}" name="Column13052"/>
    <tableColumn id="13080" xr3:uid="{00000000-0010-0000-2000-000018330000}" name="Column13053"/>
    <tableColumn id="13081" xr3:uid="{00000000-0010-0000-2000-000019330000}" name="Column13054"/>
    <tableColumn id="13082" xr3:uid="{00000000-0010-0000-2000-00001A330000}" name="Column13055"/>
    <tableColumn id="13083" xr3:uid="{00000000-0010-0000-2000-00001B330000}" name="Column13056"/>
    <tableColumn id="13084" xr3:uid="{00000000-0010-0000-2000-00001C330000}" name="Column13057"/>
    <tableColumn id="13085" xr3:uid="{00000000-0010-0000-2000-00001D330000}" name="Column13058"/>
    <tableColumn id="13086" xr3:uid="{00000000-0010-0000-2000-00001E330000}" name="Column13059"/>
    <tableColumn id="13087" xr3:uid="{00000000-0010-0000-2000-00001F330000}" name="Column13060"/>
    <tableColumn id="13088" xr3:uid="{00000000-0010-0000-2000-000020330000}" name="Column13061"/>
    <tableColumn id="13089" xr3:uid="{00000000-0010-0000-2000-000021330000}" name="Column13062"/>
    <tableColumn id="13090" xr3:uid="{00000000-0010-0000-2000-000022330000}" name="Column13063"/>
    <tableColumn id="13091" xr3:uid="{00000000-0010-0000-2000-000023330000}" name="Column13064"/>
    <tableColumn id="13092" xr3:uid="{00000000-0010-0000-2000-000024330000}" name="Column13065"/>
    <tableColumn id="13093" xr3:uid="{00000000-0010-0000-2000-000025330000}" name="Column13066"/>
    <tableColumn id="13094" xr3:uid="{00000000-0010-0000-2000-000026330000}" name="Column13067"/>
    <tableColumn id="13095" xr3:uid="{00000000-0010-0000-2000-000027330000}" name="Column13068"/>
    <tableColumn id="13096" xr3:uid="{00000000-0010-0000-2000-000028330000}" name="Column13069"/>
    <tableColumn id="13097" xr3:uid="{00000000-0010-0000-2000-000029330000}" name="Column13070"/>
    <tableColumn id="13098" xr3:uid="{00000000-0010-0000-2000-00002A330000}" name="Column13071"/>
    <tableColumn id="13099" xr3:uid="{00000000-0010-0000-2000-00002B330000}" name="Column13072"/>
    <tableColumn id="13100" xr3:uid="{00000000-0010-0000-2000-00002C330000}" name="Column13073"/>
    <tableColumn id="13101" xr3:uid="{00000000-0010-0000-2000-00002D330000}" name="Column13074"/>
    <tableColumn id="13102" xr3:uid="{00000000-0010-0000-2000-00002E330000}" name="Column13075"/>
    <tableColumn id="13103" xr3:uid="{00000000-0010-0000-2000-00002F330000}" name="Column13076"/>
    <tableColumn id="13104" xr3:uid="{00000000-0010-0000-2000-000030330000}" name="Column13077"/>
    <tableColumn id="13105" xr3:uid="{00000000-0010-0000-2000-000031330000}" name="Column13078"/>
    <tableColumn id="13106" xr3:uid="{00000000-0010-0000-2000-000032330000}" name="Column13079"/>
    <tableColumn id="13107" xr3:uid="{00000000-0010-0000-2000-000033330000}" name="Column13080"/>
    <tableColumn id="13108" xr3:uid="{00000000-0010-0000-2000-000034330000}" name="Column13081"/>
    <tableColumn id="13109" xr3:uid="{00000000-0010-0000-2000-000035330000}" name="Column13082"/>
    <tableColumn id="13110" xr3:uid="{00000000-0010-0000-2000-000036330000}" name="Column13083"/>
    <tableColumn id="13111" xr3:uid="{00000000-0010-0000-2000-000037330000}" name="Column13084"/>
    <tableColumn id="13112" xr3:uid="{00000000-0010-0000-2000-000038330000}" name="Column13085"/>
    <tableColumn id="13113" xr3:uid="{00000000-0010-0000-2000-000039330000}" name="Column13086"/>
    <tableColumn id="13114" xr3:uid="{00000000-0010-0000-2000-00003A330000}" name="Column13087"/>
    <tableColumn id="13115" xr3:uid="{00000000-0010-0000-2000-00003B330000}" name="Column13088"/>
    <tableColumn id="13116" xr3:uid="{00000000-0010-0000-2000-00003C330000}" name="Column13089"/>
    <tableColumn id="13117" xr3:uid="{00000000-0010-0000-2000-00003D330000}" name="Column13090"/>
    <tableColumn id="13118" xr3:uid="{00000000-0010-0000-2000-00003E330000}" name="Column13091"/>
    <tableColumn id="13119" xr3:uid="{00000000-0010-0000-2000-00003F330000}" name="Column13092"/>
    <tableColumn id="13120" xr3:uid="{00000000-0010-0000-2000-000040330000}" name="Column13093"/>
    <tableColumn id="13121" xr3:uid="{00000000-0010-0000-2000-000041330000}" name="Column13094"/>
    <tableColumn id="13122" xr3:uid="{00000000-0010-0000-2000-000042330000}" name="Column13095"/>
    <tableColumn id="13123" xr3:uid="{00000000-0010-0000-2000-000043330000}" name="Column13096"/>
    <tableColumn id="13124" xr3:uid="{00000000-0010-0000-2000-000044330000}" name="Column13097"/>
    <tableColumn id="13125" xr3:uid="{00000000-0010-0000-2000-000045330000}" name="Column13098"/>
    <tableColumn id="13126" xr3:uid="{00000000-0010-0000-2000-000046330000}" name="Column13099"/>
    <tableColumn id="13127" xr3:uid="{00000000-0010-0000-2000-000047330000}" name="Column13100"/>
    <tableColumn id="13128" xr3:uid="{00000000-0010-0000-2000-000048330000}" name="Column13101"/>
    <tableColumn id="13129" xr3:uid="{00000000-0010-0000-2000-000049330000}" name="Column13102"/>
    <tableColumn id="13130" xr3:uid="{00000000-0010-0000-2000-00004A330000}" name="Column13103"/>
    <tableColumn id="13131" xr3:uid="{00000000-0010-0000-2000-00004B330000}" name="Column13104"/>
    <tableColumn id="13132" xr3:uid="{00000000-0010-0000-2000-00004C330000}" name="Column13105"/>
    <tableColumn id="13133" xr3:uid="{00000000-0010-0000-2000-00004D330000}" name="Column13106"/>
    <tableColumn id="13134" xr3:uid="{00000000-0010-0000-2000-00004E330000}" name="Column13107"/>
    <tableColumn id="13135" xr3:uid="{00000000-0010-0000-2000-00004F330000}" name="Column13108"/>
    <tableColumn id="13136" xr3:uid="{00000000-0010-0000-2000-000050330000}" name="Column13109"/>
    <tableColumn id="13137" xr3:uid="{00000000-0010-0000-2000-000051330000}" name="Column13110"/>
    <tableColumn id="13138" xr3:uid="{00000000-0010-0000-2000-000052330000}" name="Column13111"/>
    <tableColumn id="13139" xr3:uid="{00000000-0010-0000-2000-000053330000}" name="Column13112"/>
    <tableColumn id="13140" xr3:uid="{00000000-0010-0000-2000-000054330000}" name="Column13113"/>
    <tableColumn id="13141" xr3:uid="{00000000-0010-0000-2000-000055330000}" name="Column13114"/>
    <tableColumn id="13142" xr3:uid="{00000000-0010-0000-2000-000056330000}" name="Column13115"/>
    <tableColumn id="13143" xr3:uid="{00000000-0010-0000-2000-000057330000}" name="Column13116"/>
    <tableColumn id="13144" xr3:uid="{00000000-0010-0000-2000-000058330000}" name="Column13117"/>
    <tableColumn id="13145" xr3:uid="{00000000-0010-0000-2000-000059330000}" name="Column13118"/>
    <tableColumn id="13146" xr3:uid="{00000000-0010-0000-2000-00005A330000}" name="Column13119"/>
    <tableColumn id="13147" xr3:uid="{00000000-0010-0000-2000-00005B330000}" name="Column13120"/>
    <tableColumn id="13148" xr3:uid="{00000000-0010-0000-2000-00005C330000}" name="Column13121"/>
    <tableColumn id="13149" xr3:uid="{00000000-0010-0000-2000-00005D330000}" name="Column13122"/>
    <tableColumn id="13150" xr3:uid="{00000000-0010-0000-2000-00005E330000}" name="Column13123"/>
    <tableColumn id="13151" xr3:uid="{00000000-0010-0000-2000-00005F330000}" name="Column13124"/>
    <tableColumn id="13152" xr3:uid="{00000000-0010-0000-2000-000060330000}" name="Column13125"/>
    <tableColumn id="13153" xr3:uid="{00000000-0010-0000-2000-000061330000}" name="Column13126"/>
    <tableColumn id="13154" xr3:uid="{00000000-0010-0000-2000-000062330000}" name="Column13127"/>
    <tableColumn id="13155" xr3:uid="{00000000-0010-0000-2000-000063330000}" name="Column13128"/>
    <tableColumn id="13156" xr3:uid="{00000000-0010-0000-2000-000064330000}" name="Column13129"/>
    <tableColumn id="13157" xr3:uid="{00000000-0010-0000-2000-000065330000}" name="Column13130"/>
    <tableColumn id="13158" xr3:uid="{00000000-0010-0000-2000-000066330000}" name="Column13131"/>
    <tableColumn id="13159" xr3:uid="{00000000-0010-0000-2000-000067330000}" name="Column13132"/>
    <tableColumn id="13160" xr3:uid="{00000000-0010-0000-2000-000068330000}" name="Column13133"/>
    <tableColumn id="13161" xr3:uid="{00000000-0010-0000-2000-000069330000}" name="Column13134"/>
    <tableColumn id="13162" xr3:uid="{00000000-0010-0000-2000-00006A330000}" name="Column13135"/>
    <tableColumn id="13163" xr3:uid="{00000000-0010-0000-2000-00006B330000}" name="Column13136"/>
    <tableColumn id="13164" xr3:uid="{00000000-0010-0000-2000-00006C330000}" name="Column13137"/>
    <tableColumn id="13165" xr3:uid="{00000000-0010-0000-2000-00006D330000}" name="Column13138"/>
    <tableColumn id="13166" xr3:uid="{00000000-0010-0000-2000-00006E330000}" name="Column13139"/>
    <tableColumn id="13167" xr3:uid="{00000000-0010-0000-2000-00006F330000}" name="Column13140"/>
    <tableColumn id="13168" xr3:uid="{00000000-0010-0000-2000-000070330000}" name="Column13141"/>
    <tableColumn id="13169" xr3:uid="{00000000-0010-0000-2000-000071330000}" name="Column13142"/>
    <tableColumn id="13170" xr3:uid="{00000000-0010-0000-2000-000072330000}" name="Column13143"/>
    <tableColumn id="13171" xr3:uid="{00000000-0010-0000-2000-000073330000}" name="Column13144"/>
    <tableColumn id="13172" xr3:uid="{00000000-0010-0000-2000-000074330000}" name="Column13145"/>
    <tableColumn id="13173" xr3:uid="{00000000-0010-0000-2000-000075330000}" name="Column13146"/>
    <tableColumn id="13174" xr3:uid="{00000000-0010-0000-2000-000076330000}" name="Column13147"/>
    <tableColumn id="13175" xr3:uid="{00000000-0010-0000-2000-000077330000}" name="Column13148"/>
    <tableColumn id="13176" xr3:uid="{00000000-0010-0000-2000-000078330000}" name="Column13149"/>
    <tableColumn id="13177" xr3:uid="{00000000-0010-0000-2000-000079330000}" name="Column13150"/>
    <tableColumn id="13178" xr3:uid="{00000000-0010-0000-2000-00007A330000}" name="Column13151"/>
    <tableColumn id="13179" xr3:uid="{00000000-0010-0000-2000-00007B330000}" name="Column13152"/>
    <tableColumn id="13180" xr3:uid="{00000000-0010-0000-2000-00007C330000}" name="Column13153"/>
    <tableColumn id="13181" xr3:uid="{00000000-0010-0000-2000-00007D330000}" name="Column13154"/>
    <tableColumn id="13182" xr3:uid="{00000000-0010-0000-2000-00007E330000}" name="Column13155"/>
    <tableColumn id="13183" xr3:uid="{00000000-0010-0000-2000-00007F330000}" name="Column13156"/>
    <tableColumn id="13184" xr3:uid="{00000000-0010-0000-2000-000080330000}" name="Column13157"/>
    <tableColumn id="13185" xr3:uid="{00000000-0010-0000-2000-000081330000}" name="Column13158"/>
    <tableColumn id="13186" xr3:uid="{00000000-0010-0000-2000-000082330000}" name="Column13159"/>
    <tableColumn id="13187" xr3:uid="{00000000-0010-0000-2000-000083330000}" name="Column13160"/>
    <tableColumn id="13188" xr3:uid="{00000000-0010-0000-2000-000084330000}" name="Column13161"/>
    <tableColumn id="13189" xr3:uid="{00000000-0010-0000-2000-000085330000}" name="Column13162"/>
    <tableColumn id="13190" xr3:uid="{00000000-0010-0000-2000-000086330000}" name="Column13163"/>
    <tableColumn id="13191" xr3:uid="{00000000-0010-0000-2000-000087330000}" name="Column13164"/>
    <tableColumn id="13192" xr3:uid="{00000000-0010-0000-2000-000088330000}" name="Column13165"/>
    <tableColumn id="13193" xr3:uid="{00000000-0010-0000-2000-000089330000}" name="Column13166"/>
    <tableColumn id="13194" xr3:uid="{00000000-0010-0000-2000-00008A330000}" name="Column13167"/>
    <tableColumn id="13195" xr3:uid="{00000000-0010-0000-2000-00008B330000}" name="Column13168"/>
    <tableColumn id="13196" xr3:uid="{00000000-0010-0000-2000-00008C330000}" name="Column13169"/>
    <tableColumn id="13197" xr3:uid="{00000000-0010-0000-2000-00008D330000}" name="Column13170"/>
    <tableColumn id="13198" xr3:uid="{00000000-0010-0000-2000-00008E330000}" name="Column13171"/>
    <tableColumn id="13199" xr3:uid="{00000000-0010-0000-2000-00008F330000}" name="Column13172"/>
    <tableColumn id="13200" xr3:uid="{00000000-0010-0000-2000-000090330000}" name="Column13173"/>
    <tableColumn id="13201" xr3:uid="{00000000-0010-0000-2000-000091330000}" name="Column13174"/>
    <tableColumn id="13202" xr3:uid="{00000000-0010-0000-2000-000092330000}" name="Column13175"/>
    <tableColumn id="13203" xr3:uid="{00000000-0010-0000-2000-000093330000}" name="Column13176"/>
    <tableColumn id="13204" xr3:uid="{00000000-0010-0000-2000-000094330000}" name="Column13177"/>
    <tableColumn id="13205" xr3:uid="{00000000-0010-0000-2000-000095330000}" name="Column13178"/>
    <tableColumn id="13206" xr3:uid="{00000000-0010-0000-2000-000096330000}" name="Column13179"/>
    <tableColumn id="13207" xr3:uid="{00000000-0010-0000-2000-000097330000}" name="Column13180"/>
    <tableColumn id="13208" xr3:uid="{00000000-0010-0000-2000-000098330000}" name="Column13181"/>
    <tableColumn id="13209" xr3:uid="{00000000-0010-0000-2000-000099330000}" name="Column13182"/>
    <tableColumn id="13210" xr3:uid="{00000000-0010-0000-2000-00009A330000}" name="Column13183"/>
    <tableColumn id="13211" xr3:uid="{00000000-0010-0000-2000-00009B330000}" name="Column13184"/>
    <tableColumn id="13212" xr3:uid="{00000000-0010-0000-2000-00009C330000}" name="Column13185"/>
    <tableColumn id="13213" xr3:uid="{00000000-0010-0000-2000-00009D330000}" name="Column13186"/>
    <tableColumn id="13214" xr3:uid="{00000000-0010-0000-2000-00009E330000}" name="Column13187"/>
    <tableColumn id="13215" xr3:uid="{00000000-0010-0000-2000-00009F330000}" name="Column13188"/>
    <tableColumn id="13216" xr3:uid="{00000000-0010-0000-2000-0000A0330000}" name="Column13189"/>
    <tableColumn id="13217" xr3:uid="{00000000-0010-0000-2000-0000A1330000}" name="Column13190"/>
    <tableColumn id="13218" xr3:uid="{00000000-0010-0000-2000-0000A2330000}" name="Column13191"/>
    <tableColumn id="13219" xr3:uid="{00000000-0010-0000-2000-0000A3330000}" name="Column13192"/>
    <tableColumn id="13220" xr3:uid="{00000000-0010-0000-2000-0000A4330000}" name="Column13193"/>
    <tableColumn id="13221" xr3:uid="{00000000-0010-0000-2000-0000A5330000}" name="Column13194"/>
    <tableColumn id="13222" xr3:uid="{00000000-0010-0000-2000-0000A6330000}" name="Column13195"/>
    <tableColumn id="13223" xr3:uid="{00000000-0010-0000-2000-0000A7330000}" name="Column13196"/>
    <tableColumn id="13224" xr3:uid="{00000000-0010-0000-2000-0000A8330000}" name="Column13197"/>
    <tableColumn id="13225" xr3:uid="{00000000-0010-0000-2000-0000A9330000}" name="Column13198"/>
    <tableColumn id="13226" xr3:uid="{00000000-0010-0000-2000-0000AA330000}" name="Column13199"/>
    <tableColumn id="13227" xr3:uid="{00000000-0010-0000-2000-0000AB330000}" name="Column13200"/>
    <tableColumn id="13228" xr3:uid="{00000000-0010-0000-2000-0000AC330000}" name="Column13201"/>
    <tableColumn id="13229" xr3:uid="{00000000-0010-0000-2000-0000AD330000}" name="Column13202"/>
    <tableColumn id="13230" xr3:uid="{00000000-0010-0000-2000-0000AE330000}" name="Column13203"/>
    <tableColumn id="13231" xr3:uid="{00000000-0010-0000-2000-0000AF330000}" name="Column13204"/>
    <tableColumn id="13232" xr3:uid="{00000000-0010-0000-2000-0000B0330000}" name="Column13205"/>
    <tableColumn id="13233" xr3:uid="{00000000-0010-0000-2000-0000B1330000}" name="Column13206"/>
    <tableColumn id="13234" xr3:uid="{00000000-0010-0000-2000-0000B2330000}" name="Column13207"/>
    <tableColumn id="13235" xr3:uid="{00000000-0010-0000-2000-0000B3330000}" name="Column13208"/>
    <tableColumn id="13236" xr3:uid="{00000000-0010-0000-2000-0000B4330000}" name="Column13209"/>
    <tableColumn id="13237" xr3:uid="{00000000-0010-0000-2000-0000B5330000}" name="Column13210"/>
    <tableColumn id="13238" xr3:uid="{00000000-0010-0000-2000-0000B6330000}" name="Column13211"/>
    <tableColumn id="13239" xr3:uid="{00000000-0010-0000-2000-0000B7330000}" name="Column13212"/>
    <tableColumn id="13240" xr3:uid="{00000000-0010-0000-2000-0000B8330000}" name="Column13213"/>
    <tableColumn id="13241" xr3:uid="{00000000-0010-0000-2000-0000B9330000}" name="Column13214"/>
    <tableColumn id="13242" xr3:uid="{00000000-0010-0000-2000-0000BA330000}" name="Column13215"/>
    <tableColumn id="13243" xr3:uid="{00000000-0010-0000-2000-0000BB330000}" name="Column13216"/>
    <tableColumn id="13244" xr3:uid="{00000000-0010-0000-2000-0000BC330000}" name="Column13217"/>
    <tableColumn id="13245" xr3:uid="{00000000-0010-0000-2000-0000BD330000}" name="Column13218"/>
    <tableColumn id="13246" xr3:uid="{00000000-0010-0000-2000-0000BE330000}" name="Column13219"/>
    <tableColumn id="13247" xr3:uid="{00000000-0010-0000-2000-0000BF330000}" name="Column13220"/>
    <tableColumn id="13248" xr3:uid="{00000000-0010-0000-2000-0000C0330000}" name="Column13221"/>
    <tableColumn id="13249" xr3:uid="{00000000-0010-0000-2000-0000C1330000}" name="Column13222"/>
    <tableColumn id="13250" xr3:uid="{00000000-0010-0000-2000-0000C2330000}" name="Column13223"/>
    <tableColumn id="13251" xr3:uid="{00000000-0010-0000-2000-0000C3330000}" name="Column13224"/>
    <tableColumn id="13252" xr3:uid="{00000000-0010-0000-2000-0000C4330000}" name="Column13225"/>
    <tableColumn id="13253" xr3:uid="{00000000-0010-0000-2000-0000C5330000}" name="Column13226"/>
    <tableColumn id="13254" xr3:uid="{00000000-0010-0000-2000-0000C6330000}" name="Column13227"/>
    <tableColumn id="13255" xr3:uid="{00000000-0010-0000-2000-0000C7330000}" name="Column13228"/>
    <tableColumn id="13256" xr3:uid="{00000000-0010-0000-2000-0000C8330000}" name="Column13229"/>
    <tableColumn id="13257" xr3:uid="{00000000-0010-0000-2000-0000C9330000}" name="Column13230"/>
    <tableColumn id="13258" xr3:uid="{00000000-0010-0000-2000-0000CA330000}" name="Column13231"/>
    <tableColumn id="13259" xr3:uid="{00000000-0010-0000-2000-0000CB330000}" name="Column13232"/>
    <tableColumn id="13260" xr3:uid="{00000000-0010-0000-2000-0000CC330000}" name="Column13233"/>
    <tableColumn id="13261" xr3:uid="{00000000-0010-0000-2000-0000CD330000}" name="Column13234"/>
    <tableColumn id="13262" xr3:uid="{00000000-0010-0000-2000-0000CE330000}" name="Column13235"/>
    <tableColumn id="13263" xr3:uid="{00000000-0010-0000-2000-0000CF330000}" name="Column13236"/>
    <tableColumn id="13264" xr3:uid="{00000000-0010-0000-2000-0000D0330000}" name="Column13237"/>
    <tableColumn id="13265" xr3:uid="{00000000-0010-0000-2000-0000D1330000}" name="Column13238"/>
    <tableColumn id="13266" xr3:uid="{00000000-0010-0000-2000-0000D2330000}" name="Column13239"/>
    <tableColumn id="13267" xr3:uid="{00000000-0010-0000-2000-0000D3330000}" name="Column13240"/>
    <tableColumn id="13268" xr3:uid="{00000000-0010-0000-2000-0000D4330000}" name="Column13241"/>
    <tableColumn id="13269" xr3:uid="{00000000-0010-0000-2000-0000D5330000}" name="Column13242"/>
    <tableColumn id="13270" xr3:uid="{00000000-0010-0000-2000-0000D6330000}" name="Column13243"/>
    <tableColumn id="13271" xr3:uid="{00000000-0010-0000-2000-0000D7330000}" name="Column13244"/>
    <tableColumn id="13272" xr3:uid="{00000000-0010-0000-2000-0000D8330000}" name="Column13245"/>
    <tableColumn id="13273" xr3:uid="{00000000-0010-0000-2000-0000D9330000}" name="Column13246"/>
    <tableColumn id="13274" xr3:uid="{00000000-0010-0000-2000-0000DA330000}" name="Column13247"/>
    <tableColumn id="13275" xr3:uid="{00000000-0010-0000-2000-0000DB330000}" name="Column13248"/>
    <tableColumn id="13276" xr3:uid="{00000000-0010-0000-2000-0000DC330000}" name="Column13249"/>
    <tableColumn id="13277" xr3:uid="{00000000-0010-0000-2000-0000DD330000}" name="Column13250"/>
    <tableColumn id="13278" xr3:uid="{00000000-0010-0000-2000-0000DE330000}" name="Column13251"/>
    <tableColumn id="13279" xr3:uid="{00000000-0010-0000-2000-0000DF330000}" name="Column13252"/>
    <tableColumn id="13280" xr3:uid="{00000000-0010-0000-2000-0000E0330000}" name="Column13253"/>
    <tableColumn id="13281" xr3:uid="{00000000-0010-0000-2000-0000E1330000}" name="Column13254"/>
    <tableColumn id="13282" xr3:uid="{00000000-0010-0000-2000-0000E2330000}" name="Column13255"/>
    <tableColumn id="13283" xr3:uid="{00000000-0010-0000-2000-0000E3330000}" name="Column13256"/>
    <tableColumn id="13284" xr3:uid="{00000000-0010-0000-2000-0000E4330000}" name="Column13257"/>
    <tableColumn id="13285" xr3:uid="{00000000-0010-0000-2000-0000E5330000}" name="Column13258"/>
    <tableColumn id="13286" xr3:uid="{00000000-0010-0000-2000-0000E6330000}" name="Column13259"/>
    <tableColumn id="13287" xr3:uid="{00000000-0010-0000-2000-0000E7330000}" name="Column13260"/>
    <tableColumn id="13288" xr3:uid="{00000000-0010-0000-2000-0000E8330000}" name="Column13261"/>
    <tableColumn id="13289" xr3:uid="{00000000-0010-0000-2000-0000E9330000}" name="Column13262"/>
    <tableColumn id="13290" xr3:uid="{00000000-0010-0000-2000-0000EA330000}" name="Column13263"/>
    <tableColumn id="13291" xr3:uid="{00000000-0010-0000-2000-0000EB330000}" name="Column13264"/>
    <tableColumn id="13292" xr3:uid="{00000000-0010-0000-2000-0000EC330000}" name="Column13265"/>
    <tableColumn id="13293" xr3:uid="{00000000-0010-0000-2000-0000ED330000}" name="Column13266"/>
    <tableColumn id="13294" xr3:uid="{00000000-0010-0000-2000-0000EE330000}" name="Column13267"/>
    <tableColumn id="13295" xr3:uid="{00000000-0010-0000-2000-0000EF330000}" name="Column13268"/>
    <tableColumn id="13296" xr3:uid="{00000000-0010-0000-2000-0000F0330000}" name="Column13269"/>
    <tableColumn id="13297" xr3:uid="{00000000-0010-0000-2000-0000F1330000}" name="Column13270"/>
    <tableColumn id="13298" xr3:uid="{00000000-0010-0000-2000-0000F2330000}" name="Column13271"/>
    <tableColumn id="13299" xr3:uid="{00000000-0010-0000-2000-0000F3330000}" name="Column13272"/>
    <tableColumn id="13300" xr3:uid="{00000000-0010-0000-2000-0000F4330000}" name="Column13273"/>
    <tableColumn id="13301" xr3:uid="{00000000-0010-0000-2000-0000F5330000}" name="Column13274"/>
    <tableColumn id="13302" xr3:uid="{00000000-0010-0000-2000-0000F6330000}" name="Column13275"/>
    <tableColumn id="13303" xr3:uid="{00000000-0010-0000-2000-0000F7330000}" name="Column13276"/>
    <tableColumn id="13304" xr3:uid="{00000000-0010-0000-2000-0000F8330000}" name="Column13277"/>
    <tableColumn id="13305" xr3:uid="{00000000-0010-0000-2000-0000F9330000}" name="Column13278"/>
    <tableColumn id="13306" xr3:uid="{00000000-0010-0000-2000-0000FA330000}" name="Column13279"/>
    <tableColumn id="13307" xr3:uid="{00000000-0010-0000-2000-0000FB330000}" name="Column13280"/>
    <tableColumn id="13308" xr3:uid="{00000000-0010-0000-2000-0000FC330000}" name="Column13281"/>
    <tableColumn id="13309" xr3:uid="{00000000-0010-0000-2000-0000FD330000}" name="Column13282"/>
    <tableColumn id="13310" xr3:uid="{00000000-0010-0000-2000-0000FE330000}" name="Column13283"/>
    <tableColumn id="13311" xr3:uid="{00000000-0010-0000-2000-0000FF330000}" name="Column13284"/>
    <tableColumn id="13312" xr3:uid="{00000000-0010-0000-2000-000000340000}" name="Column13285"/>
    <tableColumn id="13313" xr3:uid="{00000000-0010-0000-2000-000001340000}" name="Column13286"/>
    <tableColumn id="13314" xr3:uid="{00000000-0010-0000-2000-000002340000}" name="Column13287"/>
    <tableColumn id="13315" xr3:uid="{00000000-0010-0000-2000-000003340000}" name="Column13288"/>
    <tableColumn id="13316" xr3:uid="{00000000-0010-0000-2000-000004340000}" name="Column13289"/>
    <tableColumn id="13317" xr3:uid="{00000000-0010-0000-2000-000005340000}" name="Column13290"/>
    <tableColumn id="13318" xr3:uid="{00000000-0010-0000-2000-000006340000}" name="Column13291"/>
    <tableColumn id="13319" xr3:uid="{00000000-0010-0000-2000-000007340000}" name="Column13292"/>
    <tableColumn id="13320" xr3:uid="{00000000-0010-0000-2000-000008340000}" name="Column13293"/>
    <tableColumn id="13321" xr3:uid="{00000000-0010-0000-2000-000009340000}" name="Column13294"/>
    <tableColumn id="13322" xr3:uid="{00000000-0010-0000-2000-00000A340000}" name="Column13295"/>
    <tableColumn id="13323" xr3:uid="{00000000-0010-0000-2000-00000B340000}" name="Column13296"/>
    <tableColumn id="13324" xr3:uid="{00000000-0010-0000-2000-00000C340000}" name="Column13297"/>
    <tableColumn id="13325" xr3:uid="{00000000-0010-0000-2000-00000D340000}" name="Column13298"/>
    <tableColumn id="13326" xr3:uid="{00000000-0010-0000-2000-00000E340000}" name="Column13299"/>
    <tableColumn id="13327" xr3:uid="{00000000-0010-0000-2000-00000F340000}" name="Column13300"/>
    <tableColumn id="13328" xr3:uid="{00000000-0010-0000-2000-000010340000}" name="Column13301"/>
    <tableColumn id="13329" xr3:uid="{00000000-0010-0000-2000-000011340000}" name="Column13302"/>
    <tableColumn id="13330" xr3:uid="{00000000-0010-0000-2000-000012340000}" name="Column13303"/>
    <tableColumn id="13331" xr3:uid="{00000000-0010-0000-2000-000013340000}" name="Column13304"/>
    <tableColumn id="13332" xr3:uid="{00000000-0010-0000-2000-000014340000}" name="Column13305"/>
    <tableColumn id="13333" xr3:uid="{00000000-0010-0000-2000-000015340000}" name="Column13306"/>
    <tableColumn id="13334" xr3:uid="{00000000-0010-0000-2000-000016340000}" name="Column13307"/>
    <tableColumn id="13335" xr3:uid="{00000000-0010-0000-2000-000017340000}" name="Column13308"/>
    <tableColumn id="13336" xr3:uid="{00000000-0010-0000-2000-000018340000}" name="Column13309"/>
    <tableColumn id="13337" xr3:uid="{00000000-0010-0000-2000-000019340000}" name="Column13310"/>
    <tableColumn id="13338" xr3:uid="{00000000-0010-0000-2000-00001A340000}" name="Column13311"/>
    <tableColumn id="13339" xr3:uid="{00000000-0010-0000-2000-00001B340000}" name="Column13312"/>
    <tableColumn id="13340" xr3:uid="{00000000-0010-0000-2000-00001C340000}" name="Column13313"/>
    <tableColumn id="13341" xr3:uid="{00000000-0010-0000-2000-00001D340000}" name="Column13314"/>
    <tableColumn id="13342" xr3:uid="{00000000-0010-0000-2000-00001E340000}" name="Column13315"/>
    <tableColumn id="13343" xr3:uid="{00000000-0010-0000-2000-00001F340000}" name="Column13316"/>
    <tableColumn id="13344" xr3:uid="{00000000-0010-0000-2000-000020340000}" name="Column13317"/>
    <tableColumn id="13345" xr3:uid="{00000000-0010-0000-2000-000021340000}" name="Column13318"/>
    <tableColumn id="13346" xr3:uid="{00000000-0010-0000-2000-000022340000}" name="Column13319"/>
    <tableColumn id="13347" xr3:uid="{00000000-0010-0000-2000-000023340000}" name="Column13320"/>
    <tableColumn id="13348" xr3:uid="{00000000-0010-0000-2000-000024340000}" name="Column13321"/>
    <tableColumn id="13349" xr3:uid="{00000000-0010-0000-2000-000025340000}" name="Column13322"/>
    <tableColumn id="13350" xr3:uid="{00000000-0010-0000-2000-000026340000}" name="Column13323"/>
    <tableColumn id="13351" xr3:uid="{00000000-0010-0000-2000-000027340000}" name="Column13324"/>
    <tableColumn id="13352" xr3:uid="{00000000-0010-0000-2000-000028340000}" name="Column13325"/>
    <tableColumn id="13353" xr3:uid="{00000000-0010-0000-2000-000029340000}" name="Column13326"/>
    <tableColumn id="13354" xr3:uid="{00000000-0010-0000-2000-00002A340000}" name="Column13327"/>
    <tableColumn id="13355" xr3:uid="{00000000-0010-0000-2000-00002B340000}" name="Column13328"/>
    <tableColumn id="13356" xr3:uid="{00000000-0010-0000-2000-00002C340000}" name="Column13329"/>
    <tableColumn id="13357" xr3:uid="{00000000-0010-0000-2000-00002D340000}" name="Column13330"/>
    <tableColumn id="13358" xr3:uid="{00000000-0010-0000-2000-00002E340000}" name="Column13331"/>
    <tableColumn id="13359" xr3:uid="{00000000-0010-0000-2000-00002F340000}" name="Column13332"/>
    <tableColumn id="13360" xr3:uid="{00000000-0010-0000-2000-000030340000}" name="Column13333"/>
    <tableColumn id="13361" xr3:uid="{00000000-0010-0000-2000-000031340000}" name="Column13334"/>
    <tableColumn id="13362" xr3:uid="{00000000-0010-0000-2000-000032340000}" name="Column13335"/>
    <tableColumn id="13363" xr3:uid="{00000000-0010-0000-2000-000033340000}" name="Column13336"/>
    <tableColumn id="13364" xr3:uid="{00000000-0010-0000-2000-000034340000}" name="Column13337"/>
    <tableColumn id="13365" xr3:uid="{00000000-0010-0000-2000-000035340000}" name="Column13338"/>
    <tableColumn id="13366" xr3:uid="{00000000-0010-0000-2000-000036340000}" name="Column13339"/>
    <tableColumn id="13367" xr3:uid="{00000000-0010-0000-2000-000037340000}" name="Column13340"/>
    <tableColumn id="13368" xr3:uid="{00000000-0010-0000-2000-000038340000}" name="Column13341"/>
    <tableColumn id="13369" xr3:uid="{00000000-0010-0000-2000-000039340000}" name="Column13342"/>
    <tableColumn id="13370" xr3:uid="{00000000-0010-0000-2000-00003A340000}" name="Column13343"/>
    <tableColumn id="13371" xr3:uid="{00000000-0010-0000-2000-00003B340000}" name="Column13344"/>
    <tableColumn id="13372" xr3:uid="{00000000-0010-0000-2000-00003C340000}" name="Column13345"/>
    <tableColumn id="13373" xr3:uid="{00000000-0010-0000-2000-00003D340000}" name="Column13346"/>
    <tableColumn id="13374" xr3:uid="{00000000-0010-0000-2000-00003E340000}" name="Column13347"/>
    <tableColumn id="13375" xr3:uid="{00000000-0010-0000-2000-00003F340000}" name="Column13348"/>
    <tableColumn id="13376" xr3:uid="{00000000-0010-0000-2000-000040340000}" name="Column13349"/>
    <tableColumn id="13377" xr3:uid="{00000000-0010-0000-2000-000041340000}" name="Column13350"/>
    <tableColumn id="13378" xr3:uid="{00000000-0010-0000-2000-000042340000}" name="Column13351"/>
    <tableColumn id="13379" xr3:uid="{00000000-0010-0000-2000-000043340000}" name="Column13352"/>
    <tableColumn id="13380" xr3:uid="{00000000-0010-0000-2000-000044340000}" name="Column13353"/>
    <tableColumn id="13381" xr3:uid="{00000000-0010-0000-2000-000045340000}" name="Column13354"/>
    <tableColumn id="13382" xr3:uid="{00000000-0010-0000-2000-000046340000}" name="Column13355"/>
    <tableColumn id="13383" xr3:uid="{00000000-0010-0000-2000-000047340000}" name="Column13356"/>
    <tableColumn id="13384" xr3:uid="{00000000-0010-0000-2000-000048340000}" name="Column13357"/>
    <tableColumn id="13385" xr3:uid="{00000000-0010-0000-2000-000049340000}" name="Column13358"/>
    <tableColumn id="13386" xr3:uid="{00000000-0010-0000-2000-00004A340000}" name="Column13359"/>
    <tableColumn id="13387" xr3:uid="{00000000-0010-0000-2000-00004B340000}" name="Column13360"/>
    <tableColumn id="13388" xr3:uid="{00000000-0010-0000-2000-00004C340000}" name="Column13361"/>
    <tableColumn id="13389" xr3:uid="{00000000-0010-0000-2000-00004D340000}" name="Column13362"/>
    <tableColumn id="13390" xr3:uid="{00000000-0010-0000-2000-00004E340000}" name="Column13363"/>
    <tableColumn id="13391" xr3:uid="{00000000-0010-0000-2000-00004F340000}" name="Column13364"/>
    <tableColumn id="13392" xr3:uid="{00000000-0010-0000-2000-000050340000}" name="Column13365"/>
    <tableColumn id="13393" xr3:uid="{00000000-0010-0000-2000-000051340000}" name="Column13366"/>
    <tableColumn id="13394" xr3:uid="{00000000-0010-0000-2000-000052340000}" name="Column13367"/>
    <tableColumn id="13395" xr3:uid="{00000000-0010-0000-2000-000053340000}" name="Column13368"/>
    <tableColumn id="13396" xr3:uid="{00000000-0010-0000-2000-000054340000}" name="Column13369"/>
    <tableColumn id="13397" xr3:uid="{00000000-0010-0000-2000-000055340000}" name="Column13370"/>
    <tableColumn id="13398" xr3:uid="{00000000-0010-0000-2000-000056340000}" name="Column13371"/>
    <tableColumn id="13399" xr3:uid="{00000000-0010-0000-2000-000057340000}" name="Column13372"/>
    <tableColumn id="13400" xr3:uid="{00000000-0010-0000-2000-000058340000}" name="Column13373"/>
    <tableColumn id="13401" xr3:uid="{00000000-0010-0000-2000-000059340000}" name="Column13374"/>
    <tableColumn id="13402" xr3:uid="{00000000-0010-0000-2000-00005A340000}" name="Column13375"/>
    <tableColumn id="13403" xr3:uid="{00000000-0010-0000-2000-00005B340000}" name="Column13376"/>
    <tableColumn id="13404" xr3:uid="{00000000-0010-0000-2000-00005C340000}" name="Column13377"/>
    <tableColumn id="13405" xr3:uid="{00000000-0010-0000-2000-00005D340000}" name="Column13378"/>
    <tableColumn id="13406" xr3:uid="{00000000-0010-0000-2000-00005E340000}" name="Column13379"/>
    <tableColumn id="13407" xr3:uid="{00000000-0010-0000-2000-00005F340000}" name="Column13380"/>
    <tableColumn id="13408" xr3:uid="{00000000-0010-0000-2000-000060340000}" name="Column13381"/>
    <tableColumn id="13409" xr3:uid="{00000000-0010-0000-2000-000061340000}" name="Column13382"/>
    <tableColumn id="13410" xr3:uid="{00000000-0010-0000-2000-000062340000}" name="Column13383"/>
    <tableColumn id="13411" xr3:uid="{00000000-0010-0000-2000-000063340000}" name="Column13384"/>
    <tableColumn id="13412" xr3:uid="{00000000-0010-0000-2000-000064340000}" name="Column13385"/>
    <tableColumn id="13413" xr3:uid="{00000000-0010-0000-2000-000065340000}" name="Column13386"/>
    <tableColumn id="13414" xr3:uid="{00000000-0010-0000-2000-000066340000}" name="Column13387"/>
    <tableColumn id="13415" xr3:uid="{00000000-0010-0000-2000-000067340000}" name="Column13388"/>
    <tableColumn id="13416" xr3:uid="{00000000-0010-0000-2000-000068340000}" name="Column13389"/>
    <tableColumn id="13417" xr3:uid="{00000000-0010-0000-2000-000069340000}" name="Column13390"/>
    <tableColumn id="13418" xr3:uid="{00000000-0010-0000-2000-00006A340000}" name="Column13391"/>
    <tableColumn id="13419" xr3:uid="{00000000-0010-0000-2000-00006B340000}" name="Column13392"/>
    <tableColumn id="13420" xr3:uid="{00000000-0010-0000-2000-00006C340000}" name="Column13393"/>
    <tableColumn id="13421" xr3:uid="{00000000-0010-0000-2000-00006D340000}" name="Column13394"/>
    <tableColumn id="13422" xr3:uid="{00000000-0010-0000-2000-00006E340000}" name="Column13395"/>
    <tableColumn id="13423" xr3:uid="{00000000-0010-0000-2000-00006F340000}" name="Column13396"/>
    <tableColumn id="13424" xr3:uid="{00000000-0010-0000-2000-000070340000}" name="Column13397"/>
    <tableColumn id="13425" xr3:uid="{00000000-0010-0000-2000-000071340000}" name="Column13398"/>
    <tableColumn id="13426" xr3:uid="{00000000-0010-0000-2000-000072340000}" name="Column13399"/>
    <tableColumn id="13427" xr3:uid="{00000000-0010-0000-2000-000073340000}" name="Column13400"/>
    <tableColumn id="13428" xr3:uid="{00000000-0010-0000-2000-000074340000}" name="Column13401"/>
    <tableColumn id="13429" xr3:uid="{00000000-0010-0000-2000-000075340000}" name="Column13402"/>
    <tableColumn id="13430" xr3:uid="{00000000-0010-0000-2000-000076340000}" name="Column13403"/>
    <tableColumn id="13431" xr3:uid="{00000000-0010-0000-2000-000077340000}" name="Column13404"/>
    <tableColumn id="13432" xr3:uid="{00000000-0010-0000-2000-000078340000}" name="Column13405"/>
    <tableColumn id="13433" xr3:uid="{00000000-0010-0000-2000-000079340000}" name="Column13406"/>
    <tableColumn id="13434" xr3:uid="{00000000-0010-0000-2000-00007A340000}" name="Column13407"/>
    <tableColumn id="13435" xr3:uid="{00000000-0010-0000-2000-00007B340000}" name="Column13408"/>
    <tableColumn id="13436" xr3:uid="{00000000-0010-0000-2000-00007C340000}" name="Column13409"/>
    <tableColumn id="13437" xr3:uid="{00000000-0010-0000-2000-00007D340000}" name="Column13410"/>
    <tableColumn id="13438" xr3:uid="{00000000-0010-0000-2000-00007E340000}" name="Column13411"/>
    <tableColumn id="13439" xr3:uid="{00000000-0010-0000-2000-00007F340000}" name="Column13412"/>
    <tableColumn id="13440" xr3:uid="{00000000-0010-0000-2000-000080340000}" name="Column13413"/>
    <tableColumn id="13441" xr3:uid="{00000000-0010-0000-2000-000081340000}" name="Column13414"/>
    <tableColumn id="13442" xr3:uid="{00000000-0010-0000-2000-000082340000}" name="Column13415"/>
    <tableColumn id="13443" xr3:uid="{00000000-0010-0000-2000-000083340000}" name="Column13416"/>
    <tableColumn id="13444" xr3:uid="{00000000-0010-0000-2000-000084340000}" name="Column13417"/>
    <tableColumn id="13445" xr3:uid="{00000000-0010-0000-2000-000085340000}" name="Column13418"/>
    <tableColumn id="13446" xr3:uid="{00000000-0010-0000-2000-000086340000}" name="Column13419"/>
    <tableColumn id="13447" xr3:uid="{00000000-0010-0000-2000-000087340000}" name="Column13420"/>
    <tableColumn id="13448" xr3:uid="{00000000-0010-0000-2000-000088340000}" name="Column13421"/>
    <tableColumn id="13449" xr3:uid="{00000000-0010-0000-2000-000089340000}" name="Column13422"/>
    <tableColumn id="13450" xr3:uid="{00000000-0010-0000-2000-00008A340000}" name="Column13423"/>
    <tableColumn id="13451" xr3:uid="{00000000-0010-0000-2000-00008B340000}" name="Column13424"/>
    <tableColumn id="13452" xr3:uid="{00000000-0010-0000-2000-00008C340000}" name="Column13425"/>
    <tableColumn id="13453" xr3:uid="{00000000-0010-0000-2000-00008D340000}" name="Column13426"/>
    <tableColumn id="13454" xr3:uid="{00000000-0010-0000-2000-00008E340000}" name="Column13427"/>
    <tableColumn id="13455" xr3:uid="{00000000-0010-0000-2000-00008F340000}" name="Column13428"/>
    <tableColumn id="13456" xr3:uid="{00000000-0010-0000-2000-000090340000}" name="Column13429"/>
    <tableColumn id="13457" xr3:uid="{00000000-0010-0000-2000-000091340000}" name="Column13430"/>
    <tableColumn id="13458" xr3:uid="{00000000-0010-0000-2000-000092340000}" name="Column13431"/>
    <tableColumn id="13459" xr3:uid="{00000000-0010-0000-2000-000093340000}" name="Column13432"/>
    <tableColumn id="13460" xr3:uid="{00000000-0010-0000-2000-000094340000}" name="Column13433"/>
    <tableColumn id="13461" xr3:uid="{00000000-0010-0000-2000-000095340000}" name="Column13434"/>
    <tableColumn id="13462" xr3:uid="{00000000-0010-0000-2000-000096340000}" name="Column13435"/>
    <tableColumn id="13463" xr3:uid="{00000000-0010-0000-2000-000097340000}" name="Column13436"/>
    <tableColumn id="13464" xr3:uid="{00000000-0010-0000-2000-000098340000}" name="Column13437"/>
    <tableColumn id="13465" xr3:uid="{00000000-0010-0000-2000-000099340000}" name="Column13438"/>
    <tableColumn id="13466" xr3:uid="{00000000-0010-0000-2000-00009A340000}" name="Column13439"/>
    <tableColumn id="13467" xr3:uid="{00000000-0010-0000-2000-00009B340000}" name="Column13440"/>
    <tableColumn id="13468" xr3:uid="{00000000-0010-0000-2000-00009C340000}" name="Column13441"/>
    <tableColumn id="13469" xr3:uid="{00000000-0010-0000-2000-00009D340000}" name="Column13442"/>
    <tableColumn id="13470" xr3:uid="{00000000-0010-0000-2000-00009E340000}" name="Column13443"/>
    <tableColumn id="13471" xr3:uid="{00000000-0010-0000-2000-00009F340000}" name="Column13444"/>
    <tableColumn id="13472" xr3:uid="{00000000-0010-0000-2000-0000A0340000}" name="Column13445"/>
    <tableColumn id="13473" xr3:uid="{00000000-0010-0000-2000-0000A1340000}" name="Column13446"/>
    <tableColumn id="13474" xr3:uid="{00000000-0010-0000-2000-0000A2340000}" name="Column13447"/>
    <tableColumn id="13475" xr3:uid="{00000000-0010-0000-2000-0000A3340000}" name="Column13448"/>
    <tableColumn id="13476" xr3:uid="{00000000-0010-0000-2000-0000A4340000}" name="Column13449"/>
    <tableColumn id="13477" xr3:uid="{00000000-0010-0000-2000-0000A5340000}" name="Column13450"/>
    <tableColumn id="13478" xr3:uid="{00000000-0010-0000-2000-0000A6340000}" name="Column13451"/>
    <tableColumn id="13479" xr3:uid="{00000000-0010-0000-2000-0000A7340000}" name="Column13452"/>
    <tableColumn id="13480" xr3:uid="{00000000-0010-0000-2000-0000A8340000}" name="Column13453"/>
    <tableColumn id="13481" xr3:uid="{00000000-0010-0000-2000-0000A9340000}" name="Column13454"/>
    <tableColumn id="13482" xr3:uid="{00000000-0010-0000-2000-0000AA340000}" name="Column13455"/>
    <tableColumn id="13483" xr3:uid="{00000000-0010-0000-2000-0000AB340000}" name="Column13456"/>
    <tableColumn id="13484" xr3:uid="{00000000-0010-0000-2000-0000AC340000}" name="Column13457"/>
    <tableColumn id="13485" xr3:uid="{00000000-0010-0000-2000-0000AD340000}" name="Column13458"/>
    <tableColumn id="13486" xr3:uid="{00000000-0010-0000-2000-0000AE340000}" name="Column13459"/>
    <tableColumn id="13487" xr3:uid="{00000000-0010-0000-2000-0000AF340000}" name="Column13460"/>
    <tableColumn id="13488" xr3:uid="{00000000-0010-0000-2000-0000B0340000}" name="Column13461"/>
    <tableColumn id="13489" xr3:uid="{00000000-0010-0000-2000-0000B1340000}" name="Column13462"/>
    <tableColumn id="13490" xr3:uid="{00000000-0010-0000-2000-0000B2340000}" name="Column13463"/>
    <tableColumn id="13491" xr3:uid="{00000000-0010-0000-2000-0000B3340000}" name="Column13464"/>
    <tableColumn id="13492" xr3:uid="{00000000-0010-0000-2000-0000B4340000}" name="Column13465"/>
    <tableColumn id="13493" xr3:uid="{00000000-0010-0000-2000-0000B5340000}" name="Column13466"/>
    <tableColumn id="13494" xr3:uid="{00000000-0010-0000-2000-0000B6340000}" name="Column13467"/>
    <tableColumn id="13495" xr3:uid="{00000000-0010-0000-2000-0000B7340000}" name="Column13468"/>
    <tableColumn id="13496" xr3:uid="{00000000-0010-0000-2000-0000B8340000}" name="Column13469"/>
    <tableColumn id="13497" xr3:uid="{00000000-0010-0000-2000-0000B9340000}" name="Column13470"/>
    <tableColumn id="13498" xr3:uid="{00000000-0010-0000-2000-0000BA340000}" name="Column13471"/>
    <tableColumn id="13499" xr3:uid="{00000000-0010-0000-2000-0000BB340000}" name="Column13472"/>
    <tableColumn id="13500" xr3:uid="{00000000-0010-0000-2000-0000BC340000}" name="Column13473"/>
    <tableColumn id="13501" xr3:uid="{00000000-0010-0000-2000-0000BD340000}" name="Column13474"/>
    <tableColumn id="13502" xr3:uid="{00000000-0010-0000-2000-0000BE340000}" name="Column13475"/>
    <tableColumn id="13503" xr3:uid="{00000000-0010-0000-2000-0000BF340000}" name="Column13476"/>
    <tableColumn id="13504" xr3:uid="{00000000-0010-0000-2000-0000C0340000}" name="Column13477"/>
    <tableColumn id="13505" xr3:uid="{00000000-0010-0000-2000-0000C1340000}" name="Column13478"/>
    <tableColumn id="13506" xr3:uid="{00000000-0010-0000-2000-0000C2340000}" name="Column13479"/>
    <tableColumn id="13507" xr3:uid="{00000000-0010-0000-2000-0000C3340000}" name="Column13480"/>
    <tableColumn id="13508" xr3:uid="{00000000-0010-0000-2000-0000C4340000}" name="Column13481"/>
    <tableColumn id="13509" xr3:uid="{00000000-0010-0000-2000-0000C5340000}" name="Column13482"/>
    <tableColumn id="13510" xr3:uid="{00000000-0010-0000-2000-0000C6340000}" name="Column13483"/>
    <tableColumn id="13511" xr3:uid="{00000000-0010-0000-2000-0000C7340000}" name="Column13484"/>
    <tableColumn id="13512" xr3:uid="{00000000-0010-0000-2000-0000C8340000}" name="Column13485"/>
    <tableColumn id="13513" xr3:uid="{00000000-0010-0000-2000-0000C9340000}" name="Column13486"/>
    <tableColumn id="13514" xr3:uid="{00000000-0010-0000-2000-0000CA340000}" name="Column13487"/>
    <tableColumn id="13515" xr3:uid="{00000000-0010-0000-2000-0000CB340000}" name="Column13488"/>
    <tableColumn id="13516" xr3:uid="{00000000-0010-0000-2000-0000CC340000}" name="Column13489"/>
    <tableColumn id="13517" xr3:uid="{00000000-0010-0000-2000-0000CD340000}" name="Column13490"/>
    <tableColumn id="13518" xr3:uid="{00000000-0010-0000-2000-0000CE340000}" name="Column13491"/>
    <tableColumn id="13519" xr3:uid="{00000000-0010-0000-2000-0000CF340000}" name="Column13492"/>
    <tableColumn id="13520" xr3:uid="{00000000-0010-0000-2000-0000D0340000}" name="Column13493"/>
    <tableColumn id="13521" xr3:uid="{00000000-0010-0000-2000-0000D1340000}" name="Column13494"/>
    <tableColumn id="13522" xr3:uid="{00000000-0010-0000-2000-0000D2340000}" name="Column13495"/>
    <tableColumn id="13523" xr3:uid="{00000000-0010-0000-2000-0000D3340000}" name="Column13496"/>
    <tableColumn id="13524" xr3:uid="{00000000-0010-0000-2000-0000D4340000}" name="Column13497"/>
    <tableColumn id="13525" xr3:uid="{00000000-0010-0000-2000-0000D5340000}" name="Column13498"/>
    <tableColumn id="13526" xr3:uid="{00000000-0010-0000-2000-0000D6340000}" name="Column13499"/>
    <tableColumn id="13527" xr3:uid="{00000000-0010-0000-2000-0000D7340000}" name="Column13500"/>
    <tableColumn id="13528" xr3:uid="{00000000-0010-0000-2000-0000D8340000}" name="Column13501"/>
    <tableColumn id="13529" xr3:uid="{00000000-0010-0000-2000-0000D9340000}" name="Column13502"/>
    <tableColumn id="13530" xr3:uid="{00000000-0010-0000-2000-0000DA340000}" name="Column13503"/>
    <tableColumn id="13531" xr3:uid="{00000000-0010-0000-2000-0000DB340000}" name="Column13504"/>
    <tableColumn id="13532" xr3:uid="{00000000-0010-0000-2000-0000DC340000}" name="Column13505"/>
    <tableColumn id="13533" xr3:uid="{00000000-0010-0000-2000-0000DD340000}" name="Column13506"/>
    <tableColumn id="13534" xr3:uid="{00000000-0010-0000-2000-0000DE340000}" name="Column13507"/>
    <tableColumn id="13535" xr3:uid="{00000000-0010-0000-2000-0000DF340000}" name="Column13508"/>
    <tableColumn id="13536" xr3:uid="{00000000-0010-0000-2000-0000E0340000}" name="Column13509"/>
    <tableColumn id="13537" xr3:uid="{00000000-0010-0000-2000-0000E1340000}" name="Column13510"/>
    <tableColumn id="13538" xr3:uid="{00000000-0010-0000-2000-0000E2340000}" name="Column13511"/>
    <tableColumn id="13539" xr3:uid="{00000000-0010-0000-2000-0000E3340000}" name="Column13512"/>
    <tableColumn id="13540" xr3:uid="{00000000-0010-0000-2000-0000E4340000}" name="Column13513"/>
    <tableColumn id="13541" xr3:uid="{00000000-0010-0000-2000-0000E5340000}" name="Column13514"/>
    <tableColumn id="13542" xr3:uid="{00000000-0010-0000-2000-0000E6340000}" name="Column13515"/>
    <tableColumn id="13543" xr3:uid="{00000000-0010-0000-2000-0000E7340000}" name="Column13516"/>
    <tableColumn id="13544" xr3:uid="{00000000-0010-0000-2000-0000E8340000}" name="Column13517"/>
    <tableColumn id="13545" xr3:uid="{00000000-0010-0000-2000-0000E9340000}" name="Column13518"/>
    <tableColumn id="13546" xr3:uid="{00000000-0010-0000-2000-0000EA340000}" name="Column13519"/>
    <tableColumn id="13547" xr3:uid="{00000000-0010-0000-2000-0000EB340000}" name="Column13520"/>
    <tableColumn id="13548" xr3:uid="{00000000-0010-0000-2000-0000EC340000}" name="Column13521"/>
    <tableColumn id="13549" xr3:uid="{00000000-0010-0000-2000-0000ED340000}" name="Column13522"/>
    <tableColumn id="13550" xr3:uid="{00000000-0010-0000-2000-0000EE340000}" name="Column13523"/>
    <tableColumn id="13551" xr3:uid="{00000000-0010-0000-2000-0000EF340000}" name="Column13524"/>
    <tableColumn id="13552" xr3:uid="{00000000-0010-0000-2000-0000F0340000}" name="Column13525"/>
    <tableColumn id="13553" xr3:uid="{00000000-0010-0000-2000-0000F1340000}" name="Column13526"/>
    <tableColumn id="13554" xr3:uid="{00000000-0010-0000-2000-0000F2340000}" name="Column13527"/>
    <tableColumn id="13555" xr3:uid="{00000000-0010-0000-2000-0000F3340000}" name="Column13528"/>
    <tableColumn id="13556" xr3:uid="{00000000-0010-0000-2000-0000F4340000}" name="Column13529"/>
    <tableColumn id="13557" xr3:uid="{00000000-0010-0000-2000-0000F5340000}" name="Column13530"/>
    <tableColumn id="13558" xr3:uid="{00000000-0010-0000-2000-0000F6340000}" name="Column13531"/>
    <tableColumn id="13559" xr3:uid="{00000000-0010-0000-2000-0000F7340000}" name="Column13532"/>
    <tableColumn id="13560" xr3:uid="{00000000-0010-0000-2000-0000F8340000}" name="Column13533"/>
    <tableColumn id="13561" xr3:uid="{00000000-0010-0000-2000-0000F9340000}" name="Column13534"/>
    <tableColumn id="13562" xr3:uid="{00000000-0010-0000-2000-0000FA340000}" name="Column13535"/>
    <tableColumn id="13563" xr3:uid="{00000000-0010-0000-2000-0000FB340000}" name="Column13536"/>
    <tableColumn id="13564" xr3:uid="{00000000-0010-0000-2000-0000FC340000}" name="Column13537"/>
    <tableColumn id="13565" xr3:uid="{00000000-0010-0000-2000-0000FD340000}" name="Column13538"/>
    <tableColumn id="13566" xr3:uid="{00000000-0010-0000-2000-0000FE340000}" name="Column13539"/>
    <tableColumn id="13567" xr3:uid="{00000000-0010-0000-2000-0000FF340000}" name="Column13540"/>
    <tableColumn id="13568" xr3:uid="{00000000-0010-0000-2000-000000350000}" name="Column13541"/>
    <tableColumn id="13569" xr3:uid="{00000000-0010-0000-2000-000001350000}" name="Column13542"/>
    <tableColumn id="13570" xr3:uid="{00000000-0010-0000-2000-000002350000}" name="Column13543"/>
    <tableColumn id="13571" xr3:uid="{00000000-0010-0000-2000-000003350000}" name="Column13544"/>
    <tableColumn id="13572" xr3:uid="{00000000-0010-0000-2000-000004350000}" name="Column13545"/>
    <tableColumn id="13573" xr3:uid="{00000000-0010-0000-2000-000005350000}" name="Column13546"/>
    <tableColumn id="13574" xr3:uid="{00000000-0010-0000-2000-000006350000}" name="Column13547"/>
    <tableColumn id="13575" xr3:uid="{00000000-0010-0000-2000-000007350000}" name="Column13548"/>
    <tableColumn id="13576" xr3:uid="{00000000-0010-0000-2000-000008350000}" name="Column13549"/>
    <tableColumn id="13577" xr3:uid="{00000000-0010-0000-2000-000009350000}" name="Column13550"/>
    <tableColumn id="13578" xr3:uid="{00000000-0010-0000-2000-00000A350000}" name="Column13551"/>
    <tableColumn id="13579" xr3:uid="{00000000-0010-0000-2000-00000B350000}" name="Column13552"/>
    <tableColumn id="13580" xr3:uid="{00000000-0010-0000-2000-00000C350000}" name="Column13553"/>
    <tableColumn id="13581" xr3:uid="{00000000-0010-0000-2000-00000D350000}" name="Column13554"/>
    <tableColumn id="13582" xr3:uid="{00000000-0010-0000-2000-00000E350000}" name="Column13555"/>
    <tableColumn id="13583" xr3:uid="{00000000-0010-0000-2000-00000F350000}" name="Column13556"/>
    <tableColumn id="13584" xr3:uid="{00000000-0010-0000-2000-000010350000}" name="Column13557"/>
    <tableColumn id="13585" xr3:uid="{00000000-0010-0000-2000-000011350000}" name="Column13558"/>
    <tableColumn id="13586" xr3:uid="{00000000-0010-0000-2000-000012350000}" name="Column13559"/>
    <tableColumn id="13587" xr3:uid="{00000000-0010-0000-2000-000013350000}" name="Column13560"/>
    <tableColumn id="13588" xr3:uid="{00000000-0010-0000-2000-000014350000}" name="Column13561"/>
    <tableColumn id="13589" xr3:uid="{00000000-0010-0000-2000-000015350000}" name="Column13562"/>
    <tableColumn id="13590" xr3:uid="{00000000-0010-0000-2000-000016350000}" name="Column13563"/>
    <tableColumn id="13591" xr3:uid="{00000000-0010-0000-2000-000017350000}" name="Column13564"/>
    <tableColumn id="13592" xr3:uid="{00000000-0010-0000-2000-000018350000}" name="Column13565"/>
    <tableColumn id="13593" xr3:uid="{00000000-0010-0000-2000-000019350000}" name="Column13566"/>
    <tableColumn id="13594" xr3:uid="{00000000-0010-0000-2000-00001A350000}" name="Column13567"/>
    <tableColumn id="13595" xr3:uid="{00000000-0010-0000-2000-00001B350000}" name="Column13568"/>
    <tableColumn id="13596" xr3:uid="{00000000-0010-0000-2000-00001C350000}" name="Column13569"/>
    <tableColumn id="13597" xr3:uid="{00000000-0010-0000-2000-00001D350000}" name="Column13570"/>
    <tableColumn id="13598" xr3:uid="{00000000-0010-0000-2000-00001E350000}" name="Column13571"/>
    <tableColumn id="13599" xr3:uid="{00000000-0010-0000-2000-00001F350000}" name="Column13572"/>
    <tableColumn id="13600" xr3:uid="{00000000-0010-0000-2000-000020350000}" name="Column13573"/>
    <tableColumn id="13601" xr3:uid="{00000000-0010-0000-2000-000021350000}" name="Column13574"/>
    <tableColumn id="13602" xr3:uid="{00000000-0010-0000-2000-000022350000}" name="Column13575"/>
    <tableColumn id="13603" xr3:uid="{00000000-0010-0000-2000-000023350000}" name="Column13576"/>
    <tableColumn id="13604" xr3:uid="{00000000-0010-0000-2000-000024350000}" name="Column13577"/>
    <tableColumn id="13605" xr3:uid="{00000000-0010-0000-2000-000025350000}" name="Column13578"/>
    <tableColumn id="13606" xr3:uid="{00000000-0010-0000-2000-000026350000}" name="Column13579"/>
    <tableColumn id="13607" xr3:uid="{00000000-0010-0000-2000-000027350000}" name="Column13580"/>
    <tableColumn id="13608" xr3:uid="{00000000-0010-0000-2000-000028350000}" name="Column13581"/>
    <tableColumn id="13609" xr3:uid="{00000000-0010-0000-2000-000029350000}" name="Column13582"/>
    <tableColumn id="13610" xr3:uid="{00000000-0010-0000-2000-00002A350000}" name="Column13583"/>
    <tableColumn id="13611" xr3:uid="{00000000-0010-0000-2000-00002B350000}" name="Column13584"/>
    <tableColumn id="13612" xr3:uid="{00000000-0010-0000-2000-00002C350000}" name="Column13585"/>
    <tableColumn id="13613" xr3:uid="{00000000-0010-0000-2000-00002D350000}" name="Column13586"/>
    <tableColumn id="13614" xr3:uid="{00000000-0010-0000-2000-00002E350000}" name="Column13587"/>
    <tableColumn id="13615" xr3:uid="{00000000-0010-0000-2000-00002F350000}" name="Column13588"/>
    <tableColumn id="13616" xr3:uid="{00000000-0010-0000-2000-000030350000}" name="Column13589"/>
    <tableColumn id="13617" xr3:uid="{00000000-0010-0000-2000-000031350000}" name="Column13590"/>
    <tableColumn id="13618" xr3:uid="{00000000-0010-0000-2000-000032350000}" name="Column13591"/>
    <tableColumn id="13619" xr3:uid="{00000000-0010-0000-2000-000033350000}" name="Column13592"/>
    <tableColumn id="13620" xr3:uid="{00000000-0010-0000-2000-000034350000}" name="Column13593"/>
    <tableColumn id="13621" xr3:uid="{00000000-0010-0000-2000-000035350000}" name="Column13594"/>
    <tableColumn id="13622" xr3:uid="{00000000-0010-0000-2000-000036350000}" name="Column13595"/>
    <tableColumn id="13623" xr3:uid="{00000000-0010-0000-2000-000037350000}" name="Column13596"/>
    <tableColumn id="13624" xr3:uid="{00000000-0010-0000-2000-000038350000}" name="Column13597"/>
    <tableColumn id="13625" xr3:uid="{00000000-0010-0000-2000-000039350000}" name="Column13598"/>
    <tableColumn id="13626" xr3:uid="{00000000-0010-0000-2000-00003A350000}" name="Column13599"/>
    <tableColumn id="13627" xr3:uid="{00000000-0010-0000-2000-00003B350000}" name="Column13600"/>
    <tableColumn id="13628" xr3:uid="{00000000-0010-0000-2000-00003C350000}" name="Column13601"/>
    <tableColumn id="13629" xr3:uid="{00000000-0010-0000-2000-00003D350000}" name="Column13602"/>
    <tableColumn id="13630" xr3:uid="{00000000-0010-0000-2000-00003E350000}" name="Column13603"/>
    <tableColumn id="13631" xr3:uid="{00000000-0010-0000-2000-00003F350000}" name="Column13604"/>
    <tableColumn id="13632" xr3:uid="{00000000-0010-0000-2000-000040350000}" name="Column13605"/>
    <tableColumn id="13633" xr3:uid="{00000000-0010-0000-2000-000041350000}" name="Column13606"/>
    <tableColumn id="13634" xr3:uid="{00000000-0010-0000-2000-000042350000}" name="Column13607"/>
    <tableColumn id="13635" xr3:uid="{00000000-0010-0000-2000-000043350000}" name="Column13608"/>
    <tableColumn id="13636" xr3:uid="{00000000-0010-0000-2000-000044350000}" name="Column13609"/>
    <tableColumn id="13637" xr3:uid="{00000000-0010-0000-2000-000045350000}" name="Column13610"/>
    <tableColumn id="13638" xr3:uid="{00000000-0010-0000-2000-000046350000}" name="Column13611"/>
    <tableColumn id="13639" xr3:uid="{00000000-0010-0000-2000-000047350000}" name="Column13612"/>
    <tableColumn id="13640" xr3:uid="{00000000-0010-0000-2000-000048350000}" name="Column13613"/>
    <tableColumn id="13641" xr3:uid="{00000000-0010-0000-2000-000049350000}" name="Column13614"/>
    <tableColumn id="13642" xr3:uid="{00000000-0010-0000-2000-00004A350000}" name="Column13615"/>
    <tableColumn id="13643" xr3:uid="{00000000-0010-0000-2000-00004B350000}" name="Column13616"/>
    <tableColumn id="13644" xr3:uid="{00000000-0010-0000-2000-00004C350000}" name="Column13617"/>
    <tableColumn id="13645" xr3:uid="{00000000-0010-0000-2000-00004D350000}" name="Column13618"/>
    <tableColumn id="13646" xr3:uid="{00000000-0010-0000-2000-00004E350000}" name="Column13619"/>
    <tableColumn id="13647" xr3:uid="{00000000-0010-0000-2000-00004F350000}" name="Column13620"/>
    <tableColumn id="13648" xr3:uid="{00000000-0010-0000-2000-000050350000}" name="Column13621"/>
    <tableColumn id="13649" xr3:uid="{00000000-0010-0000-2000-000051350000}" name="Column13622"/>
    <tableColumn id="13650" xr3:uid="{00000000-0010-0000-2000-000052350000}" name="Column13623"/>
    <tableColumn id="13651" xr3:uid="{00000000-0010-0000-2000-000053350000}" name="Column13624"/>
    <tableColumn id="13652" xr3:uid="{00000000-0010-0000-2000-000054350000}" name="Column13625"/>
    <tableColumn id="13653" xr3:uid="{00000000-0010-0000-2000-000055350000}" name="Column13626"/>
    <tableColumn id="13654" xr3:uid="{00000000-0010-0000-2000-000056350000}" name="Column13627"/>
    <tableColumn id="13655" xr3:uid="{00000000-0010-0000-2000-000057350000}" name="Column13628"/>
    <tableColumn id="13656" xr3:uid="{00000000-0010-0000-2000-000058350000}" name="Column13629"/>
    <tableColumn id="13657" xr3:uid="{00000000-0010-0000-2000-000059350000}" name="Column13630"/>
    <tableColumn id="13658" xr3:uid="{00000000-0010-0000-2000-00005A350000}" name="Column13631"/>
    <tableColumn id="13659" xr3:uid="{00000000-0010-0000-2000-00005B350000}" name="Column13632"/>
    <tableColumn id="13660" xr3:uid="{00000000-0010-0000-2000-00005C350000}" name="Column13633"/>
    <tableColumn id="13661" xr3:uid="{00000000-0010-0000-2000-00005D350000}" name="Column13634"/>
    <tableColumn id="13662" xr3:uid="{00000000-0010-0000-2000-00005E350000}" name="Column13635"/>
    <tableColumn id="13663" xr3:uid="{00000000-0010-0000-2000-00005F350000}" name="Column13636"/>
    <tableColumn id="13664" xr3:uid="{00000000-0010-0000-2000-000060350000}" name="Column13637"/>
    <tableColumn id="13665" xr3:uid="{00000000-0010-0000-2000-000061350000}" name="Column13638"/>
    <tableColumn id="13666" xr3:uid="{00000000-0010-0000-2000-000062350000}" name="Column13639"/>
    <tableColumn id="13667" xr3:uid="{00000000-0010-0000-2000-000063350000}" name="Column13640"/>
    <tableColumn id="13668" xr3:uid="{00000000-0010-0000-2000-000064350000}" name="Column13641"/>
    <tableColumn id="13669" xr3:uid="{00000000-0010-0000-2000-000065350000}" name="Column13642"/>
    <tableColumn id="13670" xr3:uid="{00000000-0010-0000-2000-000066350000}" name="Column13643"/>
    <tableColumn id="13671" xr3:uid="{00000000-0010-0000-2000-000067350000}" name="Column13644"/>
    <tableColumn id="13672" xr3:uid="{00000000-0010-0000-2000-000068350000}" name="Column13645"/>
    <tableColumn id="13673" xr3:uid="{00000000-0010-0000-2000-000069350000}" name="Column13646"/>
    <tableColumn id="13674" xr3:uid="{00000000-0010-0000-2000-00006A350000}" name="Column13647"/>
    <tableColumn id="13675" xr3:uid="{00000000-0010-0000-2000-00006B350000}" name="Column13648"/>
    <tableColumn id="13676" xr3:uid="{00000000-0010-0000-2000-00006C350000}" name="Column13649"/>
    <tableColumn id="13677" xr3:uid="{00000000-0010-0000-2000-00006D350000}" name="Column13650"/>
    <tableColumn id="13678" xr3:uid="{00000000-0010-0000-2000-00006E350000}" name="Column13651"/>
    <tableColumn id="13679" xr3:uid="{00000000-0010-0000-2000-00006F350000}" name="Column13652"/>
    <tableColumn id="13680" xr3:uid="{00000000-0010-0000-2000-000070350000}" name="Column13653"/>
    <tableColumn id="13681" xr3:uid="{00000000-0010-0000-2000-000071350000}" name="Column13654"/>
    <tableColumn id="13682" xr3:uid="{00000000-0010-0000-2000-000072350000}" name="Column13655"/>
    <tableColumn id="13683" xr3:uid="{00000000-0010-0000-2000-000073350000}" name="Column13656"/>
    <tableColumn id="13684" xr3:uid="{00000000-0010-0000-2000-000074350000}" name="Column13657"/>
    <tableColumn id="13685" xr3:uid="{00000000-0010-0000-2000-000075350000}" name="Column13658"/>
    <tableColumn id="13686" xr3:uid="{00000000-0010-0000-2000-000076350000}" name="Column13659"/>
    <tableColumn id="13687" xr3:uid="{00000000-0010-0000-2000-000077350000}" name="Column13660"/>
    <tableColumn id="13688" xr3:uid="{00000000-0010-0000-2000-000078350000}" name="Column13661"/>
    <tableColumn id="13689" xr3:uid="{00000000-0010-0000-2000-000079350000}" name="Column13662"/>
    <tableColumn id="13690" xr3:uid="{00000000-0010-0000-2000-00007A350000}" name="Column13663"/>
    <tableColumn id="13691" xr3:uid="{00000000-0010-0000-2000-00007B350000}" name="Column13664"/>
    <tableColumn id="13692" xr3:uid="{00000000-0010-0000-2000-00007C350000}" name="Column13665"/>
    <tableColumn id="13693" xr3:uid="{00000000-0010-0000-2000-00007D350000}" name="Column13666"/>
    <tableColumn id="13694" xr3:uid="{00000000-0010-0000-2000-00007E350000}" name="Column13667"/>
    <tableColumn id="13695" xr3:uid="{00000000-0010-0000-2000-00007F350000}" name="Column13668"/>
    <tableColumn id="13696" xr3:uid="{00000000-0010-0000-2000-000080350000}" name="Column13669"/>
    <tableColumn id="13697" xr3:uid="{00000000-0010-0000-2000-000081350000}" name="Column13670"/>
    <tableColumn id="13698" xr3:uid="{00000000-0010-0000-2000-000082350000}" name="Column13671"/>
    <tableColumn id="13699" xr3:uid="{00000000-0010-0000-2000-000083350000}" name="Column13672"/>
    <tableColumn id="13700" xr3:uid="{00000000-0010-0000-2000-000084350000}" name="Column13673"/>
    <tableColumn id="13701" xr3:uid="{00000000-0010-0000-2000-000085350000}" name="Column13674"/>
    <tableColumn id="13702" xr3:uid="{00000000-0010-0000-2000-000086350000}" name="Column13675"/>
    <tableColumn id="13703" xr3:uid="{00000000-0010-0000-2000-000087350000}" name="Column13676"/>
    <tableColumn id="13704" xr3:uid="{00000000-0010-0000-2000-000088350000}" name="Column13677"/>
    <tableColumn id="13705" xr3:uid="{00000000-0010-0000-2000-000089350000}" name="Column13678"/>
    <tableColumn id="13706" xr3:uid="{00000000-0010-0000-2000-00008A350000}" name="Column13679"/>
    <tableColumn id="13707" xr3:uid="{00000000-0010-0000-2000-00008B350000}" name="Column13680"/>
    <tableColumn id="13708" xr3:uid="{00000000-0010-0000-2000-00008C350000}" name="Column13681"/>
    <tableColumn id="13709" xr3:uid="{00000000-0010-0000-2000-00008D350000}" name="Column13682"/>
    <tableColumn id="13710" xr3:uid="{00000000-0010-0000-2000-00008E350000}" name="Column13683"/>
    <tableColumn id="13711" xr3:uid="{00000000-0010-0000-2000-00008F350000}" name="Column13684"/>
    <tableColumn id="13712" xr3:uid="{00000000-0010-0000-2000-000090350000}" name="Column13685"/>
    <tableColumn id="13713" xr3:uid="{00000000-0010-0000-2000-000091350000}" name="Column13686"/>
    <tableColumn id="13714" xr3:uid="{00000000-0010-0000-2000-000092350000}" name="Column13687"/>
    <tableColumn id="13715" xr3:uid="{00000000-0010-0000-2000-000093350000}" name="Column13688"/>
    <tableColumn id="13716" xr3:uid="{00000000-0010-0000-2000-000094350000}" name="Column13689"/>
    <tableColumn id="13717" xr3:uid="{00000000-0010-0000-2000-000095350000}" name="Column13690"/>
    <tableColumn id="13718" xr3:uid="{00000000-0010-0000-2000-000096350000}" name="Column13691"/>
    <tableColumn id="13719" xr3:uid="{00000000-0010-0000-2000-000097350000}" name="Column13692"/>
    <tableColumn id="13720" xr3:uid="{00000000-0010-0000-2000-000098350000}" name="Column13693"/>
    <tableColumn id="13721" xr3:uid="{00000000-0010-0000-2000-000099350000}" name="Column13694"/>
    <tableColumn id="13722" xr3:uid="{00000000-0010-0000-2000-00009A350000}" name="Column13695"/>
    <tableColumn id="13723" xr3:uid="{00000000-0010-0000-2000-00009B350000}" name="Column13696"/>
    <tableColumn id="13724" xr3:uid="{00000000-0010-0000-2000-00009C350000}" name="Column13697"/>
    <tableColumn id="13725" xr3:uid="{00000000-0010-0000-2000-00009D350000}" name="Column13698"/>
    <tableColumn id="13726" xr3:uid="{00000000-0010-0000-2000-00009E350000}" name="Column13699"/>
    <tableColumn id="13727" xr3:uid="{00000000-0010-0000-2000-00009F350000}" name="Column13700"/>
    <tableColumn id="13728" xr3:uid="{00000000-0010-0000-2000-0000A0350000}" name="Column13701"/>
    <tableColumn id="13729" xr3:uid="{00000000-0010-0000-2000-0000A1350000}" name="Column13702"/>
    <tableColumn id="13730" xr3:uid="{00000000-0010-0000-2000-0000A2350000}" name="Column13703"/>
    <tableColumn id="13731" xr3:uid="{00000000-0010-0000-2000-0000A3350000}" name="Column13704"/>
    <tableColumn id="13732" xr3:uid="{00000000-0010-0000-2000-0000A4350000}" name="Column13705"/>
    <tableColumn id="13733" xr3:uid="{00000000-0010-0000-2000-0000A5350000}" name="Column13706"/>
    <tableColumn id="13734" xr3:uid="{00000000-0010-0000-2000-0000A6350000}" name="Column13707"/>
    <tableColumn id="13735" xr3:uid="{00000000-0010-0000-2000-0000A7350000}" name="Column13708"/>
    <tableColumn id="13736" xr3:uid="{00000000-0010-0000-2000-0000A8350000}" name="Column13709"/>
    <tableColumn id="13737" xr3:uid="{00000000-0010-0000-2000-0000A9350000}" name="Column13710"/>
    <tableColumn id="13738" xr3:uid="{00000000-0010-0000-2000-0000AA350000}" name="Column13711"/>
    <tableColumn id="13739" xr3:uid="{00000000-0010-0000-2000-0000AB350000}" name="Column13712"/>
    <tableColumn id="13740" xr3:uid="{00000000-0010-0000-2000-0000AC350000}" name="Column13713"/>
    <tableColumn id="13741" xr3:uid="{00000000-0010-0000-2000-0000AD350000}" name="Column13714"/>
    <tableColumn id="13742" xr3:uid="{00000000-0010-0000-2000-0000AE350000}" name="Column13715"/>
    <tableColumn id="13743" xr3:uid="{00000000-0010-0000-2000-0000AF350000}" name="Column13716"/>
    <tableColumn id="13744" xr3:uid="{00000000-0010-0000-2000-0000B0350000}" name="Column13717"/>
    <tableColumn id="13745" xr3:uid="{00000000-0010-0000-2000-0000B1350000}" name="Column13718"/>
    <tableColumn id="13746" xr3:uid="{00000000-0010-0000-2000-0000B2350000}" name="Column13719"/>
    <tableColumn id="13747" xr3:uid="{00000000-0010-0000-2000-0000B3350000}" name="Column13720"/>
    <tableColumn id="13748" xr3:uid="{00000000-0010-0000-2000-0000B4350000}" name="Column13721"/>
    <tableColumn id="13749" xr3:uid="{00000000-0010-0000-2000-0000B5350000}" name="Column13722"/>
    <tableColumn id="13750" xr3:uid="{00000000-0010-0000-2000-0000B6350000}" name="Column13723"/>
    <tableColumn id="13751" xr3:uid="{00000000-0010-0000-2000-0000B7350000}" name="Column13724"/>
    <tableColumn id="13752" xr3:uid="{00000000-0010-0000-2000-0000B8350000}" name="Column13725"/>
    <tableColumn id="13753" xr3:uid="{00000000-0010-0000-2000-0000B9350000}" name="Column13726"/>
    <tableColumn id="13754" xr3:uid="{00000000-0010-0000-2000-0000BA350000}" name="Column13727"/>
    <tableColumn id="13755" xr3:uid="{00000000-0010-0000-2000-0000BB350000}" name="Column13728"/>
    <tableColumn id="13756" xr3:uid="{00000000-0010-0000-2000-0000BC350000}" name="Column13729"/>
    <tableColumn id="13757" xr3:uid="{00000000-0010-0000-2000-0000BD350000}" name="Column13730"/>
    <tableColumn id="13758" xr3:uid="{00000000-0010-0000-2000-0000BE350000}" name="Column13731"/>
    <tableColumn id="13759" xr3:uid="{00000000-0010-0000-2000-0000BF350000}" name="Column13732"/>
    <tableColumn id="13760" xr3:uid="{00000000-0010-0000-2000-0000C0350000}" name="Column13733"/>
    <tableColumn id="13761" xr3:uid="{00000000-0010-0000-2000-0000C1350000}" name="Column13734"/>
    <tableColumn id="13762" xr3:uid="{00000000-0010-0000-2000-0000C2350000}" name="Column13735"/>
    <tableColumn id="13763" xr3:uid="{00000000-0010-0000-2000-0000C3350000}" name="Column13736"/>
    <tableColumn id="13764" xr3:uid="{00000000-0010-0000-2000-0000C4350000}" name="Column13737"/>
    <tableColumn id="13765" xr3:uid="{00000000-0010-0000-2000-0000C5350000}" name="Column13738"/>
    <tableColumn id="13766" xr3:uid="{00000000-0010-0000-2000-0000C6350000}" name="Column13739"/>
    <tableColumn id="13767" xr3:uid="{00000000-0010-0000-2000-0000C7350000}" name="Column13740"/>
    <tableColumn id="13768" xr3:uid="{00000000-0010-0000-2000-0000C8350000}" name="Column13741"/>
    <tableColumn id="13769" xr3:uid="{00000000-0010-0000-2000-0000C9350000}" name="Column13742"/>
    <tableColumn id="13770" xr3:uid="{00000000-0010-0000-2000-0000CA350000}" name="Column13743"/>
    <tableColumn id="13771" xr3:uid="{00000000-0010-0000-2000-0000CB350000}" name="Column13744"/>
    <tableColumn id="13772" xr3:uid="{00000000-0010-0000-2000-0000CC350000}" name="Column13745"/>
    <tableColumn id="13773" xr3:uid="{00000000-0010-0000-2000-0000CD350000}" name="Column13746"/>
    <tableColumn id="13774" xr3:uid="{00000000-0010-0000-2000-0000CE350000}" name="Column13747"/>
    <tableColumn id="13775" xr3:uid="{00000000-0010-0000-2000-0000CF350000}" name="Column13748"/>
    <tableColumn id="13776" xr3:uid="{00000000-0010-0000-2000-0000D0350000}" name="Column13749"/>
    <tableColumn id="13777" xr3:uid="{00000000-0010-0000-2000-0000D1350000}" name="Column13750"/>
    <tableColumn id="13778" xr3:uid="{00000000-0010-0000-2000-0000D2350000}" name="Column13751"/>
    <tableColumn id="13779" xr3:uid="{00000000-0010-0000-2000-0000D3350000}" name="Column13752"/>
    <tableColumn id="13780" xr3:uid="{00000000-0010-0000-2000-0000D4350000}" name="Column13753"/>
    <tableColumn id="13781" xr3:uid="{00000000-0010-0000-2000-0000D5350000}" name="Column13754"/>
    <tableColumn id="13782" xr3:uid="{00000000-0010-0000-2000-0000D6350000}" name="Column13755"/>
    <tableColumn id="13783" xr3:uid="{00000000-0010-0000-2000-0000D7350000}" name="Column13756"/>
    <tableColumn id="13784" xr3:uid="{00000000-0010-0000-2000-0000D8350000}" name="Column13757"/>
    <tableColumn id="13785" xr3:uid="{00000000-0010-0000-2000-0000D9350000}" name="Column13758"/>
    <tableColumn id="13786" xr3:uid="{00000000-0010-0000-2000-0000DA350000}" name="Column13759"/>
    <tableColumn id="13787" xr3:uid="{00000000-0010-0000-2000-0000DB350000}" name="Column13760"/>
    <tableColumn id="13788" xr3:uid="{00000000-0010-0000-2000-0000DC350000}" name="Column13761"/>
    <tableColumn id="13789" xr3:uid="{00000000-0010-0000-2000-0000DD350000}" name="Column13762"/>
    <tableColumn id="13790" xr3:uid="{00000000-0010-0000-2000-0000DE350000}" name="Column13763"/>
    <tableColumn id="13791" xr3:uid="{00000000-0010-0000-2000-0000DF350000}" name="Column13764"/>
    <tableColumn id="13792" xr3:uid="{00000000-0010-0000-2000-0000E0350000}" name="Column13765"/>
    <tableColumn id="13793" xr3:uid="{00000000-0010-0000-2000-0000E1350000}" name="Column13766"/>
    <tableColumn id="13794" xr3:uid="{00000000-0010-0000-2000-0000E2350000}" name="Column13767"/>
    <tableColumn id="13795" xr3:uid="{00000000-0010-0000-2000-0000E3350000}" name="Column13768"/>
    <tableColumn id="13796" xr3:uid="{00000000-0010-0000-2000-0000E4350000}" name="Column13769"/>
    <tableColumn id="13797" xr3:uid="{00000000-0010-0000-2000-0000E5350000}" name="Column13770"/>
    <tableColumn id="13798" xr3:uid="{00000000-0010-0000-2000-0000E6350000}" name="Column13771"/>
    <tableColumn id="13799" xr3:uid="{00000000-0010-0000-2000-0000E7350000}" name="Column13772"/>
    <tableColumn id="13800" xr3:uid="{00000000-0010-0000-2000-0000E8350000}" name="Column13773"/>
    <tableColumn id="13801" xr3:uid="{00000000-0010-0000-2000-0000E9350000}" name="Column13774"/>
    <tableColumn id="13802" xr3:uid="{00000000-0010-0000-2000-0000EA350000}" name="Column13775"/>
    <tableColumn id="13803" xr3:uid="{00000000-0010-0000-2000-0000EB350000}" name="Column13776"/>
    <tableColumn id="13804" xr3:uid="{00000000-0010-0000-2000-0000EC350000}" name="Column13777"/>
    <tableColumn id="13805" xr3:uid="{00000000-0010-0000-2000-0000ED350000}" name="Column13778"/>
    <tableColumn id="13806" xr3:uid="{00000000-0010-0000-2000-0000EE350000}" name="Column13779"/>
    <tableColumn id="13807" xr3:uid="{00000000-0010-0000-2000-0000EF350000}" name="Column13780"/>
    <tableColumn id="13808" xr3:uid="{00000000-0010-0000-2000-0000F0350000}" name="Column13781"/>
    <tableColumn id="13809" xr3:uid="{00000000-0010-0000-2000-0000F1350000}" name="Column13782"/>
    <tableColumn id="13810" xr3:uid="{00000000-0010-0000-2000-0000F2350000}" name="Column13783"/>
    <tableColumn id="13811" xr3:uid="{00000000-0010-0000-2000-0000F3350000}" name="Column13784"/>
    <tableColumn id="13812" xr3:uid="{00000000-0010-0000-2000-0000F4350000}" name="Column13785"/>
    <tableColumn id="13813" xr3:uid="{00000000-0010-0000-2000-0000F5350000}" name="Column13786"/>
    <tableColumn id="13814" xr3:uid="{00000000-0010-0000-2000-0000F6350000}" name="Column13787"/>
    <tableColumn id="13815" xr3:uid="{00000000-0010-0000-2000-0000F7350000}" name="Column13788"/>
    <tableColumn id="13816" xr3:uid="{00000000-0010-0000-2000-0000F8350000}" name="Column13789"/>
    <tableColumn id="13817" xr3:uid="{00000000-0010-0000-2000-0000F9350000}" name="Column13790"/>
    <tableColumn id="13818" xr3:uid="{00000000-0010-0000-2000-0000FA350000}" name="Column13791"/>
    <tableColumn id="13819" xr3:uid="{00000000-0010-0000-2000-0000FB350000}" name="Column13792"/>
    <tableColumn id="13820" xr3:uid="{00000000-0010-0000-2000-0000FC350000}" name="Column13793"/>
    <tableColumn id="13821" xr3:uid="{00000000-0010-0000-2000-0000FD350000}" name="Column13794"/>
    <tableColumn id="13822" xr3:uid="{00000000-0010-0000-2000-0000FE350000}" name="Column13795"/>
    <tableColumn id="13823" xr3:uid="{00000000-0010-0000-2000-0000FF350000}" name="Column13796"/>
    <tableColumn id="13824" xr3:uid="{00000000-0010-0000-2000-000000360000}" name="Column13797"/>
    <tableColumn id="13825" xr3:uid="{00000000-0010-0000-2000-000001360000}" name="Column13798"/>
    <tableColumn id="13826" xr3:uid="{00000000-0010-0000-2000-000002360000}" name="Column13799"/>
    <tableColumn id="13827" xr3:uid="{00000000-0010-0000-2000-000003360000}" name="Column13800"/>
    <tableColumn id="13828" xr3:uid="{00000000-0010-0000-2000-000004360000}" name="Column13801"/>
    <tableColumn id="13829" xr3:uid="{00000000-0010-0000-2000-000005360000}" name="Column13802"/>
    <tableColumn id="13830" xr3:uid="{00000000-0010-0000-2000-000006360000}" name="Column13803"/>
    <tableColumn id="13831" xr3:uid="{00000000-0010-0000-2000-000007360000}" name="Column13804"/>
    <tableColumn id="13832" xr3:uid="{00000000-0010-0000-2000-000008360000}" name="Column13805"/>
    <tableColumn id="13833" xr3:uid="{00000000-0010-0000-2000-000009360000}" name="Column13806"/>
    <tableColumn id="13834" xr3:uid="{00000000-0010-0000-2000-00000A360000}" name="Column13807"/>
    <tableColumn id="13835" xr3:uid="{00000000-0010-0000-2000-00000B360000}" name="Column13808"/>
    <tableColumn id="13836" xr3:uid="{00000000-0010-0000-2000-00000C360000}" name="Column13809"/>
    <tableColumn id="13837" xr3:uid="{00000000-0010-0000-2000-00000D360000}" name="Column13810"/>
    <tableColumn id="13838" xr3:uid="{00000000-0010-0000-2000-00000E360000}" name="Column13811"/>
    <tableColumn id="13839" xr3:uid="{00000000-0010-0000-2000-00000F360000}" name="Column13812"/>
    <tableColumn id="13840" xr3:uid="{00000000-0010-0000-2000-000010360000}" name="Column13813"/>
    <tableColumn id="13841" xr3:uid="{00000000-0010-0000-2000-000011360000}" name="Column13814"/>
    <tableColumn id="13842" xr3:uid="{00000000-0010-0000-2000-000012360000}" name="Column13815"/>
    <tableColumn id="13843" xr3:uid="{00000000-0010-0000-2000-000013360000}" name="Column13816"/>
    <tableColumn id="13844" xr3:uid="{00000000-0010-0000-2000-000014360000}" name="Column13817"/>
    <tableColumn id="13845" xr3:uid="{00000000-0010-0000-2000-000015360000}" name="Column13818"/>
    <tableColumn id="13846" xr3:uid="{00000000-0010-0000-2000-000016360000}" name="Column13819"/>
    <tableColumn id="13847" xr3:uid="{00000000-0010-0000-2000-000017360000}" name="Column13820"/>
    <tableColumn id="13848" xr3:uid="{00000000-0010-0000-2000-000018360000}" name="Column13821"/>
    <tableColumn id="13849" xr3:uid="{00000000-0010-0000-2000-000019360000}" name="Column13822"/>
    <tableColumn id="13850" xr3:uid="{00000000-0010-0000-2000-00001A360000}" name="Column13823"/>
    <tableColumn id="13851" xr3:uid="{00000000-0010-0000-2000-00001B360000}" name="Column13824"/>
    <tableColumn id="13852" xr3:uid="{00000000-0010-0000-2000-00001C360000}" name="Column13825"/>
    <tableColumn id="13853" xr3:uid="{00000000-0010-0000-2000-00001D360000}" name="Column13826"/>
    <tableColumn id="13854" xr3:uid="{00000000-0010-0000-2000-00001E360000}" name="Column13827"/>
    <tableColumn id="13855" xr3:uid="{00000000-0010-0000-2000-00001F360000}" name="Column13828"/>
    <tableColumn id="13856" xr3:uid="{00000000-0010-0000-2000-000020360000}" name="Column13829"/>
    <tableColumn id="13857" xr3:uid="{00000000-0010-0000-2000-000021360000}" name="Column13830"/>
    <tableColumn id="13858" xr3:uid="{00000000-0010-0000-2000-000022360000}" name="Column13831"/>
    <tableColumn id="13859" xr3:uid="{00000000-0010-0000-2000-000023360000}" name="Column13832"/>
    <tableColumn id="13860" xr3:uid="{00000000-0010-0000-2000-000024360000}" name="Column13833"/>
    <tableColumn id="13861" xr3:uid="{00000000-0010-0000-2000-000025360000}" name="Column13834"/>
    <tableColumn id="13862" xr3:uid="{00000000-0010-0000-2000-000026360000}" name="Column13835"/>
    <tableColumn id="13863" xr3:uid="{00000000-0010-0000-2000-000027360000}" name="Column13836"/>
    <tableColumn id="13864" xr3:uid="{00000000-0010-0000-2000-000028360000}" name="Column13837"/>
    <tableColumn id="13865" xr3:uid="{00000000-0010-0000-2000-000029360000}" name="Column13838"/>
    <tableColumn id="13866" xr3:uid="{00000000-0010-0000-2000-00002A360000}" name="Column13839"/>
    <tableColumn id="13867" xr3:uid="{00000000-0010-0000-2000-00002B360000}" name="Column13840"/>
    <tableColumn id="13868" xr3:uid="{00000000-0010-0000-2000-00002C360000}" name="Column13841"/>
    <tableColumn id="13869" xr3:uid="{00000000-0010-0000-2000-00002D360000}" name="Column13842"/>
    <tableColumn id="13870" xr3:uid="{00000000-0010-0000-2000-00002E360000}" name="Column13843"/>
    <tableColumn id="13871" xr3:uid="{00000000-0010-0000-2000-00002F360000}" name="Column13844"/>
    <tableColumn id="13872" xr3:uid="{00000000-0010-0000-2000-000030360000}" name="Column13845"/>
    <tableColumn id="13873" xr3:uid="{00000000-0010-0000-2000-000031360000}" name="Column13846"/>
    <tableColumn id="13874" xr3:uid="{00000000-0010-0000-2000-000032360000}" name="Column13847"/>
    <tableColumn id="13875" xr3:uid="{00000000-0010-0000-2000-000033360000}" name="Column13848"/>
    <tableColumn id="13876" xr3:uid="{00000000-0010-0000-2000-000034360000}" name="Column13849"/>
    <tableColumn id="13877" xr3:uid="{00000000-0010-0000-2000-000035360000}" name="Column13850"/>
    <tableColumn id="13878" xr3:uid="{00000000-0010-0000-2000-000036360000}" name="Column13851"/>
    <tableColumn id="13879" xr3:uid="{00000000-0010-0000-2000-000037360000}" name="Column13852"/>
    <tableColumn id="13880" xr3:uid="{00000000-0010-0000-2000-000038360000}" name="Column13853"/>
    <tableColumn id="13881" xr3:uid="{00000000-0010-0000-2000-000039360000}" name="Column13854"/>
    <tableColumn id="13882" xr3:uid="{00000000-0010-0000-2000-00003A360000}" name="Column13855"/>
    <tableColumn id="13883" xr3:uid="{00000000-0010-0000-2000-00003B360000}" name="Column13856"/>
    <tableColumn id="13884" xr3:uid="{00000000-0010-0000-2000-00003C360000}" name="Column13857"/>
    <tableColumn id="13885" xr3:uid="{00000000-0010-0000-2000-00003D360000}" name="Column13858"/>
    <tableColumn id="13886" xr3:uid="{00000000-0010-0000-2000-00003E360000}" name="Column13859"/>
    <tableColumn id="13887" xr3:uid="{00000000-0010-0000-2000-00003F360000}" name="Column13860"/>
    <tableColumn id="13888" xr3:uid="{00000000-0010-0000-2000-000040360000}" name="Column13861"/>
    <tableColumn id="13889" xr3:uid="{00000000-0010-0000-2000-000041360000}" name="Column13862"/>
    <tableColumn id="13890" xr3:uid="{00000000-0010-0000-2000-000042360000}" name="Column13863"/>
    <tableColumn id="13891" xr3:uid="{00000000-0010-0000-2000-000043360000}" name="Column13864"/>
    <tableColumn id="13892" xr3:uid="{00000000-0010-0000-2000-000044360000}" name="Column13865"/>
    <tableColumn id="13893" xr3:uid="{00000000-0010-0000-2000-000045360000}" name="Column13866"/>
    <tableColumn id="13894" xr3:uid="{00000000-0010-0000-2000-000046360000}" name="Column13867"/>
    <tableColumn id="13895" xr3:uid="{00000000-0010-0000-2000-000047360000}" name="Column13868"/>
    <tableColumn id="13896" xr3:uid="{00000000-0010-0000-2000-000048360000}" name="Column13869"/>
    <tableColumn id="13897" xr3:uid="{00000000-0010-0000-2000-000049360000}" name="Column13870"/>
    <tableColumn id="13898" xr3:uid="{00000000-0010-0000-2000-00004A360000}" name="Column13871"/>
    <tableColumn id="13899" xr3:uid="{00000000-0010-0000-2000-00004B360000}" name="Column13872"/>
    <tableColumn id="13900" xr3:uid="{00000000-0010-0000-2000-00004C360000}" name="Column13873"/>
    <tableColumn id="13901" xr3:uid="{00000000-0010-0000-2000-00004D360000}" name="Column13874"/>
    <tableColumn id="13902" xr3:uid="{00000000-0010-0000-2000-00004E360000}" name="Column13875"/>
    <tableColumn id="13903" xr3:uid="{00000000-0010-0000-2000-00004F360000}" name="Column13876"/>
    <tableColumn id="13904" xr3:uid="{00000000-0010-0000-2000-000050360000}" name="Column13877"/>
    <tableColumn id="13905" xr3:uid="{00000000-0010-0000-2000-000051360000}" name="Column13878"/>
    <tableColumn id="13906" xr3:uid="{00000000-0010-0000-2000-000052360000}" name="Column13879"/>
    <tableColumn id="13907" xr3:uid="{00000000-0010-0000-2000-000053360000}" name="Column13880"/>
    <tableColumn id="13908" xr3:uid="{00000000-0010-0000-2000-000054360000}" name="Column13881"/>
    <tableColumn id="13909" xr3:uid="{00000000-0010-0000-2000-000055360000}" name="Column13882"/>
    <tableColumn id="13910" xr3:uid="{00000000-0010-0000-2000-000056360000}" name="Column13883"/>
    <tableColumn id="13911" xr3:uid="{00000000-0010-0000-2000-000057360000}" name="Column13884"/>
    <tableColumn id="13912" xr3:uid="{00000000-0010-0000-2000-000058360000}" name="Column13885"/>
    <tableColumn id="13913" xr3:uid="{00000000-0010-0000-2000-000059360000}" name="Column13886"/>
    <tableColumn id="13914" xr3:uid="{00000000-0010-0000-2000-00005A360000}" name="Column13887"/>
    <tableColumn id="13915" xr3:uid="{00000000-0010-0000-2000-00005B360000}" name="Column13888"/>
    <tableColumn id="13916" xr3:uid="{00000000-0010-0000-2000-00005C360000}" name="Column13889"/>
    <tableColumn id="13917" xr3:uid="{00000000-0010-0000-2000-00005D360000}" name="Column13890"/>
    <tableColumn id="13918" xr3:uid="{00000000-0010-0000-2000-00005E360000}" name="Column13891"/>
    <tableColumn id="13919" xr3:uid="{00000000-0010-0000-2000-00005F360000}" name="Column13892"/>
    <tableColumn id="13920" xr3:uid="{00000000-0010-0000-2000-000060360000}" name="Column13893"/>
    <tableColumn id="13921" xr3:uid="{00000000-0010-0000-2000-000061360000}" name="Column13894"/>
    <tableColumn id="13922" xr3:uid="{00000000-0010-0000-2000-000062360000}" name="Column13895"/>
    <tableColumn id="13923" xr3:uid="{00000000-0010-0000-2000-000063360000}" name="Column13896"/>
    <tableColumn id="13924" xr3:uid="{00000000-0010-0000-2000-000064360000}" name="Column13897"/>
    <tableColumn id="13925" xr3:uid="{00000000-0010-0000-2000-000065360000}" name="Column13898"/>
    <tableColumn id="13926" xr3:uid="{00000000-0010-0000-2000-000066360000}" name="Column13899"/>
    <tableColumn id="13927" xr3:uid="{00000000-0010-0000-2000-000067360000}" name="Column13900"/>
    <tableColumn id="13928" xr3:uid="{00000000-0010-0000-2000-000068360000}" name="Column13901"/>
    <tableColumn id="13929" xr3:uid="{00000000-0010-0000-2000-000069360000}" name="Column13902"/>
    <tableColumn id="13930" xr3:uid="{00000000-0010-0000-2000-00006A360000}" name="Column13903"/>
    <tableColumn id="13931" xr3:uid="{00000000-0010-0000-2000-00006B360000}" name="Column13904"/>
    <tableColumn id="13932" xr3:uid="{00000000-0010-0000-2000-00006C360000}" name="Column13905"/>
    <tableColumn id="13933" xr3:uid="{00000000-0010-0000-2000-00006D360000}" name="Column13906"/>
    <tableColumn id="13934" xr3:uid="{00000000-0010-0000-2000-00006E360000}" name="Column13907"/>
    <tableColumn id="13935" xr3:uid="{00000000-0010-0000-2000-00006F360000}" name="Column13908"/>
    <tableColumn id="13936" xr3:uid="{00000000-0010-0000-2000-000070360000}" name="Column13909"/>
    <tableColumn id="13937" xr3:uid="{00000000-0010-0000-2000-000071360000}" name="Column13910"/>
    <tableColumn id="13938" xr3:uid="{00000000-0010-0000-2000-000072360000}" name="Column13911"/>
    <tableColumn id="13939" xr3:uid="{00000000-0010-0000-2000-000073360000}" name="Column13912"/>
    <tableColumn id="13940" xr3:uid="{00000000-0010-0000-2000-000074360000}" name="Column13913"/>
    <tableColumn id="13941" xr3:uid="{00000000-0010-0000-2000-000075360000}" name="Column13914"/>
    <tableColumn id="13942" xr3:uid="{00000000-0010-0000-2000-000076360000}" name="Column13915"/>
    <tableColumn id="13943" xr3:uid="{00000000-0010-0000-2000-000077360000}" name="Column13916"/>
    <tableColumn id="13944" xr3:uid="{00000000-0010-0000-2000-000078360000}" name="Column13917"/>
    <tableColumn id="13945" xr3:uid="{00000000-0010-0000-2000-000079360000}" name="Column13918"/>
    <tableColumn id="13946" xr3:uid="{00000000-0010-0000-2000-00007A360000}" name="Column13919"/>
    <tableColumn id="13947" xr3:uid="{00000000-0010-0000-2000-00007B360000}" name="Column13920"/>
    <tableColumn id="13948" xr3:uid="{00000000-0010-0000-2000-00007C360000}" name="Column13921"/>
    <tableColumn id="13949" xr3:uid="{00000000-0010-0000-2000-00007D360000}" name="Column13922"/>
    <tableColumn id="13950" xr3:uid="{00000000-0010-0000-2000-00007E360000}" name="Column13923"/>
    <tableColumn id="13951" xr3:uid="{00000000-0010-0000-2000-00007F360000}" name="Column13924"/>
    <tableColumn id="13952" xr3:uid="{00000000-0010-0000-2000-000080360000}" name="Column13925"/>
    <tableColumn id="13953" xr3:uid="{00000000-0010-0000-2000-000081360000}" name="Column13926"/>
    <tableColumn id="13954" xr3:uid="{00000000-0010-0000-2000-000082360000}" name="Column13927"/>
    <tableColumn id="13955" xr3:uid="{00000000-0010-0000-2000-000083360000}" name="Column13928"/>
    <tableColumn id="13956" xr3:uid="{00000000-0010-0000-2000-000084360000}" name="Column13929"/>
    <tableColumn id="13957" xr3:uid="{00000000-0010-0000-2000-000085360000}" name="Column13930"/>
    <tableColumn id="13958" xr3:uid="{00000000-0010-0000-2000-000086360000}" name="Column13931"/>
    <tableColumn id="13959" xr3:uid="{00000000-0010-0000-2000-000087360000}" name="Column13932"/>
    <tableColumn id="13960" xr3:uid="{00000000-0010-0000-2000-000088360000}" name="Column13933"/>
    <tableColumn id="13961" xr3:uid="{00000000-0010-0000-2000-000089360000}" name="Column13934"/>
    <tableColumn id="13962" xr3:uid="{00000000-0010-0000-2000-00008A360000}" name="Column13935"/>
    <tableColumn id="13963" xr3:uid="{00000000-0010-0000-2000-00008B360000}" name="Column13936"/>
    <tableColumn id="13964" xr3:uid="{00000000-0010-0000-2000-00008C360000}" name="Column13937"/>
    <tableColumn id="13965" xr3:uid="{00000000-0010-0000-2000-00008D360000}" name="Column13938"/>
    <tableColumn id="13966" xr3:uid="{00000000-0010-0000-2000-00008E360000}" name="Column13939"/>
    <tableColumn id="13967" xr3:uid="{00000000-0010-0000-2000-00008F360000}" name="Column13940"/>
    <tableColumn id="13968" xr3:uid="{00000000-0010-0000-2000-000090360000}" name="Column13941"/>
    <tableColumn id="13969" xr3:uid="{00000000-0010-0000-2000-000091360000}" name="Column13942"/>
    <tableColumn id="13970" xr3:uid="{00000000-0010-0000-2000-000092360000}" name="Column13943"/>
    <tableColumn id="13971" xr3:uid="{00000000-0010-0000-2000-000093360000}" name="Column13944"/>
    <tableColumn id="13972" xr3:uid="{00000000-0010-0000-2000-000094360000}" name="Column13945"/>
    <tableColumn id="13973" xr3:uid="{00000000-0010-0000-2000-000095360000}" name="Column13946"/>
    <tableColumn id="13974" xr3:uid="{00000000-0010-0000-2000-000096360000}" name="Column13947"/>
    <tableColumn id="13975" xr3:uid="{00000000-0010-0000-2000-000097360000}" name="Column13948"/>
    <tableColumn id="13976" xr3:uid="{00000000-0010-0000-2000-000098360000}" name="Column13949"/>
    <tableColumn id="13977" xr3:uid="{00000000-0010-0000-2000-000099360000}" name="Column13950"/>
    <tableColumn id="13978" xr3:uid="{00000000-0010-0000-2000-00009A360000}" name="Column13951"/>
    <tableColumn id="13979" xr3:uid="{00000000-0010-0000-2000-00009B360000}" name="Column13952"/>
    <tableColumn id="13980" xr3:uid="{00000000-0010-0000-2000-00009C360000}" name="Column13953"/>
    <tableColumn id="13981" xr3:uid="{00000000-0010-0000-2000-00009D360000}" name="Column13954"/>
    <tableColumn id="13982" xr3:uid="{00000000-0010-0000-2000-00009E360000}" name="Column13955"/>
    <tableColumn id="13983" xr3:uid="{00000000-0010-0000-2000-00009F360000}" name="Column13956"/>
    <tableColumn id="13984" xr3:uid="{00000000-0010-0000-2000-0000A0360000}" name="Column13957"/>
    <tableColumn id="13985" xr3:uid="{00000000-0010-0000-2000-0000A1360000}" name="Column13958"/>
    <tableColumn id="13986" xr3:uid="{00000000-0010-0000-2000-0000A2360000}" name="Column13959"/>
    <tableColumn id="13987" xr3:uid="{00000000-0010-0000-2000-0000A3360000}" name="Column13960"/>
    <tableColumn id="13988" xr3:uid="{00000000-0010-0000-2000-0000A4360000}" name="Column13961"/>
    <tableColumn id="13989" xr3:uid="{00000000-0010-0000-2000-0000A5360000}" name="Column13962"/>
    <tableColumn id="13990" xr3:uid="{00000000-0010-0000-2000-0000A6360000}" name="Column13963"/>
    <tableColumn id="13991" xr3:uid="{00000000-0010-0000-2000-0000A7360000}" name="Column13964"/>
    <tableColumn id="13992" xr3:uid="{00000000-0010-0000-2000-0000A8360000}" name="Column13965"/>
    <tableColumn id="13993" xr3:uid="{00000000-0010-0000-2000-0000A9360000}" name="Column13966"/>
    <tableColumn id="13994" xr3:uid="{00000000-0010-0000-2000-0000AA360000}" name="Column13967"/>
    <tableColumn id="13995" xr3:uid="{00000000-0010-0000-2000-0000AB360000}" name="Column13968"/>
    <tableColumn id="13996" xr3:uid="{00000000-0010-0000-2000-0000AC360000}" name="Column13969"/>
    <tableColumn id="13997" xr3:uid="{00000000-0010-0000-2000-0000AD360000}" name="Column13970"/>
    <tableColumn id="13998" xr3:uid="{00000000-0010-0000-2000-0000AE360000}" name="Column13971"/>
    <tableColumn id="13999" xr3:uid="{00000000-0010-0000-2000-0000AF360000}" name="Column13972"/>
    <tableColumn id="14000" xr3:uid="{00000000-0010-0000-2000-0000B0360000}" name="Column13973"/>
    <tableColumn id="14001" xr3:uid="{00000000-0010-0000-2000-0000B1360000}" name="Column13974"/>
    <tableColumn id="14002" xr3:uid="{00000000-0010-0000-2000-0000B2360000}" name="Column13975"/>
    <tableColumn id="14003" xr3:uid="{00000000-0010-0000-2000-0000B3360000}" name="Column13976"/>
    <tableColumn id="14004" xr3:uid="{00000000-0010-0000-2000-0000B4360000}" name="Column13977"/>
    <tableColumn id="14005" xr3:uid="{00000000-0010-0000-2000-0000B5360000}" name="Column13978"/>
    <tableColumn id="14006" xr3:uid="{00000000-0010-0000-2000-0000B6360000}" name="Column13979"/>
    <tableColumn id="14007" xr3:uid="{00000000-0010-0000-2000-0000B7360000}" name="Column13980"/>
    <tableColumn id="14008" xr3:uid="{00000000-0010-0000-2000-0000B8360000}" name="Column13981"/>
    <tableColumn id="14009" xr3:uid="{00000000-0010-0000-2000-0000B9360000}" name="Column13982"/>
    <tableColumn id="14010" xr3:uid="{00000000-0010-0000-2000-0000BA360000}" name="Column13983"/>
    <tableColumn id="14011" xr3:uid="{00000000-0010-0000-2000-0000BB360000}" name="Column13984"/>
    <tableColumn id="14012" xr3:uid="{00000000-0010-0000-2000-0000BC360000}" name="Column13985"/>
    <tableColumn id="14013" xr3:uid="{00000000-0010-0000-2000-0000BD360000}" name="Column13986"/>
    <tableColumn id="14014" xr3:uid="{00000000-0010-0000-2000-0000BE360000}" name="Column13987"/>
    <tableColumn id="14015" xr3:uid="{00000000-0010-0000-2000-0000BF360000}" name="Column13988"/>
    <tableColumn id="14016" xr3:uid="{00000000-0010-0000-2000-0000C0360000}" name="Column13989"/>
    <tableColumn id="14017" xr3:uid="{00000000-0010-0000-2000-0000C1360000}" name="Column13990"/>
    <tableColumn id="14018" xr3:uid="{00000000-0010-0000-2000-0000C2360000}" name="Column13991"/>
    <tableColumn id="14019" xr3:uid="{00000000-0010-0000-2000-0000C3360000}" name="Column13992"/>
    <tableColumn id="14020" xr3:uid="{00000000-0010-0000-2000-0000C4360000}" name="Column13993"/>
    <tableColumn id="14021" xr3:uid="{00000000-0010-0000-2000-0000C5360000}" name="Column13994"/>
    <tableColumn id="14022" xr3:uid="{00000000-0010-0000-2000-0000C6360000}" name="Column13995"/>
    <tableColumn id="14023" xr3:uid="{00000000-0010-0000-2000-0000C7360000}" name="Column13996"/>
    <tableColumn id="14024" xr3:uid="{00000000-0010-0000-2000-0000C8360000}" name="Column13997"/>
    <tableColumn id="14025" xr3:uid="{00000000-0010-0000-2000-0000C9360000}" name="Column13998"/>
    <tableColumn id="14026" xr3:uid="{00000000-0010-0000-2000-0000CA360000}" name="Column13999"/>
    <tableColumn id="14027" xr3:uid="{00000000-0010-0000-2000-0000CB360000}" name="Column14000"/>
    <tableColumn id="14028" xr3:uid="{00000000-0010-0000-2000-0000CC360000}" name="Column14001"/>
    <tableColumn id="14029" xr3:uid="{00000000-0010-0000-2000-0000CD360000}" name="Column14002"/>
    <tableColumn id="14030" xr3:uid="{00000000-0010-0000-2000-0000CE360000}" name="Column14003"/>
    <tableColumn id="14031" xr3:uid="{00000000-0010-0000-2000-0000CF360000}" name="Column14004"/>
    <tableColumn id="14032" xr3:uid="{00000000-0010-0000-2000-0000D0360000}" name="Column14005"/>
    <tableColumn id="14033" xr3:uid="{00000000-0010-0000-2000-0000D1360000}" name="Column14006"/>
    <tableColumn id="14034" xr3:uid="{00000000-0010-0000-2000-0000D2360000}" name="Column14007"/>
    <tableColumn id="14035" xr3:uid="{00000000-0010-0000-2000-0000D3360000}" name="Column14008"/>
    <tableColumn id="14036" xr3:uid="{00000000-0010-0000-2000-0000D4360000}" name="Column14009"/>
    <tableColumn id="14037" xr3:uid="{00000000-0010-0000-2000-0000D5360000}" name="Column14010"/>
    <tableColumn id="14038" xr3:uid="{00000000-0010-0000-2000-0000D6360000}" name="Column14011"/>
    <tableColumn id="14039" xr3:uid="{00000000-0010-0000-2000-0000D7360000}" name="Column14012"/>
    <tableColumn id="14040" xr3:uid="{00000000-0010-0000-2000-0000D8360000}" name="Column14013"/>
    <tableColumn id="14041" xr3:uid="{00000000-0010-0000-2000-0000D9360000}" name="Column14014"/>
    <tableColumn id="14042" xr3:uid="{00000000-0010-0000-2000-0000DA360000}" name="Column14015"/>
    <tableColumn id="14043" xr3:uid="{00000000-0010-0000-2000-0000DB360000}" name="Column14016"/>
    <tableColumn id="14044" xr3:uid="{00000000-0010-0000-2000-0000DC360000}" name="Column14017"/>
    <tableColumn id="14045" xr3:uid="{00000000-0010-0000-2000-0000DD360000}" name="Column14018"/>
    <tableColumn id="14046" xr3:uid="{00000000-0010-0000-2000-0000DE360000}" name="Column14019"/>
    <tableColumn id="14047" xr3:uid="{00000000-0010-0000-2000-0000DF360000}" name="Column14020"/>
    <tableColumn id="14048" xr3:uid="{00000000-0010-0000-2000-0000E0360000}" name="Column14021"/>
    <tableColumn id="14049" xr3:uid="{00000000-0010-0000-2000-0000E1360000}" name="Column14022"/>
    <tableColumn id="14050" xr3:uid="{00000000-0010-0000-2000-0000E2360000}" name="Column14023"/>
    <tableColumn id="14051" xr3:uid="{00000000-0010-0000-2000-0000E3360000}" name="Column14024"/>
    <tableColumn id="14052" xr3:uid="{00000000-0010-0000-2000-0000E4360000}" name="Column14025"/>
    <tableColumn id="14053" xr3:uid="{00000000-0010-0000-2000-0000E5360000}" name="Column14026"/>
    <tableColumn id="14054" xr3:uid="{00000000-0010-0000-2000-0000E6360000}" name="Column14027"/>
    <tableColumn id="14055" xr3:uid="{00000000-0010-0000-2000-0000E7360000}" name="Column14028"/>
    <tableColumn id="14056" xr3:uid="{00000000-0010-0000-2000-0000E8360000}" name="Column14029"/>
    <tableColumn id="14057" xr3:uid="{00000000-0010-0000-2000-0000E9360000}" name="Column14030"/>
    <tableColumn id="14058" xr3:uid="{00000000-0010-0000-2000-0000EA360000}" name="Column14031"/>
    <tableColumn id="14059" xr3:uid="{00000000-0010-0000-2000-0000EB360000}" name="Column14032"/>
    <tableColumn id="14060" xr3:uid="{00000000-0010-0000-2000-0000EC360000}" name="Column14033"/>
    <tableColumn id="14061" xr3:uid="{00000000-0010-0000-2000-0000ED360000}" name="Column14034"/>
    <tableColumn id="14062" xr3:uid="{00000000-0010-0000-2000-0000EE360000}" name="Column14035"/>
    <tableColumn id="14063" xr3:uid="{00000000-0010-0000-2000-0000EF360000}" name="Column14036"/>
    <tableColumn id="14064" xr3:uid="{00000000-0010-0000-2000-0000F0360000}" name="Column14037"/>
    <tableColumn id="14065" xr3:uid="{00000000-0010-0000-2000-0000F1360000}" name="Column14038"/>
    <tableColumn id="14066" xr3:uid="{00000000-0010-0000-2000-0000F2360000}" name="Column14039"/>
    <tableColumn id="14067" xr3:uid="{00000000-0010-0000-2000-0000F3360000}" name="Column14040"/>
    <tableColumn id="14068" xr3:uid="{00000000-0010-0000-2000-0000F4360000}" name="Column14041"/>
    <tableColumn id="14069" xr3:uid="{00000000-0010-0000-2000-0000F5360000}" name="Column14042"/>
    <tableColumn id="14070" xr3:uid="{00000000-0010-0000-2000-0000F6360000}" name="Column14043"/>
    <tableColumn id="14071" xr3:uid="{00000000-0010-0000-2000-0000F7360000}" name="Column14044"/>
    <tableColumn id="14072" xr3:uid="{00000000-0010-0000-2000-0000F8360000}" name="Column14045"/>
    <tableColumn id="14073" xr3:uid="{00000000-0010-0000-2000-0000F9360000}" name="Column14046"/>
    <tableColumn id="14074" xr3:uid="{00000000-0010-0000-2000-0000FA360000}" name="Column14047"/>
    <tableColumn id="14075" xr3:uid="{00000000-0010-0000-2000-0000FB360000}" name="Column14048"/>
    <tableColumn id="14076" xr3:uid="{00000000-0010-0000-2000-0000FC360000}" name="Column14049"/>
    <tableColumn id="14077" xr3:uid="{00000000-0010-0000-2000-0000FD360000}" name="Column14050"/>
    <tableColumn id="14078" xr3:uid="{00000000-0010-0000-2000-0000FE360000}" name="Column14051"/>
    <tableColumn id="14079" xr3:uid="{00000000-0010-0000-2000-0000FF360000}" name="Column14052"/>
    <tableColumn id="14080" xr3:uid="{00000000-0010-0000-2000-000000370000}" name="Column14053"/>
    <tableColumn id="14081" xr3:uid="{00000000-0010-0000-2000-000001370000}" name="Column14054"/>
    <tableColumn id="14082" xr3:uid="{00000000-0010-0000-2000-000002370000}" name="Column14055"/>
    <tableColumn id="14083" xr3:uid="{00000000-0010-0000-2000-000003370000}" name="Column14056"/>
    <tableColumn id="14084" xr3:uid="{00000000-0010-0000-2000-000004370000}" name="Column14057"/>
    <tableColumn id="14085" xr3:uid="{00000000-0010-0000-2000-000005370000}" name="Column14058"/>
    <tableColumn id="14086" xr3:uid="{00000000-0010-0000-2000-000006370000}" name="Column14059"/>
    <tableColumn id="14087" xr3:uid="{00000000-0010-0000-2000-000007370000}" name="Column14060"/>
    <tableColumn id="14088" xr3:uid="{00000000-0010-0000-2000-000008370000}" name="Column14061"/>
    <tableColumn id="14089" xr3:uid="{00000000-0010-0000-2000-000009370000}" name="Column14062"/>
    <tableColumn id="14090" xr3:uid="{00000000-0010-0000-2000-00000A370000}" name="Column14063"/>
    <tableColumn id="14091" xr3:uid="{00000000-0010-0000-2000-00000B370000}" name="Column14064"/>
    <tableColumn id="14092" xr3:uid="{00000000-0010-0000-2000-00000C370000}" name="Column14065"/>
    <tableColumn id="14093" xr3:uid="{00000000-0010-0000-2000-00000D370000}" name="Column14066"/>
    <tableColumn id="14094" xr3:uid="{00000000-0010-0000-2000-00000E370000}" name="Column14067"/>
    <tableColumn id="14095" xr3:uid="{00000000-0010-0000-2000-00000F370000}" name="Column14068"/>
    <tableColumn id="14096" xr3:uid="{00000000-0010-0000-2000-000010370000}" name="Column14069"/>
    <tableColumn id="14097" xr3:uid="{00000000-0010-0000-2000-000011370000}" name="Column14070"/>
    <tableColumn id="14098" xr3:uid="{00000000-0010-0000-2000-000012370000}" name="Column14071"/>
    <tableColumn id="14099" xr3:uid="{00000000-0010-0000-2000-000013370000}" name="Column14072"/>
    <tableColumn id="14100" xr3:uid="{00000000-0010-0000-2000-000014370000}" name="Column14073"/>
    <tableColumn id="14101" xr3:uid="{00000000-0010-0000-2000-000015370000}" name="Column14074"/>
    <tableColumn id="14102" xr3:uid="{00000000-0010-0000-2000-000016370000}" name="Column14075"/>
    <tableColumn id="14103" xr3:uid="{00000000-0010-0000-2000-000017370000}" name="Column14076"/>
    <tableColumn id="14104" xr3:uid="{00000000-0010-0000-2000-000018370000}" name="Column14077"/>
    <tableColumn id="14105" xr3:uid="{00000000-0010-0000-2000-000019370000}" name="Column14078"/>
    <tableColumn id="14106" xr3:uid="{00000000-0010-0000-2000-00001A370000}" name="Column14079"/>
    <tableColumn id="14107" xr3:uid="{00000000-0010-0000-2000-00001B370000}" name="Column14080"/>
    <tableColumn id="14108" xr3:uid="{00000000-0010-0000-2000-00001C370000}" name="Column14081"/>
    <tableColumn id="14109" xr3:uid="{00000000-0010-0000-2000-00001D370000}" name="Column14082"/>
    <tableColumn id="14110" xr3:uid="{00000000-0010-0000-2000-00001E370000}" name="Column14083"/>
    <tableColumn id="14111" xr3:uid="{00000000-0010-0000-2000-00001F370000}" name="Column14084"/>
    <tableColumn id="14112" xr3:uid="{00000000-0010-0000-2000-000020370000}" name="Column14085"/>
    <tableColumn id="14113" xr3:uid="{00000000-0010-0000-2000-000021370000}" name="Column14086"/>
    <tableColumn id="14114" xr3:uid="{00000000-0010-0000-2000-000022370000}" name="Column14087"/>
    <tableColumn id="14115" xr3:uid="{00000000-0010-0000-2000-000023370000}" name="Column14088"/>
    <tableColumn id="14116" xr3:uid="{00000000-0010-0000-2000-000024370000}" name="Column14089"/>
    <tableColumn id="14117" xr3:uid="{00000000-0010-0000-2000-000025370000}" name="Column14090"/>
    <tableColumn id="14118" xr3:uid="{00000000-0010-0000-2000-000026370000}" name="Column14091"/>
    <tableColumn id="14119" xr3:uid="{00000000-0010-0000-2000-000027370000}" name="Column14092"/>
    <tableColumn id="14120" xr3:uid="{00000000-0010-0000-2000-000028370000}" name="Column14093"/>
    <tableColumn id="14121" xr3:uid="{00000000-0010-0000-2000-000029370000}" name="Column14094"/>
    <tableColumn id="14122" xr3:uid="{00000000-0010-0000-2000-00002A370000}" name="Column14095"/>
    <tableColumn id="14123" xr3:uid="{00000000-0010-0000-2000-00002B370000}" name="Column14096"/>
    <tableColumn id="14124" xr3:uid="{00000000-0010-0000-2000-00002C370000}" name="Column14097"/>
    <tableColumn id="14125" xr3:uid="{00000000-0010-0000-2000-00002D370000}" name="Column14098"/>
    <tableColumn id="14126" xr3:uid="{00000000-0010-0000-2000-00002E370000}" name="Column14099"/>
    <tableColumn id="14127" xr3:uid="{00000000-0010-0000-2000-00002F370000}" name="Column14100"/>
    <tableColumn id="14128" xr3:uid="{00000000-0010-0000-2000-000030370000}" name="Column14101"/>
    <tableColumn id="14129" xr3:uid="{00000000-0010-0000-2000-000031370000}" name="Column14102"/>
    <tableColumn id="14130" xr3:uid="{00000000-0010-0000-2000-000032370000}" name="Column14103"/>
    <tableColumn id="14131" xr3:uid="{00000000-0010-0000-2000-000033370000}" name="Column14104"/>
    <tableColumn id="14132" xr3:uid="{00000000-0010-0000-2000-000034370000}" name="Column14105"/>
    <tableColumn id="14133" xr3:uid="{00000000-0010-0000-2000-000035370000}" name="Column14106"/>
    <tableColumn id="14134" xr3:uid="{00000000-0010-0000-2000-000036370000}" name="Column14107"/>
    <tableColumn id="14135" xr3:uid="{00000000-0010-0000-2000-000037370000}" name="Column14108"/>
    <tableColumn id="14136" xr3:uid="{00000000-0010-0000-2000-000038370000}" name="Column14109"/>
    <tableColumn id="14137" xr3:uid="{00000000-0010-0000-2000-000039370000}" name="Column14110"/>
    <tableColumn id="14138" xr3:uid="{00000000-0010-0000-2000-00003A370000}" name="Column14111"/>
    <tableColumn id="14139" xr3:uid="{00000000-0010-0000-2000-00003B370000}" name="Column14112"/>
    <tableColumn id="14140" xr3:uid="{00000000-0010-0000-2000-00003C370000}" name="Column14113"/>
    <tableColumn id="14141" xr3:uid="{00000000-0010-0000-2000-00003D370000}" name="Column14114"/>
    <tableColumn id="14142" xr3:uid="{00000000-0010-0000-2000-00003E370000}" name="Column14115"/>
    <tableColumn id="14143" xr3:uid="{00000000-0010-0000-2000-00003F370000}" name="Column14116"/>
    <tableColumn id="14144" xr3:uid="{00000000-0010-0000-2000-000040370000}" name="Column14117"/>
    <tableColumn id="14145" xr3:uid="{00000000-0010-0000-2000-000041370000}" name="Column14118"/>
    <tableColumn id="14146" xr3:uid="{00000000-0010-0000-2000-000042370000}" name="Column14119"/>
    <tableColumn id="14147" xr3:uid="{00000000-0010-0000-2000-000043370000}" name="Column14120"/>
    <tableColumn id="14148" xr3:uid="{00000000-0010-0000-2000-000044370000}" name="Column14121"/>
    <tableColumn id="14149" xr3:uid="{00000000-0010-0000-2000-000045370000}" name="Column14122"/>
    <tableColumn id="14150" xr3:uid="{00000000-0010-0000-2000-000046370000}" name="Column14123"/>
    <tableColumn id="14151" xr3:uid="{00000000-0010-0000-2000-000047370000}" name="Column14124"/>
    <tableColumn id="14152" xr3:uid="{00000000-0010-0000-2000-000048370000}" name="Column14125"/>
    <tableColumn id="14153" xr3:uid="{00000000-0010-0000-2000-000049370000}" name="Column14126"/>
    <tableColumn id="14154" xr3:uid="{00000000-0010-0000-2000-00004A370000}" name="Column14127"/>
    <tableColumn id="14155" xr3:uid="{00000000-0010-0000-2000-00004B370000}" name="Column14128"/>
    <tableColumn id="14156" xr3:uid="{00000000-0010-0000-2000-00004C370000}" name="Column14129"/>
    <tableColumn id="14157" xr3:uid="{00000000-0010-0000-2000-00004D370000}" name="Column14130"/>
    <tableColumn id="14158" xr3:uid="{00000000-0010-0000-2000-00004E370000}" name="Column14131"/>
    <tableColumn id="14159" xr3:uid="{00000000-0010-0000-2000-00004F370000}" name="Column14132"/>
    <tableColumn id="14160" xr3:uid="{00000000-0010-0000-2000-000050370000}" name="Column14133"/>
    <tableColumn id="14161" xr3:uid="{00000000-0010-0000-2000-000051370000}" name="Column14134"/>
    <tableColumn id="14162" xr3:uid="{00000000-0010-0000-2000-000052370000}" name="Column14135"/>
    <tableColumn id="14163" xr3:uid="{00000000-0010-0000-2000-000053370000}" name="Column14136"/>
    <tableColumn id="14164" xr3:uid="{00000000-0010-0000-2000-000054370000}" name="Column14137"/>
    <tableColumn id="14165" xr3:uid="{00000000-0010-0000-2000-000055370000}" name="Column14138"/>
    <tableColumn id="14166" xr3:uid="{00000000-0010-0000-2000-000056370000}" name="Column14139"/>
    <tableColumn id="14167" xr3:uid="{00000000-0010-0000-2000-000057370000}" name="Column14140"/>
    <tableColumn id="14168" xr3:uid="{00000000-0010-0000-2000-000058370000}" name="Column14141"/>
    <tableColumn id="14169" xr3:uid="{00000000-0010-0000-2000-000059370000}" name="Column14142"/>
    <tableColumn id="14170" xr3:uid="{00000000-0010-0000-2000-00005A370000}" name="Column14143"/>
    <tableColumn id="14171" xr3:uid="{00000000-0010-0000-2000-00005B370000}" name="Column14144"/>
    <tableColumn id="14172" xr3:uid="{00000000-0010-0000-2000-00005C370000}" name="Column14145"/>
    <tableColumn id="14173" xr3:uid="{00000000-0010-0000-2000-00005D370000}" name="Column14146"/>
    <tableColumn id="14174" xr3:uid="{00000000-0010-0000-2000-00005E370000}" name="Column14147"/>
    <tableColumn id="14175" xr3:uid="{00000000-0010-0000-2000-00005F370000}" name="Column14148"/>
    <tableColumn id="14176" xr3:uid="{00000000-0010-0000-2000-000060370000}" name="Column14149"/>
    <tableColumn id="14177" xr3:uid="{00000000-0010-0000-2000-000061370000}" name="Column14150"/>
    <tableColumn id="14178" xr3:uid="{00000000-0010-0000-2000-000062370000}" name="Column14151"/>
    <tableColumn id="14179" xr3:uid="{00000000-0010-0000-2000-000063370000}" name="Column14152"/>
    <tableColumn id="14180" xr3:uid="{00000000-0010-0000-2000-000064370000}" name="Column14153"/>
    <tableColumn id="14181" xr3:uid="{00000000-0010-0000-2000-000065370000}" name="Column14154"/>
    <tableColumn id="14182" xr3:uid="{00000000-0010-0000-2000-000066370000}" name="Column14155"/>
    <tableColumn id="14183" xr3:uid="{00000000-0010-0000-2000-000067370000}" name="Column14156"/>
    <tableColumn id="14184" xr3:uid="{00000000-0010-0000-2000-000068370000}" name="Column14157"/>
    <tableColumn id="14185" xr3:uid="{00000000-0010-0000-2000-000069370000}" name="Column14158"/>
    <tableColumn id="14186" xr3:uid="{00000000-0010-0000-2000-00006A370000}" name="Column14159"/>
    <tableColumn id="14187" xr3:uid="{00000000-0010-0000-2000-00006B370000}" name="Column14160"/>
    <tableColumn id="14188" xr3:uid="{00000000-0010-0000-2000-00006C370000}" name="Column14161"/>
    <tableColumn id="14189" xr3:uid="{00000000-0010-0000-2000-00006D370000}" name="Column14162"/>
    <tableColumn id="14190" xr3:uid="{00000000-0010-0000-2000-00006E370000}" name="Column14163"/>
    <tableColumn id="14191" xr3:uid="{00000000-0010-0000-2000-00006F370000}" name="Column14164"/>
    <tableColumn id="14192" xr3:uid="{00000000-0010-0000-2000-000070370000}" name="Column14165"/>
    <tableColumn id="14193" xr3:uid="{00000000-0010-0000-2000-000071370000}" name="Column14166"/>
    <tableColumn id="14194" xr3:uid="{00000000-0010-0000-2000-000072370000}" name="Column14167"/>
    <tableColumn id="14195" xr3:uid="{00000000-0010-0000-2000-000073370000}" name="Column14168"/>
    <tableColumn id="14196" xr3:uid="{00000000-0010-0000-2000-000074370000}" name="Column14169"/>
    <tableColumn id="14197" xr3:uid="{00000000-0010-0000-2000-000075370000}" name="Column14170"/>
    <tableColumn id="14198" xr3:uid="{00000000-0010-0000-2000-000076370000}" name="Column14171"/>
    <tableColumn id="14199" xr3:uid="{00000000-0010-0000-2000-000077370000}" name="Column14172"/>
    <tableColumn id="14200" xr3:uid="{00000000-0010-0000-2000-000078370000}" name="Column14173"/>
    <tableColumn id="14201" xr3:uid="{00000000-0010-0000-2000-000079370000}" name="Column14174"/>
    <tableColumn id="14202" xr3:uid="{00000000-0010-0000-2000-00007A370000}" name="Column14175"/>
    <tableColumn id="14203" xr3:uid="{00000000-0010-0000-2000-00007B370000}" name="Column14176"/>
    <tableColumn id="14204" xr3:uid="{00000000-0010-0000-2000-00007C370000}" name="Column14177"/>
    <tableColumn id="14205" xr3:uid="{00000000-0010-0000-2000-00007D370000}" name="Column14178"/>
    <tableColumn id="14206" xr3:uid="{00000000-0010-0000-2000-00007E370000}" name="Column14179"/>
    <tableColumn id="14207" xr3:uid="{00000000-0010-0000-2000-00007F370000}" name="Column14180"/>
    <tableColumn id="14208" xr3:uid="{00000000-0010-0000-2000-000080370000}" name="Column14181"/>
    <tableColumn id="14209" xr3:uid="{00000000-0010-0000-2000-000081370000}" name="Column14182"/>
    <tableColumn id="14210" xr3:uid="{00000000-0010-0000-2000-000082370000}" name="Column14183"/>
    <tableColumn id="14211" xr3:uid="{00000000-0010-0000-2000-000083370000}" name="Column14184"/>
    <tableColumn id="14212" xr3:uid="{00000000-0010-0000-2000-000084370000}" name="Column14185"/>
    <tableColumn id="14213" xr3:uid="{00000000-0010-0000-2000-000085370000}" name="Column14186"/>
    <tableColumn id="14214" xr3:uid="{00000000-0010-0000-2000-000086370000}" name="Column14187"/>
    <tableColumn id="14215" xr3:uid="{00000000-0010-0000-2000-000087370000}" name="Column14188"/>
    <tableColumn id="14216" xr3:uid="{00000000-0010-0000-2000-000088370000}" name="Column14189"/>
    <tableColumn id="14217" xr3:uid="{00000000-0010-0000-2000-000089370000}" name="Column14190"/>
    <tableColumn id="14218" xr3:uid="{00000000-0010-0000-2000-00008A370000}" name="Column14191"/>
    <tableColumn id="14219" xr3:uid="{00000000-0010-0000-2000-00008B370000}" name="Column14192"/>
    <tableColumn id="14220" xr3:uid="{00000000-0010-0000-2000-00008C370000}" name="Column14193"/>
    <tableColumn id="14221" xr3:uid="{00000000-0010-0000-2000-00008D370000}" name="Column14194"/>
    <tableColumn id="14222" xr3:uid="{00000000-0010-0000-2000-00008E370000}" name="Column14195"/>
    <tableColumn id="14223" xr3:uid="{00000000-0010-0000-2000-00008F370000}" name="Column14196"/>
    <tableColumn id="14224" xr3:uid="{00000000-0010-0000-2000-000090370000}" name="Column14197"/>
    <tableColumn id="14225" xr3:uid="{00000000-0010-0000-2000-000091370000}" name="Column14198"/>
    <tableColumn id="14226" xr3:uid="{00000000-0010-0000-2000-000092370000}" name="Column14199"/>
    <tableColumn id="14227" xr3:uid="{00000000-0010-0000-2000-000093370000}" name="Column14200"/>
    <tableColumn id="14228" xr3:uid="{00000000-0010-0000-2000-000094370000}" name="Column14201"/>
    <tableColumn id="14229" xr3:uid="{00000000-0010-0000-2000-000095370000}" name="Column14202"/>
    <tableColumn id="14230" xr3:uid="{00000000-0010-0000-2000-000096370000}" name="Column14203"/>
    <tableColumn id="14231" xr3:uid="{00000000-0010-0000-2000-000097370000}" name="Column14204"/>
    <tableColumn id="14232" xr3:uid="{00000000-0010-0000-2000-000098370000}" name="Column14205"/>
    <tableColumn id="14233" xr3:uid="{00000000-0010-0000-2000-000099370000}" name="Column14206"/>
    <tableColumn id="14234" xr3:uid="{00000000-0010-0000-2000-00009A370000}" name="Column14207"/>
    <tableColumn id="14235" xr3:uid="{00000000-0010-0000-2000-00009B370000}" name="Column14208"/>
    <tableColumn id="14236" xr3:uid="{00000000-0010-0000-2000-00009C370000}" name="Column14209"/>
    <tableColumn id="14237" xr3:uid="{00000000-0010-0000-2000-00009D370000}" name="Column14210"/>
    <tableColumn id="14238" xr3:uid="{00000000-0010-0000-2000-00009E370000}" name="Column14211"/>
    <tableColumn id="14239" xr3:uid="{00000000-0010-0000-2000-00009F370000}" name="Column14212"/>
    <tableColumn id="14240" xr3:uid="{00000000-0010-0000-2000-0000A0370000}" name="Column14213"/>
    <tableColumn id="14241" xr3:uid="{00000000-0010-0000-2000-0000A1370000}" name="Column14214"/>
    <tableColumn id="14242" xr3:uid="{00000000-0010-0000-2000-0000A2370000}" name="Column14215"/>
    <tableColumn id="14243" xr3:uid="{00000000-0010-0000-2000-0000A3370000}" name="Column14216"/>
    <tableColumn id="14244" xr3:uid="{00000000-0010-0000-2000-0000A4370000}" name="Column14217"/>
    <tableColumn id="14245" xr3:uid="{00000000-0010-0000-2000-0000A5370000}" name="Column14218"/>
    <tableColumn id="14246" xr3:uid="{00000000-0010-0000-2000-0000A6370000}" name="Column14219"/>
    <tableColumn id="14247" xr3:uid="{00000000-0010-0000-2000-0000A7370000}" name="Column14220"/>
    <tableColumn id="14248" xr3:uid="{00000000-0010-0000-2000-0000A8370000}" name="Column14221"/>
    <tableColumn id="14249" xr3:uid="{00000000-0010-0000-2000-0000A9370000}" name="Column14222"/>
    <tableColumn id="14250" xr3:uid="{00000000-0010-0000-2000-0000AA370000}" name="Column14223"/>
    <tableColumn id="14251" xr3:uid="{00000000-0010-0000-2000-0000AB370000}" name="Column14224"/>
    <tableColumn id="14252" xr3:uid="{00000000-0010-0000-2000-0000AC370000}" name="Column14225"/>
    <tableColumn id="14253" xr3:uid="{00000000-0010-0000-2000-0000AD370000}" name="Column14226"/>
    <tableColumn id="14254" xr3:uid="{00000000-0010-0000-2000-0000AE370000}" name="Column14227"/>
    <tableColumn id="14255" xr3:uid="{00000000-0010-0000-2000-0000AF370000}" name="Column14228"/>
    <tableColumn id="14256" xr3:uid="{00000000-0010-0000-2000-0000B0370000}" name="Column14229"/>
    <tableColumn id="14257" xr3:uid="{00000000-0010-0000-2000-0000B1370000}" name="Column14230"/>
    <tableColumn id="14258" xr3:uid="{00000000-0010-0000-2000-0000B2370000}" name="Column14231"/>
    <tableColumn id="14259" xr3:uid="{00000000-0010-0000-2000-0000B3370000}" name="Column14232"/>
    <tableColumn id="14260" xr3:uid="{00000000-0010-0000-2000-0000B4370000}" name="Column14233"/>
    <tableColumn id="14261" xr3:uid="{00000000-0010-0000-2000-0000B5370000}" name="Column14234"/>
    <tableColumn id="14262" xr3:uid="{00000000-0010-0000-2000-0000B6370000}" name="Column14235"/>
    <tableColumn id="14263" xr3:uid="{00000000-0010-0000-2000-0000B7370000}" name="Column14236"/>
    <tableColumn id="14264" xr3:uid="{00000000-0010-0000-2000-0000B8370000}" name="Column14237"/>
    <tableColumn id="14265" xr3:uid="{00000000-0010-0000-2000-0000B9370000}" name="Column14238"/>
    <tableColumn id="14266" xr3:uid="{00000000-0010-0000-2000-0000BA370000}" name="Column14239"/>
    <tableColumn id="14267" xr3:uid="{00000000-0010-0000-2000-0000BB370000}" name="Column14240"/>
    <tableColumn id="14268" xr3:uid="{00000000-0010-0000-2000-0000BC370000}" name="Column14241"/>
    <tableColumn id="14269" xr3:uid="{00000000-0010-0000-2000-0000BD370000}" name="Column14242"/>
    <tableColumn id="14270" xr3:uid="{00000000-0010-0000-2000-0000BE370000}" name="Column14243"/>
    <tableColumn id="14271" xr3:uid="{00000000-0010-0000-2000-0000BF370000}" name="Column14244"/>
    <tableColumn id="14272" xr3:uid="{00000000-0010-0000-2000-0000C0370000}" name="Column14245"/>
    <tableColumn id="14273" xr3:uid="{00000000-0010-0000-2000-0000C1370000}" name="Column14246"/>
    <tableColumn id="14274" xr3:uid="{00000000-0010-0000-2000-0000C2370000}" name="Column14247"/>
    <tableColumn id="14275" xr3:uid="{00000000-0010-0000-2000-0000C3370000}" name="Column14248"/>
    <tableColumn id="14276" xr3:uid="{00000000-0010-0000-2000-0000C4370000}" name="Column14249"/>
    <tableColumn id="14277" xr3:uid="{00000000-0010-0000-2000-0000C5370000}" name="Column14250"/>
    <tableColumn id="14278" xr3:uid="{00000000-0010-0000-2000-0000C6370000}" name="Column14251"/>
    <tableColumn id="14279" xr3:uid="{00000000-0010-0000-2000-0000C7370000}" name="Column14252"/>
    <tableColumn id="14280" xr3:uid="{00000000-0010-0000-2000-0000C8370000}" name="Column14253"/>
    <tableColumn id="14281" xr3:uid="{00000000-0010-0000-2000-0000C9370000}" name="Column14254"/>
    <tableColumn id="14282" xr3:uid="{00000000-0010-0000-2000-0000CA370000}" name="Column14255"/>
    <tableColumn id="14283" xr3:uid="{00000000-0010-0000-2000-0000CB370000}" name="Column14256"/>
    <tableColumn id="14284" xr3:uid="{00000000-0010-0000-2000-0000CC370000}" name="Column14257"/>
    <tableColumn id="14285" xr3:uid="{00000000-0010-0000-2000-0000CD370000}" name="Column14258"/>
    <tableColumn id="14286" xr3:uid="{00000000-0010-0000-2000-0000CE370000}" name="Column14259"/>
    <tableColumn id="14287" xr3:uid="{00000000-0010-0000-2000-0000CF370000}" name="Column14260"/>
    <tableColumn id="14288" xr3:uid="{00000000-0010-0000-2000-0000D0370000}" name="Column14261"/>
    <tableColumn id="14289" xr3:uid="{00000000-0010-0000-2000-0000D1370000}" name="Column14262"/>
    <tableColumn id="14290" xr3:uid="{00000000-0010-0000-2000-0000D2370000}" name="Column14263"/>
    <tableColumn id="14291" xr3:uid="{00000000-0010-0000-2000-0000D3370000}" name="Column14264"/>
    <tableColumn id="14292" xr3:uid="{00000000-0010-0000-2000-0000D4370000}" name="Column14265"/>
    <tableColumn id="14293" xr3:uid="{00000000-0010-0000-2000-0000D5370000}" name="Column14266"/>
    <tableColumn id="14294" xr3:uid="{00000000-0010-0000-2000-0000D6370000}" name="Column14267"/>
    <tableColumn id="14295" xr3:uid="{00000000-0010-0000-2000-0000D7370000}" name="Column14268"/>
    <tableColumn id="14296" xr3:uid="{00000000-0010-0000-2000-0000D8370000}" name="Column14269"/>
    <tableColumn id="14297" xr3:uid="{00000000-0010-0000-2000-0000D9370000}" name="Column14270"/>
    <tableColumn id="14298" xr3:uid="{00000000-0010-0000-2000-0000DA370000}" name="Column14271"/>
    <tableColumn id="14299" xr3:uid="{00000000-0010-0000-2000-0000DB370000}" name="Column14272"/>
    <tableColumn id="14300" xr3:uid="{00000000-0010-0000-2000-0000DC370000}" name="Column14273"/>
    <tableColumn id="14301" xr3:uid="{00000000-0010-0000-2000-0000DD370000}" name="Column14274"/>
    <tableColumn id="14302" xr3:uid="{00000000-0010-0000-2000-0000DE370000}" name="Column14275"/>
    <tableColumn id="14303" xr3:uid="{00000000-0010-0000-2000-0000DF370000}" name="Column14276"/>
    <tableColumn id="14304" xr3:uid="{00000000-0010-0000-2000-0000E0370000}" name="Column14277"/>
    <tableColumn id="14305" xr3:uid="{00000000-0010-0000-2000-0000E1370000}" name="Column14278"/>
    <tableColumn id="14306" xr3:uid="{00000000-0010-0000-2000-0000E2370000}" name="Column14279"/>
    <tableColumn id="14307" xr3:uid="{00000000-0010-0000-2000-0000E3370000}" name="Column14280"/>
    <tableColumn id="14308" xr3:uid="{00000000-0010-0000-2000-0000E4370000}" name="Column14281"/>
    <tableColumn id="14309" xr3:uid="{00000000-0010-0000-2000-0000E5370000}" name="Column14282"/>
    <tableColumn id="14310" xr3:uid="{00000000-0010-0000-2000-0000E6370000}" name="Column14283"/>
    <tableColumn id="14311" xr3:uid="{00000000-0010-0000-2000-0000E7370000}" name="Column14284"/>
    <tableColumn id="14312" xr3:uid="{00000000-0010-0000-2000-0000E8370000}" name="Column14285"/>
    <tableColumn id="14313" xr3:uid="{00000000-0010-0000-2000-0000E9370000}" name="Column14286"/>
    <tableColumn id="14314" xr3:uid="{00000000-0010-0000-2000-0000EA370000}" name="Column14287"/>
    <tableColumn id="14315" xr3:uid="{00000000-0010-0000-2000-0000EB370000}" name="Column14288"/>
    <tableColumn id="14316" xr3:uid="{00000000-0010-0000-2000-0000EC370000}" name="Column14289"/>
    <tableColumn id="14317" xr3:uid="{00000000-0010-0000-2000-0000ED370000}" name="Column14290"/>
    <tableColumn id="14318" xr3:uid="{00000000-0010-0000-2000-0000EE370000}" name="Column14291"/>
    <tableColumn id="14319" xr3:uid="{00000000-0010-0000-2000-0000EF370000}" name="Column14292"/>
    <tableColumn id="14320" xr3:uid="{00000000-0010-0000-2000-0000F0370000}" name="Column14293"/>
    <tableColumn id="14321" xr3:uid="{00000000-0010-0000-2000-0000F1370000}" name="Column14294"/>
    <tableColumn id="14322" xr3:uid="{00000000-0010-0000-2000-0000F2370000}" name="Column14295"/>
    <tableColumn id="14323" xr3:uid="{00000000-0010-0000-2000-0000F3370000}" name="Column14296"/>
    <tableColumn id="14324" xr3:uid="{00000000-0010-0000-2000-0000F4370000}" name="Column14297"/>
    <tableColumn id="14325" xr3:uid="{00000000-0010-0000-2000-0000F5370000}" name="Column14298"/>
    <tableColumn id="14326" xr3:uid="{00000000-0010-0000-2000-0000F6370000}" name="Column14299"/>
    <tableColumn id="14327" xr3:uid="{00000000-0010-0000-2000-0000F7370000}" name="Column14300"/>
    <tableColumn id="14328" xr3:uid="{00000000-0010-0000-2000-0000F8370000}" name="Column14301"/>
    <tableColumn id="14329" xr3:uid="{00000000-0010-0000-2000-0000F9370000}" name="Column14302"/>
    <tableColumn id="14330" xr3:uid="{00000000-0010-0000-2000-0000FA370000}" name="Column14303"/>
    <tableColumn id="14331" xr3:uid="{00000000-0010-0000-2000-0000FB370000}" name="Column14304"/>
    <tableColumn id="14332" xr3:uid="{00000000-0010-0000-2000-0000FC370000}" name="Column14305"/>
    <tableColumn id="14333" xr3:uid="{00000000-0010-0000-2000-0000FD370000}" name="Column14306"/>
    <tableColumn id="14334" xr3:uid="{00000000-0010-0000-2000-0000FE370000}" name="Column14307"/>
    <tableColumn id="14335" xr3:uid="{00000000-0010-0000-2000-0000FF370000}" name="Column14308"/>
    <tableColumn id="14336" xr3:uid="{00000000-0010-0000-2000-000000380000}" name="Column14309"/>
    <tableColumn id="14337" xr3:uid="{00000000-0010-0000-2000-000001380000}" name="Column14310"/>
    <tableColumn id="14338" xr3:uid="{00000000-0010-0000-2000-000002380000}" name="Column14311"/>
    <tableColumn id="14339" xr3:uid="{00000000-0010-0000-2000-000003380000}" name="Column14312"/>
    <tableColumn id="14340" xr3:uid="{00000000-0010-0000-2000-000004380000}" name="Column14313"/>
    <tableColumn id="14341" xr3:uid="{00000000-0010-0000-2000-000005380000}" name="Column14314"/>
    <tableColumn id="14342" xr3:uid="{00000000-0010-0000-2000-000006380000}" name="Column14315"/>
    <tableColumn id="14343" xr3:uid="{00000000-0010-0000-2000-000007380000}" name="Column14316"/>
    <tableColumn id="14344" xr3:uid="{00000000-0010-0000-2000-000008380000}" name="Column14317"/>
    <tableColumn id="14345" xr3:uid="{00000000-0010-0000-2000-000009380000}" name="Column14318"/>
    <tableColumn id="14346" xr3:uid="{00000000-0010-0000-2000-00000A380000}" name="Column14319"/>
    <tableColumn id="14347" xr3:uid="{00000000-0010-0000-2000-00000B380000}" name="Column14320"/>
    <tableColumn id="14348" xr3:uid="{00000000-0010-0000-2000-00000C380000}" name="Column14321"/>
    <tableColumn id="14349" xr3:uid="{00000000-0010-0000-2000-00000D380000}" name="Column14322"/>
    <tableColumn id="14350" xr3:uid="{00000000-0010-0000-2000-00000E380000}" name="Column14323"/>
    <tableColumn id="14351" xr3:uid="{00000000-0010-0000-2000-00000F380000}" name="Column14324"/>
    <tableColumn id="14352" xr3:uid="{00000000-0010-0000-2000-000010380000}" name="Column14325"/>
    <tableColumn id="14353" xr3:uid="{00000000-0010-0000-2000-000011380000}" name="Column14326"/>
    <tableColumn id="14354" xr3:uid="{00000000-0010-0000-2000-000012380000}" name="Column14327"/>
    <tableColumn id="14355" xr3:uid="{00000000-0010-0000-2000-000013380000}" name="Column14328"/>
    <tableColumn id="14356" xr3:uid="{00000000-0010-0000-2000-000014380000}" name="Column14329"/>
    <tableColumn id="14357" xr3:uid="{00000000-0010-0000-2000-000015380000}" name="Column14330"/>
    <tableColumn id="14358" xr3:uid="{00000000-0010-0000-2000-000016380000}" name="Column14331"/>
    <tableColumn id="14359" xr3:uid="{00000000-0010-0000-2000-000017380000}" name="Column14332"/>
    <tableColumn id="14360" xr3:uid="{00000000-0010-0000-2000-000018380000}" name="Column14333"/>
    <tableColumn id="14361" xr3:uid="{00000000-0010-0000-2000-000019380000}" name="Column14334"/>
    <tableColumn id="14362" xr3:uid="{00000000-0010-0000-2000-00001A380000}" name="Column14335"/>
    <tableColumn id="14363" xr3:uid="{00000000-0010-0000-2000-00001B380000}" name="Column14336"/>
    <tableColumn id="14364" xr3:uid="{00000000-0010-0000-2000-00001C380000}" name="Column14337"/>
    <tableColumn id="14365" xr3:uid="{00000000-0010-0000-2000-00001D380000}" name="Column14338"/>
    <tableColumn id="14366" xr3:uid="{00000000-0010-0000-2000-00001E380000}" name="Column14339"/>
    <tableColumn id="14367" xr3:uid="{00000000-0010-0000-2000-00001F380000}" name="Column14340"/>
    <tableColumn id="14368" xr3:uid="{00000000-0010-0000-2000-000020380000}" name="Column14341"/>
    <tableColumn id="14369" xr3:uid="{00000000-0010-0000-2000-000021380000}" name="Column14342"/>
    <tableColumn id="14370" xr3:uid="{00000000-0010-0000-2000-000022380000}" name="Column14343"/>
    <tableColumn id="14371" xr3:uid="{00000000-0010-0000-2000-000023380000}" name="Column14344"/>
    <tableColumn id="14372" xr3:uid="{00000000-0010-0000-2000-000024380000}" name="Column14345"/>
    <tableColumn id="14373" xr3:uid="{00000000-0010-0000-2000-000025380000}" name="Column14346"/>
    <tableColumn id="14374" xr3:uid="{00000000-0010-0000-2000-000026380000}" name="Column14347"/>
    <tableColumn id="14375" xr3:uid="{00000000-0010-0000-2000-000027380000}" name="Column14348"/>
    <tableColumn id="14376" xr3:uid="{00000000-0010-0000-2000-000028380000}" name="Column14349"/>
    <tableColumn id="14377" xr3:uid="{00000000-0010-0000-2000-000029380000}" name="Column14350"/>
    <tableColumn id="14378" xr3:uid="{00000000-0010-0000-2000-00002A380000}" name="Column14351"/>
    <tableColumn id="14379" xr3:uid="{00000000-0010-0000-2000-00002B380000}" name="Column14352"/>
    <tableColumn id="14380" xr3:uid="{00000000-0010-0000-2000-00002C380000}" name="Column14353"/>
    <tableColumn id="14381" xr3:uid="{00000000-0010-0000-2000-00002D380000}" name="Column14354"/>
    <tableColumn id="14382" xr3:uid="{00000000-0010-0000-2000-00002E380000}" name="Column14355"/>
    <tableColumn id="14383" xr3:uid="{00000000-0010-0000-2000-00002F380000}" name="Column14356"/>
    <tableColumn id="14384" xr3:uid="{00000000-0010-0000-2000-000030380000}" name="Column14357"/>
    <tableColumn id="14385" xr3:uid="{00000000-0010-0000-2000-000031380000}" name="Column14358"/>
    <tableColumn id="14386" xr3:uid="{00000000-0010-0000-2000-000032380000}" name="Column14359"/>
    <tableColumn id="14387" xr3:uid="{00000000-0010-0000-2000-000033380000}" name="Column14360"/>
    <tableColumn id="14388" xr3:uid="{00000000-0010-0000-2000-000034380000}" name="Column14361"/>
    <tableColumn id="14389" xr3:uid="{00000000-0010-0000-2000-000035380000}" name="Column14362"/>
    <tableColumn id="14390" xr3:uid="{00000000-0010-0000-2000-000036380000}" name="Column14363"/>
    <tableColumn id="14391" xr3:uid="{00000000-0010-0000-2000-000037380000}" name="Column14364"/>
    <tableColumn id="14392" xr3:uid="{00000000-0010-0000-2000-000038380000}" name="Column14365"/>
    <tableColumn id="14393" xr3:uid="{00000000-0010-0000-2000-000039380000}" name="Column14366"/>
    <tableColumn id="14394" xr3:uid="{00000000-0010-0000-2000-00003A380000}" name="Column14367"/>
    <tableColumn id="14395" xr3:uid="{00000000-0010-0000-2000-00003B380000}" name="Column14368"/>
    <tableColumn id="14396" xr3:uid="{00000000-0010-0000-2000-00003C380000}" name="Column14369"/>
    <tableColumn id="14397" xr3:uid="{00000000-0010-0000-2000-00003D380000}" name="Column14370"/>
    <tableColumn id="14398" xr3:uid="{00000000-0010-0000-2000-00003E380000}" name="Column14371"/>
    <tableColumn id="14399" xr3:uid="{00000000-0010-0000-2000-00003F380000}" name="Column14372"/>
    <tableColumn id="14400" xr3:uid="{00000000-0010-0000-2000-000040380000}" name="Column14373"/>
    <tableColumn id="14401" xr3:uid="{00000000-0010-0000-2000-000041380000}" name="Column14374"/>
    <tableColumn id="14402" xr3:uid="{00000000-0010-0000-2000-000042380000}" name="Column14375"/>
    <tableColumn id="14403" xr3:uid="{00000000-0010-0000-2000-000043380000}" name="Column14376"/>
    <tableColumn id="14404" xr3:uid="{00000000-0010-0000-2000-000044380000}" name="Column14377"/>
    <tableColumn id="14405" xr3:uid="{00000000-0010-0000-2000-000045380000}" name="Column14378"/>
    <tableColumn id="14406" xr3:uid="{00000000-0010-0000-2000-000046380000}" name="Column14379"/>
    <tableColumn id="14407" xr3:uid="{00000000-0010-0000-2000-000047380000}" name="Column14380"/>
    <tableColumn id="14408" xr3:uid="{00000000-0010-0000-2000-000048380000}" name="Column14381"/>
    <tableColumn id="14409" xr3:uid="{00000000-0010-0000-2000-000049380000}" name="Column14382"/>
    <tableColumn id="14410" xr3:uid="{00000000-0010-0000-2000-00004A380000}" name="Column14383"/>
    <tableColumn id="14411" xr3:uid="{00000000-0010-0000-2000-00004B380000}" name="Column14384"/>
    <tableColumn id="14412" xr3:uid="{00000000-0010-0000-2000-00004C380000}" name="Column14385"/>
    <tableColumn id="14413" xr3:uid="{00000000-0010-0000-2000-00004D380000}" name="Column14386"/>
    <tableColumn id="14414" xr3:uid="{00000000-0010-0000-2000-00004E380000}" name="Column14387"/>
    <tableColumn id="14415" xr3:uid="{00000000-0010-0000-2000-00004F380000}" name="Column14388"/>
    <tableColumn id="14416" xr3:uid="{00000000-0010-0000-2000-000050380000}" name="Column14389"/>
    <tableColumn id="14417" xr3:uid="{00000000-0010-0000-2000-000051380000}" name="Column14390"/>
    <tableColumn id="14418" xr3:uid="{00000000-0010-0000-2000-000052380000}" name="Column14391"/>
    <tableColumn id="14419" xr3:uid="{00000000-0010-0000-2000-000053380000}" name="Column14392"/>
    <tableColumn id="14420" xr3:uid="{00000000-0010-0000-2000-000054380000}" name="Column14393"/>
    <tableColumn id="14421" xr3:uid="{00000000-0010-0000-2000-000055380000}" name="Column14394"/>
    <tableColumn id="14422" xr3:uid="{00000000-0010-0000-2000-000056380000}" name="Column14395"/>
    <tableColumn id="14423" xr3:uid="{00000000-0010-0000-2000-000057380000}" name="Column14396"/>
    <tableColumn id="14424" xr3:uid="{00000000-0010-0000-2000-000058380000}" name="Column14397"/>
    <tableColumn id="14425" xr3:uid="{00000000-0010-0000-2000-000059380000}" name="Column14398"/>
    <tableColumn id="14426" xr3:uid="{00000000-0010-0000-2000-00005A380000}" name="Column14399"/>
    <tableColumn id="14427" xr3:uid="{00000000-0010-0000-2000-00005B380000}" name="Column14400"/>
    <tableColumn id="14428" xr3:uid="{00000000-0010-0000-2000-00005C380000}" name="Column14401"/>
    <tableColumn id="14429" xr3:uid="{00000000-0010-0000-2000-00005D380000}" name="Column14402"/>
    <tableColumn id="14430" xr3:uid="{00000000-0010-0000-2000-00005E380000}" name="Column14403"/>
    <tableColumn id="14431" xr3:uid="{00000000-0010-0000-2000-00005F380000}" name="Column14404"/>
    <tableColumn id="14432" xr3:uid="{00000000-0010-0000-2000-000060380000}" name="Column14405"/>
    <tableColumn id="14433" xr3:uid="{00000000-0010-0000-2000-000061380000}" name="Column14406"/>
    <tableColumn id="14434" xr3:uid="{00000000-0010-0000-2000-000062380000}" name="Column14407"/>
    <tableColumn id="14435" xr3:uid="{00000000-0010-0000-2000-000063380000}" name="Column14408"/>
    <tableColumn id="14436" xr3:uid="{00000000-0010-0000-2000-000064380000}" name="Column14409"/>
    <tableColumn id="14437" xr3:uid="{00000000-0010-0000-2000-000065380000}" name="Column14410"/>
    <tableColumn id="14438" xr3:uid="{00000000-0010-0000-2000-000066380000}" name="Column14411"/>
    <tableColumn id="14439" xr3:uid="{00000000-0010-0000-2000-000067380000}" name="Column14412"/>
    <tableColumn id="14440" xr3:uid="{00000000-0010-0000-2000-000068380000}" name="Column14413"/>
    <tableColumn id="14441" xr3:uid="{00000000-0010-0000-2000-000069380000}" name="Column14414"/>
    <tableColumn id="14442" xr3:uid="{00000000-0010-0000-2000-00006A380000}" name="Column14415"/>
    <tableColumn id="14443" xr3:uid="{00000000-0010-0000-2000-00006B380000}" name="Column14416"/>
    <tableColumn id="14444" xr3:uid="{00000000-0010-0000-2000-00006C380000}" name="Column14417"/>
    <tableColumn id="14445" xr3:uid="{00000000-0010-0000-2000-00006D380000}" name="Column14418"/>
    <tableColumn id="14446" xr3:uid="{00000000-0010-0000-2000-00006E380000}" name="Column14419"/>
    <tableColumn id="14447" xr3:uid="{00000000-0010-0000-2000-00006F380000}" name="Column14420"/>
    <tableColumn id="14448" xr3:uid="{00000000-0010-0000-2000-000070380000}" name="Column14421"/>
    <tableColumn id="14449" xr3:uid="{00000000-0010-0000-2000-000071380000}" name="Column14422"/>
    <tableColumn id="14450" xr3:uid="{00000000-0010-0000-2000-000072380000}" name="Column14423"/>
    <tableColumn id="14451" xr3:uid="{00000000-0010-0000-2000-000073380000}" name="Column14424"/>
    <tableColumn id="14452" xr3:uid="{00000000-0010-0000-2000-000074380000}" name="Column14425"/>
    <tableColumn id="14453" xr3:uid="{00000000-0010-0000-2000-000075380000}" name="Column14426"/>
    <tableColumn id="14454" xr3:uid="{00000000-0010-0000-2000-000076380000}" name="Column14427"/>
    <tableColumn id="14455" xr3:uid="{00000000-0010-0000-2000-000077380000}" name="Column14428"/>
    <tableColumn id="14456" xr3:uid="{00000000-0010-0000-2000-000078380000}" name="Column14429"/>
    <tableColumn id="14457" xr3:uid="{00000000-0010-0000-2000-000079380000}" name="Column14430"/>
    <tableColumn id="14458" xr3:uid="{00000000-0010-0000-2000-00007A380000}" name="Column14431"/>
    <tableColumn id="14459" xr3:uid="{00000000-0010-0000-2000-00007B380000}" name="Column14432"/>
    <tableColumn id="14460" xr3:uid="{00000000-0010-0000-2000-00007C380000}" name="Column14433"/>
    <tableColumn id="14461" xr3:uid="{00000000-0010-0000-2000-00007D380000}" name="Column14434"/>
    <tableColumn id="14462" xr3:uid="{00000000-0010-0000-2000-00007E380000}" name="Column14435"/>
    <tableColumn id="14463" xr3:uid="{00000000-0010-0000-2000-00007F380000}" name="Column14436"/>
    <tableColumn id="14464" xr3:uid="{00000000-0010-0000-2000-000080380000}" name="Column14437"/>
    <tableColumn id="14465" xr3:uid="{00000000-0010-0000-2000-000081380000}" name="Column14438"/>
    <tableColumn id="14466" xr3:uid="{00000000-0010-0000-2000-000082380000}" name="Column14439"/>
    <tableColumn id="14467" xr3:uid="{00000000-0010-0000-2000-000083380000}" name="Column14440"/>
    <tableColumn id="14468" xr3:uid="{00000000-0010-0000-2000-000084380000}" name="Column14441"/>
    <tableColumn id="14469" xr3:uid="{00000000-0010-0000-2000-000085380000}" name="Column14442"/>
    <tableColumn id="14470" xr3:uid="{00000000-0010-0000-2000-000086380000}" name="Column14443"/>
    <tableColumn id="14471" xr3:uid="{00000000-0010-0000-2000-000087380000}" name="Column14444"/>
    <tableColumn id="14472" xr3:uid="{00000000-0010-0000-2000-000088380000}" name="Column14445"/>
    <tableColumn id="14473" xr3:uid="{00000000-0010-0000-2000-000089380000}" name="Column14446"/>
    <tableColumn id="14474" xr3:uid="{00000000-0010-0000-2000-00008A380000}" name="Column14447"/>
    <tableColumn id="14475" xr3:uid="{00000000-0010-0000-2000-00008B380000}" name="Column14448"/>
    <tableColumn id="14476" xr3:uid="{00000000-0010-0000-2000-00008C380000}" name="Column14449"/>
    <tableColumn id="14477" xr3:uid="{00000000-0010-0000-2000-00008D380000}" name="Column14450"/>
    <tableColumn id="14478" xr3:uid="{00000000-0010-0000-2000-00008E380000}" name="Column14451"/>
    <tableColumn id="14479" xr3:uid="{00000000-0010-0000-2000-00008F380000}" name="Column14452"/>
    <tableColumn id="14480" xr3:uid="{00000000-0010-0000-2000-000090380000}" name="Column14453"/>
    <tableColumn id="14481" xr3:uid="{00000000-0010-0000-2000-000091380000}" name="Column14454"/>
    <tableColumn id="14482" xr3:uid="{00000000-0010-0000-2000-000092380000}" name="Column14455"/>
    <tableColumn id="14483" xr3:uid="{00000000-0010-0000-2000-000093380000}" name="Column14456"/>
    <tableColumn id="14484" xr3:uid="{00000000-0010-0000-2000-000094380000}" name="Column14457"/>
    <tableColumn id="14485" xr3:uid="{00000000-0010-0000-2000-000095380000}" name="Column14458"/>
    <tableColumn id="14486" xr3:uid="{00000000-0010-0000-2000-000096380000}" name="Column14459"/>
    <tableColumn id="14487" xr3:uid="{00000000-0010-0000-2000-000097380000}" name="Column14460"/>
    <tableColumn id="14488" xr3:uid="{00000000-0010-0000-2000-000098380000}" name="Column14461"/>
    <tableColumn id="14489" xr3:uid="{00000000-0010-0000-2000-000099380000}" name="Column14462"/>
    <tableColumn id="14490" xr3:uid="{00000000-0010-0000-2000-00009A380000}" name="Column14463"/>
    <tableColumn id="14491" xr3:uid="{00000000-0010-0000-2000-00009B380000}" name="Column14464"/>
    <tableColumn id="14492" xr3:uid="{00000000-0010-0000-2000-00009C380000}" name="Column14465"/>
    <tableColumn id="14493" xr3:uid="{00000000-0010-0000-2000-00009D380000}" name="Column14466"/>
    <tableColumn id="14494" xr3:uid="{00000000-0010-0000-2000-00009E380000}" name="Column14467"/>
    <tableColumn id="14495" xr3:uid="{00000000-0010-0000-2000-00009F380000}" name="Column14468"/>
    <tableColumn id="14496" xr3:uid="{00000000-0010-0000-2000-0000A0380000}" name="Column14469"/>
    <tableColumn id="14497" xr3:uid="{00000000-0010-0000-2000-0000A1380000}" name="Column14470"/>
    <tableColumn id="14498" xr3:uid="{00000000-0010-0000-2000-0000A2380000}" name="Column14471"/>
    <tableColumn id="14499" xr3:uid="{00000000-0010-0000-2000-0000A3380000}" name="Column14472"/>
    <tableColumn id="14500" xr3:uid="{00000000-0010-0000-2000-0000A4380000}" name="Column14473"/>
    <tableColumn id="14501" xr3:uid="{00000000-0010-0000-2000-0000A5380000}" name="Column14474"/>
    <tableColumn id="14502" xr3:uid="{00000000-0010-0000-2000-0000A6380000}" name="Column14475"/>
    <tableColumn id="14503" xr3:uid="{00000000-0010-0000-2000-0000A7380000}" name="Column14476"/>
    <tableColumn id="14504" xr3:uid="{00000000-0010-0000-2000-0000A8380000}" name="Column14477"/>
    <tableColumn id="14505" xr3:uid="{00000000-0010-0000-2000-0000A9380000}" name="Column14478"/>
    <tableColumn id="14506" xr3:uid="{00000000-0010-0000-2000-0000AA380000}" name="Column14479"/>
    <tableColumn id="14507" xr3:uid="{00000000-0010-0000-2000-0000AB380000}" name="Column14480"/>
    <tableColumn id="14508" xr3:uid="{00000000-0010-0000-2000-0000AC380000}" name="Column14481"/>
    <tableColumn id="14509" xr3:uid="{00000000-0010-0000-2000-0000AD380000}" name="Column14482"/>
    <tableColumn id="14510" xr3:uid="{00000000-0010-0000-2000-0000AE380000}" name="Column14483"/>
    <tableColumn id="14511" xr3:uid="{00000000-0010-0000-2000-0000AF380000}" name="Column14484"/>
    <tableColumn id="14512" xr3:uid="{00000000-0010-0000-2000-0000B0380000}" name="Column14485"/>
    <tableColumn id="14513" xr3:uid="{00000000-0010-0000-2000-0000B1380000}" name="Column14486"/>
    <tableColumn id="14514" xr3:uid="{00000000-0010-0000-2000-0000B2380000}" name="Column14487"/>
    <tableColumn id="14515" xr3:uid="{00000000-0010-0000-2000-0000B3380000}" name="Column14488"/>
    <tableColumn id="14516" xr3:uid="{00000000-0010-0000-2000-0000B4380000}" name="Column14489"/>
    <tableColumn id="14517" xr3:uid="{00000000-0010-0000-2000-0000B5380000}" name="Column14490"/>
    <tableColumn id="14518" xr3:uid="{00000000-0010-0000-2000-0000B6380000}" name="Column14491"/>
    <tableColumn id="14519" xr3:uid="{00000000-0010-0000-2000-0000B7380000}" name="Column14492"/>
    <tableColumn id="14520" xr3:uid="{00000000-0010-0000-2000-0000B8380000}" name="Column14493"/>
    <tableColumn id="14521" xr3:uid="{00000000-0010-0000-2000-0000B9380000}" name="Column14494"/>
    <tableColumn id="14522" xr3:uid="{00000000-0010-0000-2000-0000BA380000}" name="Column14495"/>
    <tableColumn id="14523" xr3:uid="{00000000-0010-0000-2000-0000BB380000}" name="Column14496"/>
    <tableColumn id="14524" xr3:uid="{00000000-0010-0000-2000-0000BC380000}" name="Column14497"/>
    <tableColumn id="14525" xr3:uid="{00000000-0010-0000-2000-0000BD380000}" name="Column14498"/>
    <tableColumn id="14526" xr3:uid="{00000000-0010-0000-2000-0000BE380000}" name="Column14499"/>
    <tableColumn id="14527" xr3:uid="{00000000-0010-0000-2000-0000BF380000}" name="Column14500"/>
    <tableColumn id="14528" xr3:uid="{00000000-0010-0000-2000-0000C0380000}" name="Column14501"/>
    <tableColumn id="14529" xr3:uid="{00000000-0010-0000-2000-0000C1380000}" name="Column14502"/>
    <tableColumn id="14530" xr3:uid="{00000000-0010-0000-2000-0000C2380000}" name="Column14503"/>
    <tableColumn id="14531" xr3:uid="{00000000-0010-0000-2000-0000C3380000}" name="Column14504"/>
    <tableColumn id="14532" xr3:uid="{00000000-0010-0000-2000-0000C4380000}" name="Column14505"/>
    <tableColumn id="14533" xr3:uid="{00000000-0010-0000-2000-0000C5380000}" name="Column14506"/>
    <tableColumn id="14534" xr3:uid="{00000000-0010-0000-2000-0000C6380000}" name="Column14507"/>
    <tableColumn id="14535" xr3:uid="{00000000-0010-0000-2000-0000C7380000}" name="Column14508"/>
    <tableColumn id="14536" xr3:uid="{00000000-0010-0000-2000-0000C8380000}" name="Column14509"/>
    <tableColumn id="14537" xr3:uid="{00000000-0010-0000-2000-0000C9380000}" name="Column14510"/>
    <tableColumn id="14538" xr3:uid="{00000000-0010-0000-2000-0000CA380000}" name="Column14511"/>
    <tableColumn id="14539" xr3:uid="{00000000-0010-0000-2000-0000CB380000}" name="Column14512"/>
    <tableColumn id="14540" xr3:uid="{00000000-0010-0000-2000-0000CC380000}" name="Column14513"/>
    <tableColumn id="14541" xr3:uid="{00000000-0010-0000-2000-0000CD380000}" name="Column14514"/>
    <tableColumn id="14542" xr3:uid="{00000000-0010-0000-2000-0000CE380000}" name="Column14515"/>
    <tableColumn id="14543" xr3:uid="{00000000-0010-0000-2000-0000CF380000}" name="Column14516"/>
    <tableColumn id="14544" xr3:uid="{00000000-0010-0000-2000-0000D0380000}" name="Column14517"/>
    <tableColumn id="14545" xr3:uid="{00000000-0010-0000-2000-0000D1380000}" name="Column14518"/>
    <tableColumn id="14546" xr3:uid="{00000000-0010-0000-2000-0000D2380000}" name="Column14519"/>
    <tableColumn id="14547" xr3:uid="{00000000-0010-0000-2000-0000D3380000}" name="Column14520"/>
    <tableColumn id="14548" xr3:uid="{00000000-0010-0000-2000-0000D4380000}" name="Column14521"/>
    <tableColumn id="14549" xr3:uid="{00000000-0010-0000-2000-0000D5380000}" name="Column14522"/>
    <tableColumn id="14550" xr3:uid="{00000000-0010-0000-2000-0000D6380000}" name="Column14523"/>
    <tableColumn id="14551" xr3:uid="{00000000-0010-0000-2000-0000D7380000}" name="Column14524"/>
    <tableColumn id="14552" xr3:uid="{00000000-0010-0000-2000-0000D8380000}" name="Column14525"/>
    <tableColumn id="14553" xr3:uid="{00000000-0010-0000-2000-0000D9380000}" name="Column14526"/>
    <tableColumn id="14554" xr3:uid="{00000000-0010-0000-2000-0000DA380000}" name="Column14527"/>
    <tableColumn id="14555" xr3:uid="{00000000-0010-0000-2000-0000DB380000}" name="Column14528"/>
    <tableColumn id="14556" xr3:uid="{00000000-0010-0000-2000-0000DC380000}" name="Column14529"/>
    <tableColumn id="14557" xr3:uid="{00000000-0010-0000-2000-0000DD380000}" name="Column14530"/>
    <tableColumn id="14558" xr3:uid="{00000000-0010-0000-2000-0000DE380000}" name="Column14531"/>
    <tableColumn id="14559" xr3:uid="{00000000-0010-0000-2000-0000DF380000}" name="Column14532"/>
    <tableColumn id="14560" xr3:uid="{00000000-0010-0000-2000-0000E0380000}" name="Column14533"/>
    <tableColumn id="14561" xr3:uid="{00000000-0010-0000-2000-0000E1380000}" name="Column14534"/>
    <tableColumn id="14562" xr3:uid="{00000000-0010-0000-2000-0000E2380000}" name="Column14535"/>
    <tableColumn id="14563" xr3:uid="{00000000-0010-0000-2000-0000E3380000}" name="Column14536"/>
    <tableColumn id="14564" xr3:uid="{00000000-0010-0000-2000-0000E4380000}" name="Column14537"/>
    <tableColumn id="14565" xr3:uid="{00000000-0010-0000-2000-0000E5380000}" name="Column14538"/>
    <tableColumn id="14566" xr3:uid="{00000000-0010-0000-2000-0000E6380000}" name="Column14539"/>
    <tableColumn id="14567" xr3:uid="{00000000-0010-0000-2000-0000E7380000}" name="Column14540"/>
    <tableColumn id="14568" xr3:uid="{00000000-0010-0000-2000-0000E8380000}" name="Column14541"/>
    <tableColumn id="14569" xr3:uid="{00000000-0010-0000-2000-0000E9380000}" name="Column14542"/>
    <tableColumn id="14570" xr3:uid="{00000000-0010-0000-2000-0000EA380000}" name="Column14543"/>
    <tableColumn id="14571" xr3:uid="{00000000-0010-0000-2000-0000EB380000}" name="Column14544"/>
    <tableColumn id="14572" xr3:uid="{00000000-0010-0000-2000-0000EC380000}" name="Column14545"/>
    <tableColumn id="14573" xr3:uid="{00000000-0010-0000-2000-0000ED380000}" name="Column14546"/>
    <tableColumn id="14574" xr3:uid="{00000000-0010-0000-2000-0000EE380000}" name="Column14547"/>
    <tableColumn id="14575" xr3:uid="{00000000-0010-0000-2000-0000EF380000}" name="Column14548"/>
    <tableColumn id="14576" xr3:uid="{00000000-0010-0000-2000-0000F0380000}" name="Column14549"/>
    <tableColumn id="14577" xr3:uid="{00000000-0010-0000-2000-0000F1380000}" name="Column14550"/>
    <tableColumn id="14578" xr3:uid="{00000000-0010-0000-2000-0000F2380000}" name="Column14551"/>
    <tableColumn id="14579" xr3:uid="{00000000-0010-0000-2000-0000F3380000}" name="Column14552"/>
    <tableColumn id="14580" xr3:uid="{00000000-0010-0000-2000-0000F4380000}" name="Column14553"/>
    <tableColumn id="14581" xr3:uid="{00000000-0010-0000-2000-0000F5380000}" name="Column14554"/>
    <tableColumn id="14582" xr3:uid="{00000000-0010-0000-2000-0000F6380000}" name="Column14555"/>
    <tableColumn id="14583" xr3:uid="{00000000-0010-0000-2000-0000F7380000}" name="Column14556"/>
    <tableColumn id="14584" xr3:uid="{00000000-0010-0000-2000-0000F8380000}" name="Column14557"/>
    <tableColumn id="14585" xr3:uid="{00000000-0010-0000-2000-0000F9380000}" name="Column14558"/>
    <tableColumn id="14586" xr3:uid="{00000000-0010-0000-2000-0000FA380000}" name="Column14559"/>
    <tableColumn id="14587" xr3:uid="{00000000-0010-0000-2000-0000FB380000}" name="Column14560"/>
    <tableColumn id="14588" xr3:uid="{00000000-0010-0000-2000-0000FC380000}" name="Column14561"/>
    <tableColumn id="14589" xr3:uid="{00000000-0010-0000-2000-0000FD380000}" name="Column14562"/>
    <tableColumn id="14590" xr3:uid="{00000000-0010-0000-2000-0000FE380000}" name="Column14563"/>
    <tableColumn id="14591" xr3:uid="{00000000-0010-0000-2000-0000FF380000}" name="Column14564"/>
    <tableColumn id="14592" xr3:uid="{00000000-0010-0000-2000-000000390000}" name="Column14565"/>
    <tableColumn id="14593" xr3:uid="{00000000-0010-0000-2000-000001390000}" name="Column14566"/>
    <tableColumn id="14594" xr3:uid="{00000000-0010-0000-2000-000002390000}" name="Column14567"/>
    <tableColumn id="14595" xr3:uid="{00000000-0010-0000-2000-000003390000}" name="Column14568"/>
    <tableColumn id="14596" xr3:uid="{00000000-0010-0000-2000-000004390000}" name="Column14569"/>
    <tableColumn id="14597" xr3:uid="{00000000-0010-0000-2000-000005390000}" name="Column14570"/>
    <tableColumn id="14598" xr3:uid="{00000000-0010-0000-2000-000006390000}" name="Column14571"/>
    <tableColumn id="14599" xr3:uid="{00000000-0010-0000-2000-000007390000}" name="Column14572"/>
    <tableColumn id="14600" xr3:uid="{00000000-0010-0000-2000-000008390000}" name="Column14573"/>
    <tableColumn id="14601" xr3:uid="{00000000-0010-0000-2000-000009390000}" name="Column14574"/>
    <tableColumn id="14602" xr3:uid="{00000000-0010-0000-2000-00000A390000}" name="Column14575"/>
    <tableColumn id="14603" xr3:uid="{00000000-0010-0000-2000-00000B390000}" name="Column14576"/>
    <tableColumn id="14604" xr3:uid="{00000000-0010-0000-2000-00000C390000}" name="Column14577"/>
    <tableColumn id="14605" xr3:uid="{00000000-0010-0000-2000-00000D390000}" name="Column14578"/>
    <tableColumn id="14606" xr3:uid="{00000000-0010-0000-2000-00000E390000}" name="Column14579"/>
    <tableColumn id="14607" xr3:uid="{00000000-0010-0000-2000-00000F390000}" name="Column14580"/>
    <tableColumn id="14608" xr3:uid="{00000000-0010-0000-2000-000010390000}" name="Column14581"/>
    <tableColumn id="14609" xr3:uid="{00000000-0010-0000-2000-000011390000}" name="Column14582"/>
    <tableColumn id="14610" xr3:uid="{00000000-0010-0000-2000-000012390000}" name="Column14583"/>
    <tableColumn id="14611" xr3:uid="{00000000-0010-0000-2000-000013390000}" name="Column14584"/>
    <tableColumn id="14612" xr3:uid="{00000000-0010-0000-2000-000014390000}" name="Column14585"/>
    <tableColumn id="14613" xr3:uid="{00000000-0010-0000-2000-000015390000}" name="Column14586"/>
    <tableColumn id="14614" xr3:uid="{00000000-0010-0000-2000-000016390000}" name="Column14587"/>
    <tableColumn id="14615" xr3:uid="{00000000-0010-0000-2000-000017390000}" name="Column14588"/>
    <tableColumn id="14616" xr3:uid="{00000000-0010-0000-2000-000018390000}" name="Column14589"/>
    <tableColumn id="14617" xr3:uid="{00000000-0010-0000-2000-000019390000}" name="Column14590"/>
    <tableColumn id="14618" xr3:uid="{00000000-0010-0000-2000-00001A390000}" name="Column14591"/>
    <tableColumn id="14619" xr3:uid="{00000000-0010-0000-2000-00001B390000}" name="Column14592"/>
    <tableColumn id="14620" xr3:uid="{00000000-0010-0000-2000-00001C390000}" name="Column14593"/>
    <tableColumn id="14621" xr3:uid="{00000000-0010-0000-2000-00001D390000}" name="Column14594"/>
    <tableColumn id="14622" xr3:uid="{00000000-0010-0000-2000-00001E390000}" name="Column14595"/>
    <tableColumn id="14623" xr3:uid="{00000000-0010-0000-2000-00001F390000}" name="Column14596"/>
    <tableColumn id="14624" xr3:uid="{00000000-0010-0000-2000-000020390000}" name="Column14597"/>
    <tableColumn id="14625" xr3:uid="{00000000-0010-0000-2000-000021390000}" name="Column14598"/>
    <tableColumn id="14626" xr3:uid="{00000000-0010-0000-2000-000022390000}" name="Column14599"/>
    <tableColumn id="14627" xr3:uid="{00000000-0010-0000-2000-000023390000}" name="Column14600"/>
    <tableColumn id="14628" xr3:uid="{00000000-0010-0000-2000-000024390000}" name="Column14601"/>
    <tableColumn id="14629" xr3:uid="{00000000-0010-0000-2000-000025390000}" name="Column14602"/>
    <tableColumn id="14630" xr3:uid="{00000000-0010-0000-2000-000026390000}" name="Column14603"/>
    <tableColumn id="14631" xr3:uid="{00000000-0010-0000-2000-000027390000}" name="Column14604"/>
    <tableColumn id="14632" xr3:uid="{00000000-0010-0000-2000-000028390000}" name="Column14605"/>
    <tableColumn id="14633" xr3:uid="{00000000-0010-0000-2000-000029390000}" name="Column14606"/>
    <tableColumn id="14634" xr3:uid="{00000000-0010-0000-2000-00002A390000}" name="Column14607"/>
    <tableColumn id="14635" xr3:uid="{00000000-0010-0000-2000-00002B390000}" name="Column14608"/>
    <tableColumn id="14636" xr3:uid="{00000000-0010-0000-2000-00002C390000}" name="Column14609"/>
    <tableColumn id="14637" xr3:uid="{00000000-0010-0000-2000-00002D390000}" name="Column14610"/>
    <tableColumn id="14638" xr3:uid="{00000000-0010-0000-2000-00002E390000}" name="Column14611"/>
    <tableColumn id="14639" xr3:uid="{00000000-0010-0000-2000-00002F390000}" name="Column14612"/>
    <tableColumn id="14640" xr3:uid="{00000000-0010-0000-2000-000030390000}" name="Column14613"/>
    <tableColumn id="14641" xr3:uid="{00000000-0010-0000-2000-000031390000}" name="Column14614"/>
    <tableColumn id="14642" xr3:uid="{00000000-0010-0000-2000-000032390000}" name="Column14615"/>
    <tableColumn id="14643" xr3:uid="{00000000-0010-0000-2000-000033390000}" name="Column14616"/>
    <tableColumn id="14644" xr3:uid="{00000000-0010-0000-2000-000034390000}" name="Column14617"/>
    <tableColumn id="14645" xr3:uid="{00000000-0010-0000-2000-000035390000}" name="Column14618"/>
    <tableColumn id="14646" xr3:uid="{00000000-0010-0000-2000-000036390000}" name="Column14619"/>
    <tableColumn id="14647" xr3:uid="{00000000-0010-0000-2000-000037390000}" name="Column14620"/>
    <tableColumn id="14648" xr3:uid="{00000000-0010-0000-2000-000038390000}" name="Column14621"/>
    <tableColumn id="14649" xr3:uid="{00000000-0010-0000-2000-000039390000}" name="Column14622"/>
    <tableColumn id="14650" xr3:uid="{00000000-0010-0000-2000-00003A390000}" name="Column14623"/>
    <tableColumn id="14651" xr3:uid="{00000000-0010-0000-2000-00003B390000}" name="Column14624"/>
    <tableColumn id="14652" xr3:uid="{00000000-0010-0000-2000-00003C390000}" name="Column14625"/>
    <tableColumn id="14653" xr3:uid="{00000000-0010-0000-2000-00003D390000}" name="Column14626"/>
    <tableColumn id="14654" xr3:uid="{00000000-0010-0000-2000-00003E390000}" name="Column14627"/>
    <tableColumn id="14655" xr3:uid="{00000000-0010-0000-2000-00003F390000}" name="Column14628"/>
    <tableColumn id="14656" xr3:uid="{00000000-0010-0000-2000-000040390000}" name="Column14629"/>
    <tableColumn id="14657" xr3:uid="{00000000-0010-0000-2000-000041390000}" name="Column14630"/>
    <tableColumn id="14658" xr3:uid="{00000000-0010-0000-2000-000042390000}" name="Column14631"/>
    <tableColumn id="14659" xr3:uid="{00000000-0010-0000-2000-000043390000}" name="Column14632"/>
    <tableColumn id="14660" xr3:uid="{00000000-0010-0000-2000-000044390000}" name="Column14633"/>
    <tableColumn id="14661" xr3:uid="{00000000-0010-0000-2000-000045390000}" name="Column14634"/>
    <tableColumn id="14662" xr3:uid="{00000000-0010-0000-2000-000046390000}" name="Column14635"/>
    <tableColumn id="14663" xr3:uid="{00000000-0010-0000-2000-000047390000}" name="Column14636"/>
    <tableColumn id="14664" xr3:uid="{00000000-0010-0000-2000-000048390000}" name="Column14637"/>
    <tableColumn id="14665" xr3:uid="{00000000-0010-0000-2000-000049390000}" name="Column14638"/>
    <tableColumn id="14666" xr3:uid="{00000000-0010-0000-2000-00004A390000}" name="Column14639"/>
    <tableColumn id="14667" xr3:uid="{00000000-0010-0000-2000-00004B390000}" name="Column14640"/>
    <tableColumn id="14668" xr3:uid="{00000000-0010-0000-2000-00004C390000}" name="Column14641"/>
    <tableColumn id="14669" xr3:uid="{00000000-0010-0000-2000-00004D390000}" name="Column14642"/>
    <tableColumn id="14670" xr3:uid="{00000000-0010-0000-2000-00004E390000}" name="Column14643"/>
    <tableColumn id="14671" xr3:uid="{00000000-0010-0000-2000-00004F390000}" name="Column14644"/>
    <tableColumn id="14672" xr3:uid="{00000000-0010-0000-2000-000050390000}" name="Column14645"/>
    <tableColumn id="14673" xr3:uid="{00000000-0010-0000-2000-000051390000}" name="Column14646"/>
    <tableColumn id="14674" xr3:uid="{00000000-0010-0000-2000-000052390000}" name="Column14647"/>
    <tableColumn id="14675" xr3:uid="{00000000-0010-0000-2000-000053390000}" name="Column14648"/>
    <tableColumn id="14676" xr3:uid="{00000000-0010-0000-2000-000054390000}" name="Column14649"/>
    <tableColumn id="14677" xr3:uid="{00000000-0010-0000-2000-000055390000}" name="Column14650"/>
    <tableColumn id="14678" xr3:uid="{00000000-0010-0000-2000-000056390000}" name="Column14651"/>
    <tableColumn id="14679" xr3:uid="{00000000-0010-0000-2000-000057390000}" name="Column14652"/>
    <tableColumn id="14680" xr3:uid="{00000000-0010-0000-2000-000058390000}" name="Column14653"/>
    <tableColumn id="14681" xr3:uid="{00000000-0010-0000-2000-000059390000}" name="Column14654"/>
    <tableColumn id="14682" xr3:uid="{00000000-0010-0000-2000-00005A390000}" name="Column14655"/>
    <tableColumn id="14683" xr3:uid="{00000000-0010-0000-2000-00005B390000}" name="Column14656"/>
    <tableColumn id="14684" xr3:uid="{00000000-0010-0000-2000-00005C390000}" name="Column14657"/>
    <tableColumn id="14685" xr3:uid="{00000000-0010-0000-2000-00005D390000}" name="Column14658"/>
    <tableColumn id="14686" xr3:uid="{00000000-0010-0000-2000-00005E390000}" name="Column14659"/>
    <tableColumn id="14687" xr3:uid="{00000000-0010-0000-2000-00005F390000}" name="Column14660"/>
    <tableColumn id="14688" xr3:uid="{00000000-0010-0000-2000-000060390000}" name="Column14661"/>
    <tableColumn id="14689" xr3:uid="{00000000-0010-0000-2000-000061390000}" name="Column14662"/>
    <tableColumn id="14690" xr3:uid="{00000000-0010-0000-2000-000062390000}" name="Column14663"/>
    <tableColumn id="14691" xr3:uid="{00000000-0010-0000-2000-000063390000}" name="Column14664"/>
    <tableColumn id="14692" xr3:uid="{00000000-0010-0000-2000-000064390000}" name="Column14665"/>
    <tableColumn id="14693" xr3:uid="{00000000-0010-0000-2000-000065390000}" name="Column14666"/>
    <tableColumn id="14694" xr3:uid="{00000000-0010-0000-2000-000066390000}" name="Column14667"/>
    <tableColumn id="14695" xr3:uid="{00000000-0010-0000-2000-000067390000}" name="Column14668"/>
    <tableColumn id="14696" xr3:uid="{00000000-0010-0000-2000-000068390000}" name="Column14669"/>
    <tableColumn id="14697" xr3:uid="{00000000-0010-0000-2000-000069390000}" name="Column14670"/>
    <tableColumn id="14698" xr3:uid="{00000000-0010-0000-2000-00006A390000}" name="Column14671"/>
    <tableColumn id="14699" xr3:uid="{00000000-0010-0000-2000-00006B390000}" name="Column14672"/>
    <tableColumn id="14700" xr3:uid="{00000000-0010-0000-2000-00006C390000}" name="Column14673"/>
    <tableColumn id="14701" xr3:uid="{00000000-0010-0000-2000-00006D390000}" name="Column14674"/>
    <tableColumn id="14702" xr3:uid="{00000000-0010-0000-2000-00006E390000}" name="Column14675"/>
    <tableColumn id="14703" xr3:uid="{00000000-0010-0000-2000-00006F390000}" name="Column14676"/>
    <tableColumn id="14704" xr3:uid="{00000000-0010-0000-2000-000070390000}" name="Column14677"/>
    <tableColumn id="14705" xr3:uid="{00000000-0010-0000-2000-000071390000}" name="Column14678"/>
    <tableColumn id="14706" xr3:uid="{00000000-0010-0000-2000-000072390000}" name="Column14679"/>
    <tableColumn id="14707" xr3:uid="{00000000-0010-0000-2000-000073390000}" name="Column14680"/>
    <tableColumn id="14708" xr3:uid="{00000000-0010-0000-2000-000074390000}" name="Column14681"/>
    <tableColumn id="14709" xr3:uid="{00000000-0010-0000-2000-000075390000}" name="Column14682"/>
    <tableColumn id="14710" xr3:uid="{00000000-0010-0000-2000-000076390000}" name="Column14683"/>
    <tableColumn id="14711" xr3:uid="{00000000-0010-0000-2000-000077390000}" name="Column14684"/>
    <tableColumn id="14712" xr3:uid="{00000000-0010-0000-2000-000078390000}" name="Column14685"/>
    <tableColumn id="14713" xr3:uid="{00000000-0010-0000-2000-000079390000}" name="Column14686"/>
    <tableColumn id="14714" xr3:uid="{00000000-0010-0000-2000-00007A390000}" name="Column14687"/>
    <tableColumn id="14715" xr3:uid="{00000000-0010-0000-2000-00007B390000}" name="Column14688"/>
    <tableColumn id="14716" xr3:uid="{00000000-0010-0000-2000-00007C390000}" name="Column14689"/>
    <tableColumn id="14717" xr3:uid="{00000000-0010-0000-2000-00007D390000}" name="Column14690"/>
    <tableColumn id="14718" xr3:uid="{00000000-0010-0000-2000-00007E390000}" name="Column14691"/>
    <tableColumn id="14719" xr3:uid="{00000000-0010-0000-2000-00007F390000}" name="Column14692"/>
    <tableColumn id="14720" xr3:uid="{00000000-0010-0000-2000-000080390000}" name="Column14693"/>
    <tableColumn id="14721" xr3:uid="{00000000-0010-0000-2000-000081390000}" name="Column14694"/>
    <tableColumn id="14722" xr3:uid="{00000000-0010-0000-2000-000082390000}" name="Column14695"/>
    <tableColumn id="14723" xr3:uid="{00000000-0010-0000-2000-000083390000}" name="Column14696"/>
    <tableColumn id="14724" xr3:uid="{00000000-0010-0000-2000-000084390000}" name="Column14697"/>
    <tableColumn id="14725" xr3:uid="{00000000-0010-0000-2000-000085390000}" name="Column14698"/>
    <tableColumn id="14726" xr3:uid="{00000000-0010-0000-2000-000086390000}" name="Column14699"/>
    <tableColumn id="14727" xr3:uid="{00000000-0010-0000-2000-000087390000}" name="Column14700"/>
    <tableColumn id="14728" xr3:uid="{00000000-0010-0000-2000-000088390000}" name="Column14701"/>
    <tableColumn id="14729" xr3:uid="{00000000-0010-0000-2000-000089390000}" name="Column14702"/>
    <tableColumn id="14730" xr3:uid="{00000000-0010-0000-2000-00008A390000}" name="Column14703"/>
    <tableColumn id="14731" xr3:uid="{00000000-0010-0000-2000-00008B390000}" name="Column14704"/>
    <tableColumn id="14732" xr3:uid="{00000000-0010-0000-2000-00008C390000}" name="Column14705"/>
    <tableColumn id="14733" xr3:uid="{00000000-0010-0000-2000-00008D390000}" name="Column14706"/>
    <tableColumn id="14734" xr3:uid="{00000000-0010-0000-2000-00008E390000}" name="Column14707"/>
    <tableColumn id="14735" xr3:uid="{00000000-0010-0000-2000-00008F390000}" name="Column14708"/>
    <tableColumn id="14736" xr3:uid="{00000000-0010-0000-2000-000090390000}" name="Column14709"/>
    <tableColumn id="14737" xr3:uid="{00000000-0010-0000-2000-000091390000}" name="Column14710"/>
    <tableColumn id="14738" xr3:uid="{00000000-0010-0000-2000-000092390000}" name="Column14711"/>
    <tableColumn id="14739" xr3:uid="{00000000-0010-0000-2000-000093390000}" name="Column14712"/>
    <tableColumn id="14740" xr3:uid="{00000000-0010-0000-2000-000094390000}" name="Column14713"/>
    <tableColumn id="14741" xr3:uid="{00000000-0010-0000-2000-000095390000}" name="Column14714"/>
    <tableColumn id="14742" xr3:uid="{00000000-0010-0000-2000-000096390000}" name="Column14715"/>
    <tableColumn id="14743" xr3:uid="{00000000-0010-0000-2000-000097390000}" name="Column14716"/>
    <tableColumn id="14744" xr3:uid="{00000000-0010-0000-2000-000098390000}" name="Column14717"/>
    <tableColumn id="14745" xr3:uid="{00000000-0010-0000-2000-000099390000}" name="Column14718"/>
    <tableColumn id="14746" xr3:uid="{00000000-0010-0000-2000-00009A390000}" name="Column14719"/>
    <tableColumn id="14747" xr3:uid="{00000000-0010-0000-2000-00009B390000}" name="Column14720"/>
    <tableColumn id="14748" xr3:uid="{00000000-0010-0000-2000-00009C390000}" name="Column14721"/>
    <tableColumn id="14749" xr3:uid="{00000000-0010-0000-2000-00009D390000}" name="Column14722"/>
    <tableColumn id="14750" xr3:uid="{00000000-0010-0000-2000-00009E390000}" name="Column14723"/>
    <tableColumn id="14751" xr3:uid="{00000000-0010-0000-2000-00009F390000}" name="Column14724"/>
    <tableColumn id="14752" xr3:uid="{00000000-0010-0000-2000-0000A0390000}" name="Column14725"/>
    <tableColumn id="14753" xr3:uid="{00000000-0010-0000-2000-0000A1390000}" name="Column14726"/>
    <tableColumn id="14754" xr3:uid="{00000000-0010-0000-2000-0000A2390000}" name="Column14727"/>
    <tableColumn id="14755" xr3:uid="{00000000-0010-0000-2000-0000A3390000}" name="Column14728"/>
    <tableColumn id="14756" xr3:uid="{00000000-0010-0000-2000-0000A4390000}" name="Column14729"/>
    <tableColumn id="14757" xr3:uid="{00000000-0010-0000-2000-0000A5390000}" name="Column14730"/>
    <tableColumn id="14758" xr3:uid="{00000000-0010-0000-2000-0000A6390000}" name="Column14731"/>
    <tableColumn id="14759" xr3:uid="{00000000-0010-0000-2000-0000A7390000}" name="Column14732"/>
    <tableColumn id="14760" xr3:uid="{00000000-0010-0000-2000-0000A8390000}" name="Column14733"/>
    <tableColumn id="14761" xr3:uid="{00000000-0010-0000-2000-0000A9390000}" name="Column14734"/>
    <tableColumn id="14762" xr3:uid="{00000000-0010-0000-2000-0000AA390000}" name="Column14735"/>
    <tableColumn id="14763" xr3:uid="{00000000-0010-0000-2000-0000AB390000}" name="Column14736"/>
    <tableColumn id="14764" xr3:uid="{00000000-0010-0000-2000-0000AC390000}" name="Column14737"/>
    <tableColumn id="14765" xr3:uid="{00000000-0010-0000-2000-0000AD390000}" name="Column14738"/>
    <tableColumn id="14766" xr3:uid="{00000000-0010-0000-2000-0000AE390000}" name="Column14739"/>
    <tableColumn id="14767" xr3:uid="{00000000-0010-0000-2000-0000AF390000}" name="Column14740"/>
    <tableColumn id="14768" xr3:uid="{00000000-0010-0000-2000-0000B0390000}" name="Column14741"/>
    <tableColumn id="14769" xr3:uid="{00000000-0010-0000-2000-0000B1390000}" name="Column14742"/>
    <tableColumn id="14770" xr3:uid="{00000000-0010-0000-2000-0000B2390000}" name="Column14743"/>
    <tableColumn id="14771" xr3:uid="{00000000-0010-0000-2000-0000B3390000}" name="Column14744"/>
    <tableColumn id="14772" xr3:uid="{00000000-0010-0000-2000-0000B4390000}" name="Column14745"/>
    <tableColumn id="14773" xr3:uid="{00000000-0010-0000-2000-0000B5390000}" name="Column14746"/>
    <tableColumn id="14774" xr3:uid="{00000000-0010-0000-2000-0000B6390000}" name="Column14747"/>
    <tableColumn id="14775" xr3:uid="{00000000-0010-0000-2000-0000B7390000}" name="Column14748"/>
    <tableColumn id="14776" xr3:uid="{00000000-0010-0000-2000-0000B8390000}" name="Column14749"/>
    <tableColumn id="14777" xr3:uid="{00000000-0010-0000-2000-0000B9390000}" name="Column14750"/>
    <tableColumn id="14778" xr3:uid="{00000000-0010-0000-2000-0000BA390000}" name="Column14751"/>
    <tableColumn id="14779" xr3:uid="{00000000-0010-0000-2000-0000BB390000}" name="Column14752"/>
    <tableColumn id="14780" xr3:uid="{00000000-0010-0000-2000-0000BC390000}" name="Column14753"/>
    <tableColumn id="14781" xr3:uid="{00000000-0010-0000-2000-0000BD390000}" name="Column14754"/>
    <tableColumn id="14782" xr3:uid="{00000000-0010-0000-2000-0000BE390000}" name="Column14755"/>
    <tableColumn id="14783" xr3:uid="{00000000-0010-0000-2000-0000BF390000}" name="Column14756"/>
    <tableColumn id="14784" xr3:uid="{00000000-0010-0000-2000-0000C0390000}" name="Column14757"/>
    <tableColumn id="14785" xr3:uid="{00000000-0010-0000-2000-0000C1390000}" name="Column14758"/>
    <tableColumn id="14786" xr3:uid="{00000000-0010-0000-2000-0000C2390000}" name="Column14759"/>
    <tableColumn id="14787" xr3:uid="{00000000-0010-0000-2000-0000C3390000}" name="Column14760"/>
    <tableColumn id="14788" xr3:uid="{00000000-0010-0000-2000-0000C4390000}" name="Column14761"/>
    <tableColumn id="14789" xr3:uid="{00000000-0010-0000-2000-0000C5390000}" name="Column14762"/>
    <tableColumn id="14790" xr3:uid="{00000000-0010-0000-2000-0000C6390000}" name="Column14763"/>
    <tableColumn id="14791" xr3:uid="{00000000-0010-0000-2000-0000C7390000}" name="Column14764"/>
    <tableColumn id="14792" xr3:uid="{00000000-0010-0000-2000-0000C8390000}" name="Column14765"/>
    <tableColumn id="14793" xr3:uid="{00000000-0010-0000-2000-0000C9390000}" name="Column14766"/>
    <tableColumn id="14794" xr3:uid="{00000000-0010-0000-2000-0000CA390000}" name="Column14767"/>
    <tableColumn id="14795" xr3:uid="{00000000-0010-0000-2000-0000CB390000}" name="Column14768"/>
    <tableColumn id="14796" xr3:uid="{00000000-0010-0000-2000-0000CC390000}" name="Column14769"/>
    <tableColumn id="14797" xr3:uid="{00000000-0010-0000-2000-0000CD390000}" name="Column14770"/>
    <tableColumn id="14798" xr3:uid="{00000000-0010-0000-2000-0000CE390000}" name="Column14771"/>
    <tableColumn id="14799" xr3:uid="{00000000-0010-0000-2000-0000CF390000}" name="Column14772"/>
    <tableColumn id="14800" xr3:uid="{00000000-0010-0000-2000-0000D0390000}" name="Column14773"/>
    <tableColumn id="14801" xr3:uid="{00000000-0010-0000-2000-0000D1390000}" name="Column14774"/>
    <tableColumn id="14802" xr3:uid="{00000000-0010-0000-2000-0000D2390000}" name="Column14775"/>
    <tableColumn id="14803" xr3:uid="{00000000-0010-0000-2000-0000D3390000}" name="Column14776"/>
    <tableColumn id="14804" xr3:uid="{00000000-0010-0000-2000-0000D4390000}" name="Column14777"/>
    <tableColumn id="14805" xr3:uid="{00000000-0010-0000-2000-0000D5390000}" name="Column14778"/>
    <tableColumn id="14806" xr3:uid="{00000000-0010-0000-2000-0000D6390000}" name="Column14779"/>
    <tableColumn id="14807" xr3:uid="{00000000-0010-0000-2000-0000D7390000}" name="Column14780"/>
    <tableColumn id="14808" xr3:uid="{00000000-0010-0000-2000-0000D8390000}" name="Column14781"/>
    <tableColumn id="14809" xr3:uid="{00000000-0010-0000-2000-0000D9390000}" name="Column14782"/>
    <tableColumn id="14810" xr3:uid="{00000000-0010-0000-2000-0000DA390000}" name="Column14783"/>
    <tableColumn id="14811" xr3:uid="{00000000-0010-0000-2000-0000DB390000}" name="Column14784"/>
    <tableColumn id="14812" xr3:uid="{00000000-0010-0000-2000-0000DC390000}" name="Column14785"/>
    <tableColumn id="14813" xr3:uid="{00000000-0010-0000-2000-0000DD390000}" name="Column14786"/>
    <tableColumn id="14814" xr3:uid="{00000000-0010-0000-2000-0000DE390000}" name="Column14787"/>
    <tableColumn id="14815" xr3:uid="{00000000-0010-0000-2000-0000DF390000}" name="Column14788"/>
    <tableColumn id="14816" xr3:uid="{00000000-0010-0000-2000-0000E0390000}" name="Column14789"/>
    <tableColumn id="14817" xr3:uid="{00000000-0010-0000-2000-0000E1390000}" name="Column14790"/>
    <tableColumn id="14818" xr3:uid="{00000000-0010-0000-2000-0000E2390000}" name="Column14791"/>
    <tableColumn id="14819" xr3:uid="{00000000-0010-0000-2000-0000E3390000}" name="Column14792"/>
    <tableColumn id="14820" xr3:uid="{00000000-0010-0000-2000-0000E4390000}" name="Column14793"/>
    <tableColumn id="14821" xr3:uid="{00000000-0010-0000-2000-0000E5390000}" name="Column14794"/>
    <tableColumn id="14822" xr3:uid="{00000000-0010-0000-2000-0000E6390000}" name="Column14795"/>
    <tableColumn id="14823" xr3:uid="{00000000-0010-0000-2000-0000E7390000}" name="Column14796"/>
    <tableColumn id="14824" xr3:uid="{00000000-0010-0000-2000-0000E8390000}" name="Column14797"/>
    <tableColumn id="14825" xr3:uid="{00000000-0010-0000-2000-0000E9390000}" name="Column14798"/>
    <tableColumn id="14826" xr3:uid="{00000000-0010-0000-2000-0000EA390000}" name="Column14799"/>
    <tableColumn id="14827" xr3:uid="{00000000-0010-0000-2000-0000EB390000}" name="Column14800"/>
    <tableColumn id="14828" xr3:uid="{00000000-0010-0000-2000-0000EC390000}" name="Column14801"/>
    <tableColumn id="14829" xr3:uid="{00000000-0010-0000-2000-0000ED390000}" name="Column14802"/>
    <tableColumn id="14830" xr3:uid="{00000000-0010-0000-2000-0000EE390000}" name="Column14803"/>
    <tableColumn id="14831" xr3:uid="{00000000-0010-0000-2000-0000EF390000}" name="Column14804"/>
    <tableColumn id="14832" xr3:uid="{00000000-0010-0000-2000-0000F0390000}" name="Column14805"/>
    <tableColumn id="14833" xr3:uid="{00000000-0010-0000-2000-0000F1390000}" name="Column14806"/>
    <tableColumn id="14834" xr3:uid="{00000000-0010-0000-2000-0000F2390000}" name="Column14807"/>
    <tableColumn id="14835" xr3:uid="{00000000-0010-0000-2000-0000F3390000}" name="Column14808"/>
    <tableColumn id="14836" xr3:uid="{00000000-0010-0000-2000-0000F4390000}" name="Column14809"/>
    <tableColumn id="14837" xr3:uid="{00000000-0010-0000-2000-0000F5390000}" name="Column14810"/>
    <tableColumn id="14838" xr3:uid="{00000000-0010-0000-2000-0000F6390000}" name="Column14811"/>
    <tableColumn id="14839" xr3:uid="{00000000-0010-0000-2000-0000F7390000}" name="Column14812"/>
    <tableColumn id="14840" xr3:uid="{00000000-0010-0000-2000-0000F8390000}" name="Column14813"/>
    <tableColumn id="14841" xr3:uid="{00000000-0010-0000-2000-0000F9390000}" name="Column14814"/>
    <tableColumn id="14842" xr3:uid="{00000000-0010-0000-2000-0000FA390000}" name="Column14815"/>
    <tableColumn id="14843" xr3:uid="{00000000-0010-0000-2000-0000FB390000}" name="Column14816"/>
    <tableColumn id="14844" xr3:uid="{00000000-0010-0000-2000-0000FC390000}" name="Column14817"/>
    <tableColumn id="14845" xr3:uid="{00000000-0010-0000-2000-0000FD390000}" name="Column14818"/>
    <tableColumn id="14846" xr3:uid="{00000000-0010-0000-2000-0000FE390000}" name="Column14819"/>
    <tableColumn id="14847" xr3:uid="{00000000-0010-0000-2000-0000FF390000}" name="Column14820"/>
    <tableColumn id="14848" xr3:uid="{00000000-0010-0000-2000-0000003A0000}" name="Column14821"/>
    <tableColumn id="14849" xr3:uid="{00000000-0010-0000-2000-0000013A0000}" name="Column14822"/>
    <tableColumn id="14850" xr3:uid="{00000000-0010-0000-2000-0000023A0000}" name="Column14823"/>
    <tableColumn id="14851" xr3:uid="{00000000-0010-0000-2000-0000033A0000}" name="Column14824"/>
    <tableColumn id="14852" xr3:uid="{00000000-0010-0000-2000-0000043A0000}" name="Column14825"/>
    <tableColumn id="14853" xr3:uid="{00000000-0010-0000-2000-0000053A0000}" name="Column14826"/>
    <tableColumn id="14854" xr3:uid="{00000000-0010-0000-2000-0000063A0000}" name="Column14827"/>
    <tableColumn id="14855" xr3:uid="{00000000-0010-0000-2000-0000073A0000}" name="Column14828"/>
    <tableColumn id="14856" xr3:uid="{00000000-0010-0000-2000-0000083A0000}" name="Column14829"/>
    <tableColumn id="14857" xr3:uid="{00000000-0010-0000-2000-0000093A0000}" name="Column14830"/>
    <tableColumn id="14858" xr3:uid="{00000000-0010-0000-2000-00000A3A0000}" name="Column14831"/>
    <tableColumn id="14859" xr3:uid="{00000000-0010-0000-2000-00000B3A0000}" name="Column14832"/>
    <tableColumn id="14860" xr3:uid="{00000000-0010-0000-2000-00000C3A0000}" name="Column14833"/>
    <tableColumn id="14861" xr3:uid="{00000000-0010-0000-2000-00000D3A0000}" name="Column14834"/>
    <tableColumn id="14862" xr3:uid="{00000000-0010-0000-2000-00000E3A0000}" name="Column14835"/>
    <tableColumn id="14863" xr3:uid="{00000000-0010-0000-2000-00000F3A0000}" name="Column14836"/>
    <tableColumn id="14864" xr3:uid="{00000000-0010-0000-2000-0000103A0000}" name="Column14837"/>
    <tableColumn id="14865" xr3:uid="{00000000-0010-0000-2000-0000113A0000}" name="Column14838"/>
    <tableColumn id="14866" xr3:uid="{00000000-0010-0000-2000-0000123A0000}" name="Column14839"/>
    <tableColumn id="14867" xr3:uid="{00000000-0010-0000-2000-0000133A0000}" name="Column14840"/>
    <tableColumn id="14868" xr3:uid="{00000000-0010-0000-2000-0000143A0000}" name="Column14841"/>
    <tableColumn id="14869" xr3:uid="{00000000-0010-0000-2000-0000153A0000}" name="Column14842"/>
    <tableColumn id="14870" xr3:uid="{00000000-0010-0000-2000-0000163A0000}" name="Column14843"/>
    <tableColumn id="14871" xr3:uid="{00000000-0010-0000-2000-0000173A0000}" name="Column14844"/>
    <tableColumn id="14872" xr3:uid="{00000000-0010-0000-2000-0000183A0000}" name="Column14845"/>
    <tableColumn id="14873" xr3:uid="{00000000-0010-0000-2000-0000193A0000}" name="Column14846"/>
    <tableColumn id="14874" xr3:uid="{00000000-0010-0000-2000-00001A3A0000}" name="Column14847"/>
    <tableColumn id="14875" xr3:uid="{00000000-0010-0000-2000-00001B3A0000}" name="Column14848"/>
    <tableColumn id="14876" xr3:uid="{00000000-0010-0000-2000-00001C3A0000}" name="Column14849"/>
    <tableColumn id="14877" xr3:uid="{00000000-0010-0000-2000-00001D3A0000}" name="Column14850"/>
    <tableColumn id="14878" xr3:uid="{00000000-0010-0000-2000-00001E3A0000}" name="Column14851"/>
    <tableColumn id="14879" xr3:uid="{00000000-0010-0000-2000-00001F3A0000}" name="Column14852"/>
    <tableColumn id="14880" xr3:uid="{00000000-0010-0000-2000-0000203A0000}" name="Column14853"/>
    <tableColumn id="14881" xr3:uid="{00000000-0010-0000-2000-0000213A0000}" name="Column14854"/>
    <tableColumn id="14882" xr3:uid="{00000000-0010-0000-2000-0000223A0000}" name="Column14855"/>
    <tableColumn id="14883" xr3:uid="{00000000-0010-0000-2000-0000233A0000}" name="Column14856"/>
    <tableColumn id="14884" xr3:uid="{00000000-0010-0000-2000-0000243A0000}" name="Column14857"/>
    <tableColumn id="14885" xr3:uid="{00000000-0010-0000-2000-0000253A0000}" name="Column14858"/>
    <tableColumn id="14886" xr3:uid="{00000000-0010-0000-2000-0000263A0000}" name="Column14859"/>
    <tableColumn id="14887" xr3:uid="{00000000-0010-0000-2000-0000273A0000}" name="Column14860"/>
    <tableColumn id="14888" xr3:uid="{00000000-0010-0000-2000-0000283A0000}" name="Column14861"/>
    <tableColumn id="14889" xr3:uid="{00000000-0010-0000-2000-0000293A0000}" name="Column14862"/>
    <tableColumn id="14890" xr3:uid="{00000000-0010-0000-2000-00002A3A0000}" name="Column14863"/>
    <tableColumn id="14891" xr3:uid="{00000000-0010-0000-2000-00002B3A0000}" name="Column14864"/>
    <tableColumn id="14892" xr3:uid="{00000000-0010-0000-2000-00002C3A0000}" name="Column14865"/>
    <tableColumn id="14893" xr3:uid="{00000000-0010-0000-2000-00002D3A0000}" name="Column14866"/>
    <tableColumn id="14894" xr3:uid="{00000000-0010-0000-2000-00002E3A0000}" name="Column14867"/>
    <tableColumn id="14895" xr3:uid="{00000000-0010-0000-2000-00002F3A0000}" name="Column14868"/>
    <tableColumn id="14896" xr3:uid="{00000000-0010-0000-2000-0000303A0000}" name="Column14869"/>
    <tableColumn id="14897" xr3:uid="{00000000-0010-0000-2000-0000313A0000}" name="Column14870"/>
    <tableColumn id="14898" xr3:uid="{00000000-0010-0000-2000-0000323A0000}" name="Column14871"/>
    <tableColumn id="14899" xr3:uid="{00000000-0010-0000-2000-0000333A0000}" name="Column14872"/>
    <tableColumn id="14900" xr3:uid="{00000000-0010-0000-2000-0000343A0000}" name="Column14873"/>
    <tableColumn id="14901" xr3:uid="{00000000-0010-0000-2000-0000353A0000}" name="Column14874"/>
    <tableColumn id="14902" xr3:uid="{00000000-0010-0000-2000-0000363A0000}" name="Column14875"/>
    <tableColumn id="14903" xr3:uid="{00000000-0010-0000-2000-0000373A0000}" name="Column14876"/>
    <tableColumn id="14904" xr3:uid="{00000000-0010-0000-2000-0000383A0000}" name="Column14877"/>
    <tableColumn id="14905" xr3:uid="{00000000-0010-0000-2000-0000393A0000}" name="Column14878"/>
    <tableColumn id="14906" xr3:uid="{00000000-0010-0000-2000-00003A3A0000}" name="Column14879"/>
    <tableColumn id="14907" xr3:uid="{00000000-0010-0000-2000-00003B3A0000}" name="Column14880"/>
    <tableColumn id="14908" xr3:uid="{00000000-0010-0000-2000-00003C3A0000}" name="Column14881"/>
    <tableColumn id="14909" xr3:uid="{00000000-0010-0000-2000-00003D3A0000}" name="Column14882"/>
    <tableColumn id="14910" xr3:uid="{00000000-0010-0000-2000-00003E3A0000}" name="Column14883"/>
    <tableColumn id="14911" xr3:uid="{00000000-0010-0000-2000-00003F3A0000}" name="Column14884"/>
    <tableColumn id="14912" xr3:uid="{00000000-0010-0000-2000-0000403A0000}" name="Column14885"/>
    <tableColumn id="14913" xr3:uid="{00000000-0010-0000-2000-0000413A0000}" name="Column14886"/>
    <tableColumn id="14914" xr3:uid="{00000000-0010-0000-2000-0000423A0000}" name="Column14887"/>
    <tableColumn id="14915" xr3:uid="{00000000-0010-0000-2000-0000433A0000}" name="Column14888"/>
    <tableColumn id="14916" xr3:uid="{00000000-0010-0000-2000-0000443A0000}" name="Column14889"/>
    <tableColumn id="14917" xr3:uid="{00000000-0010-0000-2000-0000453A0000}" name="Column14890"/>
    <tableColumn id="14918" xr3:uid="{00000000-0010-0000-2000-0000463A0000}" name="Column14891"/>
    <tableColumn id="14919" xr3:uid="{00000000-0010-0000-2000-0000473A0000}" name="Column14892"/>
    <tableColumn id="14920" xr3:uid="{00000000-0010-0000-2000-0000483A0000}" name="Column14893"/>
    <tableColumn id="14921" xr3:uid="{00000000-0010-0000-2000-0000493A0000}" name="Column14894"/>
    <tableColumn id="14922" xr3:uid="{00000000-0010-0000-2000-00004A3A0000}" name="Column14895"/>
    <tableColumn id="14923" xr3:uid="{00000000-0010-0000-2000-00004B3A0000}" name="Column14896"/>
    <tableColumn id="14924" xr3:uid="{00000000-0010-0000-2000-00004C3A0000}" name="Column14897"/>
    <tableColumn id="14925" xr3:uid="{00000000-0010-0000-2000-00004D3A0000}" name="Column14898"/>
    <tableColumn id="14926" xr3:uid="{00000000-0010-0000-2000-00004E3A0000}" name="Column14899"/>
    <tableColumn id="14927" xr3:uid="{00000000-0010-0000-2000-00004F3A0000}" name="Column14900"/>
    <tableColumn id="14928" xr3:uid="{00000000-0010-0000-2000-0000503A0000}" name="Column14901"/>
    <tableColumn id="14929" xr3:uid="{00000000-0010-0000-2000-0000513A0000}" name="Column14902"/>
    <tableColumn id="14930" xr3:uid="{00000000-0010-0000-2000-0000523A0000}" name="Column14903"/>
    <tableColumn id="14931" xr3:uid="{00000000-0010-0000-2000-0000533A0000}" name="Column14904"/>
    <tableColumn id="14932" xr3:uid="{00000000-0010-0000-2000-0000543A0000}" name="Column14905"/>
    <tableColumn id="14933" xr3:uid="{00000000-0010-0000-2000-0000553A0000}" name="Column14906"/>
    <tableColumn id="14934" xr3:uid="{00000000-0010-0000-2000-0000563A0000}" name="Column14907"/>
    <tableColumn id="14935" xr3:uid="{00000000-0010-0000-2000-0000573A0000}" name="Column14908"/>
    <tableColumn id="14936" xr3:uid="{00000000-0010-0000-2000-0000583A0000}" name="Column14909"/>
    <tableColumn id="14937" xr3:uid="{00000000-0010-0000-2000-0000593A0000}" name="Column14910"/>
    <tableColumn id="14938" xr3:uid="{00000000-0010-0000-2000-00005A3A0000}" name="Column14911"/>
    <tableColumn id="14939" xr3:uid="{00000000-0010-0000-2000-00005B3A0000}" name="Column14912"/>
    <tableColumn id="14940" xr3:uid="{00000000-0010-0000-2000-00005C3A0000}" name="Column14913"/>
    <tableColumn id="14941" xr3:uid="{00000000-0010-0000-2000-00005D3A0000}" name="Column14914"/>
    <tableColumn id="14942" xr3:uid="{00000000-0010-0000-2000-00005E3A0000}" name="Column14915"/>
    <tableColumn id="14943" xr3:uid="{00000000-0010-0000-2000-00005F3A0000}" name="Column14916"/>
    <tableColumn id="14944" xr3:uid="{00000000-0010-0000-2000-0000603A0000}" name="Column14917"/>
    <tableColumn id="14945" xr3:uid="{00000000-0010-0000-2000-0000613A0000}" name="Column14918"/>
    <tableColumn id="14946" xr3:uid="{00000000-0010-0000-2000-0000623A0000}" name="Column14919"/>
    <tableColumn id="14947" xr3:uid="{00000000-0010-0000-2000-0000633A0000}" name="Column14920"/>
    <tableColumn id="14948" xr3:uid="{00000000-0010-0000-2000-0000643A0000}" name="Column14921"/>
    <tableColumn id="14949" xr3:uid="{00000000-0010-0000-2000-0000653A0000}" name="Column14922"/>
    <tableColumn id="14950" xr3:uid="{00000000-0010-0000-2000-0000663A0000}" name="Column14923"/>
    <tableColumn id="14951" xr3:uid="{00000000-0010-0000-2000-0000673A0000}" name="Column14924"/>
    <tableColumn id="14952" xr3:uid="{00000000-0010-0000-2000-0000683A0000}" name="Column14925"/>
    <tableColumn id="14953" xr3:uid="{00000000-0010-0000-2000-0000693A0000}" name="Column14926"/>
    <tableColumn id="14954" xr3:uid="{00000000-0010-0000-2000-00006A3A0000}" name="Column14927"/>
    <tableColumn id="14955" xr3:uid="{00000000-0010-0000-2000-00006B3A0000}" name="Column14928"/>
    <tableColumn id="14956" xr3:uid="{00000000-0010-0000-2000-00006C3A0000}" name="Column14929"/>
    <tableColumn id="14957" xr3:uid="{00000000-0010-0000-2000-00006D3A0000}" name="Column14930"/>
    <tableColumn id="14958" xr3:uid="{00000000-0010-0000-2000-00006E3A0000}" name="Column14931"/>
    <tableColumn id="14959" xr3:uid="{00000000-0010-0000-2000-00006F3A0000}" name="Column14932"/>
    <tableColumn id="14960" xr3:uid="{00000000-0010-0000-2000-0000703A0000}" name="Column14933"/>
    <tableColumn id="14961" xr3:uid="{00000000-0010-0000-2000-0000713A0000}" name="Column14934"/>
    <tableColumn id="14962" xr3:uid="{00000000-0010-0000-2000-0000723A0000}" name="Column14935"/>
    <tableColumn id="14963" xr3:uid="{00000000-0010-0000-2000-0000733A0000}" name="Column14936"/>
    <tableColumn id="14964" xr3:uid="{00000000-0010-0000-2000-0000743A0000}" name="Column14937"/>
    <tableColumn id="14965" xr3:uid="{00000000-0010-0000-2000-0000753A0000}" name="Column14938"/>
    <tableColumn id="14966" xr3:uid="{00000000-0010-0000-2000-0000763A0000}" name="Column14939"/>
    <tableColumn id="14967" xr3:uid="{00000000-0010-0000-2000-0000773A0000}" name="Column14940"/>
    <tableColumn id="14968" xr3:uid="{00000000-0010-0000-2000-0000783A0000}" name="Column14941"/>
    <tableColumn id="14969" xr3:uid="{00000000-0010-0000-2000-0000793A0000}" name="Column14942"/>
    <tableColumn id="14970" xr3:uid="{00000000-0010-0000-2000-00007A3A0000}" name="Column14943"/>
    <tableColumn id="14971" xr3:uid="{00000000-0010-0000-2000-00007B3A0000}" name="Column14944"/>
    <tableColumn id="14972" xr3:uid="{00000000-0010-0000-2000-00007C3A0000}" name="Column14945"/>
    <tableColumn id="14973" xr3:uid="{00000000-0010-0000-2000-00007D3A0000}" name="Column14946"/>
    <tableColumn id="14974" xr3:uid="{00000000-0010-0000-2000-00007E3A0000}" name="Column14947"/>
    <tableColumn id="14975" xr3:uid="{00000000-0010-0000-2000-00007F3A0000}" name="Column14948"/>
    <tableColumn id="14976" xr3:uid="{00000000-0010-0000-2000-0000803A0000}" name="Column14949"/>
    <tableColumn id="14977" xr3:uid="{00000000-0010-0000-2000-0000813A0000}" name="Column14950"/>
    <tableColumn id="14978" xr3:uid="{00000000-0010-0000-2000-0000823A0000}" name="Column14951"/>
    <tableColumn id="14979" xr3:uid="{00000000-0010-0000-2000-0000833A0000}" name="Column14952"/>
    <tableColumn id="14980" xr3:uid="{00000000-0010-0000-2000-0000843A0000}" name="Column14953"/>
    <tableColumn id="14981" xr3:uid="{00000000-0010-0000-2000-0000853A0000}" name="Column14954"/>
    <tableColumn id="14982" xr3:uid="{00000000-0010-0000-2000-0000863A0000}" name="Column14955"/>
    <tableColumn id="14983" xr3:uid="{00000000-0010-0000-2000-0000873A0000}" name="Column14956"/>
    <tableColumn id="14984" xr3:uid="{00000000-0010-0000-2000-0000883A0000}" name="Column14957"/>
    <tableColumn id="14985" xr3:uid="{00000000-0010-0000-2000-0000893A0000}" name="Column14958"/>
    <tableColumn id="14986" xr3:uid="{00000000-0010-0000-2000-00008A3A0000}" name="Column14959"/>
    <tableColumn id="14987" xr3:uid="{00000000-0010-0000-2000-00008B3A0000}" name="Column14960"/>
    <tableColumn id="14988" xr3:uid="{00000000-0010-0000-2000-00008C3A0000}" name="Column14961"/>
    <tableColumn id="14989" xr3:uid="{00000000-0010-0000-2000-00008D3A0000}" name="Column14962"/>
    <tableColumn id="14990" xr3:uid="{00000000-0010-0000-2000-00008E3A0000}" name="Column14963"/>
    <tableColumn id="14991" xr3:uid="{00000000-0010-0000-2000-00008F3A0000}" name="Column14964"/>
    <tableColumn id="14992" xr3:uid="{00000000-0010-0000-2000-0000903A0000}" name="Column14965"/>
    <tableColumn id="14993" xr3:uid="{00000000-0010-0000-2000-0000913A0000}" name="Column14966"/>
    <tableColumn id="14994" xr3:uid="{00000000-0010-0000-2000-0000923A0000}" name="Column14967"/>
    <tableColumn id="14995" xr3:uid="{00000000-0010-0000-2000-0000933A0000}" name="Column14968"/>
    <tableColumn id="14996" xr3:uid="{00000000-0010-0000-2000-0000943A0000}" name="Column14969"/>
    <tableColumn id="14997" xr3:uid="{00000000-0010-0000-2000-0000953A0000}" name="Column14970"/>
    <tableColumn id="14998" xr3:uid="{00000000-0010-0000-2000-0000963A0000}" name="Column14971"/>
    <tableColumn id="14999" xr3:uid="{00000000-0010-0000-2000-0000973A0000}" name="Column14972"/>
    <tableColumn id="15000" xr3:uid="{00000000-0010-0000-2000-0000983A0000}" name="Column14973"/>
    <tableColumn id="15001" xr3:uid="{00000000-0010-0000-2000-0000993A0000}" name="Column14974"/>
    <tableColumn id="15002" xr3:uid="{00000000-0010-0000-2000-00009A3A0000}" name="Column14975"/>
    <tableColumn id="15003" xr3:uid="{00000000-0010-0000-2000-00009B3A0000}" name="Column14976"/>
    <tableColumn id="15004" xr3:uid="{00000000-0010-0000-2000-00009C3A0000}" name="Column14977"/>
    <tableColumn id="15005" xr3:uid="{00000000-0010-0000-2000-00009D3A0000}" name="Column14978"/>
    <tableColumn id="15006" xr3:uid="{00000000-0010-0000-2000-00009E3A0000}" name="Column14979"/>
    <tableColumn id="15007" xr3:uid="{00000000-0010-0000-2000-00009F3A0000}" name="Column14980"/>
    <tableColumn id="15008" xr3:uid="{00000000-0010-0000-2000-0000A03A0000}" name="Column14981"/>
    <tableColumn id="15009" xr3:uid="{00000000-0010-0000-2000-0000A13A0000}" name="Column14982"/>
    <tableColumn id="15010" xr3:uid="{00000000-0010-0000-2000-0000A23A0000}" name="Column14983"/>
    <tableColumn id="15011" xr3:uid="{00000000-0010-0000-2000-0000A33A0000}" name="Column14984"/>
    <tableColumn id="15012" xr3:uid="{00000000-0010-0000-2000-0000A43A0000}" name="Column14985"/>
    <tableColumn id="15013" xr3:uid="{00000000-0010-0000-2000-0000A53A0000}" name="Column14986"/>
    <tableColumn id="15014" xr3:uid="{00000000-0010-0000-2000-0000A63A0000}" name="Column14987"/>
    <tableColumn id="15015" xr3:uid="{00000000-0010-0000-2000-0000A73A0000}" name="Column14988"/>
    <tableColumn id="15016" xr3:uid="{00000000-0010-0000-2000-0000A83A0000}" name="Column14989"/>
    <tableColumn id="15017" xr3:uid="{00000000-0010-0000-2000-0000A93A0000}" name="Column14990"/>
    <tableColumn id="15018" xr3:uid="{00000000-0010-0000-2000-0000AA3A0000}" name="Column14991"/>
    <tableColumn id="15019" xr3:uid="{00000000-0010-0000-2000-0000AB3A0000}" name="Column14992"/>
    <tableColumn id="15020" xr3:uid="{00000000-0010-0000-2000-0000AC3A0000}" name="Column14993"/>
    <tableColumn id="15021" xr3:uid="{00000000-0010-0000-2000-0000AD3A0000}" name="Column14994"/>
    <tableColumn id="15022" xr3:uid="{00000000-0010-0000-2000-0000AE3A0000}" name="Column14995"/>
    <tableColumn id="15023" xr3:uid="{00000000-0010-0000-2000-0000AF3A0000}" name="Column14996"/>
    <tableColumn id="15024" xr3:uid="{00000000-0010-0000-2000-0000B03A0000}" name="Column14997"/>
    <tableColumn id="15025" xr3:uid="{00000000-0010-0000-2000-0000B13A0000}" name="Column14998"/>
    <tableColumn id="15026" xr3:uid="{00000000-0010-0000-2000-0000B23A0000}" name="Column14999"/>
    <tableColumn id="15027" xr3:uid="{00000000-0010-0000-2000-0000B33A0000}" name="Column15000"/>
    <tableColumn id="15028" xr3:uid="{00000000-0010-0000-2000-0000B43A0000}" name="Column15001"/>
    <tableColumn id="15029" xr3:uid="{00000000-0010-0000-2000-0000B53A0000}" name="Column15002"/>
    <tableColumn id="15030" xr3:uid="{00000000-0010-0000-2000-0000B63A0000}" name="Column15003"/>
    <tableColumn id="15031" xr3:uid="{00000000-0010-0000-2000-0000B73A0000}" name="Column15004"/>
    <tableColumn id="15032" xr3:uid="{00000000-0010-0000-2000-0000B83A0000}" name="Column15005"/>
    <tableColumn id="15033" xr3:uid="{00000000-0010-0000-2000-0000B93A0000}" name="Column15006"/>
    <tableColumn id="15034" xr3:uid="{00000000-0010-0000-2000-0000BA3A0000}" name="Column15007"/>
    <tableColumn id="15035" xr3:uid="{00000000-0010-0000-2000-0000BB3A0000}" name="Column15008"/>
    <tableColumn id="15036" xr3:uid="{00000000-0010-0000-2000-0000BC3A0000}" name="Column15009"/>
    <tableColumn id="15037" xr3:uid="{00000000-0010-0000-2000-0000BD3A0000}" name="Column15010"/>
    <tableColumn id="15038" xr3:uid="{00000000-0010-0000-2000-0000BE3A0000}" name="Column15011"/>
    <tableColumn id="15039" xr3:uid="{00000000-0010-0000-2000-0000BF3A0000}" name="Column15012"/>
    <tableColumn id="15040" xr3:uid="{00000000-0010-0000-2000-0000C03A0000}" name="Column15013"/>
    <tableColumn id="15041" xr3:uid="{00000000-0010-0000-2000-0000C13A0000}" name="Column15014"/>
    <tableColumn id="15042" xr3:uid="{00000000-0010-0000-2000-0000C23A0000}" name="Column15015"/>
    <tableColumn id="15043" xr3:uid="{00000000-0010-0000-2000-0000C33A0000}" name="Column15016"/>
    <tableColumn id="15044" xr3:uid="{00000000-0010-0000-2000-0000C43A0000}" name="Column15017"/>
    <tableColumn id="15045" xr3:uid="{00000000-0010-0000-2000-0000C53A0000}" name="Column15018"/>
    <tableColumn id="15046" xr3:uid="{00000000-0010-0000-2000-0000C63A0000}" name="Column15019"/>
    <tableColumn id="15047" xr3:uid="{00000000-0010-0000-2000-0000C73A0000}" name="Column15020"/>
    <tableColumn id="15048" xr3:uid="{00000000-0010-0000-2000-0000C83A0000}" name="Column15021"/>
    <tableColumn id="15049" xr3:uid="{00000000-0010-0000-2000-0000C93A0000}" name="Column15022"/>
    <tableColumn id="15050" xr3:uid="{00000000-0010-0000-2000-0000CA3A0000}" name="Column15023"/>
    <tableColumn id="15051" xr3:uid="{00000000-0010-0000-2000-0000CB3A0000}" name="Column15024"/>
    <tableColumn id="15052" xr3:uid="{00000000-0010-0000-2000-0000CC3A0000}" name="Column15025"/>
    <tableColumn id="15053" xr3:uid="{00000000-0010-0000-2000-0000CD3A0000}" name="Column15026"/>
    <tableColumn id="15054" xr3:uid="{00000000-0010-0000-2000-0000CE3A0000}" name="Column15027"/>
    <tableColumn id="15055" xr3:uid="{00000000-0010-0000-2000-0000CF3A0000}" name="Column15028"/>
    <tableColumn id="15056" xr3:uid="{00000000-0010-0000-2000-0000D03A0000}" name="Column15029"/>
    <tableColumn id="15057" xr3:uid="{00000000-0010-0000-2000-0000D13A0000}" name="Column15030"/>
    <tableColumn id="15058" xr3:uid="{00000000-0010-0000-2000-0000D23A0000}" name="Column15031"/>
    <tableColumn id="15059" xr3:uid="{00000000-0010-0000-2000-0000D33A0000}" name="Column15032"/>
    <tableColumn id="15060" xr3:uid="{00000000-0010-0000-2000-0000D43A0000}" name="Column15033"/>
    <tableColumn id="15061" xr3:uid="{00000000-0010-0000-2000-0000D53A0000}" name="Column15034"/>
    <tableColumn id="15062" xr3:uid="{00000000-0010-0000-2000-0000D63A0000}" name="Column15035"/>
    <tableColumn id="15063" xr3:uid="{00000000-0010-0000-2000-0000D73A0000}" name="Column15036"/>
    <tableColumn id="15064" xr3:uid="{00000000-0010-0000-2000-0000D83A0000}" name="Column15037"/>
    <tableColumn id="15065" xr3:uid="{00000000-0010-0000-2000-0000D93A0000}" name="Column15038"/>
    <tableColumn id="15066" xr3:uid="{00000000-0010-0000-2000-0000DA3A0000}" name="Column15039"/>
    <tableColumn id="15067" xr3:uid="{00000000-0010-0000-2000-0000DB3A0000}" name="Column15040"/>
    <tableColumn id="15068" xr3:uid="{00000000-0010-0000-2000-0000DC3A0000}" name="Column15041"/>
    <tableColumn id="15069" xr3:uid="{00000000-0010-0000-2000-0000DD3A0000}" name="Column15042"/>
    <tableColumn id="15070" xr3:uid="{00000000-0010-0000-2000-0000DE3A0000}" name="Column15043"/>
    <tableColumn id="15071" xr3:uid="{00000000-0010-0000-2000-0000DF3A0000}" name="Column15044"/>
    <tableColumn id="15072" xr3:uid="{00000000-0010-0000-2000-0000E03A0000}" name="Column15045"/>
    <tableColumn id="15073" xr3:uid="{00000000-0010-0000-2000-0000E13A0000}" name="Column15046"/>
    <tableColumn id="15074" xr3:uid="{00000000-0010-0000-2000-0000E23A0000}" name="Column15047"/>
    <tableColumn id="15075" xr3:uid="{00000000-0010-0000-2000-0000E33A0000}" name="Column15048"/>
    <tableColumn id="15076" xr3:uid="{00000000-0010-0000-2000-0000E43A0000}" name="Column15049"/>
    <tableColumn id="15077" xr3:uid="{00000000-0010-0000-2000-0000E53A0000}" name="Column15050"/>
    <tableColumn id="15078" xr3:uid="{00000000-0010-0000-2000-0000E63A0000}" name="Column15051"/>
    <tableColumn id="15079" xr3:uid="{00000000-0010-0000-2000-0000E73A0000}" name="Column15052"/>
    <tableColumn id="15080" xr3:uid="{00000000-0010-0000-2000-0000E83A0000}" name="Column15053"/>
    <tableColumn id="15081" xr3:uid="{00000000-0010-0000-2000-0000E93A0000}" name="Column15054"/>
    <tableColumn id="15082" xr3:uid="{00000000-0010-0000-2000-0000EA3A0000}" name="Column15055"/>
    <tableColumn id="15083" xr3:uid="{00000000-0010-0000-2000-0000EB3A0000}" name="Column15056"/>
    <tableColumn id="15084" xr3:uid="{00000000-0010-0000-2000-0000EC3A0000}" name="Column15057"/>
    <tableColumn id="15085" xr3:uid="{00000000-0010-0000-2000-0000ED3A0000}" name="Column15058"/>
    <tableColumn id="15086" xr3:uid="{00000000-0010-0000-2000-0000EE3A0000}" name="Column15059"/>
    <tableColumn id="15087" xr3:uid="{00000000-0010-0000-2000-0000EF3A0000}" name="Column15060"/>
    <tableColumn id="15088" xr3:uid="{00000000-0010-0000-2000-0000F03A0000}" name="Column15061"/>
    <tableColumn id="15089" xr3:uid="{00000000-0010-0000-2000-0000F13A0000}" name="Column15062"/>
    <tableColumn id="15090" xr3:uid="{00000000-0010-0000-2000-0000F23A0000}" name="Column15063"/>
    <tableColumn id="15091" xr3:uid="{00000000-0010-0000-2000-0000F33A0000}" name="Column15064"/>
    <tableColumn id="15092" xr3:uid="{00000000-0010-0000-2000-0000F43A0000}" name="Column15065"/>
    <tableColumn id="15093" xr3:uid="{00000000-0010-0000-2000-0000F53A0000}" name="Column15066"/>
    <tableColumn id="15094" xr3:uid="{00000000-0010-0000-2000-0000F63A0000}" name="Column15067"/>
    <tableColumn id="15095" xr3:uid="{00000000-0010-0000-2000-0000F73A0000}" name="Column15068"/>
    <tableColumn id="15096" xr3:uid="{00000000-0010-0000-2000-0000F83A0000}" name="Column15069"/>
    <tableColumn id="15097" xr3:uid="{00000000-0010-0000-2000-0000F93A0000}" name="Column15070"/>
    <tableColumn id="15098" xr3:uid="{00000000-0010-0000-2000-0000FA3A0000}" name="Column15071"/>
    <tableColumn id="15099" xr3:uid="{00000000-0010-0000-2000-0000FB3A0000}" name="Column15072"/>
    <tableColumn id="15100" xr3:uid="{00000000-0010-0000-2000-0000FC3A0000}" name="Column15073"/>
    <tableColumn id="15101" xr3:uid="{00000000-0010-0000-2000-0000FD3A0000}" name="Column15074"/>
    <tableColumn id="15102" xr3:uid="{00000000-0010-0000-2000-0000FE3A0000}" name="Column15075"/>
    <tableColumn id="15103" xr3:uid="{00000000-0010-0000-2000-0000FF3A0000}" name="Column15076"/>
    <tableColumn id="15104" xr3:uid="{00000000-0010-0000-2000-0000003B0000}" name="Column15077"/>
    <tableColumn id="15105" xr3:uid="{00000000-0010-0000-2000-0000013B0000}" name="Column15078"/>
    <tableColumn id="15106" xr3:uid="{00000000-0010-0000-2000-0000023B0000}" name="Column15079"/>
    <tableColumn id="15107" xr3:uid="{00000000-0010-0000-2000-0000033B0000}" name="Column15080"/>
    <tableColumn id="15108" xr3:uid="{00000000-0010-0000-2000-0000043B0000}" name="Column15081"/>
    <tableColumn id="15109" xr3:uid="{00000000-0010-0000-2000-0000053B0000}" name="Column15082"/>
    <tableColumn id="15110" xr3:uid="{00000000-0010-0000-2000-0000063B0000}" name="Column15083"/>
    <tableColumn id="15111" xr3:uid="{00000000-0010-0000-2000-0000073B0000}" name="Column15084"/>
    <tableColumn id="15112" xr3:uid="{00000000-0010-0000-2000-0000083B0000}" name="Column15085"/>
    <tableColumn id="15113" xr3:uid="{00000000-0010-0000-2000-0000093B0000}" name="Column15086"/>
    <tableColumn id="15114" xr3:uid="{00000000-0010-0000-2000-00000A3B0000}" name="Column15087"/>
    <tableColumn id="15115" xr3:uid="{00000000-0010-0000-2000-00000B3B0000}" name="Column15088"/>
    <tableColumn id="15116" xr3:uid="{00000000-0010-0000-2000-00000C3B0000}" name="Column15089"/>
    <tableColumn id="15117" xr3:uid="{00000000-0010-0000-2000-00000D3B0000}" name="Column15090"/>
    <tableColumn id="15118" xr3:uid="{00000000-0010-0000-2000-00000E3B0000}" name="Column15091"/>
    <tableColumn id="15119" xr3:uid="{00000000-0010-0000-2000-00000F3B0000}" name="Column15092"/>
    <tableColumn id="15120" xr3:uid="{00000000-0010-0000-2000-0000103B0000}" name="Column15093"/>
    <tableColumn id="15121" xr3:uid="{00000000-0010-0000-2000-0000113B0000}" name="Column15094"/>
    <tableColumn id="15122" xr3:uid="{00000000-0010-0000-2000-0000123B0000}" name="Column15095"/>
    <tableColumn id="15123" xr3:uid="{00000000-0010-0000-2000-0000133B0000}" name="Column15096"/>
    <tableColumn id="15124" xr3:uid="{00000000-0010-0000-2000-0000143B0000}" name="Column15097"/>
    <tableColumn id="15125" xr3:uid="{00000000-0010-0000-2000-0000153B0000}" name="Column15098"/>
    <tableColumn id="15126" xr3:uid="{00000000-0010-0000-2000-0000163B0000}" name="Column15099"/>
    <tableColumn id="15127" xr3:uid="{00000000-0010-0000-2000-0000173B0000}" name="Column15100"/>
    <tableColumn id="15128" xr3:uid="{00000000-0010-0000-2000-0000183B0000}" name="Column15101"/>
    <tableColumn id="15129" xr3:uid="{00000000-0010-0000-2000-0000193B0000}" name="Column15102"/>
    <tableColumn id="15130" xr3:uid="{00000000-0010-0000-2000-00001A3B0000}" name="Column15103"/>
    <tableColumn id="15131" xr3:uid="{00000000-0010-0000-2000-00001B3B0000}" name="Column15104"/>
    <tableColumn id="15132" xr3:uid="{00000000-0010-0000-2000-00001C3B0000}" name="Column15105"/>
    <tableColumn id="15133" xr3:uid="{00000000-0010-0000-2000-00001D3B0000}" name="Column15106"/>
    <tableColumn id="15134" xr3:uid="{00000000-0010-0000-2000-00001E3B0000}" name="Column15107"/>
    <tableColumn id="15135" xr3:uid="{00000000-0010-0000-2000-00001F3B0000}" name="Column15108"/>
    <tableColumn id="15136" xr3:uid="{00000000-0010-0000-2000-0000203B0000}" name="Column15109"/>
    <tableColumn id="15137" xr3:uid="{00000000-0010-0000-2000-0000213B0000}" name="Column15110"/>
    <tableColumn id="15138" xr3:uid="{00000000-0010-0000-2000-0000223B0000}" name="Column15111"/>
    <tableColumn id="15139" xr3:uid="{00000000-0010-0000-2000-0000233B0000}" name="Column15112"/>
    <tableColumn id="15140" xr3:uid="{00000000-0010-0000-2000-0000243B0000}" name="Column15113"/>
    <tableColumn id="15141" xr3:uid="{00000000-0010-0000-2000-0000253B0000}" name="Column15114"/>
    <tableColumn id="15142" xr3:uid="{00000000-0010-0000-2000-0000263B0000}" name="Column15115"/>
    <tableColumn id="15143" xr3:uid="{00000000-0010-0000-2000-0000273B0000}" name="Column15116"/>
    <tableColumn id="15144" xr3:uid="{00000000-0010-0000-2000-0000283B0000}" name="Column15117"/>
    <tableColumn id="15145" xr3:uid="{00000000-0010-0000-2000-0000293B0000}" name="Column15118"/>
    <tableColumn id="15146" xr3:uid="{00000000-0010-0000-2000-00002A3B0000}" name="Column15119"/>
    <tableColumn id="15147" xr3:uid="{00000000-0010-0000-2000-00002B3B0000}" name="Column15120"/>
    <tableColumn id="15148" xr3:uid="{00000000-0010-0000-2000-00002C3B0000}" name="Column15121"/>
    <tableColumn id="15149" xr3:uid="{00000000-0010-0000-2000-00002D3B0000}" name="Column15122"/>
    <tableColumn id="15150" xr3:uid="{00000000-0010-0000-2000-00002E3B0000}" name="Column15123"/>
    <tableColumn id="15151" xr3:uid="{00000000-0010-0000-2000-00002F3B0000}" name="Column15124"/>
    <tableColumn id="15152" xr3:uid="{00000000-0010-0000-2000-0000303B0000}" name="Column15125"/>
    <tableColumn id="15153" xr3:uid="{00000000-0010-0000-2000-0000313B0000}" name="Column15126"/>
    <tableColumn id="15154" xr3:uid="{00000000-0010-0000-2000-0000323B0000}" name="Column15127"/>
    <tableColumn id="15155" xr3:uid="{00000000-0010-0000-2000-0000333B0000}" name="Column15128"/>
    <tableColumn id="15156" xr3:uid="{00000000-0010-0000-2000-0000343B0000}" name="Column15129"/>
    <tableColumn id="15157" xr3:uid="{00000000-0010-0000-2000-0000353B0000}" name="Column15130"/>
    <tableColumn id="15158" xr3:uid="{00000000-0010-0000-2000-0000363B0000}" name="Column15131"/>
    <tableColumn id="15159" xr3:uid="{00000000-0010-0000-2000-0000373B0000}" name="Column15132"/>
    <tableColumn id="15160" xr3:uid="{00000000-0010-0000-2000-0000383B0000}" name="Column15133"/>
    <tableColumn id="15161" xr3:uid="{00000000-0010-0000-2000-0000393B0000}" name="Column15134"/>
    <tableColumn id="15162" xr3:uid="{00000000-0010-0000-2000-00003A3B0000}" name="Column15135"/>
    <tableColumn id="15163" xr3:uid="{00000000-0010-0000-2000-00003B3B0000}" name="Column15136"/>
    <tableColumn id="15164" xr3:uid="{00000000-0010-0000-2000-00003C3B0000}" name="Column15137"/>
    <tableColumn id="15165" xr3:uid="{00000000-0010-0000-2000-00003D3B0000}" name="Column15138"/>
    <tableColumn id="15166" xr3:uid="{00000000-0010-0000-2000-00003E3B0000}" name="Column15139"/>
    <tableColumn id="15167" xr3:uid="{00000000-0010-0000-2000-00003F3B0000}" name="Column15140"/>
    <tableColumn id="15168" xr3:uid="{00000000-0010-0000-2000-0000403B0000}" name="Column15141"/>
    <tableColumn id="15169" xr3:uid="{00000000-0010-0000-2000-0000413B0000}" name="Column15142"/>
    <tableColumn id="15170" xr3:uid="{00000000-0010-0000-2000-0000423B0000}" name="Column15143"/>
    <tableColumn id="15171" xr3:uid="{00000000-0010-0000-2000-0000433B0000}" name="Column15144"/>
    <tableColumn id="15172" xr3:uid="{00000000-0010-0000-2000-0000443B0000}" name="Column15145"/>
    <tableColumn id="15173" xr3:uid="{00000000-0010-0000-2000-0000453B0000}" name="Column15146"/>
    <tableColumn id="15174" xr3:uid="{00000000-0010-0000-2000-0000463B0000}" name="Column15147"/>
    <tableColumn id="15175" xr3:uid="{00000000-0010-0000-2000-0000473B0000}" name="Column15148"/>
    <tableColumn id="15176" xr3:uid="{00000000-0010-0000-2000-0000483B0000}" name="Column15149"/>
    <tableColumn id="15177" xr3:uid="{00000000-0010-0000-2000-0000493B0000}" name="Column15150"/>
    <tableColumn id="15178" xr3:uid="{00000000-0010-0000-2000-00004A3B0000}" name="Column15151"/>
    <tableColumn id="15179" xr3:uid="{00000000-0010-0000-2000-00004B3B0000}" name="Column15152"/>
    <tableColumn id="15180" xr3:uid="{00000000-0010-0000-2000-00004C3B0000}" name="Column15153"/>
    <tableColumn id="15181" xr3:uid="{00000000-0010-0000-2000-00004D3B0000}" name="Column15154"/>
    <tableColumn id="15182" xr3:uid="{00000000-0010-0000-2000-00004E3B0000}" name="Column15155"/>
    <tableColumn id="15183" xr3:uid="{00000000-0010-0000-2000-00004F3B0000}" name="Column15156"/>
    <tableColumn id="15184" xr3:uid="{00000000-0010-0000-2000-0000503B0000}" name="Column15157"/>
    <tableColumn id="15185" xr3:uid="{00000000-0010-0000-2000-0000513B0000}" name="Column15158"/>
    <tableColumn id="15186" xr3:uid="{00000000-0010-0000-2000-0000523B0000}" name="Column15159"/>
    <tableColumn id="15187" xr3:uid="{00000000-0010-0000-2000-0000533B0000}" name="Column15160"/>
    <tableColumn id="15188" xr3:uid="{00000000-0010-0000-2000-0000543B0000}" name="Column15161"/>
    <tableColumn id="15189" xr3:uid="{00000000-0010-0000-2000-0000553B0000}" name="Column15162"/>
    <tableColumn id="15190" xr3:uid="{00000000-0010-0000-2000-0000563B0000}" name="Column15163"/>
    <tableColumn id="15191" xr3:uid="{00000000-0010-0000-2000-0000573B0000}" name="Column15164"/>
    <tableColumn id="15192" xr3:uid="{00000000-0010-0000-2000-0000583B0000}" name="Column15165"/>
    <tableColumn id="15193" xr3:uid="{00000000-0010-0000-2000-0000593B0000}" name="Column15166"/>
    <tableColumn id="15194" xr3:uid="{00000000-0010-0000-2000-00005A3B0000}" name="Column15167"/>
    <tableColumn id="15195" xr3:uid="{00000000-0010-0000-2000-00005B3B0000}" name="Column15168"/>
    <tableColumn id="15196" xr3:uid="{00000000-0010-0000-2000-00005C3B0000}" name="Column15169"/>
    <tableColumn id="15197" xr3:uid="{00000000-0010-0000-2000-00005D3B0000}" name="Column15170"/>
    <tableColumn id="15198" xr3:uid="{00000000-0010-0000-2000-00005E3B0000}" name="Column15171"/>
    <tableColumn id="15199" xr3:uid="{00000000-0010-0000-2000-00005F3B0000}" name="Column15172"/>
    <tableColumn id="15200" xr3:uid="{00000000-0010-0000-2000-0000603B0000}" name="Column15173"/>
    <tableColumn id="15201" xr3:uid="{00000000-0010-0000-2000-0000613B0000}" name="Column15174"/>
    <tableColumn id="15202" xr3:uid="{00000000-0010-0000-2000-0000623B0000}" name="Column15175"/>
    <tableColumn id="15203" xr3:uid="{00000000-0010-0000-2000-0000633B0000}" name="Column15176"/>
    <tableColumn id="15204" xr3:uid="{00000000-0010-0000-2000-0000643B0000}" name="Column15177"/>
    <tableColumn id="15205" xr3:uid="{00000000-0010-0000-2000-0000653B0000}" name="Column15178"/>
    <tableColumn id="15206" xr3:uid="{00000000-0010-0000-2000-0000663B0000}" name="Column15179"/>
    <tableColumn id="15207" xr3:uid="{00000000-0010-0000-2000-0000673B0000}" name="Column15180"/>
    <tableColumn id="15208" xr3:uid="{00000000-0010-0000-2000-0000683B0000}" name="Column15181"/>
    <tableColumn id="15209" xr3:uid="{00000000-0010-0000-2000-0000693B0000}" name="Column15182"/>
    <tableColumn id="15210" xr3:uid="{00000000-0010-0000-2000-00006A3B0000}" name="Column15183"/>
    <tableColumn id="15211" xr3:uid="{00000000-0010-0000-2000-00006B3B0000}" name="Column15184"/>
    <tableColumn id="15212" xr3:uid="{00000000-0010-0000-2000-00006C3B0000}" name="Column15185"/>
    <tableColumn id="15213" xr3:uid="{00000000-0010-0000-2000-00006D3B0000}" name="Column15186"/>
    <tableColumn id="15214" xr3:uid="{00000000-0010-0000-2000-00006E3B0000}" name="Column15187"/>
    <tableColumn id="15215" xr3:uid="{00000000-0010-0000-2000-00006F3B0000}" name="Column15188"/>
    <tableColumn id="15216" xr3:uid="{00000000-0010-0000-2000-0000703B0000}" name="Column15189"/>
    <tableColumn id="15217" xr3:uid="{00000000-0010-0000-2000-0000713B0000}" name="Column15190"/>
    <tableColumn id="15218" xr3:uid="{00000000-0010-0000-2000-0000723B0000}" name="Column15191"/>
    <tableColumn id="15219" xr3:uid="{00000000-0010-0000-2000-0000733B0000}" name="Column15192"/>
    <tableColumn id="15220" xr3:uid="{00000000-0010-0000-2000-0000743B0000}" name="Column15193"/>
    <tableColumn id="15221" xr3:uid="{00000000-0010-0000-2000-0000753B0000}" name="Column15194"/>
    <tableColumn id="15222" xr3:uid="{00000000-0010-0000-2000-0000763B0000}" name="Column15195"/>
    <tableColumn id="15223" xr3:uid="{00000000-0010-0000-2000-0000773B0000}" name="Column15196"/>
    <tableColumn id="15224" xr3:uid="{00000000-0010-0000-2000-0000783B0000}" name="Column15197"/>
    <tableColumn id="15225" xr3:uid="{00000000-0010-0000-2000-0000793B0000}" name="Column15198"/>
    <tableColumn id="15226" xr3:uid="{00000000-0010-0000-2000-00007A3B0000}" name="Column15199"/>
    <tableColumn id="15227" xr3:uid="{00000000-0010-0000-2000-00007B3B0000}" name="Column15200"/>
    <tableColumn id="15228" xr3:uid="{00000000-0010-0000-2000-00007C3B0000}" name="Column15201"/>
    <tableColumn id="15229" xr3:uid="{00000000-0010-0000-2000-00007D3B0000}" name="Column15202"/>
    <tableColumn id="15230" xr3:uid="{00000000-0010-0000-2000-00007E3B0000}" name="Column15203"/>
    <tableColumn id="15231" xr3:uid="{00000000-0010-0000-2000-00007F3B0000}" name="Column15204"/>
    <tableColumn id="15232" xr3:uid="{00000000-0010-0000-2000-0000803B0000}" name="Column15205"/>
    <tableColumn id="15233" xr3:uid="{00000000-0010-0000-2000-0000813B0000}" name="Column15206"/>
    <tableColumn id="15234" xr3:uid="{00000000-0010-0000-2000-0000823B0000}" name="Column15207"/>
    <tableColumn id="15235" xr3:uid="{00000000-0010-0000-2000-0000833B0000}" name="Column15208"/>
    <tableColumn id="15236" xr3:uid="{00000000-0010-0000-2000-0000843B0000}" name="Column15209"/>
    <tableColumn id="15237" xr3:uid="{00000000-0010-0000-2000-0000853B0000}" name="Column15210"/>
    <tableColumn id="15238" xr3:uid="{00000000-0010-0000-2000-0000863B0000}" name="Column15211"/>
    <tableColumn id="15239" xr3:uid="{00000000-0010-0000-2000-0000873B0000}" name="Column15212"/>
    <tableColumn id="15240" xr3:uid="{00000000-0010-0000-2000-0000883B0000}" name="Column15213"/>
    <tableColumn id="15241" xr3:uid="{00000000-0010-0000-2000-0000893B0000}" name="Column15214"/>
    <tableColumn id="15242" xr3:uid="{00000000-0010-0000-2000-00008A3B0000}" name="Column15215"/>
    <tableColumn id="15243" xr3:uid="{00000000-0010-0000-2000-00008B3B0000}" name="Column15216"/>
    <tableColumn id="15244" xr3:uid="{00000000-0010-0000-2000-00008C3B0000}" name="Column15217"/>
    <tableColumn id="15245" xr3:uid="{00000000-0010-0000-2000-00008D3B0000}" name="Column15218"/>
    <tableColumn id="15246" xr3:uid="{00000000-0010-0000-2000-00008E3B0000}" name="Column15219"/>
    <tableColumn id="15247" xr3:uid="{00000000-0010-0000-2000-00008F3B0000}" name="Column15220"/>
    <tableColumn id="15248" xr3:uid="{00000000-0010-0000-2000-0000903B0000}" name="Column15221"/>
    <tableColumn id="15249" xr3:uid="{00000000-0010-0000-2000-0000913B0000}" name="Column15222"/>
    <tableColumn id="15250" xr3:uid="{00000000-0010-0000-2000-0000923B0000}" name="Column15223"/>
    <tableColumn id="15251" xr3:uid="{00000000-0010-0000-2000-0000933B0000}" name="Column15224"/>
    <tableColumn id="15252" xr3:uid="{00000000-0010-0000-2000-0000943B0000}" name="Column15225"/>
    <tableColumn id="15253" xr3:uid="{00000000-0010-0000-2000-0000953B0000}" name="Column15226"/>
    <tableColumn id="15254" xr3:uid="{00000000-0010-0000-2000-0000963B0000}" name="Column15227"/>
    <tableColumn id="15255" xr3:uid="{00000000-0010-0000-2000-0000973B0000}" name="Column15228"/>
    <tableColumn id="15256" xr3:uid="{00000000-0010-0000-2000-0000983B0000}" name="Column15229"/>
    <tableColumn id="15257" xr3:uid="{00000000-0010-0000-2000-0000993B0000}" name="Column15230"/>
    <tableColumn id="15258" xr3:uid="{00000000-0010-0000-2000-00009A3B0000}" name="Column15231"/>
    <tableColumn id="15259" xr3:uid="{00000000-0010-0000-2000-00009B3B0000}" name="Column15232"/>
    <tableColumn id="15260" xr3:uid="{00000000-0010-0000-2000-00009C3B0000}" name="Column15233"/>
    <tableColumn id="15261" xr3:uid="{00000000-0010-0000-2000-00009D3B0000}" name="Column15234"/>
    <tableColumn id="15262" xr3:uid="{00000000-0010-0000-2000-00009E3B0000}" name="Column15235"/>
    <tableColumn id="15263" xr3:uid="{00000000-0010-0000-2000-00009F3B0000}" name="Column15236"/>
    <tableColumn id="15264" xr3:uid="{00000000-0010-0000-2000-0000A03B0000}" name="Column15237"/>
    <tableColumn id="15265" xr3:uid="{00000000-0010-0000-2000-0000A13B0000}" name="Column15238"/>
    <tableColumn id="15266" xr3:uid="{00000000-0010-0000-2000-0000A23B0000}" name="Column15239"/>
    <tableColumn id="15267" xr3:uid="{00000000-0010-0000-2000-0000A33B0000}" name="Column15240"/>
    <tableColumn id="15268" xr3:uid="{00000000-0010-0000-2000-0000A43B0000}" name="Column15241"/>
    <tableColumn id="15269" xr3:uid="{00000000-0010-0000-2000-0000A53B0000}" name="Column15242"/>
    <tableColumn id="15270" xr3:uid="{00000000-0010-0000-2000-0000A63B0000}" name="Column15243"/>
    <tableColumn id="15271" xr3:uid="{00000000-0010-0000-2000-0000A73B0000}" name="Column15244"/>
    <tableColumn id="15272" xr3:uid="{00000000-0010-0000-2000-0000A83B0000}" name="Column15245"/>
    <tableColumn id="15273" xr3:uid="{00000000-0010-0000-2000-0000A93B0000}" name="Column15246"/>
    <tableColumn id="15274" xr3:uid="{00000000-0010-0000-2000-0000AA3B0000}" name="Column15247"/>
    <tableColumn id="15275" xr3:uid="{00000000-0010-0000-2000-0000AB3B0000}" name="Column15248"/>
    <tableColumn id="15276" xr3:uid="{00000000-0010-0000-2000-0000AC3B0000}" name="Column15249"/>
    <tableColumn id="15277" xr3:uid="{00000000-0010-0000-2000-0000AD3B0000}" name="Column15250"/>
    <tableColumn id="15278" xr3:uid="{00000000-0010-0000-2000-0000AE3B0000}" name="Column15251"/>
    <tableColumn id="15279" xr3:uid="{00000000-0010-0000-2000-0000AF3B0000}" name="Column15252"/>
    <tableColumn id="15280" xr3:uid="{00000000-0010-0000-2000-0000B03B0000}" name="Column15253"/>
    <tableColumn id="15281" xr3:uid="{00000000-0010-0000-2000-0000B13B0000}" name="Column15254"/>
    <tableColumn id="15282" xr3:uid="{00000000-0010-0000-2000-0000B23B0000}" name="Column15255"/>
    <tableColumn id="15283" xr3:uid="{00000000-0010-0000-2000-0000B33B0000}" name="Column15256"/>
    <tableColumn id="15284" xr3:uid="{00000000-0010-0000-2000-0000B43B0000}" name="Column15257"/>
    <tableColumn id="15285" xr3:uid="{00000000-0010-0000-2000-0000B53B0000}" name="Column15258"/>
    <tableColumn id="15286" xr3:uid="{00000000-0010-0000-2000-0000B63B0000}" name="Column15259"/>
    <tableColumn id="15287" xr3:uid="{00000000-0010-0000-2000-0000B73B0000}" name="Column15260"/>
    <tableColumn id="15288" xr3:uid="{00000000-0010-0000-2000-0000B83B0000}" name="Column15261"/>
    <tableColumn id="15289" xr3:uid="{00000000-0010-0000-2000-0000B93B0000}" name="Column15262"/>
    <tableColumn id="15290" xr3:uid="{00000000-0010-0000-2000-0000BA3B0000}" name="Column15263"/>
    <tableColumn id="15291" xr3:uid="{00000000-0010-0000-2000-0000BB3B0000}" name="Column15264"/>
    <tableColumn id="15292" xr3:uid="{00000000-0010-0000-2000-0000BC3B0000}" name="Column15265"/>
    <tableColumn id="15293" xr3:uid="{00000000-0010-0000-2000-0000BD3B0000}" name="Column15266"/>
    <tableColumn id="15294" xr3:uid="{00000000-0010-0000-2000-0000BE3B0000}" name="Column15267"/>
    <tableColumn id="15295" xr3:uid="{00000000-0010-0000-2000-0000BF3B0000}" name="Column15268"/>
    <tableColumn id="15296" xr3:uid="{00000000-0010-0000-2000-0000C03B0000}" name="Column15269"/>
    <tableColumn id="15297" xr3:uid="{00000000-0010-0000-2000-0000C13B0000}" name="Column15270"/>
    <tableColumn id="15298" xr3:uid="{00000000-0010-0000-2000-0000C23B0000}" name="Column15271"/>
    <tableColumn id="15299" xr3:uid="{00000000-0010-0000-2000-0000C33B0000}" name="Column15272"/>
    <tableColumn id="15300" xr3:uid="{00000000-0010-0000-2000-0000C43B0000}" name="Column15273"/>
    <tableColumn id="15301" xr3:uid="{00000000-0010-0000-2000-0000C53B0000}" name="Column15274"/>
    <tableColumn id="15302" xr3:uid="{00000000-0010-0000-2000-0000C63B0000}" name="Column15275"/>
    <tableColumn id="15303" xr3:uid="{00000000-0010-0000-2000-0000C73B0000}" name="Column15276"/>
    <tableColumn id="15304" xr3:uid="{00000000-0010-0000-2000-0000C83B0000}" name="Column15277"/>
    <tableColumn id="15305" xr3:uid="{00000000-0010-0000-2000-0000C93B0000}" name="Column15278"/>
    <tableColumn id="15306" xr3:uid="{00000000-0010-0000-2000-0000CA3B0000}" name="Column15279"/>
    <tableColumn id="15307" xr3:uid="{00000000-0010-0000-2000-0000CB3B0000}" name="Column15280"/>
    <tableColumn id="15308" xr3:uid="{00000000-0010-0000-2000-0000CC3B0000}" name="Column15281"/>
    <tableColumn id="15309" xr3:uid="{00000000-0010-0000-2000-0000CD3B0000}" name="Column15282"/>
    <tableColumn id="15310" xr3:uid="{00000000-0010-0000-2000-0000CE3B0000}" name="Column15283"/>
    <tableColumn id="15311" xr3:uid="{00000000-0010-0000-2000-0000CF3B0000}" name="Column15284"/>
    <tableColumn id="15312" xr3:uid="{00000000-0010-0000-2000-0000D03B0000}" name="Column15285"/>
    <tableColumn id="15313" xr3:uid="{00000000-0010-0000-2000-0000D13B0000}" name="Column15286"/>
    <tableColumn id="15314" xr3:uid="{00000000-0010-0000-2000-0000D23B0000}" name="Column15287"/>
    <tableColumn id="15315" xr3:uid="{00000000-0010-0000-2000-0000D33B0000}" name="Column15288"/>
    <tableColumn id="15316" xr3:uid="{00000000-0010-0000-2000-0000D43B0000}" name="Column15289"/>
    <tableColumn id="15317" xr3:uid="{00000000-0010-0000-2000-0000D53B0000}" name="Column15290"/>
    <tableColumn id="15318" xr3:uid="{00000000-0010-0000-2000-0000D63B0000}" name="Column15291"/>
    <tableColumn id="15319" xr3:uid="{00000000-0010-0000-2000-0000D73B0000}" name="Column15292"/>
    <tableColumn id="15320" xr3:uid="{00000000-0010-0000-2000-0000D83B0000}" name="Column15293"/>
    <tableColumn id="15321" xr3:uid="{00000000-0010-0000-2000-0000D93B0000}" name="Column15294"/>
    <tableColumn id="15322" xr3:uid="{00000000-0010-0000-2000-0000DA3B0000}" name="Column15295"/>
    <tableColumn id="15323" xr3:uid="{00000000-0010-0000-2000-0000DB3B0000}" name="Column15296"/>
    <tableColumn id="15324" xr3:uid="{00000000-0010-0000-2000-0000DC3B0000}" name="Column15297"/>
    <tableColumn id="15325" xr3:uid="{00000000-0010-0000-2000-0000DD3B0000}" name="Column15298"/>
    <tableColumn id="15326" xr3:uid="{00000000-0010-0000-2000-0000DE3B0000}" name="Column15299"/>
    <tableColumn id="15327" xr3:uid="{00000000-0010-0000-2000-0000DF3B0000}" name="Column15300"/>
    <tableColumn id="15328" xr3:uid="{00000000-0010-0000-2000-0000E03B0000}" name="Column15301"/>
    <tableColumn id="15329" xr3:uid="{00000000-0010-0000-2000-0000E13B0000}" name="Column15302"/>
    <tableColumn id="15330" xr3:uid="{00000000-0010-0000-2000-0000E23B0000}" name="Column15303"/>
    <tableColumn id="15331" xr3:uid="{00000000-0010-0000-2000-0000E33B0000}" name="Column15304"/>
    <tableColumn id="15332" xr3:uid="{00000000-0010-0000-2000-0000E43B0000}" name="Column15305"/>
    <tableColumn id="15333" xr3:uid="{00000000-0010-0000-2000-0000E53B0000}" name="Column15306"/>
    <tableColumn id="15334" xr3:uid="{00000000-0010-0000-2000-0000E63B0000}" name="Column15307"/>
    <tableColumn id="15335" xr3:uid="{00000000-0010-0000-2000-0000E73B0000}" name="Column15308"/>
    <tableColumn id="15336" xr3:uid="{00000000-0010-0000-2000-0000E83B0000}" name="Column15309"/>
    <tableColumn id="15337" xr3:uid="{00000000-0010-0000-2000-0000E93B0000}" name="Column15310"/>
    <tableColumn id="15338" xr3:uid="{00000000-0010-0000-2000-0000EA3B0000}" name="Column15311"/>
    <tableColumn id="15339" xr3:uid="{00000000-0010-0000-2000-0000EB3B0000}" name="Column15312"/>
    <tableColumn id="15340" xr3:uid="{00000000-0010-0000-2000-0000EC3B0000}" name="Column15313"/>
    <tableColumn id="15341" xr3:uid="{00000000-0010-0000-2000-0000ED3B0000}" name="Column15314"/>
    <tableColumn id="15342" xr3:uid="{00000000-0010-0000-2000-0000EE3B0000}" name="Column15315"/>
    <tableColumn id="15343" xr3:uid="{00000000-0010-0000-2000-0000EF3B0000}" name="Column15316"/>
    <tableColumn id="15344" xr3:uid="{00000000-0010-0000-2000-0000F03B0000}" name="Column15317"/>
    <tableColumn id="15345" xr3:uid="{00000000-0010-0000-2000-0000F13B0000}" name="Column15318"/>
    <tableColumn id="15346" xr3:uid="{00000000-0010-0000-2000-0000F23B0000}" name="Column15319"/>
    <tableColumn id="15347" xr3:uid="{00000000-0010-0000-2000-0000F33B0000}" name="Column15320"/>
    <tableColumn id="15348" xr3:uid="{00000000-0010-0000-2000-0000F43B0000}" name="Column15321"/>
    <tableColumn id="15349" xr3:uid="{00000000-0010-0000-2000-0000F53B0000}" name="Column15322"/>
    <tableColumn id="15350" xr3:uid="{00000000-0010-0000-2000-0000F63B0000}" name="Column15323"/>
    <tableColumn id="15351" xr3:uid="{00000000-0010-0000-2000-0000F73B0000}" name="Column15324"/>
    <tableColumn id="15352" xr3:uid="{00000000-0010-0000-2000-0000F83B0000}" name="Column15325"/>
    <tableColumn id="15353" xr3:uid="{00000000-0010-0000-2000-0000F93B0000}" name="Column15326"/>
    <tableColumn id="15354" xr3:uid="{00000000-0010-0000-2000-0000FA3B0000}" name="Column15327"/>
    <tableColumn id="15355" xr3:uid="{00000000-0010-0000-2000-0000FB3B0000}" name="Column15328"/>
    <tableColumn id="15356" xr3:uid="{00000000-0010-0000-2000-0000FC3B0000}" name="Column15329"/>
    <tableColumn id="15357" xr3:uid="{00000000-0010-0000-2000-0000FD3B0000}" name="Column15330"/>
    <tableColumn id="15358" xr3:uid="{00000000-0010-0000-2000-0000FE3B0000}" name="Column15331"/>
    <tableColumn id="15359" xr3:uid="{00000000-0010-0000-2000-0000FF3B0000}" name="Column15332"/>
    <tableColumn id="15360" xr3:uid="{00000000-0010-0000-2000-0000003C0000}" name="Column15333"/>
    <tableColumn id="15361" xr3:uid="{00000000-0010-0000-2000-0000013C0000}" name="Column15334"/>
    <tableColumn id="15362" xr3:uid="{00000000-0010-0000-2000-0000023C0000}" name="Column15335"/>
    <tableColumn id="15363" xr3:uid="{00000000-0010-0000-2000-0000033C0000}" name="Column15336"/>
    <tableColumn id="15364" xr3:uid="{00000000-0010-0000-2000-0000043C0000}" name="Column15337"/>
    <tableColumn id="15365" xr3:uid="{00000000-0010-0000-2000-0000053C0000}" name="Column15338"/>
    <tableColumn id="15366" xr3:uid="{00000000-0010-0000-2000-0000063C0000}" name="Column15339"/>
    <tableColumn id="15367" xr3:uid="{00000000-0010-0000-2000-0000073C0000}" name="Column15340"/>
    <tableColumn id="15368" xr3:uid="{00000000-0010-0000-2000-0000083C0000}" name="Column15341"/>
    <tableColumn id="15369" xr3:uid="{00000000-0010-0000-2000-0000093C0000}" name="Column15342"/>
    <tableColumn id="15370" xr3:uid="{00000000-0010-0000-2000-00000A3C0000}" name="Column15343"/>
    <tableColumn id="15371" xr3:uid="{00000000-0010-0000-2000-00000B3C0000}" name="Column15344"/>
    <tableColumn id="15372" xr3:uid="{00000000-0010-0000-2000-00000C3C0000}" name="Column15345"/>
    <tableColumn id="15373" xr3:uid="{00000000-0010-0000-2000-00000D3C0000}" name="Column15346"/>
    <tableColumn id="15374" xr3:uid="{00000000-0010-0000-2000-00000E3C0000}" name="Column15347"/>
    <tableColumn id="15375" xr3:uid="{00000000-0010-0000-2000-00000F3C0000}" name="Column15348"/>
    <tableColumn id="15376" xr3:uid="{00000000-0010-0000-2000-0000103C0000}" name="Column15349"/>
    <tableColumn id="15377" xr3:uid="{00000000-0010-0000-2000-0000113C0000}" name="Column15350"/>
    <tableColumn id="15378" xr3:uid="{00000000-0010-0000-2000-0000123C0000}" name="Column15351"/>
    <tableColumn id="15379" xr3:uid="{00000000-0010-0000-2000-0000133C0000}" name="Column15352"/>
    <tableColumn id="15380" xr3:uid="{00000000-0010-0000-2000-0000143C0000}" name="Column15353"/>
    <tableColumn id="15381" xr3:uid="{00000000-0010-0000-2000-0000153C0000}" name="Column15354"/>
    <tableColumn id="15382" xr3:uid="{00000000-0010-0000-2000-0000163C0000}" name="Column15355"/>
    <tableColumn id="15383" xr3:uid="{00000000-0010-0000-2000-0000173C0000}" name="Column15356"/>
    <tableColumn id="15384" xr3:uid="{00000000-0010-0000-2000-0000183C0000}" name="Column15357"/>
    <tableColumn id="15385" xr3:uid="{00000000-0010-0000-2000-0000193C0000}" name="Column15358"/>
    <tableColumn id="15386" xr3:uid="{00000000-0010-0000-2000-00001A3C0000}" name="Column15359"/>
    <tableColumn id="15387" xr3:uid="{00000000-0010-0000-2000-00001B3C0000}" name="Column15360"/>
    <tableColumn id="15388" xr3:uid="{00000000-0010-0000-2000-00001C3C0000}" name="Column15361"/>
    <tableColumn id="15389" xr3:uid="{00000000-0010-0000-2000-00001D3C0000}" name="Column15362"/>
    <tableColumn id="15390" xr3:uid="{00000000-0010-0000-2000-00001E3C0000}" name="Column15363"/>
    <tableColumn id="15391" xr3:uid="{00000000-0010-0000-2000-00001F3C0000}" name="Column15364"/>
    <tableColumn id="15392" xr3:uid="{00000000-0010-0000-2000-0000203C0000}" name="Column15365"/>
    <tableColumn id="15393" xr3:uid="{00000000-0010-0000-2000-0000213C0000}" name="Column15366"/>
    <tableColumn id="15394" xr3:uid="{00000000-0010-0000-2000-0000223C0000}" name="Column15367"/>
    <tableColumn id="15395" xr3:uid="{00000000-0010-0000-2000-0000233C0000}" name="Column15368"/>
    <tableColumn id="15396" xr3:uid="{00000000-0010-0000-2000-0000243C0000}" name="Column15369"/>
    <tableColumn id="15397" xr3:uid="{00000000-0010-0000-2000-0000253C0000}" name="Column15370"/>
    <tableColumn id="15398" xr3:uid="{00000000-0010-0000-2000-0000263C0000}" name="Column15371"/>
    <tableColumn id="15399" xr3:uid="{00000000-0010-0000-2000-0000273C0000}" name="Column15372"/>
    <tableColumn id="15400" xr3:uid="{00000000-0010-0000-2000-0000283C0000}" name="Column15373"/>
    <tableColumn id="15401" xr3:uid="{00000000-0010-0000-2000-0000293C0000}" name="Column15374"/>
    <tableColumn id="15402" xr3:uid="{00000000-0010-0000-2000-00002A3C0000}" name="Column15375"/>
    <tableColumn id="15403" xr3:uid="{00000000-0010-0000-2000-00002B3C0000}" name="Column15376"/>
    <tableColumn id="15404" xr3:uid="{00000000-0010-0000-2000-00002C3C0000}" name="Column15377"/>
    <tableColumn id="15405" xr3:uid="{00000000-0010-0000-2000-00002D3C0000}" name="Column15378"/>
    <tableColumn id="15406" xr3:uid="{00000000-0010-0000-2000-00002E3C0000}" name="Column15379"/>
    <tableColumn id="15407" xr3:uid="{00000000-0010-0000-2000-00002F3C0000}" name="Column15380"/>
    <tableColumn id="15408" xr3:uid="{00000000-0010-0000-2000-0000303C0000}" name="Column15381"/>
    <tableColumn id="15409" xr3:uid="{00000000-0010-0000-2000-0000313C0000}" name="Column15382"/>
    <tableColumn id="15410" xr3:uid="{00000000-0010-0000-2000-0000323C0000}" name="Column15383"/>
    <tableColumn id="15411" xr3:uid="{00000000-0010-0000-2000-0000333C0000}" name="Column15384"/>
    <tableColumn id="15412" xr3:uid="{00000000-0010-0000-2000-0000343C0000}" name="Column15385"/>
    <tableColumn id="15413" xr3:uid="{00000000-0010-0000-2000-0000353C0000}" name="Column15386"/>
    <tableColumn id="15414" xr3:uid="{00000000-0010-0000-2000-0000363C0000}" name="Column15387"/>
    <tableColumn id="15415" xr3:uid="{00000000-0010-0000-2000-0000373C0000}" name="Column15388"/>
    <tableColumn id="15416" xr3:uid="{00000000-0010-0000-2000-0000383C0000}" name="Column15389"/>
    <tableColumn id="15417" xr3:uid="{00000000-0010-0000-2000-0000393C0000}" name="Column15390"/>
    <tableColumn id="15418" xr3:uid="{00000000-0010-0000-2000-00003A3C0000}" name="Column15391"/>
    <tableColumn id="15419" xr3:uid="{00000000-0010-0000-2000-00003B3C0000}" name="Column15392"/>
    <tableColumn id="15420" xr3:uid="{00000000-0010-0000-2000-00003C3C0000}" name="Column15393"/>
    <tableColumn id="15421" xr3:uid="{00000000-0010-0000-2000-00003D3C0000}" name="Column15394"/>
    <tableColumn id="15422" xr3:uid="{00000000-0010-0000-2000-00003E3C0000}" name="Column15395"/>
    <tableColumn id="15423" xr3:uid="{00000000-0010-0000-2000-00003F3C0000}" name="Column15396"/>
    <tableColumn id="15424" xr3:uid="{00000000-0010-0000-2000-0000403C0000}" name="Column15397"/>
    <tableColumn id="15425" xr3:uid="{00000000-0010-0000-2000-0000413C0000}" name="Column15398"/>
    <tableColumn id="15426" xr3:uid="{00000000-0010-0000-2000-0000423C0000}" name="Column15399"/>
    <tableColumn id="15427" xr3:uid="{00000000-0010-0000-2000-0000433C0000}" name="Column15400"/>
    <tableColumn id="15428" xr3:uid="{00000000-0010-0000-2000-0000443C0000}" name="Column15401"/>
    <tableColumn id="15429" xr3:uid="{00000000-0010-0000-2000-0000453C0000}" name="Column15402"/>
    <tableColumn id="15430" xr3:uid="{00000000-0010-0000-2000-0000463C0000}" name="Column15403"/>
    <tableColumn id="15431" xr3:uid="{00000000-0010-0000-2000-0000473C0000}" name="Column15404"/>
    <tableColumn id="15432" xr3:uid="{00000000-0010-0000-2000-0000483C0000}" name="Column15405"/>
    <tableColumn id="15433" xr3:uid="{00000000-0010-0000-2000-0000493C0000}" name="Column15406"/>
    <tableColumn id="15434" xr3:uid="{00000000-0010-0000-2000-00004A3C0000}" name="Column15407"/>
    <tableColumn id="15435" xr3:uid="{00000000-0010-0000-2000-00004B3C0000}" name="Column15408"/>
    <tableColumn id="15436" xr3:uid="{00000000-0010-0000-2000-00004C3C0000}" name="Column15409"/>
    <tableColumn id="15437" xr3:uid="{00000000-0010-0000-2000-00004D3C0000}" name="Column15410"/>
    <tableColumn id="15438" xr3:uid="{00000000-0010-0000-2000-00004E3C0000}" name="Column15411"/>
    <tableColumn id="15439" xr3:uid="{00000000-0010-0000-2000-00004F3C0000}" name="Column15412"/>
    <tableColumn id="15440" xr3:uid="{00000000-0010-0000-2000-0000503C0000}" name="Column15413"/>
    <tableColumn id="15441" xr3:uid="{00000000-0010-0000-2000-0000513C0000}" name="Column15414"/>
    <tableColumn id="15442" xr3:uid="{00000000-0010-0000-2000-0000523C0000}" name="Column15415"/>
    <tableColumn id="15443" xr3:uid="{00000000-0010-0000-2000-0000533C0000}" name="Column15416"/>
    <tableColumn id="15444" xr3:uid="{00000000-0010-0000-2000-0000543C0000}" name="Column15417"/>
    <tableColumn id="15445" xr3:uid="{00000000-0010-0000-2000-0000553C0000}" name="Column15418"/>
    <tableColumn id="15446" xr3:uid="{00000000-0010-0000-2000-0000563C0000}" name="Column15419"/>
    <tableColumn id="15447" xr3:uid="{00000000-0010-0000-2000-0000573C0000}" name="Column15420"/>
    <tableColumn id="15448" xr3:uid="{00000000-0010-0000-2000-0000583C0000}" name="Column15421"/>
    <tableColumn id="15449" xr3:uid="{00000000-0010-0000-2000-0000593C0000}" name="Column15422"/>
    <tableColumn id="15450" xr3:uid="{00000000-0010-0000-2000-00005A3C0000}" name="Column15423"/>
    <tableColumn id="15451" xr3:uid="{00000000-0010-0000-2000-00005B3C0000}" name="Column15424"/>
    <tableColumn id="15452" xr3:uid="{00000000-0010-0000-2000-00005C3C0000}" name="Column15425"/>
    <tableColumn id="15453" xr3:uid="{00000000-0010-0000-2000-00005D3C0000}" name="Column15426"/>
    <tableColumn id="15454" xr3:uid="{00000000-0010-0000-2000-00005E3C0000}" name="Column15427"/>
    <tableColumn id="15455" xr3:uid="{00000000-0010-0000-2000-00005F3C0000}" name="Column15428"/>
    <tableColumn id="15456" xr3:uid="{00000000-0010-0000-2000-0000603C0000}" name="Column15429"/>
    <tableColumn id="15457" xr3:uid="{00000000-0010-0000-2000-0000613C0000}" name="Column15430"/>
    <tableColumn id="15458" xr3:uid="{00000000-0010-0000-2000-0000623C0000}" name="Column15431"/>
    <tableColumn id="15459" xr3:uid="{00000000-0010-0000-2000-0000633C0000}" name="Column15432"/>
    <tableColumn id="15460" xr3:uid="{00000000-0010-0000-2000-0000643C0000}" name="Column15433"/>
    <tableColumn id="15461" xr3:uid="{00000000-0010-0000-2000-0000653C0000}" name="Column15434"/>
    <tableColumn id="15462" xr3:uid="{00000000-0010-0000-2000-0000663C0000}" name="Column15435"/>
    <tableColumn id="15463" xr3:uid="{00000000-0010-0000-2000-0000673C0000}" name="Column15436"/>
    <tableColumn id="15464" xr3:uid="{00000000-0010-0000-2000-0000683C0000}" name="Column15437"/>
    <tableColumn id="15465" xr3:uid="{00000000-0010-0000-2000-0000693C0000}" name="Column15438"/>
    <tableColumn id="15466" xr3:uid="{00000000-0010-0000-2000-00006A3C0000}" name="Column15439"/>
    <tableColumn id="15467" xr3:uid="{00000000-0010-0000-2000-00006B3C0000}" name="Column15440"/>
    <tableColumn id="15468" xr3:uid="{00000000-0010-0000-2000-00006C3C0000}" name="Column15441"/>
    <tableColumn id="15469" xr3:uid="{00000000-0010-0000-2000-00006D3C0000}" name="Column15442"/>
    <tableColumn id="15470" xr3:uid="{00000000-0010-0000-2000-00006E3C0000}" name="Column15443"/>
    <tableColumn id="15471" xr3:uid="{00000000-0010-0000-2000-00006F3C0000}" name="Column15444"/>
    <tableColumn id="15472" xr3:uid="{00000000-0010-0000-2000-0000703C0000}" name="Column15445"/>
    <tableColumn id="15473" xr3:uid="{00000000-0010-0000-2000-0000713C0000}" name="Column15446"/>
    <tableColumn id="15474" xr3:uid="{00000000-0010-0000-2000-0000723C0000}" name="Column15447"/>
    <tableColumn id="15475" xr3:uid="{00000000-0010-0000-2000-0000733C0000}" name="Column15448"/>
    <tableColumn id="15476" xr3:uid="{00000000-0010-0000-2000-0000743C0000}" name="Column15449"/>
    <tableColumn id="15477" xr3:uid="{00000000-0010-0000-2000-0000753C0000}" name="Column15450"/>
    <tableColumn id="15478" xr3:uid="{00000000-0010-0000-2000-0000763C0000}" name="Column15451"/>
    <tableColumn id="15479" xr3:uid="{00000000-0010-0000-2000-0000773C0000}" name="Column15452"/>
    <tableColumn id="15480" xr3:uid="{00000000-0010-0000-2000-0000783C0000}" name="Column15453"/>
    <tableColumn id="15481" xr3:uid="{00000000-0010-0000-2000-0000793C0000}" name="Column15454"/>
    <tableColumn id="15482" xr3:uid="{00000000-0010-0000-2000-00007A3C0000}" name="Column15455"/>
    <tableColumn id="15483" xr3:uid="{00000000-0010-0000-2000-00007B3C0000}" name="Column15456"/>
    <tableColumn id="15484" xr3:uid="{00000000-0010-0000-2000-00007C3C0000}" name="Column15457"/>
    <tableColumn id="15485" xr3:uid="{00000000-0010-0000-2000-00007D3C0000}" name="Column15458"/>
    <tableColumn id="15486" xr3:uid="{00000000-0010-0000-2000-00007E3C0000}" name="Column15459"/>
    <tableColumn id="15487" xr3:uid="{00000000-0010-0000-2000-00007F3C0000}" name="Column15460"/>
    <tableColumn id="15488" xr3:uid="{00000000-0010-0000-2000-0000803C0000}" name="Column15461"/>
    <tableColumn id="15489" xr3:uid="{00000000-0010-0000-2000-0000813C0000}" name="Column15462"/>
    <tableColumn id="15490" xr3:uid="{00000000-0010-0000-2000-0000823C0000}" name="Column15463"/>
    <tableColumn id="15491" xr3:uid="{00000000-0010-0000-2000-0000833C0000}" name="Column15464"/>
    <tableColumn id="15492" xr3:uid="{00000000-0010-0000-2000-0000843C0000}" name="Column15465"/>
    <tableColumn id="15493" xr3:uid="{00000000-0010-0000-2000-0000853C0000}" name="Column15466"/>
    <tableColumn id="15494" xr3:uid="{00000000-0010-0000-2000-0000863C0000}" name="Column15467"/>
    <tableColumn id="15495" xr3:uid="{00000000-0010-0000-2000-0000873C0000}" name="Column15468"/>
    <tableColumn id="15496" xr3:uid="{00000000-0010-0000-2000-0000883C0000}" name="Column15469"/>
    <tableColumn id="15497" xr3:uid="{00000000-0010-0000-2000-0000893C0000}" name="Column15470"/>
    <tableColumn id="15498" xr3:uid="{00000000-0010-0000-2000-00008A3C0000}" name="Column15471"/>
    <tableColumn id="15499" xr3:uid="{00000000-0010-0000-2000-00008B3C0000}" name="Column15472"/>
    <tableColumn id="15500" xr3:uid="{00000000-0010-0000-2000-00008C3C0000}" name="Column15473"/>
    <tableColumn id="15501" xr3:uid="{00000000-0010-0000-2000-00008D3C0000}" name="Column15474"/>
    <tableColumn id="15502" xr3:uid="{00000000-0010-0000-2000-00008E3C0000}" name="Column15475"/>
    <tableColumn id="15503" xr3:uid="{00000000-0010-0000-2000-00008F3C0000}" name="Column15476"/>
    <tableColumn id="15504" xr3:uid="{00000000-0010-0000-2000-0000903C0000}" name="Column15477"/>
    <tableColumn id="15505" xr3:uid="{00000000-0010-0000-2000-0000913C0000}" name="Column15478"/>
    <tableColumn id="15506" xr3:uid="{00000000-0010-0000-2000-0000923C0000}" name="Column15479"/>
    <tableColumn id="15507" xr3:uid="{00000000-0010-0000-2000-0000933C0000}" name="Column15480"/>
    <tableColumn id="15508" xr3:uid="{00000000-0010-0000-2000-0000943C0000}" name="Column15481"/>
    <tableColumn id="15509" xr3:uid="{00000000-0010-0000-2000-0000953C0000}" name="Column15482"/>
    <tableColumn id="15510" xr3:uid="{00000000-0010-0000-2000-0000963C0000}" name="Column15483"/>
    <tableColumn id="15511" xr3:uid="{00000000-0010-0000-2000-0000973C0000}" name="Column15484"/>
    <tableColumn id="15512" xr3:uid="{00000000-0010-0000-2000-0000983C0000}" name="Column15485"/>
    <tableColumn id="15513" xr3:uid="{00000000-0010-0000-2000-0000993C0000}" name="Column15486"/>
    <tableColumn id="15514" xr3:uid="{00000000-0010-0000-2000-00009A3C0000}" name="Column15487"/>
    <tableColumn id="15515" xr3:uid="{00000000-0010-0000-2000-00009B3C0000}" name="Column15488"/>
    <tableColumn id="15516" xr3:uid="{00000000-0010-0000-2000-00009C3C0000}" name="Column15489"/>
    <tableColumn id="15517" xr3:uid="{00000000-0010-0000-2000-00009D3C0000}" name="Column15490"/>
    <tableColumn id="15518" xr3:uid="{00000000-0010-0000-2000-00009E3C0000}" name="Column15491"/>
    <tableColumn id="15519" xr3:uid="{00000000-0010-0000-2000-00009F3C0000}" name="Column15492"/>
    <tableColumn id="15520" xr3:uid="{00000000-0010-0000-2000-0000A03C0000}" name="Column15493"/>
    <tableColumn id="15521" xr3:uid="{00000000-0010-0000-2000-0000A13C0000}" name="Column15494"/>
    <tableColumn id="15522" xr3:uid="{00000000-0010-0000-2000-0000A23C0000}" name="Column15495"/>
    <tableColumn id="15523" xr3:uid="{00000000-0010-0000-2000-0000A33C0000}" name="Column15496"/>
    <tableColumn id="15524" xr3:uid="{00000000-0010-0000-2000-0000A43C0000}" name="Column15497"/>
    <tableColumn id="15525" xr3:uid="{00000000-0010-0000-2000-0000A53C0000}" name="Column15498"/>
    <tableColumn id="15526" xr3:uid="{00000000-0010-0000-2000-0000A63C0000}" name="Column15499"/>
    <tableColumn id="15527" xr3:uid="{00000000-0010-0000-2000-0000A73C0000}" name="Column15500"/>
    <tableColumn id="15528" xr3:uid="{00000000-0010-0000-2000-0000A83C0000}" name="Column15501"/>
    <tableColumn id="15529" xr3:uid="{00000000-0010-0000-2000-0000A93C0000}" name="Column15502"/>
    <tableColumn id="15530" xr3:uid="{00000000-0010-0000-2000-0000AA3C0000}" name="Column15503"/>
    <tableColumn id="15531" xr3:uid="{00000000-0010-0000-2000-0000AB3C0000}" name="Column15504"/>
    <tableColumn id="15532" xr3:uid="{00000000-0010-0000-2000-0000AC3C0000}" name="Column15505"/>
    <tableColumn id="15533" xr3:uid="{00000000-0010-0000-2000-0000AD3C0000}" name="Column15506"/>
    <tableColumn id="15534" xr3:uid="{00000000-0010-0000-2000-0000AE3C0000}" name="Column15507"/>
    <tableColumn id="15535" xr3:uid="{00000000-0010-0000-2000-0000AF3C0000}" name="Column15508"/>
    <tableColumn id="15536" xr3:uid="{00000000-0010-0000-2000-0000B03C0000}" name="Column15509"/>
    <tableColumn id="15537" xr3:uid="{00000000-0010-0000-2000-0000B13C0000}" name="Column15510"/>
    <tableColumn id="15538" xr3:uid="{00000000-0010-0000-2000-0000B23C0000}" name="Column15511"/>
    <tableColumn id="15539" xr3:uid="{00000000-0010-0000-2000-0000B33C0000}" name="Column15512"/>
    <tableColumn id="15540" xr3:uid="{00000000-0010-0000-2000-0000B43C0000}" name="Column15513"/>
    <tableColumn id="15541" xr3:uid="{00000000-0010-0000-2000-0000B53C0000}" name="Column15514"/>
    <tableColumn id="15542" xr3:uid="{00000000-0010-0000-2000-0000B63C0000}" name="Column15515"/>
    <tableColumn id="15543" xr3:uid="{00000000-0010-0000-2000-0000B73C0000}" name="Column15516"/>
    <tableColumn id="15544" xr3:uid="{00000000-0010-0000-2000-0000B83C0000}" name="Column15517"/>
    <tableColumn id="15545" xr3:uid="{00000000-0010-0000-2000-0000B93C0000}" name="Column15518"/>
    <tableColumn id="15546" xr3:uid="{00000000-0010-0000-2000-0000BA3C0000}" name="Column15519"/>
    <tableColumn id="15547" xr3:uid="{00000000-0010-0000-2000-0000BB3C0000}" name="Column15520"/>
    <tableColumn id="15548" xr3:uid="{00000000-0010-0000-2000-0000BC3C0000}" name="Column15521"/>
    <tableColumn id="15549" xr3:uid="{00000000-0010-0000-2000-0000BD3C0000}" name="Column15522"/>
    <tableColumn id="15550" xr3:uid="{00000000-0010-0000-2000-0000BE3C0000}" name="Column15523"/>
    <tableColumn id="15551" xr3:uid="{00000000-0010-0000-2000-0000BF3C0000}" name="Column15524"/>
    <tableColumn id="15552" xr3:uid="{00000000-0010-0000-2000-0000C03C0000}" name="Column15525"/>
    <tableColumn id="15553" xr3:uid="{00000000-0010-0000-2000-0000C13C0000}" name="Column15526"/>
    <tableColumn id="15554" xr3:uid="{00000000-0010-0000-2000-0000C23C0000}" name="Column15527"/>
    <tableColumn id="15555" xr3:uid="{00000000-0010-0000-2000-0000C33C0000}" name="Column15528"/>
    <tableColumn id="15556" xr3:uid="{00000000-0010-0000-2000-0000C43C0000}" name="Column15529"/>
    <tableColumn id="15557" xr3:uid="{00000000-0010-0000-2000-0000C53C0000}" name="Column15530"/>
    <tableColumn id="15558" xr3:uid="{00000000-0010-0000-2000-0000C63C0000}" name="Column15531"/>
    <tableColumn id="15559" xr3:uid="{00000000-0010-0000-2000-0000C73C0000}" name="Column15532"/>
    <tableColumn id="15560" xr3:uid="{00000000-0010-0000-2000-0000C83C0000}" name="Column15533"/>
    <tableColumn id="15561" xr3:uid="{00000000-0010-0000-2000-0000C93C0000}" name="Column15534"/>
    <tableColumn id="15562" xr3:uid="{00000000-0010-0000-2000-0000CA3C0000}" name="Column15535"/>
    <tableColumn id="15563" xr3:uid="{00000000-0010-0000-2000-0000CB3C0000}" name="Column15536"/>
    <tableColumn id="15564" xr3:uid="{00000000-0010-0000-2000-0000CC3C0000}" name="Column15537"/>
    <tableColumn id="15565" xr3:uid="{00000000-0010-0000-2000-0000CD3C0000}" name="Column15538"/>
    <tableColumn id="15566" xr3:uid="{00000000-0010-0000-2000-0000CE3C0000}" name="Column15539"/>
    <tableColumn id="15567" xr3:uid="{00000000-0010-0000-2000-0000CF3C0000}" name="Column15540"/>
    <tableColumn id="15568" xr3:uid="{00000000-0010-0000-2000-0000D03C0000}" name="Column15541"/>
    <tableColumn id="15569" xr3:uid="{00000000-0010-0000-2000-0000D13C0000}" name="Column15542"/>
    <tableColumn id="15570" xr3:uid="{00000000-0010-0000-2000-0000D23C0000}" name="Column15543"/>
    <tableColumn id="15571" xr3:uid="{00000000-0010-0000-2000-0000D33C0000}" name="Column15544"/>
    <tableColumn id="15572" xr3:uid="{00000000-0010-0000-2000-0000D43C0000}" name="Column15545"/>
    <tableColumn id="15573" xr3:uid="{00000000-0010-0000-2000-0000D53C0000}" name="Column15546"/>
    <tableColumn id="15574" xr3:uid="{00000000-0010-0000-2000-0000D63C0000}" name="Column15547"/>
    <tableColumn id="15575" xr3:uid="{00000000-0010-0000-2000-0000D73C0000}" name="Column15548"/>
    <tableColumn id="15576" xr3:uid="{00000000-0010-0000-2000-0000D83C0000}" name="Column15549"/>
    <tableColumn id="15577" xr3:uid="{00000000-0010-0000-2000-0000D93C0000}" name="Column15550"/>
    <tableColumn id="15578" xr3:uid="{00000000-0010-0000-2000-0000DA3C0000}" name="Column15551"/>
    <tableColumn id="15579" xr3:uid="{00000000-0010-0000-2000-0000DB3C0000}" name="Column15552"/>
    <tableColumn id="15580" xr3:uid="{00000000-0010-0000-2000-0000DC3C0000}" name="Column15553"/>
    <tableColumn id="15581" xr3:uid="{00000000-0010-0000-2000-0000DD3C0000}" name="Column15554"/>
    <tableColumn id="15582" xr3:uid="{00000000-0010-0000-2000-0000DE3C0000}" name="Column15555"/>
    <tableColumn id="15583" xr3:uid="{00000000-0010-0000-2000-0000DF3C0000}" name="Column15556"/>
    <tableColumn id="15584" xr3:uid="{00000000-0010-0000-2000-0000E03C0000}" name="Column15557"/>
    <tableColumn id="15585" xr3:uid="{00000000-0010-0000-2000-0000E13C0000}" name="Column15558"/>
    <tableColumn id="15586" xr3:uid="{00000000-0010-0000-2000-0000E23C0000}" name="Column15559"/>
    <tableColumn id="15587" xr3:uid="{00000000-0010-0000-2000-0000E33C0000}" name="Column15560"/>
    <tableColumn id="15588" xr3:uid="{00000000-0010-0000-2000-0000E43C0000}" name="Column15561"/>
    <tableColumn id="15589" xr3:uid="{00000000-0010-0000-2000-0000E53C0000}" name="Column15562"/>
    <tableColumn id="15590" xr3:uid="{00000000-0010-0000-2000-0000E63C0000}" name="Column15563"/>
    <tableColumn id="15591" xr3:uid="{00000000-0010-0000-2000-0000E73C0000}" name="Column15564"/>
    <tableColumn id="15592" xr3:uid="{00000000-0010-0000-2000-0000E83C0000}" name="Column15565"/>
    <tableColumn id="15593" xr3:uid="{00000000-0010-0000-2000-0000E93C0000}" name="Column15566"/>
    <tableColumn id="15594" xr3:uid="{00000000-0010-0000-2000-0000EA3C0000}" name="Column15567"/>
    <tableColumn id="15595" xr3:uid="{00000000-0010-0000-2000-0000EB3C0000}" name="Column15568"/>
    <tableColumn id="15596" xr3:uid="{00000000-0010-0000-2000-0000EC3C0000}" name="Column15569"/>
    <tableColumn id="15597" xr3:uid="{00000000-0010-0000-2000-0000ED3C0000}" name="Column15570"/>
    <tableColumn id="15598" xr3:uid="{00000000-0010-0000-2000-0000EE3C0000}" name="Column15571"/>
    <tableColumn id="15599" xr3:uid="{00000000-0010-0000-2000-0000EF3C0000}" name="Column15572"/>
    <tableColumn id="15600" xr3:uid="{00000000-0010-0000-2000-0000F03C0000}" name="Column15573"/>
    <tableColumn id="15601" xr3:uid="{00000000-0010-0000-2000-0000F13C0000}" name="Column15574"/>
    <tableColumn id="15602" xr3:uid="{00000000-0010-0000-2000-0000F23C0000}" name="Column15575"/>
    <tableColumn id="15603" xr3:uid="{00000000-0010-0000-2000-0000F33C0000}" name="Column15576"/>
    <tableColumn id="15604" xr3:uid="{00000000-0010-0000-2000-0000F43C0000}" name="Column15577"/>
    <tableColumn id="15605" xr3:uid="{00000000-0010-0000-2000-0000F53C0000}" name="Column15578"/>
    <tableColumn id="15606" xr3:uid="{00000000-0010-0000-2000-0000F63C0000}" name="Column15579"/>
    <tableColumn id="15607" xr3:uid="{00000000-0010-0000-2000-0000F73C0000}" name="Column15580"/>
    <tableColumn id="15608" xr3:uid="{00000000-0010-0000-2000-0000F83C0000}" name="Column15581"/>
    <tableColumn id="15609" xr3:uid="{00000000-0010-0000-2000-0000F93C0000}" name="Column15582"/>
    <tableColumn id="15610" xr3:uid="{00000000-0010-0000-2000-0000FA3C0000}" name="Column15583"/>
    <tableColumn id="15611" xr3:uid="{00000000-0010-0000-2000-0000FB3C0000}" name="Column15584"/>
    <tableColumn id="15612" xr3:uid="{00000000-0010-0000-2000-0000FC3C0000}" name="Column15585"/>
    <tableColumn id="15613" xr3:uid="{00000000-0010-0000-2000-0000FD3C0000}" name="Column15586"/>
    <tableColumn id="15614" xr3:uid="{00000000-0010-0000-2000-0000FE3C0000}" name="Column15587"/>
    <tableColumn id="15615" xr3:uid="{00000000-0010-0000-2000-0000FF3C0000}" name="Column15588"/>
    <tableColumn id="15616" xr3:uid="{00000000-0010-0000-2000-0000003D0000}" name="Column15589"/>
    <tableColumn id="15617" xr3:uid="{00000000-0010-0000-2000-0000013D0000}" name="Column15590"/>
    <tableColumn id="15618" xr3:uid="{00000000-0010-0000-2000-0000023D0000}" name="Column15591"/>
    <tableColumn id="15619" xr3:uid="{00000000-0010-0000-2000-0000033D0000}" name="Column15592"/>
    <tableColumn id="15620" xr3:uid="{00000000-0010-0000-2000-0000043D0000}" name="Column15593"/>
    <tableColumn id="15621" xr3:uid="{00000000-0010-0000-2000-0000053D0000}" name="Column15594"/>
    <tableColumn id="15622" xr3:uid="{00000000-0010-0000-2000-0000063D0000}" name="Column15595"/>
    <tableColumn id="15623" xr3:uid="{00000000-0010-0000-2000-0000073D0000}" name="Column15596"/>
    <tableColumn id="15624" xr3:uid="{00000000-0010-0000-2000-0000083D0000}" name="Column15597"/>
    <tableColumn id="15625" xr3:uid="{00000000-0010-0000-2000-0000093D0000}" name="Column15598"/>
    <tableColumn id="15626" xr3:uid="{00000000-0010-0000-2000-00000A3D0000}" name="Column15599"/>
    <tableColumn id="15627" xr3:uid="{00000000-0010-0000-2000-00000B3D0000}" name="Column15600"/>
    <tableColumn id="15628" xr3:uid="{00000000-0010-0000-2000-00000C3D0000}" name="Column15601"/>
    <tableColumn id="15629" xr3:uid="{00000000-0010-0000-2000-00000D3D0000}" name="Column15602"/>
    <tableColumn id="15630" xr3:uid="{00000000-0010-0000-2000-00000E3D0000}" name="Column15603"/>
    <tableColumn id="15631" xr3:uid="{00000000-0010-0000-2000-00000F3D0000}" name="Column15604"/>
    <tableColumn id="15632" xr3:uid="{00000000-0010-0000-2000-0000103D0000}" name="Column15605"/>
    <tableColumn id="15633" xr3:uid="{00000000-0010-0000-2000-0000113D0000}" name="Column15606"/>
    <tableColumn id="15634" xr3:uid="{00000000-0010-0000-2000-0000123D0000}" name="Column15607"/>
    <tableColumn id="15635" xr3:uid="{00000000-0010-0000-2000-0000133D0000}" name="Column15608"/>
    <tableColumn id="15636" xr3:uid="{00000000-0010-0000-2000-0000143D0000}" name="Column15609"/>
    <tableColumn id="15637" xr3:uid="{00000000-0010-0000-2000-0000153D0000}" name="Column15610"/>
    <tableColumn id="15638" xr3:uid="{00000000-0010-0000-2000-0000163D0000}" name="Column15611"/>
    <tableColumn id="15639" xr3:uid="{00000000-0010-0000-2000-0000173D0000}" name="Column15612"/>
    <tableColumn id="15640" xr3:uid="{00000000-0010-0000-2000-0000183D0000}" name="Column15613"/>
    <tableColumn id="15641" xr3:uid="{00000000-0010-0000-2000-0000193D0000}" name="Column15614"/>
    <tableColumn id="15642" xr3:uid="{00000000-0010-0000-2000-00001A3D0000}" name="Column15615"/>
    <tableColumn id="15643" xr3:uid="{00000000-0010-0000-2000-00001B3D0000}" name="Column15616"/>
    <tableColumn id="15644" xr3:uid="{00000000-0010-0000-2000-00001C3D0000}" name="Column15617"/>
    <tableColumn id="15645" xr3:uid="{00000000-0010-0000-2000-00001D3D0000}" name="Column15618"/>
    <tableColumn id="15646" xr3:uid="{00000000-0010-0000-2000-00001E3D0000}" name="Column15619"/>
    <tableColumn id="15647" xr3:uid="{00000000-0010-0000-2000-00001F3D0000}" name="Column15620"/>
    <tableColumn id="15648" xr3:uid="{00000000-0010-0000-2000-0000203D0000}" name="Column15621"/>
    <tableColumn id="15649" xr3:uid="{00000000-0010-0000-2000-0000213D0000}" name="Column15622"/>
    <tableColumn id="15650" xr3:uid="{00000000-0010-0000-2000-0000223D0000}" name="Column15623"/>
    <tableColumn id="15651" xr3:uid="{00000000-0010-0000-2000-0000233D0000}" name="Column15624"/>
    <tableColumn id="15652" xr3:uid="{00000000-0010-0000-2000-0000243D0000}" name="Column15625"/>
    <tableColumn id="15653" xr3:uid="{00000000-0010-0000-2000-0000253D0000}" name="Column15626"/>
    <tableColumn id="15654" xr3:uid="{00000000-0010-0000-2000-0000263D0000}" name="Column15627"/>
    <tableColumn id="15655" xr3:uid="{00000000-0010-0000-2000-0000273D0000}" name="Column15628"/>
    <tableColumn id="15656" xr3:uid="{00000000-0010-0000-2000-0000283D0000}" name="Column15629"/>
    <tableColumn id="15657" xr3:uid="{00000000-0010-0000-2000-0000293D0000}" name="Column15630"/>
    <tableColumn id="15658" xr3:uid="{00000000-0010-0000-2000-00002A3D0000}" name="Column15631"/>
    <tableColumn id="15659" xr3:uid="{00000000-0010-0000-2000-00002B3D0000}" name="Column15632"/>
    <tableColumn id="15660" xr3:uid="{00000000-0010-0000-2000-00002C3D0000}" name="Column15633"/>
    <tableColumn id="15661" xr3:uid="{00000000-0010-0000-2000-00002D3D0000}" name="Column15634"/>
    <tableColumn id="15662" xr3:uid="{00000000-0010-0000-2000-00002E3D0000}" name="Column15635"/>
    <tableColumn id="15663" xr3:uid="{00000000-0010-0000-2000-00002F3D0000}" name="Column15636"/>
    <tableColumn id="15664" xr3:uid="{00000000-0010-0000-2000-0000303D0000}" name="Column15637"/>
    <tableColumn id="15665" xr3:uid="{00000000-0010-0000-2000-0000313D0000}" name="Column15638"/>
    <tableColumn id="15666" xr3:uid="{00000000-0010-0000-2000-0000323D0000}" name="Column15639"/>
    <tableColumn id="15667" xr3:uid="{00000000-0010-0000-2000-0000333D0000}" name="Column15640"/>
    <tableColumn id="15668" xr3:uid="{00000000-0010-0000-2000-0000343D0000}" name="Column15641"/>
    <tableColumn id="15669" xr3:uid="{00000000-0010-0000-2000-0000353D0000}" name="Column15642"/>
    <tableColumn id="15670" xr3:uid="{00000000-0010-0000-2000-0000363D0000}" name="Column15643"/>
    <tableColumn id="15671" xr3:uid="{00000000-0010-0000-2000-0000373D0000}" name="Column15644"/>
    <tableColumn id="15672" xr3:uid="{00000000-0010-0000-2000-0000383D0000}" name="Column15645"/>
    <tableColumn id="15673" xr3:uid="{00000000-0010-0000-2000-0000393D0000}" name="Column15646"/>
    <tableColumn id="15674" xr3:uid="{00000000-0010-0000-2000-00003A3D0000}" name="Column15647"/>
    <tableColumn id="15675" xr3:uid="{00000000-0010-0000-2000-00003B3D0000}" name="Column15648"/>
    <tableColumn id="15676" xr3:uid="{00000000-0010-0000-2000-00003C3D0000}" name="Column15649"/>
    <tableColumn id="15677" xr3:uid="{00000000-0010-0000-2000-00003D3D0000}" name="Column15650"/>
    <tableColumn id="15678" xr3:uid="{00000000-0010-0000-2000-00003E3D0000}" name="Column15651"/>
    <tableColumn id="15679" xr3:uid="{00000000-0010-0000-2000-00003F3D0000}" name="Column15652"/>
    <tableColumn id="15680" xr3:uid="{00000000-0010-0000-2000-0000403D0000}" name="Column15653"/>
    <tableColumn id="15681" xr3:uid="{00000000-0010-0000-2000-0000413D0000}" name="Column15654"/>
    <tableColumn id="15682" xr3:uid="{00000000-0010-0000-2000-0000423D0000}" name="Column15655"/>
    <tableColumn id="15683" xr3:uid="{00000000-0010-0000-2000-0000433D0000}" name="Column15656"/>
    <tableColumn id="15684" xr3:uid="{00000000-0010-0000-2000-0000443D0000}" name="Column15657"/>
    <tableColumn id="15685" xr3:uid="{00000000-0010-0000-2000-0000453D0000}" name="Column15658"/>
    <tableColumn id="15686" xr3:uid="{00000000-0010-0000-2000-0000463D0000}" name="Column15659"/>
    <tableColumn id="15687" xr3:uid="{00000000-0010-0000-2000-0000473D0000}" name="Column15660"/>
    <tableColumn id="15688" xr3:uid="{00000000-0010-0000-2000-0000483D0000}" name="Column15661"/>
    <tableColumn id="15689" xr3:uid="{00000000-0010-0000-2000-0000493D0000}" name="Column15662"/>
    <tableColumn id="15690" xr3:uid="{00000000-0010-0000-2000-00004A3D0000}" name="Column15663"/>
    <tableColumn id="15691" xr3:uid="{00000000-0010-0000-2000-00004B3D0000}" name="Column15664"/>
    <tableColumn id="15692" xr3:uid="{00000000-0010-0000-2000-00004C3D0000}" name="Column15665"/>
    <tableColumn id="15693" xr3:uid="{00000000-0010-0000-2000-00004D3D0000}" name="Column15666"/>
    <tableColumn id="15694" xr3:uid="{00000000-0010-0000-2000-00004E3D0000}" name="Column15667"/>
    <tableColumn id="15695" xr3:uid="{00000000-0010-0000-2000-00004F3D0000}" name="Column15668"/>
    <tableColumn id="15696" xr3:uid="{00000000-0010-0000-2000-0000503D0000}" name="Column15669"/>
    <tableColumn id="15697" xr3:uid="{00000000-0010-0000-2000-0000513D0000}" name="Column15670"/>
    <tableColumn id="15698" xr3:uid="{00000000-0010-0000-2000-0000523D0000}" name="Column15671"/>
    <tableColumn id="15699" xr3:uid="{00000000-0010-0000-2000-0000533D0000}" name="Column15672"/>
    <tableColumn id="15700" xr3:uid="{00000000-0010-0000-2000-0000543D0000}" name="Column15673"/>
    <tableColumn id="15701" xr3:uid="{00000000-0010-0000-2000-0000553D0000}" name="Column15674"/>
    <tableColumn id="15702" xr3:uid="{00000000-0010-0000-2000-0000563D0000}" name="Column15675"/>
    <tableColumn id="15703" xr3:uid="{00000000-0010-0000-2000-0000573D0000}" name="Column15676"/>
    <tableColumn id="15704" xr3:uid="{00000000-0010-0000-2000-0000583D0000}" name="Column15677"/>
    <tableColumn id="15705" xr3:uid="{00000000-0010-0000-2000-0000593D0000}" name="Column15678"/>
    <tableColumn id="15706" xr3:uid="{00000000-0010-0000-2000-00005A3D0000}" name="Column15679"/>
    <tableColumn id="15707" xr3:uid="{00000000-0010-0000-2000-00005B3D0000}" name="Column15680"/>
    <tableColumn id="15708" xr3:uid="{00000000-0010-0000-2000-00005C3D0000}" name="Column15681"/>
    <tableColumn id="15709" xr3:uid="{00000000-0010-0000-2000-00005D3D0000}" name="Column15682"/>
    <tableColumn id="15710" xr3:uid="{00000000-0010-0000-2000-00005E3D0000}" name="Column15683"/>
    <tableColumn id="15711" xr3:uid="{00000000-0010-0000-2000-00005F3D0000}" name="Column15684"/>
    <tableColumn id="15712" xr3:uid="{00000000-0010-0000-2000-0000603D0000}" name="Column15685"/>
    <tableColumn id="15713" xr3:uid="{00000000-0010-0000-2000-0000613D0000}" name="Column15686"/>
    <tableColumn id="15714" xr3:uid="{00000000-0010-0000-2000-0000623D0000}" name="Column15687"/>
    <tableColumn id="15715" xr3:uid="{00000000-0010-0000-2000-0000633D0000}" name="Column15688"/>
    <tableColumn id="15716" xr3:uid="{00000000-0010-0000-2000-0000643D0000}" name="Column15689"/>
    <tableColumn id="15717" xr3:uid="{00000000-0010-0000-2000-0000653D0000}" name="Column15690"/>
    <tableColumn id="15718" xr3:uid="{00000000-0010-0000-2000-0000663D0000}" name="Column15691"/>
    <tableColumn id="15719" xr3:uid="{00000000-0010-0000-2000-0000673D0000}" name="Column15692"/>
    <tableColumn id="15720" xr3:uid="{00000000-0010-0000-2000-0000683D0000}" name="Column15693"/>
    <tableColumn id="15721" xr3:uid="{00000000-0010-0000-2000-0000693D0000}" name="Column15694"/>
    <tableColumn id="15722" xr3:uid="{00000000-0010-0000-2000-00006A3D0000}" name="Column15695"/>
    <tableColumn id="15723" xr3:uid="{00000000-0010-0000-2000-00006B3D0000}" name="Column15696"/>
    <tableColumn id="15724" xr3:uid="{00000000-0010-0000-2000-00006C3D0000}" name="Column15697"/>
    <tableColumn id="15725" xr3:uid="{00000000-0010-0000-2000-00006D3D0000}" name="Column15698"/>
    <tableColumn id="15726" xr3:uid="{00000000-0010-0000-2000-00006E3D0000}" name="Column15699"/>
    <tableColumn id="15727" xr3:uid="{00000000-0010-0000-2000-00006F3D0000}" name="Column15700"/>
    <tableColumn id="15728" xr3:uid="{00000000-0010-0000-2000-0000703D0000}" name="Column15701"/>
    <tableColumn id="15729" xr3:uid="{00000000-0010-0000-2000-0000713D0000}" name="Column15702"/>
    <tableColumn id="15730" xr3:uid="{00000000-0010-0000-2000-0000723D0000}" name="Column15703"/>
    <tableColumn id="15731" xr3:uid="{00000000-0010-0000-2000-0000733D0000}" name="Column15704"/>
    <tableColumn id="15732" xr3:uid="{00000000-0010-0000-2000-0000743D0000}" name="Column15705"/>
    <tableColumn id="15733" xr3:uid="{00000000-0010-0000-2000-0000753D0000}" name="Column15706"/>
    <tableColumn id="15734" xr3:uid="{00000000-0010-0000-2000-0000763D0000}" name="Column15707"/>
    <tableColumn id="15735" xr3:uid="{00000000-0010-0000-2000-0000773D0000}" name="Column15708"/>
    <tableColumn id="15736" xr3:uid="{00000000-0010-0000-2000-0000783D0000}" name="Column15709"/>
    <tableColumn id="15737" xr3:uid="{00000000-0010-0000-2000-0000793D0000}" name="Column15710"/>
    <tableColumn id="15738" xr3:uid="{00000000-0010-0000-2000-00007A3D0000}" name="Column15711"/>
    <tableColumn id="15739" xr3:uid="{00000000-0010-0000-2000-00007B3D0000}" name="Column15712"/>
    <tableColumn id="15740" xr3:uid="{00000000-0010-0000-2000-00007C3D0000}" name="Column15713"/>
    <tableColumn id="15741" xr3:uid="{00000000-0010-0000-2000-00007D3D0000}" name="Column15714"/>
    <tableColumn id="15742" xr3:uid="{00000000-0010-0000-2000-00007E3D0000}" name="Column15715"/>
    <tableColumn id="15743" xr3:uid="{00000000-0010-0000-2000-00007F3D0000}" name="Column15716"/>
    <tableColumn id="15744" xr3:uid="{00000000-0010-0000-2000-0000803D0000}" name="Column15717"/>
    <tableColumn id="15745" xr3:uid="{00000000-0010-0000-2000-0000813D0000}" name="Column15718"/>
    <tableColumn id="15746" xr3:uid="{00000000-0010-0000-2000-0000823D0000}" name="Column15719"/>
    <tableColumn id="15747" xr3:uid="{00000000-0010-0000-2000-0000833D0000}" name="Column15720"/>
    <tableColumn id="15748" xr3:uid="{00000000-0010-0000-2000-0000843D0000}" name="Column15721"/>
    <tableColumn id="15749" xr3:uid="{00000000-0010-0000-2000-0000853D0000}" name="Column15722"/>
    <tableColumn id="15750" xr3:uid="{00000000-0010-0000-2000-0000863D0000}" name="Column15723"/>
    <tableColumn id="15751" xr3:uid="{00000000-0010-0000-2000-0000873D0000}" name="Column15724"/>
    <tableColumn id="15752" xr3:uid="{00000000-0010-0000-2000-0000883D0000}" name="Column15725"/>
    <tableColumn id="15753" xr3:uid="{00000000-0010-0000-2000-0000893D0000}" name="Column15726"/>
    <tableColumn id="15754" xr3:uid="{00000000-0010-0000-2000-00008A3D0000}" name="Column15727"/>
    <tableColumn id="15755" xr3:uid="{00000000-0010-0000-2000-00008B3D0000}" name="Column15728"/>
    <tableColumn id="15756" xr3:uid="{00000000-0010-0000-2000-00008C3D0000}" name="Column15729"/>
    <tableColumn id="15757" xr3:uid="{00000000-0010-0000-2000-00008D3D0000}" name="Column15730"/>
    <tableColumn id="15758" xr3:uid="{00000000-0010-0000-2000-00008E3D0000}" name="Column15731"/>
    <tableColumn id="15759" xr3:uid="{00000000-0010-0000-2000-00008F3D0000}" name="Column15732"/>
    <tableColumn id="15760" xr3:uid="{00000000-0010-0000-2000-0000903D0000}" name="Column15733"/>
    <tableColumn id="15761" xr3:uid="{00000000-0010-0000-2000-0000913D0000}" name="Column15734"/>
    <tableColumn id="15762" xr3:uid="{00000000-0010-0000-2000-0000923D0000}" name="Column15735"/>
    <tableColumn id="15763" xr3:uid="{00000000-0010-0000-2000-0000933D0000}" name="Column15736"/>
    <tableColumn id="15764" xr3:uid="{00000000-0010-0000-2000-0000943D0000}" name="Column15737"/>
    <tableColumn id="15765" xr3:uid="{00000000-0010-0000-2000-0000953D0000}" name="Column15738"/>
    <tableColumn id="15766" xr3:uid="{00000000-0010-0000-2000-0000963D0000}" name="Column15739"/>
    <tableColumn id="15767" xr3:uid="{00000000-0010-0000-2000-0000973D0000}" name="Column15740"/>
    <tableColumn id="15768" xr3:uid="{00000000-0010-0000-2000-0000983D0000}" name="Column15741"/>
    <tableColumn id="15769" xr3:uid="{00000000-0010-0000-2000-0000993D0000}" name="Column15742"/>
    <tableColumn id="15770" xr3:uid="{00000000-0010-0000-2000-00009A3D0000}" name="Column15743"/>
    <tableColumn id="15771" xr3:uid="{00000000-0010-0000-2000-00009B3D0000}" name="Column15744"/>
    <tableColumn id="15772" xr3:uid="{00000000-0010-0000-2000-00009C3D0000}" name="Column15745"/>
    <tableColumn id="15773" xr3:uid="{00000000-0010-0000-2000-00009D3D0000}" name="Column15746"/>
    <tableColumn id="15774" xr3:uid="{00000000-0010-0000-2000-00009E3D0000}" name="Column15747"/>
    <tableColumn id="15775" xr3:uid="{00000000-0010-0000-2000-00009F3D0000}" name="Column15748"/>
    <tableColumn id="15776" xr3:uid="{00000000-0010-0000-2000-0000A03D0000}" name="Column15749"/>
    <tableColumn id="15777" xr3:uid="{00000000-0010-0000-2000-0000A13D0000}" name="Column15750"/>
    <tableColumn id="15778" xr3:uid="{00000000-0010-0000-2000-0000A23D0000}" name="Column15751"/>
    <tableColumn id="15779" xr3:uid="{00000000-0010-0000-2000-0000A33D0000}" name="Column15752"/>
    <tableColumn id="15780" xr3:uid="{00000000-0010-0000-2000-0000A43D0000}" name="Column15753"/>
    <tableColumn id="15781" xr3:uid="{00000000-0010-0000-2000-0000A53D0000}" name="Column15754"/>
    <tableColumn id="15782" xr3:uid="{00000000-0010-0000-2000-0000A63D0000}" name="Column15755"/>
    <tableColumn id="15783" xr3:uid="{00000000-0010-0000-2000-0000A73D0000}" name="Column15756"/>
    <tableColumn id="15784" xr3:uid="{00000000-0010-0000-2000-0000A83D0000}" name="Column15757"/>
    <tableColumn id="15785" xr3:uid="{00000000-0010-0000-2000-0000A93D0000}" name="Column15758"/>
    <tableColumn id="15786" xr3:uid="{00000000-0010-0000-2000-0000AA3D0000}" name="Column15759"/>
    <tableColumn id="15787" xr3:uid="{00000000-0010-0000-2000-0000AB3D0000}" name="Column15760"/>
    <tableColumn id="15788" xr3:uid="{00000000-0010-0000-2000-0000AC3D0000}" name="Column15761"/>
    <tableColumn id="15789" xr3:uid="{00000000-0010-0000-2000-0000AD3D0000}" name="Column15762"/>
    <tableColumn id="15790" xr3:uid="{00000000-0010-0000-2000-0000AE3D0000}" name="Column15763"/>
    <tableColumn id="15791" xr3:uid="{00000000-0010-0000-2000-0000AF3D0000}" name="Column15764"/>
    <tableColumn id="15792" xr3:uid="{00000000-0010-0000-2000-0000B03D0000}" name="Column15765"/>
    <tableColumn id="15793" xr3:uid="{00000000-0010-0000-2000-0000B13D0000}" name="Column15766"/>
    <tableColumn id="15794" xr3:uid="{00000000-0010-0000-2000-0000B23D0000}" name="Column15767"/>
    <tableColumn id="15795" xr3:uid="{00000000-0010-0000-2000-0000B33D0000}" name="Column15768"/>
    <tableColumn id="15796" xr3:uid="{00000000-0010-0000-2000-0000B43D0000}" name="Column15769"/>
    <tableColumn id="15797" xr3:uid="{00000000-0010-0000-2000-0000B53D0000}" name="Column15770"/>
    <tableColumn id="15798" xr3:uid="{00000000-0010-0000-2000-0000B63D0000}" name="Column15771"/>
    <tableColumn id="15799" xr3:uid="{00000000-0010-0000-2000-0000B73D0000}" name="Column15772"/>
    <tableColumn id="15800" xr3:uid="{00000000-0010-0000-2000-0000B83D0000}" name="Column15773"/>
    <tableColumn id="15801" xr3:uid="{00000000-0010-0000-2000-0000B93D0000}" name="Column15774"/>
    <tableColumn id="15802" xr3:uid="{00000000-0010-0000-2000-0000BA3D0000}" name="Column15775"/>
    <tableColumn id="15803" xr3:uid="{00000000-0010-0000-2000-0000BB3D0000}" name="Column15776"/>
    <tableColumn id="15804" xr3:uid="{00000000-0010-0000-2000-0000BC3D0000}" name="Column15777"/>
    <tableColumn id="15805" xr3:uid="{00000000-0010-0000-2000-0000BD3D0000}" name="Column15778"/>
    <tableColumn id="15806" xr3:uid="{00000000-0010-0000-2000-0000BE3D0000}" name="Column15779"/>
    <tableColumn id="15807" xr3:uid="{00000000-0010-0000-2000-0000BF3D0000}" name="Column15780"/>
    <tableColumn id="15808" xr3:uid="{00000000-0010-0000-2000-0000C03D0000}" name="Column15781"/>
    <tableColumn id="15809" xr3:uid="{00000000-0010-0000-2000-0000C13D0000}" name="Column15782"/>
    <tableColumn id="15810" xr3:uid="{00000000-0010-0000-2000-0000C23D0000}" name="Column15783"/>
    <tableColumn id="15811" xr3:uid="{00000000-0010-0000-2000-0000C33D0000}" name="Column15784"/>
    <tableColumn id="15812" xr3:uid="{00000000-0010-0000-2000-0000C43D0000}" name="Column15785"/>
    <tableColumn id="15813" xr3:uid="{00000000-0010-0000-2000-0000C53D0000}" name="Column15786"/>
    <tableColumn id="15814" xr3:uid="{00000000-0010-0000-2000-0000C63D0000}" name="Column15787"/>
    <tableColumn id="15815" xr3:uid="{00000000-0010-0000-2000-0000C73D0000}" name="Column15788"/>
    <tableColumn id="15816" xr3:uid="{00000000-0010-0000-2000-0000C83D0000}" name="Column15789"/>
    <tableColumn id="15817" xr3:uid="{00000000-0010-0000-2000-0000C93D0000}" name="Column15790"/>
    <tableColumn id="15818" xr3:uid="{00000000-0010-0000-2000-0000CA3D0000}" name="Column15791"/>
    <tableColumn id="15819" xr3:uid="{00000000-0010-0000-2000-0000CB3D0000}" name="Column15792"/>
    <tableColumn id="15820" xr3:uid="{00000000-0010-0000-2000-0000CC3D0000}" name="Column15793"/>
    <tableColumn id="15821" xr3:uid="{00000000-0010-0000-2000-0000CD3D0000}" name="Column15794"/>
    <tableColumn id="15822" xr3:uid="{00000000-0010-0000-2000-0000CE3D0000}" name="Column15795"/>
    <tableColumn id="15823" xr3:uid="{00000000-0010-0000-2000-0000CF3D0000}" name="Column15796"/>
    <tableColumn id="15824" xr3:uid="{00000000-0010-0000-2000-0000D03D0000}" name="Column15797"/>
    <tableColumn id="15825" xr3:uid="{00000000-0010-0000-2000-0000D13D0000}" name="Column15798"/>
    <tableColumn id="15826" xr3:uid="{00000000-0010-0000-2000-0000D23D0000}" name="Column15799"/>
    <tableColumn id="15827" xr3:uid="{00000000-0010-0000-2000-0000D33D0000}" name="Column15800"/>
    <tableColumn id="15828" xr3:uid="{00000000-0010-0000-2000-0000D43D0000}" name="Column15801"/>
    <tableColumn id="15829" xr3:uid="{00000000-0010-0000-2000-0000D53D0000}" name="Column15802"/>
    <tableColumn id="15830" xr3:uid="{00000000-0010-0000-2000-0000D63D0000}" name="Column15803"/>
    <tableColumn id="15831" xr3:uid="{00000000-0010-0000-2000-0000D73D0000}" name="Column15804"/>
    <tableColumn id="15832" xr3:uid="{00000000-0010-0000-2000-0000D83D0000}" name="Column15805"/>
    <tableColumn id="15833" xr3:uid="{00000000-0010-0000-2000-0000D93D0000}" name="Column15806"/>
    <tableColumn id="15834" xr3:uid="{00000000-0010-0000-2000-0000DA3D0000}" name="Column15807"/>
    <tableColumn id="15835" xr3:uid="{00000000-0010-0000-2000-0000DB3D0000}" name="Column15808"/>
    <tableColumn id="15836" xr3:uid="{00000000-0010-0000-2000-0000DC3D0000}" name="Column15809"/>
    <tableColumn id="15837" xr3:uid="{00000000-0010-0000-2000-0000DD3D0000}" name="Column15810"/>
    <tableColumn id="15838" xr3:uid="{00000000-0010-0000-2000-0000DE3D0000}" name="Column15811"/>
    <tableColumn id="15839" xr3:uid="{00000000-0010-0000-2000-0000DF3D0000}" name="Column15812"/>
    <tableColumn id="15840" xr3:uid="{00000000-0010-0000-2000-0000E03D0000}" name="Column15813"/>
    <tableColumn id="15841" xr3:uid="{00000000-0010-0000-2000-0000E13D0000}" name="Column15814"/>
    <tableColumn id="15842" xr3:uid="{00000000-0010-0000-2000-0000E23D0000}" name="Column15815"/>
    <tableColumn id="15843" xr3:uid="{00000000-0010-0000-2000-0000E33D0000}" name="Column15816"/>
    <tableColumn id="15844" xr3:uid="{00000000-0010-0000-2000-0000E43D0000}" name="Column15817"/>
    <tableColumn id="15845" xr3:uid="{00000000-0010-0000-2000-0000E53D0000}" name="Column15818"/>
    <tableColumn id="15846" xr3:uid="{00000000-0010-0000-2000-0000E63D0000}" name="Column15819"/>
    <tableColumn id="15847" xr3:uid="{00000000-0010-0000-2000-0000E73D0000}" name="Column15820"/>
    <tableColumn id="15848" xr3:uid="{00000000-0010-0000-2000-0000E83D0000}" name="Column15821"/>
    <tableColumn id="15849" xr3:uid="{00000000-0010-0000-2000-0000E93D0000}" name="Column15822"/>
    <tableColumn id="15850" xr3:uid="{00000000-0010-0000-2000-0000EA3D0000}" name="Column15823"/>
    <tableColumn id="15851" xr3:uid="{00000000-0010-0000-2000-0000EB3D0000}" name="Column15824"/>
    <tableColumn id="15852" xr3:uid="{00000000-0010-0000-2000-0000EC3D0000}" name="Column15825"/>
    <tableColumn id="15853" xr3:uid="{00000000-0010-0000-2000-0000ED3D0000}" name="Column15826"/>
    <tableColumn id="15854" xr3:uid="{00000000-0010-0000-2000-0000EE3D0000}" name="Column15827"/>
    <tableColumn id="15855" xr3:uid="{00000000-0010-0000-2000-0000EF3D0000}" name="Column15828"/>
    <tableColumn id="15856" xr3:uid="{00000000-0010-0000-2000-0000F03D0000}" name="Column15829"/>
    <tableColumn id="15857" xr3:uid="{00000000-0010-0000-2000-0000F13D0000}" name="Column15830"/>
    <tableColumn id="15858" xr3:uid="{00000000-0010-0000-2000-0000F23D0000}" name="Column15831"/>
    <tableColumn id="15859" xr3:uid="{00000000-0010-0000-2000-0000F33D0000}" name="Column15832"/>
    <tableColumn id="15860" xr3:uid="{00000000-0010-0000-2000-0000F43D0000}" name="Column15833"/>
    <tableColumn id="15861" xr3:uid="{00000000-0010-0000-2000-0000F53D0000}" name="Column15834"/>
    <tableColumn id="15862" xr3:uid="{00000000-0010-0000-2000-0000F63D0000}" name="Column15835"/>
    <tableColumn id="15863" xr3:uid="{00000000-0010-0000-2000-0000F73D0000}" name="Column15836"/>
    <tableColumn id="15864" xr3:uid="{00000000-0010-0000-2000-0000F83D0000}" name="Column15837"/>
    <tableColumn id="15865" xr3:uid="{00000000-0010-0000-2000-0000F93D0000}" name="Column15838"/>
    <tableColumn id="15866" xr3:uid="{00000000-0010-0000-2000-0000FA3D0000}" name="Column15839"/>
    <tableColumn id="15867" xr3:uid="{00000000-0010-0000-2000-0000FB3D0000}" name="Column15840"/>
    <tableColumn id="15868" xr3:uid="{00000000-0010-0000-2000-0000FC3D0000}" name="Column15841"/>
    <tableColumn id="15869" xr3:uid="{00000000-0010-0000-2000-0000FD3D0000}" name="Column15842"/>
    <tableColumn id="15870" xr3:uid="{00000000-0010-0000-2000-0000FE3D0000}" name="Column15843"/>
    <tableColumn id="15871" xr3:uid="{00000000-0010-0000-2000-0000FF3D0000}" name="Column15844"/>
    <tableColumn id="15872" xr3:uid="{00000000-0010-0000-2000-0000003E0000}" name="Column15845"/>
    <tableColumn id="15873" xr3:uid="{00000000-0010-0000-2000-0000013E0000}" name="Column15846"/>
    <tableColumn id="15874" xr3:uid="{00000000-0010-0000-2000-0000023E0000}" name="Column15847"/>
    <tableColumn id="15875" xr3:uid="{00000000-0010-0000-2000-0000033E0000}" name="Column15848"/>
    <tableColumn id="15876" xr3:uid="{00000000-0010-0000-2000-0000043E0000}" name="Column15849"/>
    <tableColumn id="15877" xr3:uid="{00000000-0010-0000-2000-0000053E0000}" name="Column15850"/>
    <tableColumn id="15878" xr3:uid="{00000000-0010-0000-2000-0000063E0000}" name="Column15851"/>
    <tableColumn id="15879" xr3:uid="{00000000-0010-0000-2000-0000073E0000}" name="Column15852"/>
    <tableColumn id="15880" xr3:uid="{00000000-0010-0000-2000-0000083E0000}" name="Column15853"/>
    <tableColumn id="15881" xr3:uid="{00000000-0010-0000-2000-0000093E0000}" name="Column15854"/>
    <tableColumn id="15882" xr3:uid="{00000000-0010-0000-2000-00000A3E0000}" name="Column15855"/>
    <tableColumn id="15883" xr3:uid="{00000000-0010-0000-2000-00000B3E0000}" name="Column15856"/>
    <tableColumn id="15884" xr3:uid="{00000000-0010-0000-2000-00000C3E0000}" name="Column15857"/>
    <tableColumn id="15885" xr3:uid="{00000000-0010-0000-2000-00000D3E0000}" name="Column15858"/>
    <tableColumn id="15886" xr3:uid="{00000000-0010-0000-2000-00000E3E0000}" name="Column15859"/>
    <tableColumn id="15887" xr3:uid="{00000000-0010-0000-2000-00000F3E0000}" name="Column15860"/>
    <tableColumn id="15888" xr3:uid="{00000000-0010-0000-2000-0000103E0000}" name="Column15861"/>
    <tableColumn id="15889" xr3:uid="{00000000-0010-0000-2000-0000113E0000}" name="Column15862"/>
    <tableColumn id="15890" xr3:uid="{00000000-0010-0000-2000-0000123E0000}" name="Column15863"/>
    <tableColumn id="15891" xr3:uid="{00000000-0010-0000-2000-0000133E0000}" name="Column15864"/>
    <tableColumn id="15892" xr3:uid="{00000000-0010-0000-2000-0000143E0000}" name="Column15865"/>
    <tableColumn id="15893" xr3:uid="{00000000-0010-0000-2000-0000153E0000}" name="Column15866"/>
    <tableColumn id="15894" xr3:uid="{00000000-0010-0000-2000-0000163E0000}" name="Column15867"/>
    <tableColumn id="15895" xr3:uid="{00000000-0010-0000-2000-0000173E0000}" name="Column15868"/>
    <tableColumn id="15896" xr3:uid="{00000000-0010-0000-2000-0000183E0000}" name="Column15869"/>
    <tableColumn id="15897" xr3:uid="{00000000-0010-0000-2000-0000193E0000}" name="Column15870"/>
    <tableColumn id="15898" xr3:uid="{00000000-0010-0000-2000-00001A3E0000}" name="Column15871"/>
    <tableColumn id="15899" xr3:uid="{00000000-0010-0000-2000-00001B3E0000}" name="Column15872"/>
    <tableColumn id="15900" xr3:uid="{00000000-0010-0000-2000-00001C3E0000}" name="Column15873"/>
    <tableColumn id="15901" xr3:uid="{00000000-0010-0000-2000-00001D3E0000}" name="Column15874"/>
    <tableColumn id="15902" xr3:uid="{00000000-0010-0000-2000-00001E3E0000}" name="Column15875"/>
    <tableColumn id="15903" xr3:uid="{00000000-0010-0000-2000-00001F3E0000}" name="Column15876"/>
    <tableColumn id="15904" xr3:uid="{00000000-0010-0000-2000-0000203E0000}" name="Column15877"/>
    <tableColumn id="15905" xr3:uid="{00000000-0010-0000-2000-0000213E0000}" name="Column15878"/>
    <tableColumn id="15906" xr3:uid="{00000000-0010-0000-2000-0000223E0000}" name="Column15879"/>
    <tableColumn id="15907" xr3:uid="{00000000-0010-0000-2000-0000233E0000}" name="Column15880"/>
    <tableColumn id="15908" xr3:uid="{00000000-0010-0000-2000-0000243E0000}" name="Column15881"/>
    <tableColumn id="15909" xr3:uid="{00000000-0010-0000-2000-0000253E0000}" name="Column15882"/>
    <tableColumn id="15910" xr3:uid="{00000000-0010-0000-2000-0000263E0000}" name="Column15883"/>
    <tableColumn id="15911" xr3:uid="{00000000-0010-0000-2000-0000273E0000}" name="Column15884"/>
    <tableColumn id="15912" xr3:uid="{00000000-0010-0000-2000-0000283E0000}" name="Column15885"/>
    <tableColumn id="15913" xr3:uid="{00000000-0010-0000-2000-0000293E0000}" name="Column15886"/>
    <tableColumn id="15914" xr3:uid="{00000000-0010-0000-2000-00002A3E0000}" name="Column15887"/>
    <tableColumn id="15915" xr3:uid="{00000000-0010-0000-2000-00002B3E0000}" name="Column15888"/>
    <tableColumn id="15916" xr3:uid="{00000000-0010-0000-2000-00002C3E0000}" name="Column15889"/>
    <tableColumn id="15917" xr3:uid="{00000000-0010-0000-2000-00002D3E0000}" name="Column15890"/>
    <tableColumn id="15918" xr3:uid="{00000000-0010-0000-2000-00002E3E0000}" name="Column15891"/>
    <tableColumn id="15919" xr3:uid="{00000000-0010-0000-2000-00002F3E0000}" name="Column15892"/>
    <tableColumn id="15920" xr3:uid="{00000000-0010-0000-2000-0000303E0000}" name="Column15893"/>
    <tableColumn id="15921" xr3:uid="{00000000-0010-0000-2000-0000313E0000}" name="Column15894"/>
    <tableColumn id="15922" xr3:uid="{00000000-0010-0000-2000-0000323E0000}" name="Column15895"/>
    <tableColumn id="15923" xr3:uid="{00000000-0010-0000-2000-0000333E0000}" name="Column15896"/>
    <tableColumn id="15924" xr3:uid="{00000000-0010-0000-2000-0000343E0000}" name="Column15897"/>
    <tableColumn id="15925" xr3:uid="{00000000-0010-0000-2000-0000353E0000}" name="Column15898"/>
    <tableColumn id="15926" xr3:uid="{00000000-0010-0000-2000-0000363E0000}" name="Column15899"/>
    <tableColumn id="15927" xr3:uid="{00000000-0010-0000-2000-0000373E0000}" name="Column15900"/>
    <tableColumn id="15928" xr3:uid="{00000000-0010-0000-2000-0000383E0000}" name="Column15901"/>
    <tableColumn id="15929" xr3:uid="{00000000-0010-0000-2000-0000393E0000}" name="Column15902"/>
    <tableColumn id="15930" xr3:uid="{00000000-0010-0000-2000-00003A3E0000}" name="Column15903"/>
    <tableColumn id="15931" xr3:uid="{00000000-0010-0000-2000-00003B3E0000}" name="Column15904"/>
    <tableColumn id="15932" xr3:uid="{00000000-0010-0000-2000-00003C3E0000}" name="Column15905"/>
    <tableColumn id="15933" xr3:uid="{00000000-0010-0000-2000-00003D3E0000}" name="Column15906"/>
    <tableColumn id="15934" xr3:uid="{00000000-0010-0000-2000-00003E3E0000}" name="Column15907"/>
    <tableColumn id="15935" xr3:uid="{00000000-0010-0000-2000-00003F3E0000}" name="Column15908"/>
    <tableColumn id="15936" xr3:uid="{00000000-0010-0000-2000-0000403E0000}" name="Column15909"/>
    <tableColumn id="15937" xr3:uid="{00000000-0010-0000-2000-0000413E0000}" name="Column15910"/>
    <tableColumn id="15938" xr3:uid="{00000000-0010-0000-2000-0000423E0000}" name="Column15911"/>
    <tableColumn id="15939" xr3:uid="{00000000-0010-0000-2000-0000433E0000}" name="Column15912"/>
    <tableColumn id="15940" xr3:uid="{00000000-0010-0000-2000-0000443E0000}" name="Column15913"/>
    <tableColumn id="15941" xr3:uid="{00000000-0010-0000-2000-0000453E0000}" name="Column15914"/>
    <tableColumn id="15942" xr3:uid="{00000000-0010-0000-2000-0000463E0000}" name="Column15915"/>
    <tableColumn id="15943" xr3:uid="{00000000-0010-0000-2000-0000473E0000}" name="Column15916"/>
    <tableColumn id="15944" xr3:uid="{00000000-0010-0000-2000-0000483E0000}" name="Column15917"/>
    <tableColumn id="15945" xr3:uid="{00000000-0010-0000-2000-0000493E0000}" name="Column15918"/>
    <tableColumn id="15946" xr3:uid="{00000000-0010-0000-2000-00004A3E0000}" name="Column15919"/>
    <tableColumn id="15947" xr3:uid="{00000000-0010-0000-2000-00004B3E0000}" name="Column15920"/>
    <tableColumn id="15948" xr3:uid="{00000000-0010-0000-2000-00004C3E0000}" name="Column15921"/>
    <tableColumn id="15949" xr3:uid="{00000000-0010-0000-2000-00004D3E0000}" name="Column15922"/>
    <tableColumn id="15950" xr3:uid="{00000000-0010-0000-2000-00004E3E0000}" name="Column15923"/>
    <tableColumn id="15951" xr3:uid="{00000000-0010-0000-2000-00004F3E0000}" name="Column15924"/>
    <tableColumn id="15952" xr3:uid="{00000000-0010-0000-2000-0000503E0000}" name="Column15925"/>
    <tableColumn id="15953" xr3:uid="{00000000-0010-0000-2000-0000513E0000}" name="Column15926"/>
    <tableColumn id="15954" xr3:uid="{00000000-0010-0000-2000-0000523E0000}" name="Column15927"/>
    <tableColumn id="15955" xr3:uid="{00000000-0010-0000-2000-0000533E0000}" name="Column15928"/>
    <tableColumn id="15956" xr3:uid="{00000000-0010-0000-2000-0000543E0000}" name="Column15929"/>
    <tableColumn id="15957" xr3:uid="{00000000-0010-0000-2000-0000553E0000}" name="Column15930"/>
    <tableColumn id="15958" xr3:uid="{00000000-0010-0000-2000-0000563E0000}" name="Column15931"/>
    <tableColumn id="15959" xr3:uid="{00000000-0010-0000-2000-0000573E0000}" name="Column15932"/>
    <tableColumn id="15960" xr3:uid="{00000000-0010-0000-2000-0000583E0000}" name="Column15933"/>
    <tableColumn id="15961" xr3:uid="{00000000-0010-0000-2000-0000593E0000}" name="Column15934"/>
    <tableColumn id="15962" xr3:uid="{00000000-0010-0000-2000-00005A3E0000}" name="Column15935"/>
    <tableColumn id="15963" xr3:uid="{00000000-0010-0000-2000-00005B3E0000}" name="Column15936"/>
    <tableColumn id="15964" xr3:uid="{00000000-0010-0000-2000-00005C3E0000}" name="Column15937"/>
    <tableColumn id="15965" xr3:uid="{00000000-0010-0000-2000-00005D3E0000}" name="Column15938"/>
    <tableColumn id="15966" xr3:uid="{00000000-0010-0000-2000-00005E3E0000}" name="Column15939"/>
    <tableColumn id="15967" xr3:uid="{00000000-0010-0000-2000-00005F3E0000}" name="Column15940"/>
    <tableColumn id="15968" xr3:uid="{00000000-0010-0000-2000-0000603E0000}" name="Column15941"/>
    <tableColumn id="15969" xr3:uid="{00000000-0010-0000-2000-0000613E0000}" name="Column15942"/>
    <tableColumn id="15970" xr3:uid="{00000000-0010-0000-2000-0000623E0000}" name="Column15943"/>
    <tableColumn id="15971" xr3:uid="{00000000-0010-0000-2000-0000633E0000}" name="Column15944"/>
    <tableColumn id="15972" xr3:uid="{00000000-0010-0000-2000-0000643E0000}" name="Column15945"/>
    <tableColumn id="15973" xr3:uid="{00000000-0010-0000-2000-0000653E0000}" name="Column15946"/>
    <tableColumn id="15974" xr3:uid="{00000000-0010-0000-2000-0000663E0000}" name="Column15947"/>
    <tableColumn id="15975" xr3:uid="{00000000-0010-0000-2000-0000673E0000}" name="Column15948"/>
    <tableColumn id="15976" xr3:uid="{00000000-0010-0000-2000-0000683E0000}" name="Column15949"/>
    <tableColumn id="15977" xr3:uid="{00000000-0010-0000-2000-0000693E0000}" name="Column15950"/>
    <tableColumn id="15978" xr3:uid="{00000000-0010-0000-2000-00006A3E0000}" name="Column15951"/>
    <tableColumn id="15979" xr3:uid="{00000000-0010-0000-2000-00006B3E0000}" name="Column15952"/>
    <tableColumn id="15980" xr3:uid="{00000000-0010-0000-2000-00006C3E0000}" name="Column15953"/>
    <tableColumn id="15981" xr3:uid="{00000000-0010-0000-2000-00006D3E0000}" name="Column15954"/>
    <tableColumn id="15982" xr3:uid="{00000000-0010-0000-2000-00006E3E0000}" name="Column15955"/>
    <tableColumn id="15983" xr3:uid="{00000000-0010-0000-2000-00006F3E0000}" name="Column15956"/>
    <tableColumn id="15984" xr3:uid="{00000000-0010-0000-2000-0000703E0000}" name="Column15957"/>
    <tableColumn id="15985" xr3:uid="{00000000-0010-0000-2000-0000713E0000}" name="Column15958"/>
    <tableColumn id="15986" xr3:uid="{00000000-0010-0000-2000-0000723E0000}" name="Column15959"/>
    <tableColumn id="15987" xr3:uid="{00000000-0010-0000-2000-0000733E0000}" name="Column15960"/>
    <tableColumn id="15988" xr3:uid="{00000000-0010-0000-2000-0000743E0000}" name="Column15961"/>
    <tableColumn id="15989" xr3:uid="{00000000-0010-0000-2000-0000753E0000}" name="Column15962"/>
    <tableColumn id="15990" xr3:uid="{00000000-0010-0000-2000-0000763E0000}" name="Column15963"/>
    <tableColumn id="15991" xr3:uid="{00000000-0010-0000-2000-0000773E0000}" name="Column15964"/>
    <tableColumn id="15992" xr3:uid="{00000000-0010-0000-2000-0000783E0000}" name="Column15965"/>
    <tableColumn id="15993" xr3:uid="{00000000-0010-0000-2000-0000793E0000}" name="Column15966"/>
    <tableColumn id="15994" xr3:uid="{00000000-0010-0000-2000-00007A3E0000}" name="Column15967"/>
    <tableColumn id="15995" xr3:uid="{00000000-0010-0000-2000-00007B3E0000}" name="Column15968"/>
    <tableColumn id="15996" xr3:uid="{00000000-0010-0000-2000-00007C3E0000}" name="Column15969"/>
    <tableColumn id="15997" xr3:uid="{00000000-0010-0000-2000-00007D3E0000}" name="Column15970"/>
    <tableColumn id="15998" xr3:uid="{00000000-0010-0000-2000-00007E3E0000}" name="Column15971"/>
    <tableColumn id="15999" xr3:uid="{00000000-0010-0000-2000-00007F3E0000}" name="Column15972"/>
    <tableColumn id="16000" xr3:uid="{00000000-0010-0000-2000-0000803E0000}" name="Column15973"/>
    <tableColumn id="16001" xr3:uid="{00000000-0010-0000-2000-0000813E0000}" name="Column15974"/>
    <tableColumn id="16002" xr3:uid="{00000000-0010-0000-2000-0000823E0000}" name="Column15975"/>
    <tableColumn id="16003" xr3:uid="{00000000-0010-0000-2000-0000833E0000}" name="Column15976"/>
    <tableColumn id="16004" xr3:uid="{00000000-0010-0000-2000-0000843E0000}" name="Column15977"/>
    <tableColumn id="16005" xr3:uid="{00000000-0010-0000-2000-0000853E0000}" name="Column15978"/>
    <tableColumn id="16006" xr3:uid="{00000000-0010-0000-2000-0000863E0000}" name="Column15979"/>
    <tableColumn id="16007" xr3:uid="{00000000-0010-0000-2000-0000873E0000}" name="Column15980"/>
    <tableColumn id="16008" xr3:uid="{00000000-0010-0000-2000-0000883E0000}" name="Column15981"/>
    <tableColumn id="16009" xr3:uid="{00000000-0010-0000-2000-0000893E0000}" name="Column15982"/>
    <tableColumn id="16010" xr3:uid="{00000000-0010-0000-2000-00008A3E0000}" name="Column15983"/>
    <tableColumn id="16011" xr3:uid="{00000000-0010-0000-2000-00008B3E0000}" name="Column15984"/>
    <tableColumn id="16012" xr3:uid="{00000000-0010-0000-2000-00008C3E0000}" name="Column15985"/>
    <tableColumn id="16013" xr3:uid="{00000000-0010-0000-2000-00008D3E0000}" name="Column15986"/>
    <tableColumn id="16014" xr3:uid="{00000000-0010-0000-2000-00008E3E0000}" name="Column15987"/>
    <tableColumn id="16015" xr3:uid="{00000000-0010-0000-2000-00008F3E0000}" name="Column15988"/>
    <tableColumn id="16016" xr3:uid="{00000000-0010-0000-2000-0000903E0000}" name="Column15989"/>
    <tableColumn id="16017" xr3:uid="{00000000-0010-0000-2000-0000913E0000}" name="Column15990"/>
    <tableColumn id="16018" xr3:uid="{00000000-0010-0000-2000-0000923E0000}" name="Column15991"/>
    <tableColumn id="16019" xr3:uid="{00000000-0010-0000-2000-0000933E0000}" name="Column15992"/>
    <tableColumn id="16020" xr3:uid="{00000000-0010-0000-2000-0000943E0000}" name="Column15993"/>
    <tableColumn id="16021" xr3:uid="{00000000-0010-0000-2000-0000953E0000}" name="Column15994"/>
    <tableColumn id="16022" xr3:uid="{00000000-0010-0000-2000-0000963E0000}" name="Column15995"/>
    <tableColumn id="16023" xr3:uid="{00000000-0010-0000-2000-0000973E0000}" name="Column15996"/>
    <tableColumn id="16024" xr3:uid="{00000000-0010-0000-2000-0000983E0000}" name="Column15997"/>
    <tableColumn id="16025" xr3:uid="{00000000-0010-0000-2000-0000993E0000}" name="Column15998"/>
    <tableColumn id="16026" xr3:uid="{00000000-0010-0000-2000-00009A3E0000}" name="Column15999"/>
    <tableColumn id="16027" xr3:uid="{00000000-0010-0000-2000-00009B3E0000}" name="Column16000"/>
    <tableColumn id="16028" xr3:uid="{00000000-0010-0000-2000-00009C3E0000}" name="Column16001"/>
    <tableColumn id="16029" xr3:uid="{00000000-0010-0000-2000-00009D3E0000}" name="Column16002"/>
    <tableColumn id="16030" xr3:uid="{00000000-0010-0000-2000-00009E3E0000}" name="Column16003"/>
    <tableColumn id="16031" xr3:uid="{00000000-0010-0000-2000-00009F3E0000}" name="Column16004"/>
    <tableColumn id="16032" xr3:uid="{00000000-0010-0000-2000-0000A03E0000}" name="Column16005"/>
    <tableColumn id="16033" xr3:uid="{00000000-0010-0000-2000-0000A13E0000}" name="Column16006"/>
    <tableColumn id="16034" xr3:uid="{00000000-0010-0000-2000-0000A23E0000}" name="Column16007"/>
    <tableColumn id="16035" xr3:uid="{00000000-0010-0000-2000-0000A33E0000}" name="Column16008"/>
    <tableColumn id="16036" xr3:uid="{00000000-0010-0000-2000-0000A43E0000}" name="Column16009"/>
    <tableColumn id="16037" xr3:uid="{00000000-0010-0000-2000-0000A53E0000}" name="Column16010"/>
    <tableColumn id="16038" xr3:uid="{00000000-0010-0000-2000-0000A63E0000}" name="Column16011"/>
    <tableColumn id="16039" xr3:uid="{00000000-0010-0000-2000-0000A73E0000}" name="Column16012"/>
    <tableColumn id="16040" xr3:uid="{00000000-0010-0000-2000-0000A83E0000}" name="Column16013"/>
    <tableColumn id="16041" xr3:uid="{00000000-0010-0000-2000-0000A93E0000}" name="Column16014"/>
    <tableColumn id="16042" xr3:uid="{00000000-0010-0000-2000-0000AA3E0000}" name="Column16015"/>
    <tableColumn id="16043" xr3:uid="{00000000-0010-0000-2000-0000AB3E0000}" name="Column16016"/>
    <tableColumn id="16044" xr3:uid="{00000000-0010-0000-2000-0000AC3E0000}" name="Column16017"/>
    <tableColumn id="16045" xr3:uid="{00000000-0010-0000-2000-0000AD3E0000}" name="Column16018"/>
    <tableColumn id="16046" xr3:uid="{00000000-0010-0000-2000-0000AE3E0000}" name="Column16019"/>
    <tableColumn id="16047" xr3:uid="{00000000-0010-0000-2000-0000AF3E0000}" name="Column16020"/>
    <tableColumn id="16048" xr3:uid="{00000000-0010-0000-2000-0000B03E0000}" name="Column16021"/>
    <tableColumn id="16049" xr3:uid="{00000000-0010-0000-2000-0000B13E0000}" name="Column16022"/>
    <tableColumn id="16050" xr3:uid="{00000000-0010-0000-2000-0000B23E0000}" name="Column16023"/>
    <tableColumn id="16051" xr3:uid="{00000000-0010-0000-2000-0000B33E0000}" name="Column16024"/>
    <tableColumn id="16052" xr3:uid="{00000000-0010-0000-2000-0000B43E0000}" name="Column16025"/>
    <tableColumn id="16053" xr3:uid="{00000000-0010-0000-2000-0000B53E0000}" name="Column16026"/>
    <tableColumn id="16054" xr3:uid="{00000000-0010-0000-2000-0000B63E0000}" name="Column16027"/>
    <tableColumn id="16055" xr3:uid="{00000000-0010-0000-2000-0000B73E0000}" name="Column16028"/>
    <tableColumn id="16056" xr3:uid="{00000000-0010-0000-2000-0000B83E0000}" name="Column16029"/>
    <tableColumn id="16057" xr3:uid="{00000000-0010-0000-2000-0000B93E0000}" name="Column16030"/>
    <tableColumn id="16058" xr3:uid="{00000000-0010-0000-2000-0000BA3E0000}" name="Column16031"/>
    <tableColumn id="16059" xr3:uid="{00000000-0010-0000-2000-0000BB3E0000}" name="Column16032"/>
    <tableColumn id="16060" xr3:uid="{00000000-0010-0000-2000-0000BC3E0000}" name="Column16033"/>
    <tableColumn id="16061" xr3:uid="{00000000-0010-0000-2000-0000BD3E0000}" name="Column16034"/>
    <tableColumn id="16062" xr3:uid="{00000000-0010-0000-2000-0000BE3E0000}" name="Column16035"/>
    <tableColumn id="16063" xr3:uid="{00000000-0010-0000-2000-0000BF3E0000}" name="Column16036"/>
    <tableColumn id="16064" xr3:uid="{00000000-0010-0000-2000-0000C03E0000}" name="Column16037"/>
    <tableColumn id="16065" xr3:uid="{00000000-0010-0000-2000-0000C13E0000}" name="Column16038"/>
    <tableColumn id="16066" xr3:uid="{00000000-0010-0000-2000-0000C23E0000}" name="Column16039"/>
    <tableColumn id="16067" xr3:uid="{00000000-0010-0000-2000-0000C33E0000}" name="Column16040"/>
    <tableColumn id="16068" xr3:uid="{00000000-0010-0000-2000-0000C43E0000}" name="Column16041"/>
    <tableColumn id="16069" xr3:uid="{00000000-0010-0000-2000-0000C53E0000}" name="Column16042"/>
    <tableColumn id="16070" xr3:uid="{00000000-0010-0000-2000-0000C63E0000}" name="Column16043"/>
    <tableColumn id="16071" xr3:uid="{00000000-0010-0000-2000-0000C73E0000}" name="Column16044"/>
    <tableColumn id="16072" xr3:uid="{00000000-0010-0000-2000-0000C83E0000}" name="Column16045"/>
    <tableColumn id="16073" xr3:uid="{00000000-0010-0000-2000-0000C93E0000}" name="Column16046"/>
    <tableColumn id="16074" xr3:uid="{00000000-0010-0000-2000-0000CA3E0000}" name="Column16047"/>
    <tableColumn id="16075" xr3:uid="{00000000-0010-0000-2000-0000CB3E0000}" name="Column16048"/>
    <tableColumn id="16076" xr3:uid="{00000000-0010-0000-2000-0000CC3E0000}" name="Column16049"/>
    <tableColumn id="16077" xr3:uid="{00000000-0010-0000-2000-0000CD3E0000}" name="Column16050"/>
    <tableColumn id="16078" xr3:uid="{00000000-0010-0000-2000-0000CE3E0000}" name="Column16051"/>
    <tableColumn id="16079" xr3:uid="{00000000-0010-0000-2000-0000CF3E0000}" name="Column16052"/>
    <tableColumn id="16080" xr3:uid="{00000000-0010-0000-2000-0000D03E0000}" name="Column16053"/>
    <tableColumn id="16081" xr3:uid="{00000000-0010-0000-2000-0000D13E0000}" name="Column16054"/>
    <tableColumn id="16082" xr3:uid="{00000000-0010-0000-2000-0000D23E0000}" name="Column16055"/>
    <tableColumn id="16083" xr3:uid="{00000000-0010-0000-2000-0000D33E0000}" name="Column16056"/>
    <tableColumn id="16084" xr3:uid="{00000000-0010-0000-2000-0000D43E0000}" name="Column16057"/>
    <tableColumn id="16085" xr3:uid="{00000000-0010-0000-2000-0000D53E0000}" name="Column16058"/>
    <tableColumn id="16086" xr3:uid="{00000000-0010-0000-2000-0000D63E0000}" name="Column16059"/>
    <tableColumn id="16087" xr3:uid="{00000000-0010-0000-2000-0000D73E0000}" name="Column16060"/>
    <tableColumn id="16088" xr3:uid="{00000000-0010-0000-2000-0000D83E0000}" name="Column16061"/>
    <tableColumn id="16089" xr3:uid="{00000000-0010-0000-2000-0000D93E0000}" name="Column16062"/>
    <tableColumn id="16090" xr3:uid="{00000000-0010-0000-2000-0000DA3E0000}" name="Column16063"/>
    <tableColumn id="16091" xr3:uid="{00000000-0010-0000-2000-0000DB3E0000}" name="Column16064"/>
    <tableColumn id="16092" xr3:uid="{00000000-0010-0000-2000-0000DC3E0000}" name="Column16065"/>
    <tableColumn id="16093" xr3:uid="{00000000-0010-0000-2000-0000DD3E0000}" name="Column16066"/>
    <tableColumn id="16094" xr3:uid="{00000000-0010-0000-2000-0000DE3E0000}" name="Column16067"/>
    <tableColumn id="16095" xr3:uid="{00000000-0010-0000-2000-0000DF3E0000}" name="Column16068"/>
    <tableColumn id="16096" xr3:uid="{00000000-0010-0000-2000-0000E03E0000}" name="Column16069"/>
    <tableColumn id="16097" xr3:uid="{00000000-0010-0000-2000-0000E13E0000}" name="Column16070"/>
    <tableColumn id="16098" xr3:uid="{00000000-0010-0000-2000-0000E23E0000}" name="Column16071"/>
    <tableColumn id="16099" xr3:uid="{00000000-0010-0000-2000-0000E33E0000}" name="Column16072"/>
    <tableColumn id="16100" xr3:uid="{00000000-0010-0000-2000-0000E43E0000}" name="Column16073"/>
    <tableColumn id="16101" xr3:uid="{00000000-0010-0000-2000-0000E53E0000}" name="Column16074"/>
    <tableColumn id="16102" xr3:uid="{00000000-0010-0000-2000-0000E63E0000}" name="Column16075"/>
    <tableColumn id="16103" xr3:uid="{00000000-0010-0000-2000-0000E73E0000}" name="Column16076"/>
    <tableColumn id="16104" xr3:uid="{00000000-0010-0000-2000-0000E83E0000}" name="Column16077"/>
    <tableColumn id="16105" xr3:uid="{00000000-0010-0000-2000-0000E93E0000}" name="Column16078"/>
    <tableColumn id="16106" xr3:uid="{00000000-0010-0000-2000-0000EA3E0000}" name="Column16079"/>
    <tableColumn id="16107" xr3:uid="{00000000-0010-0000-2000-0000EB3E0000}" name="Column16080"/>
    <tableColumn id="16108" xr3:uid="{00000000-0010-0000-2000-0000EC3E0000}" name="Column16081"/>
    <tableColumn id="16109" xr3:uid="{00000000-0010-0000-2000-0000ED3E0000}" name="Column16082"/>
    <tableColumn id="16110" xr3:uid="{00000000-0010-0000-2000-0000EE3E0000}" name="Column16083"/>
    <tableColumn id="16111" xr3:uid="{00000000-0010-0000-2000-0000EF3E0000}" name="Column16084"/>
    <tableColumn id="16112" xr3:uid="{00000000-0010-0000-2000-0000F03E0000}" name="Column16085"/>
    <tableColumn id="16113" xr3:uid="{00000000-0010-0000-2000-0000F13E0000}" name="Column16086"/>
    <tableColumn id="16114" xr3:uid="{00000000-0010-0000-2000-0000F23E0000}" name="Column16087"/>
    <tableColumn id="16115" xr3:uid="{00000000-0010-0000-2000-0000F33E0000}" name="Column16088"/>
    <tableColumn id="16116" xr3:uid="{00000000-0010-0000-2000-0000F43E0000}" name="Column16089"/>
    <tableColumn id="16117" xr3:uid="{00000000-0010-0000-2000-0000F53E0000}" name="Column16090"/>
    <tableColumn id="16118" xr3:uid="{00000000-0010-0000-2000-0000F63E0000}" name="Column16091"/>
    <tableColumn id="16119" xr3:uid="{00000000-0010-0000-2000-0000F73E0000}" name="Column16092"/>
    <tableColumn id="16120" xr3:uid="{00000000-0010-0000-2000-0000F83E0000}" name="Column16093"/>
    <tableColumn id="16121" xr3:uid="{00000000-0010-0000-2000-0000F93E0000}" name="Column16094"/>
    <tableColumn id="16122" xr3:uid="{00000000-0010-0000-2000-0000FA3E0000}" name="Column16095"/>
    <tableColumn id="16123" xr3:uid="{00000000-0010-0000-2000-0000FB3E0000}" name="Column16096"/>
    <tableColumn id="16124" xr3:uid="{00000000-0010-0000-2000-0000FC3E0000}" name="Column16097"/>
    <tableColumn id="16125" xr3:uid="{00000000-0010-0000-2000-0000FD3E0000}" name="Column16098"/>
    <tableColumn id="16126" xr3:uid="{00000000-0010-0000-2000-0000FE3E0000}" name="Column16099"/>
    <tableColumn id="16127" xr3:uid="{00000000-0010-0000-2000-0000FF3E0000}" name="Column16100"/>
    <tableColumn id="16128" xr3:uid="{00000000-0010-0000-2000-0000003F0000}" name="Column16101"/>
    <tableColumn id="16129" xr3:uid="{00000000-0010-0000-2000-0000013F0000}" name="Column16102"/>
    <tableColumn id="16130" xr3:uid="{00000000-0010-0000-2000-0000023F0000}" name="Column16103"/>
    <tableColumn id="16131" xr3:uid="{00000000-0010-0000-2000-0000033F0000}" name="Column16104"/>
    <tableColumn id="16132" xr3:uid="{00000000-0010-0000-2000-0000043F0000}" name="Column16105"/>
    <tableColumn id="16133" xr3:uid="{00000000-0010-0000-2000-0000053F0000}" name="Column16106"/>
    <tableColumn id="16134" xr3:uid="{00000000-0010-0000-2000-0000063F0000}" name="Column16107"/>
    <tableColumn id="16135" xr3:uid="{00000000-0010-0000-2000-0000073F0000}" name="Column16108"/>
    <tableColumn id="16136" xr3:uid="{00000000-0010-0000-2000-0000083F0000}" name="Column16109"/>
    <tableColumn id="16137" xr3:uid="{00000000-0010-0000-2000-0000093F0000}" name="Column16110"/>
    <tableColumn id="16138" xr3:uid="{00000000-0010-0000-2000-00000A3F0000}" name="Column16111"/>
    <tableColumn id="16139" xr3:uid="{00000000-0010-0000-2000-00000B3F0000}" name="Column16112"/>
    <tableColumn id="16140" xr3:uid="{00000000-0010-0000-2000-00000C3F0000}" name="Column16113"/>
    <tableColumn id="16141" xr3:uid="{00000000-0010-0000-2000-00000D3F0000}" name="Column16114"/>
    <tableColumn id="16142" xr3:uid="{00000000-0010-0000-2000-00000E3F0000}" name="Column16115"/>
    <tableColumn id="16143" xr3:uid="{00000000-0010-0000-2000-00000F3F0000}" name="Column16116"/>
    <tableColumn id="16144" xr3:uid="{00000000-0010-0000-2000-0000103F0000}" name="Column16117"/>
    <tableColumn id="16145" xr3:uid="{00000000-0010-0000-2000-0000113F0000}" name="Column16118"/>
    <tableColumn id="16146" xr3:uid="{00000000-0010-0000-2000-0000123F0000}" name="Column16119"/>
    <tableColumn id="16147" xr3:uid="{00000000-0010-0000-2000-0000133F0000}" name="Column16120"/>
    <tableColumn id="16148" xr3:uid="{00000000-0010-0000-2000-0000143F0000}" name="Column16121"/>
    <tableColumn id="16149" xr3:uid="{00000000-0010-0000-2000-0000153F0000}" name="Column16122"/>
    <tableColumn id="16150" xr3:uid="{00000000-0010-0000-2000-0000163F0000}" name="Column16123"/>
    <tableColumn id="16151" xr3:uid="{00000000-0010-0000-2000-0000173F0000}" name="Column16124"/>
    <tableColumn id="16152" xr3:uid="{00000000-0010-0000-2000-0000183F0000}" name="Column16125"/>
    <tableColumn id="16153" xr3:uid="{00000000-0010-0000-2000-0000193F0000}" name="Column16126"/>
    <tableColumn id="16154" xr3:uid="{00000000-0010-0000-2000-00001A3F0000}" name="Column16127"/>
    <tableColumn id="16155" xr3:uid="{00000000-0010-0000-2000-00001B3F0000}" name="Column16128"/>
    <tableColumn id="16156" xr3:uid="{00000000-0010-0000-2000-00001C3F0000}" name="Column16129"/>
    <tableColumn id="16157" xr3:uid="{00000000-0010-0000-2000-00001D3F0000}" name="Column16130"/>
    <tableColumn id="16158" xr3:uid="{00000000-0010-0000-2000-00001E3F0000}" name="Column16131"/>
    <tableColumn id="16159" xr3:uid="{00000000-0010-0000-2000-00001F3F0000}" name="Column16132"/>
    <tableColumn id="16160" xr3:uid="{00000000-0010-0000-2000-0000203F0000}" name="Column16133"/>
    <tableColumn id="16161" xr3:uid="{00000000-0010-0000-2000-0000213F0000}" name="Column16134"/>
    <tableColumn id="16162" xr3:uid="{00000000-0010-0000-2000-0000223F0000}" name="Column16135"/>
    <tableColumn id="16163" xr3:uid="{00000000-0010-0000-2000-0000233F0000}" name="Column16136"/>
    <tableColumn id="16164" xr3:uid="{00000000-0010-0000-2000-0000243F0000}" name="Column16137"/>
    <tableColumn id="16165" xr3:uid="{00000000-0010-0000-2000-0000253F0000}" name="Column16138"/>
    <tableColumn id="16166" xr3:uid="{00000000-0010-0000-2000-0000263F0000}" name="Column16139"/>
    <tableColumn id="16167" xr3:uid="{00000000-0010-0000-2000-0000273F0000}" name="Column16140"/>
    <tableColumn id="16168" xr3:uid="{00000000-0010-0000-2000-0000283F0000}" name="Column16141"/>
    <tableColumn id="16169" xr3:uid="{00000000-0010-0000-2000-0000293F0000}" name="Column16142"/>
    <tableColumn id="16170" xr3:uid="{00000000-0010-0000-2000-00002A3F0000}" name="Column16143"/>
    <tableColumn id="16171" xr3:uid="{00000000-0010-0000-2000-00002B3F0000}" name="Column16144"/>
    <tableColumn id="16172" xr3:uid="{00000000-0010-0000-2000-00002C3F0000}" name="Column16145"/>
    <tableColumn id="16173" xr3:uid="{00000000-0010-0000-2000-00002D3F0000}" name="Column16146"/>
    <tableColumn id="16174" xr3:uid="{00000000-0010-0000-2000-00002E3F0000}" name="Column16147"/>
    <tableColumn id="16175" xr3:uid="{00000000-0010-0000-2000-00002F3F0000}" name="Column16148"/>
    <tableColumn id="16176" xr3:uid="{00000000-0010-0000-2000-0000303F0000}" name="Column16149"/>
    <tableColumn id="16177" xr3:uid="{00000000-0010-0000-2000-0000313F0000}" name="Column16150"/>
    <tableColumn id="16178" xr3:uid="{00000000-0010-0000-2000-0000323F0000}" name="Column16151"/>
    <tableColumn id="16179" xr3:uid="{00000000-0010-0000-2000-0000333F0000}" name="Column16152"/>
    <tableColumn id="16180" xr3:uid="{00000000-0010-0000-2000-0000343F0000}" name="Column16153"/>
    <tableColumn id="16181" xr3:uid="{00000000-0010-0000-2000-0000353F0000}" name="Column16154"/>
    <tableColumn id="16182" xr3:uid="{00000000-0010-0000-2000-0000363F0000}" name="Column16155"/>
    <tableColumn id="16183" xr3:uid="{00000000-0010-0000-2000-0000373F0000}" name="Column16156"/>
    <tableColumn id="16184" xr3:uid="{00000000-0010-0000-2000-0000383F0000}" name="Column16157"/>
    <tableColumn id="16185" xr3:uid="{00000000-0010-0000-2000-0000393F0000}" name="Column16158"/>
    <tableColumn id="16186" xr3:uid="{00000000-0010-0000-2000-00003A3F0000}" name="Column16159"/>
    <tableColumn id="16187" xr3:uid="{00000000-0010-0000-2000-00003B3F0000}" name="Column16160"/>
    <tableColumn id="16188" xr3:uid="{00000000-0010-0000-2000-00003C3F0000}" name="Column16161"/>
    <tableColumn id="16189" xr3:uid="{00000000-0010-0000-2000-00003D3F0000}" name="Column16162"/>
    <tableColumn id="16190" xr3:uid="{00000000-0010-0000-2000-00003E3F0000}" name="Column16163"/>
    <tableColumn id="16191" xr3:uid="{00000000-0010-0000-2000-00003F3F0000}" name="Column16164"/>
    <tableColumn id="16192" xr3:uid="{00000000-0010-0000-2000-0000403F0000}" name="Column16165"/>
    <tableColumn id="16193" xr3:uid="{00000000-0010-0000-2000-0000413F0000}" name="Column16166"/>
    <tableColumn id="16194" xr3:uid="{00000000-0010-0000-2000-0000423F0000}" name="Column16167"/>
    <tableColumn id="16195" xr3:uid="{00000000-0010-0000-2000-0000433F0000}" name="Column16168"/>
    <tableColumn id="16196" xr3:uid="{00000000-0010-0000-2000-0000443F0000}" name="Column16169"/>
    <tableColumn id="16197" xr3:uid="{00000000-0010-0000-2000-0000453F0000}" name="Column16170"/>
    <tableColumn id="16198" xr3:uid="{00000000-0010-0000-2000-0000463F0000}" name="Column16171"/>
    <tableColumn id="16199" xr3:uid="{00000000-0010-0000-2000-0000473F0000}" name="Column16172"/>
    <tableColumn id="16200" xr3:uid="{00000000-0010-0000-2000-0000483F0000}" name="Column16173"/>
    <tableColumn id="16201" xr3:uid="{00000000-0010-0000-2000-0000493F0000}" name="Column16174"/>
    <tableColumn id="16202" xr3:uid="{00000000-0010-0000-2000-00004A3F0000}" name="Column16175"/>
    <tableColumn id="16203" xr3:uid="{00000000-0010-0000-2000-00004B3F0000}" name="Column16176"/>
    <tableColumn id="16204" xr3:uid="{00000000-0010-0000-2000-00004C3F0000}" name="Column16177"/>
    <tableColumn id="16205" xr3:uid="{00000000-0010-0000-2000-00004D3F0000}" name="Column16178"/>
    <tableColumn id="16206" xr3:uid="{00000000-0010-0000-2000-00004E3F0000}" name="Column16179"/>
    <tableColumn id="16207" xr3:uid="{00000000-0010-0000-2000-00004F3F0000}" name="Column16180"/>
    <tableColumn id="16208" xr3:uid="{00000000-0010-0000-2000-0000503F0000}" name="Column16181"/>
    <tableColumn id="16209" xr3:uid="{00000000-0010-0000-2000-0000513F0000}" name="Column16182"/>
    <tableColumn id="16210" xr3:uid="{00000000-0010-0000-2000-0000523F0000}" name="Column16183"/>
    <tableColumn id="16211" xr3:uid="{00000000-0010-0000-2000-0000533F0000}" name="Column16184"/>
    <tableColumn id="16212" xr3:uid="{00000000-0010-0000-2000-0000543F0000}" name="Column16185"/>
    <tableColumn id="16213" xr3:uid="{00000000-0010-0000-2000-0000553F0000}" name="Column16186"/>
    <tableColumn id="16214" xr3:uid="{00000000-0010-0000-2000-0000563F0000}" name="Column16187"/>
    <tableColumn id="16215" xr3:uid="{00000000-0010-0000-2000-0000573F0000}" name="Column16188"/>
    <tableColumn id="16216" xr3:uid="{00000000-0010-0000-2000-0000583F0000}" name="Column16189"/>
    <tableColumn id="16217" xr3:uid="{00000000-0010-0000-2000-0000593F0000}" name="Column16190"/>
    <tableColumn id="16218" xr3:uid="{00000000-0010-0000-2000-00005A3F0000}" name="Column16191"/>
    <tableColumn id="16219" xr3:uid="{00000000-0010-0000-2000-00005B3F0000}" name="Column16192"/>
    <tableColumn id="16220" xr3:uid="{00000000-0010-0000-2000-00005C3F0000}" name="Column16193"/>
    <tableColumn id="16221" xr3:uid="{00000000-0010-0000-2000-00005D3F0000}" name="Column16194"/>
    <tableColumn id="16222" xr3:uid="{00000000-0010-0000-2000-00005E3F0000}" name="Column16195"/>
    <tableColumn id="16223" xr3:uid="{00000000-0010-0000-2000-00005F3F0000}" name="Column16196"/>
    <tableColumn id="16224" xr3:uid="{00000000-0010-0000-2000-0000603F0000}" name="Column16197"/>
    <tableColumn id="16225" xr3:uid="{00000000-0010-0000-2000-0000613F0000}" name="Column16198"/>
    <tableColumn id="16226" xr3:uid="{00000000-0010-0000-2000-0000623F0000}" name="Column16199"/>
    <tableColumn id="16227" xr3:uid="{00000000-0010-0000-2000-0000633F0000}" name="Column16200"/>
    <tableColumn id="16228" xr3:uid="{00000000-0010-0000-2000-0000643F0000}" name="Column16201"/>
    <tableColumn id="16229" xr3:uid="{00000000-0010-0000-2000-0000653F0000}" name="Column16202"/>
    <tableColumn id="16230" xr3:uid="{00000000-0010-0000-2000-0000663F0000}" name="Column16203"/>
    <tableColumn id="16231" xr3:uid="{00000000-0010-0000-2000-0000673F0000}" name="Column16204"/>
    <tableColumn id="16232" xr3:uid="{00000000-0010-0000-2000-0000683F0000}" name="Column16205"/>
    <tableColumn id="16233" xr3:uid="{00000000-0010-0000-2000-0000693F0000}" name="Column16206"/>
    <tableColumn id="16234" xr3:uid="{00000000-0010-0000-2000-00006A3F0000}" name="Column16207"/>
    <tableColumn id="16235" xr3:uid="{00000000-0010-0000-2000-00006B3F0000}" name="Column16208"/>
    <tableColumn id="16236" xr3:uid="{00000000-0010-0000-2000-00006C3F0000}" name="Column16209"/>
    <tableColumn id="16237" xr3:uid="{00000000-0010-0000-2000-00006D3F0000}" name="Column16210"/>
    <tableColumn id="16238" xr3:uid="{00000000-0010-0000-2000-00006E3F0000}" name="Column16211"/>
    <tableColumn id="16239" xr3:uid="{00000000-0010-0000-2000-00006F3F0000}" name="Column16212"/>
    <tableColumn id="16240" xr3:uid="{00000000-0010-0000-2000-0000703F0000}" name="Column16213"/>
    <tableColumn id="16241" xr3:uid="{00000000-0010-0000-2000-0000713F0000}" name="Column16214"/>
    <tableColumn id="16242" xr3:uid="{00000000-0010-0000-2000-0000723F0000}" name="Column16215"/>
    <tableColumn id="16243" xr3:uid="{00000000-0010-0000-2000-0000733F0000}" name="Column16216"/>
    <tableColumn id="16244" xr3:uid="{00000000-0010-0000-2000-0000743F0000}" name="Column16217"/>
    <tableColumn id="16245" xr3:uid="{00000000-0010-0000-2000-0000753F0000}" name="Column16218"/>
    <tableColumn id="16246" xr3:uid="{00000000-0010-0000-2000-0000763F0000}" name="Column16219"/>
    <tableColumn id="16247" xr3:uid="{00000000-0010-0000-2000-0000773F0000}" name="Column16220"/>
    <tableColumn id="16248" xr3:uid="{00000000-0010-0000-2000-0000783F0000}" name="Column16221"/>
    <tableColumn id="16249" xr3:uid="{00000000-0010-0000-2000-0000793F0000}" name="Column16222"/>
    <tableColumn id="16250" xr3:uid="{00000000-0010-0000-2000-00007A3F0000}" name="Column16223"/>
    <tableColumn id="16251" xr3:uid="{00000000-0010-0000-2000-00007B3F0000}" name="Column16224"/>
    <tableColumn id="16252" xr3:uid="{00000000-0010-0000-2000-00007C3F0000}" name="Column16225"/>
    <tableColumn id="16253" xr3:uid="{00000000-0010-0000-2000-00007D3F0000}" name="Column16226"/>
    <tableColumn id="16254" xr3:uid="{00000000-0010-0000-2000-00007E3F0000}" name="Column16227"/>
    <tableColumn id="16255" xr3:uid="{00000000-0010-0000-2000-00007F3F0000}" name="Column16228"/>
    <tableColumn id="16256" xr3:uid="{00000000-0010-0000-2000-0000803F0000}" name="Column16229"/>
    <tableColumn id="16257" xr3:uid="{00000000-0010-0000-2000-0000813F0000}" name="Column16230"/>
    <tableColumn id="16258" xr3:uid="{00000000-0010-0000-2000-0000823F0000}" name="Column16231"/>
    <tableColumn id="16259" xr3:uid="{00000000-0010-0000-2000-0000833F0000}" name="Column16232"/>
    <tableColumn id="16260" xr3:uid="{00000000-0010-0000-2000-0000843F0000}" name="Column16233"/>
    <tableColumn id="16261" xr3:uid="{00000000-0010-0000-2000-0000853F0000}" name="Column16234"/>
    <tableColumn id="16262" xr3:uid="{00000000-0010-0000-2000-0000863F0000}" name="Column16235"/>
    <tableColumn id="16263" xr3:uid="{00000000-0010-0000-2000-0000873F0000}" name="Column16236"/>
    <tableColumn id="16264" xr3:uid="{00000000-0010-0000-2000-0000883F0000}" name="Column16237"/>
    <tableColumn id="16265" xr3:uid="{00000000-0010-0000-2000-0000893F0000}" name="Column16238"/>
    <tableColumn id="16266" xr3:uid="{00000000-0010-0000-2000-00008A3F0000}" name="Column16239"/>
    <tableColumn id="16267" xr3:uid="{00000000-0010-0000-2000-00008B3F0000}" name="Column16240"/>
    <tableColumn id="16268" xr3:uid="{00000000-0010-0000-2000-00008C3F0000}" name="Column16241"/>
    <tableColumn id="16269" xr3:uid="{00000000-0010-0000-2000-00008D3F0000}" name="Column16242"/>
    <tableColumn id="16270" xr3:uid="{00000000-0010-0000-2000-00008E3F0000}" name="Column16243"/>
    <tableColumn id="16271" xr3:uid="{00000000-0010-0000-2000-00008F3F0000}" name="Column16244"/>
    <tableColumn id="16272" xr3:uid="{00000000-0010-0000-2000-0000903F0000}" name="Column16245"/>
    <tableColumn id="16273" xr3:uid="{00000000-0010-0000-2000-0000913F0000}" name="Column16246"/>
    <tableColumn id="16274" xr3:uid="{00000000-0010-0000-2000-0000923F0000}" name="Column16247"/>
    <tableColumn id="16275" xr3:uid="{00000000-0010-0000-2000-0000933F0000}" name="Column16248"/>
    <tableColumn id="16276" xr3:uid="{00000000-0010-0000-2000-0000943F0000}" name="Column16249"/>
    <tableColumn id="16277" xr3:uid="{00000000-0010-0000-2000-0000953F0000}" name="Column16250"/>
    <tableColumn id="16278" xr3:uid="{00000000-0010-0000-2000-0000963F0000}" name="Column16251"/>
    <tableColumn id="16279" xr3:uid="{00000000-0010-0000-2000-0000973F0000}" name="Column16252"/>
    <tableColumn id="16280" xr3:uid="{00000000-0010-0000-2000-0000983F0000}" name="Column16253"/>
    <tableColumn id="16281" xr3:uid="{00000000-0010-0000-2000-0000993F0000}" name="Column16254"/>
    <tableColumn id="16282" xr3:uid="{00000000-0010-0000-2000-00009A3F0000}" name="Column16255"/>
    <tableColumn id="16283" xr3:uid="{00000000-0010-0000-2000-00009B3F0000}" name="Column16256"/>
    <tableColumn id="16284" xr3:uid="{00000000-0010-0000-2000-00009C3F0000}" name="Column16257"/>
    <tableColumn id="16285" xr3:uid="{00000000-0010-0000-2000-00009D3F0000}" name="Column16258"/>
    <tableColumn id="16286" xr3:uid="{00000000-0010-0000-2000-00009E3F0000}" name="Column16259"/>
    <tableColumn id="16287" xr3:uid="{00000000-0010-0000-2000-00009F3F0000}" name="Column16260"/>
    <tableColumn id="16288" xr3:uid="{00000000-0010-0000-2000-0000A03F0000}" name="Column16261"/>
    <tableColumn id="16289" xr3:uid="{00000000-0010-0000-2000-0000A13F0000}" name="Column16262"/>
    <tableColumn id="16290" xr3:uid="{00000000-0010-0000-2000-0000A23F0000}" name="Column16263"/>
    <tableColumn id="16291" xr3:uid="{00000000-0010-0000-2000-0000A33F0000}" name="Column16264"/>
    <tableColumn id="16292" xr3:uid="{00000000-0010-0000-2000-0000A43F0000}" name="Column16265"/>
    <tableColumn id="16293" xr3:uid="{00000000-0010-0000-2000-0000A53F0000}" name="Column16266"/>
    <tableColumn id="16294" xr3:uid="{00000000-0010-0000-2000-0000A63F0000}" name="Column16267"/>
    <tableColumn id="16295" xr3:uid="{00000000-0010-0000-2000-0000A73F0000}" name="Column16268"/>
    <tableColumn id="16296" xr3:uid="{00000000-0010-0000-2000-0000A83F0000}" name="Column16269"/>
    <tableColumn id="16297" xr3:uid="{00000000-0010-0000-2000-0000A93F0000}" name="Column16270"/>
    <tableColumn id="16298" xr3:uid="{00000000-0010-0000-2000-0000AA3F0000}" name="Column16271"/>
    <tableColumn id="16299" xr3:uid="{00000000-0010-0000-2000-0000AB3F0000}" name="Column16272"/>
    <tableColumn id="16300" xr3:uid="{00000000-0010-0000-2000-0000AC3F0000}" name="Column16273"/>
    <tableColumn id="16301" xr3:uid="{00000000-0010-0000-2000-0000AD3F0000}" name="Column16274"/>
    <tableColumn id="16302" xr3:uid="{00000000-0010-0000-2000-0000AE3F0000}" name="Column16275"/>
    <tableColumn id="16303" xr3:uid="{00000000-0010-0000-2000-0000AF3F0000}" name="Column16276"/>
    <tableColumn id="16304" xr3:uid="{00000000-0010-0000-2000-0000B03F0000}" name="Column16277"/>
    <tableColumn id="16305" xr3:uid="{00000000-0010-0000-2000-0000B13F0000}" name="Column16278"/>
    <tableColumn id="16306" xr3:uid="{00000000-0010-0000-2000-0000B23F0000}" name="Column16279"/>
    <tableColumn id="16307" xr3:uid="{00000000-0010-0000-2000-0000B33F0000}" name="Column16280"/>
    <tableColumn id="16308" xr3:uid="{00000000-0010-0000-2000-0000B43F0000}" name="Column16281"/>
    <tableColumn id="16309" xr3:uid="{00000000-0010-0000-2000-0000B53F0000}" name="Column16282"/>
    <tableColumn id="16310" xr3:uid="{00000000-0010-0000-2000-0000B63F0000}" name="Column16283"/>
    <tableColumn id="16311" xr3:uid="{00000000-0010-0000-2000-0000B73F0000}" name="Column16284"/>
    <tableColumn id="16312" xr3:uid="{00000000-0010-0000-2000-0000B83F0000}" name="Column16285"/>
    <tableColumn id="16313" xr3:uid="{00000000-0010-0000-2000-0000B93F0000}" name="Column16286"/>
    <tableColumn id="16314" xr3:uid="{00000000-0010-0000-2000-0000BA3F0000}" name="Column16287"/>
    <tableColumn id="16315" xr3:uid="{00000000-0010-0000-2000-0000BB3F0000}" name="Column16288"/>
    <tableColumn id="16316" xr3:uid="{00000000-0010-0000-2000-0000BC3F0000}" name="Column16289"/>
    <tableColumn id="16317" xr3:uid="{00000000-0010-0000-2000-0000BD3F0000}" name="Column16290"/>
    <tableColumn id="16318" xr3:uid="{00000000-0010-0000-2000-0000BE3F0000}" name="Column16291"/>
    <tableColumn id="16319" xr3:uid="{00000000-0010-0000-2000-0000BF3F0000}" name="Column16292"/>
    <tableColumn id="16320" xr3:uid="{00000000-0010-0000-2000-0000C03F0000}" name="Column16293"/>
    <tableColumn id="16321" xr3:uid="{00000000-0010-0000-2000-0000C13F0000}" name="Column16294"/>
    <tableColumn id="16322" xr3:uid="{00000000-0010-0000-2000-0000C23F0000}" name="Column16295"/>
    <tableColumn id="16323" xr3:uid="{00000000-0010-0000-2000-0000C33F0000}" name="Column16296"/>
    <tableColumn id="16324" xr3:uid="{00000000-0010-0000-2000-0000C43F0000}" name="Column16297"/>
    <tableColumn id="16325" xr3:uid="{00000000-0010-0000-2000-0000C53F0000}" name="Column16298"/>
    <tableColumn id="16326" xr3:uid="{00000000-0010-0000-2000-0000C63F0000}" name="Column16299"/>
    <tableColumn id="16327" xr3:uid="{00000000-0010-0000-2000-0000C73F0000}" name="Column16300"/>
    <tableColumn id="16328" xr3:uid="{00000000-0010-0000-2000-0000C83F0000}" name="Column16301"/>
    <tableColumn id="16329" xr3:uid="{00000000-0010-0000-2000-0000C93F0000}" name="Column16302"/>
    <tableColumn id="16330" xr3:uid="{00000000-0010-0000-2000-0000CA3F0000}" name="Column16303"/>
    <tableColumn id="16331" xr3:uid="{00000000-0010-0000-2000-0000CB3F0000}" name="Column16304"/>
    <tableColumn id="16332" xr3:uid="{00000000-0010-0000-2000-0000CC3F0000}" name="Column16305"/>
    <tableColumn id="16333" xr3:uid="{00000000-0010-0000-2000-0000CD3F0000}" name="Column16306"/>
    <tableColumn id="16334" xr3:uid="{00000000-0010-0000-2000-0000CE3F0000}" name="Column16307"/>
    <tableColumn id="16335" xr3:uid="{00000000-0010-0000-2000-0000CF3F0000}" name="Column16308"/>
    <tableColumn id="16336" xr3:uid="{00000000-0010-0000-2000-0000D03F0000}" name="Column16309"/>
    <tableColumn id="16337" xr3:uid="{00000000-0010-0000-2000-0000D13F0000}" name="Column16310"/>
    <tableColumn id="16338" xr3:uid="{00000000-0010-0000-2000-0000D23F0000}" name="Column16311"/>
    <tableColumn id="16339" xr3:uid="{00000000-0010-0000-2000-0000D33F0000}" name="Column16312"/>
    <tableColumn id="16340" xr3:uid="{00000000-0010-0000-2000-0000D43F0000}" name="Column16313"/>
    <tableColumn id="16341" xr3:uid="{00000000-0010-0000-2000-0000D53F0000}" name="Column16314"/>
    <tableColumn id="16342" xr3:uid="{00000000-0010-0000-2000-0000D63F0000}" name="Column16315"/>
    <tableColumn id="16343" xr3:uid="{00000000-0010-0000-2000-0000D73F0000}" name="Column16316"/>
    <tableColumn id="16344" xr3:uid="{00000000-0010-0000-2000-0000D83F0000}" name="Column16317"/>
    <tableColumn id="16345" xr3:uid="{00000000-0010-0000-2000-0000D93F0000}" name="Column16318"/>
    <tableColumn id="16346" xr3:uid="{00000000-0010-0000-2000-0000DA3F0000}" name="Column16319"/>
    <tableColumn id="16347" xr3:uid="{00000000-0010-0000-2000-0000DB3F0000}" name="Column16320"/>
    <tableColumn id="16348" xr3:uid="{00000000-0010-0000-2000-0000DC3F0000}" name="Column16321"/>
    <tableColumn id="16349" xr3:uid="{00000000-0010-0000-2000-0000DD3F0000}" name="Column16322"/>
    <tableColumn id="16350" xr3:uid="{00000000-0010-0000-2000-0000DE3F0000}" name="Column16323"/>
    <tableColumn id="16351" xr3:uid="{00000000-0010-0000-2000-0000DF3F0000}" name="Column16324"/>
    <tableColumn id="16352" xr3:uid="{00000000-0010-0000-2000-0000E03F0000}" name="Column16325"/>
    <tableColumn id="16353" xr3:uid="{00000000-0010-0000-2000-0000E13F0000}" name="Column16326"/>
    <tableColumn id="16354" xr3:uid="{00000000-0010-0000-2000-0000E23F0000}" name="Column16327"/>
    <tableColumn id="16355" xr3:uid="{00000000-0010-0000-2000-0000E33F0000}" name="Column16328"/>
    <tableColumn id="16356" xr3:uid="{00000000-0010-0000-2000-0000E43F0000}" name="Column16329"/>
    <tableColumn id="16357" xr3:uid="{00000000-0010-0000-2000-0000E53F0000}" name="Column16330"/>
    <tableColumn id="16358" xr3:uid="{00000000-0010-0000-2000-0000E63F0000}" name="Column16331"/>
    <tableColumn id="16359" xr3:uid="{00000000-0010-0000-2000-0000E73F0000}" name="Column16332"/>
    <tableColumn id="16360" xr3:uid="{00000000-0010-0000-2000-0000E83F0000}" name="Column16333"/>
    <tableColumn id="16361" xr3:uid="{00000000-0010-0000-2000-0000E93F0000}" name="Column16334"/>
    <tableColumn id="16362" xr3:uid="{00000000-0010-0000-2000-0000EA3F0000}" name="Column16335"/>
    <tableColumn id="16363" xr3:uid="{00000000-0010-0000-2000-0000EB3F0000}" name="Column16336"/>
    <tableColumn id="16364" xr3:uid="{00000000-0010-0000-2000-0000EC3F0000}" name="Column16337"/>
    <tableColumn id="16365" xr3:uid="{00000000-0010-0000-2000-0000ED3F0000}" name="Column16338"/>
    <tableColumn id="16366" xr3:uid="{00000000-0010-0000-2000-0000EE3F0000}" name="Column16339"/>
    <tableColumn id="16367" xr3:uid="{00000000-0010-0000-2000-0000EF3F0000}" name="Column16340"/>
    <tableColumn id="16368" xr3:uid="{00000000-0010-0000-2000-0000F03F0000}" name="Column16341"/>
    <tableColumn id="16369" xr3:uid="{00000000-0010-0000-2000-0000F13F0000}" name="Column16342"/>
    <tableColumn id="16370" xr3:uid="{00000000-0010-0000-2000-0000F23F0000}" name="Column16343"/>
    <tableColumn id="16371" xr3:uid="{00000000-0010-0000-2000-0000F33F0000}" name="Column16344"/>
    <tableColumn id="16372" xr3:uid="{00000000-0010-0000-2000-0000F43F0000}" name="Column16345"/>
    <tableColumn id="16373" xr3:uid="{00000000-0010-0000-2000-0000F53F0000}" name="Column16346"/>
    <tableColumn id="16374" xr3:uid="{00000000-0010-0000-2000-0000F63F0000}" name="Column16347"/>
    <tableColumn id="16375" xr3:uid="{00000000-0010-0000-2000-0000F73F0000}" name="Column16348"/>
    <tableColumn id="16376" xr3:uid="{00000000-0010-0000-2000-0000F83F0000}" name="Column16349"/>
    <tableColumn id="16377" xr3:uid="{00000000-0010-0000-2000-0000F93F0000}" name="Column16350"/>
    <tableColumn id="16378" xr3:uid="{00000000-0010-0000-2000-0000FA3F0000}" name="Column16351"/>
    <tableColumn id="16379" xr3:uid="{00000000-0010-0000-2000-0000FB3F0000}" name="Column16352"/>
    <tableColumn id="16380" xr3:uid="{00000000-0010-0000-2000-0000FC3F0000}" name="Column16353"/>
    <tableColumn id="16381" xr3:uid="{00000000-0010-0000-2000-0000FD3F0000}" name="Column16354"/>
    <tableColumn id="16382" xr3:uid="{00000000-0010-0000-2000-0000FE3F0000}" name="Column16355"/>
    <tableColumn id="16383" xr3:uid="{00000000-0010-0000-2000-0000FF3F0000}" name="Column16356"/>
    <tableColumn id="16384" xr3:uid="{00000000-0010-0000-2000-000000400000}" name="Column16357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3000000}" name="Table5" displayName="Table5" ref="A3:B53" totalsRowShown="0">
  <autoFilter ref="A3:B53" xr:uid="{00000000-0009-0000-0100-00001D000000}"/>
  <tableColumns count="2">
    <tableColumn id="1" xr3:uid="{00000000-0010-0000-0300-000001000000}" name="Company "/>
    <tableColumn id="2" xr3:uid="{00000000-0010-0000-0300-000002000000}" name="Location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4000000}" name="Table6" displayName="Table6" ref="A3:B50" totalsRowShown="0">
  <autoFilter ref="A3:B50" xr:uid="{00000000-0009-0000-0100-00001E000000}"/>
  <tableColumns count="2">
    <tableColumn id="1" xr3:uid="{00000000-0010-0000-0400-000001000000}" name="Company "/>
    <tableColumn id="2" xr3:uid="{00000000-0010-0000-0400-000002000000}" name="Location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5000000}" name="Table7" displayName="Table7" ref="A3:B50" totalsRowShown="0">
  <autoFilter ref="A3:B50" xr:uid="{00000000-0009-0000-0100-00001F000000}"/>
  <tableColumns count="2">
    <tableColumn id="1" xr3:uid="{00000000-0010-0000-0500-000001000000}" name="Company "/>
    <tableColumn id="2" xr3:uid="{00000000-0010-0000-0500-000002000000}" name="Location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6000000}" name="Table8" displayName="Table8" ref="A3:B47" totalsRowShown="0">
  <autoFilter ref="A3:B47" xr:uid="{00000000-0009-0000-0100-000020000000}"/>
  <tableColumns count="2">
    <tableColumn id="1" xr3:uid="{00000000-0010-0000-0600-000001000000}" name="Company "/>
    <tableColumn id="2" xr3:uid="{00000000-0010-0000-0600-000002000000}" name="Location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07000000}" name="Table9" displayName="Table9" ref="A3:B46" totalsRowShown="0">
  <autoFilter ref="A3:B46" xr:uid="{00000000-0009-0000-0100-000021000000}"/>
  <tableColumns count="2">
    <tableColumn id="1" xr3:uid="{00000000-0010-0000-0700-000001000000}" name="Company "/>
    <tableColumn id="2" xr3:uid="{00000000-0010-0000-0700-000002000000}" name="Location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8000000}" name="Table10" displayName="Table10" ref="A3:B43" totalsRowShown="0">
  <autoFilter ref="A3:B43" xr:uid="{00000000-0009-0000-0100-000001000000}"/>
  <tableColumns count="2">
    <tableColumn id="1" xr3:uid="{00000000-0010-0000-0800-000001000000}" name="Company "/>
    <tableColumn id="2" xr3:uid="{00000000-0010-0000-0800-000002000000}" name="Location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6.xml.rels><?xml version="1.0" encoding="UTF-8" standalone="yes"?>
<Relationships xmlns="http://schemas.openxmlformats.org/package/2006/relationships"><Relationship Id="rId21" Type="http://schemas.openxmlformats.org/officeDocument/2006/relationships/hyperlink" Target="http://www.humboldtfinancial.co.uk/" TargetMode="External"/><Relationship Id="rId170" Type="http://schemas.openxmlformats.org/officeDocument/2006/relationships/hyperlink" Target="https://www.cartlidgemorland.com/wp-content/uploads/2025/01/CML-TCMP-Private-Client-Agreement-2025-22-01.pdf" TargetMode="External"/><Relationship Id="rId268" Type="http://schemas.openxmlformats.org/officeDocument/2006/relationships/hyperlink" Target="https://assets-live.charles-stanley.co.uk/uploads/files/Terms-and-charges/3.38.pdf?_its=eJxNjkuOgzAUBO_SaxMexB_sG8xizoD8Y2KJ4Mh2hkUUzj4iq9l2l0r1wm8KMBC02EBadkqOsuOOX7spiqVzpMhzokmRAENttkUYlLUdg5J60kpqfqx2C8c4K01azTXmWQaiwSvuHUU-LKMg4TyNUZOYggqnyrZWknu2lDe" TargetMode="External"/><Relationship Id="rId475" Type="http://schemas.openxmlformats.org/officeDocument/2006/relationships/hyperlink" Target="https://find-and-update.company-information.service.gov.uk/company/04490633/filing-history" TargetMode="External"/><Relationship Id="rId682" Type="http://schemas.openxmlformats.org/officeDocument/2006/relationships/hyperlink" Target="https://www.westminster-wealth.com/" TargetMode="External"/><Relationship Id="rId128" Type="http://schemas.openxmlformats.org/officeDocument/2006/relationships/hyperlink" Target="https://find-and-update.company-information.service.gov.uk/company/09516087/filing-history" TargetMode="External"/><Relationship Id="rId335" Type="http://schemas.openxmlformats.org/officeDocument/2006/relationships/hyperlink" Target="https://www.privatebank.citibank.com/ivc/docs/cpwm-regulation-best-interest.pdf" TargetMode="External"/><Relationship Id="rId542" Type="http://schemas.openxmlformats.org/officeDocument/2006/relationships/hyperlink" Target="https://find-and-update.company-information.service.gov.uk/company/04548286/filing-history" TargetMode="External"/><Relationship Id="rId987" Type="http://schemas.openxmlformats.org/officeDocument/2006/relationships/hyperlink" Target="https://aibgb.co.uk/" TargetMode="External"/><Relationship Id="rId402" Type="http://schemas.openxmlformats.org/officeDocument/2006/relationships/hyperlink" Target="http://www.shortswealth.co.uk/" TargetMode="External"/><Relationship Id="rId847" Type="http://schemas.openxmlformats.org/officeDocument/2006/relationships/hyperlink" Target="https://find-and-update.company-information.service.gov.uk/company/14319486" TargetMode="External"/><Relationship Id="rId1032" Type="http://schemas.openxmlformats.org/officeDocument/2006/relationships/hyperlink" Target="https://www.darnellswm.co.uk/" TargetMode="External"/><Relationship Id="rId707" Type="http://schemas.openxmlformats.org/officeDocument/2006/relationships/hyperlink" Target="http://www.netwealth.com/" TargetMode="External"/><Relationship Id="rId914" Type="http://schemas.openxmlformats.org/officeDocument/2006/relationships/hyperlink" Target="https://find-and-update.company-information.service.gov.uk/company/01723058" TargetMode="External"/><Relationship Id="rId43" Type="http://schemas.openxmlformats.org/officeDocument/2006/relationships/hyperlink" Target="https://find-and-update.company-information.service.gov.uk/company/04312250/filing-history" TargetMode="External"/><Relationship Id="rId192" Type="http://schemas.openxmlformats.org/officeDocument/2006/relationships/hyperlink" Target="http://www.cooperparrywealth.com/" TargetMode="External"/><Relationship Id="rId497" Type="http://schemas.openxmlformats.org/officeDocument/2006/relationships/hyperlink" Target="https://www.eldonfinancial.co.uk/" TargetMode="External"/><Relationship Id="rId357" Type="http://schemas.openxmlformats.org/officeDocument/2006/relationships/hyperlink" Target="https://gsigroup.co.uk/our-service-proposition/" TargetMode="External"/><Relationship Id="rId217" Type="http://schemas.openxmlformats.org/officeDocument/2006/relationships/hyperlink" Target="https://icfp.co.uk/about/fees/" TargetMode="External"/><Relationship Id="rId564" Type="http://schemas.openxmlformats.org/officeDocument/2006/relationships/hyperlink" Target="https://www.hfmcwealth.com/wp-content/uploads/2025/02/HFMC-Important-Information-2025.pdf" TargetMode="External"/><Relationship Id="rId771" Type="http://schemas.openxmlformats.org/officeDocument/2006/relationships/hyperlink" Target="http://www.successionwealth.co.uk/corporate-benefit-solutions" TargetMode="External"/><Relationship Id="rId869" Type="http://schemas.openxmlformats.org/officeDocument/2006/relationships/hyperlink" Target="https://www.cervellofp.co.uk/pricing/" TargetMode="External"/><Relationship Id="rId424" Type="http://schemas.openxmlformats.org/officeDocument/2006/relationships/hyperlink" Target="https://titanpi.co.uk/wp-content/uploads/2026/01/Platform-Terms-of-Business.pdf" TargetMode="External"/><Relationship Id="rId631" Type="http://schemas.openxmlformats.org/officeDocument/2006/relationships/hyperlink" Target="https://find-and-update.company-information.service.gov.uk/company/06784783/filing-history" TargetMode="External"/><Relationship Id="rId729" Type="http://schemas.openxmlformats.org/officeDocument/2006/relationships/hyperlink" Target="https://find-and-update.company-information.service.gov.uk/company/07921408/filing-history" TargetMode="External"/><Relationship Id="rId1054" Type="http://schemas.openxmlformats.org/officeDocument/2006/relationships/hyperlink" Target="https://www.acaciawealth.co.uk/" TargetMode="External"/><Relationship Id="rId936" Type="http://schemas.openxmlformats.org/officeDocument/2006/relationships/hyperlink" Target="https://waterbridgewealth.com/our-fees/" TargetMode="External"/><Relationship Id="rId1121" Type="http://schemas.openxmlformats.org/officeDocument/2006/relationships/hyperlink" Target="https://www.fundslibrary.co.uk/fundslibrary.dataretrieval/documents.aspx/?id=703093f0-f269-4f80-8396-9845ba2c89de&amp;user=ZCR%2BxM%2FTbCF5bo1R%2FAgV3haVjJ%2BRYO8QhpUMd8H5i0A%3D&amp;type=fund_unit_kiid&amp;r=1" TargetMode="External"/><Relationship Id="rId65" Type="http://schemas.openxmlformats.org/officeDocument/2006/relationships/hyperlink" Target="https://www.blueshieldcapital.co.uk/about" TargetMode="External"/><Relationship Id="rId281" Type="http://schemas.openxmlformats.org/officeDocument/2006/relationships/hyperlink" Target="https://www.grahamcarter.co.uk/our-charges" TargetMode="External"/><Relationship Id="rId141" Type="http://schemas.openxmlformats.org/officeDocument/2006/relationships/hyperlink" Target="http://www.footes-financialplanning.co.uk/" TargetMode="External"/><Relationship Id="rId379" Type="http://schemas.openxmlformats.org/officeDocument/2006/relationships/hyperlink" Target="https://killik.com/media/iliccs2f/killikco_advised-master-rate-card_2025.pdf" TargetMode="External"/><Relationship Id="rId586" Type="http://schemas.openxmlformats.org/officeDocument/2006/relationships/hyperlink" Target="https://www.keyte.co/services/fees-and-charges" TargetMode="External"/><Relationship Id="rId793" Type="http://schemas.openxmlformats.org/officeDocument/2006/relationships/hyperlink" Target="https://register.fca.org.uk/s/firm?id=001b000000NMXZ4AAP" TargetMode="External"/><Relationship Id="rId7" Type="http://schemas.openxmlformats.org/officeDocument/2006/relationships/hyperlink" Target="https://www.centuryfp.co.uk/" TargetMode="External"/><Relationship Id="rId239" Type="http://schemas.openxmlformats.org/officeDocument/2006/relationships/hyperlink" Target="https://3-sfinancial.com/fees/" TargetMode="External"/><Relationship Id="rId446" Type="http://schemas.openxmlformats.org/officeDocument/2006/relationships/hyperlink" Target="https://find-and-update.company-information.service.gov.uk/company/03862593/filing-history" TargetMode="External"/><Relationship Id="rId653" Type="http://schemas.openxmlformats.org/officeDocument/2006/relationships/hyperlink" Target="https://find-and-update.company-information.service.gov.uk/company/06549784/filing-history" TargetMode="External"/><Relationship Id="rId1076" Type="http://schemas.openxmlformats.org/officeDocument/2006/relationships/hyperlink" Target="https://shackletonadvisers.co.uk/why-were-different/fair-and-transparent-charges/" TargetMode="External"/><Relationship Id="rId306" Type="http://schemas.openxmlformats.org/officeDocument/2006/relationships/hyperlink" Target="https://find-and-update.company-information.service.gov.uk/company/03044873/filing-history" TargetMode="External"/><Relationship Id="rId860" Type="http://schemas.openxmlformats.org/officeDocument/2006/relationships/hyperlink" Target="https://veracityfp.co.uk/about-us/our-pension-investment-advice-fees/" TargetMode="External"/><Relationship Id="rId958" Type="http://schemas.openxmlformats.org/officeDocument/2006/relationships/hyperlink" Target="https://luminwealth.co.uk/value-of-our-expertise/" TargetMode="External"/><Relationship Id="rId1143" Type="http://schemas.openxmlformats.org/officeDocument/2006/relationships/hyperlink" Target="https://www.trustnet.com/factsheets/o/w947/fund/sectors" TargetMode="External"/><Relationship Id="rId87" Type="http://schemas.openxmlformats.org/officeDocument/2006/relationships/hyperlink" Target="https://find-and-update.company-information.service.gov.uk/company/OC368475/filing-history" TargetMode="External"/><Relationship Id="rId513" Type="http://schemas.openxmlformats.org/officeDocument/2006/relationships/hyperlink" Target="https://www.evelyn.com/fees-charges/" TargetMode="External"/><Relationship Id="rId720" Type="http://schemas.openxmlformats.org/officeDocument/2006/relationships/hyperlink" Target="https://www.fernleighwearden.co.uk/our-costs" TargetMode="External"/><Relationship Id="rId818" Type="http://schemas.openxmlformats.org/officeDocument/2006/relationships/hyperlink" Target="http://www.evanshart.co.uk/Client-Agreement.pdf" TargetMode="External"/><Relationship Id="rId1003" Type="http://schemas.openxmlformats.org/officeDocument/2006/relationships/hyperlink" Target="https://holistcsfm.com/" TargetMode="External"/><Relationship Id="rId14" Type="http://schemas.openxmlformats.org/officeDocument/2006/relationships/hyperlink" Target="https://www.hsbc.co.uk/investments/advice/financial-advice/?cid=HBUK:LH:P1:IV:06:2009:057:Wealth_2021&amp;gclid=83d1a7d3f50a139c1078cea7e612236c&amp;gclsrc=3p.ds&amp;msclkid=83d1a7d3f50a139c1078cea7e612236c&amp;utm_source=bing&amp;utm_medium=cpc&amp;utm_campaign=HSBC_UK_WPB_Bran" TargetMode="External"/><Relationship Id="rId163" Type="http://schemas.openxmlformats.org/officeDocument/2006/relationships/hyperlink" Target="http://www.andrewbourne.co.uk/" TargetMode="External"/><Relationship Id="rId370" Type="http://schemas.openxmlformats.org/officeDocument/2006/relationships/hyperlink" Target="https://find-and-update.company-information.service.gov.uk/company/04648936/filing-history" TargetMode="External"/><Relationship Id="rId230" Type="http://schemas.openxmlformats.org/officeDocument/2006/relationships/hyperlink" Target="https://adelpfs.co.uk/fees-advice-costs/" TargetMode="External"/><Relationship Id="rId468" Type="http://schemas.openxmlformats.org/officeDocument/2006/relationships/hyperlink" Target="https://www.belmayne-ifa.com/fees/" TargetMode="External"/><Relationship Id="rId675" Type="http://schemas.openxmlformats.org/officeDocument/2006/relationships/hyperlink" Target="https://www.truepotential.co.uk/our-fees/https:/www.truepotential.co.uk/our-fees/" TargetMode="External"/><Relationship Id="rId882" Type="http://schemas.openxmlformats.org/officeDocument/2006/relationships/hyperlink" Target="https://www.titanwci.com/media/ungdd0wj/priips-kid-balanced-usd-s-acc.pdf" TargetMode="External"/><Relationship Id="rId1098" Type="http://schemas.openxmlformats.org/officeDocument/2006/relationships/hyperlink" Target="https://www.tamassetmanagement.com/data/uploads/factsheets/active-balanced-q4-2025.pdf" TargetMode="External"/><Relationship Id="rId328" Type="http://schemas.openxmlformats.org/officeDocument/2006/relationships/hyperlink" Target="http://www.charlesdeanuk.com/" TargetMode="External"/><Relationship Id="rId535" Type="http://schemas.openxmlformats.org/officeDocument/2006/relationships/hyperlink" Target="https://find-and-update.company-information.service.gov.uk/company/01629709/filing-history" TargetMode="External"/><Relationship Id="rId742" Type="http://schemas.openxmlformats.org/officeDocument/2006/relationships/hyperlink" Target="https://find-and-update.company-information.service.gov.uk/company/07879034/filing-history" TargetMode="External"/><Relationship Id="rId602" Type="http://schemas.openxmlformats.org/officeDocument/2006/relationships/hyperlink" Target="https://www.natwest.com/investments/five-ready-made-funds.html" TargetMode="External"/><Relationship Id="rId1025" Type="http://schemas.openxmlformats.org/officeDocument/2006/relationships/hyperlink" Target="http://www.ascotlloyd.co.uk/" TargetMode="External"/><Relationship Id="rId907" Type="http://schemas.openxmlformats.org/officeDocument/2006/relationships/hyperlink" Target="https://www.abacuswealthplanning.com/" TargetMode="External"/><Relationship Id="rId36" Type="http://schemas.openxmlformats.org/officeDocument/2006/relationships/hyperlink" Target="https://www.hl.co.uk/financial-advice/cost-of-financial-advice" TargetMode="External"/><Relationship Id="rId185" Type="http://schemas.openxmlformats.org/officeDocument/2006/relationships/hyperlink" Target="http://www.db.com/" TargetMode="External"/><Relationship Id="rId392" Type="http://schemas.openxmlformats.org/officeDocument/2006/relationships/hyperlink" Target="https://find-and-update.company-information.service.gov.uk/company/03830502/filing-history" TargetMode="External"/><Relationship Id="rId613" Type="http://schemas.openxmlformats.org/officeDocument/2006/relationships/hyperlink" Target="https://find-and-update.company-information.service.gov.uk/company/12075452/filing-history" TargetMode="External"/><Relationship Id="rId697" Type="http://schemas.openxmlformats.org/officeDocument/2006/relationships/hyperlink" Target="https://find-and-update.company-information.service.gov.uk/company/04759951/filing-history" TargetMode="External"/><Relationship Id="rId820" Type="http://schemas.openxmlformats.org/officeDocument/2006/relationships/hyperlink" Target="https://find-and-update.company-information.service.gov.uk/company/14088618/filing-history" TargetMode="External"/><Relationship Id="rId918" Type="http://schemas.openxmlformats.org/officeDocument/2006/relationships/hyperlink" Target="https://find-and-update.company-information.service.gov.uk/company/03826685/filing-history" TargetMode="External"/><Relationship Id="rId252" Type="http://schemas.openxmlformats.org/officeDocument/2006/relationships/hyperlink" Target="https://find-and-update.company-information.service.gov.uk/company/10609552/filing-history" TargetMode="External"/><Relationship Id="rId1103" Type="http://schemas.openxmlformats.org/officeDocument/2006/relationships/hyperlink" Target="https://www.tamassetmanagement.com/data/uploads/factsheets/active-balanced-q4-2025.pdf" TargetMode="External"/><Relationship Id="rId47" Type="http://schemas.openxmlformats.org/officeDocument/2006/relationships/hyperlink" Target="https://www.amberriver.com/" TargetMode="External"/><Relationship Id="rId112" Type="http://schemas.openxmlformats.org/officeDocument/2006/relationships/hyperlink" Target="https://goodmoneyguide.com/investing/wealth-management/?utm_source=copilot.com" TargetMode="External"/><Relationship Id="rId557" Type="http://schemas.openxmlformats.org/officeDocument/2006/relationships/hyperlink" Target="https://www.obsidian-financial.com/how-we-are-paid.html" TargetMode="External"/><Relationship Id="rId764" Type="http://schemas.openxmlformats.org/officeDocument/2006/relationships/hyperlink" Target="https://find-and-update.company-information.service.gov.uk/company/SC281976/filing-history" TargetMode="External"/><Relationship Id="rId971" Type="http://schemas.openxmlformats.org/officeDocument/2006/relationships/hyperlink" Target="https://www.jacksons.life/" TargetMode="External"/><Relationship Id="rId196" Type="http://schemas.openxmlformats.org/officeDocument/2006/relationships/hyperlink" Target="https://find-and-update.company-information.service.gov.uk/company/08552799/filing-history" TargetMode="External"/><Relationship Id="rId417" Type="http://schemas.openxmlformats.org/officeDocument/2006/relationships/hyperlink" Target="https://find-and-update.company-information.service.gov.uk/company/05399764" TargetMode="External"/><Relationship Id="rId624" Type="http://schemas.openxmlformats.org/officeDocument/2006/relationships/hyperlink" Target="https://www.fca.org.uk/news/press-releases/fca-censures-lighthouse-advisory-services-limited-serious-failings-relation-british-steel-pension" TargetMode="External"/><Relationship Id="rId831" Type="http://schemas.openxmlformats.org/officeDocument/2006/relationships/hyperlink" Target="https://find-and-update.company-information.service.gov.uk/company/08210361/filing-history" TargetMode="External"/><Relationship Id="rId1047" Type="http://schemas.openxmlformats.org/officeDocument/2006/relationships/hyperlink" Target="https://find-and-update.company-information.service.gov.uk/company/01377493/filing-history" TargetMode="External"/><Relationship Id="rId263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470" Type="http://schemas.openxmlformats.org/officeDocument/2006/relationships/hyperlink" Target="http://www.belmontassociates.co.uk/" TargetMode="External"/><Relationship Id="rId929" Type="http://schemas.openxmlformats.org/officeDocument/2006/relationships/hyperlink" Target="https://find-and-update.company-information.service.gov.uk/company/04454027/filing-history" TargetMode="External"/><Relationship Id="rId1114" Type="http://schemas.openxmlformats.org/officeDocument/2006/relationships/hyperlink" Target="https://downloads.spw.com/public/Factsheets/FS-GB00BJRSQM30.pdf" TargetMode="External"/><Relationship Id="rId58" Type="http://schemas.openxmlformats.org/officeDocument/2006/relationships/hyperlink" Target="http://www.amberriver.com/" TargetMode="External"/><Relationship Id="rId123" Type="http://schemas.openxmlformats.org/officeDocument/2006/relationships/hyperlink" Target="https://goodmoneyguide.com/investing/wealth-management/?utm_source=copilot.com" TargetMode="External"/><Relationship Id="rId330" Type="http://schemas.openxmlformats.org/officeDocument/2006/relationships/hyperlink" Target="https://find-and-update.company-information.service.gov.uk/company/07880489/filing-history" TargetMode="External"/><Relationship Id="rId568" Type="http://schemas.openxmlformats.org/officeDocument/2006/relationships/hyperlink" Target="https://www.highwood.co.uk/fees/" TargetMode="External"/><Relationship Id="rId775" Type="http://schemas.openxmlformats.org/officeDocument/2006/relationships/hyperlink" Target="https://find-and-update.company-information.service.gov.uk/company/07584487/filing-history" TargetMode="External"/><Relationship Id="rId982" Type="http://schemas.openxmlformats.org/officeDocument/2006/relationships/hyperlink" Target="http://www.hamishleng.co.uk/" TargetMode="External"/><Relationship Id="rId428" Type="http://schemas.openxmlformats.org/officeDocument/2006/relationships/hyperlink" Target="https://find-and-update.company-information.service.gov.uk/company/04731281/filing-history" TargetMode="External"/><Relationship Id="rId635" Type="http://schemas.openxmlformats.org/officeDocument/2006/relationships/hyperlink" Target="https://find-and-update.company-information.service.gov.uk/company/02854159/filing-history" TargetMode="External"/><Relationship Id="rId842" Type="http://schemas.openxmlformats.org/officeDocument/2006/relationships/hyperlink" Target="https://www.ellisbates.com/?trk=organization-update_share-update_update-text" TargetMode="External"/><Relationship Id="rId1058" Type="http://schemas.openxmlformats.org/officeDocument/2006/relationships/hyperlink" Target="https://www.ritewealth.co.uk/" TargetMode="External"/><Relationship Id="rId274" Type="http://schemas.openxmlformats.org/officeDocument/2006/relationships/hyperlink" Target="https://www.nfumutual.co.uk/" TargetMode="External"/><Relationship Id="rId481" Type="http://schemas.openxmlformats.org/officeDocument/2006/relationships/hyperlink" Target="https://find-and-update.company-information.service.gov.uk/company/07680418/filing-history" TargetMode="External"/><Relationship Id="rId702" Type="http://schemas.openxmlformats.org/officeDocument/2006/relationships/hyperlink" Target="https://www.abacusfinancialoptions.co.uk/_files/ugd/4a5219_9eeff87b8d8748e8a061533b02d55f61.pdf" TargetMode="External"/><Relationship Id="rId1125" Type="http://schemas.openxmlformats.org/officeDocument/2006/relationships/hyperlink" Target="https://www.trustnet.com/factsheets/O/ibre/barclays-multi-asset-cautious-income/" TargetMode="External"/><Relationship Id="rId69" Type="http://schemas.openxmlformats.org/officeDocument/2006/relationships/hyperlink" Target="https://find-and-update.company-information.service.gov.uk/company/04870073/filing-history" TargetMode="External"/><Relationship Id="rId134" Type="http://schemas.openxmlformats.org/officeDocument/2006/relationships/hyperlink" Target="https://find-and-update.company-information.service.gov.uk/company/07177075/filing-history" TargetMode="External"/><Relationship Id="rId579" Type="http://schemas.openxmlformats.org/officeDocument/2006/relationships/hyperlink" Target="https://find-and-update.company-information.service.gov.uk/company/SC222930/filing-history" TargetMode="External"/><Relationship Id="rId786" Type="http://schemas.openxmlformats.org/officeDocument/2006/relationships/hyperlink" Target="http://www.ascotlloyd.co.uk/" TargetMode="External"/><Relationship Id="rId993" Type="http://schemas.openxmlformats.org/officeDocument/2006/relationships/hyperlink" Target="https://www.gerardsavarymortgages.com/" TargetMode="External"/><Relationship Id="rId341" Type="http://schemas.openxmlformats.org/officeDocument/2006/relationships/hyperlink" Target="https://doc.morningstar.com/Document/bc8bb4d3cae483975e9b4291450e4b07.msdoc/?key=6d3ad7cced83e966eb033a99485759465b00047aee79de5f" TargetMode="External"/><Relationship Id="rId439" Type="http://schemas.openxmlformats.org/officeDocument/2006/relationships/hyperlink" Target="https://find-and-update.company-information.service.gov.uk/company/SC367442/filing-history" TargetMode="External"/><Relationship Id="rId646" Type="http://schemas.openxmlformats.org/officeDocument/2006/relationships/hyperlink" Target="https://find-and-update.company-information.service.gov.uk/company/SC638934/filing-history" TargetMode="External"/><Relationship Id="rId1069" Type="http://schemas.openxmlformats.org/officeDocument/2006/relationships/hyperlink" Target="https://www.stableinvestment.co.uk/" TargetMode="External"/><Relationship Id="rId201" Type="http://schemas.openxmlformats.org/officeDocument/2006/relationships/hyperlink" Target="https://www.associatedlife.co.uk/" TargetMode="External"/><Relationship Id="rId285" Type="http://schemas.openxmlformats.org/officeDocument/2006/relationships/hyperlink" Target="https://www.moneyweb-ifa.com/how-we-are-paid/" TargetMode="External"/><Relationship Id="rId506" Type="http://schemas.openxmlformats.org/officeDocument/2006/relationships/hyperlink" Target="https://www.isio.com/solutions/financial-advisers/" TargetMode="External"/><Relationship Id="rId853" Type="http://schemas.openxmlformats.org/officeDocument/2006/relationships/hyperlink" Target="https://find-and-update.company-information.service.gov.uk/company/09088155/filing-history" TargetMode="External"/><Relationship Id="rId1136" Type="http://schemas.openxmlformats.org/officeDocument/2006/relationships/hyperlink" Target="https://www.saltus.co.uk/managed-portfolio-service/portfolio-service" TargetMode="External"/><Relationship Id="rId492" Type="http://schemas.openxmlformats.org/officeDocument/2006/relationships/hyperlink" Target="https://find-and-update.company-information.service.gov.uk/company/04538614/filing-history" TargetMode="External"/><Relationship Id="rId713" Type="http://schemas.openxmlformats.org/officeDocument/2006/relationships/hyperlink" Target="https://www.otusfp.com/our-fees/" TargetMode="External"/><Relationship Id="rId797" Type="http://schemas.openxmlformats.org/officeDocument/2006/relationships/hyperlink" Target="https://register.fca.org.uk/s/firm?id=001b000000c43l7AAA" TargetMode="External"/><Relationship Id="rId920" Type="http://schemas.openxmlformats.org/officeDocument/2006/relationships/hyperlink" Target="https://find-and-update.company-information.service.gov.uk/company/04113955/filing-history" TargetMode="External"/><Relationship Id="rId145" Type="http://schemas.openxmlformats.org/officeDocument/2006/relationships/hyperlink" Target="https://www.coramfinancial.com/" TargetMode="External"/><Relationship Id="rId352" Type="http://schemas.openxmlformats.org/officeDocument/2006/relationships/hyperlink" Target="https://find-and-update.company-information.service.gov.uk/company/04721726/filing-history" TargetMode="External"/><Relationship Id="rId212" Type="http://schemas.openxmlformats.org/officeDocument/2006/relationships/hyperlink" Target="https://find-and-update.company-information.service.gov.uk/company/11236048/filing-history" TargetMode="External"/><Relationship Id="rId657" Type="http://schemas.openxmlformats.org/officeDocument/2006/relationships/hyperlink" Target="https://www.spw.com/our-fees/" TargetMode="External"/><Relationship Id="rId864" Type="http://schemas.openxmlformats.org/officeDocument/2006/relationships/hyperlink" Target="https://media.umbraco.io/canaccord/yhpedyr5/mps-rp4-income-factsheet.pdf" TargetMode="External"/><Relationship Id="rId296" Type="http://schemas.openxmlformats.org/officeDocument/2006/relationships/hyperlink" Target="https://find-and-update.company-information.service.gov.uk/company/SC406519/filing-history" TargetMode="External"/><Relationship Id="rId517" Type="http://schemas.openxmlformats.org/officeDocument/2006/relationships/hyperlink" Target="https://www.evelyn.com/fees-charges/" TargetMode="External"/><Relationship Id="rId724" Type="http://schemas.openxmlformats.org/officeDocument/2006/relationships/hyperlink" Target="https://www.mortgages-etc.co.uk/our-fees/" TargetMode="External"/><Relationship Id="rId931" Type="http://schemas.openxmlformats.org/officeDocument/2006/relationships/hyperlink" Target="https://find-and-update.company-information.service.gov.uk/company/04454027/filing-history" TargetMode="External"/><Relationship Id="rId60" Type="http://schemas.openxmlformats.org/officeDocument/2006/relationships/hyperlink" Target="https://find-and-update.company-information.service.gov.uk/company/OC368475/filing-history" TargetMode="External"/><Relationship Id="rId156" Type="http://schemas.openxmlformats.org/officeDocument/2006/relationships/hyperlink" Target="https://www.altorfer.co.uk/" TargetMode="External"/><Relationship Id="rId363" Type="http://schemas.openxmlformats.org/officeDocument/2006/relationships/hyperlink" Target="https://find-and-update.company-information.service.gov.uk/company/11949169/filing-history" TargetMode="External"/><Relationship Id="rId570" Type="http://schemas.openxmlformats.org/officeDocument/2006/relationships/hyperlink" Target="https://www.hl.co.uk/financial-advice" TargetMode="External"/><Relationship Id="rId1007" Type="http://schemas.openxmlformats.org/officeDocument/2006/relationships/hyperlink" Target="https://sentinelportfoliomanagement.co.uk/" TargetMode="External"/><Relationship Id="rId223" Type="http://schemas.openxmlformats.org/officeDocument/2006/relationships/hyperlink" Target="https://find-and-update.company-information.service.gov.uk/company/03920586/filing-history" TargetMode="External"/><Relationship Id="rId430" Type="http://schemas.openxmlformats.org/officeDocument/2006/relationships/hyperlink" Target="http://www.titanwh.com/" TargetMode="External"/><Relationship Id="rId668" Type="http://schemas.openxmlformats.org/officeDocument/2006/relationships/hyperlink" Target="https://find-and-update.company-information.service.gov.uk/company/04390539/filing-history" TargetMode="External"/><Relationship Id="rId875" Type="http://schemas.openxmlformats.org/officeDocument/2006/relationships/hyperlink" Target="https://www.lloydsbank.com/wealth-management/pricing.html" TargetMode="External"/><Relationship Id="rId1060" Type="http://schemas.openxmlformats.org/officeDocument/2006/relationships/hyperlink" Target="https://www.msgifa.co.uk/" TargetMode="External"/><Relationship Id="rId18" Type="http://schemas.openxmlformats.org/officeDocument/2006/relationships/hyperlink" Target="http://www.strategicwealth.co.uk/" TargetMode="External"/><Relationship Id="rId528" Type="http://schemas.openxmlformats.org/officeDocument/2006/relationships/hyperlink" Target="https://www.evelyn.com/fees-charges/" TargetMode="External"/><Relationship Id="rId735" Type="http://schemas.openxmlformats.org/officeDocument/2006/relationships/hyperlink" Target="https://www.crownwealthmanagement.co.uk/about-us/our-fees/" TargetMode="External"/><Relationship Id="rId942" Type="http://schemas.openxmlformats.org/officeDocument/2006/relationships/hyperlink" Target="https://perryjones.uk/how-we-are-paid/" TargetMode="External"/><Relationship Id="rId167" Type="http://schemas.openxmlformats.org/officeDocument/2006/relationships/hyperlink" Target="https://wbbaxter.co.uk/wp-content/uploads/2024/01/Client-Service-Proposition-0124.pdf" TargetMode="External"/><Relationship Id="rId374" Type="http://schemas.openxmlformats.org/officeDocument/2006/relationships/hyperlink" Target="https://irp.cdn-website.com/2db008a1/files/uploaded/Services%20Inv%20-%20Protection%202022webv2%200423.pdf" TargetMode="External"/><Relationship Id="rId581" Type="http://schemas.openxmlformats.org/officeDocument/2006/relationships/hyperlink" Target="https://find-and-update.company-information.service.gov.uk/company/03948922/filing-history" TargetMode="External"/><Relationship Id="rId1018" Type="http://schemas.openxmlformats.org/officeDocument/2006/relationships/hyperlink" Target="http://www.amfsltd.co.uk/" TargetMode="External"/><Relationship Id="rId71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234" Type="http://schemas.openxmlformats.org/officeDocument/2006/relationships/hyperlink" Target="https://find-and-update.company-information.service.gov.uk/company/11148660/filing-history" TargetMode="External"/><Relationship Id="rId679" Type="http://schemas.openxmlformats.org/officeDocument/2006/relationships/hyperlink" Target="https://find-and-update.company-information.service.gov.uk/company/03938803/filing-history" TargetMode="External"/><Relationship Id="rId802" Type="http://schemas.openxmlformats.org/officeDocument/2006/relationships/hyperlink" Target="https://www.ascotlloyd.co.uk/our-service/fees/" TargetMode="External"/><Relationship Id="rId886" Type="http://schemas.openxmlformats.org/officeDocument/2006/relationships/hyperlink" Target="https://brochures.chasedevere.co.uk/private-client-terms-of-business" TargetMode="External"/><Relationship Id="rId2" Type="http://schemas.openxmlformats.org/officeDocument/2006/relationships/hyperlink" Target="https://www.michaelphilips.co.uk/" TargetMode="External"/><Relationship Id="rId29" Type="http://schemas.openxmlformats.org/officeDocument/2006/relationships/hyperlink" Target="https://www.tamassetmanagement.com/data/uploads/factsheets/active-balanced-q4-2025.pdf" TargetMode="External"/><Relationship Id="rId441" Type="http://schemas.openxmlformats.org/officeDocument/2006/relationships/hyperlink" Target="https://find-and-update.company-information.service.gov.uk/company/OC404121/filing-history" TargetMode="External"/><Relationship Id="rId539" Type="http://schemas.openxmlformats.org/officeDocument/2006/relationships/hyperlink" Target="https://www.fiduciawealth.co.uk/about/financial-advisor-fees/" TargetMode="External"/><Relationship Id="rId746" Type="http://schemas.openxmlformats.org/officeDocument/2006/relationships/hyperlink" Target="https://www.hensonaslam.co.uk/how-we-work/our-fees" TargetMode="External"/><Relationship Id="rId1071" Type="http://schemas.openxmlformats.org/officeDocument/2006/relationships/hyperlink" Target="https://www.pfgl.co.uk/thorntonspringer" TargetMode="External"/><Relationship Id="rId178" Type="http://schemas.openxmlformats.org/officeDocument/2006/relationships/hyperlink" Target="https://www.castlesundborn.co.uk/" TargetMode="External"/><Relationship Id="rId301" Type="http://schemas.openxmlformats.org/officeDocument/2006/relationships/hyperlink" Target="http://aspireonline.co.uk/sites/default/files/clients/130/0623-Client-Proposition.pdf" TargetMode="External"/><Relationship Id="rId953" Type="http://schemas.openxmlformats.org/officeDocument/2006/relationships/hyperlink" Target="https://find-and-update.company-information.service.gov.uk/company/09997413/filing-history" TargetMode="External"/><Relationship Id="rId1029" Type="http://schemas.openxmlformats.org/officeDocument/2006/relationships/hyperlink" Target="https://www.chaldonfoxassociates.co.uk/" TargetMode="External"/><Relationship Id="rId82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385" Type="http://schemas.openxmlformats.org/officeDocument/2006/relationships/hyperlink" Target="https://find-and-update.company-information.service.gov.uk/company/01183300/filing-history" TargetMode="External"/><Relationship Id="rId592" Type="http://schemas.openxmlformats.org/officeDocument/2006/relationships/hyperlink" Target="https://www.lfpassetmanagement.com/lfp-asset-management-fee-structure/" TargetMode="External"/><Relationship Id="rId606" Type="http://schemas.openxmlformats.org/officeDocument/2006/relationships/hyperlink" Target="https://find-and-update.company-information.service.gov.uk/company/00036695/filing-history" TargetMode="External"/><Relationship Id="rId813" Type="http://schemas.openxmlformats.org/officeDocument/2006/relationships/hyperlink" Target="https://www.philpottfinancial.com/" TargetMode="External"/><Relationship Id="rId245" Type="http://schemas.openxmlformats.org/officeDocument/2006/relationships/hyperlink" Target="https://cactusfp.co.uk/client-care/fees/" TargetMode="External"/><Relationship Id="rId452" Type="http://schemas.openxmlformats.org/officeDocument/2006/relationships/hyperlink" Target="https://www.acumenfp.com/about-us/our-financial-planning-fees/" TargetMode="External"/><Relationship Id="rId897" Type="http://schemas.openxmlformats.org/officeDocument/2006/relationships/hyperlink" Target="https://content.rathbones.com/Rathbones/Rathbones%20Private%20Client%20Brochure.PDF" TargetMode="External"/><Relationship Id="rId1082" Type="http://schemas.openxmlformats.org/officeDocument/2006/relationships/hyperlink" Target="https://goodmoneyguide.com/investing/wealth-management/?utm_source=copilot.com" TargetMode="External"/><Relationship Id="rId105" Type="http://schemas.openxmlformats.org/officeDocument/2006/relationships/hyperlink" Target="https://markets.ft.com/data/funds/tearsheet/summary?s=LU2594915410:USD" TargetMode="External"/><Relationship Id="rId312" Type="http://schemas.openxmlformats.org/officeDocument/2006/relationships/hyperlink" Target="https://find-and-update.company-information.service.gov.uk/company/OC317451/filing-history" TargetMode="External"/><Relationship Id="rId757" Type="http://schemas.openxmlformats.org/officeDocument/2006/relationships/hyperlink" Target="https://simplefinancialadvice.co.uk/our-fees/" TargetMode="External"/><Relationship Id="rId964" Type="http://schemas.openxmlformats.org/officeDocument/2006/relationships/hyperlink" Target="../../Downloads/AWIPR0029_UK_Adviser_Charges_Summary_EN_0325.pdf" TargetMode="External"/><Relationship Id="rId93" Type="http://schemas.openxmlformats.org/officeDocument/2006/relationships/hyperlink" Target="http://www.amberriver.com/" TargetMode="External"/><Relationship Id="rId189" Type="http://schemas.openxmlformats.org/officeDocument/2006/relationships/hyperlink" Target="http://www.aretianwealth.co.uk/" TargetMode="External"/><Relationship Id="rId396" Type="http://schemas.openxmlformats.org/officeDocument/2006/relationships/hyperlink" Target="https://rowleyturton.com/how-we-are-paid/" TargetMode="External"/><Relationship Id="rId617" Type="http://schemas.openxmlformats.org/officeDocument/2006/relationships/hyperlink" Target="https://www.fundslibrary.co.uk/fundslibrary.dataretrieval/documents.aspx/?id=703093f0-f269-4f80-8396-9845ba2c89de&amp;user=ZCR%2BxM%2FTbCF5bo1R%2FAgV3haVjJ%2BRYO8QhpUMd8H5i0A%3D&amp;type=fund_unit_kiid&amp;r=1" TargetMode="External"/><Relationship Id="rId824" Type="http://schemas.openxmlformats.org/officeDocument/2006/relationships/hyperlink" Target="https://markets.ft.com/data/funds/tearsheet/summary?s=LU2594915410:USD" TargetMode="External"/><Relationship Id="rId256" Type="http://schemas.openxmlformats.org/officeDocument/2006/relationships/hyperlink" Target="https://find-and-update.company-information.service.gov.uk/company/13833125/filing-history" TargetMode="External"/><Relationship Id="rId463" Type="http://schemas.openxmlformats.org/officeDocument/2006/relationships/hyperlink" Target="https://www.affinityfinance.co.uk/CSA.pdf" TargetMode="External"/><Relationship Id="rId670" Type="http://schemas.openxmlformats.org/officeDocument/2006/relationships/hyperlink" Target="https://www.sturdyedwards.co.uk/pdfs/Sturdy-Edwards-Client-Agreement-(Services-Charges).pdf" TargetMode="External"/><Relationship Id="rId1093" Type="http://schemas.openxmlformats.org/officeDocument/2006/relationships/hyperlink" Target="https://www.tamassetmanagement.com/data/uploads/factsheets/active-balanced-q4-2025.pdf" TargetMode="External"/><Relationship Id="rId1107" Type="http://schemas.openxmlformats.org/officeDocument/2006/relationships/hyperlink" Target="https://systemviewer.kiihub.com/documents/SMIT/G1OB_UnitedKingdom_EN-GB.pdf" TargetMode="External"/><Relationship Id="rId116" Type="http://schemas.openxmlformats.org/officeDocument/2006/relationships/hyperlink" Target="https://digital.feprecisionplus.com/7im/factsheethtml/en-gb/7im_corp/?TypeCode=FO:BFB4&amp;specialunittype=ORDN&amp;MPCategoryCode=&amp;Category=corp&amp;priipproductcode=&amp;documentcountry=&amp;Category2=" TargetMode="External"/><Relationship Id="rId323" Type="http://schemas.openxmlformats.org/officeDocument/2006/relationships/hyperlink" Target="https://find-and-update.company-information.service.gov.uk/company/08520020/filing-history" TargetMode="External"/><Relationship Id="rId530" Type="http://schemas.openxmlformats.org/officeDocument/2006/relationships/hyperlink" Target="https://find-and-update.company-information.service.gov.uk/company/OC369632/filing-history" TargetMode="External"/><Relationship Id="rId768" Type="http://schemas.openxmlformats.org/officeDocument/2006/relationships/hyperlink" Target="http://www.haymarketifa.co.uk/" TargetMode="External"/><Relationship Id="rId975" Type="http://schemas.openxmlformats.org/officeDocument/2006/relationships/hyperlink" Target="http://www.asperandwealth.co.uk/" TargetMode="External"/><Relationship Id="rId20" Type="http://schemas.openxmlformats.org/officeDocument/2006/relationships/hyperlink" Target="https://find-and-update.company-information.service.gov.uk/company/02205890/filing-history" TargetMode="External"/><Relationship Id="rId628" Type="http://schemas.openxmlformats.org/officeDocument/2006/relationships/hyperlink" Target="http://www.quilter.com/" TargetMode="External"/><Relationship Id="rId835" Type="http://schemas.openxmlformats.org/officeDocument/2006/relationships/hyperlink" Target="https://www.craufurdhalewealth.co.uk/" TargetMode="External"/><Relationship Id="rId267" Type="http://schemas.openxmlformats.org/officeDocument/2006/relationships/hyperlink" Target="https://find-and-update.company-information.service.gov.uk/company/02135876/filing-history" TargetMode="External"/><Relationship Id="rId474" Type="http://schemas.openxmlformats.org/officeDocument/2006/relationships/hyperlink" Target="https://www.benchmarkcapital.co.uk/en-gb/uk/individual/process-and-costs/" TargetMode="External"/><Relationship Id="rId1020" Type="http://schemas.openxmlformats.org/officeDocument/2006/relationships/hyperlink" Target="http://www.bastowandco.ltd.uk/" TargetMode="External"/><Relationship Id="rId1118" Type="http://schemas.openxmlformats.org/officeDocument/2006/relationships/hyperlink" Target="https://www.quilter.com/documents/?filters=116434" TargetMode="External"/><Relationship Id="rId127" Type="http://schemas.openxmlformats.org/officeDocument/2006/relationships/hyperlink" Target="https://goodmoneyguide.com/investing/wealth-management/?utm_source=copilot.com" TargetMode="External"/><Relationship Id="rId681" Type="http://schemas.openxmlformats.org/officeDocument/2006/relationships/hyperlink" Target="https://find-and-update.company-information.service.gov.uk/company/SC521697" TargetMode="External"/><Relationship Id="rId779" Type="http://schemas.openxmlformats.org/officeDocument/2006/relationships/hyperlink" Target="https://www.aberdeenpersonal.com/" TargetMode="External"/><Relationship Id="rId902" Type="http://schemas.openxmlformats.org/officeDocument/2006/relationships/hyperlink" Target="https://cdn.mediavalet.com/eunl/equilibrium/1RhYNvw3zEShfBf12GUS0Q/OaHqL1loxEaQzvJpM4R1qA/Original/Retail%20Client%20Agreement%20-%20May%202022.pdf" TargetMode="External"/><Relationship Id="rId986" Type="http://schemas.openxmlformats.org/officeDocument/2006/relationships/hyperlink" Target="https://www.agencypartners.co.uk/" TargetMode="External"/><Relationship Id="rId31" Type="http://schemas.openxmlformats.org/officeDocument/2006/relationships/hyperlink" Target="https://www.amberriver.com/jf" TargetMode="External"/><Relationship Id="rId334" Type="http://schemas.openxmlformats.org/officeDocument/2006/relationships/hyperlink" Target="https://find-and-update.company-information.service.gov.uk/company/02198916/filing-history" TargetMode="External"/><Relationship Id="rId541" Type="http://schemas.openxmlformats.org/officeDocument/2006/relationships/hyperlink" Target="https://www.generatewealth.co.uk/wp/how-we-charge/" TargetMode="External"/><Relationship Id="rId639" Type="http://schemas.openxmlformats.org/officeDocument/2006/relationships/hyperlink" Target="https://find-and-update.company-information.service.gov.uk/company/04170825/filing-history" TargetMode="External"/><Relationship Id="rId180" Type="http://schemas.openxmlformats.org/officeDocument/2006/relationships/hyperlink" Target="https://find-and-update.company-information.service.gov.uk/company/00818135/filing-history" TargetMode="External"/><Relationship Id="rId278" Type="http://schemas.openxmlformats.org/officeDocument/2006/relationships/hyperlink" Target="https://find-and-update.company-information.service.gov.uk/company/00111982/filing-history" TargetMode="External"/><Relationship Id="rId401" Type="http://schemas.openxmlformats.org/officeDocument/2006/relationships/hyperlink" Target="https://www.valu-trac.com/administration-services/clients/esprit/tb/VT%20Esprit%20Tactical%20Balanced%20-%20February%202026.pdf" TargetMode="External"/><Relationship Id="rId846" Type="http://schemas.openxmlformats.org/officeDocument/2006/relationships/hyperlink" Target="https://www.pyrfordfp.com/our-fees" TargetMode="External"/><Relationship Id="rId1031" Type="http://schemas.openxmlformats.org/officeDocument/2006/relationships/hyperlink" Target="https://www.cradleltd.co.uk/" TargetMode="External"/><Relationship Id="rId1129" Type="http://schemas.openxmlformats.org/officeDocument/2006/relationships/hyperlink" Target="https://www.saltus.co.uk/managed-portfolio-service/portfolio-service" TargetMode="External"/><Relationship Id="rId485" Type="http://schemas.openxmlformats.org/officeDocument/2006/relationships/hyperlink" Target="http://www.cockburnlucas.co.uk/" TargetMode="External"/><Relationship Id="rId692" Type="http://schemas.openxmlformats.org/officeDocument/2006/relationships/hyperlink" Target="https://www.levenwealth.co.uk/fees" TargetMode="External"/><Relationship Id="rId706" Type="http://schemas.openxmlformats.org/officeDocument/2006/relationships/hyperlink" Target="https://find-and-update.company-information.service.gov.uk/company/02459464/filing-history" TargetMode="External"/><Relationship Id="rId913" Type="http://schemas.openxmlformats.org/officeDocument/2006/relationships/hyperlink" Target="https://www.medicswealth.com/service-proposition" TargetMode="External"/><Relationship Id="rId42" Type="http://schemas.openxmlformats.org/officeDocument/2006/relationships/hyperlink" Target="https://www.tamassetmanagement.com/data/uploads/factsheets/active-balanced-q4-2025.pdf" TargetMode="External"/><Relationship Id="rId138" Type="http://schemas.openxmlformats.org/officeDocument/2006/relationships/hyperlink" Target="https://www.cheethamjackson.com/" TargetMode="External"/><Relationship Id="rId345" Type="http://schemas.openxmlformats.org/officeDocument/2006/relationships/hyperlink" Target="https://engagewm.co.uk/wp-content/uploads/2025/11/Terms-Of-Business.pdf" TargetMode="External"/><Relationship Id="rId552" Type="http://schemas.openxmlformats.org/officeDocument/2006/relationships/hyperlink" Target="https://www.henleylifeandpensions.com/cost-of-advice" TargetMode="External"/><Relationship Id="rId997" Type="http://schemas.openxmlformats.org/officeDocument/2006/relationships/hyperlink" Target="https://juliemcgee.co.uk/" TargetMode="External"/><Relationship Id="rId191" Type="http://schemas.openxmlformats.org/officeDocument/2006/relationships/hyperlink" Target="https://find-and-update.company-information.service.gov.uk/company/07101143/filing-history" TargetMode="External"/><Relationship Id="rId205" Type="http://schemas.openxmlformats.org/officeDocument/2006/relationships/hyperlink" Target="https://find-and-update.company-information.service.gov.uk/company/09188423/filing-history" TargetMode="External"/><Relationship Id="rId412" Type="http://schemas.openxmlformats.org/officeDocument/2006/relationships/hyperlink" Target="https://shackletonadvisers.co.uk/why-were-different/fair-and-transparent-charges/" TargetMode="External"/><Relationship Id="rId857" Type="http://schemas.openxmlformats.org/officeDocument/2006/relationships/hyperlink" Target="https://find-and-update.company-information.service.gov.uk/company/03863161/filing-history" TargetMode="External"/><Relationship Id="rId1042" Type="http://schemas.openxmlformats.org/officeDocument/2006/relationships/hyperlink" Target="https://www.foxandco.com/" TargetMode="External"/><Relationship Id="rId289" Type="http://schemas.openxmlformats.org/officeDocument/2006/relationships/hyperlink" Target="https://8fp.co.uk/fees/" TargetMode="External"/><Relationship Id="rId496" Type="http://schemas.openxmlformats.org/officeDocument/2006/relationships/hyperlink" Target="https://find-and-update.company-information.service.gov.uk/company/05288526/filing-history" TargetMode="External"/><Relationship Id="rId717" Type="http://schemas.openxmlformats.org/officeDocument/2006/relationships/hyperlink" Target="https://brigroup.co.uk/our-team/" TargetMode="External"/><Relationship Id="rId924" Type="http://schemas.openxmlformats.org/officeDocument/2006/relationships/hyperlink" Target="https://find-and-update.company-information.service.gov.uk/company/04454027/filing-history" TargetMode="External"/><Relationship Id="rId53" Type="http://schemas.openxmlformats.org/officeDocument/2006/relationships/hyperlink" Target="https://www.ubp.com/uk" TargetMode="External"/><Relationship Id="rId149" Type="http://schemas.openxmlformats.org/officeDocument/2006/relationships/hyperlink" Target="https://www.coramfinancial.com/investments-wealth-management" TargetMode="External"/><Relationship Id="rId356" Type="http://schemas.openxmlformats.org/officeDocument/2006/relationships/hyperlink" Target="https://www.gsigroup.co.uk/" TargetMode="External"/><Relationship Id="rId563" Type="http://schemas.openxmlformats.org/officeDocument/2006/relationships/hyperlink" Target="https://find-and-update.company-information.service.gov.uk/company/01911493/filing-history" TargetMode="External"/><Relationship Id="rId770" Type="http://schemas.openxmlformats.org/officeDocument/2006/relationships/hyperlink" Target="https://find-and-update.company-information.service.gov.uk/company/13427494/filing-history" TargetMode="External"/><Relationship Id="rId216" Type="http://schemas.openxmlformats.org/officeDocument/2006/relationships/hyperlink" Target="https://find-and-update.company-information.service.gov.uk/company/SC479675/filing-history" TargetMode="External"/><Relationship Id="rId423" Type="http://schemas.openxmlformats.org/officeDocument/2006/relationships/hyperlink" Target="https://www.titanpi.co.uk/" TargetMode="External"/><Relationship Id="rId868" Type="http://schemas.openxmlformats.org/officeDocument/2006/relationships/hyperlink" Target="https://www.gkwealth.co.uk/about" TargetMode="External"/><Relationship Id="rId1053" Type="http://schemas.openxmlformats.org/officeDocument/2006/relationships/hyperlink" Target="https://www.imperious-capital.co.uk/" TargetMode="External"/><Relationship Id="rId630" Type="http://schemas.openxmlformats.org/officeDocument/2006/relationships/hyperlink" Target="https://find-and-update.company-information.service.gov.uk/company/05506637/filing-history" TargetMode="External"/><Relationship Id="rId728" Type="http://schemas.openxmlformats.org/officeDocument/2006/relationships/hyperlink" Target="https://www.ansteeco.co.uk/about-us/our-fees/" TargetMode="External"/><Relationship Id="rId935" Type="http://schemas.openxmlformats.org/officeDocument/2006/relationships/hyperlink" Target="https://find-and-update.company-information.service.gov.uk/company/15103462/filing-history" TargetMode="External"/><Relationship Id="rId64" Type="http://schemas.openxmlformats.org/officeDocument/2006/relationships/hyperlink" Target="https://find-and-update.company-information.service.gov.uk/company/NI046529/filing-history" TargetMode="External"/><Relationship Id="rId367" Type="http://schemas.openxmlformats.org/officeDocument/2006/relationships/hyperlink" Target="https://find-and-update.company-information.service.gov.uk/company/02355062/filing-history" TargetMode="External"/><Relationship Id="rId574" Type="http://schemas.openxmlformats.org/officeDocument/2006/relationships/hyperlink" Target="https://www.holden-partners.co.uk/fees/" TargetMode="External"/><Relationship Id="rId1120" Type="http://schemas.openxmlformats.org/officeDocument/2006/relationships/hyperlink" Target="http://www.chasedevere.co.uk/" TargetMode="External"/><Relationship Id="rId227" Type="http://schemas.openxmlformats.org/officeDocument/2006/relationships/hyperlink" Target="https://find-and-update.company-information.service.gov.uk/company/10470609/filing-history" TargetMode="External"/><Relationship Id="rId781" Type="http://schemas.openxmlformats.org/officeDocument/2006/relationships/hyperlink" Target="https://find-and-update.company-information.service.gov.uk/company/07584487/filing-history" TargetMode="External"/><Relationship Id="rId879" Type="http://schemas.openxmlformats.org/officeDocument/2006/relationships/hyperlink" Target="https://find-and-update.company-information.service.gov.uk/company/05478319/filing-history" TargetMode="External"/><Relationship Id="rId434" Type="http://schemas.openxmlformats.org/officeDocument/2006/relationships/hyperlink" Target="http://www.titan-fp.com/" TargetMode="External"/><Relationship Id="rId641" Type="http://schemas.openxmlformats.org/officeDocument/2006/relationships/hyperlink" Target="https://www.salisbury.co.uk/terms-resources/" TargetMode="External"/><Relationship Id="rId739" Type="http://schemas.openxmlformats.org/officeDocument/2006/relationships/hyperlink" Target="https://www.prosperitywealth.com/fees/" TargetMode="External"/><Relationship Id="rId1064" Type="http://schemas.openxmlformats.org/officeDocument/2006/relationships/hyperlink" Target="https://www.millerassociates.co.uk/" TargetMode="External"/><Relationship Id="rId280" Type="http://schemas.openxmlformats.org/officeDocument/2006/relationships/hyperlink" Target="https://www.ubs.com/uk/en/wealthmanagement/who-we-serve/individuals-and-families.html" TargetMode="External"/><Relationship Id="rId501" Type="http://schemas.openxmlformats.org/officeDocument/2006/relationships/hyperlink" Target="https://www.estatecapital.co.uk/financial-charges/" TargetMode="External"/><Relationship Id="rId946" Type="http://schemas.openxmlformats.org/officeDocument/2006/relationships/hyperlink" Target="https://zodiac.global/financial-planning.php" TargetMode="External"/><Relationship Id="rId1131" Type="http://schemas.openxmlformats.org/officeDocument/2006/relationships/hyperlink" Target="https://www.ifslfunds.com/sponsor/wise-funds" TargetMode="External"/><Relationship Id="rId75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40" Type="http://schemas.openxmlformats.org/officeDocument/2006/relationships/hyperlink" Target="https://find-and-update.company-information.service.gov.uk/company/07071622/filing-history" TargetMode="External"/><Relationship Id="rId378" Type="http://schemas.openxmlformats.org/officeDocument/2006/relationships/hyperlink" Target="https://www.pfgl.co.uk/our-locations/north-west/" TargetMode="External"/><Relationship Id="rId585" Type="http://schemas.openxmlformats.org/officeDocument/2006/relationships/hyperlink" Target="https://find-and-update.company-information.service.gov.uk/company/03909177/filing-history" TargetMode="External"/><Relationship Id="rId792" Type="http://schemas.openxmlformats.org/officeDocument/2006/relationships/hyperlink" Target="http://www.ascotlloyd.co.uk/" TargetMode="External"/><Relationship Id="rId806" Type="http://schemas.openxmlformats.org/officeDocument/2006/relationships/hyperlink" Target="https://find-and-update.company-information.service.gov.uk/company/OC436701/filing-history" TargetMode="External"/><Relationship Id="rId6" Type="http://schemas.openxmlformats.org/officeDocument/2006/relationships/hyperlink" Target="https://find-and-update.company-information.service.gov.uk/company/NI023143/filing-history" TargetMode="External"/><Relationship Id="rId238" Type="http://schemas.openxmlformats.org/officeDocument/2006/relationships/hyperlink" Target="https://www.3-sfinancial.com/" TargetMode="External"/><Relationship Id="rId445" Type="http://schemas.openxmlformats.org/officeDocument/2006/relationships/hyperlink" Target="https://wealth-matters.co.uk/financial-planning/fees/" TargetMode="External"/><Relationship Id="rId652" Type="http://schemas.openxmlformats.org/officeDocument/2006/relationships/hyperlink" Target="https://www.southdevonfinancialplanning.co.uk/" TargetMode="External"/><Relationship Id="rId1075" Type="http://schemas.openxmlformats.org/officeDocument/2006/relationships/hyperlink" Target="https://www.shackletonadvisers.co.uk/" TargetMode="External"/><Relationship Id="rId291" Type="http://schemas.openxmlformats.org/officeDocument/2006/relationships/hyperlink" Target="https://informedfinancialplanning.co.uk/how-we-charge/" TargetMode="External"/><Relationship Id="rId305" Type="http://schemas.openxmlformats.org/officeDocument/2006/relationships/hyperlink" Target="https://5deae023-4bbb-4f4f-8c02-446cd6ad798c.filesusr.com/ugd/499be7_b2c7f06368504f51a52ef5270efdc00b.pdf" TargetMode="External"/><Relationship Id="rId512" Type="http://schemas.openxmlformats.org/officeDocument/2006/relationships/hyperlink" Target="https://acuityprofessional.com/wealth-management/" TargetMode="External"/><Relationship Id="rId957" Type="http://schemas.openxmlformats.org/officeDocument/2006/relationships/hyperlink" Target="https://find-and-update.company-information.service.gov.uk/company/07366158/filing-history" TargetMode="External"/><Relationship Id="rId1142" Type="http://schemas.openxmlformats.org/officeDocument/2006/relationships/hyperlink" Target="https://www.quilter.com/4a330d/siteassets/documents/platform/guides-and-brochures/18035-making-the-cost-of-investment-clear.pdf" TargetMode="External"/><Relationship Id="rId86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51" Type="http://schemas.openxmlformats.org/officeDocument/2006/relationships/hyperlink" Target="http://www.pensionfreedom.co.uk/" TargetMode="External"/><Relationship Id="rId389" Type="http://schemas.openxmlformats.org/officeDocument/2006/relationships/hyperlink" Target="https://omnygroup.co.uk/wp-content/uploads/2025/11/Omny-Personal-Finance-IDD-V2-Nov25.pdf" TargetMode="External"/><Relationship Id="rId596" Type="http://schemas.openxmlformats.org/officeDocument/2006/relationships/hyperlink" Target="https://connect.avivab2b.co.uk/adviser/articles/discretionary-investment-managers/lowson-and-company-investment-managers/" TargetMode="External"/><Relationship Id="rId817" Type="http://schemas.openxmlformats.org/officeDocument/2006/relationships/hyperlink" Target="https://find-and-update.company-information.service.gov.uk/company/07808602/filing-history" TargetMode="External"/><Relationship Id="rId1002" Type="http://schemas.openxmlformats.org/officeDocument/2006/relationships/hyperlink" Target="https://www.mislandcapital.com/" TargetMode="External"/><Relationship Id="rId249" Type="http://schemas.openxmlformats.org/officeDocument/2006/relationships/hyperlink" Target="https://redkitewm.co.uk/fees/" TargetMode="External"/><Relationship Id="rId456" Type="http://schemas.openxmlformats.org/officeDocument/2006/relationships/hyperlink" Target="https://find-and-update.company-information.service.gov.uk/company/OC313878/filing-history" TargetMode="External"/><Relationship Id="rId663" Type="http://schemas.openxmlformats.org/officeDocument/2006/relationships/hyperlink" Target="https://www.spw.com/our-fees/" TargetMode="External"/><Relationship Id="rId870" Type="http://schemas.openxmlformats.org/officeDocument/2006/relationships/hyperlink" Target="https://find-and-update.company-information.service.gov.uk/company/07571920/filing-history" TargetMode="External"/><Relationship Id="rId1086" Type="http://schemas.openxmlformats.org/officeDocument/2006/relationships/hyperlink" Target="https://www.tyburnam.co.uk/" TargetMode="External"/><Relationship Id="rId13" Type="http://schemas.openxmlformats.org/officeDocument/2006/relationships/hyperlink" Target="https://mgllp.uk/" TargetMode="External"/><Relationship Id="rId109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316" Type="http://schemas.openxmlformats.org/officeDocument/2006/relationships/hyperlink" Target="https://beyondfinance.org.uk/our-fees-and-services/" TargetMode="External"/><Relationship Id="rId523" Type="http://schemas.openxmlformats.org/officeDocument/2006/relationships/hyperlink" Target="https://find-and-update.company-information.service.gov.uk/company/OC369632/filing-history" TargetMode="External"/><Relationship Id="rId968" Type="http://schemas.openxmlformats.org/officeDocument/2006/relationships/hyperlink" Target="http://www.howardwright.co.uk/" TargetMode="External"/><Relationship Id="rId97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730" Type="http://schemas.openxmlformats.org/officeDocument/2006/relationships/hyperlink" Target="https://www.zenitham.co.uk/" TargetMode="External"/><Relationship Id="rId828" Type="http://schemas.openxmlformats.org/officeDocument/2006/relationships/hyperlink" Target="https://www.montgomeryep.co.uk/our-relationship/our-fees" TargetMode="External"/><Relationship Id="rId1013" Type="http://schemas.openxmlformats.org/officeDocument/2006/relationships/hyperlink" Target="http://www.alandonald.co.uk/" TargetMode="External"/><Relationship Id="rId162" Type="http://schemas.openxmlformats.org/officeDocument/2006/relationships/hyperlink" Target="https://find-and-update.company-information.service.gov.uk/company/04494355/filing-history" TargetMode="External"/><Relationship Id="rId467" Type="http://schemas.openxmlformats.org/officeDocument/2006/relationships/hyperlink" Target="https://www.belmayne-ifa.com/" TargetMode="External"/><Relationship Id="rId1097" Type="http://schemas.openxmlformats.org/officeDocument/2006/relationships/hyperlink" Target="https://www.tamassetmanagement.com/data/uploads/factsheets/active-balanced-q4-2025.pdf" TargetMode="External"/><Relationship Id="rId674" Type="http://schemas.openxmlformats.org/officeDocument/2006/relationships/hyperlink" Target="https://find-and-update.company-information.service.gov.uk/company/OC326607/filing-history" TargetMode="External"/><Relationship Id="rId881" Type="http://schemas.openxmlformats.org/officeDocument/2006/relationships/hyperlink" Target="https://www.titanwealthsolutions.com/terms-of-use/" TargetMode="External"/><Relationship Id="rId979" Type="http://schemas.openxmlformats.org/officeDocument/2006/relationships/hyperlink" Target="https://find-and-update.company-information.service.gov.uk/company/05495327/filing-history" TargetMode="External"/><Relationship Id="rId24" Type="http://schemas.openxmlformats.org/officeDocument/2006/relationships/hyperlink" Target="https://www.altorwealth.com/" TargetMode="External"/><Relationship Id="rId327" Type="http://schemas.openxmlformats.org/officeDocument/2006/relationships/hyperlink" Target="http://www.ahvassociates.com/" TargetMode="External"/><Relationship Id="rId534" Type="http://schemas.openxmlformats.org/officeDocument/2006/relationships/hyperlink" Target="https://www.fidelity.co.uk/factsheet-data/factsheet/GB00BF8DCB08-fidelity-select-50-balanced-pi-acc/key-statistics" TargetMode="External"/><Relationship Id="rId741" Type="http://schemas.openxmlformats.org/officeDocument/2006/relationships/hyperlink" Target="https://www.fivewaysfp.co.uk/our-fees/" TargetMode="External"/><Relationship Id="rId839" Type="http://schemas.openxmlformats.org/officeDocument/2006/relationships/hyperlink" Target="https://find-and-update.company-information.service.gov.uk/company/13122310/filing-history" TargetMode="External"/><Relationship Id="rId173" Type="http://schemas.openxmlformats.org/officeDocument/2006/relationships/hyperlink" Target="https://tfp-fp.com/costs/" TargetMode="External"/><Relationship Id="rId380" Type="http://schemas.openxmlformats.org/officeDocument/2006/relationships/hyperlink" Target="https://find-and-update.company-information.service.gov.uk/company/OC338518/filing-history" TargetMode="External"/><Relationship Id="rId601" Type="http://schemas.openxmlformats.org/officeDocument/2006/relationships/hyperlink" Target="https://find-and-update.company-information.service.gov.uk/company/03233275/filing-history" TargetMode="External"/><Relationship Id="rId1024" Type="http://schemas.openxmlformats.org/officeDocument/2006/relationships/hyperlink" Target="https://capelcourt.cliftonwp.co.uk/" TargetMode="External"/><Relationship Id="rId240" Type="http://schemas.openxmlformats.org/officeDocument/2006/relationships/hyperlink" Target="https://www.belvederewm.com/fees" TargetMode="External"/><Relationship Id="rId478" Type="http://schemas.openxmlformats.org/officeDocument/2006/relationships/hyperlink" Target="https://find-and-update.company-information.service.gov.uk/company/13439612/filing-history" TargetMode="External"/><Relationship Id="rId685" Type="http://schemas.openxmlformats.org/officeDocument/2006/relationships/hyperlink" Target="https://tfagroup.co.uk/services-and-costs/" TargetMode="External"/><Relationship Id="rId892" Type="http://schemas.openxmlformats.org/officeDocument/2006/relationships/hyperlink" Target="https://hesketh-fp.co.uk/" TargetMode="External"/><Relationship Id="rId906" Type="http://schemas.openxmlformats.org/officeDocument/2006/relationships/hyperlink" Target="https://www.geminicapital.ie/wp-content/uploads/2025/03/London-Capital-Global-Balanced-A-EUR-IE00BJMHH226-20.02.2025.pdf?_gl=1*mqf8k1*_ga*MjUzOTc0MDg4LjE3NzI1MDEyMjg.*_ga_WC57KJ50ZZ*czE3NzMyNjQ0NzkkbzIxJGcxJHQxNzczMjY2NjE2JGo2MCRsMCRoMA.." TargetMode="External"/><Relationship Id="rId35" Type="http://schemas.openxmlformats.org/officeDocument/2006/relationships/hyperlink" Target="http://www.hl.co.uk/" TargetMode="External"/><Relationship Id="rId100" Type="http://schemas.openxmlformats.org/officeDocument/2006/relationships/hyperlink" Target="https://www.amberriver.com/cm" TargetMode="External"/><Relationship Id="rId338" Type="http://schemas.openxmlformats.org/officeDocument/2006/relationships/hyperlink" Target="https://courtneyhavers.co.uk/fees/" TargetMode="External"/><Relationship Id="rId545" Type="http://schemas.openxmlformats.org/officeDocument/2006/relationships/hyperlink" Target="https://www.hbdobbin.com/" TargetMode="External"/><Relationship Id="rId752" Type="http://schemas.openxmlformats.org/officeDocument/2006/relationships/hyperlink" Target="https://www.plan-money.co.uk/our-fees" TargetMode="External"/><Relationship Id="rId184" Type="http://schemas.openxmlformats.org/officeDocument/2006/relationships/hyperlink" Target="https://find-and-update.company-information.service.gov.uk/company/03593750/filing-history" TargetMode="External"/><Relationship Id="rId391" Type="http://schemas.openxmlformats.org/officeDocument/2006/relationships/hyperlink" Target="https://ovationfinance.co.uk/how-we-work/our-fees/" TargetMode="External"/><Relationship Id="rId405" Type="http://schemas.openxmlformats.org/officeDocument/2006/relationships/hyperlink" Target="https://www.successionwealth.co.uk/about-us/our-fees" TargetMode="External"/><Relationship Id="rId612" Type="http://schemas.openxmlformats.org/officeDocument/2006/relationships/hyperlink" Target="https://www.nextchapterfp.co.uk/https:/www.nextchapterfp.co.uk/" TargetMode="External"/><Relationship Id="rId1035" Type="http://schemas.openxmlformats.org/officeDocument/2006/relationships/hyperlink" Target="https://find-and-update.company-information.service.gov.uk/company/08107472/filing-history" TargetMode="External"/><Relationship Id="rId251" Type="http://schemas.openxmlformats.org/officeDocument/2006/relationships/hyperlink" Target="https://www.engagefs.co.uk/fees" TargetMode="External"/><Relationship Id="rId489" Type="http://schemas.openxmlformats.org/officeDocument/2006/relationships/hyperlink" Target="https://find-and-update.company-information.service.gov.uk/company/10956622/filing-history" TargetMode="External"/><Relationship Id="rId696" Type="http://schemas.openxmlformats.org/officeDocument/2006/relationships/hyperlink" Target="https://www.hrs-am.co.uk/fees-and-charges" TargetMode="External"/><Relationship Id="rId917" Type="http://schemas.openxmlformats.org/officeDocument/2006/relationships/hyperlink" Target="https://www.mwalimited.com/blank-2" TargetMode="External"/><Relationship Id="rId1102" Type="http://schemas.openxmlformats.org/officeDocument/2006/relationships/hyperlink" Target="https://www.tamassetmanagement.com/data/uploads/factsheets/active-balanced-q4-2025.pdf" TargetMode="External"/><Relationship Id="rId46" Type="http://schemas.openxmlformats.org/officeDocument/2006/relationships/hyperlink" Target="https://find-and-update.company-information.service.gov.uk/company/OC368475/filing-history" TargetMode="External"/><Relationship Id="rId349" Type="http://schemas.openxmlformats.org/officeDocument/2006/relationships/hyperlink" Target="https://find-and-update.company-information.service.gov.uk/company/04538689/filing-history" TargetMode="External"/><Relationship Id="rId556" Type="http://schemas.openxmlformats.org/officeDocument/2006/relationships/hyperlink" Target="https://find-and-update.company-information.service.gov.uk/company/SC237615/filing-history" TargetMode="External"/><Relationship Id="rId763" Type="http://schemas.openxmlformats.org/officeDocument/2006/relationships/hyperlink" Target="https://www.verusfp.co.uk/our-fees/" TargetMode="External"/><Relationship Id="rId111" Type="http://schemas.openxmlformats.org/officeDocument/2006/relationships/hyperlink" Target="http://www.jmfinn.com/" TargetMode="External"/><Relationship Id="rId195" Type="http://schemas.openxmlformats.org/officeDocument/2006/relationships/hyperlink" Target="https://balancewealth.uk/financial-planning/fees/" TargetMode="External"/><Relationship Id="rId209" Type="http://schemas.openxmlformats.org/officeDocument/2006/relationships/hyperlink" Target="https://find-and-update.company-information.service.gov.uk/company/SC054039/filing-history" TargetMode="External"/><Relationship Id="rId416" Type="http://schemas.openxmlformats.org/officeDocument/2006/relationships/hyperlink" Target="https://srcwealthmanagement.co.uk/how-we-work/" TargetMode="External"/><Relationship Id="rId970" Type="http://schemas.openxmlformats.org/officeDocument/2006/relationships/hyperlink" Target="https://find-and-update.company-information.service.gov.uk/company/01541630/filing-history" TargetMode="External"/><Relationship Id="rId1046" Type="http://schemas.openxmlformats.org/officeDocument/2006/relationships/hyperlink" Target="https://optimumpath.co.uk/fees/" TargetMode="External"/><Relationship Id="rId623" Type="http://schemas.openxmlformats.org/officeDocument/2006/relationships/hyperlink" Target="https://www.quilter.com/" TargetMode="External"/><Relationship Id="rId830" Type="http://schemas.openxmlformats.org/officeDocument/2006/relationships/hyperlink" Target="https://www.mosaacfinancial.uk/our-fees" TargetMode="External"/><Relationship Id="rId928" Type="http://schemas.openxmlformats.org/officeDocument/2006/relationships/hyperlink" Target="https://www.successionwealth.co.uk/about-us/our-fees" TargetMode="External"/><Relationship Id="rId57" Type="http://schemas.openxmlformats.org/officeDocument/2006/relationships/hyperlink" Target="https://find-and-update.company-information.service.gov.uk/company/04039296/filing-history" TargetMode="External"/><Relationship Id="rId262" Type="http://schemas.openxmlformats.org/officeDocument/2006/relationships/hyperlink" Target="https://find-and-update.company-information.service.gov.uk/company/SC327000/filing-history" TargetMode="External"/><Relationship Id="rId567" Type="http://schemas.openxmlformats.org/officeDocument/2006/relationships/hyperlink" Target="https://find-and-update.company-information.service.gov.uk/company/02355062/filing-history" TargetMode="External"/><Relationship Id="rId1113" Type="http://schemas.openxmlformats.org/officeDocument/2006/relationships/hyperlink" Target="https://downloads.spw.com/public/Factsheets/FS-GB00BJRSQM30.pdf" TargetMode="External"/><Relationship Id="rId122" Type="http://schemas.openxmlformats.org/officeDocument/2006/relationships/hyperlink" Target="http://www.saltus.co.uk/" TargetMode="External"/><Relationship Id="rId774" Type="http://schemas.openxmlformats.org/officeDocument/2006/relationships/hyperlink" Target="https://www.ascotlloyd.co.uk/our-service/fees/" TargetMode="External"/><Relationship Id="rId981" Type="http://schemas.openxmlformats.org/officeDocument/2006/relationships/hyperlink" Target="https://www.polearnold.co.uk/%20mattioliwoods" TargetMode="External"/><Relationship Id="rId1057" Type="http://schemas.openxmlformats.org/officeDocument/2006/relationships/hyperlink" Target="https://www.kymin.co.uk/" TargetMode="External"/><Relationship Id="rId427" Type="http://schemas.openxmlformats.org/officeDocument/2006/relationships/hyperlink" Target="https://titanpi.co.uk/wp-content/uploads/2026/01/Platform-Terms-of-Business.pdf" TargetMode="External"/><Relationship Id="rId634" Type="http://schemas.openxmlformats.org/officeDocument/2006/relationships/hyperlink" Target="https://www.rdsfinancial.co.uk/sites/rdsfinancial/files/2023-08/RDS-Terms-May-23.pdf" TargetMode="External"/><Relationship Id="rId841" Type="http://schemas.openxmlformats.org/officeDocument/2006/relationships/hyperlink" Target="https://find-and-update.company-information.service.gov.uk/company/10206285/filing-history" TargetMode="External"/><Relationship Id="rId273" Type="http://schemas.openxmlformats.org/officeDocument/2006/relationships/hyperlink" Target="https://find-and-update.company-information.service.gov.uk/company/10901658/filing-history" TargetMode="External"/><Relationship Id="rId480" Type="http://schemas.openxmlformats.org/officeDocument/2006/relationships/hyperlink" Target="https://www.blgwealth.com/wp-content/uploads/2023/07/Glossary-of-Terms-for-Consumers-2.pdf" TargetMode="External"/><Relationship Id="rId701" Type="http://schemas.openxmlformats.org/officeDocument/2006/relationships/hyperlink" Target="https://find-and-update.company-information.service.gov.uk/company/04505262/filing-history" TargetMode="External"/><Relationship Id="rId939" Type="http://schemas.openxmlformats.org/officeDocument/2006/relationships/hyperlink" Target="https://www.cosgrovepartnership.com/our-fees/" TargetMode="External"/><Relationship Id="rId1124" Type="http://schemas.openxmlformats.org/officeDocument/2006/relationships/hyperlink" Target="https://documentscdn.financialexpress.net/Literature/CE0DFBC06A6BFFF877F4227AEF0AEEBA/240066933.pdf" TargetMode="External"/><Relationship Id="rId68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33" Type="http://schemas.openxmlformats.org/officeDocument/2006/relationships/hyperlink" Target="https://burfieldfp.co.uk/charges/" TargetMode="External"/><Relationship Id="rId340" Type="http://schemas.openxmlformats.org/officeDocument/2006/relationships/hyperlink" Target="https://dalyhoggett.co.uk/wp-content/uploads/2025/08/FINANCIAL-PLANNING-SERVICES-STANDARD-TERMS-OF-BUSINESS-AUGUST-2025.pdf" TargetMode="External"/><Relationship Id="rId578" Type="http://schemas.openxmlformats.org/officeDocument/2006/relationships/hyperlink" Target="https://www.investaxlimited.co.uk/our-fees/" TargetMode="External"/><Relationship Id="rId785" Type="http://schemas.openxmlformats.org/officeDocument/2006/relationships/hyperlink" Target="https://find-and-update.company-information.service.gov.uk/company/07584487/filing-history" TargetMode="External"/><Relationship Id="rId992" Type="http://schemas.openxmlformats.org/officeDocument/2006/relationships/hyperlink" Target="https://www.cfp.energy/" TargetMode="External"/><Relationship Id="rId200" Type="http://schemas.openxmlformats.org/officeDocument/2006/relationships/hyperlink" Target="https://find-and-update.company-information.service.gov.uk/company/SC326258/filing-history" TargetMode="External"/><Relationship Id="rId438" Type="http://schemas.openxmlformats.org/officeDocument/2006/relationships/hyperlink" Target="https://trulyifa.co.uk/wp-content/uploads/2026/01/TIPS-Magazine-JanFeb-2026.pdf" TargetMode="External"/><Relationship Id="rId645" Type="http://schemas.openxmlformats.org/officeDocument/2006/relationships/hyperlink" Target="https://www.seedfp.co.uk/" TargetMode="External"/><Relationship Id="rId852" Type="http://schemas.openxmlformats.org/officeDocument/2006/relationships/hyperlink" Target="https://www.moneyfarm.com/uk/our-service/" TargetMode="External"/><Relationship Id="rId1068" Type="http://schemas.openxmlformats.org/officeDocument/2006/relationships/hyperlink" Target="https://www.octavefinancial.co.uk/" TargetMode="External"/><Relationship Id="rId284" Type="http://schemas.openxmlformats.org/officeDocument/2006/relationships/hyperlink" Target="https://find-and-update.company-information.service.gov.uk/company/03350281/filing-history" TargetMode="External"/><Relationship Id="rId491" Type="http://schemas.openxmlformats.org/officeDocument/2006/relationships/hyperlink" Target="https://www.cotonfinancial.co.uk/howpaid.php" TargetMode="External"/><Relationship Id="rId505" Type="http://schemas.openxmlformats.org/officeDocument/2006/relationships/hyperlink" Target="https://find-and-update.company-information.service.gov.uk/company/OC369632/filing-history" TargetMode="External"/><Relationship Id="rId712" Type="http://schemas.openxmlformats.org/officeDocument/2006/relationships/hyperlink" Target="https://find-and-update.company-information.service.gov.uk/company/10739796/filing-history" TargetMode="External"/><Relationship Id="rId1135" Type="http://schemas.openxmlformats.org/officeDocument/2006/relationships/hyperlink" Target="https://api.titanwh.com/assets/b9014520-1e54-4706-93da-5a2472bdef9a?" TargetMode="External"/><Relationship Id="rId79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44" Type="http://schemas.openxmlformats.org/officeDocument/2006/relationships/hyperlink" Target="https://hdwealth.com/" TargetMode="External"/><Relationship Id="rId589" Type="http://schemas.openxmlformats.org/officeDocument/2006/relationships/hyperlink" Target="https://www.labourse.co.uk/client-agreement/" TargetMode="External"/><Relationship Id="rId796" Type="http://schemas.openxmlformats.org/officeDocument/2006/relationships/hyperlink" Target="https://www.ascotlloyd.co.uk/" TargetMode="External"/><Relationship Id="rId351" Type="http://schemas.openxmlformats.org/officeDocument/2006/relationships/hyperlink" Target="https://gmtfs.co.uk/sites/default/files/clients/436/GMT-Important-Information-about%20our-Services-Nov-2021.pdf" TargetMode="External"/><Relationship Id="rId449" Type="http://schemas.openxmlformats.org/officeDocument/2006/relationships/hyperlink" Target="https://wiseinvestment.co.uk/wp-content/uploads/2023/06/Fee-Schedule-July23.pdf" TargetMode="External"/><Relationship Id="rId656" Type="http://schemas.openxmlformats.org/officeDocument/2006/relationships/hyperlink" Target="https://find-and-update.company-information.service.gov.uk/company/02280926/filing-history" TargetMode="External"/><Relationship Id="rId863" Type="http://schemas.openxmlformats.org/officeDocument/2006/relationships/hyperlink" Target="https://www.pensionpotential.co.uk/what-is-advice" TargetMode="External"/><Relationship Id="rId1079" Type="http://schemas.openxmlformats.org/officeDocument/2006/relationships/hyperlink" Target="https://styleinsurance.ifa-web.co.uk/" TargetMode="External"/><Relationship Id="rId211" Type="http://schemas.openxmlformats.org/officeDocument/2006/relationships/hyperlink" Target="https://www.penguinwealth.com/fees/" TargetMode="External"/><Relationship Id="rId295" Type="http://schemas.openxmlformats.org/officeDocument/2006/relationships/hyperlink" Target="https://www.kelvinfp.com/fees" TargetMode="External"/><Relationship Id="rId309" Type="http://schemas.openxmlformats.org/officeDocument/2006/relationships/hyperlink" Target="https://akfp.net/why-choose-us/our-fees/" TargetMode="External"/><Relationship Id="rId516" Type="http://schemas.openxmlformats.org/officeDocument/2006/relationships/hyperlink" Target="https://systemviewer.kiihub.com/documents/SMIT/G1OB_UnitedKingdom_EN-GB.pdf" TargetMode="External"/><Relationship Id="rId1146" Type="http://schemas.openxmlformats.org/officeDocument/2006/relationships/table" Target="../tables/table33.xml"/><Relationship Id="rId723" Type="http://schemas.openxmlformats.org/officeDocument/2006/relationships/hyperlink" Target="https://find-and-update.company-information.service.gov.uk/company/05234265/filing-history" TargetMode="External"/><Relationship Id="rId930" Type="http://schemas.openxmlformats.org/officeDocument/2006/relationships/hyperlink" Target="https://www.successionwealth.co.uk/about-us/our-fees" TargetMode="External"/><Relationship Id="rId1006" Type="http://schemas.openxmlformats.org/officeDocument/2006/relationships/hyperlink" Target="https://protean-capital.com/" TargetMode="External"/><Relationship Id="rId155" Type="http://schemas.openxmlformats.org/officeDocument/2006/relationships/hyperlink" Target="https://find-and-update.company-information.service.gov.uk/company/09707423/filing-history" TargetMode="External"/><Relationship Id="rId362" Type="http://schemas.openxmlformats.org/officeDocument/2006/relationships/hyperlink" Target="https://gsigroup.co.uk/our-service-proposition/" TargetMode="External"/><Relationship Id="rId222" Type="http://schemas.openxmlformats.org/officeDocument/2006/relationships/hyperlink" Target="https://nottpybus-co-uk.stackstaging.com/wp-content/uploads/2020/11/NP-TCs-1.11.20.pdf" TargetMode="External"/><Relationship Id="rId667" Type="http://schemas.openxmlformats.org/officeDocument/2006/relationships/hyperlink" Target="https://www.sterlingandlaw.com/about-sterling-and-law/how-we-are-paid/" TargetMode="External"/><Relationship Id="rId874" Type="http://schemas.openxmlformats.org/officeDocument/2006/relationships/hyperlink" Target="https://find-and-update.company-information.service.gov.uk/company/10616529/filing-history" TargetMode="External"/><Relationship Id="rId17" Type="http://schemas.openxmlformats.org/officeDocument/2006/relationships/hyperlink" Target="https://www.sc.com/" TargetMode="External"/><Relationship Id="rId527" Type="http://schemas.openxmlformats.org/officeDocument/2006/relationships/hyperlink" Target="https://systemviewer.kiihub.com/documents/SMIT/G1OB_UnitedKingdom_EN-GB.pdf" TargetMode="External"/><Relationship Id="rId734" Type="http://schemas.openxmlformats.org/officeDocument/2006/relationships/hyperlink" Target="https://find-and-update.company-information.service.gov.uk/company/12088933/filing-history" TargetMode="External"/><Relationship Id="rId941" Type="http://schemas.openxmlformats.org/officeDocument/2006/relationships/hyperlink" Target="http://www.mpwealth.co.uk/" TargetMode="External"/><Relationship Id="rId70" Type="http://schemas.openxmlformats.org/officeDocument/2006/relationships/hyperlink" Target="http://www.amberriver.com/sw" TargetMode="External"/><Relationship Id="rId166" Type="http://schemas.openxmlformats.org/officeDocument/2006/relationships/hyperlink" Target="https://www.wbbaxter.co.uk/" TargetMode="External"/><Relationship Id="rId373" Type="http://schemas.openxmlformats.org/officeDocument/2006/relationships/hyperlink" Target="https://find-and-update.company-information.service.gov.uk/company/05419866/filing-history" TargetMode="External"/><Relationship Id="rId580" Type="http://schemas.openxmlformats.org/officeDocument/2006/relationships/hyperlink" Target="https://www.investing-ethically.co.uk/new-wordpress/wp-content/uploads/2024/01/investing-ethically-client-fee-agreement-v11-march-2023-st0072.pdf" TargetMode="External"/><Relationship Id="rId801" Type="http://schemas.openxmlformats.org/officeDocument/2006/relationships/hyperlink" Target="https://register.fca.org.uk/s/firm?id=0010X000046DIxEQAW" TargetMode="External"/><Relationship Id="rId1017" Type="http://schemas.openxmlformats.org/officeDocument/2006/relationships/hyperlink" Target="https://www.archytas-strategic.com/" TargetMode="External"/><Relationship Id="rId1" Type="http://schemas.openxmlformats.org/officeDocument/2006/relationships/hyperlink" Target="https://www.wildinaccountants.co.uk/" TargetMode="External"/><Relationship Id="rId233" Type="http://schemas.openxmlformats.org/officeDocument/2006/relationships/hyperlink" Target="https://www.middletonprivatecapital.co.uk/fees-charges/" TargetMode="External"/><Relationship Id="rId440" Type="http://schemas.openxmlformats.org/officeDocument/2006/relationships/hyperlink" Target="https://wakeupyourwealth.com/wp-content/uploads/2024/04/TOB-with-SA-Jan-2024-1.pdf" TargetMode="External"/><Relationship Id="rId678" Type="http://schemas.openxmlformats.org/officeDocument/2006/relationships/hyperlink" Target="https://www.watsonfrench.co.uk/2022/12/19/terms-and-conditions/" TargetMode="External"/><Relationship Id="rId885" Type="http://schemas.openxmlformats.org/officeDocument/2006/relationships/hyperlink" Target="http://www.chasedevere.co.uk/" TargetMode="External"/><Relationship Id="rId1070" Type="http://schemas.openxmlformats.org/officeDocument/2006/relationships/hyperlink" Target="https://www.pfgl.co.uk/pcel" TargetMode="External"/><Relationship Id="rId28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300" Type="http://schemas.openxmlformats.org/officeDocument/2006/relationships/hyperlink" Target="https://find-and-update.company-information.service.gov.uk/company/08385518/filing-history" TargetMode="External"/><Relationship Id="rId538" Type="http://schemas.openxmlformats.org/officeDocument/2006/relationships/hyperlink" Target="https://find-and-update.company-information.service.gov.uk/company/06121251/filing-history" TargetMode="External"/><Relationship Id="rId745" Type="http://schemas.openxmlformats.org/officeDocument/2006/relationships/hyperlink" Target="https://find-and-update.company-information.service.gov.uk/company/04421513/filing-history" TargetMode="External"/><Relationship Id="rId952" Type="http://schemas.openxmlformats.org/officeDocument/2006/relationships/hyperlink" Target="https://polariswealth.co.uk/fees/" TargetMode="External"/><Relationship Id="rId81" Type="http://schemas.openxmlformats.org/officeDocument/2006/relationships/hyperlink" Target="https://find-and-update.company-information.service.gov.uk/company/04806442/filing-history" TargetMode="External"/><Relationship Id="rId177" Type="http://schemas.openxmlformats.org/officeDocument/2006/relationships/hyperlink" Target="https://find-and-update.company-information.service.gov.uk/company/10740028/filing-history" TargetMode="External"/><Relationship Id="rId384" Type="http://schemas.openxmlformats.org/officeDocument/2006/relationships/hyperlink" Target="https://norfolkandsuffolk.co.uk/wp-content/uploads/2023/09/What-we-do-and-what-we-charge.pdf" TargetMode="External"/><Relationship Id="rId591" Type="http://schemas.openxmlformats.org/officeDocument/2006/relationships/hyperlink" Target="http://www.holbeinpartners.com/" TargetMode="External"/><Relationship Id="rId605" Type="http://schemas.openxmlformats.org/officeDocument/2006/relationships/hyperlink" Target="https://www.natwest.com/investments/five-ready-made-funds.html" TargetMode="External"/><Relationship Id="rId812" Type="http://schemas.openxmlformats.org/officeDocument/2006/relationships/hyperlink" Target="https://find-and-update.company-information.service.gov.uk/company/SC107284/filing-history" TargetMode="External"/><Relationship Id="rId1028" Type="http://schemas.openxmlformats.org/officeDocument/2006/relationships/hyperlink" Target="http://www.cartwright.co.uk/" TargetMode="External"/><Relationship Id="rId244" Type="http://schemas.openxmlformats.org/officeDocument/2006/relationships/hyperlink" Target="https://find-and-update.company-information.service.gov.uk/company/01499679/filing-history" TargetMode="External"/><Relationship Id="rId689" Type="http://schemas.openxmlformats.org/officeDocument/2006/relationships/hyperlink" Target="https://lanyonfp.com/fees/" TargetMode="External"/><Relationship Id="rId896" Type="http://schemas.openxmlformats.org/officeDocument/2006/relationships/hyperlink" Target="https://find-and-update.company-information.service.gov.uk/company/01448919/filing-history" TargetMode="External"/><Relationship Id="rId1081" Type="http://schemas.openxmlformats.org/officeDocument/2006/relationships/hyperlink" Target="https://www.saltus.co.uk/partnership-programme" TargetMode="External"/><Relationship Id="rId39" Type="http://schemas.openxmlformats.org/officeDocument/2006/relationships/hyperlink" Target="https://find-and-update.company-information.service.gov.uk/company/02190964/filing-history" TargetMode="External"/><Relationship Id="rId451" Type="http://schemas.openxmlformats.org/officeDocument/2006/relationships/hyperlink" Target="http://www.excelwealth.co.uk/" TargetMode="External"/><Relationship Id="rId549" Type="http://schemas.openxmlformats.org/officeDocument/2006/relationships/hyperlink" Target="https://www.heathcotefp.co.uk/our-fees/" TargetMode="External"/><Relationship Id="rId756" Type="http://schemas.openxmlformats.org/officeDocument/2006/relationships/hyperlink" Target="https://find-and-update.company-information.service.gov.uk/company/11686218/filing-history" TargetMode="External"/><Relationship Id="rId104" Type="http://schemas.openxmlformats.org/officeDocument/2006/relationships/hyperlink" Target="https://www.privatebank.citibank.com/ivc/docs/cpwm-regulation-best-interest.pdf" TargetMode="External"/><Relationship Id="rId188" Type="http://schemas.openxmlformats.org/officeDocument/2006/relationships/hyperlink" Target="https://find-and-update.company-information.service.gov.uk/company/01140032/filing-history" TargetMode="External"/><Relationship Id="rId311" Type="http://schemas.openxmlformats.org/officeDocument/2006/relationships/hyperlink" Target="https://aspireonline.co.uk/sites/default/files/clients/130/0623-Client-Proposition.pdf" TargetMode="External"/><Relationship Id="rId395" Type="http://schemas.openxmlformats.org/officeDocument/2006/relationships/hyperlink" Target="https://find-and-update.company-information.service.gov.uk/company/06582775/filing-history" TargetMode="External"/><Relationship Id="rId409" Type="http://schemas.openxmlformats.org/officeDocument/2006/relationships/hyperlink" Target="https://www.valu-trac.com/administration-services/clients/esprit/tb/VT%20Esprit%20Tactical%20Balanced%20-%20February%202026.pdf" TargetMode="External"/><Relationship Id="rId963" Type="http://schemas.openxmlformats.org/officeDocument/2006/relationships/hyperlink" Target="https://find-and-update.company-information.service.gov.uk/company/02943300/filing-history" TargetMode="External"/><Relationship Id="rId1039" Type="http://schemas.openxmlformats.org/officeDocument/2006/relationships/hyperlink" Target="https://www.thereviewbusiness.co.uk/" TargetMode="External"/><Relationship Id="rId92" Type="http://schemas.openxmlformats.org/officeDocument/2006/relationships/hyperlink" Target="https://www.tamassetmanagement.com/data/uploads/factsheets/active-balanced-q4-2025.pdf" TargetMode="External"/><Relationship Id="rId616" Type="http://schemas.openxmlformats.org/officeDocument/2006/relationships/hyperlink" Target="https://www.personalinvesting.jpmorgan.com/legal/schedule-of-fees-and-charges" TargetMode="External"/><Relationship Id="rId823" Type="http://schemas.openxmlformats.org/officeDocument/2006/relationships/hyperlink" Target="https://www.privatebank.citibank.com/ivc/docs/cpwm-regulation-best-interest.pdf" TargetMode="External"/><Relationship Id="rId255" Type="http://schemas.openxmlformats.org/officeDocument/2006/relationships/hyperlink" Target="https://oakprivatewealth.com/fees-and-charges/" TargetMode="External"/><Relationship Id="rId462" Type="http://schemas.openxmlformats.org/officeDocument/2006/relationships/hyperlink" Target="https://register.fca.org.uk/s/firm?id=001b000000Mfbv9AAB" TargetMode="External"/><Relationship Id="rId1092" Type="http://schemas.openxmlformats.org/officeDocument/2006/relationships/hyperlink" Target="https://www.tamassetmanagement.com/data/uploads/factsheets/active-balanced-q4-2025.pdf" TargetMode="External"/><Relationship Id="rId1106" Type="http://schemas.openxmlformats.org/officeDocument/2006/relationships/hyperlink" Target="https://www.saltus.co.uk/managed-portfolio-service/portfolio-service" TargetMode="External"/><Relationship Id="rId115" Type="http://schemas.openxmlformats.org/officeDocument/2006/relationships/hyperlink" Target="https://goodmoneyguide.com/investing/wealth-management/?utm_source=copilot.com" TargetMode="External"/><Relationship Id="rId322" Type="http://schemas.openxmlformats.org/officeDocument/2006/relationships/hyperlink" Target="https://cdn.simplyplatform.co.uk/wp-content/uploads/sites/322/2022/08/03102639/13363_-_Responsible_Wealth_Client_Brochure_v14_PR-20.7.22-compressed.pdf" TargetMode="External"/><Relationship Id="rId767" Type="http://schemas.openxmlformats.org/officeDocument/2006/relationships/hyperlink" Target="https://find-and-update.company-information.service.gov.uk/company/03370019/filing-history" TargetMode="External"/><Relationship Id="rId974" Type="http://schemas.openxmlformats.org/officeDocument/2006/relationships/hyperlink" Target="https://www.londonandcapital.com/?utm_medium=referral&amp;utm_source=financialadvisers.co.uk" TargetMode="External"/><Relationship Id="rId199" Type="http://schemas.openxmlformats.org/officeDocument/2006/relationships/hyperlink" Target="https://www.begleybrown.co.uk/fees/" TargetMode="External"/><Relationship Id="rId627" Type="http://schemas.openxmlformats.org/officeDocument/2006/relationships/hyperlink" Target="https://find-and-update.company-information.service.gov.uk/company/04500273/filing-history" TargetMode="External"/><Relationship Id="rId834" Type="http://schemas.openxmlformats.org/officeDocument/2006/relationships/hyperlink" Target="https://find-and-update.company-information.service.gov.uk/company/08716953/filing-history" TargetMode="External"/><Relationship Id="rId266" Type="http://schemas.openxmlformats.org/officeDocument/2006/relationships/hyperlink" Target="https://www.brewin.co.uk/wp-content/uploads/sites/10/2023/10/RBC-Brewin-Dolphin-MPS-factsheet-Balanced.pdf" TargetMode="External"/><Relationship Id="rId473" Type="http://schemas.openxmlformats.org/officeDocument/2006/relationships/hyperlink" Target="https://www.bestpractice.co.uk/" TargetMode="External"/><Relationship Id="rId680" Type="http://schemas.openxmlformats.org/officeDocument/2006/relationships/hyperlink" Target="https://www.wellsgibson.uk/wp-content/uploads/2022/10/202209_WG_Terms-of-Business_Final.pdf" TargetMode="External"/><Relationship Id="rId901" Type="http://schemas.openxmlformats.org/officeDocument/2006/relationships/hyperlink" Target="https://www.equilibrium.co.uk/" TargetMode="External"/><Relationship Id="rId1117" Type="http://schemas.openxmlformats.org/officeDocument/2006/relationships/hyperlink" Target="https://www.quilter.com/documents/?filters=116434" TargetMode="External"/><Relationship Id="rId30" Type="http://schemas.openxmlformats.org/officeDocument/2006/relationships/hyperlink" Target="https://find-and-update.company-information.service.gov.uk/company/01998413/filing-history" TargetMode="External"/><Relationship Id="rId126" Type="http://schemas.openxmlformats.org/officeDocument/2006/relationships/hyperlink" Target="https://www.saltus.co.uk/" TargetMode="External"/><Relationship Id="rId333" Type="http://schemas.openxmlformats.org/officeDocument/2006/relationships/hyperlink" Target="https://corrigans.co.uk/wp-content/uploads/2025/12/Service-Agreement-25.pdf" TargetMode="External"/><Relationship Id="rId540" Type="http://schemas.openxmlformats.org/officeDocument/2006/relationships/hyperlink" Target="https://find-and-update.company-information.service.gov.uk/company/03029164/filing-history" TargetMode="External"/><Relationship Id="rId778" Type="http://schemas.openxmlformats.org/officeDocument/2006/relationships/hyperlink" Target="https://find-and-update.company-information.service.gov.uk/company/07584487/filing-history" TargetMode="External"/><Relationship Id="rId985" Type="http://schemas.openxmlformats.org/officeDocument/2006/relationships/hyperlink" Target="http://www.abovewealth.com/" TargetMode="External"/><Relationship Id="rId638" Type="http://schemas.openxmlformats.org/officeDocument/2006/relationships/hyperlink" Target="https://www.rosan-ifa.com/wp-content/uploads/2025/04/Client-Agreement-2025.pdf" TargetMode="External"/><Relationship Id="rId845" Type="http://schemas.openxmlformats.org/officeDocument/2006/relationships/hyperlink" Target="https://www.valu-trac.com/administration-services/clients/esprit/tb/VT%20Esprit%20Tactical%20Balanced%20-%20February%202026.pdf" TargetMode="External"/><Relationship Id="rId1030" Type="http://schemas.openxmlformats.org/officeDocument/2006/relationships/hyperlink" Target="http://www.clarityifa.com/" TargetMode="External"/><Relationship Id="rId277" Type="http://schemas.openxmlformats.org/officeDocument/2006/relationships/hyperlink" Target="https://documentscdn.financialexpress.net/Literature/DDCAFD58A057F2264C9D86785D397395/236968115.pdf" TargetMode="External"/><Relationship Id="rId400" Type="http://schemas.openxmlformats.org/officeDocument/2006/relationships/hyperlink" Target="https://shackletonadvisers.co.uk/why-were-different/fair-and-transparent-charges/" TargetMode="External"/><Relationship Id="rId484" Type="http://schemas.openxmlformats.org/officeDocument/2006/relationships/hyperlink" Target="https://find-and-update.company-information.service.gov.uk/company/02017052/filing-history" TargetMode="External"/><Relationship Id="rId705" Type="http://schemas.openxmlformats.org/officeDocument/2006/relationships/hyperlink" Target="https://modernmoney.co.uk/clientforms/Modern_Money_Client_Service_Agreement.pdf" TargetMode="External"/><Relationship Id="rId1128" Type="http://schemas.openxmlformats.org/officeDocument/2006/relationships/hyperlink" Target="https://www.saltus.co.uk/managed-portfolio-service/portfolio-service" TargetMode="External"/><Relationship Id="rId137" Type="http://schemas.openxmlformats.org/officeDocument/2006/relationships/hyperlink" Target="https://find-and-update.company-information.service.gov.uk/company/14159023/filing-history" TargetMode="External"/><Relationship Id="rId344" Type="http://schemas.openxmlformats.org/officeDocument/2006/relationships/hyperlink" Target="https://find-and-update.company-information.service.gov.uk/company/01651212/filing-history" TargetMode="External"/><Relationship Id="rId691" Type="http://schemas.openxmlformats.org/officeDocument/2006/relationships/hyperlink" Target="https://www.levenwealth.co.uk/" TargetMode="External"/><Relationship Id="rId789" Type="http://schemas.openxmlformats.org/officeDocument/2006/relationships/hyperlink" Target="https://www.ascotlloyd.co.uk/" TargetMode="External"/><Relationship Id="rId912" Type="http://schemas.openxmlformats.org/officeDocument/2006/relationships/hyperlink" Target="https://find-and-update.company-information.service.gov.uk/company/14289345" TargetMode="External"/><Relationship Id="rId996" Type="http://schemas.openxmlformats.org/officeDocument/2006/relationships/hyperlink" Target="http://www.charcol.co.uk/" TargetMode="External"/><Relationship Id="rId41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551" Type="http://schemas.openxmlformats.org/officeDocument/2006/relationships/hyperlink" Target="https://register.fca.org.uk/s/firm?id=001b000000MfFfKAAV" TargetMode="External"/><Relationship Id="rId649" Type="http://schemas.openxmlformats.org/officeDocument/2006/relationships/hyperlink" Target="https://www.londonstockexchange.com/news-article/SG52/annual-financial-report/17465483" TargetMode="External"/><Relationship Id="rId856" Type="http://schemas.openxmlformats.org/officeDocument/2006/relationships/hyperlink" Target="https://www.moneo-ifa.co.uk/our-services-1" TargetMode="External"/><Relationship Id="rId190" Type="http://schemas.openxmlformats.org/officeDocument/2006/relationships/hyperlink" Target="https://aretianwealth.co.uk/fees/" TargetMode="External"/><Relationship Id="rId204" Type="http://schemas.openxmlformats.org/officeDocument/2006/relationships/hyperlink" Target="https://citygatefp.co.uk/fees/" TargetMode="External"/><Relationship Id="rId288" Type="http://schemas.openxmlformats.org/officeDocument/2006/relationships/hyperlink" Target="https://find-and-update.company-information.service.gov.uk/company/OC320661/filing-history" TargetMode="External"/><Relationship Id="rId411" Type="http://schemas.openxmlformats.org/officeDocument/2006/relationships/hyperlink" Target="https://www.valu-trac.com/administration-services/clients/esprit/tb/VT%20Esprit%20Tactical%20Balanced%20-%20February%202026.pdf" TargetMode="External"/><Relationship Id="rId509" Type="http://schemas.openxmlformats.org/officeDocument/2006/relationships/hyperlink" Target="https://www.evelyn.com/fees-charges/" TargetMode="External"/><Relationship Id="rId1041" Type="http://schemas.openxmlformats.org/officeDocument/2006/relationships/hyperlink" Target="https://www.faradayfinancial.co.uk/" TargetMode="External"/><Relationship Id="rId1139" Type="http://schemas.openxmlformats.org/officeDocument/2006/relationships/hyperlink" Target="https://www.saltus.co.uk/managed-portfolio-service/portfolio-service" TargetMode="External"/><Relationship Id="rId495" Type="http://schemas.openxmlformats.org/officeDocument/2006/relationships/hyperlink" Target="https://www.createwealth.co.uk/about/fees/" TargetMode="External"/><Relationship Id="rId716" Type="http://schemas.openxmlformats.org/officeDocument/2006/relationships/hyperlink" Target="https://www.brigroup.co.uk/" TargetMode="External"/><Relationship Id="rId923" Type="http://schemas.openxmlformats.org/officeDocument/2006/relationships/hyperlink" Target="https://www.avivainvestors.com/en-gb/capabilities/multi-asset-macro/multi-asset-core-fund-iii/gb00bmgwh353-gbp/" TargetMode="External"/><Relationship Id="rId52" Type="http://schemas.openxmlformats.org/officeDocument/2006/relationships/hyperlink" Target="https://find-and-update.company-information.service.gov.uk/company/OC368475/filing-history" TargetMode="External"/><Relationship Id="rId148" Type="http://schemas.openxmlformats.org/officeDocument/2006/relationships/hyperlink" Target="https://find-and-update.company-information.service.gov.uk/company/03637689/filing-history" TargetMode="External"/><Relationship Id="rId355" Type="http://schemas.openxmlformats.org/officeDocument/2006/relationships/hyperlink" Target="https://find-and-update.company-information.service.gov.uk/company/05126341/filing-history" TargetMode="External"/><Relationship Id="rId562" Type="http://schemas.openxmlformats.org/officeDocument/2006/relationships/hyperlink" Target="https://www.hfmcwealth.com/wp-content/uploads/2025/02/HFMC-Important-Information-2025.pdf" TargetMode="External"/><Relationship Id="rId215" Type="http://schemas.openxmlformats.org/officeDocument/2006/relationships/hyperlink" Target="https://gag-ltd.com/fees/" TargetMode="External"/><Relationship Id="rId422" Type="http://schemas.openxmlformats.org/officeDocument/2006/relationships/hyperlink" Target="https://find-and-update.company-information.service.gov.uk/company/02024206/filing-history" TargetMode="External"/><Relationship Id="rId867" Type="http://schemas.openxmlformats.org/officeDocument/2006/relationships/hyperlink" Target="https://find-and-update.company-information.service.gov.uk/company/11261607" TargetMode="External"/><Relationship Id="rId1052" Type="http://schemas.openxmlformats.org/officeDocument/2006/relationships/hyperlink" Target="https://www.valu-trac.com/administration-services/clients/esprit/tb/VT%20Esprit%20Tactical%20Balanced%20-%20February%202026.pdf" TargetMode="External"/><Relationship Id="rId299" Type="http://schemas.openxmlformats.org/officeDocument/2006/relationships/hyperlink" Target="https://www.blue-spire.com/how-you-pay-for-our-advice/" TargetMode="External"/><Relationship Id="rId727" Type="http://schemas.openxmlformats.org/officeDocument/2006/relationships/hyperlink" Target="https://find-and-update.company-information.service.gov.uk/company/03621676/filing-history" TargetMode="External"/><Relationship Id="rId934" Type="http://schemas.openxmlformats.org/officeDocument/2006/relationships/hyperlink" Target="https://www.callabas.com/fees/" TargetMode="External"/><Relationship Id="rId63" Type="http://schemas.openxmlformats.org/officeDocument/2006/relationships/hyperlink" Target="https://www.tamassetmanagement.com/data/uploads/factsheets/active-balanced-q4-2025.pdf" TargetMode="External"/><Relationship Id="rId159" Type="http://schemas.openxmlformats.org/officeDocument/2006/relationships/hyperlink" Target="https://find-and-update.company-information.service.gov.uk/company/02486396/filing-history" TargetMode="External"/><Relationship Id="rId366" Type="http://schemas.openxmlformats.org/officeDocument/2006/relationships/hyperlink" Target="https://hhfm.co.uk/our-fees/" TargetMode="External"/><Relationship Id="rId573" Type="http://schemas.openxmlformats.org/officeDocument/2006/relationships/hyperlink" Target="https://www.holden-partners.co.uk/" TargetMode="External"/><Relationship Id="rId780" Type="http://schemas.openxmlformats.org/officeDocument/2006/relationships/hyperlink" Target="https://www.ascotlloyd.co.uk/our-service/fees/" TargetMode="External"/><Relationship Id="rId226" Type="http://schemas.openxmlformats.org/officeDocument/2006/relationships/hyperlink" Target="https://sweenywealth.co.uk/fees/" TargetMode="External"/><Relationship Id="rId433" Type="http://schemas.openxmlformats.org/officeDocument/2006/relationships/hyperlink" Target="https://www.titanwci.com/media/ungdd0wj/priips-kid-balanced-usd-s-acc.pdf" TargetMode="External"/><Relationship Id="rId878" Type="http://schemas.openxmlformats.org/officeDocument/2006/relationships/hyperlink" Target="https://roxboro.co.uk/pricing/" TargetMode="External"/><Relationship Id="rId1063" Type="http://schemas.openxmlformats.org/officeDocument/2006/relationships/hyperlink" Target="https://www.michaelforward.co.uk/" TargetMode="External"/><Relationship Id="rId640" Type="http://schemas.openxmlformats.org/officeDocument/2006/relationships/hyperlink" Target="https://www.salisbury.co.uk/" TargetMode="External"/><Relationship Id="rId738" Type="http://schemas.openxmlformats.org/officeDocument/2006/relationships/hyperlink" Target="https://find-and-update.company-information.service.gov.uk/company/08351329/filing-history" TargetMode="External"/><Relationship Id="rId945" Type="http://schemas.openxmlformats.org/officeDocument/2006/relationships/hyperlink" Target="https://find-and-update.company-information.service.gov.uk/company/10722496/filing-history" TargetMode="External"/><Relationship Id="rId74" Type="http://schemas.openxmlformats.org/officeDocument/2006/relationships/hyperlink" Target="http://www.amberriver.com/midlands" TargetMode="External"/><Relationship Id="rId377" Type="http://schemas.openxmlformats.org/officeDocument/2006/relationships/hyperlink" Target="https://find-and-update.company-information.service.gov.uk/company/04371002/filing-history" TargetMode="External"/><Relationship Id="rId500" Type="http://schemas.openxmlformats.org/officeDocument/2006/relationships/hyperlink" Target="http://www.estatecapital.co.uk/" TargetMode="External"/><Relationship Id="rId584" Type="http://schemas.openxmlformats.org/officeDocument/2006/relationships/hyperlink" Target="https://www.kdw.co.uk/assets/downloads/client-agreement-2023.pdf" TargetMode="External"/><Relationship Id="rId805" Type="http://schemas.openxmlformats.org/officeDocument/2006/relationships/hyperlink" Target="https://www.empowerpartners.co.uk/our-fees" TargetMode="External"/><Relationship Id="rId1130" Type="http://schemas.openxmlformats.org/officeDocument/2006/relationships/hyperlink" Target="https://www.saltus.co.uk/managed-portfolio-service/portfolio-service" TargetMode="External"/><Relationship Id="rId5" Type="http://schemas.openxmlformats.org/officeDocument/2006/relationships/hyperlink" Target="https://downloads.ctfassets.net/qqwro44pe5rn/1iT24gWOKDoRri9Jnd2gBb/fe595b97333915aae525d1b4882b9e5e/301000020_Law_Society_Services_and_Fees_Brochure_digital_v6_VA.pdf" TargetMode="External"/><Relationship Id="rId237" Type="http://schemas.openxmlformats.org/officeDocument/2006/relationships/hyperlink" Target="https://find-and-update.company-information.service.gov.uk/company/08926661/filing-history" TargetMode="External"/><Relationship Id="rId791" Type="http://schemas.openxmlformats.org/officeDocument/2006/relationships/hyperlink" Target="https://find-and-update.company-information.service.gov.uk/company/07584487/filing-history" TargetMode="External"/><Relationship Id="rId889" Type="http://schemas.openxmlformats.org/officeDocument/2006/relationships/hyperlink" Target="https://find-and-update.company-information.service.gov.uk/company/02090838/filing-history" TargetMode="External"/><Relationship Id="rId1074" Type="http://schemas.openxmlformats.org/officeDocument/2006/relationships/hyperlink" Target="https://savvywealth.wales/" TargetMode="External"/><Relationship Id="rId444" Type="http://schemas.openxmlformats.org/officeDocument/2006/relationships/hyperlink" Target="https://www.wealth-matters.co.uk/" TargetMode="External"/><Relationship Id="rId651" Type="http://schemas.openxmlformats.org/officeDocument/2006/relationships/hyperlink" Target="https://find-and-update.company-information.service.gov.uk/company/04479650/filing-history" TargetMode="External"/><Relationship Id="rId749" Type="http://schemas.openxmlformats.org/officeDocument/2006/relationships/hyperlink" Target="https://macbethscottinvestments.co.uk/about/our-fees/" TargetMode="External"/><Relationship Id="rId290" Type="http://schemas.openxmlformats.org/officeDocument/2006/relationships/hyperlink" Target="https://find-and-update.company-information.service.gov.uk/company/13162956/filing-history" TargetMode="External"/><Relationship Id="rId304" Type="http://schemas.openxmlformats.org/officeDocument/2006/relationships/hyperlink" Target="https://www.atkinsbland.co.uk/" TargetMode="External"/><Relationship Id="rId388" Type="http://schemas.openxmlformats.org/officeDocument/2006/relationships/hyperlink" Target="https://find-and-update.company-information.service.gov.uk/company/13205258/filing-history" TargetMode="External"/><Relationship Id="rId511" Type="http://schemas.openxmlformats.org/officeDocument/2006/relationships/hyperlink" Target="https://find-and-update.company-information.service.gov.uk/company/OC369632/filing-history" TargetMode="External"/><Relationship Id="rId609" Type="http://schemas.openxmlformats.org/officeDocument/2006/relationships/hyperlink" Target="https://www.natwest.com/premier-banking/financial-advice/investment-advice.html" TargetMode="External"/><Relationship Id="rId956" Type="http://schemas.openxmlformats.org/officeDocument/2006/relationships/hyperlink" Target="https://luminwealth.co.uk/value-of-our-expertise/" TargetMode="External"/><Relationship Id="rId1141" Type="http://schemas.openxmlformats.org/officeDocument/2006/relationships/hyperlink" Target="https://www.personalinvesting.jpmorgan.com/legal/schedule-of-fees-and-charges" TargetMode="External"/><Relationship Id="rId85" Type="http://schemas.openxmlformats.org/officeDocument/2006/relationships/hyperlink" Target="http://www.amberriver.com/" TargetMode="External"/><Relationship Id="rId150" Type="http://schemas.openxmlformats.org/officeDocument/2006/relationships/hyperlink" Target="https://www.pfaoffice.co.uk/investment/" TargetMode="External"/><Relationship Id="rId595" Type="http://schemas.openxmlformats.org/officeDocument/2006/relationships/hyperlink" Target="https://find-and-update.company-information.service.gov.uk/company/08013456/filing-history" TargetMode="External"/><Relationship Id="rId816" Type="http://schemas.openxmlformats.org/officeDocument/2006/relationships/hyperlink" Target="https://fivepointconsulting.co.uk/how-we-work/our-fees/" TargetMode="External"/><Relationship Id="rId1001" Type="http://schemas.openxmlformats.org/officeDocument/2006/relationships/hyperlink" Target="https://mcdowellfs.com/" TargetMode="External"/><Relationship Id="rId248" Type="http://schemas.openxmlformats.org/officeDocument/2006/relationships/hyperlink" Target="https://find-and-update.company-information.service.gov.uk/company/10080134/filing-history" TargetMode="External"/><Relationship Id="rId455" Type="http://schemas.openxmlformats.org/officeDocument/2006/relationships/hyperlink" Target="https://www.aegon.co.uk/content/dam/auk/assets/publication/marketing-support/afp-overview-of-charges.pdf" TargetMode="External"/><Relationship Id="rId662" Type="http://schemas.openxmlformats.org/officeDocument/2006/relationships/hyperlink" Target="https://downloads.spw.com/public/Factsheets/FS-GB00BJRSQM30.pdf" TargetMode="External"/><Relationship Id="rId1085" Type="http://schemas.openxmlformats.org/officeDocument/2006/relationships/hyperlink" Target="https://www.octopusmoney.com/" TargetMode="External"/><Relationship Id="rId12" Type="http://schemas.openxmlformats.org/officeDocument/2006/relationships/hyperlink" Target="https://find-and-update.company-information.service.gov.uk/company/08590046" TargetMode="External"/><Relationship Id="rId108" Type="http://schemas.openxmlformats.org/officeDocument/2006/relationships/hyperlink" Target="https://www.amberriver.com/cm" TargetMode="External"/><Relationship Id="rId315" Type="http://schemas.openxmlformats.org/officeDocument/2006/relationships/hyperlink" Target="https://baronandgrant.com/services/" TargetMode="External"/><Relationship Id="rId522" Type="http://schemas.openxmlformats.org/officeDocument/2006/relationships/hyperlink" Target="https://systemviewer.kiihub.com/documents/SMIT/G1OB_UnitedKingdom_EN-GB.pdf" TargetMode="External"/><Relationship Id="rId967" Type="http://schemas.openxmlformats.org/officeDocument/2006/relationships/hyperlink" Target="https://find-and-update.company-information.service.gov.uk/company/10550096/filing-history" TargetMode="External"/><Relationship Id="rId96" Type="http://schemas.openxmlformats.org/officeDocument/2006/relationships/hyperlink" Target="http://www.amberriver.com/" TargetMode="External"/><Relationship Id="rId161" Type="http://schemas.openxmlformats.org/officeDocument/2006/relationships/hyperlink" Target="https://www.insightifa.com/wp-content/uploads/2023/07/Client-Agreement-Insight-IFA-July-23.pdf" TargetMode="External"/><Relationship Id="rId399" Type="http://schemas.openxmlformats.org/officeDocument/2006/relationships/hyperlink" Target="https://www.valu-trac.com/administration-services/clients/esprit/tb/VT%20Esprit%20Tactical%20Balanced%20-%20February%202026.pdf" TargetMode="External"/><Relationship Id="rId827" Type="http://schemas.openxmlformats.org/officeDocument/2006/relationships/hyperlink" Target="https://find-and-update.company-information.service.gov.uk/company/NI628209/filing-history" TargetMode="External"/><Relationship Id="rId1012" Type="http://schemas.openxmlformats.org/officeDocument/2006/relationships/hyperlink" Target="http://www.uk.kfh.com/" TargetMode="External"/><Relationship Id="rId259" Type="http://schemas.openxmlformats.org/officeDocument/2006/relationships/hyperlink" Target="https://www.heritagews.co.uk/fees-and-charges/" TargetMode="External"/><Relationship Id="rId466" Type="http://schemas.openxmlformats.org/officeDocument/2006/relationships/hyperlink" Target="https://find-and-update.company-information.service.gov.uk/company/00666518/filing-history" TargetMode="External"/><Relationship Id="rId673" Type="http://schemas.openxmlformats.org/officeDocument/2006/relationships/hyperlink" Target="https://www.truepotential.co.uk/wp-content/uploads/2026/02/True-Potential-Allianz-Balanced-20260217.pdf" TargetMode="External"/><Relationship Id="rId880" Type="http://schemas.openxmlformats.org/officeDocument/2006/relationships/hyperlink" Target="https://whitman.co.uk/" TargetMode="External"/><Relationship Id="rId1096" Type="http://schemas.openxmlformats.org/officeDocument/2006/relationships/hyperlink" Target="https://www.tamassetmanagement.com/data/uploads/factsheets/active-balanced-q4-2025.pdf" TargetMode="External"/><Relationship Id="rId23" Type="http://schemas.openxmlformats.org/officeDocument/2006/relationships/hyperlink" Target="https://find-and-update.company-information.service.gov.uk/company/11479520/filing-history" TargetMode="External"/><Relationship Id="rId119" Type="http://schemas.openxmlformats.org/officeDocument/2006/relationships/hyperlink" Target="http://www.piawm.net/" TargetMode="External"/><Relationship Id="rId326" Type="http://schemas.openxmlformats.org/officeDocument/2006/relationships/hyperlink" Target="http://www.ipsfinancial.co.uk/" TargetMode="External"/><Relationship Id="rId533" Type="http://schemas.openxmlformats.org/officeDocument/2006/relationships/hyperlink" Target="https://www.fidelity.co.uk/media/PI%20UK/pdf/fidelity-wealth-management-tob.pdf" TargetMode="External"/><Relationship Id="rId978" Type="http://schemas.openxmlformats.org/officeDocument/2006/relationships/hyperlink" Target="https://www.adamandcompany.co.uk/%20canaccord-wealth" TargetMode="External"/><Relationship Id="rId740" Type="http://schemas.openxmlformats.org/officeDocument/2006/relationships/hyperlink" Target="https://www.fivewaysfp.co.uk/" TargetMode="External"/><Relationship Id="rId838" Type="http://schemas.openxmlformats.org/officeDocument/2006/relationships/hyperlink" Target="https://stonegatewealth.co.uk/our-fees/" TargetMode="External"/><Relationship Id="rId1023" Type="http://schemas.openxmlformats.org/officeDocument/2006/relationships/hyperlink" Target="http://www.cantabam.com/" TargetMode="External"/><Relationship Id="rId172" Type="http://schemas.openxmlformats.org/officeDocument/2006/relationships/hyperlink" Target="https://www.tfp-fp.com/" TargetMode="External"/><Relationship Id="rId477" Type="http://schemas.openxmlformats.org/officeDocument/2006/relationships/hyperlink" Target="https://www.benchmarkcapital.co.uk/en-gb/uk/individual/process-and-costs/" TargetMode="External"/><Relationship Id="rId600" Type="http://schemas.openxmlformats.org/officeDocument/2006/relationships/hyperlink" Target="https://www.miltonpj.net/Pies/Balanced%20Portfolio.pdf" TargetMode="External"/><Relationship Id="rId684" Type="http://schemas.openxmlformats.org/officeDocument/2006/relationships/hyperlink" Target="https://find-and-update.company-information.service.gov.uk/company/OC320806/filing-history" TargetMode="External"/><Relationship Id="rId337" Type="http://schemas.openxmlformats.org/officeDocument/2006/relationships/hyperlink" Target="https://find-and-update.company-information.service.gov.uk/company/11283101/filing-history" TargetMode="External"/><Relationship Id="rId891" Type="http://schemas.openxmlformats.org/officeDocument/2006/relationships/hyperlink" Target="https://www.csensefs.com/" TargetMode="External"/><Relationship Id="rId905" Type="http://schemas.openxmlformats.org/officeDocument/2006/relationships/hyperlink" Target="https://find-and-update.company-information.service.gov.uk/company/02112588/filing-history" TargetMode="External"/><Relationship Id="rId989" Type="http://schemas.openxmlformats.org/officeDocument/2006/relationships/hyperlink" Target="http://www.atlantichousegroup.com/" TargetMode="External"/><Relationship Id="rId34" Type="http://schemas.openxmlformats.org/officeDocument/2006/relationships/hyperlink" Target="https://find-and-update.company-information.service.gov.uk/company/SC108188/filing-history" TargetMode="External"/><Relationship Id="rId544" Type="http://schemas.openxmlformats.org/officeDocument/2006/relationships/hyperlink" Target="https://find-and-update.company-information.service.gov.uk/company/03361861/filing-history" TargetMode="External"/><Relationship Id="rId751" Type="http://schemas.openxmlformats.org/officeDocument/2006/relationships/hyperlink" Target="http://www.plan-money.co.uk/" TargetMode="External"/><Relationship Id="rId849" Type="http://schemas.openxmlformats.org/officeDocument/2006/relationships/hyperlink" Target="https://find-and-update.company-information.service.gov.uk/company/06453011/filing-history" TargetMode="External"/><Relationship Id="rId183" Type="http://schemas.openxmlformats.org/officeDocument/2006/relationships/hyperlink" Target="https://www.fairstone.co.uk/wpblobe464e547d2/wp-content/uploads/2025/03/BRKM_Fairstone-Brooks-Macdonald-4-Income_0226.pdf" TargetMode="External"/><Relationship Id="rId390" Type="http://schemas.openxmlformats.org/officeDocument/2006/relationships/hyperlink" Target="https://find-and-update.company-information.service.gov.uk/company/10380457/filing-history" TargetMode="External"/><Relationship Id="rId404" Type="http://schemas.openxmlformats.org/officeDocument/2006/relationships/hyperlink" Target="https://www.valu-trac.com/administration-services/clients/esprit/tb/VT%20Esprit%20Tactical%20Balanced%20-%20February%202026.pdf" TargetMode="External"/><Relationship Id="rId611" Type="http://schemas.openxmlformats.org/officeDocument/2006/relationships/hyperlink" Target="https://find-and-update.company-information.service.gov.uk/company/SC083026/filing-history" TargetMode="External"/><Relationship Id="rId1034" Type="http://schemas.openxmlformats.org/officeDocument/2006/relationships/hyperlink" Target="https://delaunaywealth.com/our-fees/" TargetMode="External"/><Relationship Id="rId250" Type="http://schemas.openxmlformats.org/officeDocument/2006/relationships/hyperlink" Target="https://find-and-update.company-information.service.gov.uk/company/11111845/filing-history" TargetMode="External"/><Relationship Id="rId488" Type="http://schemas.openxmlformats.org/officeDocument/2006/relationships/hyperlink" Target="https://www.copperhousefinancial.co.uk/" TargetMode="External"/><Relationship Id="rId695" Type="http://schemas.openxmlformats.org/officeDocument/2006/relationships/hyperlink" Target="http://www.hrs-am.co.uk/" TargetMode="External"/><Relationship Id="rId709" Type="http://schemas.openxmlformats.org/officeDocument/2006/relationships/hyperlink" Target="https://find-and-update.company-information.service.gov.uk/company/09493628/filing-history" TargetMode="External"/><Relationship Id="rId916" Type="http://schemas.openxmlformats.org/officeDocument/2006/relationships/hyperlink" Target="http://www.windsorfinancialplanning.co.uk/" TargetMode="External"/><Relationship Id="rId1101" Type="http://schemas.openxmlformats.org/officeDocument/2006/relationships/hyperlink" Target="https://www.tamassetmanagement.com/data/uploads/factsheets/active-balanced-q4-2025.pdf" TargetMode="External"/><Relationship Id="rId45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10" Type="http://schemas.openxmlformats.org/officeDocument/2006/relationships/hyperlink" Target="https://find-and-update.company-information.service.gov.uk/company/OC368475/filing-history" TargetMode="External"/><Relationship Id="rId348" Type="http://schemas.openxmlformats.org/officeDocument/2006/relationships/hyperlink" Target="https://george-square.co.uk/faqs/" TargetMode="External"/><Relationship Id="rId555" Type="http://schemas.openxmlformats.org/officeDocument/2006/relationships/hyperlink" Target="https://www.heritableltd.co.uk/wp-content/uploads/2024/11/Heritable-Client-Agreement-Investments-and-Pensions-V2.pdf" TargetMode="External"/><Relationship Id="rId762" Type="http://schemas.openxmlformats.org/officeDocument/2006/relationships/hyperlink" Target="https://find-and-update.company-information.service.gov.uk/company/06621998/filing-history" TargetMode="External"/><Relationship Id="rId194" Type="http://schemas.openxmlformats.org/officeDocument/2006/relationships/hyperlink" Target="https://acwealth.co.uk/about-us/fees/" TargetMode="External"/><Relationship Id="rId208" Type="http://schemas.openxmlformats.org/officeDocument/2006/relationships/hyperlink" Target="https://ebsuk.com/fees/" TargetMode="External"/><Relationship Id="rId415" Type="http://schemas.openxmlformats.org/officeDocument/2006/relationships/hyperlink" Target="https://find-and-update.company-information.service.gov.uk/company/OC398850/filing-history" TargetMode="External"/><Relationship Id="rId622" Type="http://schemas.openxmlformats.org/officeDocument/2006/relationships/hyperlink" Target="https://find-and-update.company-information.service.gov.uk/company/03276760/filing-history" TargetMode="External"/><Relationship Id="rId1045" Type="http://schemas.openxmlformats.org/officeDocument/2006/relationships/hyperlink" Target="https://optimumpath.co.uk/" TargetMode="External"/><Relationship Id="rId261" Type="http://schemas.openxmlformats.org/officeDocument/2006/relationships/hyperlink" Target="https://www.bankofscotland.co.uk/wealth-management/fees-and-charges.html" TargetMode="External"/><Relationship Id="rId499" Type="http://schemas.openxmlformats.org/officeDocument/2006/relationships/hyperlink" Target="https://find-and-update.company-information.service.gov.uk/company/04561871/filing-history" TargetMode="External"/><Relationship Id="rId927" Type="http://schemas.openxmlformats.org/officeDocument/2006/relationships/hyperlink" Target="https://www.successionwealth.co.uk/navigator-financial-planning" TargetMode="External"/><Relationship Id="rId1112" Type="http://schemas.openxmlformats.org/officeDocument/2006/relationships/hyperlink" Target="https://downloads.spw.com/public/Factsheets/FS-GB00BJRSQM30.pdf" TargetMode="External"/><Relationship Id="rId56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359" Type="http://schemas.openxmlformats.org/officeDocument/2006/relationships/hyperlink" Target="https://simpson-wood.co.uk/" TargetMode="External"/><Relationship Id="rId566" Type="http://schemas.openxmlformats.org/officeDocument/2006/relationships/hyperlink" Target="https://find-and-update.company-information.service.gov.uk/company/02355062/filing-history" TargetMode="External"/><Relationship Id="rId773" Type="http://schemas.openxmlformats.org/officeDocument/2006/relationships/hyperlink" Target="http://www.aberdeenpersonal.com/" TargetMode="External"/><Relationship Id="rId121" Type="http://schemas.openxmlformats.org/officeDocument/2006/relationships/hyperlink" Target="https://goodmoneyguide.com/investing/wealth-management/?utm_source=copilot.com" TargetMode="External"/><Relationship Id="rId219" Type="http://schemas.openxmlformats.org/officeDocument/2006/relationships/hyperlink" Target="https://rubyredfp.co.uk/fees/" TargetMode="External"/><Relationship Id="rId426" Type="http://schemas.openxmlformats.org/officeDocument/2006/relationships/hyperlink" Target="http://www.titanprivatewealth.com/" TargetMode="External"/><Relationship Id="rId633" Type="http://schemas.openxmlformats.org/officeDocument/2006/relationships/hyperlink" Target="https://find-and-update.company-information.service.gov.uk/company/08223501/filing-history" TargetMode="External"/><Relationship Id="rId980" Type="http://schemas.openxmlformats.org/officeDocument/2006/relationships/hyperlink" Target="https://www.fulcrum.london/%20insightifa." TargetMode="External"/><Relationship Id="rId1056" Type="http://schemas.openxmlformats.org/officeDocument/2006/relationships/hyperlink" Target="https://find-and-update.company-information.service.gov.uk/company/03855110" TargetMode="External"/><Relationship Id="rId840" Type="http://schemas.openxmlformats.org/officeDocument/2006/relationships/hyperlink" Target="https://www.bluefinchwealth.com/our-fees" TargetMode="External"/><Relationship Id="rId938" Type="http://schemas.openxmlformats.org/officeDocument/2006/relationships/hyperlink" Target="https://www.basmawealthmanagement.co.uk/" TargetMode="External"/><Relationship Id="rId67" Type="http://schemas.openxmlformats.org/officeDocument/2006/relationships/hyperlink" Target="https://www.amberwealth.co.uk/" TargetMode="External"/><Relationship Id="rId272" Type="http://schemas.openxmlformats.org/officeDocument/2006/relationships/hyperlink" Target="https://www.needfp.co.uk/about-us/our-fees" TargetMode="External"/><Relationship Id="rId577" Type="http://schemas.openxmlformats.org/officeDocument/2006/relationships/hyperlink" Target="https://find-and-update.company-information.service.gov.uk/company/OC318393/filing-history" TargetMode="External"/><Relationship Id="rId700" Type="http://schemas.openxmlformats.org/officeDocument/2006/relationships/hyperlink" Target="https://www.med-ex.co.uk/fees" TargetMode="External"/><Relationship Id="rId1123" Type="http://schemas.openxmlformats.org/officeDocument/2006/relationships/hyperlink" Target="https://www.netwealth.com/investing/historical-performance/" TargetMode="External"/><Relationship Id="rId132" Type="http://schemas.openxmlformats.org/officeDocument/2006/relationships/hyperlink" Target="https://www.burfieldfp.co.uk/" TargetMode="External"/><Relationship Id="rId784" Type="http://schemas.openxmlformats.org/officeDocument/2006/relationships/hyperlink" Target="https://www.ascotlloyd.co.uk/our-service/fees/" TargetMode="External"/><Relationship Id="rId991" Type="http://schemas.openxmlformats.org/officeDocument/2006/relationships/hyperlink" Target="https://huntercapital.co.uk/" TargetMode="External"/><Relationship Id="rId1067" Type="http://schemas.openxmlformats.org/officeDocument/2006/relationships/hyperlink" Target="https://www.nivenfinancial.co.uk/" TargetMode="External"/><Relationship Id="rId437" Type="http://schemas.openxmlformats.org/officeDocument/2006/relationships/hyperlink" Target="https://www.trulyifa.co.uk/" TargetMode="External"/><Relationship Id="rId644" Type="http://schemas.openxmlformats.org/officeDocument/2006/relationships/hyperlink" Target="https://find-and-update.company-information.service.gov.uk/company/02294747/filing-history" TargetMode="External"/><Relationship Id="rId851" Type="http://schemas.openxmlformats.org/officeDocument/2006/relationships/hyperlink" Target="https://find-and-update.company-information.service.gov.uk/company/11580541" TargetMode="External"/><Relationship Id="rId283" Type="http://schemas.openxmlformats.org/officeDocument/2006/relationships/hyperlink" Target="https://www.ethicalmoney.org/Portals/0/Guide%20to%20our%20fees%20and%20services%20v4%201124.pdf?ver=AJTNU6f5sxlWUpmpumP2cw%3D%3D" TargetMode="External"/><Relationship Id="rId490" Type="http://schemas.openxmlformats.org/officeDocument/2006/relationships/hyperlink" Target="http://www.cotonfinancial.co.uk/" TargetMode="External"/><Relationship Id="rId504" Type="http://schemas.openxmlformats.org/officeDocument/2006/relationships/hyperlink" Target="https://systemviewer.kiihub.com/documents/SMIT/G1OB_UnitedKingdom_EN-GB.pdf" TargetMode="External"/><Relationship Id="rId711" Type="http://schemas.openxmlformats.org/officeDocument/2006/relationships/hyperlink" Target="https://novawm.com/" TargetMode="External"/><Relationship Id="rId949" Type="http://schemas.openxmlformats.org/officeDocument/2006/relationships/hyperlink" Target="https://find-and-update.company-information.service.gov.uk/company/03292960/filing-history" TargetMode="External"/><Relationship Id="rId1134" Type="http://schemas.openxmlformats.org/officeDocument/2006/relationships/hyperlink" Target="https://api.titanwh.com/assets/b9014520-1e54-4706-93da-5a2472bdef9a?" TargetMode="External"/><Relationship Id="rId78" Type="http://schemas.openxmlformats.org/officeDocument/2006/relationships/hyperlink" Target="http://www.amberriver.com/true-bearing" TargetMode="External"/><Relationship Id="rId143" Type="http://schemas.openxmlformats.org/officeDocument/2006/relationships/hyperlink" Target="https://find-and-update.company-information.service.gov.uk/company/07485042/filing-history" TargetMode="External"/><Relationship Id="rId350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588" Type="http://schemas.openxmlformats.org/officeDocument/2006/relationships/hyperlink" Target="http://www.labourse.co.uk/" TargetMode="External"/><Relationship Id="rId795" Type="http://schemas.openxmlformats.org/officeDocument/2006/relationships/hyperlink" Target="https://find-and-update.company-information.service.gov.uk/company/07584487/filing-history" TargetMode="External"/><Relationship Id="rId809" Type="http://schemas.openxmlformats.org/officeDocument/2006/relationships/hyperlink" Target="https://find-and-update.company-information.service.gov.uk/company/10710796/filing-history" TargetMode="External"/><Relationship Id="rId9" Type="http://schemas.openxmlformats.org/officeDocument/2006/relationships/hyperlink" Target="https://find-and-update.company-information.service.gov.uk/company/03878887/filing-history" TargetMode="External"/><Relationship Id="rId210" Type="http://schemas.openxmlformats.org/officeDocument/2006/relationships/hyperlink" Target="http://www.rcbim.co.uk/" TargetMode="External"/><Relationship Id="rId448" Type="http://schemas.openxmlformats.org/officeDocument/2006/relationships/hyperlink" Target="https://find-and-update.company-information.service.gov.uk/company/07907502/filing-history" TargetMode="External"/><Relationship Id="rId655" Type="http://schemas.openxmlformats.org/officeDocument/2006/relationships/hyperlink" Target="https://downloads.spw.com/public/Factsheets/FS-GB00BJRSQM30.pdf" TargetMode="External"/><Relationship Id="rId862" Type="http://schemas.openxmlformats.org/officeDocument/2006/relationships/hyperlink" Target="http://www.pensionpotential.co.uk/" TargetMode="External"/><Relationship Id="rId1078" Type="http://schemas.openxmlformats.org/officeDocument/2006/relationships/hyperlink" Target="https://www.sfp-ifa.co.uk/" TargetMode="External"/><Relationship Id="rId294" Type="http://schemas.openxmlformats.org/officeDocument/2006/relationships/hyperlink" Target="https://find-and-update.company-information.service.gov.uk/company/OC352712/filing-history" TargetMode="External"/><Relationship Id="rId308" Type="http://schemas.openxmlformats.org/officeDocument/2006/relationships/hyperlink" Target="https://find-and-update.company-information.service.gov.uk/company/04405679/filing-history" TargetMode="External"/><Relationship Id="rId515" Type="http://schemas.openxmlformats.org/officeDocument/2006/relationships/hyperlink" Target="https://www.evelyn.com/fees-charges/" TargetMode="External"/><Relationship Id="rId722" Type="http://schemas.openxmlformats.org/officeDocument/2006/relationships/hyperlink" Target="https://mclayjames.co.uk/our-fees/" TargetMode="External"/><Relationship Id="rId1145" Type="http://schemas.openxmlformats.org/officeDocument/2006/relationships/hyperlink" Target="https://www.trustnet.com/factsheets/o/w947/fund/sectors" TargetMode="External"/><Relationship Id="rId89" Type="http://schemas.openxmlformats.org/officeDocument/2006/relationships/hyperlink" Target="http://www.amberriverchancery.com/" TargetMode="External"/><Relationship Id="rId154" Type="http://schemas.openxmlformats.org/officeDocument/2006/relationships/hyperlink" Target="https://www.tailoredfp.co.uk/client-agreement-policy-arrangement-disclosure/" TargetMode="External"/><Relationship Id="rId361" Type="http://schemas.openxmlformats.org/officeDocument/2006/relationships/hyperlink" Target="https://www.gsigroup.co.uk/" TargetMode="External"/><Relationship Id="rId599" Type="http://schemas.openxmlformats.org/officeDocument/2006/relationships/hyperlink" Target="https://www.miltonpj.net/our-charges/" TargetMode="External"/><Relationship Id="rId1005" Type="http://schemas.openxmlformats.org/officeDocument/2006/relationships/hyperlink" Target="https://trinitycapitalpartners.co.uk/" TargetMode="External"/><Relationship Id="rId459" Type="http://schemas.openxmlformats.org/officeDocument/2006/relationships/hyperlink" Target="https://find-and-update.company-information.service.gov.uk/company/03926629" TargetMode="External"/><Relationship Id="rId666" Type="http://schemas.openxmlformats.org/officeDocument/2006/relationships/hyperlink" Target="https://www.brooksmacdonald.com/individuals/thank-you-visiting-integrity-wealth-management-website" TargetMode="External"/><Relationship Id="rId873" Type="http://schemas.openxmlformats.org/officeDocument/2006/relationships/hyperlink" Target="https://www.thankswp.com/pricing" TargetMode="External"/><Relationship Id="rId1089" Type="http://schemas.openxmlformats.org/officeDocument/2006/relationships/hyperlink" Target="https://sipwealthmanagement.co.uk/client-documents/client-agreement-and-service-proposition/" TargetMode="External"/><Relationship Id="rId16" Type="http://schemas.openxmlformats.org/officeDocument/2006/relationships/hyperlink" Target="https://find-and-update.company-information.service.gov.uk/company/00014259/filing-history" TargetMode="External"/><Relationship Id="rId221" Type="http://schemas.openxmlformats.org/officeDocument/2006/relationships/hyperlink" Target="https://nottpybus.co.uk/" TargetMode="External"/><Relationship Id="rId319" Type="http://schemas.openxmlformats.org/officeDocument/2006/relationships/hyperlink" Target="https://find-and-update.company-information.service.gov.uk/company/04162004/filing-history" TargetMode="External"/><Relationship Id="rId526" Type="http://schemas.openxmlformats.org/officeDocument/2006/relationships/hyperlink" Target="https://www.evelyn.com/fees-charges/" TargetMode="External"/><Relationship Id="rId733" Type="http://schemas.openxmlformats.org/officeDocument/2006/relationships/hyperlink" Target="https://chapterhousewealthmanagement.co.uk/our-fees/" TargetMode="External"/><Relationship Id="rId940" Type="http://schemas.openxmlformats.org/officeDocument/2006/relationships/hyperlink" Target="https://find-and-update.company-information.service.gov.uk/company/OC382849/filing-history" TargetMode="External"/><Relationship Id="rId1016" Type="http://schemas.openxmlformats.org/officeDocument/2006/relationships/hyperlink" Target="https://www.andersbayleyscott.co.uk/image/data/2020%20ABS%20Client%20Agreement%20for%20Investments%20_June%202020_-min.pdf" TargetMode="External"/><Relationship Id="rId165" Type="http://schemas.openxmlformats.org/officeDocument/2006/relationships/hyperlink" Target="https://find-and-update.company-information.service.gov.uk/company/07383187/filing-history" TargetMode="External"/><Relationship Id="rId372" Type="http://schemas.openxmlformats.org/officeDocument/2006/relationships/hyperlink" Target="https://indigofinancialadvice.simplycluster1-web6.kin.tomdsites.co.uk/wp-content/uploads/sites/852/2024/07/1.-INDIGO-CLIENT-AGREE-v17.pdf" TargetMode="External"/><Relationship Id="rId677" Type="http://schemas.openxmlformats.org/officeDocument/2006/relationships/hyperlink" Target="https://find-and-update.company-information.service.gov.uk/company/OC326607/filing-history" TargetMode="External"/><Relationship Id="rId800" Type="http://schemas.openxmlformats.org/officeDocument/2006/relationships/hyperlink" Target="https://www.ascotlloyd.co.uk/" TargetMode="External"/><Relationship Id="rId232" Type="http://schemas.openxmlformats.org/officeDocument/2006/relationships/hyperlink" Target="https://www.middletonprivatecapital.co.uk/" TargetMode="External"/><Relationship Id="rId884" Type="http://schemas.openxmlformats.org/officeDocument/2006/relationships/hyperlink" Target="http://www.westsidellp.com/" TargetMode="External"/><Relationship Id="rId27" Type="http://schemas.openxmlformats.org/officeDocument/2006/relationships/hyperlink" Target="http://www.amberriver.com/hda" TargetMode="External"/><Relationship Id="rId537" Type="http://schemas.openxmlformats.org/officeDocument/2006/relationships/hyperlink" Target="https://www.fidelity.co.uk/factsheet-data/factsheet/GB00BF8DCB08-fidelity-select-50-balanced-pi-acc/key-statistics" TargetMode="External"/><Relationship Id="rId744" Type="http://schemas.openxmlformats.org/officeDocument/2006/relationships/hyperlink" Target="https://fyfefinancial.co.uk/our-fees/" TargetMode="External"/><Relationship Id="rId951" Type="http://schemas.openxmlformats.org/officeDocument/2006/relationships/hyperlink" Target="https://find-and-update.company-information.service.gov.uk/company/07121119/filing-history" TargetMode="External"/><Relationship Id="rId80" Type="http://schemas.openxmlformats.org/officeDocument/2006/relationships/hyperlink" Target="https://www.tamassetmanagement.com/data/uploads/factsheets/active-balanced-q4-2025.pdf" TargetMode="External"/><Relationship Id="rId176" Type="http://schemas.openxmlformats.org/officeDocument/2006/relationships/hyperlink" Target="https://imperialchartered.co.uk/costs-charges/" TargetMode="External"/><Relationship Id="rId383" Type="http://schemas.openxmlformats.org/officeDocument/2006/relationships/hyperlink" Target="https://www.norfolkandsuffolk.co.uk/" TargetMode="External"/><Relationship Id="rId590" Type="http://schemas.openxmlformats.org/officeDocument/2006/relationships/hyperlink" Target="https://find-and-update.company-information.service.gov.uk/company/01619124/filing-history" TargetMode="External"/><Relationship Id="rId604" Type="http://schemas.openxmlformats.org/officeDocument/2006/relationships/hyperlink" Target="https://www.natwest.com/premier-banking/financial-advice/investment-advice.html" TargetMode="External"/><Relationship Id="rId811" Type="http://schemas.openxmlformats.org/officeDocument/2006/relationships/hyperlink" Target="https://intelligentpensions.com/our-fees/" TargetMode="External"/><Relationship Id="rId1027" Type="http://schemas.openxmlformats.org/officeDocument/2006/relationships/hyperlink" Target="https://find-and-update.company-information.service.gov.uk/company/07584487/filing-history" TargetMode="External"/><Relationship Id="rId243" Type="http://schemas.openxmlformats.org/officeDocument/2006/relationships/hyperlink" Target="https://cityandtrust.co.uk/our-fees/" TargetMode="External"/><Relationship Id="rId450" Type="http://schemas.openxmlformats.org/officeDocument/2006/relationships/hyperlink" Target="https://find-and-update.company-information.service.gov.uk/company/04970458/filing-history" TargetMode="External"/><Relationship Id="rId688" Type="http://schemas.openxmlformats.org/officeDocument/2006/relationships/hyperlink" Target="https://find-and-update.company-information.service.gov.uk/company/13903878/filing-history" TargetMode="External"/><Relationship Id="rId895" Type="http://schemas.openxmlformats.org/officeDocument/2006/relationships/hyperlink" Target="https://content.rathbones.com/Rathbones/Rathbones%20Private%20Client%20Brochure.PDF" TargetMode="External"/><Relationship Id="rId909" Type="http://schemas.openxmlformats.org/officeDocument/2006/relationships/hyperlink" Target="https://www.abacuswealthplanning.com/AWP-Our-Services.pdf" TargetMode="External"/><Relationship Id="rId1080" Type="http://schemas.openxmlformats.org/officeDocument/2006/relationships/hyperlink" Target="https://www.abacusadvisers.co.uk/" TargetMode="External"/><Relationship Id="rId38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03" Type="http://schemas.openxmlformats.org/officeDocument/2006/relationships/hyperlink" Target="https://www.tamassetmanagement.com/data/uploads/factsheets/active-balanced-q4-2025.pdf" TargetMode="External"/><Relationship Id="rId310" Type="http://schemas.openxmlformats.org/officeDocument/2006/relationships/hyperlink" Target="https://find-and-update.company-information.service.gov.uk/company/NI029631/filing-history" TargetMode="External"/><Relationship Id="rId548" Type="http://schemas.openxmlformats.org/officeDocument/2006/relationships/hyperlink" Target="http://www.midlandfinancialsolutions.co.uk/" TargetMode="External"/><Relationship Id="rId755" Type="http://schemas.openxmlformats.org/officeDocument/2006/relationships/hyperlink" Target="https://www.rosecut.com/fees" TargetMode="External"/><Relationship Id="rId962" Type="http://schemas.openxmlformats.org/officeDocument/2006/relationships/hyperlink" Target="https://www.weatherbys.bank/app/uploads/2026/01/Weatherbys-Private-Bank-Investment-and-Wealth-Advice-Schedule-of-Charges.pdf" TargetMode="External"/><Relationship Id="rId91" Type="http://schemas.openxmlformats.org/officeDocument/2006/relationships/hyperlink" Target="https://find-and-update.company-information.service.gov.uk/company/OC388382/filing-history" TargetMode="External"/><Relationship Id="rId187" Type="http://schemas.openxmlformats.org/officeDocument/2006/relationships/hyperlink" Target="https://www.backhouseifs.co.uk/services/fee-structure/" TargetMode="External"/><Relationship Id="rId394" Type="http://schemas.openxmlformats.org/officeDocument/2006/relationships/hyperlink" Target="https://paretofp.co.uk/wp-content/uploads/2025/06/Acknowledgments-and-Agreements-2025.pdf" TargetMode="External"/><Relationship Id="rId408" Type="http://schemas.openxmlformats.org/officeDocument/2006/relationships/hyperlink" Target="https://shackletonadvisers.co.uk/why-were-different/fair-and-transparent-charges/" TargetMode="External"/><Relationship Id="rId615" Type="http://schemas.openxmlformats.org/officeDocument/2006/relationships/hyperlink" Target="https://documentscdn.financialexpress.net/Literature/DDCAFD58A057F2264C9D86785D397395/236968115.pdf" TargetMode="External"/><Relationship Id="rId822" Type="http://schemas.openxmlformats.org/officeDocument/2006/relationships/hyperlink" Target="https://find-and-update.company-information.service.gov.uk/company/05343956/filing-history" TargetMode="External"/><Relationship Id="rId1038" Type="http://schemas.openxmlformats.org/officeDocument/2006/relationships/hyperlink" Target="https://partnerswealthmanagement.co.uk/" TargetMode="External"/><Relationship Id="rId254" Type="http://schemas.openxmlformats.org/officeDocument/2006/relationships/hyperlink" Target="https://find-and-update.company-information.service.gov.uk/company/12638819/filing-history" TargetMode="External"/><Relationship Id="rId699" Type="http://schemas.openxmlformats.org/officeDocument/2006/relationships/hyperlink" Target="https://www.med-ex.co.uk/" TargetMode="External"/><Relationship Id="rId1091" Type="http://schemas.openxmlformats.org/officeDocument/2006/relationships/hyperlink" Target="https://www.tamassetmanagement.com/data/uploads/factsheets/active-balanced-q4-2025.pdf" TargetMode="External"/><Relationship Id="rId1105" Type="http://schemas.openxmlformats.org/officeDocument/2006/relationships/hyperlink" Target="https://www.natwest.com/investments/five-ready-made-funds.html" TargetMode="External"/><Relationship Id="rId49" Type="http://schemas.openxmlformats.org/officeDocument/2006/relationships/hyperlink" Target="https://find-and-update.company-information.service.gov.uk/company/OC368475/filing-history" TargetMode="External"/><Relationship Id="rId114" Type="http://schemas.openxmlformats.org/officeDocument/2006/relationships/hyperlink" Target="https://find-and-update.company-information.service.gov.uk/company/05772581/filing-history" TargetMode="External"/><Relationship Id="rId461" Type="http://schemas.openxmlformats.org/officeDocument/2006/relationships/hyperlink" Target="http://www.affinityfinance.co.uk/" TargetMode="External"/><Relationship Id="rId559" Type="http://schemas.openxmlformats.org/officeDocument/2006/relationships/hyperlink" Target="https://find-and-update.company-information.service.gov.uk/company/02355062/filing-history" TargetMode="External"/><Relationship Id="rId766" Type="http://schemas.openxmlformats.org/officeDocument/2006/relationships/hyperlink" Target="https://homecroftwealth.co.uk/about-us/fees-we-charge/" TargetMode="External"/><Relationship Id="rId198" Type="http://schemas.openxmlformats.org/officeDocument/2006/relationships/hyperlink" Target="https://www.begleybrown.co.uk/" TargetMode="External"/><Relationship Id="rId321" Type="http://schemas.openxmlformats.org/officeDocument/2006/relationships/hyperlink" Target="https://find-and-update.company-information.service.gov.uk/company/09423824/filing-history" TargetMode="External"/><Relationship Id="rId419" Type="http://schemas.openxmlformats.org/officeDocument/2006/relationships/hyperlink" Target="https://find-and-update.company-information.service.gov.uk/company/07188122/filing-history" TargetMode="External"/><Relationship Id="rId626" Type="http://schemas.openxmlformats.org/officeDocument/2006/relationships/hyperlink" Target="https://www.quilter.com/4a330d/siteassets/documents/platform/guides-and-brochures/18035-making-the-cost-of-investment-clear.pdf" TargetMode="External"/><Relationship Id="rId973" Type="http://schemas.openxmlformats.org/officeDocument/2006/relationships/hyperlink" Target="https://find-and-update.company-information.service.gov.uk/company/01175953/filing-history" TargetMode="External"/><Relationship Id="rId1049" Type="http://schemas.openxmlformats.org/officeDocument/2006/relationships/hyperlink" Target="http://www.hottinger.co.uk/" TargetMode="External"/><Relationship Id="rId833" Type="http://schemas.openxmlformats.org/officeDocument/2006/relationships/hyperlink" Target="https://redcirclefp.co.uk/why-choose-us/our-fees/" TargetMode="External"/><Relationship Id="rId1116" Type="http://schemas.openxmlformats.org/officeDocument/2006/relationships/hyperlink" Target="https://www.quilter.com/documents/?filters=116434" TargetMode="External"/><Relationship Id="rId265" Type="http://schemas.openxmlformats.org/officeDocument/2006/relationships/hyperlink" Target="https://www.brewin.co.uk/wp-content/uploads/sites/10/2023/10/fees-brochure-charges.pdf" TargetMode="External"/><Relationship Id="rId472" Type="http://schemas.openxmlformats.org/officeDocument/2006/relationships/hyperlink" Target="https://find-and-update.company-information.service.gov.uk/company/03063186/filing-history" TargetMode="External"/><Relationship Id="rId900" Type="http://schemas.openxmlformats.org/officeDocument/2006/relationships/hyperlink" Target="https://markets.ft.com/data/funds/tearsheet/summary?s=GB00BYXHQX09:GBX" TargetMode="External"/><Relationship Id="rId125" Type="http://schemas.openxmlformats.org/officeDocument/2006/relationships/hyperlink" Target="https://www.watsonsweb.co.uk/?utm_source=copilot.com" TargetMode="External"/><Relationship Id="rId332" Type="http://schemas.openxmlformats.org/officeDocument/2006/relationships/hyperlink" Target="https://find-and-update.company-information.service.gov.uk/company/09362615/filing-history" TargetMode="External"/><Relationship Id="rId777" Type="http://schemas.openxmlformats.org/officeDocument/2006/relationships/hyperlink" Target="https://www.ascotlloyd.co.uk/our-service/fees/" TargetMode="External"/><Relationship Id="rId984" Type="http://schemas.openxmlformats.org/officeDocument/2006/relationships/hyperlink" Target="http://www.2tix.ltd/" TargetMode="External"/><Relationship Id="rId637" Type="http://schemas.openxmlformats.org/officeDocument/2006/relationships/hyperlink" Target="https://find-and-update.company-information.service.gov.uk/company/02205894/filing-history" TargetMode="External"/><Relationship Id="rId844" Type="http://schemas.openxmlformats.org/officeDocument/2006/relationships/hyperlink" Target="https://find-and-update.company-information.service.gov.uk/company/09052815/filing-history" TargetMode="External"/><Relationship Id="rId276" Type="http://schemas.openxmlformats.org/officeDocument/2006/relationships/hyperlink" Target="https://www.nfumutual.co.uk/globalassets/projects/direct-online/financial-planning-terms-of-business.pdf" TargetMode="External"/><Relationship Id="rId483" Type="http://schemas.openxmlformats.org/officeDocument/2006/relationships/hyperlink" Target="https://www.carterpearl.co.uk/information/services-costs/" TargetMode="External"/><Relationship Id="rId690" Type="http://schemas.openxmlformats.org/officeDocument/2006/relationships/hyperlink" Target="https://find-and-update.company-information.service.gov.uk/company/NI040537/filing-history" TargetMode="External"/><Relationship Id="rId704" Type="http://schemas.openxmlformats.org/officeDocument/2006/relationships/hyperlink" Target="http://www.modernmoney.co.uk/" TargetMode="External"/><Relationship Id="rId911" Type="http://schemas.openxmlformats.org/officeDocument/2006/relationships/hyperlink" Target="https://www.riverglenifa.co.uk/wp-content/uploads/2024/03/Main-IDD-V10-02-2024.pdf" TargetMode="External"/><Relationship Id="rId1127" Type="http://schemas.openxmlformats.org/officeDocument/2006/relationships/hyperlink" Target="https://www.saltus.co.uk/managed-portfolio-service/portfolio-service" TargetMode="External"/><Relationship Id="rId40" Type="http://schemas.openxmlformats.org/officeDocument/2006/relationships/hyperlink" Target="https://www.amberriverdbwood.com/" TargetMode="External"/><Relationship Id="rId136" Type="http://schemas.openxmlformats.org/officeDocument/2006/relationships/hyperlink" Target="https://rootes.co.uk/charges-and-fees/" TargetMode="External"/><Relationship Id="rId343" Type="http://schemas.openxmlformats.org/officeDocument/2006/relationships/hyperlink" Target="https://documentscdn.financialexpress.net/Literature/B6538DA90D2B2ACCCD55AD0377BBAD59/237052008.pdf" TargetMode="External"/><Relationship Id="rId550" Type="http://schemas.openxmlformats.org/officeDocument/2006/relationships/hyperlink" Target="https://find-and-update.company-information.service.gov.uk/company/08734287/filing-history" TargetMode="External"/><Relationship Id="rId788" Type="http://schemas.openxmlformats.org/officeDocument/2006/relationships/hyperlink" Target="https://find-and-update.company-information.service.gov.uk/company/07584487/filing-history" TargetMode="External"/><Relationship Id="rId995" Type="http://schemas.openxmlformats.org/officeDocument/2006/relationships/hyperlink" Target="http://www.invesco.co.uk/" TargetMode="External"/><Relationship Id="rId203" Type="http://schemas.openxmlformats.org/officeDocument/2006/relationships/hyperlink" Target="https://find-and-update.company-information.service.gov.uk/company/10853464/filing-history" TargetMode="External"/><Relationship Id="rId648" Type="http://schemas.openxmlformats.org/officeDocument/2006/relationships/hyperlink" Target="https://www.skipton.co.uk/financial-advice/financial-advice-at-skipton" TargetMode="External"/><Relationship Id="rId855" Type="http://schemas.openxmlformats.org/officeDocument/2006/relationships/hyperlink" Target="http://www.moneo-ifa.co.uk/" TargetMode="External"/><Relationship Id="rId1040" Type="http://schemas.openxmlformats.org/officeDocument/2006/relationships/hyperlink" Target="http://www.euro.capital/" TargetMode="External"/><Relationship Id="rId287" Type="http://schemas.openxmlformats.org/officeDocument/2006/relationships/hyperlink" Target="https://www.gracechurchwm.com/how-we-can-help/" TargetMode="External"/><Relationship Id="rId410" Type="http://schemas.openxmlformats.org/officeDocument/2006/relationships/hyperlink" Target="https://shackletonadvisers.co.uk/why-were-different/fair-and-transparent-charges/" TargetMode="External"/><Relationship Id="rId494" Type="http://schemas.openxmlformats.org/officeDocument/2006/relationships/hyperlink" Target="http://www.createwealth.co.uk/" TargetMode="External"/><Relationship Id="rId508" Type="http://schemas.openxmlformats.org/officeDocument/2006/relationships/hyperlink" Target="https://systemviewer.kiihub.com/documents/SMIT/G1OB_UnitedKingdom_EN-GB.pdf" TargetMode="External"/><Relationship Id="rId715" Type="http://schemas.openxmlformats.org/officeDocument/2006/relationships/hyperlink" Target="https://find-and-update.company-information.service.gov.uk/company/12420753/filing-history" TargetMode="External"/><Relationship Id="rId922" Type="http://schemas.openxmlformats.org/officeDocument/2006/relationships/hyperlink" Target="https://www.successionwealth.co.uk/about-us/our-fees" TargetMode="External"/><Relationship Id="rId1138" Type="http://schemas.openxmlformats.org/officeDocument/2006/relationships/hyperlink" Target="https://www.saltus.co.uk/managed-portfolio-service/portfolio-service" TargetMode="External"/><Relationship Id="rId147" Type="http://schemas.openxmlformats.org/officeDocument/2006/relationships/hyperlink" Target="https://www.rgwifa.co.uk/wp-content/uploads/2024/02/RGW-Client-Agreement-Consumer-Duty-December-2023.pdf" TargetMode="External"/><Relationship Id="rId354" Type="http://schemas.openxmlformats.org/officeDocument/2006/relationships/hyperlink" Target="https://gsigroup.co.uk/our-service-proposition/" TargetMode="External"/><Relationship Id="rId799" Type="http://schemas.openxmlformats.org/officeDocument/2006/relationships/hyperlink" Target="https://find-and-update.company-information.service.gov.uk/company/07584487/filing-history" TargetMode="External"/><Relationship Id="rId51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561" Type="http://schemas.openxmlformats.org/officeDocument/2006/relationships/hyperlink" Target="https://find-and-update.company-information.service.gov.uk/company/02355062/filing-history" TargetMode="External"/><Relationship Id="rId659" Type="http://schemas.openxmlformats.org/officeDocument/2006/relationships/hyperlink" Target="https://www.schroders.com/en/us/wealth%20-%20management/" TargetMode="External"/><Relationship Id="rId866" Type="http://schemas.openxmlformats.org/officeDocument/2006/relationships/hyperlink" Target="https://bosworthwm.co.uk/pensions-investments/" TargetMode="External"/><Relationship Id="rId214" Type="http://schemas.openxmlformats.org/officeDocument/2006/relationships/hyperlink" Target="https://find-and-update.company-information.service.gov.uk/company/12132753/filing-history" TargetMode="External"/><Relationship Id="rId298" Type="http://schemas.openxmlformats.org/officeDocument/2006/relationships/hyperlink" Target="https://find-and-update.company-information.service.gov.uk/company/09712439/filing-history" TargetMode="External"/><Relationship Id="rId421" Type="http://schemas.openxmlformats.org/officeDocument/2006/relationships/hyperlink" Target="https://static1.squarespace.com/static/5d91f13aed9a60047a7c1635/t/665723268b4ed0149f360571/1721307440082/MFS+Fees+for+Services+.pdf" TargetMode="External"/><Relationship Id="rId519" Type="http://schemas.openxmlformats.org/officeDocument/2006/relationships/hyperlink" Target="https://www.evelyn.com/fees-charges/" TargetMode="External"/><Relationship Id="rId1051" Type="http://schemas.openxmlformats.org/officeDocument/2006/relationships/hyperlink" Target="https://shackletonadvisers.co.uk/why-were-different/fair-and-transparent-charges/" TargetMode="External"/><Relationship Id="rId158" Type="http://schemas.openxmlformats.org/officeDocument/2006/relationships/hyperlink" Target="https://altorfer.co.uk/wp-content/uploads/Client-Agreement.pdf" TargetMode="External"/><Relationship Id="rId726" Type="http://schemas.openxmlformats.org/officeDocument/2006/relationships/hyperlink" Target="https://www.aisa.co.uk/about-us/our-fees/" TargetMode="External"/><Relationship Id="rId933" Type="http://schemas.openxmlformats.org/officeDocument/2006/relationships/hyperlink" Target="https://find-and-update.company-information.service.gov.uk/company/SC535531" TargetMode="External"/><Relationship Id="rId1009" Type="http://schemas.openxmlformats.org/officeDocument/2006/relationships/hyperlink" Target="http://www.thornbridge.com/" TargetMode="External"/><Relationship Id="rId62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365" Type="http://schemas.openxmlformats.org/officeDocument/2006/relationships/hyperlink" Target="http://www.brookfield-fp.co.uk/" TargetMode="External"/><Relationship Id="rId572" Type="http://schemas.openxmlformats.org/officeDocument/2006/relationships/hyperlink" Target="https://find-and-update.company-information.service.gov.uk/company/03509545/filing-history" TargetMode="External"/><Relationship Id="rId225" Type="http://schemas.openxmlformats.org/officeDocument/2006/relationships/hyperlink" Target="https://www.ubp.com/uk" TargetMode="External"/><Relationship Id="rId432" Type="http://schemas.openxmlformats.org/officeDocument/2006/relationships/hyperlink" Target="https://find-and-update.company-information.service.gov.uk/company/07839452/filing-history" TargetMode="External"/><Relationship Id="rId877" Type="http://schemas.openxmlformats.org/officeDocument/2006/relationships/hyperlink" Target="https://ucapgroup.com/what-we-do/wealth-planning/" TargetMode="External"/><Relationship Id="rId1062" Type="http://schemas.openxmlformats.org/officeDocument/2006/relationships/hyperlink" Target="https://www.mha.co.uk/" TargetMode="External"/><Relationship Id="rId737" Type="http://schemas.openxmlformats.org/officeDocument/2006/relationships/hyperlink" Target="https://www.dwifa.co.uk/fees" TargetMode="External"/><Relationship Id="rId944" Type="http://schemas.openxmlformats.org/officeDocument/2006/relationships/hyperlink" Target="https://lifetime-ifa.co.uk/fees/" TargetMode="External"/><Relationship Id="rId73" Type="http://schemas.openxmlformats.org/officeDocument/2006/relationships/hyperlink" Target="https://find-and-update.company-information.service.gov.uk/company/02837635/filing-history" TargetMode="External"/><Relationship Id="rId169" Type="http://schemas.openxmlformats.org/officeDocument/2006/relationships/hyperlink" Target="http://www.cartlidgemorland.com/" TargetMode="External"/><Relationship Id="rId376" Type="http://schemas.openxmlformats.org/officeDocument/2006/relationships/hyperlink" Target="https://janesmithfinancial.com/our-fees/" TargetMode="External"/><Relationship Id="rId583" Type="http://schemas.openxmlformats.org/officeDocument/2006/relationships/hyperlink" Target="https://find-and-update.company-information.service.gov.uk/company/04284325/filing-history" TargetMode="External"/><Relationship Id="rId790" Type="http://schemas.openxmlformats.org/officeDocument/2006/relationships/hyperlink" Target="https://www.ascotlloyd.co.uk/our-service/fees/" TargetMode="External"/><Relationship Id="rId804" Type="http://schemas.openxmlformats.org/officeDocument/2006/relationships/hyperlink" Target="http://www.empowerpartners.co.uk/" TargetMode="External"/><Relationship Id="rId4" Type="http://schemas.openxmlformats.org/officeDocument/2006/relationships/hyperlink" Target="http://www.lsnifa.com/" TargetMode="External"/><Relationship Id="rId236" Type="http://schemas.openxmlformats.org/officeDocument/2006/relationships/hyperlink" Target="https://redwoodfinancial.co.uk/fees/" TargetMode="External"/><Relationship Id="rId443" Type="http://schemas.openxmlformats.org/officeDocument/2006/relationships/hyperlink" Target="https://find-and-update.company-information.service.gov.uk/company/02020674/filing-history" TargetMode="External"/><Relationship Id="rId650" Type="http://schemas.openxmlformats.org/officeDocument/2006/relationships/hyperlink" Target="https://www.skyboundwealth.co.uk/advice-fees" TargetMode="External"/><Relationship Id="rId888" Type="http://schemas.openxmlformats.org/officeDocument/2006/relationships/hyperlink" Target="https://brochures.chasedevere.co.uk/private-client-terms-of-business" TargetMode="External"/><Relationship Id="rId1073" Type="http://schemas.openxmlformats.org/officeDocument/2006/relationships/hyperlink" Target="https://www.rosefinancialservices.co.uk/" TargetMode="External"/><Relationship Id="rId303" Type="http://schemas.openxmlformats.org/officeDocument/2006/relationships/hyperlink" Target="https://find-and-update.company-information.service.gov.uk/company/07404854/filing-history" TargetMode="External"/><Relationship Id="rId748" Type="http://schemas.openxmlformats.org/officeDocument/2006/relationships/hyperlink" Target="https://www.macbethscottinvestments.co.uk/" TargetMode="External"/><Relationship Id="rId955" Type="http://schemas.openxmlformats.org/officeDocument/2006/relationships/hyperlink" Target="https://find-and-update.company-information.service.gov.uk/company/04064060/filing-history" TargetMode="External"/><Relationship Id="rId1140" Type="http://schemas.openxmlformats.org/officeDocument/2006/relationships/hyperlink" Target="https://www.personalinvesting.jpmorgan.com/legal/schedule-of-fees-and-charges" TargetMode="External"/><Relationship Id="rId84" Type="http://schemas.openxmlformats.org/officeDocument/2006/relationships/hyperlink" Target="https://www.tamassetmanagement.com/data/uploads/factsheets/active-balanced-q4-2025.pdf" TargetMode="External"/><Relationship Id="rId387" Type="http://schemas.openxmlformats.org/officeDocument/2006/relationships/hyperlink" Target="https://oliverfp.co.uk/fees-and-charges%60" TargetMode="External"/><Relationship Id="rId510" Type="http://schemas.openxmlformats.org/officeDocument/2006/relationships/hyperlink" Target="https://systemviewer.kiihub.com/documents/SMIT/G1OB_UnitedKingdom_EN-GB.pdf" TargetMode="External"/><Relationship Id="rId594" Type="http://schemas.openxmlformats.org/officeDocument/2006/relationships/hyperlink" Target="https://www.lowco.uk/wp-content/uploads/2017/11/LOWCO-TERMS-CONDITIONS.pdf" TargetMode="External"/><Relationship Id="rId608" Type="http://schemas.openxmlformats.org/officeDocument/2006/relationships/hyperlink" Target="https://www.rbs.co.uk/" TargetMode="External"/><Relationship Id="rId815" Type="http://schemas.openxmlformats.org/officeDocument/2006/relationships/hyperlink" Target="https://find-and-update.company-information.service.gov.uk/company/12283391/filing-history" TargetMode="External"/><Relationship Id="rId247" Type="http://schemas.openxmlformats.org/officeDocument/2006/relationships/hyperlink" Target="https://www.mkfa.co.uk/fees" TargetMode="External"/><Relationship Id="rId899" Type="http://schemas.openxmlformats.org/officeDocument/2006/relationships/hyperlink" Target="https://cdn.mediavalet.com/eunl/equilibrium/1RhYNvw3zEShfBf12GUS0Q/OaHqL1loxEaQzvJpM4R1qA/Original/Retail%20Client%20Agreement%20-%20May%202022.pdf" TargetMode="External"/><Relationship Id="rId1000" Type="http://schemas.openxmlformats.org/officeDocument/2006/relationships/hyperlink" Target="http://www.marlowecapital.co.uk/" TargetMode="External"/><Relationship Id="rId1084" Type="http://schemas.openxmlformats.org/officeDocument/2006/relationships/hyperlink" Target="https://www.marygoldandco.uk/" TargetMode="External"/><Relationship Id="rId107" Type="http://schemas.openxmlformats.org/officeDocument/2006/relationships/hyperlink" Target="http://www.pwsfc.co.uk/" TargetMode="External"/><Relationship Id="rId454" Type="http://schemas.openxmlformats.org/officeDocument/2006/relationships/hyperlink" Target="https://www.nationwide.co.uk/" TargetMode="External"/><Relationship Id="rId661" Type="http://schemas.openxmlformats.org/officeDocument/2006/relationships/hyperlink" Target="https://find-and-update.company-information.service.gov.uk/company/11722983/filing-history" TargetMode="External"/><Relationship Id="rId759" Type="http://schemas.openxmlformats.org/officeDocument/2006/relationships/hyperlink" Target="https://www.baggette.co.uk/about/our-fees/" TargetMode="External"/><Relationship Id="rId966" Type="http://schemas.openxmlformats.org/officeDocument/2006/relationships/hyperlink" Target="https://www.ellisdaviesfp.co.uk/what-it-costs" TargetMode="External"/><Relationship Id="rId11" Type="http://schemas.openxmlformats.org/officeDocument/2006/relationships/hyperlink" Target="https://static1.squarespace.com/static/5ce3beca9851ae000114d9e3/t/627bc7a35370c66f2b6694d1/1652279204476/A+Fresh+Approach+To+Fees.pdf" TargetMode="External"/><Relationship Id="rId314" Type="http://schemas.openxmlformats.org/officeDocument/2006/relationships/hyperlink" Target="https://find-and-update.company-information.service.gov.uk/company/04033512/filing-history" TargetMode="External"/><Relationship Id="rId398" Type="http://schemas.openxmlformats.org/officeDocument/2006/relationships/hyperlink" Target="https://shackletonadvisers.co.uk/why-were-different/fair-and-transparent-charges/" TargetMode="External"/><Relationship Id="rId521" Type="http://schemas.openxmlformats.org/officeDocument/2006/relationships/hyperlink" Target="https://www.evelyn.com/fees-charges/" TargetMode="External"/><Relationship Id="rId619" Type="http://schemas.openxmlformats.org/officeDocument/2006/relationships/hyperlink" Target="https://www.fundslibrary.co.uk/fundslibrary.dataretrieval/documents.aspx/?id=703093f0-f269-4f80-8396-9845ba2c89de&amp;user=ZCR%2BxM%2FTbCF5bo1R%2FAgV3haVjJ%2BRYO8QhpUMd8H5i0A%3D&amp;type=fund_unit_kiid&amp;r=1" TargetMode="External"/><Relationship Id="rId95" Type="http://schemas.openxmlformats.org/officeDocument/2006/relationships/hyperlink" Target="https://find-and-update.company-information.service.gov.uk/company/OC368475/filing-history" TargetMode="External"/><Relationship Id="rId160" Type="http://schemas.openxmlformats.org/officeDocument/2006/relationships/hyperlink" Target="http://www.insight-wealth.co.uk/" TargetMode="External"/><Relationship Id="rId826" Type="http://schemas.openxmlformats.org/officeDocument/2006/relationships/hyperlink" Target="https://www.leeburnfinancial.com/$PRIMARY_SITE_URL/our-fees" TargetMode="External"/><Relationship Id="rId1011" Type="http://schemas.openxmlformats.org/officeDocument/2006/relationships/hyperlink" Target="https://5581eb61-677a-472c-b5d8-ebf87f51476f.filesusr.com/ugd/2c7088_7e8b931fc0164a56a904ce474e508293.pdf" TargetMode="External"/><Relationship Id="rId1109" Type="http://schemas.openxmlformats.org/officeDocument/2006/relationships/hyperlink" Target="https://www.valu-trac.com/administration-services/clients/esprit/tb/VT%20Esprit%20Tactical%20Balanced%20-%20February%202026.pdf" TargetMode="External"/><Relationship Id="rId258" Type="http://schemas.openxmlformats.org/officeDocument/2006/relationships/hyperlink" Target="https://www.herbertscott.co.uk/" TargetMode="External"/><Relationship Id="rId465" Type="http://schemas.openxmlformats.org/officeDocument/2006/relationships/hyperlink" Target="https://www.ainv.co.uk/who-we-are/" TargetMode="External"/><Relationship Id="rId672" Type="http://schemas.openxmlformats.org/officeDocument/2006/relationships/hyperlink" Target="http://www.advantawealth.co.uk/" TargetMode="External"/><Relationship Id="rId1095" Type="http://schemas.openxmlformats.org/officeDocument/2006/relationships/hyperlink" Target="https://www.tamassetmanagement.com/data/uploads/factsheets/active-balanced-q4-2025.pdf" TargetMode="External"/><Relationship Id="rId22" Type="http://schemas.openxmlformats.org/officeDocument/2006/relationships/hyperlink" Target="https://humboldtfinancial.co.uk/pricing/" TargetMode="External"/><Relationship Id="rId118" Type="http://schemas.openxmlformats.org/officeDocument/2006/relationships/hyperlink" Target="https://digital.feprecisionplus.com/7im/factsheethtml/en-gb/7im_corp/?TypeCode=FO:BFB4&amp;specialunittype=ORDN&amp;MPCategoryCode=&amp;Category=corp&amp;priipproductcode=&amp;documentcountry=&amp;Category2=" TargetMode="External"/><Relationship Id="rId325" Type="http://schemas.openxmlformats.org/officeDocument/2006/relationships/hyperlink" Target="http://www.maskellmoss.co.uk/%20Attivo" TargetMode="External"/><Relationship Id="rId532" Type="http://schemas.openxmlformats.org/officeDocument/2006/relationships/hyperlink" Target="https://systemviewer.kiihub.com/documents/SMIT/G1OB_UnitedKingdom_EN-GB.pdf" TargetMode="External"/><Relationship Id="rId977" Type="http://schemas.openxmlformats.org/officeDocument/2006/relationships/hyperlink" Target="https://www.campbellmackie.co.uk/" TargetMode="External"/><Relationship Id="rId171" Type="http://schemas.openxmlformats.org/officeDocument/2006/relationships/hyperlink" Target="https://find-and-update.company-information.service.gov.uk/company/03654866/filing-history" TargetMode="External"/><Relationship Id="rId837" Type="http://schemas.openxmlformats.org/officeDocument/2006/relationships/hyperlink" Target="https://find-and-update.company-information.service.gov.uk/company/05800712/filing-history" TargetMode="External"/><Relationship Id="rId1022" Type="http://schemas.openxmlformats.org/officeDocument/2006/relationships/hyperlink" Target="http://www.berryfinancialplanning.co.uk/" TargetMode="External"/><Relationship Id="rId269" Type="http://schemas.openxmlformats.org/officeDocument/2006/relationships/hyperlink" Target="https://find-and-update.company-information.service.gov.uk/company/01903304/filing-history" TargetMode="External"/><Relationship Id="rId476" Type="http://schemas.openxmlformats.org/officeDocument/2006/relationships/hyperlink" Target="https://www.evowealth.co.uk/" TargetMode="External"/><Relationship Id="rId683" Type="http://schemas.openxmlformats.org/officeDocument/2006/relationships/hyperlink" Target="https://www.westminster-wealth.com/prices" TargetMode="External"/><Relationship Id="rId890" Type="http://schemas.openxmlformats.org/officeDocument/2006/relationships/hyperlink" Target="https://www.shieldswp.co.uk/information/general/" TargetMode="External"/><Relationship Id="rId904" Type="http://schemas.openxmlformats.org/officeDocument/2006/relationships/hyperlink" Target="https://find-and-update.company-information.service.gov.uk/company/OC390700/filing-history" TargetMode="External"/><Relationship Id="rId33" Type="http://schemas.openxmlformats.org/officeDocument/2006/relationships/hyperlink" Target="https://www.tamassetmanagement.com/data/uploads/factsheets/active-balanced-q4-2025.pdf" TargetMode="External"/><Relationship Id="rId129" Type="http://schemas.openxmlformats.org/officeDocument/2006/relationships/hyperlink" Target="https://www.deltafinancial.co.uk/" TargetMode="External"/><Relationship Id="rId336" Type="http://schemas.openxmlformats.org/officeDocument/2006/relationships/hyperlink" Target="https://markets.ft.com/data/funds/tearsheet/summary?s=LU2594915410:USD" TargetMode="External"/><Relationship Id="rId543" Type="http://schemas.openxmlformats.org/officeDocument/2006/relationships/hyperlink" Target="https://www.gwfm.co.uk/" TargetMode="External"/><Relationship Id="rId988" Type="http://schemas.openxmlformats.org/officeDocument/2006/relationships/hyperlink" Target="https://aib.ie/fxcentre/resource-centre/regulatory-information/london-branch" TargetMode="External"/><Relationship Id="rId182" Type="http://schemas.openxmlformats.org/officeDocument/2006/relationships/hyperlink" Target="https://www.professionaladviser.com/news/4163249/fairstone-changes-fees-80-bps-moves-single-charging-structure" TargetMode="External"/><Relationship Id="rId403" Type="http://schemas.openxmlformats.org/officeDocument/2006/relationships/hyperlink" Target="https://shackletonadvisers.co.uk/why-were-different/fair-and-transparent-charges/" TargetMode="External"/><Relationship Id="rId750" Type="http://schemas.openxmlformats.org/officeDocument/2006/relationships/hyperlink" Target="https://find-and-update.company-information.service.gov.uk/company/01144365/filing-history" TargetMode="External"/><Relationship Id="rId848" Type="http://schemas.openxmlformats.org/officeDocument/2006/relationships/hyperlink" Target="https://justfinancialplanning.co.uk/our-fees/" TargetMode="External"/><Relationship Id="rId1033" Type="http://schemas.openxmlformats.org/officeDocument/2006/relationships/hyperlink" Target="http://www.delaunaywealth.com/" TargetMode="External"/><Relationship Id="rId487" Type="http://schemas.openxmlformats.org/officeDocument/2006/relationships/hyperlink" Target="https://find-and-update.company-information.service.gov.uk/company/03365186/filing-history" TargetMode="External"/><Relationship Id="rId610" Type="http://schemas.openxmlformats.org/officeDocument/2006/relationships/hyperlink" Target="https://www.natwest.com/investments/five-ready-made-funds.html" TargetMode="External"/><Relationship Id="rId694" Type="http://schemas.openxmlformats.org/officeDocument/2006/relationships/hyperlink" Target="http://www.lift-financial.com/" TargetMode="External"/><Relationship Id="rId708" Type="http://schemas.openxmlformats.org/officeDocument/2006/relationships/hyperlink" Target="https://www.netwealth.com/about/fees/" TargetMode="External"/><Relationship Id="rId915" Type="http://schemas.openxmlformats.org/officeDocument/2006/relationships/hyperlink" Target="https://www.watchornfs.co.uk/" TargetMode="External"/><Relationship Id="rId347" Type="http://schemas.openxmlformats.org/officeDocument/2006/relationships/hyperlink" Target="https://find-and-update.company-information.service.gov.uk/company/04384956/filing-history" TargetMode="External"/><Relationship Id="rId999" Type="http://schemas.openxmlformats.org/officeDocument/2006/relationships/hyperlink" Target="http://www.maia-am.co.uk/" TargetMode="External"/><Relationship Id="rId1100" Type="http://schemas.openxmlformats.org/officeDocument/2006/relationships/hyperlink" Target="https://www.tamassetmanagement.com/data/uploads/factsheets/active-balanced-q4-2025.pdf" TargetMode="External"/><Relationship Id="rId44" Type="http://schemas.openxmlformats.org/officeDocument/2006/relationships/hyperlink" Target="http://www.amberriver.com/" TargetMode="External"/><Relationship Id="rId554" Type="http://schemas.openxmlformats.org/officeDocument/2006/relationships/hyperlink" Target="http://www.thomsonferrie.co.uk/" TargetMode="External"/><Relationship Id="rId761" Type="http://schemas.openxmlformats.org/officeDocument/2006/relationships/hyperlink" Target="https://www.v2vfp.co.uk/our-fees" TargetMode="External"/><Relationship Id="rId859" Type="http://schemas.openxmlformats.org/officeDocument/2006/relationships/hyperlink" Target="https://find-and-update.company-information.service.gov.uk/company/09568543/filing-history" TargetMode="External"/><Relationship Id="rId193" Type="http://schemas.openxmlformats.org/officeDocument/2006/relationships/hyperlink" Target="http://www.acandco.com/" TargetMode="External"/><Relationship Id="rId207" Type="http://schemas.openxmlformats.org/officeDocument/2006/relationships/hyperlink" Target="https://find-and-update.company-information.service.gov.uk/company/10376509/filing-history" TargetMode="External"/><Relationship Id="rId414" Type="http://schemas.openxmlformats.org/officeDocument/2006/relationships/hyperlink" Target="https://smithandwardle.co.uk/wp-content/uploads/2020/08/Complaints-Policy.pdf" TargetMode="External"/><Relationship Id="rId498" Type="http://schemas.openxmlformats.org/officeDocument/2006/relationships/hyperlink" Target="https://www.eldonfinancial.co.uk/fees/" TargetMode="External"/><Relationship Id="rId621" Type="http://schemas.openxmlformats.org/officeDocument/2006/relationships/hyperlink" Target="https://find-and-update.company-information.service.gov.uk/company/04802683/filing-history" TargetMode="External"/><Relationship Id="rId1044" Type="http://schemas.openxmlformats.org/officeDocument/2006/relationships/hyperlink" Target="https://www.gnoscofp.com/" TargetMode="External"/><Relationship Id="rId260" Type="http://schemas.openxmlformats.org/officeDocument/2006/relationships/hyperlink" Target="https://find-and-update.company-information.service.gov.uk/company/09448681/filing-history" TargetMode="External"/><Relationship Id="rId719" Type="http://schemas.openxmlformats.org/officeDocument/2006/relationships/hyperlink" Target="https://find-and-update.company-information.service.gov.uk/company/06979255/filing-history" TargetMode="External"/><Relationship Id="rId926" Type="http://schemas.openxmlformats.org/officeDocument/2006/relationships/hyperlink" Target="https://find-and-update.company-information.service.gov.uk/company/04454027/filing-history" TargetMode="External"/><Relationship Id="rId1111" Type="http://schemas.openxmlformats.org/officeDocument/2006/relationships/hyperlink" Target="https://downloads.spw.com/public/Factsheets/FS-GB00BJRSQM30.pdf" TargetMode="External"/><Relationship Id="rId55" Type="http://schemas.openxmlformats.org/officeDocument/2006/relationships/hyperlink" Target="https://register.fca.org.uk/s/firm?id=001b000000MfI0DAAV" TargetMode="External"/><Relationship Id="rId120" Type="http://schemas.openxmlformats.org/officeDocument/2006/relationships/hyperlink" Target="https://www.gm2.co.uk/%20Saltus" TargetMode="External"/><Relationship Id="rId358" Type="http://schemas.openxmlformats.org/officeDocument/2006/relationships/hyperlink" Target="https://find-and-update.company-information.service.gov.uk/company/05884747/filing-history" TargetMode="External"/><Relationship Id="rId565" Type="http://schemas.openxmlformats.org/officeDocument/2006/relationships/hyperlink" Target="https://find-and-update.company-information.service.gov.uk/company/02355062/filing-history" TargetMode="External"/><Relationship Id="rId772" Type="http://schemas.openxmlformats.org/officeDocument/2006/relationships/hyperlink" Target="https://www.successionwealth.co.uk/about-us/our-fees" TargetMode="External"/><Relationship Id="rId218" Type="http://schemas.openxmlformats.org/officeDocument/2006/relationships/hyperlink" Target="https://find-and-update.company-information.service.gov.uk/company/02947466/filing-history" TargetMode="External"/><Relationship Id="rId425" Type="http://schemas.openxmlformats.org/officeDocument/2006/relationships/hyperlink" Target="https://find-and-update.company-information.service.gov.uk/company/14426688/filing-history" TargetMode="External"/><Relationship Id="rId632" Type="http://schemas.openxmlformats.org/officeDocument/2006/relationships/hyperlink" Target="https://www.raelmes.co.uk/_files/ugd/ea90fb_e4d0c1f07d4a4734bc61e18543520469.pdf" TargetMode="External"/><Relationship Id="rId1055" Type="http://schemas.openxmlformats.org/officeDocument/2006/relationships/hyperlink" Target="https://www.kingfurness.co.uk/" TargetMode="External"/><Relationship Id="rId271" Type="http://schemas.openxmlformats.org/officeDocument/2006/relationships/hyperlink" Target="https://www.needfp.co.uk/" TargetMode="External"/><Relationship Id="rId937" Type="http://schemas.openxmlformats.org/officeDocument/2006/relationships/hyperlink" Target="https://find-and-update.company-information.service.gov.uk/company/09883876/filing-history" TargetMode="External"/><Relationship Id="rId1122" Type="http://schemas.openxmlformats.org/officeDocument/2006/relationships/hyperlink" Target="https://www.fundslibrary.co.uk/fundslibrary.dataretrieval/documents.aspx/?id=703093f0-f269-4f80-8396-9845ba2c89de&amp;user=ZCR%2BxM%2FTbCF5bo1R%2FAgV3haVjJ%2BRYO8QhpUMd8H5i0A%3D&amp;type=fund_unit_kiid&amp;r=1" TargetMode="External"/><Relationship Id="rId66" Type="http://schemas.openxmlformats.org/officeDocument/2006/relationships/hyperlink" Target="http://www.evanshart.co.uk/Client-Agreement.pdf" TargetMode="External"/><Relationship Id="rId131" Type="http://schemas.openxmlformats.org/officeDocument/2006/relationships/hyperlink" Target="https://find-and-update.company-information.service.gov.uk/company/01514840/filing-history" TargetMode="External"/><Relationship Id="rId369" Type="http://schemas.openxmlformats.org/officeDocument/2006/relationships/hyperlink" Target="https://huwwatts-ifp.co.uk/pdfs/WebsiteFidfundres2025.pdf" TargetMode="External"/><Relationship Id="rId576" Type="http://schemas.openxmlformats.org/officeDocument/2006/relationships/hyperlink" Target="https://www.holden-partners.co.uk/fees/" TargetMode="External"/><Relationship Id="rId783" Type="http://schemas.openxmlformats.org/officeDocument/2006/relationships/hyperlink" Target="https://register.fca.org.uk/s/firm?id=001b000000Mff3PAAR" TargetMode="External"/><Relationship Id="rId990" Type="http://schemas.openxmlformats.org/officeDocument/2006/relationships/hyperlink" Target="https://www.pictet.com/uk/en" TargetMode="External"/><Relationship Id="rId229" Type="http://schemas.openxmlformats.org/officeDocument/2006/relationships/hyperlink" Target="https://find-and-update.company-information.service.gov.uk/company/08061496/filing-history" TargetMode="External"/><Relationship Id="rId436" Type="http://schemas.openxmlformats.org/officeDocument/2006/relationships/hyperlink" Target="https://www.titanwci.com/media/ungdd0wj/priips-kid-balanced-usd-s-acc.pdf" TargetMode="External"/><Relationship Id="rId643" Type="http://schemas.openxmlformats.org/officeDocument/2006/relationships/hyperlink" Target="https://www.santander.co.uk/personal/savings-and-investments/investments/fees-charges-and-key-documents" TargetMode="External"/><Relationship Id="rId1066" Type="http://schemas.openxmlformats.org/officeDocument/2006/relationships/hyperlink" Target="https://nfp.co.uk/" TargetMode="External"/><Relationship Id="rId850" Type="http://schemas.openxmlformats.org/officeDocument/2006/relationships/hyperlink" Target="https://www.awmg.co.uk/process" TargetMode="External"/><Relationship Id="rId948" Type="http://schemas.openxmlformats.org/officeDocument/2006/relationships/hyperlink" Target="https://www.chadwicks.co.uk/fees/" TargetMode="External"/><Relationship Id="rId1133" Type="http://schemas.openxmlformats.org/officeDocument/2006/relationships/hyperlink" Target="https://api.titanwh.com/assets/b9014520-1e54-4706-93da-5a2472bdef9a?" TargetMode="External"/><Relationship Id="rId77" Type="http://schemas.openxmlformats.org/officeDocument/2006/relationships/hyperlink" Target="https://find-and-update.company-information.service.gov.uk/company/06458184/filing-history" TargetMode="External"/><Relationship Id="rId282" Type="http://schemas.openxmlformats.org/officeDocument/2006/relationships/hyperlink" Target="https://find-and-update.company-information.service.gov.uk/company/01855866/filing-history" TargetMode="External"/><Relationship Id="rId503" Type="http://schemas.openxmlformats.org/officeDocument/2006/relationships/hyperlink" Target="https://www.evelyn.com/fees-charges/" TargetMode="External"/><Relationship Id="rId587" Type="http://schemas.openxmlformats.org/officeDocument/2006/relationships/hyperlink" Target="https://find-and-update.company-information.service.gov.uk/company/02113065/filing-history" TargetMode="External"/><Relationship Id="rId710" Type="http://schemas.openxmlformats.org/officeDocument/2006/relationships/hyperlink" Target="https://www.netwealth.com/about/fees/" TargetMode="External"/><Relationship Id="rId808" Type="http://schemas.openxmlformats.org/officeDocument/2006/relationships/hyperlink" Target="https://www.expertifp.com/our-fees" TargetMode="External"/><Relationship Id="rId8" Type="http://schemas.openxmlformats.org/officeDocument/2006/relationships/hyperlink" Target="https://cdn.prod.website-files.com/5e4690a9fcbf69d94897e14b/5e5e8d926dec9107df4f9ca9_Client%20Agreement%20brochure.pdf" TargetMode="External"/><Relationship Id="rId142" Type="http://schemas.openxmlformats.org/officeDocument/2006/relationships/hyperlink" Target="https://footes-financialplanning.co.uk/our-fees/" TargetMode="External"/><Relationship Id="rId447" Type="http://schemas.openxmlformats.org/officeDocument/2006/relationships/hyperlink" Target="https://willowfinancial.co.uk/wp-content/uploads/2025/06/Key-Facts-WFPv8-Jun25.pdf" TargetMode="External"/><Relationship Id="rId794" Type="http://schemas.openxmlformats.org/officeDocument/2006/relationships/hyperlink" Target="https://www.ascotlloyd.co.uk/our-service/fees/" TargetMode="External"/><Relationship Id="rId1077" Type="http://schemas.openxmlformats.org/officeDocument/2006/relationships/hyperlink" Target="https://www.valu-trac.com/administration-services/clients/esprit/tb/VT%20Esprit%20Tactical%20Balanced%20-%20February%202026.pdf" TargetMode="External"/><Relationship Id="rId654" Type="http://schemas.openxmlformats.org/officeDocument/2006/relationships/hyperlink" Target="https://www.spw.com/our-fees/" TargetMode="External"/><Relationship Id="rId861" Type="http://schemas.openxmlformats.org/officeDocument/2006/relationships/hyperlink" Target="https://find-and-update.company-information.service.gov.uk/company/07005462/filing-history" TargetMode="External"/><Relationship Id="rId959" Type="http://schemas.openxmlformats.org/officeDocument/2006/relationships/hyperlink" Target="https://find-and-update.company-information.service.gov.uk/company/07366158" TargetMode="External"/><Relationship Id="rId293" Type="http://schemas.openxmlformats.org/officeDocument/2006/relationships/hyperlink" Target="https://www.pkfs.co.uk/about/how-we-charge/" TargetMode="External"/><Relationship Id="rId307" Type="http://schemas.openxmlformats.org/officeDocument/2006/relationships/hyperlink" Target="https://afm.org.uk/client-agreement/" TargetMode="External"/><Relationship Id="rId514" Type="http://schemas.openxmlformats.org/officeDocument/2006/relationships/hyperlink" Target="https://systemviewer.kiihub.com/documents/SMIT/G1OB_UnitedKingdom_EN-GB.pdf" TargetMode="External"/><Relationship Id="rId721" Type="http://schemas.openxmlformats.org/officeDocument/2006/relationships/hyperlink" Target="https://find-and-update.company-information.service.gov.uk/company/12571988/filing-history" TargetMode="External"/><Relationship Id="rId1144" Type="http://schemas.openxmlformats.org/officeDocument/2006/relationships/hyperlink" Target="https://www.trustnet.com/factsheets/o/w947/fund/sectors" TargetMode="External"/><Relationship Id="rId88" Type="http://schemas.openxmlformats.org/officeDocument/2006/relationships/hyperlink" Target="https://www.hansells.co.uk/" TargetMode="External"/><Relationship Id="rId153" Type="http://schemas.openxmlformats.org/officeDocument/2006/relationships/hyperlink" Target="http://www.tailoredfp.co.uk/" TargetMode="External"/><Relationship Id="rId360" Type="http://schemas.openxmlformats.org/officeDocument/2006/relationships/hyperlink" Target="https://www.perrinsfp.co.uk/" TargetMode="External"/><Relationship Id="rId598" Type="http://schemas.openxmlformats.org/officeDocument/2006/relationships/hyperlink" Target="https://find-and-update.company-information.service.gov.uk/company/13685687/filing-history" TargetMode="External"/><Relationship Id="rId819" Type="http://schemas.openxmlformats.org/officeDocument/2006/relationships/hyperlink" Target="https://goodgreenmoney.co.uk/what-we-do/our-fees/" TargetMode="External"/><Relationship Id="rId1004" Type="http://schemas.openxmlformats.org/officeDocument/2006/relationships/hyperlink" Target="http://www.pennylanepawnbrokers.co.uk/" TargetMode="External"/><Relationship Id="rId220" Type="http://schemas.openxmlformats.org/officeDocument/2006/relationships/hyperlink" Target="https://find-and-update.company-information.service.gov.uk/company/11938051/filing-history" TargetMode="External"/><Relationship Id="rId458" Type="http://schemas.openxmlformats.org/officeDocument/2006/relationships/hyperlink" Target="https://www.aegon.co.uk/content/dam/auk/assets/publication/marketing-support/afp-overview-of-charges.pdf" TargetMode="External"/><Relationship Id="rId665" Type="http://schemas.openxmlformats.org/officeDocument/2006/relationships/hyperlink" Target="https://downloads.spw.com/public/Factsheets/FS-GB00BJRSQM30.pdf" TargetMode="External"/><Relationship Id="rId872" Type="http://schemas.openxmlformats.org/officeDocument/2006/relationships/hyperlink" Target="https://find-and-update.company-information.service.gov.uk/company/10503951/filing-history" TargetMode="External"/><Relationship Id="rId1088" Type="http://schemas.openxmlformats.org/officeDocument/2006/relationships/hyperlink" Target="https://m4fg.com/" TargetMode="External"/><Relationship Id="rId15" Type="http://schemas.openxmlformats.org/officeDocument/2006/relationships/hyperlink" Target="https://www.hsbc.co.uk/investments/advice/financial-advice/" TargetMode="External"/><Relationship Id="rId318" Type="http://schemas.openxmlformats.org/officeDocument/2006/relationships/hyperlink" Target="https://bsandb.co.uk/how-we-work/" TargetMode="External"/><Relationship Id="rId525" Type="http://schemas.openxmlformats.org/officeDocument/2006/relationships/hyperlink" Target="https://midasfp.co.uk/meet-the-team/" TargetMode="External"/><Relationship Id="rId732" Type="http://schemas.openxmlformats.org/officeDocument/2006/relationships/hyperlink" Target="https://find-and-update.company-information.service.gov.uk/company/OC341149/filing-history" TargetMode="External"/><Relationship Id="rId99" Type="http://schemas.openxmlformats.org/officeDocument/2006/relationships/hyperlink" Target="https://www.tamassetmanagement.com/data/uploads/factsheets/active-balanced-q4-2025.pdf" TargetMode="External"/><Relationship Id="rId164" Type="http://schemas.openxmlformats.org/officeDocument/2006/relationships/hyperlink" Target="https://www.andrewbourne.co.uk/wp-content/uploads/2025/12/Client-Agreement-Pensions-Investments-and-Protection-nov25.pdf" TargetMode="External"/><Relationship Id="rId371" Type="http://schemas.openxmlformats.org/officeDocument/2006/relationships/hyperlink" Target="http://www.swallow-financial.co.uk/" TargetMode="External"/><Relationship Id="rId1015" Type="http://schemas.openxmlformats.org/officeDocument/2006/relationships/hyperlink" Target="http://www.andersbayleyscott.co.uk/" TargetMode="External"/><Relationship Id="rId469" Type="http://schemas.openxmlformats.org/officeDocument/2006/relationships/hyperlink" Target="https://find-and-update.company-information.service.gov.uk/company/OC309012/filing-history" TargetMode="External"/><Relationship Id="rId676" Type="http://schemas.openxmlformats.org/officeDocument/2006/relationships/hyperlink" Target="https://www.truepotential.co.uk/wp-content/uploads/2026/02/True-Potential-Allianz-Balanced-20260217.pdf" TargetMode="External"/><Relationship Id="rId883" Type="http://schemas.openxmlformats.org/officeDocument/2006/relationships/hyperlink" Target="https://find-and-update.company-information.service.gov.uk/company/05252645/filing-history" TargetMode="External"/><Relationship Id="rId1099" Type="http://schemas.openxmlformats.org/officeDocument/2006/relationships/hyperlink" Target="https://www.tamassetmanagement.com/data/uploads/factsheets/active-balanced-q4-2025.pdf" TargetMode="External"/><Relationship Id="rId26" Type="http://schemas.openxmlformats.org/officeDocument/2006/relationships/hyperlink" Target="https://find-and-update.company-information.service.gov.uk/company/OC415262/filing-history" TargetMode="External"/><Relationship Id="rId231" Type="http://schemas.openxmlformats.org/officeDocument/2006/relationships/hyperlink" Target="https://find-and-update.company-information.service.gov.uk/company/SC448479/filing-history" TargetMode="External"/><Relationship Id="rId329" Type="http://schemas.openxmlformats.org/officeDocument/2006/relationships/hyperlink" Target="https://charlesdeanuk.com/wp-content/uploads/2022/02/Disclosure-Pack-Word-V11121-PDF.pdf" TargetMode="External"/><Relationship Id="rId536" Type="http://schemas.openxmlformats.org/officeDocument/2006/relationships/hyperlink" Target="https://www.fidelity.co.uk/media/PI%20UK/pdf/fidelity-wealth-management-tob.pdf" TargetMode="External"/><Relationship Id="rId175" Type="http://schemas.openxmlformats.org/officeDocument/2006/relationships/hyperlink" Target="http://www.imperialchartered.co.uk/" TargetMode="External"/><Relationship Id="rId743" Type="http://schemas.openxmlformats.org/officeDocument/2006/relationships/hyperlink" Target="https://mw-fs.com/" TargetMode="External"/><Relationship Id="rId950" Type="http://schemas.openxmlformats.org/officeDocument/2006/relationships/hyperlink" Target="https://www.onelifewealth.co.uk/fees/" TargetMode="External"/><Relationship Id="rId1026" Type="http://schemas.openxmlformats.org/officeDocument/2006/relationships/hyperlink" Target="https://www.ascotlloyd.co.uk/our-service/fees/" TargetMode="External"/><Relationship Id="rId382" Type="http://schemas.openxmlformats.org/officeDocument/2006/relationships/hyperlink" Target="https://find-and-update.company-information.service.gov.uk/company/13521233/filing-history" TargetMode="External"/><Relationship Id="rId603" Type="http://schemas.openxmlformats.org/officeDocument/2006/relationships/hyperlink" Target="https://www.rbs.co.uk/content/dam/royal_bank_of_scotland/personal/current-accounts/documents/PersonalXandXPrivateXCurrentXAccountXTerms.pdf" TargetMode="External"/><Relationship Id="rId687" Type="http://schemas.openxmlformats.org/officeDocument/2006/relationships/hyperlink" Target="https://wolfrockfp.co.uk/initial-fees/" TargetMode="External"/><Relationship Id="rId810" Type="http://schemas.openxmlformats.org/officeDocument/2006/relationships/hyperlink" Target="https://www.intelligentpensions.com/" TargetMode="External"/><Relationship Id="rId908" Type="http://schemas.openxmlformats.org/officeDocument/2006/relationships/hyperlink" Target="https://www.abacuswealthplanning.com/AWP-Our-Services.pdf" TargetMode="External"/><Relationship Id="rId242" Type="http://schemas.openxmlformats.org/officeDocument/2006/relationships/hyperlink" Target="https://cityandtrust.co.uk/" TargetMode="External"/><Relationship Id="rId894" Type="http://schemas.openxmlformats.org/officeDocument/2006/relationships/hyperlink" Target="https://content.rathbones.com/Rathbones/Rathbones%20Private%20Client%20Brochure.PDF" TargetMode="External"/><Relationship Id="rId37" Type="http://schemas.openxmlformats.org/officeDocument/2006/relationships/hyperlink" Target="https://www.amberriver.com/midlands" TargetMode="External"/><Relationship Id="rId102" Type="http://schemas.openxmlformats.org/officeDocument/2006/relationships/hyperlink" Target="https://find-and-update.company-information.service.gov.uk/company/SC314177/filing-history" TargetMode="External"/><Relationship Id="rId547" Type="http://schemas.openxmlformats.org/officeDocument/2006/relationships/hyperlink" Target="https://find-and-update.company-information.service.gov.uk/company/03690206/filing-history" TargetMode="External"/><Relationship Id="rId754" Type="http://schemas.openxmlformats.org/officeDocument/2006/relationships/hyperlink" Target="http://www.rosecut.com/" TargetMode="External"/><Relationship Id="rId961" Type="http://schemas.openxmlformats.org/officeDocument/2006/relationships/hyperlink" Target="https://find-and-update.company-information.service.gov.uk/company/04822446/filing-history" TargetMode="External"/><Relationship Id="rId90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86" Type="http://schemas.openxmlformats.org/officeDocument/2006/relationships/hyperlink" Target="https://www.backhouseifs.co.uk/" TargetMode="External"/><Relationship Id="rId393" Type="http://schemas.openxmlformats.org/officeDocument/2006/relationships/hyperlink" Target="https://www.ludco.co.uk/" TargetMode="External"/><Relationship Id="rId407" Type="http://schemas.openxmlformats.org/officeDocument/2006/relationships/hyperlink" Target="http://www.friargate.net/" TargetMode="External"/><Relationship Id="rId614" Type="http://schemas.openxmlformats.org/officeDocument/2006/relationships/hyperlink" Target="https://find-and-update.company-information.service.gov.uk/company/08049488/filing-history" TargetMode="External"/><Relationship Id="rId821" Type="http://schemas.openxmlformats.org/officeDocument/2006/relationships/hyperlink" Target="https://www.hoyl.co.uk/our-fees" TargetMode="External"/><Relationship Id="rId1037" Type="http://schemas.openxmlformats.org/officeDocument/2006/relationships/hyperlink" Target="https://dhfm.co.uk/wealth-management/" TargetMode="External"/><Relationship Id="rId253" Type="http://schemas.openxmlformats.org/officeDocument/2006/relationships/hyperlink" Target="https://www.verdantfp.co.uk/fees" TargetMode="External"/><Relationship Id="rId460" Type="http://schemas.openxmlformats.org/officeDocument/2006/relationships/hyperlink" Target="https://iwpfp.co.uk/" TargetMode="External"/><Relationship Id="rId698" Type="http://schemas.openxmlformats.org/officeDocument/2006/relationships/hyperlink" Target="http://www.rightadvice.co.uk/" TargetMode="External"/><Relationship Id="rId919" Type="http://schemas.openxmlformats.org/officeDocument/2006/relationships/hyperlink" Target="https://www.sjp.co.uk/" TargetMode="External"/><Relationship Id="rId1090" Type="http://schemas.openxmlformats.org/officeDocument/2006/relationships/hyperlink" Target="https://connect.avivab2b.co.uk/adviser/articles/discretionary-investment-managers/lowson-and-company-investment-managers/" TargetMode="External"/><Relationship Id="rId1104" Type="http://schemas.openxmlformats.org/officeDocument/2006/relationships/hyperlink" Target="https://www.tamassetmanagement.com/data/uploads/factsheets/active-balanced-q4-2025.pdf" TargetMode="External"/><Relationship Id="rId48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13" Type="http://schemas.openxmlformats.org/officeDocument/2006/relationships/hyperlink" Target="https://yealand.com/wp-content/uploads/2026/02/YFS-JM-Finn-Moderate-Portfolio-Class-A-Income.pdf" TargetMode="External"/><Relationship Id="rId320" Type="http://schemas.openxmlformats.org/officeDocument/2006/relationships/hyperlink" Target="https://c-cluster-110.uploads.documents.cimpress.io/v1/uploads/f0bcd7da-3686-403d-b0ea-96298222dbe7~110/original?tenant=vbu-digital" TargetMode="External"/><Relationship Id="rId558" Type="http://schemas.openxmlformats.org/officeDocument/2006/relationships/hyperlink" Target="https://www.hfmcwealth.com/wp-content/uploads/2025/02/HFMC-Important-Information-2025.pdf" TargetMode="External"/><Relationship Id="rId765" Type="http://schemas.openxmlformats.org/officeDocument/2006/relationships/hyperlink" Target="https://www.homecroftwealth.co.uk/" TargetMode="External"/><Relationship Id="rId972" Type="http://schemas.openxmlformats.org/officeDocument/2006/relationships/hyperlink" Target="https://www.jacksons.life/what-will-it-cost" TargetMode="External"/><Relationship Id="rId197" Type="http://schemas.openxmlformats.org/officeDocument/2006/relationships/hyperlink" Target="http://www.arbuthnotlatham.co.uk/" TargetMode="External"/><Relationship Id="rId418" Type="http://schemas.openxmlformats.org/officeDocument/2006/relationships/hyperlink" Target="https://ssfs.co.uk/wp-content/uploads/2024/06/SSFS-Service-Level-Options-2021.03-V2.pdf" TargetMode="External"/><Relationship Id="rId625" Type="http://schemas.openxmlformats.org/officeDocument/2006/relationships/hyperlink" Target="http://www.quilter.com/" TargetMode="External"/><Relationship Id="rId832" Type="http://schemas.openxmlformats.org/officeDocument/2006/relationships/hyperlink" Target="https://www.redcirclefp.co.uk/" TargetMode="External"/><Relationship Id="rId1048" Type="http://schemas.openxmlformats.org/officeDocument/2006/relationships/hyperlink" Target="https://www.horlockholdcroft.co.uk/" TargetMode="External"/><Relationship Id="rId264" Type="http://schemas.openxmlformats.org/officeDocument/2006/relationships/hyperlink" Target="https://www.brewin.co.uk/" TargetMode="External"/><Relationship Id="rId471" Type="http://schemas.openxmlformats.org/officeDocument/2006/relationships/hyperlink" Target="https://www.belmontassociates.co.uk/Resource/Services%20Costs.pdf" TargetMode="External"/><Relationship Id="rId1115" Type="http://schemas.openxmlformats.org/officeDocument/2006/relationships/hyperlink" Target="https://www.quilter.com/documents/?filters=116434" TargetMode="External"/><Relationship Id="rId59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24" Type="http://schemas.openxmlformats.org/officeDocument/2006/relationships/hyperlink" Target="https://find-and-update.company-information.service.gov.uk/company/09516087/filing-history" TargetMode="External"/><Relationship Id="rId569" Type="http://schemas.openxmlformats.org/officeDocument/2006/relationships/hyperlink" Target="https://find-and-update.company-information.service.gov.uk/company/03411108/filing-history" TargetMode="External"/><Relationship Id="rId776" Type="http://schemas.openxmlformats.org/officeDocument/2006/relationships/hyperlink" Target="http://www.ascotlloyd.co.uk/" TargetMode="External"/><Relationship Id="rId983" Type="http://schemas.openxmlformats.org/officeDocument/2006/relationships/hyperlink" Target="https://find-and-update.company-information.service.gov.uk/company/05960871" TargetMode="External"/><Relationship Id="rId331" Type="http://schemas.openxmlformats.org/officeDocument/2006/relationships/hyperlink" Target="https://co-navigate.co.uk/wp-content/uploads/2024/06/Terms-of-Business-FP.pdf" TargetMode="External"/><Relationship Id="rId429" Type="http://schemas.openxmlformats.org/officeDocument/2006/relationships/hyperlink" Target="https://www.prismadvice.co.uk/%20%20Titan" TargetMode="External"/><Relationship Id="rId636" Type="http://schemas.openxmlformats.org/officeDocument/2006/relationships/hyperlink" Target="https://www.richardsons-fs.co.uk/wp-content/uploads/2024/08/Retail-Client-Agreement-Jul-25-with-RFS-declaration.pdf" TargetMode="External"/><Relationship Id="rId1059" Type="http://schemas.openxmlformats.org/officeDocument/2006/relationships/hyperlink" Target="https://www.msgifa.co.uk/" TargetMode="External"/><Relationship Id="rId843" Type="http://schemas.openxmlformats.org/officeDocument/2006/relationships/hyperlink" Target="https://shackletonadvisers.co.uk/why-were-different/fair-and-transparent-charges/" TargetMode="External"/><Relationship Id="rId1126" Type="http://schemas.openxmlformats.org/officeDocument/2006/relationships/hyperlink" Target="https://www.trustnet.com/factsheets/O/ibre/barclays-multi-asset-cautious-income/" TargetMode="External"/><Relationship Id="rId275" Type="http://schemas.openxmlformats.org/officeDocument/2006/relationships/hyperlink" Target="https://careers.nfumutual.co.uk/what-you-could-be-doing/financial-advisers" TargetMode="External"/><Relationship Id="rId482" Type="http://schemas.openxmlformats.org/officeDocument/2006/relationships/hyperlink" Target="https://www.carterpearl.co.uk/" TargetMode="External"/><Relationship Id="rId703" Type="http://schemas.openxmlformats.org/officeDocument/2006/relationships/hyperlink" Target="https://find-and-update.company-information.service.gov.uk/company/07880295/filing-history" TargetMode="External"/><Relationship Id="rId910" Type="http://schemas.openxmlformats.org/officeDocument/2006/relationships/hyperlink" Target="https://find-and-update.company-information.service.gov.uk/company/02061670/filing-history" TargetMode="External"/><Relationship Id="rId135" Type="http://schemas.openxmlformats.org/officeDocument/2006/relationships/hyperlink" Target="https://www.rootes.co.uk/" TargetMode="External"/><Relationship Id="rId342" Type="http://schemas.openxmlformats.org/officeDocument/2006/relationships/hyperlink" Target="https://find-and-update.company-information.service.gov.uk/company/09928412/filing-history" TargetMode="External"/><Relationship Id="rId787" Type="http://schemas.openxmlformats.org/officeDocument/2006/relationships/hyperlink" Target="https://www.ascotlloyd.co.uk/our-service/fees/" TargetMode="External"/><Relationship Id="rId994" Type="http://schemas.openxmlformats.org/officeDocument/2006/relationships/hyperlink" Target="https://www.goldmansachs.com/" TargetMode="External"/><Relationship Id="rId202" Type="http://schemas.openxmlformats.org/officeDocument/2006/relationships/hyperlink" Target="https://www.capw.co.uk/fees" TargetMode="External"/><Relationship Id="rId647" Type="http://schemas.openxmlformats.org/officeDocument/2006/relationships/hyperlink" Target="http://www.absolutewm.co.uk/" TargetMode="External"/><Relationship Id="rId854" Type="http://schemas.openxmlformats.org/officeDocument/2006/relationships/hyperlink" Target="https://www.moneyfarm.com/uk/pricing/" TargetMode="External"/><Relationship Id="rId286" Type="http://schemas.openxmlformats.org/officeDocument/2006/relationships/hyperlink" Target="https://find-and-update.company-information.service.gov.uk/company/03485003/filing-history" TargetMode="External"/><Relationship Id="rId493" Type="http://schemas.openxmlformats.org/officeDocument/2006/relationships/hyperlink" Target="https://www.fairstonegroup.co.uk/guide/fairstone-introduces-new-streamlined-client-proposition/?utm_source=copilot.com" TargetMode="External"/><Relationship Id="rId507" Type="http://schemas.openxmlformats.org/officeDocument/2006/relationships/hyperlink" Target="https://www.evelyn.com/fees-charges/" TargetMode="External"/><Relationship Id="rId714" Type="http://schemas.openxmlformats.org/officeDocument/2006/relationships/hyperlink" Target="https://ospreywealth.co.uk/approach/" TargetMode="External"/><Relationship Id="rId921" Type="http://schemas.openxmlformats.org/officeDocument/2006/relationships/hyperlink" Target="http://www.successionwealth.co.uk/" TargetMode="External"/><Relationship Id="rId1137" Type="http://schemas.openxmlformats.org/officeDocument/2006/relationships/hyperlink" Target="https://www.saltus.co.uk/managed-portfolio-service/portfolio-service" TargetMode="External"/><Relationship Id="rId50" Type="http://schemas.openxmlformats.org/officeDocument/2006/relationships/hyperlink" Target="https://www.amberriver.com/midlands" TargetMode="External"/><Relationship Id="rId146" Type="http://schemas.openxmlformats.org/officeDocument/2006/relationships/hyperlink" Target="http://www.rgwifa.co.uk/" TargetMode="External"/><Relationship Id="rId353" Type="http://schemas.openxmlformats.org/officeDocument/2006/relationships/hyperlink" Target="https://www.gsigroup.co.uk/" TargetMode="External"/><Relationship Id="rId560" Type="http://schemas.openxmlformats.org/officeDocument/2006/relationships/hyperlink" Target="https://www.hfmcwealth.com/wp-content/uploads/2025/02/HFMC-Important-Information-2025.pdf" TargetMode="External"/><Relationship Id="rId798" Type="http://schemas.openxmlformats.org/officeDocument/2006/relationships/hyperlink" Target="https://www.ascotlloyd.co.uk/our-service/fees/" TargetMode="External"/><Relationship Id="rId213" Type="http://schemas.openxmlformats.org/officeDocument/2006/relationships/hyperlink" Target="https://www.forecastfp.co.uk/fees/" TargetMode="External"/><Relationship Id="rId420" Type="http://schemas.openxmlformats.org/officeDocument/2006/relationships/hyperlink" Target="https://www.face-uk.com/" TargetMode="External"/><Relationship Id="rId658" Type="http://schemas.openxmlformats.org/officeDocument/2006/relationships/hyperlink" Target="https://find-and-update.company-information.service.gov.uk/company/11722983/filing-history" TargetMode="External"/><Relationship Id="rId865" Type="http://schemas.openxmlformats.org/officeDocument/2006/relationships/hyperlink" Target="https://find-and-update.company-information.service.gov.uk/company/00873463/filing-history" TargetMode="External"/><Relationship Id="rId1050" Type="http://schemas.openxmlformats.org/officeDocument/2006/relationships/hyperlink" Target="https://www.shackletonadvisers.co.uk/" TargetMode="External"/><Relationship Id="rId297" Type="http://schemas.openxmlformats.org/officeDocument/2006/relationships/hyperlink" Target="https://financialcaresolutions.co.uk/how-we-work/" TargetMode="External"/><Relationship Id="rId518" Type="http://schemas.openxmlformats.org/officeDocument/2006/relationships/hyperlink" Target="https://systemviewer.kiihub.com/documents/SMIT/G1OB_UnitedKingdom_EN-GB.pdf" TargetMode="External"/><Relationship Id="rId725" Type="http://schemas.openxmlformats.org/officeDocument/2006/relationships/hyperlink" Target="https://find-and-update.company-information.service.gov.uk/company/04985940/filing-history" TargetMode="External"/><Relationship Id="rId932" Type="http://schemas.openxmlformats.org/officeDocument/2006/relationships/hyperlink" Target="https://wealthatbluesky.com/your-bluesky-journey/fees/" TargetMode="External"/><Relationship Id="rId157" Type="http://schemas.openxmlformats.org/officeDocument/2006/relationships/hyperlink" Target="https://altorfer.co.uk/wp-content/uploads/Client-Agreement.pdf" TargetMode="External"/><Relationship Id="rId364" Type="http://schemas.openxmlformats.org/officeDocument/2006/relationships/hyperlink" Target="https://gsigroup.co.uk/our-charges/" TargetMode="External"/><Relationship Id="rId1008" Type="http://schemas.openxmlformats.org/officeDocument/2006/relationships/hyperlink" Target="https://simplymortgages.co.uk/" TargetMode="External"/><Relationship Id="rId61" Type="http://schemas.openxmlformats.org/officeDocument/2006/relationships/hyperlink" Target="http://www.amberriver.com/" TargetMode="External"/><Relationship Id="rId571" Type="http://schemas.openxmlformats.org/officeDocument/2006/relationships/hyperlink" Target="https://www.hl.co.uk/funds/fund-discounts,-prices--and--factsheets/search-results/h/hl-balanced-managed-class-a-accumulation" TargetMode="External"/><Relationship Id="rId669" Type="http://schemas.openxmlformats.org/officeDocument/2006/relationships/hyperlink" Target="https://www.sturdyedwards.co.uk/" TargetMode="External"/><Relationship Id="rId876" Type="http://schemas.openxmlformats.org/officeDocument/2006/relationships/hyperlink" Target="https://downloads.spw.com/public/Factsheets/FS-GB00BJRSQM30.pdf" TargetMode="External"/><Relationship Id="rId19" Type="http://schemas.openxmlformats.org/officeDocument/2006/relationships/hyperlink" Target="https://www.strategicwealth.co.uk/our-fees" TargetMode="External"/><Relationship Id="rId224" Type="http://schemas.openxmlformats.org/officeDocument/2006/relationships/hyperlink" Target="https://www.ubp.com/uk" TargetMode="External"/><Relationship Id="rId431" Type="http://schemas.openxmlformats.org/officeDocument/2006/relationships/hyperlink" Target="https://titanpi.co.uk/wp-content/uploads/2026/01/Platform-Terms-of-Business.pdf" TargetMode="External"/><Relationship Id="rId529" Type="http://schemas.openxmlformats.org/officeDocument/2006/relationships/hyperlink" Target="https://systemviewer.kiihub.com/documents/SMIT/G1OB_UnitedKingdom_EN-GB.pdf" TargetMode="External"/><Relationship Id="rId736" Type="http://schemas.openxmlformats.org/officeDocument/2006/relationships/hyperlink" Target="https://find-and-update.company-information.service.gov.uk/company/05957611/filing-history" TargetMode="External"/><Relationship Id="rId1061" Type="http://schemas.openxmlformats.org/officeDocument/2006/relationships/hyperlink" Target="https://www.mchb.co.uk/" TargetMode="External"/><Relationship Id="rId168" Type="http://schemas.openxmlformats.org/officeDocument/2006/relationships/hyperlink" Target="https://find-and-update.company-information.service.gov.uk/company/00277519/filing-history" TargetMode="External"/><Relationship Id="rId943" Type="http://schemas.openxmlformats.org/officeDocument/2006/relationships/hyperlink" Target="https://find-and-update.company-information.service.gov.uk/company/13190901/filing-history" TargetMode="External"/><Relationship Id="rId1019" Type="http://schemas.openxmlformats.org/officeDocument/2006/relationships/hyperlink" Target="http://www.barclays.com/" TargetMode="External"/><Relationship Id="rId72" Type="http://schemas.openxmlformats.org/officeDocument/2006/relationships/hyperlink" Target="https://www.tamassetmanagement.com/data/uploads/factsheets/active-balanced-q4-2025.pdf" TargetMode="External"/><Relationship Id="rId375" Type="http://schemas.openxmlformats.org/officeDocument/2006/relationships/hyperlink" Target="https://find-and-update.company-information.service.gov.uk/company/04039013/filing-history" TargetMode="External"/><Relationship Id="rId582" Type="http://schemas.openxmlformats.org/officeDocument/2006/relationships/hyperlink" Target="https://www.isisfp.co.uk/fees/" TargetMode="External"/><Relationship Id="rId803" Type="http://schemas.openxmlformats.org/officeDocument/2006/relationships/hyperlink" Target="https://find-and-update.company-information.service.gov.uk/company/07584487/filing-history" TargetMode="External"/><Relationship Id="rId3" Type="http://schemas.openxmlformats.org/officeDocument/2006/relationships/hyperlink" Target="https://cdn.simplyplatform.co.uk/simplycluster3-web2/wp-content/uploads/sites/279/2025/10/31135135/1-MIPH-Terms-of-Business-2025-08-D80-1.pdf" TargetMode="External"/><Relationship Id="rId235" Type="http://schemas.openxmlformats.org/officeDocument/2006/relationships/hyperlink" Target="http://www.versowm.com/" TargetMode="External"/><Relationship Id="rId442" Type="http://schemas.openxmlformats.org/officeDocument/2006/relationships/hyperlink" Target="https://wealthandtax.co.uk/our-fees/" TargetMode="External"/><Relationship Id="rId887" Type="http://schemas.openxmlformats.org/officeDocument/2006/relationships/hyperlink" Target="https://find-and-update.company-information.service.gov.uk/company/02090838/filing-history" TargetMode="External"/><Relationship Id="rId1072" Type="http://schemas.openxmlformats.org/officeDocument/2006/relationships/hyperlink" Target="http://www.pipersandler.com/" TargetMode="External"/><Relationship Id="rId302" Type="http://schemas.openxmlformats.org/officeDocument/2006/relationships/hyperlink" Target="http://jenningswm.com/fees/" TargetMode="External"/><Relationship Id="rId747" Type="http://schemas.openxmlformats.org/officeDocument/2006/relationships/hyperlink" Target="https://find-and-update.company-information.service.gov.uk/company/OC310023/filing-history" TargetMode="External"/><Relationship Id="rId954" Type="http://schemas.openxmlformats.org/officeDocument/2006/relationships/hyperlink" Target="https://www.investmentquorum.com/pricing" TargetMode="External"/><Relationship Id="rId83" Type="http://schemas.openxmlformats.org/officeDocument/2006/relationships/hyperlink" Target="https://find-and-update.company-information.service.gov.uk/company/03776035/filing-history" TargetMode="External"/><Relationship Id="rId179" Type="http://schemas.openxmlformats.org/officeDocument/2006/relationships/hyperlink" Target="https://www.castlesundborn.co.uk/media/attachments/2024/02/27/csl-client-agreement---feb-24---aw.pdf" TargetMode="External"/><Relationship Id="rId386" Type="http://schemas.openxmlformats.org/officeDocument/2006/relationships/hyperlink" Target="https://www.oliverfp.co.uk/" TargetMode="External"/><Relationship Id="rId593" Type="http://schemas.openxmlformats.org/officeDocument/2006/relationships/hyperlink" Target="https://find-and-update.company-information.service.gov.uk/company/04732588/filing-history" TargetMode="External"/><Relationship Id="rId607" Type="http://schemas.openxmlformats.org/officeDocument/2006/relationships/hyperlink" Target="https://www.natwest.com/premier-banking/financial-advice/investment-advice.html" TargetMode="External"/><Relationship Id="rId814" Type="http://schemas.openxmlformats.org/officeDocument/2006/relationships/hyperlink" Target="https://philpottfinancial.com/about-us/our-fees/" TargetMode="External"/><Relationship Id="rId246" Type="http://schemas.openxmlformats.org/officeDocument/2006/relationships/hyperlink" Target="https://find-and-update.company-information.service.gov.uk/company/09755704/filing-history" TargetMode="External"/><Relationship Id="rId453" Type="http://schemas.openxmlformats.org/officeDocument/2006/relationships/hyperlink" Target="https://find-and-update.company-information.service.gov.uk/company/SC215343/filing-history" TargetMode="External"/><Relationship Id="rId660" Type="http://schemas.openxmlformats.org/officeDocument/2006/relationships/hyperlink" Target="https://www.spw.com/our-fees/" TargetMode="External"/><Relationship Id="rId898" Type="http://schemas.openxmlformats.org/officeDocument/2006/relationships/hyperlink" Target="https://www.equilibrium.co.uk/" TargetMode="External"/><Relationship Id="rId1083" Type="http://schemas.openxmlformats.org/officeDocument/2006/relationships/hyperlink" Target="https://find-and-update.company-information.service.gov.uk/company/09516087/filing-history" TargetMode="External"/><Relationship Id="rId106" Type="http://schemas.openxmlformats.org/officeDocument/2006/relationships/hyperlink" Target="https://find-and-update.company-information.service.gov.uk/company/11283101/filing-history" TargetMode="External"/><Relationship Id="rId313" Type="http://schemas.openxmlformats.org/officeDocument/2006/relationships/hyperlink" Target="https://atawny.co.uk/wp-content/uploads/2024/09/Aaron-Tawny-Transparent-Approach-17.9.24.pdf" TargetMode="External"/><Relationship Id="rId758" Type="http://schemas.openxmlformats.org/officeDocument/2006/relationships/hyperlink" Target="https://find-and-update.company-information.service.gov.uk/company/05893692/filing-history" TargetMode="External"/><Relationship Id="rId965" Type="http://schemas.openxmlformats.org/officeDocument/2006/relationships/hyperlink" Target="https://rad-new.com/financial-planning/" TargetMode="External"/><Relationship Id="rId10" Type="http://schemas.openxmlformats.org/officeDocument/2006/relationships/hyperlink" Target="https://www.ontrakfp.co.uk/" TargetMode="External"/><Relationship Id="rId94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397" Type="http://schemas.openxmlformats.org/officeDocument/2006/relationships/hyperlink" Target="https://find-and-update.company-information.service.gov.uk/company/03145431/filing-history" TargetMode="External"/><Relationship Id="rId520" Type="http://schemas.openxmlformats.org/officeDocument/2006/relationships/hyperlink" Target="https://systemviewer.kiihub.com/documents/SMIT/G1OB_UnitedKingdom_EN-GB.pdf" TargetMode="External"/><Relationship Id="rId618" Type="http://schemas.openxmlformats.org/officeDocument/2006/relationships/hyperlink" Target="https://www.fundslibrary.co.uk/fundslibrary.dataretrieval/documents.aspx/?id=703093f0-f269-4f80-8396-9845ba2c89de&amp;user=ZCR%2BxM%2FTbCF5bo1R%2FAgV3haVjJ%2BRYO8QhpUMd8H5i0A%3D&amp;type=fund_unit_kiid&amp;r=1" TargetMode="External"/><Relationship Id="rId825" Type="http://schemas.openxmlformats.org/officeDocument/2006/relationships/hyperlink" Target="https://find-and-update.company-information.service.gov.uk/company/11283101/filing-history" TargetMode="External"/><Relationship Id="rId257" Type="http://schemas.openxmlformats.org/officeDocument/2006/relationships/hyperlink" Target="https://www.wildandcompany.ltd.uk/" TargetMode="External"/><Relationship Id="rId464" Type="http://schemas.openxmlformats.org/officeDocument/2006/relationships/hyperlink" Target="http://www.ainv.co.uk/" TargetMode="External"/><Relationship Id="rId1010" Type="http://schemas.openxmlformats.org/officeDocument/2006/relationships/hyperlink" Target="http://www.moneyhoneyfp.co.uk/" TargetMode="External"/><Relationship Id="rId1094" Type="http://schemas.openxmlformats.org/officeDocument/2006/relationships/hyperlink" Target="https://www.tamassetmanagement.com/data/uploads/factsheets/active-balanced-q4-2025.pdf" TargetMode="External"/><Relationship Id="rId1108" Type="http://schemas.openxmlformats.org/officeDocument/2006/relationships/hyperlink" Target="https://www.valu-trac.com/administration-services/clients/esprit/tb/VT%20Esprit%20Tactical%20Balanced%20-%20February%202026.pdf" TargetMode="External"/><Relationship Id="rId117" Type="http://schemas.openxmlformats.org/officeDocument/2006/relationships/hyperlink" Target="https://goodmoneyguide.com/investing/wealth-management/?utm_source=copilot.com" TargetMode="External"/><Relationship Id="rId671" Type="http://schemas.openxmlformats.org/officeDocument/2006/relationships/hyperlink" Target="https://find-and-update.company-information.service.gov.uk/company/03730470/filing-history" TargetMode="External"/><Relationship Id="rId769" Type="http://schemas.openxmlformats.org/officeDocument/2006/relationships/hyperlink" Target="https://www.wwealth.co.uk/pricing/" TargetMode="External"/><Relationship Id="rId976" Type="http://schemas.openxmlformats.org/officeDocument/2006/relationships/hyperlink" Target="https://find-and-update.company-information.service.gov.uk/company/09498223/filing-history" TargetMode="External"/><Relationship Id="rId324" Type="http://schemas.openxmlformats.org/officeDocument/2006/relationships/hyperlink" Target="https://cdn.simplyplatform.co.uk/simplycluster3-web2/wp-content/uploads/sites/322/2023/10/23100211/RESP004-ResponsibleWealth-OngoingServicePropositionForm-v8.pdf" TargetMode="External"/><Relationship Id="rId531" Type="http://schemas.openxmlformats.org/officeDocument/2006/relationships/hyperlink" Target="https://www.evelyn.com/fees-charges/" TargetMode="External"/><Relationship Id="rId629" Type="http://schemas.openxmlformats.org/officeDocument/2006/relationships/hyperlink" Target="https://www.quilter.com/4a330d/siteassets/documents/platform/guides-and-brochures/18035-making-the-cost-of-investment-clear.pdf" TargetMode="External"/><Relationship Id="rId836" Type="http://schemas.openxmlformats.org/officeDocument/2006/relationships/hyperlink" Target="https://serenityfp.com/our-fees/" TargetMode="External"/><Relationship Id="rId1021" Type="http://schemas.openxmlformats.org/officeDocument/2006/relationships/hyperlink" Target="http://www.bbi-ifa.co.uk/" TargetMode="External"/><Relationship Id="rId1119" Type="http://schemas.openxmlformats.org/officeDocument/2006/relationships/hyperlink" Target="https://documentscdn.financialexpress.net/Literature/DDCAFD58A057F2264C9D86785D397395/236968115.pdf" TargetMode="External"/><Relationship Id="rId903" Type="http://schemas.openxmlformats.org/officeDocument/2006/relationships/hyperlink" Target="https://markets.ft.com/data/funds/tearsheet/summary?s=GB00BYXHQX09:GBX" TargetMode="External"/><Relationship Id="rId32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181" Type="http://schemas.openxmlformats.org/officeDocument/2006/relationships/hyperlink" Target="https://www.fairstone.co.uk/" TargetMode="External"/><Relationship Id="rId279" Type="http://schemas.openxmlformats.org/officeDocument/2006/relationships/hyperlink" Target="https://www.pifinancial.co.uk/" TargetMode="External"/><Relationship Id="rId486" Type="http://schemas.openxmlformats.org/officeDocument/2006/relationships/hyperlink" Target="https://www.cockburnlucas.co.uk/our-fees/" TargetMode="External"/><Relationship Id="rId693" Type="http://schemas.openxmlformats.org/officeDocument/2006/relationships/hyperlink" Target="https://find-and-update.company-information.service.gov.uk/company/SC544555/filing-history" TargetMode="External"/><Relationship Id="rId139" Type="http://schemas.openxmlformats.org/officeDocument/2006/relationships/hyperlink" Target="https://www.cheethamjackson.com/what-we-do/our-fees/" TargetMode="External"/><Relationship Id="rId346" Type="http://schemas.openxmlformats.org/officeDocument/2006/relationships/hyperlink" Target="https://find-and-update.company-information.service.gov.uk/company/13010558/filing-history" TargetMode="External"/><Relationship Id="rId553" Type="http://schemas.openxmlformats.org/officeDocument/2006/relationships/hyperlink" Target="https://find-and-update.company-information.service.gov.uk/company/04448384/filing-history" TargetMode="External"/><Relationship Id="rId760" Type="http://schemas.openxmlformats.org/officeDocument/2006/relationships/hyperlink" Target="https://www.v2vfp.co.uk/" TargetMode="External"/><Relationship Id="rId998" Type="http://schemas.openxmlformats.org/officeDocument/2006/relationships/hyperlink" Target="http://www.tslombard.com/" TargetMode="External"/><Relationship Id="rId206" Type="http://schemas.openxmlformats.org/officeDocument/2006/relationships/hyperlink" Target="https://www.directwealthmanagement.co.uk/fees/" TargetMode="External"/><Relationship Id="rId413" Type="http://schemas.openxmlformats.org/officeDocument/2006/relationships/hyperlink" Target="https://www.valu-trac.com/administration-services/clients/esprit/tb/VT%20Esprit%20Tactical%20Balanced%20-%20February%202026.pdf" TargetMode="External"/><Relationship Id="rId858" Type="http://schemas.openxmlformats.org/officeDocument/2006/relationships/hyperlink" Target="https://dartingtonwealth.co.uk/our-services-fees/" TargetMode="External"/><Relationship Id="rId1043" Type="http://schemas.openxmlformats.org/officeDocument/2006/relationships/hyperlink" Target="http://www.fraserspy.co.uk/" TargetMode="External"/><Relationship Id="rId620" Type="http://schemas.openxmlformats.org/officeDocument/2006/relationships/hyperlink" Target="https://www.pwcltd.co.uk/wp-content/uploads/2023/10/Client-Agreement-CDR-July-2023-1-8.pdf" TargetMode="External"/><Relationship Id="rId718" Type="http://schemas.openxmlformats.org/officeDocument/2006/relationships/hyperlink" Target="https://brigroup.co.uk/our-approach/" TargetMode="External"/><Relationship Id="rId925" Type="http://schemas.openxmlformats.org/officeDocument/2006/relationships/hyperlink" Target="https://www.successionwealth.co.uk/about-us/our-fees" TargetMode="External"/><Relationship Id="rId1110" Type="http://schemas.openxmlformats.org/officeDocument/2006/relationships/hyperlink" Target="https://www.valu-trac.com/administration-services/clients/esprit/tb/VT%20Esprit%20Tactical%20Balanced%20-%20February%202026.pdf" TargetMode="External"/><Relationship Id="rId54" Type="http://schemas.openxmlformats.org/officeDocument/2006/relationships/hyperlink" Target="https://www.bwifa.co.uk/%20amber%20river" TargetMode="External"/><Relationship Id="rId270" Type="http://schemas.openxmlformats.org/officeDocument/2006/relationships/hyperlink" Target="https://www.rock-wealth.co.uk/our-fees/" TargetMode="External"/><Relationship Id="rId130" Type="http://schemas.openxmlformats.org/officeDocument/2006/relationships/hyperlink" Target="https://goodmoneyguide.com/investing/wealth-management/?utm_source=copilot.com" TargetMode="External"/><Relationship Id="rId368" Type="http://schemas.openxmlformats.org/officeDocument/2006/relationships/hyperlink" Target="https://www.huwwatts-ifp.co.uk/" TargetMode="External"/><Relationship Id="rId575" Type="http://schemas.openxmlformats.org/officeDocument/2006/relationships/hyperlink" Target="https://find-and-update.company-information.service.gov.uk/company/OC362121/filing-history" TargetMode="External"/><Relationship Id="rId782" Type="http://schemas.openxmlformats.org/officeDocument/2006/relationships/hyperlink" Target="http://www.ascotlloyd.co.uk/" TargetMode="External"/><Relationship Id="rId228" Type="http://schemas.openxmlformats.org/officeDocument/2006/relationships/hyperlink" Target="https://www.tingleyandcooper.com/advice/fees/" TargetMode="External"/><Relationship Id="rId435" Type="http://schemas.openxmlformats.org/officeDocument/2006/relationships/hyperlink" Target="https://titanpi.co.uk/wp-content/uploads/2026/01/Platform-Terms-of-Business.pdf" TargetMode="External"/><Relationship Id="rId642" Type="http://schemas.openxmlformats.org/officeDocument/2006/relationships/hyperlink" Target="https://find-and-update.company-information.service.gov.uk/company/02036944/filing-history" TargetMode="External"/><Relationship Id="rId1065" Type="http://schemas.openxmlformats.org/officeDocument/2006/relationships/hyperlink" Target="https://www.mitchellprockter.co.uk/" TargetMode="External"/><Relationship Id="rId502" Type="http://schemas.openxmlformats.org/officeDocument/2006/relationships/hyperlink" Target="https://find-and-update.company-information.service.gov.uk/company/04688919/filing-history" TargetMode="External"/><Relationship Id="rId947" Type="http://schemas.openxmlformats.org/officeDocument/2006/relationships/hyperlink" Target="http://www.chadwicks.co.uk/" TargetMode="External"/><Relationship Id="rId1132" Type="http://schemas.openxmlformats.org/officeDocument/2006/relationships/hyperlink" Target="https://api.titanwh.com/assets/b9014520-1e54-4706-93da-5a2472bdef9a?" TargetMode="External"/><Relationship Id="rId76" Type="http://schemas.openxmlformats.org/officeDocument/2006/relationships/hyperlink" Target="https://www.tamassetmanagement.com/data/uploads/factsheets/active-balanced-q4-2025.pdf" TargetMode="External"/><Relationship Id="rId807" Type="http://schemas.openxmlformats.org/officeDocument/2006/relationships/hyperlink" Target="https://www.expertifp.com/" TargetMode="External"/><Relationship Id="rId292" Type="http://schemas.openxmlformats.org/officeDocument/2006/relationships/hyperlink" Target="https://find-and-update.company-information.service.gov.uk/company/07008093/filing-history" TargetMode="External"/><Relationship Id="rId597" Type="http://schemas.openxmlformats.org/officeDocument/2006/relationships/hyperlink" Target="https://find-and-update.company-information.service.gov.uk/company/13685687/filing-history" TargetMode="External"/><Relationship Id="rId152" Type="http://schemas.openxmlformats.org/officeDocument/2006/relationships/hyperlink" Target="https://www.pensionfreedom.co.uk/wp-content/uploads/2024/11/2024-11-Pension-Freedom-Client-Agreement.pdf" TargetMode="External"/><Relationship Id="rId457" Type="http://schemas.openxmlformats.org/officeDocument/2006/relationships/hyperlink" Target="https://www.origenfs.co.uk/" TargetMode="External"/><Relationship Id="rId1087" Type="http://schemas.openxmlformats.org/officeDocument/2006/relationships/hyperlink" Target="https://zomiwealth.com/" TargetMode="External"/><Relationship Id="rId664" Type="http://schemas.openxmlformats.org/officeDocument/2006/relationships/hyperlink" Target="https://find-and-update.company-information.service.gov.uk/company/11722983/filing-history" TargetMode="External"/><Relationship Id="rId871" Type="http://schemas.openxmlformats.org/officeDocument/2006/relationships/hyperlink" Target="https://oakfour.co.uk/pricing" TargetMode="External"/><Relationship Id="rId969" Type="http://schemas.openxmlformats.org/officeDocument/2006/relationships/hyperlink" Target="https://www.howardwright.co.uk/what-we-do-how-we-charge/" TargetMode="External"/><Relationship Id="rId317" Type="http://schemas.openxmlformats.org/officeDocument/2006/relationships/hyperlink" Target="https://find-and-update.company-information.service.gov.uk/company/03467400/filing-history" TargetMode="External"/><Relationship Id="rId524" Type="http://schemas.openxmlformats.org/officeDocument/2006/relationships/hyperlink" Target="https://www.fairstonegroup.co.uk/guide/fairstone-introduces-new-streamlined-client-proposition/?utm_source=copilot.com" TargetMode="External"/><Relationship Id="rId731" Type="http://schemas.openxmlformats.org/officeDocument/2006/relationships/hyperlink" Target="https://www.barkerpoland.co.uk/fees/" TargetMode="External"/><Relationship Id="rId98" Type="http://schemas.openxmlformats.org/officeDocument/2006/relationships/hyperlink" Target="https://find-and-update.company-information.service.gov.uk/company/09634747/filing-history" TargetMode="External"/><Relationship Id="rId829" Type="http://schemas.openxmlformats.org/officeDocument/2006/relationships/hyperlink" Target="https://find-and-update.company-information.service.gov.uk/company/12962917/filing-history" TargetMode="External"/><Relationship Id="rId1014" Type="http://schemas.openxmlformats.org/officeDocument/2006/relationships/hyperlink" Target="https://alandonald.co.uk/faqs" TargetMode="External"/><Relationship Id="rId25" Type="http://schemas.openxmlformats.org/officeDocument/2006/relationships/hyperlink" Target="https://altorwealth.com/about-us/" TargetMode="External"/><Relationship Id="rId174" Type="http://schemas.openxmlformats.org/officeDocument/2006/relationships/hyperlink" Target="https://find-and-update.company-information.service.gov.uk/company/08068582/filing-history" TargetMode="External"/><Relationship Id="rId381" Type="http://schemas.openxmlformats.org/officeDocument/2006/relationships/hyperlink" Target="https://missionfinancial.co.uk/wp-content/uploads/2025/12/mission-fees-table-pdf.pdf" TargetMode="External"/><Relationship Id="rId241" Type="http://schemas.openxmlformats.org/officeDocument/2006/relationships/hyperlink" Target="https://find-and-update.company-information.service.gov.uk/company/10975976/filing-history" TargetMode="External"/><Relationship Id="rId479" Type="http://schemas.openxmlformats.org/officeDocument/2006/relationships/hyperlink" Target="http://www.blgwealth.com/" TargetMode="External"/><Relationship Id="rId686" Type="http://schemas.openxmlformats.org/officeDocument/2006/relationships/hyperlink" Target="https://find-and-update.company-information.service.gov.uk/company/03445703/filing-history" TargetMode="External"/><Relationship Id="rId893" Type="http://schemas.openxmlformats.org/officeDocument/2006/relationships/hyperlink" Target="https://www.rathbones.com/saunderson%20-%20house%20-%20part%20-%20rathbones%20-%20group%20-%20plc" TargetMode="External"/><Relationship Id="rId339" Type="http://schemas.openxmlformats.org/officeDocument/2006/relationships/hyperlink" Target="https://find-and-update.company-information.service.gov.uk/company/OC325079/filing-history" TargetMode="External"/><Relationship Id="rId546" Type="http://schemas.openxmlformats.org/officeDocument/2006/relationships/hyperlink" Target="https://www.hbdobbin.com/about-us/our-fees/" TargetMode="External"/><Relationship Id="rId753" Type="http://schemas.openxmlformats.org/officeDocument/2006/relationships/hyperlink" Target="https://find-and-update.company-information.service.gov.uk/company/05583593/filing-history" TargetMode="External"/><Relationship Id="rId101" Type="http://schemas.openxmlformats.org/officeDocument/2006/relationships/hyperlink" Target="https://d1yv4ntisp48q0.cloudfront.net/wp-content/uploads/2025/05/ARHDA-Terms-of-Business-and-Services-Fees-May-2025.pdf?utm_source=copilot.com" TargetMode="External"/><Relationship Id="rId406" Type="http://schemas.openxmlformats.org/officeDocument/2006/relationships/hyperlink" Target="https://www.successionwealth.co.uk/about-us/our-fees" TargetMode="External"/><Relationship Id="rId960" Type="http://schemas.openxmlformats.org/officeDocument/2006/relationships/hyperlink" Target="https://pfmdental.co.uk/financial-planning/wealth-management/" TargetMode="External"/><Relationship Id="rId1036" Type="http://schemas.openxmlformats.org/officeDocument/2006/relationships/hyperlink" Target="http://www.dhfm.co.uk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78"/>
  <sheetViews>
    <sheetView topLeftCell="A57" zoomScaleNormal="100" workbookViewId="0">
      <selection activeCell="A4" sqref="A4"/>
    </sheetView>
  </sheetViews>
  <sheetFormatPr defaultColWidth="8.42578125" defaultRowHeight="15" x14ac:dyDescent="0.25"/>
  <cols>
    <col min="1" max="1" width="42" customWidth="1"/>
    <col min="2" max="2" width="9.7109375" customWidth="1"/>
  </cols>
  <sheetData>
    <row r="1" spans="1:2" x14ac:dyDescent="0.25">
      <c r="A1" s="2" t="s">
        <v>5701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2453</v>
      </c>
      <c r="B4" t="s">
        <v>5704</v>
      </c>
    </row>
    <row r="5" spans="1:2" x14ac:dyDescent="0.25">
      <c r="A5" t="s">
        <v>4617</v>
      </c>
      <c r="B5" t="s">
        <v>5704</v>
      </c>
    </row>
    <row r="6" spans="1:2" x14ac:dyDescent="0.25">
      <c r="A6" t="s">
        <v>416</v>
      </c>
      <c r="B6" t="s">
        <v>5704</v>
      </c>
    </row>
    <row r="7" spans="1:2" x14ac:dyDescent="0.25">
      <c r="A7" t="s">
        <v>3916</v>
      </c>
      <c r="B7" t="s">
        <v>5704</v>
      </c>
    </row>
    <row r="8" spans="1:2" x14ac:dyDescent="0.25">
      <c r="A8" t="s">
        <v>483</v>
      </c>
      <c r="B8" t="s">
        <v>5704</v>
      </c>
    </row>
    <row r="9" spans="1:2" x14ac:dyDescent="0.25">
      <c r="A9" t="s">
        <v>2267</v>
      </c>
      <c r="B9" t="s">
        <v>5704</v>
      </c>
    </row>
    <row r="10" spans="1:2" x14ac:dyDescent="0.25">
      <c r="A10" t="s">
        <v>4045</v>
      </c>
      <c r="B10" t="s">
        <v>5704</v>
      </c>
    </row>
    <row r="11" spans="1:2" x14ac:dyDescent="0.25">
      <c r="A11" t="s">
        <v>5064</v>
      </c>
      <c r="B11" t="s">
        <v>5704</v>
      </c>
    </row>
    <row r="12" spans="1:2" x14ac:dyDescent="0.25">
      <c r="A12" t="s">
        <v>3734</v>
      </c>
      <c r="B12" t="s">
        <v>5704</v>
      </c>
    </row>
    <row r="13" spans="1:2" x14ac:dyDescent="0.25">
      <c r="A13" t="s">
        <v>4765</v>
      </c>
      <c r="B13" t="s">
        <v>5704</v>
      </c>
    </row>
    <row r="14" spans="1:2" x14ac:dyDescent="0.25">
      <c r="A14" t="s">
        <v>5638</v>
      </c>
      <c r="B14" t="s">
        <v>5704</v>
      </c>
    </row>
    <row r="15" spans="1:2" x14ac:dyDescent="0.25">
      <c r="A15" t="s">
        <v>1305</v>
      </c>
      <c r="B15" t="s">
        <v>5704</v>
      </c>
    </row>
    <row r="16" spans="1:2" x14ac:dyDescent="0.25">
      <c r="A16" t="s">
        <v>5561</v>
      </c>
      <c r="B16" t="s">
        <v>5704</v>
      </c>
    </row>
    <row r="17" spans="1:2" x14ac:dyDescent="0.25">
      <c r="A17" t="s">
        <v>474</v>
      </c>
      <c r="B17" t="s">
        <v>5704</v>
      </c>
    </row>
    <row r="18" spans="1:2" x14ac:dyDescent="0.25">
      <c r="A18" t="s">
        <v>465</v>
      </c>
      <c r="B18" t="s">
        <v>5704</v>
      </c>
    </row>
    <row r="19" spans="1:2" x14ac:dyDescent="0.25">
      <c r="A19" t="s">
        <v>4314</v>
      </c>
      <c r="B19" t="s">
        <v>5704</v>
      </c>
    </row>
    <row r="20" spans="1:2" x14ac:dyDescent="0.25">
      <c r="A20" t="s">
        <v>2683</v>
      </c>
      <c r="B20" t="s">
        <v>5704</v>
      </c>
    </row>
    <row r="21" spans="1:2" x14ac:dyDescent="0.25">
      <c r="A21" t="s">
        <v>1810</v>
      </c>
      <c r="B21" t="s">
        <v>5704</v>
      </c>
    </row>
    <row r="22" spans="1:2" x14ac:dyDescent="0.25">
      <c r="A22" t="s">
        <v>456</v>
      </c>
      <c r="B22" t="s">
        <v>5704</v>
      </c>
    </row>
    <row r="23" spans="1:2" x14ac:dyDescent="0.25">
      <c r="A23" t="s">
        <v>4462</v>
      </c>
      <c r="B23" t="s">
        <v>5704</v>
      </c>
    </row>
    <row r="24" spans="1:2" x14ac:dyDescent="0.25">
      <c r="A24" t="s">
        <v>3873</v>
      </c>
      <c r="B24" t="s">
        <v>5704</v>
      </c>
    </row>
    <row r="25" spans="1:2" x14ac:dyDescent="0.25">
      <c r="A25" t="s">
        <v>4585</v>
      </c>
      <c r="B25" t="s">
        <v>5704</v>
      </c>
    </row>
    <row r="26" spans="1:2" x14ac:dyDescent="0.25">
      <c r="A26" t="s">
        <v>1573</v>
      </c>
      <c r="B26" t="s">
        <v>5704</v>
      </c>
    </row>
    <row r="27" spans="1:2" x14ac:dyDescent="0.25">
      <c r="A27" t="s">
        <v>4698</v>
      </c>
      <c r="B27" t="s">
        <v>5704</v>
      </c>
    </row>
    <row r="28" spans="1:2" x14ac:dyDescent="0.25">
      <c r="A28" t="s">
        <v>2228</v>
      </c>
      <c r="B28" t="s">
        <v>5704</v>
      </c>
    </row>
    <row r="29" spans="1:2" x14ac:dyDescent="0.25">
      <c r="A29" t="s">
        <v>3707</v>
      </c>
      <c r="B29" t="s">
        <v>5704</v>
      </c>
    </row>
    <row r="30" spans="1:2" x14ac:dyDescent="0.25">
      <c r="A30" t="s">
        <v>3150</v>
      </c>
      <c r="B30" t="s">
        <v>5704</v>
      </c>
    </row>
    <row r="31" spans="1:2" x14ac:dyDescent="0.25">
      <c r="A31" t="s">
        <v>4261</v>
      </c>
      <c r="B31" t="s">
        <v>5704</v>
      </c>
    </row>
    <row r="32" spans="1:2" x14ac:dyDescent="0.25">
      <c r="A32" t="s">
        <v>3486</v>
      </c>
      <c r="B32" t="s">
        <v>5704</v>
      </c>
    </row>
    <row r="33" spans="1:2" x14ac:dyDescent="0.25">
      <c r="A33" t="s">
        <v>1203</v>
      </c>
      <c r="B33" t="s">
        <v>5704</v>
      </c>
    </row>
    <row r="34" spans="1:2" x14ac:dyDescent="0.25">
      <c r="A34" t="s">
        <v>4191</v>
      </c>
      <c r="B34" t="s">
        <v>5704</v>
      </c>
    </row>
    <row r="35" spans="1:2" x14ac:dyDescent="0.25">
      <c r="A35" t="s">
        <v>815</v>
      </c>
      <c r="B35" t="s">
        <v>5704</v>
      </c>
    </row>
    <row r="36" spans="1:2" x14ac:dyDescent="0.25">
      <c r="A36" t="s">
        <v>3178</v>
      </c>
      <c r="B36" t="s">
        <v>5704</v>
      </c>
    </row>
    <row r="37" spans="1:2" x14ac:dyDescent="0.25">
      <c r="A37" t="s">
        <v>2299</v>
      </c>
      <c r="B37" t="s">
        <v>5704</v>
      </c>
    </row>
    <row r="38" spans="1:2" x14ac:dyDescent="0.25">
      <c r="A38" t="s">
        <v>4401</v>
      </c>
      <c r="B38" t="s">
        <v>5704</v>
      </c>
    </row>
    <row r="39" spans="1:2" x14ac:dyDescent="0.25">
      <c r="A39" t="s">
        <v>4508</v>
      </c>
      <c r="B39" t="s">
        <v>5704</v>
      </c>
    </row>
    <row r="40" spans="1:2" x14ac:dyDescent="0.25">
      <c r="A40" t="s">
        <v>1640</v>
      </c>
      <c r="B40" t="s">
        <v>5704</v>
      </c>
    </row>
    <row r="41" spans="1:2" x14ac:dyDescent="0.25">
      <c r="A41" t="s">
        <v>4684</v>
      </c>
      <c r="B41" t="s">
        <v>5704</v>
      </c>
    </row>
    <row r="42" spans="1:2" x14ac:dyDescent="0.25">
      <c r="A42" t="s">
        <v>4363</v>
      </c>
      <c r="B42" t="s">
        <v>5704</v>
      </c>
    </row>
    <row r="43" spans="1:2" x14ac:dyDescent="0.25">
      <c r="A43" t="s">
        <v>272</v>
      </c>
      <c r="B43" t="s">
        <v>5704</v>
      </c>
    </row>
    <row r="44" spans="1:2" x14ac:dyDescent="0.25">
      <c r="A44" t="s">
        <v>4928</v>
      </c>
      <c r="B44" t="s">
        <v>5704</v>
      </c>
    </row>
    <row r="45" spans="1:2" x14ac:dyDescent="0.25">
      <c r="A45" t="s">
        <v>5578</v>
      </c>
      <c r="B45" t="s">
        <v>5704</v>
      </c>
    </row>
    <row r="46" spans="1:2" x14ac:dyDescent="0.25">
      <c r="A46" t="s">
        <v>2152</v>
      </c>
      <c r="B46" t="s">
        <v>5704</v>
      </c>
    </row>
    <row r="47" spans="1:2" x14ac:dyDescent="0.25">
      <c r="A47" t="s">
        <v>3699</v>
      </c>
      <c r="B47" t="s">
        <v>5704</v>
      </c>
    </row>
    <row r="48" spans="1:2" x14ac:dyDescent="0.25">
      <c r="A48" t="s">
        <v>5450</v>
      </c>
      <c r="B48" t="s">
        <v>5704</v>
      </c>
    </row>
    <row r="49" spans="1:2" x14ac:dyDescent="0.25">
      <c r="A49" t="s">
        <v>4469</v>
      </c>
      <c r="B49" t="s">
        <v>5704</v>
      </c>
    </row>
    <row r="50" spans="1:2" x14ac:dyDescent="0.25">
      <c r="A50" t="s">
        <v>1328</v>
      </c>
      <c r="B50" t="s">
        <v>5704</v>
      </c>
    </row>
    <row r="51" spans="1:2" x14ac:dyDescent="0.25">
      <c r="A51" t="s">
        <v>3315</v>
      </c>
      <c r="B51" t="s">
        <v>5704</v>
      </c>
    </row>
    <row r="52" spans="1:2" x14ac:dyDescent="0.25">
      <c r="A52" t="s">
        <v>4903</v>
      </c>
      <c r="B52" t="s">
        <v>5704</v>
      </c>
    </row>
    <row r="53" spans="1:2" x14ac:dyDescent="0.25">
      <c r="A53" t="s">
        <v>439</v>
      </c>
      <c r="B53" t="s">
        <v>5704</v>
      </c>
    </row>
    <row r="54" spans="1:2" x14ac:dyDescent="0.25">
      <c r="A54" t="s">
        <v>2704</v>
      </c>
      <c r="B54" t="s">
        <v>5704</v>
      </c>
    </row>
    <row r="55" spans="1:2" x14ac:dyDescent="0.25">
      <c r="A55" t="s">
        <v>3544</v>
      </c>
      <c r="B55" t="s">
        <v>5704</v>
      </c>
    </row>
    <row r="56" spans="1:2" x14ac:dyDescent="0.25">
      <c r="A56" t="s">
        <v>3605</v>
      </c>
      <c r="B56" t="s">
        <v>5704</v>
      </c>
    </row>
    <row r="57" spans="1:2" x14ac:dyDescent="0.25">
      <c r="A57" t="s">
        <v>4676</v>
      </c>
      <c r="B57" t="s">
        <v>5704</v>
      </c>
    </row>
    <row r="58" spans="1:2" x14ac:dyDescent="0.25">
      <c r="A58" t="s">
        <v>3480</v>
      </c>
      <c r="B58" t="s">
        <v>5704</v>
      </c>
    </row>
    <row r="59" spans="1:2" x14ac:dyDescent="0.25">
      <c r="A59" t="s">
        <v>1677</v>
      </c>
      <c r="B59" t="s">
        <v>5704</v>
      </c>
    </row>
    <row r="60" spans="1:2" x14ac:dyDescent="0.25">
      <c r="A60" t="s">
        <v>1025</v>
      </c>
      <c r="B60" t="s">
        <v>5704</v>
      </c>
    </row>
    <row r="61" spans="1:2" x14ac:dyDescent="0.25">
      <c r="A61" t="s">
        <v>2089</v>
      </c>
      <c r="B61" t="s">
        <v>5704</v>
      </c>
    </row>
    <row r="62" spans="1:2" x14ac:dyDescent="0.25">
      <c r="A62" t="s">
        <v>1878</v>
      </c>
      <c r="B62" t="s">
        <v>5704</v>
      </c>
    </row>
    <row r="63" spans="1:2" x14ac:dyDescent="0.25">
      <c r="A63" t="s">
        <v>3435</v>
      </c>
      <c r="B63" t="s">
        <v>5704</v>
      </c>
    </row>
    <row r="64" spans="1:2" x14ac:dyDescent="0.25">
      <c r="A64" t="s">
        <v>4710</v>
      </c>
      <c r="B64" t="s">
        <v>5704</v>
      </c>
    </row>
    <row r="65" spans="1:2" x14ac:dyDescent="0.25">
      <c r="A65" t="s">
        <v>1485</v>
      </c>
      <c r="B65" t="s">
        <v>5704</v>
      </c>
    </row>
    <row r="66" spans="1:2" x14ac:dyDescent="0.25">
      <c r="A66" t="s">
        <v>1549</v>
      </c>
      <c r="B66" t="s">
        <v>5704</v>
      </c>
    </row>
    <row r="67" spans="1:2" x14ac:dyDescent="0.25">
      <c r="A67" t="s">
        <v>2562</v>
      </c>
      <c r="B67" t="s">
        <v>5704</v>
      </c>
    </row>
    <row r="68" spans="1:2" x14ac:dyDescent="0.25">
      <c r="A68" t="s">
        <v>4562</v>
      </c>
      <c r="B68" t="s">
        <v>5704</v>
      </c>
    </row>
    <row r="69" spans="1:2" x14ac:dyDescent="0.25">
      <c r="A69" t="s">
        <v>2124</v>
      </c>
      <c r="B69" t="s">
        <v>5704</v>
      </c>
    </row>
    <row r="70" spans="1:2" x14ac:dyDescent="0.25">
      <c r="A70" t="s">
        <v>998</v>
      </c>
      <c r="B70" t="s">
        <v>5704</v>
      </c>
    </row>
    <row r="71" spans="1:2" x14ac:dyDescent="0.25">
      <c r="A71" t="s">
        <v>4217</v>
      </c>
      <c r="B71" t="s">
        <v>5704</v>
      </c>
    </row>
    <row r="72" spans="1:2" x14ac:dyDescent="0.25">
      <c r="A72" t="s">
        <v>4746</v>
      </c>
      <c r="B72" t="s">
        <v>5704</v>
      </c>
    </row>
    <row r="73" spans="1:2" x14ac:dyDescent="0.25">
      <c r="A73" t="s">
        <v>427</v>
      </c>
      <c r="B73" t="s">
        <v>5704</v>
      </c>
    </row>
    <row r="74" spans="1:2" x14ac:dyDescent="0.25">
      <c r="A74" t="s">
        <v>5367</v>
      </c>
      <c r="B74" t="s">
        <v>5704</v>
      </c>
    </row>
    <row r="75" spans="1:2" x14ac:dyDescent="0.25">
      <c r="A75" t="s">
        <v>4996</v>
      </c>
      <c r="B75" t="s">
        <v>5704</v>
      </c>
    </row>
    <row r="76" spans="1:2" x14ac:dyDescent="0.25">
      <c r="A76" t="s">
        <v>2288</v>
      </c>
      <c r="B76" t="s">
        <v>5704</v>
      </c>
    </row>
    <row r="77" spans="1:2" x14ac:dyDescent="0.25">
      <c r="A77" t="s">
        <v>4756</v>
      </c>
      <c r="B77" t="s">
        <v>5704</v>
      </c>
    </row>
    <row r="78" spans="1:2" x14ac:dyDescent="0.25">
      <c r="A78" t="s">
        <v>4088</v>
      </c>
      <c r="B78" t="s">
        <v>5704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38"/>
  <sheetViews>
    <sheetView topLeftCell="A17" zoomScaleNormal="100" workbookViewId="0">
      <selection activeCell="A4" sqref="A4"/>
    </sheetView>
  </sheetViews>
  <sheetFormatPr defaultColWidth="8.42578125" defaultRowHeight="15" x14ac:dyDescent="0.25"/>
  <cols>
    <col min="1" max="1" width="36.7109375" customWidth="1"/>
    <col min="2" max="2" width="9.7109375" customWidth="1"/>
  </cols>
  <sheetData>
    <row r="1" spans="1:2" x14ac:dyDescent="0.25">
      <c r="A1" s="2" t="s">
        <v>5725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1388</v>
      </c>
      <c r="B4" t="e">
        <f>#N/A</f>
        <v>#N/A</v>
      </c>
    </row>
    <row r="5" spans="1:2" x14ac:dyDescent="0.25">
      <c r="A5" t="s">
        <v>2862</v>
      </c>
      <c r="B5" t="e">
        <f>#N/A</f>
        <v>#N/A</v>
      </c>
    </row>
    <row r="6" spans="1:2" x14ac:dyDescent="0.25">
      <c r="A6" t="s">
        <v>5684</v>
      </c>
      <c r="B6" t="e">
        <f>#N/A</f>
        <v>#N/A</v>
      </c>
    </row>
    <row r="7" spans="1:2" x14ac:dyDescent="0.25">
      <c r="A7" t="s">
        <v>3546</v>
      </c>
      <c r="B7" t="e">
        <f>#N/A</f>
        <v>#N/A</v>
      </c>
    </row>
    <row r="8" spans="1:2" x14ac:dyDescent="0.25">
      <c r="A8" t="s">
        <v>3826</v>
      </c>
      <c r="B8" t="e">
        <f>#N/A</f>
        <v>#N/A</v>
      </c>
    </row>
    <row r="9" spans="1:2" x14ac:dyDescent="0.25">
      <c r="A9" t="s">
        <v>2723</v>
      </c>
      <c r="B9" t="e">
        <f>#N/A</f>
        <v>#N/A</v>
      </c>
    </row>
    <row r="10" spans="1:2" x14ac:dyDescent="0.25">
      <c r="A10" t="s">
        <v>4646</v>
      </c>
      <c r="B10" t="e">
        <f>#N/A</f>
        <v>#N/A</v>
      </c>
    </row>
    <row r="11" spans="1:2" x14ac:dyDescent="0.25">
      <c r="A11" t="s">
        <v>4934</v>
      </c>
      <c r="B11" t="e">
        <f>#N/A</f>
        <v>#N/A</v>
      </c>
    </row>
    <row r="12" spans="1:2" x14ac:dyDescent="0.25">
      <c r="A12" t="s">
        <v>775</v>
      </c>
      <c r="B12" t="e">
        <f>#N/A</f>
        <v>#N/A</v>
      </c>
    </row>
    <row r="13" spans="1:2" x14ac:dyDescent="0.25">
      <c r="A13" t="s">
        <v>3058</v>
      </c>
      <c r="B13" t="e">
        <f>#N/A</f>
        <v>#N/A</v>
      </c>
    </row>
    <row r="14" spans="1:2" x14ac:dyDescent="0.25">
      <c r="A14" t="s">
        <v>2414</v>
      </c>
      <c r="B14" t="e">
        <f>#N/A</f>
        <v>#N/A</v>
      </c>
    </row>
    <row r="15" spans="1:2" x14ac:dyDescent="0.25">
      <c r="A15" t="s">
        <v>5685</v>
      </c>
      <c r="B15" t="e">
        <f>#N/A</f>
        <v>#N/A</v>
      </c>
    </row>
    <row r="16" spans="1:2" x14ac:dyDescent="0.25">
      <c r="A16" t="s">
        <v>2500</v>
      </c>
      <c r="B16" t="e">
        <f>#N/A</f>
        <v>#N/A</v>
      </c>
    </row>
    <row r="17" spans="1:2" x14ac:dyDescent="0.25">
      <c r="A17" t="s">
        <v>5694</v>
      </c>
      <c r="B17" t="e">
        <f>#N/A</f>
        <v>#N/A</v>
      </c>
    </row>
    <row r="18" spans="1:2" x14ac:dyDescent="0.25">
      <c r="A18" t="s">
        <v>659</v>
      </c>
      <c r="B18" t="e">
        <f>#N/A</f>
        <v>#N/A</v>
      </c>
    </row>
    <row r="19" spans="1:2" x14ac:dyDescent="0.25">
      <c r="A19" t="s">
        <v>5523</v>
      </c>
      <c r="B19" t="e">
        <f>#N/A</f>
        <v>#N/A</v>
      </c>
    </row>
    <row r="20" spans="1:2" x14ac:dyDescent="0.25">
      <c r="A20" t="s">
        <v>2560</v>
      </c>
      <c r="B20" t="e">
        <f>#N/A</f>
        <v>#N/A</v>
      </c>
    </row>
    <row r="21" spans="1:2" x14ac:dyDescent="0.25">
      <c r="A21" t="s">
        <v>3891</v>
      </c>
      <c r="B21" t="e">
        <f>#N/A</f>
        <v>#N/A</v>
      </c>
    </row>
    <row r="22" spans="1:2" x14ac:dyDescent="0.25">
      <c r="A22" t="s">
        <v>2507</v>
      </c>
      <c r="B22" t="e">
        <f>#N/A</f>
        <v>#N/A</v>
      </c>
    </row>
    <row r="23" spans="1:2" x14ac:dyDescent="0.25">
      <c r="A23" t="s">
        <v>3298</v>
      </c>
      <c r="B23" t="e">
        <f>#N/A</f>
        <v>#N/A</v>
      </c>
    </row>
    <row r="24" spans="1:2" x14ac:dyDescent="0.25">
      <c r="A24" t="s">
        <v>311</v>
      </c>
      <c r="B24" t="e">
        <f>#N/A</f>
        <v>#N/A</v>
      </c>
    </row>
    <row r="25" spans="1:2" x14ac:dyDescent="0.25">
      <c r="A25" t="s">
        <v>5693</v>
      </c>
      <c r="B25" t="e">
        <f>#N/A</f>
        <v>#N/A</v>
      </c>
    </row>
    <row r="26" spans="1:2" x14ac:dyDescent="0.25">
      <c r="A26" t="s">
        <v>3372</v>
      </c>
      <c r="B26" t="e">
        <f>#N/A</f>
        <v>#N/A</v>
      </c>
    </row>
    <row r="27" spans="1:2" x14ac:dyDescent="0.25">
      <c r="A27" t="s">
        <v>144</v>
      </c>
      <c r="B27" t="e">
        <f>#N/A</f>
        <v>#N/A</v>
      </c>
    </row>
    <row r="28" spans="1:2" x14ac:dyDescent="0.25">
      <c r="A28" t="s">
        <v>3031</v>
      </c>
      <c r="B28" t="e">
        <f>#N/A</f>
        <v>#N/A</v>
      </c>
    </row>
    <row r="29" spans="1:2" x14ac:dyDescent="0.25">
      <c r="A29" t="s">
        <v>2596</v>
      </c>
      <c r="B29" t="e">
        <f>#N/A</f>
        <v>#N/A</v>
      </c>
    </row>
    <row r="30" spans="1:2" x14ac:dyDescent="0.25">
      <c r="A30" t="s">
        <v>2364</v>
      </c>
      <c r="B30" t="e">
        <f>#N/A</f>
        <v>#N/A</v>
      </c>
    </row>
    <row r="31" spans="1:2" x14ac:dyDescent="0.25">
      <c r="A31" t="s">
        <v>3391</v>
      </c>
      <c r="B31" t="e">
        <f>#N/A</f>
        <v>#N/A</v>
      </c>
    </row>
    <row r="32" spans="1:2" x14ac:dyDescent="0.25">
      <c r="A32" t="s">
        <v>4968</v>
      </c>
      <c r="B32" t="e">
        <f>#N/A</f>
        <v>#N/A</v>
      </c>
    </row>
    <row r="33" spans="1:2" x14ac:dyDescent="0.25">
      <c r="A33" t="s">
        <v>4104</v>
      </c>
      <c r="B33" t="e">
        <f>#N/A</f>
        <v>#N/A</v>
      </c>
    </row>
    <row r="34" spans="1:2" x14ac:dyDescent="0.25">
      <c r="A34" t="s">
        <v>4552</v>
      </c>
      <c r="B34" t="e">
        <f>#N/A</f>
        <v>#N/A</v>
      </c>
    </row>
    <row r="35" spans="1:2" x14ac:dyDescent="0.25">
      <c r="A35" t="s">
        <v>4773</v>
      </c>
      <c r="B35" t="e">
        <f>#N/A</f>
        <v>#N/A</v>
      </c>
    </row>
    <row r="36" spans="1:2" x14ac:dyDescent="0.25">
      <c r="A36" t="s">
        <v>4550</v>
      </c>
      <c r="B36" t="e">
        <f>#N/A</f>
        <v>#N/A</v>
      </c>
    </row>
    <row r="37" spans="1:2" x14ac:dyDescent="0.25">
      <c r="A37" t="s">
        <v>5726</v>
      </c>
      <c r="B37" t="e">
        <f>#N/A</f>
        <v>#N/A</v>
      </c>
    </row>
    <row r="38" spans="1:2" x14ac:dyDescent="0.25">
      <c r="A38" t="s">
        <v>4005</v>
      </c>
      <c r="B38" t="e">
        <f>#N/A</f>
        <v>#N/A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36"/>
  <sheetViews>
    <sheetView topLeftCell="A15" zoomScaleNormal="100" workbookViewId="0">
      <selection activeCell="A4" sqref="A4"/>
    </sheetView>
  </sheetViews>
  <sheetFormatPr defaultColWidth="8.42578125" defaultRowHeight="15" x14ac:dyDescent="0.25"/>
  <cols>
    <col min="1" max="1" width="45.85546875" customWidth="1"/>
    <col min="2" max="2" width="11.42578125" customWidth="1"/>
  </cols>
  <sheetData>
    <row r="1" spans="1:2" x14ac:dyDescent="0.25">
      <c r="A1" s="2" t="s">
        <v>5727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2769</v>
      </c>
      <c r="B4" t="s">
        <v>5728</v>
      </c>
    </row>
    <row r="5" spans="1:2" x14ac:dyDescent="0.25">
      <c r="A5" t="s">
        <v>735</v>
      </c>
      <c r="B5" t="s">
        <v>5728</v>
      </c>
    </row>
    <row r="6" spans="1:2" x14ac:dyDescent="0.25">
      <c r="A6" t="s">
        <v>4243</v>
      </c>
      <c r="B6" t="s">
        <v>5728</v>
      </c>
    </row>
    <row r="7" spans="1:2" x14ac:dyDescent="0.25">
      <c r="A7" t="s">
        <v>1958</v>
      </c>
      <c r="B7" t="s">
        <v>5728</v>
      </c>
    </row>
    <row r="8" spans="1:2" x14ac:dyDescent="0.25">
      <c r="A8" t="s">
        <v>1918</v>
      </c>
      <c r="B8" t="s">
        <v>5728</v>
      </c>
    </row>
    <row r="9" spans="1:2" x14ac:dyDescent="0.25">
      <c r="A9" t="s">
        <v>2302</v>
      </c>
      <c r="B9" t="s">
        <v>5728</v>
      </c>
    </row>
    <row r="10" spans="1:2" x14ac:dyDescent="0.25">
      <c r="A10" t="s">
        <v>2667</v>
      </c>
      <c r="B10" t="s">
        <v>5728</v>
      </c>
    </row>
    <row r="11" spans="1:2" x14ac:dyDescent="0.25">
      <c r="A11" t="s">
        <v>1939</v>
      </c>
      <c r="B11" t="s">
        <v>5728</v>
      </c>
    </row>
    <row r="12" spans="1:2" x14ac:dyDescent="0.25">
      <c r="A12" t="s">
        <v>3632</v>
      </c>
      <c r="B12" t="s">
        <v>5728</v>
      </c>
    </row>
    <row r="13" spans="1:2" x14ac:dyDescent="0.25">
      <c r="A13" t="s">
        <v>290</v>
      </c>
      <c r="B13" t="s">
        <v>5728</v>
      </c>
    </row>
    <row r="14" spans="1:2" x14ac:dyDescent="0.25">
      <c r="A14" t="s">
        <v>552</v>
      </c>
      <c r="B14" t="s">
        <v>5728</v>
      </c>
    </row>
    <row r="15" spans="1:2" x14ac:dyDescent="0.25">
      <c r="A15" t="s">
        <v>4075</v>
      </c>
      <c r="B15" t="s">
        <v>5728</v>
      </c>
    </row>
    <row r="16" spans="1:2" x14ac:dyDescent="0.25">
      <c r="A16" t="s">
        <v>3725</v>
      </c>
      <c r="B16" t="s">
        <v>5728</v>
      </c>
    </row>
    <row r="17" spans="1:2" x14ac:dyDescent="0.25">
      <c r="A17" t="s">
        <v>4320</v>
      </c>
      <c r="B17" t="s">
        <v>5728</v>
      </c>
    </row>
    <row r="18" spans="1:2" x14ac:dyDescent="0.25">
      <c r="A18" t="s">
        <v>916</v>
      </c>
      <c r="B18" t="s">
        <v>5728</v>
      </c>
    </row>
    <row r="19" spans="1:2" x14ac:dyDescent="0.25">
      <c r="A19" t="s">
        <v>5050</v>
      </c>
      <c r="B19" t="s">
        <v>5728</v>
      </c>
    </row>
    <row r="20" spans="1:2" x14ac:dyDescent="0.25">
      <c r="A20" t="s">
        <v>2685</v>
      </c>
      <c r="B20" t="s">
        <v>5728</v>
      </c>
    </row>
    <row r="21" spans="1:2" x14ac:dyDescent="0.25">
      <c r="A21" t="s">
        <v>4381</v>
      </c>
      <c r="B21" t="s">
        <v>5728</v>
      </c>
    </row>
    <row r="22" spans="1:2" x14ac:dyDescent="0.25">
      <c r="A22" t="s">
        <v>4288</v>
      </c>
      <c r="B22" t="s">
        <v>5728</v>
      </c>
    </row>
    <row r="23" spans="1:2" x14ac:dyDescent="0.25">
      <c r="A23" t="s">
        <v>2984</v>
      </c>
      <c r="B23" t="s">
        <v>5728</v>
      </c>
    </row>
    <row r="24" spans="1:2" x14ac:dyDescent="0.25">
      <c r="A24" t="s">
        <v>219</v>
      </c>
      <c r="B24" t="s">
        <v>5728</v>
      </c>
    </row>
    <row r="25" spans="1:2" x14ac:dyDescent="0.25">
      <c r="A25" t="s">
        <v>4415</v>
      </c>
      <c r="B25" t="s">
        <v>5728</v>
      </c>
    </row>
    <row r="26" spans="1:2" x14ac:dyDescent="0.25">
      <c r="A26" t="s">
        <v>5268</v>
      </c>
      <c r="B26" t="s">
        <v>5728</v>
      </c>
    </row>
    <row r="27" spans="1:2" x14ac:dyDescent="0.25">
      <c r="A27" t="s">
        <v>5191</v>
      </c>
      <c r="B27" t="s">
        <v>5728</v>
      </c>
    </row>
    <row r="28" spans="1:2" x14ac:dyDescent="0.25">
      <c r="A28" t="s">
        <v>5498</v>
      </c>
      <c r="B28" t="s">
        <v>5728</v>
      </c>
    </row>
    <row r="29" spans="1:2" x14ac:dyDescent="0.25">
      <c r="A29" t="s">
        <v>2096</v>
      </c>
      <c r="B29" t="s">
        <v>5728</v>
      </c>
    </row>
    <row r="30" spans="1:2" x14ac:dyDescent="0.25">
      <c r="A30" t="s">
        <v>1954</v>
      </c>
      <c r="B30" t="s">
        <v>5728</v>
      </c>
    </row>
    <row r="31" spans="1:2" x14ac:dyDescent="0.25">
      <c r="A31" t="s">
        <v>4308</v>
      </c>
      <c r="B31" t="s">
        <v>5728</v>
      </c>
    </row>
    <row r="32" spans="1:2" x14ac:dyDescent="0.25">
      <c r="A32" t="s">
        <v>4824</v>
      </c>
      <c r="B32" t="s">
        <v>5728</v>
      </c>
    </row>
    <row r="33" spans="1:2" x14ac:dyDescent="0.25">
      <c r="A33" t="s">
        <v>1849</v>
      </c>
      <c r="B33" t="s">
        <v>5728</v>
      </c>
    </row>
    <row r="34" spans="1:2" x14ac:dyDescent="0.25">
      <c r="A34" t="s">
        <v>4339</v>
      </c>
      <c r="B34" t="s">
        <v>5728</v>
      </c>
    </row>
    <row r="35" spans="1:2" x14ac:dyDescent="0.25">
      <c r="A35" t="s">
        <v>901</v>
      </c>
      <c r="B35" t="s">
        <v>5728</v>
      </c>
    </row>
    <row r="36" spans="1:2" x14ac:dyDescent="0.25">
      <c r="A36" t="s">
        <v>805</v>
      </c>
      <c r="B36" t="s">
        <v>5728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35"/>
  <sheetViews>
    <sheetView topLeftCell="A14" zoomScaleNormal="100" workbookViewId="0">
      <selection activeCell="A4" sqref="A4"/>
    </sheetView>
  </sheetViews>
  <sheetFormatPr defaultColWidth="8.42578125" defaultRowHeight="15" x14ac:dyDescent="0.25"/>
  <cols>
    <col min="1" max="1" width="33.28515625" customWidth="1"/>
    <col min="2" max="2" width="9.7109375" customWidth="1"/>
  </cols>
  <sheetData>
    <row r="1" spans="1:2" x14ac:dyDescent="0.25">
      <c r="A1" s="2" t="s">
        <v>5729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2695</v>
      </c>
      <c r="B4" t="s">
        <v>5730</v>
      </c>
    </row>
    <row r="5" spans="1:2" x14ac:dyDescent="0.25">
      <c r="A5" t="s">
        <v>1725</v>
      </c>
      <c r="B5" t="s">
        <v>5730</v>
      </c>
    </row>
    <row r="6" spans="1:2" x14ac:dyDescent="0.25">
      <c r="A6" t="s">
        <v>829</v>
      </c>
      <c r="B6" t="s">
        <v>5730</v>
      </c>
    </row>
    <row r="7" spans="1:2" x14ac:dyDescent="0.25">
      <c r="A7" t="s">
        <v>5034</v>
      </c>
      <c r="B7" t="s">
        <v>5730</v>
      </c>
    </row>
    <row r="8" spans="1:2" x14ac:dyDescent="0.25">
      <c r="A8" t="s">
        <v>2537</v>
      </c>
      <c r="B8" t="s">
        <v>5730</v>
      </c>
    </row>
    <row r="9" spans="1:2" x14ac:dyDescent="0.25">
      <c r="A9" t="s">
        <v>5731</v>
      </c>
      <c r="B9" t="s">
        <v>5730</v>
      </c>
    </row>
    <row r="10" spans="1:2" x14ac:dyDescent="0.25">
      <c r="A10" t="s">
        <v>1595</v>
      </c>
      <c r="B10" t="s">
        <v>5730</v>
      </c>
    </row>
    <row r="11" spans="1:2" x14ac:dyDescent="0.25">
      <c r="A11" t="s">
        <v>1445</v>
      </c>
      <c r="B11" t="s">
        <v>5730</v>
      </c>
    </row>
    <row r="12" spans="1:2" x14ac:dyDescent="0.25">
      <c r="A12" t="s">
        <v>5732</v>
      </c>
      <c r="B12" t="s">
        <v>5730</v>
      </c>
    </row>
    <row r="13" spans="1:2" x14ac:dyDescent="0.25">
      <c r="A13" t="s">
        <v>4935</v>
      </c>
      <c r="B13" t="s">
        <v>5730</v>
      </c>
    </row>
    <row r="14" spans="1:2" x14ac:dyDescent="0.25">
      <c r="A14" t="s">
        <v>544</v>
      </c>
      <c r="B14" t="s">
        <v>5730</v>
      </c>
    </row>
    <row r="15" spans="1:2" x14ac:dyDescent="0.25">
      <c r="A15" t="s">
        <v>4578</v>
      </c>
      <c r="B15" t="s">
        <v>5730</v>
      </c>
    </row>
    <row r="16" spans="1:2" x14ac:dyDescent="0.25">
      <c r="A16" t="s">
        <v>4154</v>
      </c>
      <c r="B16" t="s">
        <v>5730</v>
      </c>
    </row>
    <row r="17" spans="1:2" x14ac:dyDescent="0.25">
      <c r="A17" t="s">
        <v>1075</v>
      </c>
      <c r="B17" t="s">
        <v>5730</v>
      </c>
    </row>
    <row r="18" spans="1:2" x14ac:dyDescent="0.25">
      <c r="A18" t="s">
        <v>3960</v>
      </c>
      <c r="B18" t="s">
        <v>5730</v>
      </c>
    </row>
    <row r="19" spans="1:2" x14ac:dyDescent="0.25">
      <c r="A19" t="s">
        <v>4207</v>
      </c>
      <c r="B19" t="s">
        <v>5730</v>
      </c>
    </row>
    <row r="20" spans="1:2" x14ac:dyDescent="0.25">
      <c r="A20" t="s">
        <v>2653</v>
      </c>
      <c r="B20" t="s">
        <v>5730</v>
      </c>
    </row>
    <row r="21" spans="1:2" x14ac:dyDescent="0.25">
      <c r="A21" t="s">
        <v>2475</v>
      </c>
      <c r="B21" t="s">
        <v>5730</v>
      </c>
    </row>
    <row r="22" spans="1:2" x14ac:dyDescent="0.25">
      <c r="A22" t="s">
        <v>4711</v>
      </c>
      <c r="B22" t="s">
        <v>5730</v>
      </c>
    </row>
    <row r="23" spans="1:2" x14ac:dyDescent="0.25">
      <c r="A23" t="s">
        <v>2484</v>
      </c>
      <c r="B23" t="s">
        <v>5730</v>
      </c>
    </row>
    <row r="24" spans="1:2" x14ac:dyDescent="0.25">
      <c r="A24" t="s">
        <v>1562</v>
      </c>
      <c r="B24" t="s">
        <v>5730</v>
      </c>
    </row>
    <row r="25" spans="1:2" x14ac:dyDescent="0.25">
      <c r="A25" t="s">
        <v>642</v>
      </c>
      <c r="B25" t="s">
        <v>5730</v>
      </c>
    </row>
    <row r="26" spans="1:2" x14ac:dyDescent="0.25">
      <c r="A26" t="s">
        <v>4245</v>
      </c>
      <c r="B26" t="s">
        <v>5730</v>
      </c>
    </row>
    <row r="27" spans="1:2" x14ac:dyDescent="0.25">
      <c r="A27" t="s">
        <v>4729</v>
      </c>
      <c r="B27" t="s">
        <v>5730</v>
      </c>
    </row>
    <row r="28" spans="1:2" x14ac:dyDescent="0.25">
      <c r="A28" t="s">
        <v>4298</v>
      </c>
      <c r="B28" t="s">
        <v>5730</v>
      </c>
    </row>
    <row r="29" spans="1:2" x14ac:dyDescent="0.25">
      <c r="A29" t="s">
        <v>3974</v>
      </c>
      <c r="B29" t="s">
        <v>5730</v>
      </c>
    </row>
    <row r="30" spans="1:2" x14ac:dyDescent="0.25">
      <c r="A30" t="s">
        <v>2687</v>
      </c>
      <c r="B30" t="s">
        <v>5730</v>
      </c>
    </row>
    <row r="31" spans="1:2" x14ac:dyDescent="0.25">
      <c r="A31" t="s">
        <v>629</v>
      </c>
      <c r="B31" t="s">
        <v>5730</v>
      </c>
    </row>
    <row r="32" spans="1:2" x14ac:dyDescent="0.25">
      <c r="A32" t="s">
        <v>4984</v>
      </c>
      <c r="B32" t="s">
        <v>5730</v>
      </c>
    </row>
    <row r="33" spans="1:2" x14ac:dyDescent="0.25">
      <c r="A33" t="s">
        <v>1446</v>
      </c>
      <c r="B33" t="s">
        <v>5730</v>
      </c>
    </row>
    <row r="34" spans="1:2" x14ac:dyDescent="0.25">
      <c r="A34" t="s">
        <v>1989</v>
      </c>
      <c r="B34" t="s">
        <v>5730</v>
      </c>
    </row>
    <row r="35" spans="1:2" x14ac:dyDescent="0.25">
      <c r="A35" t="s">
        <v>115</v>
      </c>
      <c r="B35" t="s">
        <v>5730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34"/>
  <sheetViews>
    <sheetView topLeftCell="A13" zoomScaleNormal="100" workbookViewId="0">
      <selection activeCell="A4" sqref="A4"/>
    </sheetView>
  </sheetViews>
  <sheetFormatPr defaultColWidth="8.42578125" defaultRowHeight="15" x14ac:dyDescent="0.25"/>
  <cols>
    <col min="1" max="1" width="39.140625" customWidth="1"/>
    <col min="2" max="2" width="9.7109375" customWidth="1"/>
  </cols>
  <sheetData>
    <row r="1" spans="1:2" x14ac:dyDescent="0.25">
      <c r="A1" s="2" t="s">
        <v>5733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2440</v>
      </c>
      <c r="B4" t="s">
        <v>5734</v>
      </c>
    </row>
    <row r="5" spans="1:2" x14ac:dyDescent="0.25">
      <c r="A5" t="s">
        <v>4860</v>
      </c>
      <c r="B5" t="s">
        <v>5734</v>
      </c>
    </row>
    <row r="6" spans="1:2" x14ac:dyDescent="0.25">
      <c r="A6" t="s">
        <v>395</v>
      </c>
      <c r="B6" t="s">
        <v>5734</v>
      </c>
    </row>
    <row r="7" spans="1:2" x14ac:dyDescent="0.25">
      <c r="A7" t="s">
        <v>426</v>
      </c>
      <c r="B7" t="s">
        <v>5734</v>
      </c>
    </row>
    <row r="8" spans="1:2" x14ac:dyDescent="0.25">
      <c r="A8" t="s">
        <v>1197</v>
      </c>
      <c r="B8" t="s">
        <v>5734</v>
      </c>
    </row>
    <row r="9" spans="1:2" x14ac:dyDescent="0.25">
      <c r="A9" t="s">
        <v>3415</v>
      </c>
      <c r="B9" t="s">
        <v>5734</v>
      </c>
    </row>
    <row r="10" spans="1:2" x14ac:dyDescent="0.25">
      <c r="A10" t="s">
        <v>4837</v>
      </c>
      <c r="B10" t="s">
        <v>5734</v>
      </c>
    </row>
    <row r="11" spans="1:2" x14ac:dyDescent="0.25">
      <c r="A11" t="s">
        <v>1421</v>
      </c>
      <c r="B11" t="s">
        <v>5734</v>
      </c>
    </row>
    <row r="12" spans="1:2" x14ac:dyDescent="0.25">
      <c r="A12" t="s">
        <v>4145</v>
      </c>
      <c r="B12" t="s">
        <v>5734</v>
      </c>
    </row>
    <row r="13" spans="1:2" x14ac:dyDescent="0.25">
      <c r="A13" t="s">
        <v>1244</v>
      </c>
      <c r="B13" t="s">
        <v>5734</v>
      </c>
    </row>
    <row r="14" spans="1:2" x14ac:dyDescent="0.25">
      <c r="A14" t="s">
        <v>3107</v>
      </c>
      <c r="B14" t="s">
        <v>5734</v>
      </c>
    </row>
    <row r="15" spans="1:2" x14ac:dyDescent="0.25">
      <c r="A15" t="s">
        <v>503</v>
      </c>
      <c r="B15" t="s">
        <v>5734</v>
      </c>
    </row>
    <row r="16" spans="1:2" x14ac:dyDescent="0.25">
      <c r="A16" t="s">
        <v>3654</v>
      </c>
      <c r="B16" t="s">
        <v>5734</v>
      </c>
    </row>
    <row r="17" spans="1:2" x14ac:dyDescent="0.25">
      <c r="A17" t="s">
        <v>2728</v>
      </c>
      <c r="B17" t="s">
        <v>5734</v>
      </c>
    </row>
    <row r="18" spans="1:2" x14ac:dyDescent="0.25">
      <c r="A18" t="s">
        <v>5310</v>
      </c>
      <c r="B18" t="s">
        <v>5734</v>
      </c>
    </row>
    <row r="19" spans="1:2" x14ac:dyDescent="0.25">
      <c r="A19" t="s">
        <v>3088</v>
      </c>
      <c r="B19" t="s">
        <v>5734</v>
      </c>
    </row>
    <row r="20" spans="1:2" x14ac:dyDescent="0.25">
      <c r="A20" t="s">
        <v>4465</v>
      </c>
      <c r="B20" t="s">
        <v>5734</v>
      </c>
    </row>
    <row r="21" spans="1:2" x14ac:dyDescent="0.25">
      <c r="A21" t="s">
        <v>1189</v>
      </c>
      <c r="B21" t="s">
        <v>5734</v>
      </c>
    </row>
    <row r="22" spans="1:2" x14ac:dyDescent="0.25">
      <c r="A22" t="s">
        <v>4721</v>
      </c>
      <c r="B22" t="s">
        <v>5734</v>
      </c>
    </row>
    <row r="23" spans="1:2" x14ac:dyDescent="0.25">
      <c r="A23" t="s">
        <v>3831</v>
      </c>
      <c r="B23" t="s">
        <v>5734</v>
      </c>
    </row>
    <row r="24" spans="1:2" x14ac:dyDescent="0.25">
      <c r="A24" t="s">
        <v>4797</v>
      </c>
      <c r="B24" t="s">
        <v>5734</v>
      </c>
    </row>
    <row r="25" spans="1:2" x14ac:dyDescent="0.25">
      <c r="A25" t="s">
        <v>4186</v>
      </c>
      <c r="B25" t="s">
        <v>5734</v>
      </c>
    </row>
    <row r="26" spans="1:2" x14ac:dyDescent="0.25">
      <c r="A26" t="s">
        <v>4129</v>
      </c>
      <c r="B26" t="s">
        <v>5734</v>
      </c>
    </row>
    <row r="27" spans="1:2" x14ac:dyDescent="0.25">
      <c r="A27" t="s">
        <v>1941</v>
      </c>
      <c r="B27" t="s">
        <v>5734</v>
      </c>
    </row>
    <row r="28" spans="1:2" x14ac:dyDescent="0.25">
      <c r="A28" t="s">
        <v>5735</v>
      </c>
      <c r="B28" t="s">
        <v>5734</v>
      </c>
    </row>
    <row r="29" spans="1:2" x14ac:dyDescent="0.25">
      <c r="A29" t="s">
        <v>733</v>
      </c>
      <c r="B29" t="s">
        <v>5734</v>
      </c>
    </row>
    <row r="30" spans="1:2" x14ac:dyDescent="0.25">
      <c r="A30" t="s">
        <v>972</v>
      </c>
      <c r="B30" t="s">
        <v>5734</v>
      </c>
    </row>
    <row r="31" spans="1:2" x14ac:dyDescent="0.25">
      <c r="A31" t="s">
        <v>3780</v>
      </c>
      <c r="B31" t="s">
        <v>5734</v>
      </c>
    </row>
    <row r="32" spans="1:2" x14ac:dyDescent="0.25">
      <c r="A32" t="s">
        <v>213</v>
      </c>
      <c r="B32" t="s">
        <v>5734</v>
      </c>
    </row>
    <row r="33" spans="1:2" x14ac:dyDescent="0.25">
      <c r="A33" t="s">
        <v>2276</v>
      </c>
      <c r="B33" t="s">
        <v>5734</v>
      </c>
    </row>
    <row r="34" spans="1:2" x14ac:dyDescent="0.25">
      <c r="A34" t="s">
        <v>4630</v>
      </c>
      <c r="B34" t="s">
        <v>5734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34"/>
  <sheetViews>
    <sheetView topLeftCell="A13" zoomScaleNormal="100" workbookViewId="0">
      <selection activeCell="A4" sqref="A4"/>
    </sheetView>
  </sheetViews>
  <sheetFormatPr defaultColWidth="8.42578125" defaultRowHeight="15" x14ac:dyDescent="0.25"/>
  <cols>
    <col min="1" max="1" width="45.140625" customWidth="1"/>
    <col min="2" max="2" width="17.5703125" customWidth="1"/>
  </cols>
  <sheetData>
    <row r="1" spans="1:2" x14ac:dyDescent="0.25">
      <c r="A1" s="2" t="s">
        <v>5736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3858</v>
      </c>
      <c r="B4" t="s">
        <v>5737</v>
      </c>
    </row>
    <row r="5" spans="1:2" x14ac:dyDescent="0.25">
      <c r="A5" t="s">
        <v>3514</v>
      </c>
      <c r="B5" t="s">
        <v>5737</v>
      </c>
    </row>
    <row r="6" spans="1:2" x14ac:dyDescent="0.25">
      <c r="A6" t="s">
        <v>215</v>
      </c>
      <c r="B6" t="s">
        <v>5737</v>
      </c>
    </row>
    <row r="7" spans="1:2" x14ac:dyDescent="0.25">
      <c r="A7" t="s">
        <v>212</v>
      </c>
      <c r="B7" t="s">
        <v>5737</v>
      </c>
    </row>
    <row r="8" spans="1:2" x14ac:dyDescent="0.25">
      <c r="A8" t="s">
        <v>3429</v>
      </c>
      <c r="B8" t="s">
        <v>5737</v>
      </c>
    </row>
    <row r="9" spans="1:2" x14ac:dyDescent="0.25">
      <c r="A9" t="s">
        <v>3343</v>
      </c>
      <c r="B9" t="s">
        <v>5737</v>
      </c>
    </row>
    <row r="10" spans="1:2" x14ac:dyDescent="0.25">
      <c r="A10" t="s">
        <v>2448</v>
      </c>
      <c r="B10" t="s">
        <v>5737</v>
      </c>
    </row>
    <row r="11" spans="1:2" x14ac:dyDescent="0.25">
      <c r="A11" t="s">
        <v>4892</v>
      </c>
      <c r="B11" t="s">
        <v>5737</v>
      </c>
    </row>
    <row r="12" spans="1:2" x14ac:dyDescent="0.25">
      <c r="A12" t="s">
        <v>2212</v>
      </c>
      <c r="B12" t="s">
        <v>5737</v>
      </c>
    </row>
    <row r="13" spans="1:2" x14ac:dyDescent="0.25">
      <c r="A13" t="s">
        <v>5082</v>
      </c>
      <c r="B13" t="s">
        <v>5737</v>
      </c>
    </row>
    <row r="14" spans="1:2" x14ac:dyDescent="0.25">
      <c r="A14" t="s">
        <v>987</v>
      </c>
      <c r="B14" t="s">
        <v>5737</v>
      </c>
    </row>
    <row r="15" spans="1:2" x14ac:dyDescent="0.25">
      <c r="A15" t="s">
        <v>1316</v>
      </c>
      <c r="B15" t="s">
        <v>5737</v>
      </c>
    </row>
    <row r="16" spans="1:2" x14ac:dyDescent="0.25">
      <c r="A16" t="s">
        <v>414</v>
      </c>
      <c r="B16" t="s">
        <v>5737</v>
      </c>
    </row>
    <row r="17" spans="1:2" x14ac:dyDescent="0.25">
      <c r="A17" t="s">
        <v>4980</v>
      </c>
      <c r="B17" t="s">
        <v>5737</v>
      </c>
    </row>
    <row r="18" spans="1:2" x14ac:dyDescent="0.25">
      <c r="A18" t="s">
        <v>806</v>
      </c>
      <c r="B18" t="s">
        <v>5737</v>
      </c>
    </row>
    <row r="19" spans="1:2" x14ac:dyDescent="0.25">
      <c r="A19" t="s">
        <v>5541</v>
      </c>
      <c r="B19" t="s">
        <v>5737</v>
      </c>
    </row>
    <row r="20" spans="1:2" x14ac:dyDescent="0.25">
      <c r="A20" t="s">
        <v>2896</v>
      </c>
      <c r="B20" t="s">
        <v>5737</v>
      </c>
    </row>
    <row r="21" spans="1:2" x14ac:dyDescent="0.25">
      <c r="A21" t="s">
        <v>424</v>
      </c>
      <c r="B21" t="s">
        <v>5737</v>
      </c>
    </row>
    <row r="22" spans="1:2" x14ac:dyDescent="0.25">
      <c r="A22" t="s">
        <v>2647</v>
      </c>
      <c r="B22" t="s">
        <v>5737</v>
      </c>
    </row>
    <row r="23" spans="1:2" x14ac:dyDescent="0.25">
      <c r="A23" t="s">
        <v>4708</v>
      </c>
      <c r="B23" t="s">
        <v>5737</v>
      </c>
    </row>
    <row r="24" spans="1:2" x14ac:dyDescent="0.25">
      <c r="A24" t="s">
        <v>720</v>
      </c>
      <c r="B24" t="s">
        <v>5737</v>
      </c>
    </row>
    <row r="25" spans="1:2" x14ac:dyDescent="0.25">
      <c r="A25" t="s">
        <v>3630</v>
      </c>
      <c r="B25" t="s">
        <v>5737</v>
      </c>
    </row>
    <row r="26" spans="1:2" x14ac:dyDescent="0.25">
      <c r="A26" t="s">
        <v>2953</v>
      </c>
      <c r="B26" t="s">
        <v>5737</v>
      </c>
    </row>
    <row r="27" spans="1:2" x14ac:dyDescent="0.25">
      <c r="A27" t="s">
        <v>5359</v>
      </c>
      <c r="B27" t="s">
        <v>5737</v>
      </c>
    </row>
    <row r="28" spans="1:2" x14ac:dyDescent="0.25">
      <c r="A28" t="s">
        <v>4862</v>
      </c>
      <c r="B28" t="s">
        <v>5737</v>
      </c>
    </row>
    <row r="29" spans="1:2" x14ac:dyDescent="0.25">
      <c r="A29" t="s">
        <v>266</v>
      </c>
      <c r="B29" t="s">
        <v>5737</v>
      </c>
    </row>
    <row r="30" spans="1:2" x14ac:dyDescent="0.25">
      <c r="A30" t="s">
        <v>3557</v>
      </c>
      <c r="B30" t="s">
        <v>5737</v>
      </c>
    </row>
    <row r="31" spans="1:2" x14ac:dyDescent="0.25">
      <c r="A31" t="s">
        <v>5124</v>
      </c>
      <c r="B31" t="s">
        <v>5737</v>
      </c>
    </row>
    <row r="32" spans="1:2" x14ac:dyDescent="0.25">
      <c r="A32" t="s">
        <v>1985</v>
      </c>
      <c r="B32" t="s">
        <v>5737</v>
      </c>
    </row>
    <row r="33" spans="1:2" x14ac:dyDescent="0.25">
      <c r="A33" t="s">
        <v>5139</v>
      </c>
      <c r="B33" t="s">
        <v>5737</v>
      </c>
    </row>
    <row r="34" spans="1:2" x14ac:dyDescent="0.25">
      <c r="A34" t="s">
        <v>5738</v>
      </c>
      <c r="B34" t="s">
        <v>5737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31"/>
  <sheetViews>
    <sheetView topLeftCell="A10" zoomScaleNormal="100" workbookViewId="0">
      <selection activeCell="A4" sqref="A4"/>
    </sheetView>
  </sheetViews>
  <sheetFormatPr defaultColWidth="8.42578125" defaultRowHeight="15" x14ac:dyDescent="0.25"/>
  <cols>
    <col min="1" max="1" width="40.5703125" customWidth="1"/>
    <col min="2" max="2" width="9.7109375" customWidth="1"/>
  </cols>
  <sheetData>
    <row r="1" spans="1:2" x14ac:dyDescent="0.25">
      <c r="A1" s="2" t="s">
        <v>5739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5430</v>
      </c>
      <c r="B4" t="s">
        <v>5740</v>
      </c>
    </row>
    <row r="5" spans="1:2" x14ac:dyDescent="0.25">
      <c r="A5" t="s">
        <v>2522</v>
      </c>
      <c r="B5" t="s">
        <v>5740</v>
      </c>
    </row>
    <row r="6" spans="1:2" x14ac:dyDescent="0.25">
      <c r="A6" t="s">
        <v>5169</v>
      </c>
      <c r="B6" t="s">
        <v>5740</v>
      </c>
    </row>
    <row r="7" spans="1:2" x14ac:dyDescent="0.25">
      <c r="A7" t="s">
        <v>5027</v>
      </c>
      <c r="B7" t="s">
        <v>5740</v>
      </c>
    </row>
    <row r="8" spans="1:2" x14ac:dyDescent="0.25">
      <c r="A8" t="s">
        <v>1601</v>
      </c>
      <c r="B8" t="s">
        <v>5740</v>
      </c>
    </row>
    <row r="9" spans="1:2" x14ac:dyDescent="0.25">
      <c r="A9" t="s">
        <v>4512</v>
      </c>
      <c r="B9" t="s">
        <v>5740</v>
      </c>
    </row>
    <row r="10" spans="1:2" x14ac:dyDescent="0.25">
      <c r="A10" t="s">
        <v>3510</v>
      </c>
      <c r="B10" t="s">
        <v>5740</v>
      </c>
    </row>
    <row r="11" spans="1:2" x14ac:dyDescent="0.25">
      <c r="A11" t="s">
        <v>5741</v>
      </c>
      <c r="B11" t="s">
        <v>5740</v>
      </c>
    </row>
    <row r="12" spans="1:2" x14ac:dyDescent="0.25">
      <c r="A12" t="s">
        <v>4294</v>
      </c>
      <c r="B12" t="s">
        <v>5740</v>
      </c>
    </row>
    <row r="13" spans="1:2" x14ac:dyDescent="0.25">
      <c r="A13" t="s">
        <v>1969</v>
      </c>
      <c r="B13" t="s">
        <v>5740</v>
      </c>
    </row>
    <row r="14" spans="1:2" x14ac:dyDescent="0.25">
      <c r="A14" t="s">
        <v>2056</v>
      </c>
      <c r="B14" t="s">
        <v>5740</v>
      </c>
    </row>
    <row r="15" spans="1:2" x14ac:dyDescent="0.25">
      <c r="A15" t="s">
        <v>1861</v>
      </c>
      <c r="B15" t="s">
        <v>5740</v>
      </c>
    </row>
    <row r="16" spans="1:2" x14ac:dyDescent="0.25">
      <c r="A16" t="s">
        <v>4464</v>
      </c>
      <c r="B16" t="s">
        <v>5740</v>
      </c>
    </row>
    <row r="17" spans="1:2" x14ac:dyDescent="0.25">
      <c r="A17" t="s">
        <v>5299</v>
      </c>
      <c r="B17" t="s">
        <v>5740</v>
      </c>
    </row>
    <row r="18" spans="1:2" x14ac:dyDescent="0.25">
      <c r="A18" t="s">
        <v>5589</v>
      </c>
      <c r="B18" t="s">
        <v>5740</v>
      </c>
    </row>
    <row r="19" spans="1:2" x14ac:dyDescent="0.25">
      <c r="A19" t="s">
        <v>1487</v>
      </c>
      <c r="B19" t="s">
        <v>5740</v>
      </c>
    </row>
    <row r="20" spans="1:2" x14ac:dyDescent="0.25">
      <c r="A20" t="s">
        <v>2064</v>
      </c>
      <c r="B20" t="s">
        <v>5740</v>
      </c>
    </row>
    <row r="21" spans="1:2" x14ac:dyDescent="0.25">
      <c r="A21" t="s">
        <v>1813</v>
      </c>
      <c r="B21" t="s">
        <v>5740</v>
      </c>
    </row>
    <row r="22" spans="1:2" x14ac:dyDescent="0.25">
      <c r="A22" t="s">
        <v>1209</v>
      </c>
      <c r="B22" t="s">
        <v>5740</v>
      </c>
    </row>
    <row r="23" spans="1:2" x14ac:dyDescent="0.25">
      <c r="A23" t="s">
        <v>5742</v>
      </c>
      <c r="B23" t="s">
        <v>5740</v>
      </c>
    </row>
    <row r="24" spans="1:2" x14ac:dyDescent="0.25">
      <c r="A24" t="s">
        <v>332</v>
      </c>
      <c r="B24" t="s">
        <v>5740</v>
      </c>
    </row>
    <row r="25" spans="1:2" x14ac:dyDescent="0.25">
      <c r="A25" t="s">
        <v>3728</v>
      </c>
      <c r="B25" t="s">
        <v>5740</v>
      </c>
    </row>
    <row r="26" spans="1:2" x14ac:dyDescent="0.25">
      <c r="A26" t="s">
        <v>2791</v>
      </c>
      <c r="B26" t="s">
        <v>5740</v>
      </c>
    </row>
    <row r="27" spans="1:2" x14ac:dyDescent="0.25">
      <c r="A27" t="s">
        <v>3570</v>
      </c>
      <c r="B27" t="s">
        <v>5740</v>
      </c>
    </row>
    <row r="28" spans="1:2" x14ac:dyDescent="0.25">
      <c r="A28" t="s">
        <v>4798</v>
      </c>
      <c r="B28" t="s">
        <v>5740</v>
      </c>
    </row>
    <row r="29" spans="1:2" x14ac:dyDescent="0.25">
      <c r="A29" t="s">
        <v>2488</v>
      </c>
      <c r="B29" t="s">
        <v>5740</v>
      </c>
    </row>
    <row r="30" spans="1:2" x14ac:dyDescent="0.25">
      <c r="A30" t="s">
        <v>129</v>
      </c>
      <c r="B30" t="s">
        <v>5740</v>
      </c>
    </row>
    <row r="31" spans="1:2" x14ac:dyDescent="0.25">
      <c r="A31" t="s">
        <v>3594</v>
      </c>
      <c r="B31" t="s">
        <v>5740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31"/>
  <sheetViews>
    <sheetView topLeftCell="A10" zoomScaleNormal="100" workbookViewId="0">
      <selection activeCell="A4" sqref="A4"/>
    </sheetView>
  </sheetViews>
  <sheetFormatPr defaultColWidth="8.42578125" defaultRowHeight="15" x14ac:dyDescent="0.25"/>
  <cols>
    <col min="1" max="1" width="38.42578125" customWidth="1"/>
    <col min="2" max="2" width="9.7109375" customWidth="1"/>
  </cols>
  <sheetData>
    <row r="1" spans="1:2" x14ac:dyDescent="0.25">
      <c r="A1" s="2" t="s">
        <v>5743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5089</v>
      </c>
      <c r="B4" t="s">
        <v>5744</v>
      </c>
    </row>
    <row r="5" spans="1:2" x14ac:dyDescent="0.25">
      <c r="A5" t="s">
        <v>5491</v>
      </c>
      <c r="B5" t="s">
        <v>5744</v>
      </c>
    </row>
    <row r="6" spans="1:2" x14ac:dyDescent="0.25">
      <c r="A6" t="s">
        <v>4472</v>
      </c>
      <c r="B6" t="s">
        <v>5744</v>
      </c>
    </row>
    <row r="7" spans="1:2" x14ac:dyDescent="0.25">
      <c r="A7" t="s">
        <v>2709</v>
      </c>
      <c r="B7" t="s">
        <v>5744</v>
      </c>
    </row>
    <row r="8" spans="1:2" x14ac:dyDescent="0.25">
      <c r="A8" t="s">
        <v>813</v>
      </c>
      <c r="B8" t="s">
        <v>5744</v>
      </c>
    </row>
    <row r="9" spans="1:2" x14ac:dyDescent="0.25">
      <c r="A9" t="s">
        <v>2073</v>
      </c>
      <c r="B9" t="s">
        <v>5744</v>
      </c>
    </row>
    <row r="10" spans="1:2" x14ac:dyDescent="0.25">
      <c r="A10" t="s">
        <v>3307</v>
      </c>
      <c r="B10" t="s">
        <v>5744</v>
      </c>
    </row>
    <row r="11" spans="1:2" x14ac:dyDescent="0.25">
      <c r="A11" t="s">
        <v>3328</v>
      </c>
      <c r="B11" t="s">
        <v>5744</v>
      </c>
    </row>
    <row r="12" spans="1:2" x14ac:dyDescent="0.25">
      <c r="A12" t="s">
        <v>4727</v>
      </c>
      <c r="B12" t="s">
        <v>5744</v>
      </c>
    </row>
    <row r="13" spans="1:2" x14ac:dyDescent="0.25">
      <c r="A13" t="s">
        <v>4502</v>
      </c>
      <c r="B13" t="s">
        <v>5744</v>
      </c>
    </row>
    <row r="14" spans="1:2" x14ac:dyDescent="0.25">
      <c r="A14" t="s">
        <v>2421</v>
      </c>
      <c r="B14" t="s">
        <v>5744</v>
      </c>
    </row>
    <row r="15" spans="1:2" x14ac:dyDescent="0.25">
      <c r="A15" t="s">
        <v>338</v>
      </c>
      <c r="B15" t="s">
        <v>5744</v>
      </c>
    </row>
    <row r="16" spans="1:2" x14ac:dyDescent="0.25">
      <c r="A16" t="s">
        <v>4271</v>
      </c>
      <c r="B16" t="s">
        <v>5744</v>
      </c>
    </row>
    <row r="17" spans="1:2" x14ac:dyDescent="0.25">
      <c r="A17" t="s">
        <v>5745</v>
      </c>
      <c r="B17" t="s">
        <v>5744</v>
      </c>
    </row>
    <row r="18" spans="1:2" x14ac:dyDescent="0.25">
      <c r="A18" t="s">
        <v>5691</v>
      </c>
      <c r="B18" t="s">
        <v>5744</v>
      </c>
    </row>
    <row r="19" spans="1:2" x14ac:dyDescent="0.25">
      <c r="A19" t="s">
        <v>78</v>
      </c>
      <c r="B19" t="s">
        <v>5744</v>
      </c>
    </row>
    <row r="20" spans="1:2" x14ac:dyDescent="0.25">
      <c r="A20" t="s">
        <v>3957</v>
      </c>
      <c r="B20" t="s">
        <v>5744</v>
      </c>
    </row>
    <row r="21" spans="1:2" x14ac:dyDescent="0.25">
      <c r="A21" t="s">
        <v>2340</v>
      </c>
      <c r="B21" t="s">
        <v>5744</v>
      </c>
    </row>
    <row r="22" spans="1:2" x14ac:dyDescent="0.25">
      <c r="A22" t="s">
        <v>5094</v>
      </c>
      <c r="B22" t="s">
        <v>5744</v>
      </c>
    </row>
    <row r="23" spans="1:2" x14ac:dyDescent="0.25">
      <c r="A23" t="s">
        <v>505</v>
      </c>
      <c r="B23" t="s">
        <v>5744</v>
      </c>
    </row>
    <row r="24" spans="1:2" x14ac:dyDescent="0.25">
      <c r="A24" t="s">
        <v>153</v>
      </c>
      <c r="B24" t="s">
        <v>5744</v>
      </c>
    </row>
    <row r="25" spans="1:2" x14ac:dyDescent="0.25">
      <c r="A25" t="s">
        <v>1136</v>
      </c>
      <c r="B25" t="s">
        <v>5744</v>
      </c>
    </row>
    <row r="26" spans="1:2" x14ac:dyDescent="0.25">
      <c r="A26" t="s">
        <v>2304</v>
      </c>
      <c r="B26" t="s">
        <v>5744</v>
      </c>
    </row>
    <row r="27" spans="1:2" x14ac:dyDescent="0.25">
      <c r="A27" t="s">
        <v>5042</v>
      </c>
      <c r="B27" t="s">
        <v>5744</v>
      </c>
    </row>
    <row r="28" spans="1:2" x14ac:dyDescent="0.25">
      <c r="A28" t="s">
        <v>5052</v>
      </c>
      <c r="B28" t="s">
        <v>5744</v>
      </c>
    </row>
    <row r="29" spans="1:2" x14ac:dyDescent="0.25">
      <c r="A29" t="s">
        <v>3007</v>
      </c>
      <c r="B29" t="s">
        <v>5744</v>
      </c>
    </row>
    <row r="30" spans="1:2" x14ac:dyDescent="0.25">
      <c r="A30" t="s">
        <v>2143</v>
      </c>
      <c r="B30" t="s">
        <v>5744</v>
      </c>
    </row>
    <row r="31" spans="1:2" x14ac:dyDescent="0.25">
      <c r="A31" t="s">
        <v>4192</v>
      </c>
      <c r="B31" t="s">
        <v>5744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31"/>
  <sheetViews>
    <sheetView topLeftCell="A10" zoomScaleNormal="100" workbookViewId="0">
      <selection activeCell="A4" sqref="A4"/>
    </sheetView>
  </sheetViews>
  <sheetFormatPr defaultColWidth="8.42578125" defaultRowHeight="15" x14ac:dyDescent="0.25"/>
  <cols>
    <col min="1" max="1" width="39.28515625" customWidth="1"/>
    <col min="2" max="2" width="9.7109375" customWidth="1"/>
  </cols>
  <sheetData>
    <row r="1" spans="1:2" x14ac:dyDescent="0.25">
      <c r="A1" s="2" t="s">
        <v>5746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2830</v>
      </c>
      <c r="B4" t="s">
        <v>5747</v>
      </c>
    </row>
    <row r="5" spans="1:2" x14ac:dyDescent="0.25">
      <c r="A5" t="s">
        <v>4632</v>
      </c>
      <c r="B5" t="s">
        <v>5747</v>
      </c>
    </row>
    <row r="6" spans="1:2" x14ac:dyDescent="0.25">
      <c r="A6" t="s">
        <v>310</v>
      </c>
      <c r="B6" t="s">
        <v>5747</v>
      </c>
    </row>
    <row r="7" spans="1:2" x14ac:dyDescent="0.25">
      <c r="A7" t="s">
        <v>4854</v>
      </c>
      <c r="B7" t="s">
        <v>5747</v>
      </c>
    </row>
    <row r="8" spans="1:2" x14ac:dyDescent="0.25">
      <c r="A8" t="s">
        <v>111</v>
      </c>
      <c r="B8" t="s">
        <v>5747</v>
      </c>
    </row>
    <row r="9" spans="1:2" x14ac:dyDescent="0.25">
      <c r="A9" t="s">
        <v>4286</v>
      </c>
      <c r="B9" t="s">
        <v>5747</v>
      </c>
    </row>
    <row r="10" spans="1:2" x14ac:dyDescent="0.25">
      <c r="A10" t="s">
        <v>249</v>
      </c>
      <c r="B10" t="s">
        <v>5747</v>
      </c>
    </row>
    <row r="11" spans="1:2" x14ac:dyDescent="0.25">
      <c r="A11" t="s">
        <v>3627</v>
      </c>
      <c r="B11" t="s">
        <v>5747</v>
      </c>
    </row>
    <row r="12" spans="1:2" x14ac:dyDescent="0.25">
      <c r="A12" t="s">
        <v>4830</v>
      </c>
      <c r="B12" t="s">
        <v>5747</v>
      </c>
    </row>
    <row r="13" spans="1:2" x14ac:dyDescent="0.25">
      <c r="A13" t="s">
        <v>3256</v>
      </c>
      <c r="B13" t="s">
        <v>5747</v>
      </c>
    </row>
    <row r="14" spans="1:2" x14ac:dyDescent="0.25">
      <c r="A14" t="s">
        <v>3395</v>
      </c>
      <c r="B14" t="s">
        <v>5747</v>
      </c>
    </row>
    <row r="15" spans="1:2" x14ac:dyDescent="0.25">
      <c r="A15" t="s">
        <v>3052</v>
      </c>
      <c r="B15" t="s">
        <v>5747</v>
      </c>
    </row>
    <row r="16" spans="1:2" x14ac:dyDescent="0.25">
      <c r="A16" t="s">
        <v>2381</v>
      </c>
      <c r="B16" t="s">
        <v>5747</v>
      </c>
    </row>
    <row r="17" spans="1:2" x14ac:dyDescent="0.25">
      <c r="A17" t="s">
        <v>149</v>
      </c>
      <c r="B17" t="s">
        <v>5747</v>
      </c>
    </row>
    <row r="18" spans="1:2" x14ac:dyDescent="0.25">
      <c r="A18" t="s">
        <v>2524</v>
      </c>
      <c r="B18" t="s">
        <v>5747</v>
      </c>
    </row>
    <row r="19" spans="1:2" x14ac:dyDescent="0.25">
      <c r="A19" t="s">
        <v>211</v>
      </c>
      <c r="B19" t="s">
        <v>5747</v>
      </c>
    </row>
    <row r="20" spans="1:2" x14ac:dyDescent="0.25">
      <c r="A20" t="s">
        <v>3618</v>
      </c>
      <c r="B20" t="s">
        <v>5747</v>
      </c>
    </row>
    <row r="21" spans="1:2" x14ac:dyDescent="0.25">
      <c r="A21" t="s">
        <v>4176</v>
      </c>
      <c r="B21" t="s">
        <v>5747</v>
      </c>
    </row>
    <row r="22" spans="1:2" x14ac:dyDescent="0.25">
      <c r="A22" t="s">
        <v>5354</v>
      </c>
      <c r="B22" t="s">
        <v>5747</v>
      </c>
    </row>
    <row r="23" spans="1:2" x14ac:dyDescent="0.25">
      <c r="A23" t="s">
        <v>5108</v>
      </c>
      <c r="B23" t="s">
        <v>5747</v>
      </c>
    </row>
    <row r="24" spans="1:2" x14ac:dyDescent="0.25">
      <c r="A24" t="s">
        <v>5748</v>
      </c>
      <c r="B24" t="s">
        <v>5747</v>
      </c>
    </row>
    <row r="25" spans="1:2" x14ac:dyDescent="0.25">
      <c r="A25" t="s">
        <v>4128</v>
      </c>
      <c r="B25" t="s">
        <v>5747</v>
      </c>
    </row>
    <row r="26" spans="1:2" x14ac:dyDescent="0.25">
      <c r="A26" t="s">
        <v>4728</v>
      </c>
      <c r="B26" t="s">
        <v>5747</v>
      </c>
    </row>
    <row r="27" spans="1:2" x14ac:dyDescent="0.25">
      <c r="A27" t="s">
        <v>4039</v>
      </c>
      <c r="B27" t="s">
        <v>5747</v>
      </c>
    </row>
    <row r="28" spans="1:2" x14ac:dyDescent="0.25">
      <c r="A28" t="s">
        <v>3653</v>
      </c>
      <c r="B28" t="s">
        <v>5747</v>
      </c>
    </row>
    <row r="29" spans="1:2" x14ac:dyDescent="0.25">
      <c r="A29" t="s">
        <v>5267</v>
      </c>
      <c r="B29" t="s">
        <v>5747</v>
      </c>
    </row>
    <row r="30" spans="1:2" x14ac:dyDescent="0.25">
      <c r="A30" t="s">
        <v>3640</v>
      </c>
      <c r="B30" t="s">
        <v>5747</v>
      </c>
    </row>
    <row r="31" spans="1:2" x14ac:dyDescent="0.25">
      <c r="A31" t="s">
        <v>5303</v>
      </c>
      <c r="B31" t="s">
        <v>5747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28"/>
  <sheetViews>
    <sheetView topLeftCell="A7" zoomScaleNormal="100" workbookViewId="0">
      <selection activeCell="A4" sqref="A4"/>
    </sheetView>
  </sheetViews>
  <sheetFormatPr defaultColWidth="8.42578125" defaultRowHeight="15" x14ac:dyDescent="0.25"/>
  <cols>
    <col min="1" max="1" width="35" customWidth="1"/>
    <col min="2" max="2" width="9.7109375" customWidth="1"/>
  </cols>
  <sheetData>
    <row r="1" spans="1:2" x14ac:dyDescent="0.25">
      <c r="A1" s="2" t="s">
        <v>5749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660</v>
      </c>
      <c r="B4" t="s">
        <v>5750</v>
      </c>
    </row>
    <row r="5" spans="1:2" x14ac:dyDescent="0.25">
      <c r="A5" t="s">
        <v>2072</v>
      </c>
      <c r="B5" t="s">
        <v>5750</v>
      </c>
    </row>
    <row r="6" spans="1:2" x14ac:dyDescent="0.25">
      <c r="A6" t="s">
        <v>4479</v>
      </c>
      <c r="B6" t="s">
        <v>5750</v>
      </c>
    </row>
    <row r="7" spans="1:2" x14ac:dyDescent="0.25">
      <c r="A7" t="s">
        <v>2031</v>
      </c>
      <c r="B7" t="s">
        <v>5750</v>
      </c>
    </row>
    <row r="8" spans="1:2" x14ac:dyDescent="0.25">
      <c r="A8" t="s">
        <v>5418</v>
      </c>
      <c r="B8" t="s">
        <v>5750</v>
      </c>
    </row>
    <row r="9" spans="1:2" x14ac:dyDescent="0.25">
      <c r="A9" t="s">
        <v>2210</v>
      </c>
      <c r="B9" t="s">
        <v>5750</v>
      </c>
    </row>
    <row r="10" spans="1:2" x14ac:dyDescent="0.25">
      <c r="A10" t="s">
        <v>2002</v>
      </c>
      <c r="B10" t="s">
        <v>5750</v>
      </c>
    </row>
    <row r="11" spans="1:2" x14ac:dyDescent="0.25">
      <c r="A11" t="s">
        <v>5406</v>
      </c>
      <c r="B11" t="s">
        <v>5750</v>
      </c>
    </row>
    <row r="12" spans="1:2" x14ac:dyDescent="0.25">
      <c r="A12" t="s">
        <v>5081</v>
      </c>
      <c r="B12" t="s">
        <v>5750</v>
      </c>
    </row>
    <row r="13" spans="1:2" x14ac:dyDescent="0.25">
      <c r="A13" t="s">
        <v>1870</v>
      </c>
      <c r="B13" t="s">
        <v>5750</v>
      </c>
    </row>
    <row r="14" spans="1:2" x14ac:dyDescent="0.25">
      <c r="A14" t="s">
        <v>1177</v>
      </c>
      <c r="B14" t="s">
        <v>5750</v>
      </c>
    </row>
    <row r="15" spans="1:2" x14ac:dyDescent="0.25">
      <c r="A15" t="s">
        <v>1500</v>
      </c>
      <c r="B15" t="s">
        <v>5750</v>
      </c>
    </row>
    <row r="16" spans="1:2" x14ac:dyDescent="0.25">
      <c r="A16" t="s">
        <v>788</v>
      </c>
      <c r="B16" t="s">
        <v>5750</v>
      </c>
    </row>
    <row r="17" spans="1:2" x14ac:dyDescent="0.25">
      <c r="A17" t="s">
        <v>3988</v>
      </c>
      <c r="B17" t="s">
        <v>5750</v>
      </c>
    </row>
    <row r="18" spans="1:2" x14ac:dyDescent="0.25">
      <c r="A18" t="s">
        <v>1882</v>
      </c>
      <c r="B18" t="s">
        <v>5750</v>
      </c>
    </row>
    <row r="19" spans="1:2" x14ac:dyDescent="0.25">
      <c r="A19" t="s">
        <v>845</v>
      </c>
      <c r="B19" t="s">
        <v>5750</v>
      </c>
    </row>
    <row r="20" spans="1:2" x14ac:dyDescent="0.25">
      <c r="A20" t="s">
        <v>1301</v>
      </c>
      <c r="B20" t="s">
        <v>5750</v>
      </c>
    </row>
    <row r="21" spans="1:2" x14ac:dyDescent="0.25">
      <c r="A21" t="s">
        <v>4002</v>
      </c>
      <c r="B21" t="s">
        <v>5750</v>
      </c>
    </row>
    <row r="22" spans="1:2" x14ac:dyDescent="0.25">
      <c r="A22" t="s">
        <v>1486</v>
      </c>
      <c r="B22" t="s">
        <v>5750</v>
      </c>
    </row>
    <row r="23" spans="1:2" x14ac:dyDescent="0.25">
      <c r="A23" t="s">
        <v>5417</v>
      </c>
      <c r="B23" t="s">
        <v>5750</v>
      </c>
    </row>
    <row r="24" spans="1:2" x14ac:dyDescent="0.25">
      <c r="A24" t="s">
        <v>2043</v>
      </c>
      <c r="B24" t="s">
        <v>5750</v>
      </c>
    </row>
    <row r="25" spans="1:2" x14ac:dyDescent="0.25">
      <c r="A25" t="s">
        <v>4605</v>
      </c>
      <c r="B25" t="s">
        <v>5750</v>
      </c>
    </row>
    <row r="26" spans="1:2" x14ac:dyDescent="0.25">
      <c r="A26" t="s">
        <v>2006</v>
      </c>
      <c r="B26" t="s">
        <v>5750</v>
      </c>
    </row>
    <row r="27" spans="1:2" x14ac:dyDescent="0.25">
      <c r="A27" t="s">
        <v>3366</v>
      </c>
      <c r="B27" t="s">
        <v>5750</v>
      </c>
    </row>
    <row r="28" spans="1:2" x14ac:dyDescent="0.25">
      <c r="A28" t="s">
        <v>726</v>
      </c>
      <c r="B28" t="s">
        <v>5750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28"/>
  <sheetViews>
    <sheetView topLeftCell="A7" zoomScaleNormal="100" workbookViewId="0">
      <selection activeCell="A4" sqref="A4"/>
    </sheetView>
  </sheetViews>
  <sheetFormatPr defaultColWidth="8.42578125" defaultRowHeight="15" x14ac:dyDescent="0.25"/>
  <cols>
    <col min="1" max="1" width="45.140625" customWidth="1"/>
    <col min="2" max="2" width="9.7109375" customWidth="1"/>
  </cols>
  <sheetData>
    <row r="1" spans="1:2" x14ac:dyDescent="0.25">
      <c r="A1" s="2" t="s">
        <v>5751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2054</v>
      </c>
      <c r="B4" t="s">
        <v>5752</v>
      </c>
    </row>
    <row r="5" spans="1:2" x14ac:dyDescent="0.25">
      <c r="A5" t="s">
        <v>4125</v>
      </c>
      <c r="B5" t="s">
        <v>5752</v>
      </c>
    </row>
    <row r="6" spans="1:2" x14ac:dyDescent="0.25">
      <c r="A6" t="s">
        <v>1226</v>
      </c>
      <c r="B6" t="s">
        <v>5752</v>
      </c>
    </row>
    <row r="7" spans="1:2" x14ac:dyDescent="0.25">
      <c r="A7" t="s">
        <v>2093</v>
      </c>
      <c r="B7" t="s">
        <v>5752</v>
      </c>
    </row>
    <row r="8" spans="1:2" x14ac:dyDescent="0.25">
      <c r="A8" t="s">
        <v>176</v>
      </c>
      <c r="B8" t="s">
        <v>5752</v>
      </c>
    </row>
    <row r="9" spans="1:2" x14ac:dyDescent="0.25">
      <c r="A9" t="s">
        <v>2804</v>
      </c>
      <c r="B9" t="s">
        <v>5752</v>
      </c>
    </row>
    <row r="10" spans="1:2" x14ac:dyDescent="0.25">
      <c r="A10" t="s">
        <v>3477</v>
      </c>
      <c r="B10" t="s">
        <v>5752</v>
      </c>
    </row>
    <row r="11" spans="1:2" x14ac:dyDescent="0.25">
      <c r="A11" t="s">
        <v>3758</v>
      </c>
      <c r="B11" t="s">
        <v>5752</v>
      </c>
    </row>
    <row r="12" spans="1:2" x14ac:dyDescent="0.25">
      <c r="A12" t="s">
        <v>3717</v>
      </c>
      <c r="B12" t="s">
        <v>5752</v>
      </c>
    </row>
    <row r="13" spans="1:2" x14ac:dyDescent="0.25">
      <c r="A13" t="s">
        <v>1864</v>
      </c>
      <c r="B13" t="s">
        <v>5752</v>
      </c>
    </row>
    <row r="14" spans="1:2" x14ac:dyDescent="0.25">
      <c r="A14" t="s">
        <v>4527</v>
      </c>
      <c r="B14" t="s">
        <v>5752</v>
      </c>
    </row>
    <row r="15" spans="1:2" x14ac:dyDescent="0.25">
      <c r="A15" t="s">
        <v>4071</v>
      </c>
      <c r="B15" t="s">
        <v>5752</v>
      </c>
    </row>
    <row r="16" spans="1:2" x14ac:dyDescent="0.25">
      <c r="A16" t="s">
        <v>4252</v>
      </c>
      <c r="B16" t="s">
        <v>5752</v>
      </c>
    </row>
    <row r="17" spans="1:2" x14ac:dyDescent="0.25">
      <c r="A17" t="s">
        <v>1270</v>
      </c>
      <c r="B17" t="s">
        <v>5752</v>
      </c>
    </row>
    <row r="18" spans="1:2" x14ac:dyDescent="0.25">
      <c r="A18" t="s">
        <v>2991</v>
      </c>
      <c r="B18" t="s">
        <v>5752</v>
      </c>
    </row>
    <row r="19" spans="1:2" x14ac:dyDescent="0.25">
      <c r="A19" t="s">
        <v>2430</v>
      </c>
      <c r="B19" t="s">
        <v>5752</v>
      </c>
    </row>
    <row r="20" spans="1:2" x14ac:dyDescent="0.25">
      <c r="A20" t="s">
        <v>3325</v>
      </c>
      <c r="B20" t="s">
        <v>5752</v>
      </c>
    </row>
    <row r="21" spans="1:2" x14ac:dyDescent="0.25">
      <c r="A21" t="s">
        <v>1884</v>
      </c>
      <c r="B21" t="s">
        <v>5752</v>
      </c>
    </row>
    <row r="22" spans="1:2" x14ac:dyDescent="0.25">
      <c r="A22" t="s">
        <v>4753</v>
      </c>
      <c r="B22" t="s">
        <v>5752</v>
      </c>
    </row>
    <row r="23" spans="1:2" x14ac:dyDescent="0.25">
      <c r="A23" t="s">
        <v>5670</v>
      </c>
      <c r="B23" t="s">
        <v>5752</v>
      </c>
    </row>
    <row r="24" spans="1:2" x14ac:dyDescent="0.25">
      <c r="A24" t="s">
        <v>2166</v>
      </c>
      <c r="B24" t="s">
        <v>5752</v>
      </c>
    </row>
    <row r="25" spans="1:2" x14ac:dyDescent="0.25">
      <c r="A25" t="s">
        <v>2246</v>
      </c>
      <c r="B25" t="s">
        <v>5752</v>
      </c>
    </row>
    <row r="26" spans="1:2" x14ac:dyDescent="0.25">
      <c r="A26" t="s">
        <v>2696</v>
      </c>
      <c r="B26" t="s">
        <v>5752</v>
      </c>
    </row>
    <row r="27" spans="1:2" x14ac:dyDescent="0.25">
      <c r="A27" t="s">
        <v>1809</v>
      </c>
      <c r="B27" t="s">
        <v>5752</v>
      </c>
    </row>
    <row r="28" spans="1:2" x14ac:dyDescent="0.25">
      <c r="A28" t="s">
        <v>858</v>
      </c>
      <c r="B28" t="s">
        <v>5752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84"/>
  <sheetViews>
    <sheetView topLeftCell="A63" zoomScaleNormal="100" workbookViewId="0">
      <selection activeCell="A4" sqref="A4"/>
    </sheetView>
  </sheetViews>
  <sheetFormatPr defaultColWidth="8.42578125" defaultRowHeight="15" x14ac:dyDescent="0.25"/>
  <cols>
    <col min="1" max="1" width="39.42578125" customWidth="1"/>
    <col min="2" max="2" width="9.7109375" customWidth="1"/>
  </cols>
  <sheetData>
    <row r="1" spans="1:2" x14ac:dyDescent="0.25">
      <c r="A1" s="2" t="s">
        <v>5705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4130</v>
      </c>
      <c r="B4" t="s">
        <v>5706</v>
      </c>
    </row>
    <row r="5" spans="1:2" x14ac:dyDescent="0.25">
      <c r="A5" t="s">
        <v>408</v>
      </c>
      <c r="B5" t="s">
        <v>5706</v>
      </c>
    </row>
    <row r="6" spans="1:2" x14ac:dyDescent="0.25">
      <c r="A6" t="s">
        <v>1183</v>
      </c>
      <c r="B6" t="s">
        <v>5706</v>
      </c>
    </row>
    <row r="7" spans="1:2" x14ac:dyDescent="0.25">
      <c r="A7" t="s">
        <v>3050</v>
      </c>
      <c r="B7" t="s">
        <v>5706</v>
      </c>
    </row>
    <row r="8" spans="1:2" x14ac:dyDescent="0.25">
      <c r="A8" t="s">
        <v>3801</v>
      </c>
      <c r="B8" t="s">
        <v>5706</v>
      </c>
    </row>
    <row r="9" spans="1:2" x14ac:dyDescent="0.25">
      <c r="A9" t="s">
        <v>2938</v>
      </c>
      <c r="B9" t="s">
        <v>5706</v>
      </c>
    </row>
    <row r="10" spans="1:2" x14ac:dyDescent="0.25">
      <c r="A10" t="s">
        <v>2176</v>
      </c>
      <c r="B10" t="s">
        <v>5706</v>
      </c>
    </row>
    <row r="11" spans="1:2" x14ac:dyDescent="0.25">
      <c r="A11" t="s">
        <v>226</v>
      </c>
      <c r="B11" t="s">
        <v>5706</v>
      </c>
    </row>
    <row r="12" spans="1:2" x14ac:dyDescent="0.25">
      <c r="A12" t="s">
        <v>3009</v>
      </c>
      <c r="B12" t="s">
        <v>5706</v>
      </c>
    </row>
    <row r="13" spans="1:2" x14ac:dyDescent="0.25">
      <c r="A13" t="s">
        <v>663</v>
      </c>
      <c r="B13" t="s">
        <v>5706</v>
      </c>
    </row>
    <row r="14" spans="1:2" x14ac:dyDescent="0.25">
      <c r="A14" t="s">
        <v>773</v>
      </c>
      <c r="B14" t="s">
        <v>5706</v>
      </c>
    </row>
    <row r="15" spans="1:2" x14ac:dyDescent="0.25">
      <c r="A15" t="s">
        <v>3257</v>
      </c>
      <c r="B15" t="s">
        <v>5706</v>
      </c>
    </row>
    <row r="16" spans="1:2" x14ac:dyDescent="0.25">
      <c r="A16" t="s">
        <v>2885</v>
      </c>
      <c r="B16" t="s">
        <v>5706</v>
      </c>
    </row>
    <row r="17" spans="1:2" x14ac:dyDescent="0.25">
      <c r="A17" t="s">
        <v>2206</v>
      </c>
      <c r="B17" t="s">
        <v>5706</v>
      </c>
    </row>
    <row r="18" spans="1:2" x14ac:dyDescent="0.25">
      <c r="A18" t="s">
        <v>5078</v>
      </c>
      <c r="B18" t="s">
        <v>5706</v>
      </c>
    </row>
    <row r="19" spans="1:2" x14ac:dyDescent="0.25">
      <c r="A19" t="s">
        <v>4444</v>
      </c>
      <c r="B19" t="s">
        <v>5706</v>
      </c>
    </row>
    <row r="20" spans="1:2" x14ac:dyDescent="0.25">
      <c r="A20" t="s">
        <v>5144</v>
      </c>
      <c r="B20" t="s">
        <v>5706</v>
      </c>
    </row>
    <row r="21" spans="1:2" x14ac:dyDescent="0.25">
      <c r="A21" t="s">
        <v>3912</v>
      </c>
      <c r="B21" t="s">
        <v>5706</v>
      </c>
    </row>
    <row r="22" spans="1:2" x14ac:dyDescent="0.25">
      <c r="A22" t="s">
        <v>5489</v>
      </c>
      <c r="B22" t="s">
        <v>5706</v>
      </c>
    </row>
    <row r="23" spans="1:2" x14ac:dyDescent="0.25">
      <c r="A23" t="s">
        <v>844</v>
      </c>
      <c r="B23" t="s">
        <v>5706</v>
      </c>
    </row>
    <row r="24" spans="1:2" x14ac:dyDescent="0.25">
      <c r="A24" t="s">
        <v>3761</v>
      </c>
      <c r="B24" t="s">
        <v>5706</v>
      </c>
    </row>
    <row r="25" spans="1:2" x14ac:dyDescent="0.25">
      <c r="A25" t="s">
        <v>739</v>
      </c>
      <c r="B25" t="s">
        <v>5706</v>
      </c>
    </row>
    <row r="26" spans="1:2" x14ac:dyDescent="0.25">
      <c r="A26" t="s">
        <v>4872</v>
      </c>
      <c r="B26" t="s">
        <v>5706</v>
      </c>
    </row>
    <row r="27" spans="1:2" x14ac:dyDescent="0.25">
      <c r="A27" t="s">
        <v>5512</v>
      </c>
      <c r="B27" t="s">
        <v>5706</v>
      </c>
    </row>
    <row r="28" spans="1:2" x14ac:dyDescent="0.25">
      <c r="A28" t="s">
        <v>1427</v>
      </c>
      <c r="B28" t="s">
        <v>5706</v>
      </c>
    </row>
    <row r="29" spans="1:2" x14ac:dyDescent="0.25">
      <c r="A29" t="s">
        <v>5079</v>
      </c>
      <c r="B29" t="s">
        <v>5706</v>
      </c>
    </row>
    <row r="30" spans="1:2" x14ac:dyDescent="0.25">
      <c r="A30" t="s">
        <v>5132</v>
      </c>
      <c r="B30" t="s">
        <v>5706</v>
      </c>
    </row>
    <row r="31" spans="1:2" x14ac:dyDescent="0.25">
      <c r="A31" t="s">
        <v>2135</v>
      </c>
      <c r="B31" t="s">
        <v>5706</v>
      </c>
    </row>
    <row r="32" spans="1:2" x14ac:dyDescent="0.25">
      <c r="A32" t="s">
        <v>98</v>
      </c>
      <c r="B32" t="s">
        <v>5706</v>
      </c>
    </row>
    <row r="33" spans="1:2" x14ac:dyDescent="0.25">
      <c r="A33" t="s">
        <v>2482</v>
      </c>
      <c r="B33" t="s">
        <v>5706</v>
      </c>
    </row>
    <row r="34" spans="1:2" x14ac:dyDescent="0.25">
      <c r="A34" t="s">
        <v>4066</v>
      </c>
      <c r="B34" t="s">
        <v>5706</v>
      </c>
    </row>
    <row r="35" spans="1:2" x14ac:dyDescent="0.25">
      <c r="A35" t="s">
        <v>2101</v>
      </c>
      <c r="B35" t="s">
        <v>5706</v>
      </c>
    </row>
    <row r="36" spans="1:2" x14ac:dyDescent="0.25">
      <c r="A36" t="s">
        <v>386</v>
      </c>
      <c r="B36" t="s">
        <v>5706</v>
      </c>
    </row>
    <row r="37" spans="1:2" x14ac:dyDescent="0.25">
      <c r="A37" t="s">
        <v>1241</v>
      </c>
      <c r="B37" t="s">
        <v>5706</v>
      </c>
    </row>
    <row r="38" spans="1:2" x14ac:dyDescent="0.25">
      <c r="A38" t="s">
        <v>163</v>
      </c>
      <c r="B38" t="s">
        <v>5706</v>
      </c>
    </row>
    <row r="39" spans="1:2" x14ac:dyDescent="0.25">
      <c r="A39" t="s">
        <v>4033</v>
      </c>
      <c r="B39" t="s">
        <v>5706</v>
      </c>
    </row>
    <row r="40" spans="1:2" x14ac:dyDescent="0.25">
      <c r="A40" t="s">
        <v>5086</v>
      </c>
      <c r="B40" t="s">
        <v>5706</v>
      </c>
    </row>
    <row r="41" spans="1:2" x14ac:dyDescent="0.25">
      <c r="A41" t="s">
        <v>1317</v>
      </c>
      <c r="B41" t="s">
        <v>5706</v>
      </c>
    </row>
    <row r="42" spans="1:2" x14ac:dyDescent="0.25">
      <c r="A42" t="s">
        <v>5117</v>
      </c>
      <c r="B42" t="s">
        <v>5706</v>
      </c>
    </row>
    <row r="43" spans="1:2" x14ac:dyDescent="0.25">
      <c r="A43" t="s">
        <v>4392</v>
      </c>
      <c r="B43" t="s">
        <v>5706</v>
      </c>
    </row>
    <row r="44" spans="1:2" x14ac:dyDescent="0.25">
      <c r="A44" t="s">
        <v>3655</v>
      </c>
      <c r="B44" t="s">
        <v>5706</v>
      </c>
    </row>
    <row r="45" spans="1:2" x14ac:dyDescent="0.25">
      <c r="A45" t="s">
        <v>446</v>
      </c>
      <c r="B45" t="s">
        <v>5706</v>
      </c>
    </row>
    <row r="46" spans="1:2" x14ac:dyDescent="0.25">
      <c r="A46" t="s">
        <v>1124</v>
      </c>
      <c r="B46" t="s">
        <v>5706</v>
      </c>
    </row>
    <row r="47" spans="1:2" x14ac:dyDescent="0.25">
      <c r="A47" t="s">
        <v>4417</v>
      </c>
      <c r="B47" t="s">
        <v>5706</v>
      </c>
    </row>
    <row r="48" spans="1:2" x14ac:dyDescent="0.25">
      <c r="A48" t="s">
        <v>1508</v>
      </c>
      <c r="B48" t="s">
        <v>5706</v>
      </c>
    </row>
    <row r="49" spans="1:2" x14ac:dyDescent="0.25">
      <c r="A49" t="s">
        <v>2449</v>
      </c>
      <c r="B49" t="s">
        <v>5706</v>
      </c>
    </row>
    <row r="50" spans="1:2" x14ac:dyDescent="0.25">
      <c r="A50" t="s">
        <v>2966</v>
      </c>
      <c r="B50" t="s">
        <v>5706</v>
      </c>
    </row>
    <row r="51" spans="1:2" x14ac:dyDescent="0.25">
      <c r="A51" t="s">
        <v>3383</v>
      </c>
      <c r="B51" t="s">
        <v>5706</v>
      </c>
    </row>
    <row r="52" spans="1:2" x14ac:dyDescent="0.25">
      <c r="A52" t="s">
        <v>3259</v>
      </c>
      <c r="B52" t="s">
        <v>5706</v>
      </c>
    </row>
    <row r="53" spans="1:2" x14ac:dyDescent="0.25">
      <c r="A53" t="s">
        <v>3473</v>
      </c>
      <c r="B53" t="s">
        <v>5706</v>
      </c>
    </row>
    <row r="54" spans="1:2" x14ac:dyDescent="0.25">
      <c r="A54" t="s">
        <v>441</v>
      </c>
      <c r="B54" t="s">
        <v>5706</v>
      </c>
    </row>
    <row r="55" spans="1:2" x14ac:dyDescent="0.25">
      <c r="A55" t="s">
        <v>94</v>
      </c>
      <c r="B55" t="s">
        <v>5706</v>
      </c>
    </row>
    <row r="56" spans="1:2" x14ac:dyDescent="0.25">
      <c r="A56" t="s">
        <v>5660</v>
      </c>
      <c r="B56" t="s">
        <v>5706</v>
      </c>
    </row>
    <row r="57" spans="1:2" x14ac:dyDescent="0.25">
      <c r="A57" t="s">
        <v>2074</v>
      </c>
      <c r="B57" t="s">
        <v>5706</v>
      </c>
    </row>
    <row r="58" spans="1:2" x14ac:dyDescent="0.25">
      <c r="A58" t="s">
        <v>560</v>
      </c>
      <c r="B58" t="s">
        <v>5706</v>
      </c>
    </row>
    <row r="59" spans="1:2" x14ac:dyDescent="0.25">
      <c r="A59" t="s">
        <v>5063</v>
      </c>
      <c r="B59" t="s">
        <v>5706</v>
      </c>
    </row>
    <row r="60" spans="1:2" x14ac:dyDescent="0.25">
      <c r="A60" t="s">
        <v>5441</v>
      </c>
      <c r="B60" t="s">
        <v>5706</v>
      </c>
    </row>
    <row r="61" spans="1:2" x14ac:dyDescent="0.25">
      <c r="A61" t="s">
        <v>4354</v>
      </c>
      <c r="B61" t="s">
        <v>5706</v>
      </c>
    </row>
    <row r="62" spans="1:2" x14ac:dyDescent="0.25">
      <c r="A62" t="s">
        <v>336</v>
      </c>
      <c r="B62" t="s">
        <v>5706</v>
      </c>
    </row>
    <row r="63" spans="1:2" x14ac:dyDescent="0.25">
      <c r="A63" t="s">
        <v>2996</v>
      </c>
      <c r="B63" t="s">
        <v>5706</v>
      </c>
    </row>
    <row r="64" spans="1:2" x14ac:dyDescent="0.25">
      <c r="A64" t="s">
        <v>1536</v>
      </c>
      <c r="B64" t="s">
        <v>5706</v>
      </c>
    </row>
    <row r="65" spans="1:2" x14ac:dyDescent="0.25">
      <c r="A65" t="s">
        <v>608</v>
      </c>
      <c r="B65" t="s">
        <v>5706</v>
      </c>
    </row>
    <row r="66" spans="1:2" x14ac:dyDescent="0.25">
      <c r="A66" t="s">
        <v>5570</v>
      </c>
      <c r="B66" t="s">
        <v>5706</v>
      </c>
    </row>
    <row r="67" spans="1:2" x14ac:dyDescent="0.25">
      <c r="A67" t="s">
        <v>2383</v>
      </c>
      <c r="B67" t="s">
        <v>5706</v>
      </c>
    </row>
    <row r="68" spans="1:2" x14ac:dyDescent="0.25">
      <c r="A68" t="s">
        <v>3176</v>
      </c>
      <c r="B68" t="s">
        <v>5706</v>
      </c>
    </row>
    <row r="69" spans="1:2" x14ac:dyDescent="0.25">
      <c r="A69" t="s">
        <v>3081</v>
      </c>
      <c r="B69" t="s">
        <v>5706</v>
      </c>
    </row>
    <row r="70" spans="1:2" x14ac:dyDescent="0.25">
      <c r="A70" t="s">
        <v>5238</v>
      </c>
      <c r="B70" t="s">
        <v>5706</v>
      </c>
    </row>
    <row r="71" spans="1:2" x14ac:dyDescent="0.25">
      <c r="A71" t="s">
        <v>2518</v>
      </c>
      <c r="B71" t="s">
        <v>5706</v>
      </c>
    </row>
    <row r="72" spans="1:2" x14ac:dyDescent="0.25">
      <c r="A72" t="s">
        <v>3162</v>
      </c>
      <c r="B72" t="s">
        <v>5706</v>
      </c>
    </row>
    <row r="73" spans="1:2" x14ac:dyDescent="0.25">
      <c r="A73" t="s">
        <v>4086</v>
      </c>
      <c r="B73" t="s">
        <v>5706</v>
      </c>
    </row>
    <row r="74" spans="1:2" x14ac:dyDescent="0.25">
      <c r="A74" t="s">
        <v>3460</v>
      </c>
      <c r="B74" t="s">
        <v>5706</v>
      </c>
    </row>
    <row r="75" spans="1:2" x14ac:dyDescent="0.25">
      <c r="A75" t="s">
        <v>682</v>
      </c>
      <c r="B75" t="s">
        <v>5706</v>
      </c>
    </row>
    <row r="76" spans="1:2" x14ac:dyDescent="0.25">
      <c r="A76" t="s">
        <v>2432</v>
      </c>
      <c r="B76" t="s">
        <v>5706</v>
      </c>
    </row>
    <row r="77" spans="1:2" x14ac:dyDescent="0.25">
      <c r="A77" t="s">
        <v>784</v>
      </c>
      <c r="B77" t="s">
        <v>5706</v>
      </c>
    </row>
    <row r="78" spans="1:2" x14ac:dyDescent="0.25">
      <c r="A78" t="s">
        <v>440</v>
      </c>
      <c r="B78" t="s">
        <v>5706</v>
      </c>
    </row>
    <row r="79" spans="1:2" x14ac:dyDescent="0.25">
      <c r="A79" t="s">
        <v>1089</v>
      </c>
      <c r="B79" t="s">
        <v>5706</v>
      </c>
    </row>
    <row r="80" spans="1:2" x14ac:dyDescent="0.25">
      <c r="A80" t="s">
        <v>4076</v>
      </c>
      <c r="B80" t="s">
        <v>5706</v>
      </c>
    </row>
    <row r="81" spans="1:2" x14ac:dyDescent="0.25">
      <c r="A81" t="s">
        <v>1684</v>
      </c>
      <c r="B81" t="s">
        <v>5706</v>
      </c>
    </row>
    <row r="82" spans="1:2" x14ac:dyDescent="0.25">
      <c r="A82" t="s">
        <v>1521</v>
      </c>
      <c r="B82" t="s">
        <v>5706</v>
      </c>
    </row>
    <row r="83" spans="1:2" x14ac:dyDescent="0.25">
      <c r="A83" t="s">
        <v>3961</v>
      </c>
      <c r="B83" t="s">
        <v>5706</v>
      </c>
    </row>
    <row r="84" spans="1:2" x14ac:dyDescent="0.25">
      <c r="A84" t="s">
        <v>3386</v>
      </c>
      <c r="B84" t="s">
        <v>5706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27"/>
  <sheetViews>
    <sheetView topLeftCell="A6" zoomScaleNormal="100" workbookViewId="0">
      <selection activeCell="A4" sqref="A4"/>
    </sheetView>
  </sheetViews>
  <sheetFormatPr defaultColWidth="8.42578125" defaultRowHeight="15" x14ac:dyDescent="0.25"/>
  <cols>
    <col min="1" max="1" width="36" customWidth="1"/>
    <col min="2" max="2" width="9.7109375" customWidth="1"/>
  </cols>
  <sheetData>
    <row r="1" spans="1:2" x14ac:dyDescent="0.25">
      <c r="A1" s="2" t="s">
        <v>5753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1010</v>
      </c>
      <c r="B4" t="s">
        <v>5754</v>
      </c>
    </row>
    <row r="5" spans="1:2" x14ac:dyDescent="0.25">
      <c r="A5" t="s">
        <v>4534</v>
      </c>
      <c r="B5" t="s">
        <v>5754</v>
      </c>
    </row>
    <row r="6" spans="1:2" x14ac:dyDescent="0.25">
      <c r="A6" t="s">
        <v>2951</v>
      </c>
      <c r="B6" t="s">
        <v>5754</v>
      </c>
    </row>
    <row r="7" spans="1:2" x14ac:dyDescent="0.25">
      <c r="A7" t="s">
        <v>3467</v>
      </c>
      <c r="B7" t="s">
        <v>5754</v>
      </c>
    </row>
    <row r="8" spans="1:2" x14ac:dyDescent="0.25">
      <c r="A8" t="s">
        <v>5045</v>
      </c>
      <c r="B8" t="s">
        <v>5754</v>
      </c>
    </row>
    <row r="9" spans="1:2" x14ac:dyDescent="0.25">
      <c r="A9" t="s">
        <v>4483</v>
      </c>
      <c r="B9" t="s">
        <v>5754</v>
      </c>
    </row>
    <row r="10" spans="1:2" x14ac:dyDescent="0.25">
      <c r="A10" t="s">
        <v>5424</v>
      </c>
      <c r="B10" t="s">
        <v>5754</v>
      </c>
    </row>
    <row r="11" spans="1:2" x14ac:dyDescent="0.25">
      <c r="A11" t="s">
        <v>3345</v>
      </c>
      <c r="B11" t="s">
        <v>5754</v>
      </c>
    </row>
    <row r="12" spans="1:2" x14ac:dyDescent="0.25">
      <c r="A12" t="s">
        <v>3111</v>
      </c>
      <c r="B12" t="s">
        <v>5754</v>
      </c>
    </row>
    <row r="13" spans="1:2" x14ac:dyDescent="0.25">
      <c r="A13" t="s">
        <v>5755</v>
      </c>
      <c r="B13" t="s">
        <v>5754</v>
      </c>
    </row>
    <row r="14" spans="1:2" x14ac:dyDescent="0.25">
      <c r="A14" t="s">
        <v>5542</v>
      </c>
      <c r="B14" t="s">
        <v>5754</v>
      </c>
    </row>
    <row r="15" spans="1:2" x14ac:dyDescent="0.25">
      <c r="A15" t="s">
        <v>4808</v>
      </c>
      <c r="B15" t="s">
        <v>5754</v>
      </c>
    </row>
    <row r="16" spans="1:2" x14ac:dyDescent="0.25">
      <c r="A16" t="s">
        <v>2247</v>
      </c>
      <c r="B16" t="s">
        <v>5754</v>
      </c>
    </row>
    <row r="17" spans="1:2" x14ac:dyDescent="0.25">
      <c r="A17" t="s">
        <v>2474</v>
      </c>
      <c r="B17" t="s">
        <v>5754</v>
      </c>
    </row>
    <row r="18" spans="1:2" x14ac:dyDescent="0.25">
      <c r="A18" t="s">
        <v>3977</v>
      </c>
      <c r="B18" t="s">
        <v>5754</v>
      </c>
    </row>
    <row r="19" spans="1:2" x14ac:dyDescent="0.25">
      <c r="A19" t="s">
        <v>2542</v>
      </c>
      <c r="B19" t="s">
        <v>5754</v>
      </c>
    </row>
    <row r="20" spans="1:2" x14ac:dyDescent="0.25">
      <c r="A20" t="s">
        <v>3671</v>
      </c>
      <c r="B20" t="s">
        <v>5754</v>
      </c>
    </row>
    <row r="21" spans="1:2" x14ac:dyDescent="0.25">
      <c r="A21" t="s">
        <v>2052</v>
      </c>
      <c r="B21" t="s">
        <v>5754</v>
      </c>
    </row>
    <row r="22" spans="1:2" x14ac:dyDescent="0.25">
      <c r="A22" t="s">
        <v>3079</v>
      </c>
      <c r="B22" t="s">
        <v>5754</v>
      </c>
    </row>
    <row r="23" spans="1:2" x14ac:dyDescent="0.25">
      <c r="A23" t="s">
        <v>2431</v>
      </c>
      <c r="B23" t="s">
        <v>5754</v>
      </c>
    </row>
    <row r="24" spans="1:2" x14ac:dyDescent="0.25">
      <c r="A24" t="s">
        <v>3180</v>
      </c>
      <c r="B24" t="s">
        <v>5754</v>
      </c>
    </row>
    <row r="25" spans="1:2" x14ac:dyDescent="0.25">
      <c r="A25" t="s">
        <v>3966</v>
      </c>
      <c r="B25" t="s">
        <v>5754</v>
      </c>
    </row>
    <row r="26" spans="1:2" x14ac:dyDescent="0.25">
      <c r="A26" t="s">
        <v>4874</v>
      </c>
      <c r="B26" t="s">
        <v>5754</v>
      </c>
    </row>
    <row r="27" spans="1:2" x14ac:dyDescent="0.25">
      <c r="A27" t="s">
        <v>1399</v>
      </c>
      <c r="B27" t="s">
        <v>5754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27"/>
  <sheetViews>
    <sheetView topLeftCell="A6" zoomScaleNormal="100" workbookViewId="0">
      <selection activeCell="A4" sqref="A4"/>
    </sheetView>
  </sheetViews>
  <sheetFormatPr defaultColWidth="8.42578125" defaultRowHeight="15" x14ac:dyDescent="0.25"/>
  <cols>
    <col min="1" max="1" width="42.85546875" customWidth="1"/>
    <col min="2" max="2" width="9.7109375" customWidth="1"/>
  </cols>
  <sheetData>
    <row r="1" spans="1:2" x14ac:dyDescent="0.25">
      <c r="A1" s="2" t="s">
        <v>5756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1456</v>
      </c>
      <c r="B4" t="s">
        <v>5757</v>
      </c>
    </row>
    <row r="5" spans="1:2" x14ac:dyDescent="0.25">
      <c r="A5" t="s">
        <v>87</v>
      </c>
      <c r="B5" t="s">
        <v>5757</v>
      </c>
    </row>
    <row r="6" spans="1:2" x14ac:dyDescent="0.25">
      <c r="A6" t="s">
        <v>242</v>
      </c>
      <c r="B6" t="s">
        <v>5757</v>
      </c>
    </row>
    <row r="7" spans="1:2" x14ac:dyDescent="0.25">
      <c r="A7" t="s">
        <v>126</v>
      </c>
      <c r="B7" t="s">
        <v>5757</v>
      </c>
    </row>
    <row r="8" spans="1:2" x14ac:dyDescent="0.25">
      <c r="A8" t="s">
        <v>4623</v>
      </c>
      <c r="B8" t="s">
        <v>5757</v>
      </c>
    </row>
    <row r="9" spans="1:2" x14ac:dyDescent="0.25">
      <c r="A9" t="s">
        <v>1064</v>
      </c>
      <c r="B9" t="s">
        <v>5757</v>
      </c>
    </row>
    <row r="10" spans="1:2" x14ac:dyDescent="0.25">
      <c r="A10" t="s">
        <v>3735</v>
      </c>
      <c r="B10" t="s">
        <v>5757</v>
      </c>
    </row>
    <row r="11" spans="1:2" x14ac:dyDescent="0.25">
      <c r="A11" t="s">
        <v>3866</v>
      </c>
      <c r="B11" t="s">
        <v>5757</v>
      </c>
    </row>
    <row r="12" spans="1:2" x14ac:dyDescent="0.25">
      <c r="A12" t="s">
        <v>125</v>
      </c>
      <c r="B12" t="s">
        <v>5757</v>
      </c>
    </row>
    <row r="13" spans="1:2" x14ac:dyDescent="0.25">
      <c r="A13" t="s">
        <v>3537</v>
      </c>
      <c r="B13" t="s">
        <v>5757</v>
      </c>
    </row>
    <row r="14" spans="1:2" x14ac:dyDescent="0.25">
      <c r="A14" t="s">
        <v>2261</v>
      </c>
      <c r="B14" t="s">
        <v>5757</v>
      </c>
    </row>
    <row r="15" spans="1:2" x14ac:dyDescent="0.25">
      <c r="A15" t="s">
        <v>3623</v>
      </c>
      <c r="B15" t="s">
        <v>5757</v>
      </c>
    </row>
    <row r="16" spans="1:2" x14ac:dyDescent="0.25">
      <c r="A16" t="s">
        <v>124</v>
      </c>
      <c r="B16" t="s">
        <v>5757</v>
      </c>
    </row>
    <row r="17" spans="1:2" x14ac:dyDescent="0.25">
      <c r="A17" t="s">
        <v>2808</v>
      </c>
      <c r="B17" t="s">
        <v>5757</v>
      </c>
    </row>
    <row r="18" spans="1:2" x14ac:dyDescent="0.25">
      <c r="A18" t="s">
        <v>1348</v>
      </c>
      <c r="B18" t="s">
        <v>5757</v>
      </c>
    </row>
    <row r="19" spans="1:2" x14ac:dyDescent="0.25">
      <c r="A19" t="s">
        <v>184</v>
      </c>
      <c r="B19" t="s">
        <v>5757</v>
      </c>
    </row>
    <row r="20" spans="1:2" x14ac:dyDescent="0.25">
      <c r="A20" t="s">
        <v>2480</v>
      </c>
      <c r="B20" t="s">
        <v>5757</v>
      </c>
    </row>
    <row r="21" spans="1:2" x14ac:dyDescent="0.25">
      <c r="A21" t="s">
        <v>3762</v>
      </c>
      <c r="B21" t="s">
        <v>5757</v>
      </c>
    </row>
    <row r="22" spans="1:2" x14ac:dyDescent="0.25">
      <c r="A22" t="s">
        <v>5272</v>
      </c>
      <c r="B22" t="s">
        <v>5757</v>
      </c>
    </row>
    <row r="23" spans="1:2" x14ac:dyDescent="0.25">
      <c r="A23" t="s">
        <v>5066</v>
      </c>
      <c r="B23" t="s">
        <v>5757</v>
      </c>
    </row>
    <row r="24" spans="1:2" x14ac:dyDescent="0.25">
      <c r="A24" t="s">
        <v>4856</v>
      </c>
      <c r="B24" t="s">
        <v>5757</v>
      </c>
    </row>
    <row r="25" spans="1:2" x14ac:dyDescent="0.25">
      <c r="A25" t="s">
        <v>2429</v>
      </c>
      <c r="B25" t="s">
        <v>5757</v>
      </c>
    </row>
    <row r="26" spans="1:2" x14ac:dyDescent="0.25">
      <c r="A26" t="s">
        <v>4713</v>
      </c>
      <c r="B26" t="s">
        <v>5757</v>
      </c>
    </row>
    <row r="27" spans="1:2" x14ac:dyDescent="0.25">
      <c r="A27" t="s">
        <v>3013</v>
      </c>
      <c r="B27" t="s">
        <v>5757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27"/>
  <sheetViews>
    <sheetView topLeftCell="A6" zoomScaleNormal="100" workbookViewId="0">
      <selection activeCell="A4" sqref="A4"/>
    </sheetView>
  </sheetViews>
  <sheetFormatPr defaultColWidth="8.42578125" defaultRowHeight="15" x14ac:dyDescent="0.25"/>
  <cols>
    <col min="1" max="1" width="44.140625" customWidth="1"/>
    <col min="2" max="2" width="9.7109375" customWidth="1"/>
  </cols>
  <sheetData>
    <row r="1" spans="1:2" x14ac:dyDescent="0.25">
      <c r="A1" s="2" t="s">
        <v>5758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4707</v>
      </c>
      <c r="B4" t="s">
        <v>5759</v>
      </c>
    </row>
    <row r="5" spans="1:2" x14ac:dyDescent="0.25">
      <c r="A5" t="s">
        <v>4977</v>
      </c>
      <c r="B5" t="s">
        <v>5759</v>
      </c>
    </row>
    <row r="6" spans="1:2" x14ac:dyDescent="0.25">
      <c r="A6" t="s">
        <v>1654</v>
      </c>
      <c r="B6" t="s">
        <v>5759</v>
      </c>
    </row>
    <row r="7" spans="1:2" x14ac:dyDescent="0.25">
      <c r="A7" t="s">
        <v>127</v>
      </c>
      <c r="B7" t="s">
        <v>5759</v>
      </c>
    </row>
    <row r="8" spans="1:2" x14ac:dyDescent="0.25">
      <c r="A8" t="s">
        <v>308</v>
      </c>
      <c r="B8" t="s">
        <v>5759</v>
      </c>
    </row>
    <row r="9" spans="1:2" x14ac:dyDescent="0.25">
      <c r="A9" t="s">
        <v>980</v>
      </c>
      <c r="B9" t="s">
        <v>5759</v>
      </c>
    </row>
    <row r="10" spans="1:2" x14ac:dyDescent="0.25">
      <c r="A10" t="s">
        <v>3073</v>
      </c>
      <c r="B10" t="s">
        <v>5759</v>
      </c>
    </row>
    <row r="11" spans="1:2" x14ac:dyDescent="0.25">
      <c r="A11" t="s">
        <v>2692</v>
      </c>
      <c r="B11" t="s">
        <v>5759</v>
      </c>
    </row>
    <row r="12" spans="1:2" x14ac:dyDescent="0.25">
      <c r="A12" t="s">
        <v>4524</v>
      </c>
      <c r="B12" t="s">
        <v>5759</v>
      </c>
    </row>
    <row r="13" spans="1:2" x14ac:dyDescent="0.25">
      <c r="A13" t="s">
        <v>3636</v>
      </c>
      <c r="B13" t="s">
        <v>5759</v>
      </c>
    </row>
    <row r="14" spans="1:2" x14ac:dyDescent="0.25">
      <c r="A14" t="s">
        <v>3067</v>
      </c>
      <c r="B14" t="s">
        <v>5759</v>
      </c>
    </row>
    <row r="15" spans="1:2" x14ac:dyDescent="0.25">
      <c r="A15" t="s">
        <v>2559</v>
      </c>
      <c r="B15" t="s">
        <v>5759</v>
      </c>
    </row>
    <row r="16" spans="1:2" x14ac:dyDescent="0.25">
      <c r="A16" t="s">
        <v>4468</v>
      </c>
      <c r="B16" t="s">
        <v>5759</v>
      </c>
    </row>
    <row r="17" spans="1:2" x14ac:dyDescent="0.25">
      <c r="A17" t="s">
        <v>5760</v>
      </c>
      <c r="B17" t="s">
        <v>5759</v>
      </c>
    </row>
    <row r="18" spans="1:2" x14ac:dyDescent="0.25">
      <c r="A18" t="s">
        <v>262</v>
      </c>
      <c r="B18" t="s">
        <v>5759</v>
      </c>
    </row>
    <row r="19" spans="1:2" x14ac:dyDescent="0.25">
      <c r="A19" t="s">
        <v>8</v>
      </c>
      <c r="B19" t="s">
        <v>5759</v>
      </c>
    </row>
    <row r="20" spans="1:2" x14ac:dyDescent="0.25">
      <c r="A20" t="s">
        <v>5003</v>
      </c>
      <c r="B20" t="s">
        <v>5759</v>
      </c>
    </row>
    <row r="21" spans="1:2" x14ac:dyDescent="0.25">
      <c r="A21" t="s">
        <v>130</v>
      </c>
      <c r="B21" t="s">
        <v>5759</v>
      </c>
    </row>
    <row r="22" spans="1:2" x14ac:dyDescent="0.25">
      <c r="A22" t="s">
        <v>1674</v>
      </c>
      <c r="B22" t="s">
        <v>5759</v>
      </c>
    </row>
    <row r="23" spans="1:2" x14ac:dyDescent="0.25">
      <c r="A23" t="s">
        <v>4549</v>
      </c>
      <c r="B23" t="s">
        <v>5759</v>
      </c>
    </row>
    <row r="24" spans="1:2" x14ac:dyDescent="0.25">
      <c r="A24" t="s">
        <v>611</v>
      </c>
      <c r="B24" t="s">
        <v>5759</v>
      </c>
    </row>
    <row r="25" spans="1:2" x14ac:dyDescent="0.25">
      <c r="A25" t="s">
        <v>2051</v>
      </c>
      <c r="B25" t="s">
        <v>5759</v>
      </c>
    </row>
    <row r="26" spans="1:2" x14ac:dyDescent="0.25">
      <c r="A26" t="s">
        <v>4671</v>
      </c>
      <c r="B26" t="s">
        <v>5759</v>
      </c>
    </row>
    <row r="27" spans="1:2" x14ac:dyDescent="0.25">
      <c r="A27" t="s">
        <v>4726</v>
      </c>
      <c r="B27" t="s">
        <v>5759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26"/>
  <sheetViews>
    <sheetView topLeftCell="A5" zoomScaleNormal="100" workbookViewId="0">
      <selection activeCell="A4" sqref="A4"/>
    </sheetView>
  </sheetViews>
  <sheetFormatPr defaultColWidth="8.42578125" defaultRowHeight="15" x14ac:dyDescent="0.25"/>
  <cols>
    <col min="1" max="1" width="40.28515625" customWidth="1"/>
    <col min="2" max="2" width="11.28515625" customWidth="1"/>
  </cols>
  <sheetData>
    <row r="1" spans="1:2" x14ac:dyDescent="0.25">
      <c r="A1" s="2" t="s">
        <v>5761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3209</v>
      </c>
      <c r="B4" t="s">
        <v>5762</v>
      </c>
    </row>
    <row r="5" spans="1:2" x14ac:dyDescent="0.25">
      <c r="A5" t="s">
        <v>3714</v>
      </c>
      <c r="B5" t="s">
        <v>5762</v>
      </c>
    </row>
    <row r="6" spans="1:2" x14ac:dyDescent="0.25">
      <c r="A6" t="s">
        <v>444</v>
      </c>
      <c r="B6" t="s">
        <v>5762</v>
      </c>
    </row>
    <row r="7" spans="1:2" x14ac:dyDescent="0.25">
      <c r="A7" t="s">
        <v>4620</v>
      </c>
      <c r="B7" t="s">
        <v>5762</v>
      </c>
    </row>
    <row r="8" spans="1:2" x14ac:dyDescent="0.25">
      <c r="A8" t="s">
        <v>617</v>
      </c>
      <c r="B8" t="s">
        <v>5762</v>
      </c>
    </row>
    <row r="9" spans="1:2" x14ac:dyDescent="0.25">
      <c r="A9" t="s">
        <v>5461</v>
      </c>
      <c r="B9" t="s">
        <v>5762</v>
      </c>
    </row>
    <row r="10" spans="1:2" x14ac:dyDescent="0.25">
      <c r="A10" t="s">
        <v>3096</v>
      </c>
      <c r="B10" t="s">
        <v>5762</v>
      </c>
    </row>
    <row r="11" spans="1:2" x14ac:dyDescent="0.25">
      <c r="A11" t="s">
        <v>1737</v>
      </c>
      <c r="B11" t="s">
        <v>5762</v>
      </c>
    </row>
    <row r="12" spans="1:2" x14ac:dyDescent="0.25">
      <c r="A12" t="s">
        <v>3082</v>
      </c>
      <c r="B12" t="s">
        <v>5762</v>
      </c>
    </row>
    <row r="13" spans="1:2" x14ac:dyDescent="0.25">
      <c r="A13" t="s">
        <v>5763</v>
      </c>
      <c r="B13" t="s">
        <v>5762</v>
      </c>
    </row>
    <row r="14" spans="1:2" x14ac:dyDescent="0.25">
      <c r="A14" t="s">
        <v>5764</v>
      </c>
      <c r="B14" t="s">
        <v>5762</v>
      </c>
    </row>
    <row r="15" spans="1:2" x14ac:dyDescent="0.25">
      <c r="A15" t="s">
        <v>3986</v>
      </c>
      <c r="B15" t="s">
        <v>5762</v>
      </c>
    </row>
    <row r="16" spans="1:2" x14ac:dyDescent="0.25">
      <c r="A16" t="s">
        <v>3741</v>
      </c>
      <c r="B16" t="s">
        <v>5762</v>
      </c>
    </row>
    <row r="17" spans="1:2" x14ac:dyDescent="0.25">
      <c r="A17" t="s">
        <v>5382</v>
      </c>
      <c r="B17" t="s">
        <v>5762</v>
      </c>
    </row>
    <row r="18" spans="1:2" x14ac:dyDescent="0.25">
      <c r="A18" t="s">
        <v>2617</v>
      </c>
      <c r="B18" t="s">
        <v>5762</v>
      </c>
    </row>
    <row r="19" spans="1:2" x14ac:dyDescent="0.25">
      <c r="A19" t="s">
        <v>4670</v>
      </c>
      <c r="B19" t="s">
        <v>5762</v>
      </c>
    </row>
    <row r="20" spans="1:2" x14ac:dyDescent="0.25">
      <c r="A20" t="s">
        <v>216</v>
      </c>
      <c r="B20" t="s">
        <v>5762</v>
      </c>
    </row>
    <row r="21" spans="1:2" x14ac:dyDescent="0.25">
      <c r="A21" t="s">
        <v>4223</v>
      </c>
      <c r="B21" t="s">
        <v>5762</v>
      </c>
    </row>
    <row r="22" spans="1:2" x14ac:dyDescent="0.25">
      <c r="A22" t="s">
        <v>2472</v>
      </c>
      <c r="B22" t="s">
        <v>5762</v>
      </c>
    </row>
    <row r="23" spans="1:2" x14ac:dyDescent="0.25">
      <c r="A23" t="s">
        <v>2995</v>
      </c>
      <c r="B23" t="s">
        <v>5762</v>
      </c>
    </row>
    <row r="24" spans="1:2" x14ac:dyDescent="0.25">
      <c r="A24" t="s">
        <v>81</v>
      </c>
      <c r="B24" t="s">
        <v>5762</v>
      </c>
    </row>
    <row r="25" spans="1:2" x14ac:dyDescent="0.25">
      <c r="A25" t="s">
        <v>4140</v>
      </c>
      <c r="B25" t="s">
        <v>5762</v>
      </c>
    </row>
    <row r="26" spans="1:2" x14ac:dyDescent="0.25">
      <c r="A26" t="s">
        <v>2037</v>
      </c>
      <c r="B26" t="s">
        <v>5762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26"/>
  <sheetViews>
    <sheetView topLeftCell="A5" zoomScaleNormal="100" workbookViewId="0">
      <selection activeCell="A4" sqref="A4"/>
    </sheetView>
  </sheetViews>
  <sheetFormatPr defaultColWidth="8.42578125" defaultRowHeight="15" x14ac:dyDescent="0.25"/>
  <cols>
    <col min="1" max="1" width="49.5703125" customWidth="1"/>
    <col min="2" max="2" width="10.28515625" customWidth="1"/>
  </cols>
  <sheetData>
    <row r="1" spans="1:2" x14ac:dyDescent="0.25">
      <c r="A1" s="2" t="s">
        <v>5765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712</v>
      </c>
      <c r="B4" t="s">
        <v>5766</v>
      </c>
    </row>
    <row r="5" spans="1:2" x14ac:dyDescent="0.25">
      <c r="A5" t="s">
        <v>5006</v>
      </c>
      <c r="B5" t="s">
        <v>5766</v>
      </c>
    </row>
    <row r="6" spans="1:2" x14ac:dyDescent="0.25">
      <c r="A6" t="s">
        <v>252</v>
      </c>
      <c r="B6" t="s">
        <v>5766</v>
      </c>
    </row>
    <row r="7" spans="1:2" x14ac:dyDescent="0.25">
      <c r="A7" t="s">
        <v>1645</v>
      </c>
      <c r="B7" t="s">
        <v>5766</v>
      </c>
    </row>
    <row r="8" spans="1:2" x14ac:dyDescent="0.25">
      <c r="A8" t="s">
        <v>5029</v>
      </c>
      <c r="B8" t="s">
        <v>5766</v>
      </c>
    </row>
    <row r="9" spans="1:2" x14ac:dyDescent="0.25">
      <c r="A9" t="s">
        <v>2900</v>
      </c>
      <c r="B9" t="s">
        <v>5766</v>
      </c>
    </row>
    <row r="10" spans="1:2" x14ac:dyDescent="0.25">
      <c r="A10" t="s">
        <v>950</v>
      </c>
      <c r="B10" t="s">
        <v>5766</v>
      </c>
    </row>
    <row r="11" spans="1:2" x14ac:dyDescent="0.25">
      <c r="A11" t="s">
        <v>3848</v>
      </c>
      <c r="B11" t="s">
        <v>5766</v>
      </c>
    </row>
    <row r="12" spans="1:2" x14ac:dyDescent="0.25">
      <c r="A12" t="s">
        <v>5443</v>
      </c>
      <c r="B12" t="s">
        <v>5766</v>
      </c>
    </row>
    <row r="13" spans="1:2" x14ac:dyDescent="0.25">
      <c r="A13" t="s">
        <v>964</v>
      </c>
      <c r="B13" t="s">
        <v>5766</v>
      </c>
    </row>
    <row r="14" spans="1:2" x14ac:dyDescent="0.25">
      <c r="A14" t="s">
        <v>1093</v>
      </c>
      <c r="B14" t="s">
        <v>5766</v>
      </c>
    </row>
    <row r="15" spans="1:2" x14ac:dyDescent="0.25">
      <c r="A15" t="s">
        <v>32</v>
      </c>
      <c r="B15" t="s">
        <v>5766</v>
      </c>
    </row>
    <row r="16" spans="1:2" x14ac:dyDescent="0.25">
      <c r="A16" t="s">
        <v>3159</v>
      </c>
      <c r="B16" t="s">
        <v>5766</v>
      </c>
    </row>
    <row r="17" spans="1:2" x14ac:dyDescent="0.25">
      <c r="A17" t="s">
        <v>875</v>
      </c>
      <c r="B17" t="s">
        <v>5766</v>
      </c>
    </row>
    <row r="18" spans="1:2" x14ac:dyDescent="0.25">
      <c r="A18" t="s">
        <v>4650</v>
      </c>
      <c r="B18" t="s">
        <v>5766</v>
      </c>
    </row>
    <row r="19" spans="1:2" x14ac:dyDescent="0.25">
      <c r="A19" t="s">
        <v>5460</v>
      </c>
      <c r="B19" t="s">
        <v>5766</v>
      </c>
    </row>
    <row r="20" spans="1:2" x14ac:dyDescent="0.25">
      <c r="A20" t="s">
        <v>1121</v>
      </c>
      <c r="B20" t="s">
        <v>5766</v>
      </c>
    </row>
    <row r="21" spans="1:2" x14ac:dyDescent="0.25">
      <c r="A21" t="s">
        <v>3590</v>
      </c>
      <c r="B21" t="s">
        <v>5766</v>
      </c>
    </row>
    <row r="22" spans="1:2" x14ac:dyDescent="0.25">
      <c r="A22" t="s">
        <v>729</v>
      </c>
      <c r="B22" t="s">
        <v>5766</v>
      </c>
    </row>
    <row r="23" spans="1:2" x14ac:dyDescent="0.25">
      <c r="A23" t="s">
        <v>2274</v>
      </c>
      <c r="B23" t="s">
        <v>5766</v>
      </c>
    </row>
    <row r="24" spans="1:2" x14ac:dyDescent="0.25">
      <c r="A24" t="s">
        <v>2664</v>
      </c>
      <c r="B24" t="s">
        <v>5766</v>
      </c>
    </row>
    <row r="25" spans="1:2" x14ac:dyDescent="0.25">
      <c r="A25" t="s">
        <v>1873</v>
      </c>
      <c r="B25" t="s">
        <v>5766</v>
      </c>
    </row>
    <row r="26" spans="1:2" x14ac:dyDescent="0.25">
      <c r="A26" t="s">
        <v>3641</v>
      </c>
      <c r="B26" t="s">
        <v>5766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25"/>
  <sheetViews>
    <sheetView topLeftCell="A4" zoomScaleNormal="100" workbookViewId="0">
      <selection activeCell="A4" sqref="A4"/>
    </sheetView>
  </sheetViews>
  <sheetFormatPr defaultColWidth="8.42578125" defaultRowHeight="15" x14ac:dyDescent="0.25"/>
  <cols>
    <col min="1" max="1" width="41.85546875" customWidth="1"/>
    <col min="2" max="2" width="13.42578125" customWidth="1"/>
  </cols>
  <sheetData>
    <row r="1" spans="1:2" x14ac:dyDescent="0.25">
      <c r="A1" s="2" t="s">
        <v>5767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4121</v>
      </c>
      <c r="B4" t="s">
        <v>5768</v>
      </c>
    </row>
    <row r="5" spans="1:2" x14ac:dyDescent="0.25">
      <c r="A5" t="s">
        <v>3059</v>
      </c>
      <c r="B5" t="s">
        <v>5768</v>
      </c>
    </row>
    <row r="6" spans="1:2" x14ac:dyDescent="0.25">
      <c r="A6" t="s">
        <v>3990</v>
      </c>
      <c r="B6" t="s">
        <v>5768</v>
      </c>
    </row>
    <row r="7" spans="1:2" x14ac:dyDescent="0.25">
      <c r="A7" t="s">
        <v>1915</v>
      </c>
      <c r="B7" t="s">
        <v>5768</v>
      </c>
    </row>
    <row r="8" spans="1:2" x14ac:dyDescent="0.25">
      <c r="A8" t="s">
        <v>3432</v>
      </c>
      <c r="B8" t="s">
        <v>5768</v>
      </c>
    </row>
    <row r="9" spans="1:2" x14ac:dyDescent="0.25">
      <c r="A9" t="s">
        <v>4432</v>
      </c>
      <c r="B9" t="s">
        <v>5768</v>
      </c>
    </row>
    <row r="10" spans="1:2" x14ac:dyDescent="0.25">
      <c r="A10" t="s">
        <v>3003</v>
      </c>
      <c r="B10" t="s">
        <v>5768</v>
      </c>
    </row>
    <row r="11" spans="1:2" x14ac:dyDescent="0.25">
      <c r="A11" t="s">
        <v>1868</v>
      </c>
      <c r="B11" t="s">
        <v>5768</v>
      </c>
    </row>
    <row r="12" spans="1:2" x14ac:dyDescent="0.25">
      <c r="A12" t="s">
        <v>2552</v>
      </c>
      <c r="B12" t="s">
        <v>5768</v>
      </c>
    </row>
    <row r="13" spans="1:2" x14ac:dyDescent="0.25">
      <c r="A13" t="s">
        <v>4486</v>
      </c>
      <c r="B13" t="s">
        <v>5768</v>
      </c>
    </row>
    <row r="14" spans="1:2" x14ac:dyDescent="0.25">
      <c r="A14" t="s">
        <v>5090</v>
      </c>
      <c r="B14" t="s">
        <v>5768</v>
      </c>
    </row>
    <row r="15" spans="1:2" x14ac:dyDescent="0.25">
      <c r="A15" t="s">
        <v>2451</v>
      </c>
      <c r="B15" t="s">
        <v>5768</v>
      </c>
    </row>
    <row r="16" spans="1:2" x14ac:dyDescent="0.25">
      <c r="A16" t="s">
        <v>4221</v>
      </c>
      <c r="B16" t="s">
        <v>5768</v>
      </c>
    </row>
    <row r="17" spans="1:2" x14ac:dyDescent="0.25">
      <c r="A17" t="s">
        <v>1729</v>
      </c>
      <c r="B17" t="s">
        <v>5768</v>
      </c>
    </row>
    <row r="18" spans="1:2" x14ac:dyDescent="0.25">
      <c r="A18" t="s">
        <v>4400</v>
      </c>
      <c r="B18" t="s">
        <v>5768</v>
      </c>
    </row>
    <row r="19" spans="1:2" x14ac:dyDescent="0.25">
      <c r="A19" t="s">
        <v>2213</v>
      </c>
      <c r="B19" t="s">
        <v>5768</v>
      </c>
    </row>
    <row r="20" spans="1:2" x14ac:dyDescent="0.25">
      <c r="A20" t="s">
        <v>4172</v>
      </c>
      <c r="B20" t="s">
        <v>5768</v>
      </c>
    </row>
    <row r="21" spans="1:2" x14ac:dyDescent="0.25">
      <c r="A21" t="s">
        <v>5550</v>
      </c>
      <c r="B21" t="s">
        <v>5768</v>
      </c>
    </row>
    <row r="22" spans="1:2" x14ac:dyDescent="0.25">
      <c r="A22" t="s">
        <v>3166</v>
      </c>
      <c r="B22" t="s">
        <v>5768</v>
      </c>
    </row>
    <row r="23" spans="1:2" x14ac:dyDescent="0.25">
      <c r="A23" t="s">
        <v>2913</v>
      </c>
      <c r="B23" t="s">
        <v>5768</v>
      </c>
    </row>
    <row r="24" spans="1:2" x14ac:dyDescent="0.25">
      <c r="A24" t="s">
        <v>4685</v>
      </c>
      <c r="B24" t="s">
        <v>5768</v>
      </c>
    </row>
    <row r="25" spans="1:2" x14ac:dyDescent="0.25">
      <c r="A25" t="s">
        <v>5080</v>
      </c>
      <c r="B25" t="s">
        <v>5768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25"/>
  <sheetViews>
    <sheetView topLeftCell="A4" zoomScaleNormal="100" workbookViewId="0">
      <selection activeCell="A4" sqref="A4"/>
    </sheetView>
  </sheetViews>
  <sheetFormatPr defaultColWidth="8.42578125" defaultRowHeight="15" x14ac:dyDescent="0.25"/>
  <cols>
    <col min="1" max="1" width="39.28515625" customWidth="1"/>
    <col min="2" max="2" width="13.28515625" customWidth="1"/>
  </cols>
  <sheetData>
    <row r="1" spans="1:2" x14ac:dyDescent="0.25">
      <c r="A1" s="2" t="s">
        <v>5769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4936</v>
      </c>
      <c r="B4" t="s">
        <v>5770</v>
      </c>
    </row>
    <row r="5" spans="1:2" x14ac:dyDescent="0.25">
      <c r="A5" t="s">
        <v>2033</v>
      </c>
      <c r="B5" t="s">
        <v>5770</v>
      </c>
    </row>
    <row r="6" spans="1:2" x14ac:dyDescent="0.25">
      <c r="A6" t="s">
        <v>5193</v>
      </c>
      <c r="B6" t="s">
        <v>5770</v>
      </c>
    </row>
    <row r="7" spans="1:2" x14ac:dyDescent="0.25">
      <c r="A7" t="s">
        <v>4357</v>
      </c>
      <c r="B7" t="s">
        <v>5770</v>
      </c>
    </row>
    <row r="8" spans="1:2" x14ac:dyDescent="0.25">
      <c r="A8" t="s">
        <v>572</v>
      </c>
      <c r="B8" t="s">
        <v>5770</v>
      </c>
    </row>
    <row r="9" spans="1:2" x14ac:dyDescent="0.25">
      <c r="A9" t="s">
        <v>5500</v>
      </c>
      <c r="B9" t="s">
        <v>5770</v>
      </c>
    </row>
    <row r="10" spans="1:2" x14ac:dyDescent="0.25">
      <c r="A10" t="s">
        <v>4211</v>
      </c>
      <c r="B10" t="s">
        <v>5770</v>
      </c>
    </row>
    <row r="11" spans="1:2" x14ac:dyDescent="0.25">
      <c r="A11" t="s">
        <v>4639</v>
      </c>
      <c r="B11" t="s">
        <v>5770</v>
      </c>
    </row>
    <row r="12" spans="1:2" x14ac:dyDescent="0.25">
      <c r="A12" t="s">
        <v>4065</v>
      </c>
      <c r="B12" t="s">
        <v>5770</v>
      </c>
    </row>
    <row r="13" spans="1:2" x14ac:dyDescent="0.25">
      <c r="A13" t="s">
        <v>4371</v>
      </c>
      <c r="B13" t="s">
        <v>5770</v>
      </c>
    </row>
    <row r="14" spans="1:2" x14ac:dyDescent="0.25">
      <c r="A14" t="s">
        <v>4750</v>
      </c>
      <c r="B14" t="s">
        <v>5770</v>
      </c>
    </row>
    <row r="15" spans="1:2" x14ac:dyDescent="0.25">
      <c r="A15" t="s">
        <v>3723</v>
      </c>
      <c r="B15" t="s">
        <v>5770</v>
      </c>
    </row>
    <row r="16" spans="1:2" x14ac:dyDescent="0.25">
      <c r="A16" t="s">
        <v>5531</v>
      </c>
      <c r="B16" t="s">
        <v>5770</v>
      </c>
    </row>
    <row r="17" spans="1:2" x14ac:dyDescent="0.25">
      <c r="A17" t="s">
        <v>3879</v>
      </c>
      <c r="B17" t="s">
        <v>5770</v>
      </c>
    </row>
    <row r="18" spans="1:2" x14ac:dyDescent="0.25">
      <c r="A18" t="s">
        <v>9</v>
      </c>
      <c r="B18" t="s">
        <v>5770</v>
      </c>
    </row>
    <row r="19" spans="1:2" x14ac:dyDescent="0.25">
      <c r="A19" t="s">
        <v>2062</v>
      </c>
      <c r="B19" t="s">
        <v>5770</v>
      </c>
    </row>
    <row r="20" spans="1:2" x14ac:dyDescent="0.25">
      <c r="A20" t="s">
        <v>3867</v>
      </c>
      <c r="B20" t="s">
        <v>5770</v>
      </c>
    </row>
    <row r="21" spans="1:2" x14ac:dyDescent="0.25">
      <c r="A21" t="s">
        <v>2756</v>
      </c>
      <c r="B21" t="s">
        <v>5770</v>
      </c>
    </row>
    <row r="22" spans="1:2" x14ac:dyDescent="0.25">
      <c r="A22" t="s">
        <v>2426</v>
      </c>
      <c r="B22" t="s">
        <v>5770</v>
      </c>
    </row>
    <row r="23" spans="1:2" x14ac:dyDescent="0.25">
      <c r="A23" t="s">
        <v>5007</v>
      </c>
      <c r="B23" t="s">
        <v>5770</v>
      </c>
    </row>
    <row r="24" spans="1:2" x14ac:dyDescent="0.25">
      <c r="A24" t="s">
        <v>5305</v>
      </c>
      <c r="B24" t="s">
        <v>5770</v>
      </c>
    </row>
    <row r="25" spans="1:2" x14ac:dyDescent="0.25">
      <c r="A25" t="s">
        <v>1062</v>
      </c>
      <c r="B25" t="s">
        <v>5770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25"/>
  <sheetViews>
    <sheetView topLeftCell="A4" zoomScaleNormal="100" workbookViewId="0">
      <selection activeCell="A4" sqref="A4"/>
    </sheetView>
  </sheetViews>
  <sheetFormatPr defaultColWidth="8.42578125" defaultRowHeight="15" x14ac:dyDescent="0.25"/>
  <cols>
    <col min="1" max="1" width="37.140625" customWidth="1"/>
    <col min="2" max="2" width="10.28515625" customWidth="1"/>
  </cols>
  <sheetData>
    <row r="1" spans="1:2" x14ac:dyDescent="0.25">
      <c r="A1" s="2" t="s">
        <v>5771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136</v>
      </c>
      <c r="B4" t="s">
        <v>5772</v>
      </c>
    </row>
    <row r="5" spans="1:2" x14ac:dyDescent="0.25">
      <c r="A5" t="s">
        <v>5092</v>
      </c>
      <c r="B5" t="s">
        <v>5772</v>
      </c>
    </row>
    <row r="6" spans="1:2" x14ac:dyDescent="0.25">
      <c r="A6" t="s">
        <v>2434</v>
      </c>
      <c r="B6" t="s">
        <v>5772</v>
      </c>
    </row>
    <row r="7" spans="1:2" x14ac:dyDescent="0.25">
      <c r="A7" t="s">
        <v>1860</v>
      </c>
      <c r="B7" t="s">
        <v>5772</v>
      </c>
    </row>
    <row r="8" spans="1:2" x14ac:dyDescent="0.25">
      <c r="A8" t="s">
        <v>5408</v>
      </c>
      <c r="B8" t="s">
        <v>5772</v>
      </c>
    </row>
    <row r="9" spans="1:2" x14ac:dyDescent="0.25">
      <c r="A9" t="s">
        <v>2216</v>
      </c>
      <c r="B9" t="s">
        <v>5772</v>
      </c>
    </row>
    <row r="10" spans="1:2" x14ac:dyDescent="0.25">
      <c r="A10" t="s">
        <v>4696</v>
      </c>
      <c r="B10" t="s">
        <v>5772</v>
      </c>
    </row>
    <row r="11" spans="1:2" x14ac:dyDescent="0.25">
      <c r="A11" t="s">
        <v>948</v>
      </c>
      <c r="B11" t="s">
        <v>5772</v>
      </c>
    </row>
    <row r="12" spans="1:2" x14ac:dyDescent="0.25">
      <c r="A12" t="s">
        <v>2930</v>
      </c>
      <c r="B12" t="s">
        <v>5772</v>
      </c>
    </row>
    <row r="13" spans="1:2" x14ac:dyDescent="0.25">
      <c r="A13" t="s">
        <v>3188</v>
      </c>
      <c r="B13" t="s">
        <v>5772</v>
      </c>
    </row>
    <row r="14" spans="1:2" x14ac:dyDescent="0.25">
      <c r="A14" t="s">
        <v>655</v>
      </c>
      <c r="B14" t="s">
        <v>5772</v>
      </c>
    </row>
    <row r="15" spans="1:2" x14ac:dyDescent="0.25">
      <c r="A15" t="s">
        <v>4867</v>
      </c>
      <c r="B15" t="s">
        <v>5772</v>
      </c>
    </row>
    <row r="16" spans="1:2" x14ac:dyDescent="0.25">
      <c r="A16" t="s">
        <v>4651</v>
      </c>
      <c r="B16" t="s">
        <v>5772</v>
      </c>
    </row>
    <row r="17" spans="1:2" x14ac:dyDescent="0.25">
      <c r="A17" t="s">
        <v>2929</v>
      </c>
      <c r="B17" t="s">
        <v>5772</v>
      </c>
    </row>
    <row r="18" spans="1:2" x14ac:dyDescent="0.25">
      <c r="A18" t="s">
        <v>1222</v>
      </c>
      <c r="B18" t="s">
        <v>5772</v>
      </c>
    </row>
    <row r="19" spans="1:2" x14ac:dyDescent="0.25">
      <c r="A19" t="s">
        <v>3963</v>
      </c>
      <c r="B19" t="s">
        <v>5772</v>
      </c>
    </row>
    <row r="20" spans="1:2" x14ac:dyDescent="0.25">
      <c r="A20" t="s">
        <v>4285</v>
      </c>
      <c r="B20" t="s">
        <v>5772</v>
      </c>
    </row>
    <row r="21" spans="1:2" x14ac:dyDescent="0.25">
      <c r="A21" t="s">
        <v>1781</v>
      </c>
      <c r="B21" t="s">
        <v>5772</v>
      </c>
    </row>
    <row r="22" spans="1:2" x14ac:dyDescent="0.25">
      <c r="A22" t="s">
        <v>5298</v>
      </c>
      <c r="B22" t="s">
        <v>5772</v>
      </c>
    </row>
    <row r="23" spans="1:2" x14ac:dyDescent="0.25">
      <c r="A23" t="s">
        <v>4407</v>
      </c>
      <c r="B23" t="s">
        <v>5772</v>
      </c>
    </row>
    <row r="24" spans="1:2" x14ac:dyDescent="0.25">
      <c r="A24" t="s">
        <v>4034</v>
      </c>
      <c r="B24" t="s">
        <v>5772</v>
      </c>
    </row>
    <row r="25" spans="1:2" x14ac:dyDescent="0.25">
      <c r="A25" t="s">
        <v>1143</v>
      </c>
      <c r="B25" t="s">
        <v>5772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B24"/>
  <sheetViews>
    <sheetView topLeftCell="A3" zoomScaleNormal="100" workbookViewId="0">
      <selection activeCell="A4" sqref="A4"/>
    </sheetView>
  </sheetViews>
  <sheetFormatPr defaultColWidth="8.42578125" defaultRowHeight="15" x14ac:dyDescent="0.25"/>
  <cols>
    <col min="1" max="1" width="37.140625" customWidth="1"/>
    <col min="2" max="2" width="9.7109375" customWidth="1"/>
  </cols>
  <sheetData>
    <row r="1" spans="1:2" x14ac:dyDescent="0.25">
      <c r="A1" s="2" t="s">
        <v>5773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3604</v>
      </c>
      <c r="B4" t="s">
        <v>5774</v>
      </c>
    </row>
    <row r="5" spans="1:2" x14ac:dyDescent="0.25">
      <c r="A5" t="s">
        <v>4740</v>
      </c>
      <c r="B5" t="s">
        <v>5774</v>
      </c>
    </row>
    <row r="6" spans="1:2" x14ac:dyDescent="0.25">
      <c r="A6" t="s">
        <v>3225</v>
      </c>
      <c r="B6" t="s">
        <v>5774</v>
      </c>
    </row>
    <row r="7" spans="1:2" x14ac:dyDescent="0.25">
      <c r="A7" t="s">
        <v>5661</v>
      </c>
      <c r="B7" t="s">
        <v>5774</v>
      </c>
    </row>
    <row r="8" spans="1:2" x14ac:dyDescent="0.25">
      <c r="A8" t="s">
        <v>3885</v>
      </c>
      <c r="B8" t="s">
        <v>5774</v>
      </c>
    </row>
    <row r="9" spans="1:2" x14ac:dyDescent="0.25">
      <c r="A9" t="s">
        <v>5480</v>
      </c>
      <c r="B9" t="s">
        <v>5774</v>
      </c>
    </row>
    <row r="10" spans="1:2" x14ac:dyDescent="0.25">
      <c r="A10" t="s">
        <v>2638</v>
      </c>
      <c r="B10" t="s">
        <v>5774</v>
      </c>
    </row>
    <row r="11" spans="1:2" x14ac:dyDescent="0.25">
      <c r="A11" t="s">
        <v>4687</v>
      </c>
      <c r="B11" t="s">
        <v>5774</v>
      </c>
    </row>
    <row r="12" spans="1:2" x14ac:dyDescent="0.25">
      <c r="A12" t="s">
        <v>4899</v>
      </c>
      <c r="B12" t="s">
        <v>5774</v>
      </c>
    </row>
    <row r="13" spans="1:2" x14ac:dyDescent="0.25">
      <c r="A13" t="s">
        <v>4004</v>
      </c>
      <c r="B13" t="s">
        <v>5774</v>
      </c>
    </row>
    <row r="14" spans="1:2" x14ac:dyDescent="0.25">
      <c r="A14" t="s">
        <v>1603</v>
      </c>
      <c r="B14" t="s">
        <v>5774</v>
      </c>
    </row>
    <row r="15" spans="1:2" x14ac:dyDescent="0.25">
      <c r="A15" t="s">
        <v>5775</v>
      </c>
      <c r="B15" t="s">
        <v>5774</v>
      </c>
    </row>
    <row r="16" spans="1:2" x14ac:dyDescent="0.25">
      <c r="A16" t="s">
        <v>5776</v>
      </c>
      <c r="B16" t="s">
        <v>5774</v>
      </c>
    </row>
    <row r="17" spans="1:2" x14ac:dyDescent="0.25">
      <c r="A17" t="s">
        <v>3882</v>
      </c>
      <c r="B17" t="s">
        <v>5774</v>
      </c>
    </row>
    <row r="18" spans="1:2" x14ac:dyDescent="0.25">
      <c r="A18" t="s">
        <v>1153</v>
      </c>
      <c r="B18" t="s">
        <v>5774</v>
      </c>
    </row>
    <row r="19" spans="1:2" x14ac:dyDescent="0.25">
      <c r="A19" t="s">
        <v>5232</v>
      </c>
      <c r="B19" t="s">
        <v>5774</v>
      </c>
    </row>
    <row r="20" spans="1:2" x14ac:dyDescent="0.25">
      <c r="A20" t="s">
        <v>5562</v>
      </c>
      <c r="B20" t="s">
        <v>5774</v>
      </c>
    </row>
    <row r="21" spans="1:2" x14ac:dyDescent="0.25">
      <c r="A21" t="s">
        <v>695</v>
      </c>
      <c r="B21" t="s">
        <v>5774</v>
      </c>
    </row>
    <row r="22" spans="1:2" x14ac:dyDescent="0.25">
      <c r="A22" t="s">
        <v>4946</v>
      </c>
      <c r="B22" t="s">
        <v>5774</v>
      </c>
    </row>
    <row r="23" spans="1:2" x14ac:dyDescent="0.25">
      <c r="A23" t="s">
        <v>5097</v>
      </c>
      <c r="B23" t="s">
        <v>5774</v>
      </c>
    </row>
    <row r="24" spans="1:2" x14ac:dyDescent="0.25">
      <c r="A24" t="s">
        <v>3841</v>
      </c>
      <c r="B24" t="s">
        <v>5774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24"/>
  <sheetViews>
    <sheetView topLeftCell="A3" zoomScaleNormal="100" workbookViewId="0">
      <selection activeCell="A4" sqref="A4"/>
    </sheetView>
  </sheetViews>
  <sheetFormatPr defaultColWidth="8.42578125" defaultRowHeight="15" x14ac:dyDescent="0.25"/>
  <cols>
    <col min="1" max="1" width="37.42578125" customWidth="1"/>
    <col min="2" max="2" width="9.7109375" customWidth="1"/>
  </cols>
  <sheetData>
    <row r="1" spans="1:2" x14ac:dyDescent="0.25">
      <c r="A1" s="2" t="s">
        <v>5777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1715</v>
      </c>
      <c r="B4" t="s">
        <v>5778</v>
      </c>
    </row>
    <row r="5" spans="1:2" x14ac:dyDescent="0.25">
      <c r="A5" t="s">
        <v>745</v>
      </c>
      <c r="B5" t="s">
        <v>5778</v>
      </c>
    </row>
    <row r="6" spans="1:2" x14ac:dyDescent="0.25">
      <c r="A6" t="s">
        <v>2770</v>
      </c>
      <c r="B6" t="s">
        <v>5778</v>
      </c>
    </row>
    <row r="7" spans="1:2" x14ac:dyDescent="0.25">
      <c r="A7" t="s">
        <v>4010</v>
      </c>
      <c r="B7" t="s">
        <v>5778</v>
      </c>
    </row>
    <row r="8" spans="1:2" x14ac:dyDescent="0.25">
      <c r="A8" t="s">
        <v>1410</v>
      </c>
      <c r="B8" t="s">
        <v>5778</v>
      </c>
    </row>
    <row r="9" spans="1:2" x14ac:dyDescent="0.25">
      <c r="A9" t="s">
        <v>2977</v>
      </c>
      <c r="B9" t="s">
        <v>5778</v>
      </c>
    </row>
    <row r="10" spans="1:2" x14ac:dyDescent="0.25">
      <c r="A10" t="s">
        <v>1527</v>
      </c>
      <c r="B10" t="s">
        <v>5778</v>
      </c>
    </row>
    <row r="11" spans="1:2" x14ac:dyDescent="0.25">
      <c r="A11" t="s">
        <v>49</v>
      </c>
      <c r="B11" t="s">
        <v>5778</v>
      </c>
    </row>
    <row r="12" spans="1:2" x14ac:dyDescent="0.25">
      <c r="A12" t="s">
        <v>3112</v>
      </c>
      <c r="B12" t="s">
        <v>5778</v>
      </c>
    </row>
    <row r="13" spans="1:2" x14ac:dyDescent="0.25">
      <c r="A13" t="s">
        <v>846</v>
      </c>
      <c r="B13" t="s">
        <v>5778</v>
      </c>
    </row>
    <row r="14" spans="1:2" x14ac:dyDescent="0.25">
      <c r="A14" t="s">
        <v>1398</v>
      </c>
      <c r="B14" t="s">
        <v>5778</v>
      </c>
    </row>
    <row r="15" spans="1:2" x14ac:dyDescent="0.25">
      <c r="A15" t="s">
        <v>1090</v>
      </c>
      <c r="B15" t="s">
        <v>5778</v>
      </c>
    </row>
    <row r="16" spans="1:2" x14ac:dyDescent="0.25">
      <c r="A16" t="s">
        <v>2827</v>
      </c>
      <c r="B16" t="s">
        <v>5778</v>
      </c>
    </row>
    <row r="17" spans="1:2" x14ac:dyDescent="0.25">
      <c r="A17" t="s">
        <v>1576</v>
      </c>
      <c r="B17" t="s">
        <v>5778</v>
      </c>
    </row>
    <row r="18" spans="1:2" x14ac:dyDescent="0.25">
      <c r="A18" t="s">
        <v>4896</v>
      </c>
      <c r="B18" t="s">
        <v>5778</v>
      </c>
    </row>
    <row r="19" spans="1:2" x14ac:dyDescent="0.25">
      <c r="A19" t="s">
        <v>2547</v>
      </c>
      <c r="B19" t="s">
        <v>5778</v>
      </c>
    </row>
    <row r="20" spans="1:2" x14ac:dyDescent="0.25">
      <c r="A20" t="s">
        <v>3515</v>
      </c>
      <c r="B20" t="s">
        <v>5778</v>
      </c>
    </row>
    <row r="21" spans="1:2" x14ac:dyDescent="0.25">
      <c r="A21" t="s">
        <v>633</v>
      </c>
      <c r="B21" t="s">
        <v>5778</v>
      </c>
    </row>
    <row r="22" spans="1:2" x14ac:dyDescent="0.25">
      <c r="A22" t="s">
        <v>502</v>
      </c>
      <c r="B22" t="s">
        <v>5778</v>
      </c>
    </row>
    <row r="23" spans="1:2" x14ac:dyDescent="0.25">
      <c r="A23" t="s">
        <v>3592</v>
      </c>
      <c r="B23" t="s">
        <v>5778</v>
      </c>
    </row>
    <row r="24" spans="1:2" x14ac:dyDescent="0.25">
      <c r="A24" t="s">
        <v>1785</v>
      </c>
      <c r="B24" t="s">
        <v>5778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7"/>
  <sheetViews>
    <sheetView topLeftCell="A36" zoomScaleNormal="100" workbookViewId="0">
      <selection activeCell="A4" sqref="A4"/>
    </sheetView>
  </sheetViews>
  <sheetFormatPr defaultColWidth="8.42578125" defaultRowHeight="15" x14ac:dyDescent="0.25"/>
  <cols>
    <col min="1" max="1" width="44.28515625" customWidth="1"/>
    <col min="2" max="2" width="9.7109375" customWidth="1"/>
  </cols>
  <sheetData>
    <row r="1" spans="1:2" x14ac:dyDescent="0.25">
      <c r="A1" s="2" t="s">
        <v>5707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5182</v>
      </c>
      <c r="B4" t="s">
        <v>5708</v>
      </c>
    </row>
    <row r="5" spans="1:2" x14ac:dyDescent="0.25">
      <c r="A5" t="s">
        <v>4853</v>
      </c>
      <c r="B5" t="s">
        <v>5708</v>
      </c>
    </row>
    <row r="6" spans="1:2" x14ac:dyDescent="0.25">
      <c r="A6" t="s">
        <v>556</v>
      </c>
      <c r="B6" t="s">
        <v>5708</v>
      </c>
    </row>
    <row r="7" spans="1:2" x14ac:dyDescent="0.25">
      <c r="A7" t="s">
        <v>3765</v>
      </c>
      <c r="B7" t="s">
        <v>5708</v>
      </c>
    </row>
    <row r="8" spans="1:2" x14ac:dyDescent="0.25">
      <c r="A8" t="s">
        <v>3788</v>
      </c>
      <c r="B8" t="s">
        <v>5708</v>
      </c>
    </row>
    <row r="9" spans="1:2" x14ac:dyDescent="0.25">
      <c r="A9" t="s">
        <v>3192</v>
      </c>
      <c r="B9" t="s">
        <v>5708</v>
      </c>
    </row>
    <row r="10" spans="1:2" x14ac:dyDescent="0.25">
      <c r="A10" t="s">
        <v>3062</v>
      </c>
      <c r="B10" t="s">
        <v>5708</v>
      </c>
    </row>
    <row r="11" spans="1:2" x14ac:dyDescent="0.25">
      <c r="A11" t="s">
        <v>1479</v>
      </c>
      <c r="B11" t="s">
        <v>5708</v>
      </c>
    </row>
    <row r="12" spans="1:2" x14ac:dyDescent="0.25">
      <c r="A12" t="s">
        <v>4427</v>
      </c>
      <c r="B12" t="s">
        <v>5708</v>
      </c>
    </row>
    <row r="13" spans="1:2" x14ac:dyDescent="0.25">
      <c r="A13" t="s">
        <v>5134</v>
      </c>
      <c r="B13" t="s">
        <v>5708</v>
      </c>
    </row>
    <row r="14" spans="1:2" x14ac:dyDescent="0.25">
      <c r="A14" t="s">
        <v>4715</v>
      </c>
      <c r="B14" t="s">
        <v>5708</v>
      </c>
    </row>
    <row r="15" spans="1:2" x14ac:dyDescent="0.25">
      <c r="A15" t="s">
        <v>177</v>
      </c>
      <c r="B15" t="s">
        <v>5708</v>
      </c>
    </row>
    <row r="16" spans="1:2" x14ac:dyDescent="0.25">
      <c r="A16" t="s">
        <v>1224</v>
      </c>
      <c r="B16" t="s">
        <v>5708</v>
      </c>
    </row>
    <row r="17" spans="1:2" x14ac:dyDescent="0.25">
      <c r="A17" t="s">
        <v>2184</v>
      </c>
      <c r="B17" t="s">
        <v>5708</v>
      </c>
    </row>
    <row r="18" spans="1:2" x14ac:dyDescent="0.25">
      <c r="A18" t="s">
        <v>1460</v>
      </c>
      <c r="B18" t="s">
        <v>5708</v>
      </c>
    </row>
    <row r="19" spans="1:2" x14ac:dyDescent="0.25">
      <c r="A19" t="s">
        <v>3408</v>
      </c>
      <c r="B19" t="s">
        <v>5708</v>
      </c>
    </row>
    <row r="20" spans="1:2" x14ac:dyDescent="0.25">
      <c r="A20" t="s">
        <v>343</v>
      </c>
      <c r="B20" t="s">
        <v>5708</v>
      </c>
    </row>
    <row r="21" spans="1:2" x14ac:dyDescent="0.25">
      <c r="A21" t="s">
        <v>250</v>
      </c>
      <c r="B21" t="s">
        <v>5708</v>
      </c>
    </row>
    <row r="22" spans="1:2" x14ac:dyDescent="0.25">
      <c r="A22" t="s">
        <v>1476</v>
      </c>
      <c r="B22" t="s">
        <v>5708</v>
      </c>
    </row>
    <row r="23" spans="1:2" x14ac:dyDescent="0.25">
      <c r="A23" t="s">
        <v>4504</v>
      </c>
      <c r="B23" t="s">
        <v>5708</v>
      </c>
    </row>
    <row r="24" spans="1:2" x14ac:dyDescent="0.25">
      <c r="A24" t="s">
        <v>4628</v>
      </c>
      <c r="B24" t="s">
        <v>5708</v>
      </c>
    </row>
    <row r="25" spans="1:2" x14ac:dyDescent="0.25">
      <c r="A25" t="s">
        <v>1357</v>
      </c>
      <c r="B25" t="s">
        <v>5708</v>
      </c>
    </row>
    <row r="26" spans="1:2" x14ac:dyDescent="0.25">
      <c r="A26" t="s">
        <v>4835</v>
      </c>
      <c r="B26" t="s">
        <v>5708</v>
      </c>
    </row>
    <row r="27" spans="1:2" x14ac:dyDescent="0.25">
      <c r="A27" t="s">
        <v>4656</v>
      </c>
      <c r="B27" t="s">
        <v>5708</v>
      </c>
    </row>
    <row r="28" spans="1:2" x14ac:dyDescent="0.25">
      <c r="A28" t="s">
        <v>5709</v>
      </c>
      <c r="B28" t="s">
        <v>5708</v>
      </c>
    </row>
    <row r="29" spans="1:2" x14ac:dyDescent="0.25">
      <c r="A29" t="s">
        <v>3163</v>
      </c>
      <c r="B29" t="s">
        <v>5708</v>
      </c>
    </row>
    <row r="30" spans="1:2" x14ac:dyDescent="0.25">
      <c r="A30" t="s">
        <v>1778</v>
      </c>
      <c r="B30" t="s">
        <v>5708</v>
      </c>
    </row>
    <row r="31" spans="1:2" x14ac:dyDescent="0.25">
      <c r="A31" t="s">
        <v>4426</v>
      </c>
      <c r="B31" t="s">
        <v>5708</v>
      </c>
    </row>
    <row r="32" spans="1:2" x14ac:dyDescent="0.25">
      <c r="A32" t="s">
        <v>4474</v>
      </c>
      <c r="B32" t="s">
        <v>5708</v>
      </c>
    </row>
    <row r="33" spans="1:2" x14ac:dyDescent="0.25">
      <c r="A33" t="s">
        <v>4953</v>
      </c>
      <c r="B33" t="s">
        <v>5708</v>
      </c>
    </row>
    <row r="34" spans="1:2" x14ac:dyDescent="0.25">
      <c r="A34" t="s">
        <v>4777</v>
      </c>
      <c r="B34" t="s">
        <v>5708</v>
      </c>
    </row>
    <row r="35" spans="1:2" x14ac:dyDescent="0.25">
      <c r="A35" t="s">
        <v>4723</v>
      </c>
      <c r="B35" t="s">
        <v>5708</v>
      </c>
    </row>
    <row r="36" spans="1:2" x14ac:dyDescent="0.25">
      <c r="A36" t="s">
        <v>1426</v>
      </c>
      <c r="B36" t="s">
        <v>5708</v>
      </c>
    </row>
    <row r="37" spans="1:2" x14ac:dyDescent="0.25">
      <c r="A37" t="s">
        <v>3289</v>
      </c>
      <c r="B37" t="s">
        <v>5708</v>
      </c>
    </row>
    <row r="38" spans="1:2" x14ac:dyDescent="0.25">
      <c r="A38" t="s">
        <v>3532</v>
      </c>
      <c r="B38" t="s">
        <v>5708</v>
      </c>
    </row>
    <row r="39" spans="1:2" x14ac:dyDescent="0.25">
      <c r="A39" t="s">
        <v>818</v>
      </c>
      <c r="B39" t="s">
        <v>5708</v>
      </c>
    </row>
    <row r="40" spans="1:2" x14ac:dyDescent="0.25">
      <c r="A40" t="s">
        <v>3601</v>
      </c>
      <c r="B40" t="s">
        <v>5708</v>
      </c>
    </row>
    <row r="41" spans="1:2" x14ac:dyDescent="0.25">
      <c r="A41" t="s">
        <v>3874</v>
      </c>
      <c r="B41" t="s">
        <v>5708</v>
      </c>
    </row>
    <row r="42" spans="1:2" x14ac:dyDescent="0.25">
      <c r="A42" t="s">
        <v>4569</v>
      </c>
      <c r="B42" t="s">
        <v>5708</v>
      </c>
    </row>
    <row r="43" spans="1:2" x14ac:dyDescent="0.25">
      <c r="A43" t="s">
        <v>2240</v>
      </c>
      <c r="B43" t="s">
        <v>5708</v>
      </c>
    </row>
    <row r="44" spans="1:2" x14ac:dyDescent="0.25">
      <c r="A44" t="s">
        <v>563</v>
      </c>
      <c r="B44" t="s">
        <v>5708</v>
      </c>
    </row>
    <row r="45" spans="1:2" x14ac:dyDescent="0.25">
      <c r="A45" t="s">
        <v>742</v>
      </c>
      <c r="B45" t="s">
        <v>5708</v>
      </c>
    </row>
    <row r="46" spans="1:2" x14ac:dyDescent="0.25">
      <c r="A46" t="s">
        <v>4200</v>
      </c>
      <c r="B46" t="s">
        <v>5708</v>
      </c>
    </row>
    <row r="47" spans="1:2" x14ac:dyDescent="0.25">
      <c r="A47" t="s">
        <v>2936</v>
      </c>
      <c r="B47" t="s">
        <v>5708</v>
      </c>
    </row>
    <row r="48" spans="1:2" x14ac:dyDescent="0.25">
      <c r="A48" t="s">
        <v>2024</v>
      </c>
      <c r="B48" t="s">
        <v>5708</v>
      </c>
    </row>
    <row r="49" spans="1:2" x14ac:dyDescent="0.25">
      <c r="A49" t="s">
        <v>4974</v>
      </c>
      <c r="B49" t="s">
        <v>5708</v>
      </c>
    </row>
    <row r="50" spans="1:2" x14ac:dyDescent="0.25">
      <c r="A50" t="s">
        <v>304</v>
      </c>
      <c r="B50" t="s">
        <v>5708</v>
      </c>
    </row>
    <row r="51" spans="1:2" x14ac:dyDescent="0.25">
      <c r="A51" t="s">
        <v>4506</v>
      </c>
      <c r="B51" t="s">
        <v>5708</v>
      </c>
    </row>
    <row r="52" spans="1:2" x14ac:dyDescent="0.25">
      <c r="A52" t="s">
        <v>4048</v>
      </c>
      <c r="B52" t="s">
        <v>5708</v>
      </c>
    </row>
    <row r="53" spans="1:2" x14ac:dyDescent="0.25">
      <c r="A53" t="s">
        <v>5674</v>
      </c>
      <c r="B53" t="s">
        <v>5708</v>
      </c>
    </row>
    <row r="54" spans="1:2" x14ac:dyDescent="0.25">
      <c r="A54" t="s">
        <v>5099</v>
      </c>
      <c r="B54" t="s">
        <v>5708</v>
      </c>
    </row>
    <row r="55" spans="1:2" x14ac:dyDescent="0.25">
      <c r="A55" t="s">
        <v>2419</v>
      </c>
      <c r="B55" t="s">
        <v>5708</v>
      </c>
    </row>
    <row r="56" spans="1:2" x14ac:dyDescent="0.25">
      <c r="A56" t="s">
        <v>2577</v>
      </c>
      <c r="B56" t="s">
        <v>5708</v>
      </c>
    </row>
    <row r="57" spans="1:2" x14ac:dyDescent="0.25">
      <c r="A57" t="s">
        <v>214</v>
      </c>
      <c r="B57" t="s">
        <v>5708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24"/>
  <sheetViews>
    <sheetView topLeftCell="A3" zoomScaleNormal="100" workbookViewId="0">
      <selection activeCell="A4" sqref="A4"/>
    </sheetView>
  </sheetViews>
  <sheetFormatPr defaultColWidth="8.42578125" defaultRowHeight="15" x14ac:dyDescent="0.25"/>
  <cols>
    <col min="1" max="1" width="36.85546875" customWidth="1"/>
    <col min="2" max="2" width="9.7109375" customWidth="1"/>
  </cols>
  <sheetData>
    <row r="1" spans="1:2" x14ac:dyDescent="0.25">
      <c r="A1" s="2" t="s">
        <v>5779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5700</v>
      </c>
      <c r="B4" t="s">
        <v>5780</v>
      </c>
    </row>
    <row r="5" spans="1:2" x14ac:dyDescent="0.25">
      <c r="A5" t="s">
        <v>3030</v>
      </c>
      <c r="B5" t="s">
        <v>5780</v>
      </c>
    </row>
    <row r="6" spans="1:2" x14ac:dyDescent="0.25">
      <c r="A6" t="s">
        <v>5109</v>
      </c>
      <c r="B6" t="s">
        <v>5780</v>
      </c>
    </row>
    <row r="7" spans="1:2" x14ac:dyDescent="0.25">
      <c r="A7" t="s">
        <v>399</v>
      </c>
      <c r="B7" t="s">
        <v>5780</v>
      </c>
    </row>
    <row r="8" spans="1:2" x14ac:dyDescent="0.25">
      <c r="A8" t="s">
        <v>1067</v>
      </c>
      <c r="B8" t="s">
        <v>5780</v>
      </c>
    </row>
    <row r="9" spans="1:2" x14ac:dyDescent="0.25">
      <c r="A9" t="s">
        <v>5300</v>
      </c>
      <c r="B9" t="s">
        <v>5780</v>
      </c>
    </row>
    <row r="10" spans="1:2" x14ac:dyDescent="0.25">
      <c r="A10" t="s">
        <v>881</v>
      </c>
      <c r="B10" t="s">
        <v>5780</v>
      </c>
    </row>
    <row r="11" spans="1:2" x14ac:dyDescent="0.25">
      <c r="A11" t="s">
        <v>34</v>
      </c>
      <c r="B11" t="s">
        <v>5780</v>
      </c>
    </row>
    <row r="12" spans="1:2" x14ac:dyDescent="0.25">
      <c r="A12" t="s">
        <v>1128</v>
      </c>
      <c r="B12" t="s">
        <v>5780</v>
      </c>
    </row>
    <row r="13" spans="1:2" x14ac:dyDescent="0.25">
      <c r="A13" t="s">
        <v>4709</v>
      </c>
      <c r="B13" t="s">
        <v>5780</v>
      </c>
    </row>
    <row r="14" spans="1:2" x14ac:dyDescent="0.25">
      <c r="A14" t="s">
        <v>409</v>
      </c>
      <c r="B14" t="s">
        <v>5780</v>
      </c>
    </row>
    <row r="15" spans="1:2" x14ac:dyDescent="0.25">
      <c r="A15" t="s">
        <v>2669</v>
      </c>
      <c r="B15" t="s">
        <v>5780</v>
      </c>
    </row>
    <row r="16" spans="1:2" x14ac:dyDescent="0.25">
      <c r="A16" t="s">
        <v>3611</v>
      </c>
      <c r="B16" t="s">
        <v>5780</v>
      </c>
    </row>
    <row r="17" spans="1:2" x14ac:dyDescent="0.25">
      <c r="A17" t="s">
        <v>3324</v>
      </c>
      <c r="B17" t="s">
        <v>5780</v>
      </c>
    </row>
    <row r="18" spans="1:2" x14ac:dyDescent="0.25">
      <c r="A18" t="s">
        <v>4124</v>
      </c>
      <c r="B18" t="s">
        <v>5780</v>
      </c>
    </row>
    <row r="19" spans="1:2" x14ac:dyDescent="0.25">
      <c r="A19" t="s">
        <v>991</v>
      </c>
      <c r="B19" t="s">
        <v>5780</v>
      </c>
    </row>
    <row r="20" spans="1:2" x14ac:dyDescent="0.25">
      <c r="A20" t="s">
        <v>5474</v>
      </c>
      <c r="B20" t="s">
        <v>5780</v>
      </c>
    </row>
    <row r="21" spans="1:2" x14ac:dyDescent="0.25">
      <c r="A21" t="s">
        <v>654</v>
      </c>
      <c r="B21" t="s">
        <v>5780</v>
      </c>
    </row>
    <row r="22" spans="1:2" x14ac:dyDescent="0.25">
      <c r="A22" t="s">
        <v>699</v>
      </c>
      <c r="B22" t="s">
        <v>5780</v>
      </c>
    </row>
    <row r="23" spans="1:2" x14ac:dyDescent="0.25">
      <c r="A23" t="s">
        <v>3681</v>
      </c>
      <c r="B23" t="s">
        <v>5780</v>
      </c>
    </row>
    <row r="24" spans="1:2" x14ac:dyDescent="0.25">
      <c r="A24" t="s">
        <v>5485</v>
      </c>
      <c r="B24" t="s">
        <v>5780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23"/>
  <sheetViews>
    <sheetView topLeftCell="A2" zoomScaleNormal="100" workbookViewId="0">
      <selection activeCell="A4" sqref="A4"/>
    </sheetView>
  </sheetViews>
  <sheetFormatPr defaultColWidth="8.42578125" defaultRowHeight="15" x14ac:dyDescent="0.25"/>
  <cols>
    <col min="1" max="1" width="34.5703125" customWidth="1"/>
    <col min="2" max="2" width="11.5703125" customWidth="1"/>
  </cols>
  <sheetData>
    <row r="1" spans="1:2" x14ac:dyDescent="0.25">
      <c r="A1" s="2" t="s">
        <v>5781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93</v>
      </c>
      <c r="B4" t="s">
        <v>5782</v>
      </c>
    </row>
    <row r="5" spans="1:2" x14ac:dyDescent="0.25">
      <c r="A5" t="s">
        <v>3221</v>
      </c>
      <c r="B5" t="s">
        <v>5782</v>
      </c>
    </row>
    <row r="6" spans="1:2" x14ac:dyDescent="0.25">
      <c r="A6" t="s">
        <v>255</v>
      </c>
      <c r="B6" t="s">
        <v>5782</v>
      </c>
    </row>
    <row r="7" spans="1:2" x14ac:dyDescent="0.25">
      <c r="A7" t="s">
        <v>4649</v>
      </c>
      <c r="B7" t="s">
        <v>5782</v>
      </c>
    </row>
    <row r="8" spans="1:2" x14ac:dyDescent="0.25">
      <c r="A8" t="s">
        <v>2125</v>
      </c>
      <c r="B8" t="s">
        <v>5782</v>
      </c>
    </row>
    <row r="9" spans="1:2" x14ac:dyDescent="0.25">
      <c r="A9" t="s">
        <v>1832</v>
      </c>
      <c r="B9" t="s">
        <v>5782</v>
      </c>
    </row>
    <row r="10" spans="1:2" x14ac:dyDescent="0.25">
      <c r="A10" t="s">
        <v>918</v>
      </c>
      <c r="B10" t="s">
        <v>5782</v>
      </c>
    </row>
    <row r="11" spans="1:2" x14ac:dyDescent="0.25">
      <c r="A11" t="s">
        <v>4669</v>
      </c>
      <c r="B11" t="s">
        <v>5782</v>
      </c>
    </row>
    <row r="12" spans="1:2" x14ac:dyDescent="0.25">
      <c r="A12" t="s">
        <v>1152</v>
      </c>
      <c r="B12" t="s">
        <v>5782</v>
      </c>
    </row>
    <row r="13" spans="1:2" x14ac:dyDescent="0.25">
      <c r="A13" t="s">
        <v>4912</v>
      </c>
      <c r="B13" t="s">
        <v>5782</v>
      </c>
    </row>
    <row r="14" spans="1:2" x14ac:dyDescent="0.25">
      <c r="A14" t="s">
        <v>1799</v>
      </c>
      <c r="B14" t="s">
        <v>5782</v>
      </c>
    </row>
    <row r="15" spans="1:2" x14ac:dyDescent="0.25">
      <c r="A15" t="s">
        <v>5783</v>
      </c>
      <c r="B15" t="s">
        <v>5782</v>
      </c>
    </row>
    <row r="16" spans="1:2" x14ac:dyDescent="0.25">
      <c r="A16" t="s">
        <v>172</v>
      </c>
      <c r="B16" t="s">
        <v>5782</v>
      </c>
    </row>
    <row r="17" spans="1:2" x14ac:dyDescent="0.25">
      <c r="A17" t="s">
        <v>1948</v>
      </c>
      <c r="B17" t="s">
        <v>5782</v>
      </c>
    </row>
    <row r="18" spans="1:2" x14ac:dyDescent="0.25">
      <c r="A18" t="s">
        <v>1794</v>
      </c>
      <c r="B18" t="s">
        <v>5782</v>
      </c>
    </row>
    <row r="19" spans="1:2" x14ac:dyDescent="0.25">
      <c r="A19" t="s">
        <v>3211</v>
      </c>
      <c r="B19" t="s">
        <v>5782</v>
      </c>
    </row>
    <row r="20" spans="1:2" x14ac:dyDescent="0.25">
      <c r="A20" t="s">
        <v>2720</v>
      </c>
      <c r="B20" t="s">
        <v>5782</v>
      </c>
    </row>
    <row r="21" spans="1:2" x14ac:dyDescent="0.25">
      <c r="A21" t="s">
        <v>4778</v>
      </c>
      <c r="B21" t="s">
        <v>5782</v>
      </c>
    </row>
    <row r="22" spans="1:2" x14ac:dyDescent="0.25">
      <c r="A22" t="s">
        <v>2754</v>
      </c>
      <c r="B22" t="s">
        <v>5782</v>
      </c>
    </row>
    <row r="23" spans="1:2" x14ac:dyDescent="0.25">
      <c r="A23" t="s">
        <v>1697</v>
      </c>
      <c r="B23" t="s">
        <v>5782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23"/>
  <sheetViews>
    <sheetView topLeftCell="A2" zoomScaleNormal="100" workbookViewId="0">
      <selection activeCell="A4" sqref="A4"/>
    </sheetView>
  </sheetViews>
  <sheetFormatPr defaultColWidth="8.42578125" defaultRowHeight="15" x14ac:dyDescent="0.25"/>
  <cols>
    <col min="1" max="1" width="36" customWidth="1"/>
    <col min="2" max="2" width="9.7109375" customWidth="1"/>
  </cols>
  <sheetData>
    <row r="1" spans="1:2" x14ac:dyDescent="0.25">
      <c r="A1" s="2" t="s">
        <v>5784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2083</v>
      </c>
      <c r="B4" t="s">
        <v>5785</v>
      </c>
    </row>
    <row r="5" spans="1:2" x14ac:dyDescent="0.25">
      <c r="A5" t="s">
        <v>840</v>
      </c>
      <c r="B5" t="s">
        <v>5785</v>
      </c>
    </row>
    <row r="6" spans="1:2" x14ac:dyDescent="0.25">
      <c r="A6" t="s">
        <v>4247</v>
      </c>
      <c r="B6" t="s">
        <v>5785</v>
      </c>
    </row>
    <row r="7" spans="1:2" x14ac:dyDescent="0.25">
      <c r="A7" t="s">
        <v>220</v>
      </c>
      <c r="B7" t="s">
        <v>5785</v>
      </c>
    </row>
    <row r="8" spans="1:2" x14ac:dyDescent="0.25">
      <c r="A8" t="s">
        <v>3612</v>
      </c>
      <c r="B8" t="s">
        <v>5785</v>
      </c>
    </row>
    <row r="9" spans="1:2" x14ac:dyDescent="0.25">
      <c r="A9" t="s">
        <v>2407</v>
      </c>
      <c r="B9" t="s">
        <v>5785</v>
      </c>
    </row>
    <row r="10" spans="1:2" x14ac:dyDescent="0.25">
      <c r="A10" t="s">
        <v>3843</v>
      </c>
      <c r="B10" t="s">
        <v>5785</v>
      </c>
    </row>
    <row r="11" spans="1:2" x14ac:dyDescent="0.25">
      <c r="A11" t="s">
        <v>1088</v>
      </c>
      <c r="B11" t="s">
        <v>5785</v>
      </c>
    </row>
    <row r="12" spans="1:2" x14ac:dyDescent="0.25">
      <c r="A12" t="s">
        <v>4126</v>
      </c>
      <c r="B12" t="s">
        <v>5785</v>
      </c>
    </row>
    <row r="13" spans="1:2" x14ac:dyDescent="0.25">
      <c r="A13" t="s">
        <v>4659</v>
      </c>
      <c r="B13" t="s">
        <v>5785</v>
      </c>
    </row>
    <row r="14" spans="1:2" x14ac:dyDescent="0.25">
      <c r="A14" t="s">
        <v>5112</v>
      </c>
      <c r="B14" t="s">
        <v>5785</v>
      </c>
    </row>
    <row r="15" spans="1:2" x14ac:dyDescent="0.25">
      <c r="A15" t="s">
        <v>3247</v>
      </c>
      <c r="B15" t="s">
        <v>5785</v>
      </c>
    </row>
    <row r="16" spans="1:2" x14ac:dyDescent="0.25">
      <c r="A16" t="s">
        <v>838</v>
      </c>
      <c r="B16" t="s">
        <v>5785</v>
      </c>
    </row>
    <row r="17" spans="1:2" x14ac:dyDescent="0.25">
      <c r="A17" t="s">
        <v>3815</v>
      </c>
      <c r="B17" t="s">
        <v>5785</v>
      </c>
    </row>
    <row r="18" spans="1:2" x14ac:dyDescent="0.25">
      <c r="A18" t="s">
        <v>3740</v>
      </c>
      <c r="B18" t="s">
        <v>5785</v>
      </c>
    </row>
    <row r="19" spans="1:2" x14ac:dyDescent="0.25">
      <c r="A19" t="s">
        <v>3744</v>
      </c>
      <c r="B19" t="s">
        <v>5785</v>
      </c>
    </row>
    <row r="20" spans="1:2" x14ac:dyDescent="0.25">
      <c r="A20" t="s">
        <v>3836</v>
      </c>
      <c r="B20" t="s">
        <v>5785</v>
      </c>
    </row>
    <row r="21" spans="1:2" x14ac:dyDescent="0.25">
      <c r="A21" t="s">
        <v>2445</v>
      </c>
      <c r="B21" t="s">
        <v>5785</v>
      </c>
    </row>
    <row r="22" spans="1:2" x14ac:dyDescent="0.25">
      <c r="A22" t="s">
        <v>3625</v>
      </c>
      <c r="B22" t="s">
        <v>5785</v>
      </c>
    </row>
    <row r="23" spans="1:2" x14ac:dyDescent="0.25">
      <c r="A23" t="s">
        <v>1370</v>
      </c>
      <c r="B23" t="s">
        <v>5785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B1050"/>
  <sheetViews>
    <sheetView topLeftCell="A13" zoomScale="85" zoomScaleNormal="85" workbookViewId="0">
      <selection activeCell="J3520" sqref="J3520"/>
    </sheetView>
  </sheetViews>
  <sheetFormatPr defaultColWidth="8.42578125" defaultRowHeight="15" x14ac:dyDescent="0.25"/>
  <cols>
    <col min="1" max="1" width="23.5703125" customWidth="1"/>
    <col min="2" max="2" width="17.28515625" customWidth="1"/>
  </cols>
  <sheetData>
    <row r="3" spans="1:2" x14ac:dyDescent="0.25">
      <c r="A3" s="12" t="s">
        <v>5703</v>
      </c>
      <c r="B3" s="13" t="s">
        <v>5786</v>
      </c>
    </row>
    <row r="4" spans="1:2" x14ac:dyDescent="0.25">
      <c r="A4" s="14" t="s">
        <v>5787</v>
      </c>
      <c r="B4" s="15">
        <v>780</v>
      </c>
    </row>
    <row r="5" spans="1:2" x14ac:dyDescent="0.25">
      <c r="A5" s="16" t="s">
        <v>5788</v>
      </c>
      <c r="B5" s="17">
        <v>123</v>
      </c>
    </row>
    <row r="6" spans="1:2" x14ac:dyDescent="0.25">
      <c r="A6" s="16">
        <v>0</v>
      </c>
      <c r="B6" s="17">
        <v>89</v>
      </c>
    </row>
    <row r="7" spans="1:2" x14ac:dyDescent="0.25">
      <c r="A7" s="16" t="s">
        <v>5706</v>
      </c>
      <c r="B7" s="17">
        <v>81</v>
      </c>
    </row>
    <row r="8" spans="1:2" x14ac:dyDescent="0.25">
      <c r="A8" s="16" t="s">
        <v>5704</v>
      </c>
      <c r="B8" s="17">
        <v>75</v>
      </c>
    </row>
    <row r="9" spans="1:2" x14ac:dyDescent="0.25">
      <c r="A9" s="16" t="s">
        <v>5789</v>
      </c>
      <c r="B9" s="17">
        <v>74</v>
      </c>
    </row>
    <row r="10" spans="1:2" x14ac:dyDescent="0.25">
      <c r="A10" s="16" t="s">
        <v>5790</v>
      </c>
      <c r="B10" s="17">
        <v>68</v>
      </c>
    </row>
    <row r="11" spans="1:2" x14ac:dyDescent="0.25">
      <c r="A11" s="16" t="s">
        <v>5708</v>
      </c>
      <c r="B11" s="17">
        <v>54</v>
      </c>
    </row>
    <row r="12" spans="1:2" x14ac:dyDescent="0.25">
      <c r="A12" s="16" t="s">
        <v>5711</v>
      </c>
      <c r="B12" s="17">
        <v>50</v>
      </c>
    </row>
    <row r="13" spans="1:2" x14ac:dyDescent="0.25">
      <c r="A13" s="16" t="s">
        <v>5716</v>
      </c>
      <c r="B13" s="17">
        <v>47</v>
      </c>
    </row>
    <row r="14" spans="1:2" x14ac:dyDescent="0.25">
      <c r="A14" s="16" t="s">
        <v>5713</v>
      </c>
      <c r="B14" s="17">
        <v>47</v>
      </c>
    </row>
    <row r="15" spans="1:2" x14ac:dyDescent="0.25">
      <c r="A15" s="16" t="s">
        <v>5719</v>
      </c>
      <c r="B15" s="17">
        <v>44</v>
      </c>
    </row>
    <row r="16" spans="1:2" x14ac:dyDescent="0.25">
      <c r="A16" s="16" t="s">
        <v>5721</v>
      </c>
      <c r="B16" s="17">
        <v>43</v>
      </c>
    </row>
    <row r="17" spans="1:2" x14ac:dyDescent="0.25">
      <c r="A17" s="16" t="s">
        <v>5724</v>
      </c>
      <c r="B17" s="17">
        <v>40</v>
      </c>
    </row>
    <row r="18" spans="1:2" x14ac:dyDescent="0.25">
      <c r="A18" s="16" t="s">
        <v>5791</v>
      </c>
      <c r="B18" s="17">
        <v>35</v>
      </c>
    </row>
    <row r="19" spans="1:2" x14ac:dyDescent="0.25">
      <c r="A19" s="16" t="s">
        <v>5728</v>
      </c>
      <c r="B19" s="17">
        <v>33</v>
      </c>
    </row>
    <row r="20" spans="1:2" x14ac:dyDescent="0.25">
      <c r="A20" s="16" t="s">
        <v>5730</v>
      </c>
      <c r="B20" s="17">
        <v>32</v>
      </c>
    </row>
    <row r="21" spans="1:2" x14ac:dyDescent="0.25">
      <c r="A21" s="16" t="s">
        <v>5734</v>
      </c>
      <c r="B21" s="17">
        <v>31</v>
      </c>
    </row>
    <row r="22" spans="1:2" x14ac:dyDescent="0.25">
      <c r="A22" s="16" t="s">
        <v>5737</v>
      </c>
      <c r="B22" s="17">
        <v>31</v>
      </c>
    </row>
    <row r="23" spans="1:2" x14ac:dyDescent="0.25">
      <c r="A23" s="16" t="s">
        <v>5740</v>
      </c>
      <c r="B23" s="17">
        <v>28</v>
      </c>
    </row>
    <row r="24" spans="1:2" x14ac:dyDescent="0.25">
      <c r="A24" s="16" t="s">
        <v>5747</v>
      </c>
      <c r="B24" s="17">
        <v>28</v>
      </c>
    </row>
    <row r="25" spans="1:2" x14ac:dyDescent="0.25">
      <c r="A25" s="16" t="s">
        <v>5744</v>
      </c>
      <c r="B25" s="17">
        <v>28</v>
      </c>
    </row>
    <row r="26" spans="1:2" x14ac:dyDescent="0.25">
      <c r="A26" s="16" t="s">
        <v>5750</v>
      </c>
      <c r="B26" s="17">
        <v>25</v>
      </c>
    </row>
    <row r="27" spans="1:2" x14ac:dyDescent="0.25">
      <c r="A27" s="16" t="s">
        <v>5752</v>
      </c>
      <c r="B27" s="17">
        <v>25</v>
      </c>
    </row>
    <row r="28" spans="1:2" x14ac:dyDescent="0.25">
      <c r="A28" s="16" t="s">
        <v>5759</v>
      </c>
      <c r="B28" s="17">
        <v>24</v>
      </c>
    </row>
    <row r="29" spans="1:2" x14ac:dyDescent="0.25">
      <c r="A29" s="16" t="s">
        <v>5757</v>
      </c>
      <c r="B29" s="17">
        <v>24</v>
      </c>
    </row>
    <row r="30" spans="1:2" x14ac:dyDescent="0.25">
      <c r="A30" s="16" t="s">
        <v>5754</v>
      </c>
      <c r="B30" s="17">
        <v>24</v>
      </c>
    </row>
    <row r="31" spans="1:2" x14ac:dyDescent="0.25">
      <c r="A31" s="16" t="s">
        <v>5766</v>
      </c>
      <c r="B31" s="17">
        <v>23</v>
      </c>
    </row>
    <row r="32" spans="1:2" x14ac:dyDescent="0.25">
      <c r="A32" s="16" t="s">
        <v>5762</v>
      </c>
      <c r="B32" s="17">
        <v>23</v>
      </c>
    </row>
    <row r="33" spans="1:2" x14ac:dyDescent="0.25">
      <c r="A33" s="16" t="s">
        <v>5768</v>
      </c>
      <c r="B33" s="17">
        <v>22</v>
      </c>
    </row>
    <row r="34" spans="1:2" x14ac:dyDescent="0.25">
      <c r="A34" s="16" t="s">
        <v>5772</v>
      </c>
      <c r="B34" s="17">
        <v>22</v>
      </c>
    </row>
    <row r="35" spans="1:2" x14ac:dyDescent="0.25">
      <c r="A35" s="16" t="s">
        <v>5770</v>
      </c>
      <c r="B35" s="17">
        <v>22</v>
      </c>
    </row>
    <row r="36" spans="1:2" x14ac:dyDescent="0.25">
      <c r="A36" s="16" t="s">
        <v>5780</v>
      </c>
      <c r="B36" s="17">
        <v>21</v>
      </c>
    </row>
    <row r="37" spans="1:2" x14ac:dyDescent="0.25">
      <c r="A37" s="16" t="s">
        <v>5774</v>
      </c>
      <c r="B37" s="17">
        <v>21</v>
      </c>
    </row>
    <row r="38" spans="1:2" x14ac:dyDescent="0.25">
      <c r="A38" s="16" t="s">
        <v>5778</v>
      </c>
      <c r="B38" s="17">
        <v>21</v>
      </c>
    </row>
    <row r="39" spans="1:2" x14ac:dyDescent="0.25">
      <c r="A39" s="16" t="s">
        <v>5782</v>
      </c>
      <c r="B39" s="17">
        <v>20</v>
      </c>
    </row>
    <row r="40" spans="1:2" x14ac:dyDescent="0.25">
      <c r="A40" s="16" t="s">
        <v>5785</v>
      </c>
      <c r="B40" s="17">
        <v>20</v>
      </c>
    </row>
    <row r="41" spans="1:2" x14ac:dyDescent="0.25">
      <c r="A41" s="16" t="s">
        <v>5792</v>
      </c>
      <c r="B41" s="17">
        <v>19</v>
      </c>
    </row>
    <row r="42" spans="1:2" x14ac:dyDescent="0.25">
      <c r="A42" s="16" t="s">
        <v>5793</v>
      </c>
      <c r="B42" s="17">
        <v>19</v>
      </c>
    </row>
    <row r="43" spans="1:2" x14ac:dyDescent="0.25">
      <c r="A43" s="16" t="s">
        <v>5794</v>
      </c>
      <c r="B43" s="17">
        <v>19</v>
      </c>
    </row>
    <row r="44" spans="1:2" x14ac:dyDescent="0.25">
      <c r="A44" s="16" t="s">
        <v>5795</v>
      </c>
      <c r="B44" s="17">
        <v>19</v>
      </c>
    </row>
    <row r="45" spans="1:2" x14ac:dyDescent="0.25">
      <c r="A45" s="16" t="s">
        <v>5796</v>
      </c>
      <c r="B45" s="17">
        <v>19</v>
      </c>
    </row>
    <row r="46" spans="1:2" x14ac:dyDescent="0.25">
      <c r="A46" s="16" t="s">
        <v>5797</v>
      </c>
      <c r="B46" s="17">
        <v>19</v>
      </c>
    </row>
    <row r="47" spans="1:2" x14ac:dyDescent="0.25">
      <c r="A47" s="16" t="s">
        <v>5798</v>
      </c>
      <c r="B47" s="17">
        <v>18</v>
      </c>
    </row>
    <row r="48" spans="1:2" x14ac:dyDescent="0.25">
      <c r="A48" s="16" t="s">
        <v>5799</v>
      </c>
      <c r="B48" s="17">
        <v>18</v>
      </c>
    </row>
    <row r="49" spans="1:2" x14ac:dyDescent="0.25">
      <c r="A49" s="16" t="s">
        <v>5800</v>
      </c>
      <c r="B49" s="17">
        <v>18</v>
      </c>
    </row>
    <row r="50" spans="1:2" x14ac:dyDescent="0.25">
      <c r="A50" s="16" t="s">
        <v>5801</v>
      </c>
      <c r="B50" s="17">
        <v>17</v>
      </c>
    </row>
    <row r="51" spans="1:2" x14ac:dyDescent="0.25">
      <c r="A51" s="16" t="s">
        <v>5802</v>
      </c>
      <c r="B51" s="17">
        <v>17</v>
      </c>
    </row>
    <row r="52" spans="1:2" x14ac:dyDescent="0.25">
      <c r="A52" s="16" t="s">
        <v>5803</v>
      </c>
      <c r="B52" s="17">
        <v>16</v>
      </c>
    </row>
    <row r="53" spans="1:2" x14ac:dyDescent="0.25">
      <c r="A53" s="16" t="s">
        <v>5804</v>
      </c>
      <c r="B53" s="17">
        <v>16</v>
      </c>
    </row>
    <row r="54" spans="1:2" x14ac:dyDescent="0.25">
      <c r="A54" s="16" t="s">
        <v>5805</v>
      </c>
      <c r="B54" s="17">
        <v>16</v>
      </c>
    </row>
    <row r="55" spans="1:2" x14ac:dyDescent="0.25">
      <c r="A55" s="16" t="s">
        <v>5806</v>
      </c>
      <c r="B55" s="17">
        <v>16</v>
      </c>
    </row>
    <row r="56" spans="1:2" x14ac:dyDescent="0.25">
      <c r="A56" s="16" t="s">
        <v>5807</v>
      </c>
      <c r="B56" s="17">
        <v>15</v>
      </c>
    </row>
    <row r="57" spans="1:2" x14ac:dyDescent="0.25">
      <c r="A57" s="16" t="s">
        <v>5808</v>
      </c>
      <c r="B57" s="17">
        <v>15</v>
      </c>
    </row>
    <row r="58" spans="1:2" x14ac:dyDescent="0.25">
      <c r="A58" s="16" t="s">
        <v>5809</v>
      </c>
      <c r="B58" s="17">
        <v>15</v>
      </c>
    </row>
    <row r="59" spans="1:2" x14ac:dyDescent="0.25">
      <c r="A59" s="16" t="s">
        <v>5810</v>
      </c>
      <c r="B59" s="17">
        <v>15</v>
      </c>
    </row>
    <row r="60" spans="1:2" x14ac:dyDescent="0.25">
      <c r="A60" s="16" t="s">
        <v>5811</v>
      </c>
      <c r="B60" s="17">
        <v>15</v>
      </c>
    </row>
    <row r="61" spans="1:2" x14ac:dyDescent="0.25">
      <c r="A61" s="16" t="s">
        <v>5812</v>
      </c>
      <c r="B61" s="17">
        <v>15</v>
      </c>
    </row>
    <row r="62" spans="1:2" x14ac:dyDescent="0.25">
      <c r="A62" s="16" t="s">
        <v>5813</v>
      </c>
      <c r="B62" s="17">
        <v>14</v>
      </c>
    </row>
    <row r="63" spans="1:2" x14ac:dyDescent="0.25">
      <c r="A63" s="16" t="s">
        <v>5814</v>
      </c>
      <c r="B63" s="17">
        <v>14</v>
      </c>
    </row>
    <row r="64" spans="1:2" x14ac:dyDescent="0.25">
      <c r="A64" s="16" t="s">
        <v>5815</v>
      </c>
      <c r="B64" s="17">
        <v>14</v>
      </c>
    </row>
    <row r="65" spans="1:2" x14ac:dyDescent="0.25">
      <c r="A65" s="16" t="s">
        <v>5816</v>
      </c>
      <c r="B65" s="17">
        <v>13</v>
      </c>
    </row>
    <row r="66" spans="1:2" x14ac:dyDescent="0.25">
      <c r="A66" s="16" t="s">
        <v>5817</v>
      </c>
      <c r="B66" s="17">
        <v>13</v>
      </c>
    </row>
    <row r="67" spans="1:2" x14ac:dyDescent="0.25">
      <c r="A67" s="16" t="s">
        <v>5818</v>
      </c>
      <c r="B67" s="17">
        <v>13</v>
      </c>
    </row>
    <row r="68" spans="1:2" x14ac:dyDescent="0.25">
      <c r="A68" s="16" t="s">
        <v>5819</v>
      </c>
      <c r="B68" s="17">
        <v>13</v>
      </c>
    </row>
    <row r="69" spans="1:2" x14ac:dyDescent="0.25">
      <c r="A69" s="16" t="s">
        <v>5820</v>
      </c>
      <c r="B69" s="17">
        <v>13</v>
      </c>
    </row>
    <row r="70" spans="1:2" x14ac:dyDescent="0.25">
      <c r="A70" s="16" t="s">
        <v>5821</v>
      </c>
      <c r="B70" s="17">
        <v>13</v>
      </c>
    </row>
    <row r="71" spans="1:2" x14ac:dyDescent="0.25">
      <c r="A71" s="16" t="s">
        <v>5822</v>
      </c>
      <c r="B71" s="17">
        <v>13</v>
      </c>
    </row>
    <row r="72" spans="1:2" x14ac:dyDescent="0.25">
      <c r="A72" s="16" t="s">
        <v>5823</v>
      </c>
      <c r="B72" s="17">
        <v>13</v>
      </c>
    </row>
    <row r="73" spans="1:2" x14ac:dyDescent="0.25">
      <c r="A73" s="16" t="s">
        <v>5824</v>
      </c>
      <c r="B73" s="17">
        <v>12</v>
      </c>
    </row>
    <row r="74" spans="1:2" x14ac:dyDescent="0.25">
      <c r="A74" s="16" t="s">
        <v>5825</v>
      </c>
      <c r="B74" s="17">
        <v>12</v>
      </c>
    </row>
    <row r="75" spans="1:2" x14ac:dyDescent="0.25">
      <c r="A75" s="16" t="s">
        <v>5826</v>
      </c>
      <c r="B75" s="17">
        <v>12</v>
      </c>
    </row>
    <row r="76" spans="1:2" x14ac:dyDescent="0.25">
      <c r="A76" s="16" t="s">
        <v>5827</v>
      </c>
      <c r="B76" s="17">
        <v>12</v>
      </c>
    </row>
    <row r="77" spans="1:2" x14ac:dyDescent="0.25">
      <c r="A77" s="16" t="s">
        <v>5828</v>
      </c>
      <c r="B77" s="17">
        <v>12</v>
      </c>
    </row>
    <row r="78" spans="1:2" x14ac:dyDescent="0.25">
      <c r="A78" s="16" t="s">
        <v>5829</v>
      </c>
      <c r="B78" s="17">
        <v>11</v>
      </c>
    </row>
    <row r="79" spans="1:2" x14ac:dyDescent="0.25">
      <c r="A79" s="16" t="s">
        <v>5830</v>
      </c>
      <c r="B79" s="17">
        <v>11</v>
      </c>
    </row>
    <row r="80" spans="1:2" x14ac:dyDescent="0.25">
      <c r="A80" s="16" t="s">
        <v>5831</v>
      </c>
      <c r="B80" s="17">
        <v>11</v>
      </c>
    </row>
    <row r="81" spans="1:2" x14ac:dyDescent="0.25">
      <c r="A81" s="16" t="s">
        <v>5832</v>
      </c>
      <c r="B81" s="17">
        <v>11</v>
      </c>
    </row>
    <row r="82" spans="1:2" x14ac:dyDescent="0.25">
      <c r="A82" s="16" t="s">
        <v>5833</v>
      </c>
      <c r="B82" s="17">
        <v>11</v>
      </c>
    </row>
    <row r="83" spans="1:2" x14ac:dyDescent="0.25">
      <c r="A83" s="16" t="s">
        <v>5834</v>
      </c>
      <c r="B83" s="17">
        <v>11</v>
      </c>
    </row>
    <row r="84" spans="1:2" x14ac:dyDescent="0.25">
      <c r="A84" s="16" t="s">
        <v>5835</v>
      </c>
      <c r="B84" s="17">
        <v>11</v>
      </c>
    </row>
    <row r="85" spans="1:2" x14ac:dyDescent="0.25">
      <c r="A85" s="16" t="s">
        <v>5836</v>
      </c>
      <c r="B85" s="17">
        <v>11</v>
      </c>
    </row>
    <row r="86" spans="1:2" x14ac:dyDescent="0.25">
      <c r="A86" s="16" t="s">
        <v>5837</v>
      </c>
      <c r="B86" s="17">
        <v>11</v>
      </c>
    </row>
    <row r="87" spans="1:2" x14ac:dyDescent="0.25">
      <c r="A87" s="16" t="s">
        <v>5838</v>
      </c>
      <c r="B87" s="17">
        <v>11</v>
      </c>
    </row>
    <row r="88" spans="1:2" x14ac:dyDescent="0.25">
      <c r="A88" s="16" t="s">
        <v>5839</v>
      </c>
      <c r="B88" s="17">
        <v>11</v>
      </c>
    </row>
    <row r="89" spans="1:2" x14ac:dyDescent="0.25">
      <c r="A89" s="16" t="s">
        <v>5840</v>
      </c>
      <c r="B89" s="17">
        <v>10</v>
      </c>
    </row>
    <row r="90" spans="1:2" x14ac:dyDescent="0.25">
      <c r="A90" s="16" t="s">
        <v>5841</v>
      </c>
      <c r="B90" s="17">
        <v>10</v>
      </c>
    </row>
    <row r="91" spans="1:2" x14ac:dyDescent="0.25">
      <c r="A91" s="16" t="s">
        <v>5842</v>
      </c>
      <c r="B91" s="17">
        <v>10</v>
      </c>
    </row>
    <row r="92" spans="1:2" x14ac:dyDescent="0.25">
      <c r="A92" s="16" t="s">
        <v>5843</v>
      </c>
      <c r="B92" s="17">
        <v>10</v>
      </c>
    </row>
    <row r="93" spans="1:2" x14ac:dyDescent="0.25">
      <c r="A93" s="16" t="s">
        <v>5844</v>
      </c>
      <c r="B93" s="17">
        <v>10</v>
      </c>
    </row>
    <row r="94" spans="1:2" x14ac:dyDescent="0.25">
      <c r="A94" s="16" t="s">
        <v>5845</v>
      </c>
      <c r="B94" s="17">
        <v>10</v>
      </c>
    </row>
    <row r="95" spans="1:2" x14ac:dyDescent="0.25">
      <c r="A95" s="16" t="s">
        <v>5846</v>
      </c>
      <c r="B95" s="17">
        <v>10</v>
      </c>
    </row>
    <row r="96" spans="1:2" x14ac:dyDescent="0.25">
      <c r="A96" s="16" t="s">
        <v>5847</v>
      </c>
      <c r="B96" s="17">
        <v>10</v>
      </c>
    </row>
    <row r="97" spans="1:2" x14ac:dyDescent="0.25">
      <c r="A97" s="16" t="s">
        <v>5848</v>
      </c>
      <c r="B97" s="17">
        <v>10</v>
      </c>
    </row>
    <row r="98" spans="1:2" x14ac:dyDescent="0.25">
      <c r="A98" s="16" t="s">
        <v>5849</v>
      </c>
      <c r="B98" s="17">
        <v>10</v>
      </c>
    </row>
    <row r="99" spans="1:2" x14ac:dyDescent="0.25">
      <c r="A99" s="16" t="s">
        <v>5850</v>
      </c>
      <c r="B99" s="17">
        <v>10</v>
      </c>
    </row>
    <row r="100" spans="1:2" x14ac:dyDescent="0.25">
      <c r="A100" s="16" t="s">
        <v>5851</v>
      </c>
      <c r="B100" s="17">
        <v>10</v>
      </c>
    </row>
    <row r="101" spans="1:2" x14ac:dyDescent="0.25">
      <c r="A101" s="16" t="s">
        <v>5852</v>
      </c>
      <c r="B101" s="17">
        <v>10</v>
      </c>
    </row>
    <row r="102" spans="1:2" x14ac:dyDescent="0.25">
      <c r="A102" s="16" t="s">
        <v>5853</v>
      </c>
      <c r="B102" s="17">
        <v>10</v>
      </c>
    </row>
    <row r="103" spans="1:2" x14ac:dyDescent="0.25">
      <c r="A103" s="16" t="s">
        <v>5854</v>
      </c>
      <c r="B103" s="17">
        <v>10</v>
      </c>
    </row>
    <row r="104" spans="1:2" x14ac:dyDescent="0.25">
      <c r="A104" s="16" t="s">
        <v>5855</v>
      </c>
      <c r="B104" s="17">
        <v>10</v>
      </c>
    </row>
    <row r="105" spans="1:2" x14ac:dyDescent="0.25">
      <c r="A105" s="16" t="s">
        <v>5856</v>
      </c>
      <c r="B105" s="17">
        <v>9</v>
      </c>
    </row>
    <row r="106" spans="1:2" x14ac:dyDescent="0.25">
      <c r="A106" s="16" t="s">
        <v>5857</v>
      </c>
      <c r="B106" s="17">
        <v>9</v>
      </c>
    </row>
    <row r="107" spans="1:2" x14ac:dyDescent="0.25">
      <c r="A107" s="16" t="s">
        <v>5858</v>
      </c>
      <c r="B107" s="17">
        <v>9</v>
      </c>
    </row>
    <row r="108" spans="1:2" x14ac:dyDescent="0.25">
      <c r="A108" s="16" t="s">
        <v>5859</v>
      </c>
      <c r="B108" s="17">
        <v>9</v>
      </c>
    </row>
    <row r="109" spans="1:2" x14ac:dyDescent="0.25">
      <c r="A109" s="16" t="s">
        <v>5860</v>
      </c>
      <c r="B109" s="17">
        <v>9</v>
      </c>
    </row>
    <row r="110" spans="1:2" x14ac:dyDescent="0.25">
      <c r="A110" s="16" t="s">
        <v>5861</v>
      </c>
      <c r="B110" s="17">
        <v>9</v>
      </c>
    </row>
    <row r="111" spans="1:2" x14ac:dyDescent="0.25">
      <c r="A111" s="16" t="s">
        <v>5862</v>
      </c>
      <c r="B111" s="17">
        <v>9</v>
      </c>
    </row>
    <row r="112" spans="1:2" x14ac:dyDescent="0.25">
      <c r="A112" s="16" t="s">
        <v>5863</v>
      </c>
      <c r="B112" s="17">
        <v>9</v>
      </c>
    </row>
    <row r="113" spans="1:2" x14ac:dyDescent="0.25">
      <c r="A113" s="16" t="s">
        <v>5864</v>
      </c>
      <c r="B113" s="17">
        <v>9</v>
      </c>
    </row>
    <row r="114" spans="1:2" x14ac:dyDescent="0.25">
      <c r="A114" s="16" t="s">
        <v>5865</v>
      </c>
      <c r="B114" s="17">
        <v>9</v>
      </c>
    </row>
    <row r="115" spans="1:2" x14ac:dyDescent="0.25">
      <c r="A115" s="16" t="s">
        <v>5866</v>
      </c>
      <c r="B115" s="17">
        <v>9</v>
      </c>
    </row>
    <row r="116" spans="1:2" x14ac:dyDescent="0.25">
      <c r="A116" s="16" t="s">
        <v>5867</v>
      </c>
      <c r="B116" s="17">
        <v>9</v>
      </c>
    </row>
    <row r="117" spans="1:2" x14ac:dyDescent="0.25">
      <c r="A117" s="16" t="s">
        <v>5868</v>
      </c>
      <c r="B117" s="17">
        <v>9</v>
      </c>
    </row>
    <row r="118" spans="1:2" x14ac:dyDescent="0.25">
      <c r="A118" s="16" t="s">
        <v>5869</v>
      </c>
      <c r="B118" s="17">
        <v>9</v>
      </c>
    </row>
    <row r="119" spans="1:2" x14ac:dyDescent="0.25">
      <c r="A119" s="16" t="s">
        <v>5870</v>
      </c>
      <c r="B119" s="17">
        <v>9</v>
      </c>
    </row>
    <row r="120" spans="1:2" x14ac:dyDescent="0.25">
      <c r="A120" s="16" t="s">
        <v>5871</v>
      </c>
      <c r="B120" s="17">
        <v>8</v>
      </c>
    </row>
    <row r="121" spans="1:2" x14ac:dyDescent="0.25">
      <c r="A121" s="16" t="s">
        <v>5872</v>
      </c>
      <c r="B121" s="17">
        <v>8</v>
      </c>
    </row>
    <row r="122" spans="1:2" x14ac:dyDescent="0.25">
      <c r="A122" s="16" t="s">
        <v>5873</v>
      </c>
      <c r="B122" s="17">
        <v>8</v>
      </c>
    </row>
    <row r="123" spans="1:2" x14ac:dyDescent="0.25">
      <c r="A123" s="16" t="s">
        <v>5874</v>
      </c>
      <c r="B123" s="17">
        <v>8</v>
      </c>
    </row>
    <row r="124" spans="1:2" x14ac:dyDescent="0.25">
      <c r="A124" s="16" t="s">
        <v>5875</v>
      </c>
      <c r="B124" s="17">
        <v>8</v>
      </c>
    </row>
    <row r="125" spans="1:2" x14ac:dyDescent="0.25">
      <c r="A125" s="16" t="s">
        <v>5876</v>
      </c>
      <c r="B125" s="17">
        <v>8</v>
      </c>
    </row>
    <row r="126" spans="1:2" x14ac:dyDescent="0.25">
      <c r="A126" s="16" t="s">
        <v>5877</v>
      </c>
      <c r="B126" s="17">
        <v>8</v>
      </c>
    </row>
    <row r="127" spans="1:2" x14ac:dyDescent="0.25">
      <c r="A127" s="16" t="s">
        <v>5878</v>
      </c>
      <c r="B127" s="17">
        <v>8</v>
      </c>
    </row>
    <row r="128" spans="1:2" x14ac:dyDescent="0.25">
      <c r="A128" s="16" t="s">
        <v>5879</v>
      </c>
      <c r="B128" s="17">
        <v>8</v>
      </c>
    </row>
    <row r="129" spans="1:2" x14ac:dyDescent="0.25">
      <c r="A129" s="16" t="s">
        <v>5880</v>
      </c>
      <c r="B129" s="17">
        <v>8</v>
      </c>
    </row>
    <row r="130" spans="1:2" x14ac:dyDescent="0.25">
      <c r="A130" s="16" t="s">
        <v>5881</v>
      </c>
      <c r="B130" s="17">
        <v>8</v>
      </c>
    </row>
    <row r="131" spans="1:2" x14ac:dyDescent="0.25">
      <c r="A131" s="16" t="s">
        <v>5882</v>
      </c>
      <c r="B131" s="17">
        <v>8</v>
      </c>
    </row>
    <row r="132" spans="1:2" x14ac:dyDescent="0.25">
      <c r="A132" s="16" t="s">
        <v>5883</v>
      </c>
      <c r="B132" s="17">
        <v>8</v>
      </c>
    </row>
    <row r="133" spans="1:2" x14ac:dyDescent="0.25">
      <c r="A133" s="16" t="s">
        <v>5884</v>
      </c>
      <c r="B133" s="17">
        <v>8</v>
      </c>
    </row>
    <row r="134" spans="1:2" x14ac:dyDescent="0.25">
      <c r="A134" s="16" t="s">
        <v>5885</v>
      </c>
      <c r="B134" s="17">
        <v>8</v>
      </c>
    </row>
    <row r="135" spans="1:2" x14ac:dyDescent="0.25">
      <c r="A135" s="16" t="s">
        <v>5886</v>
      </c>
      <c r="B135" s="17">
        <v>8</v>
      </c>
    </row>
    <row r="136" spans="1:2" x14ac:dyDescent="0.25">
      <c r="A136" s="16" t="s">
        <v>5887</v>
      </c>
      <c r="B136" s="17">
        <v>8</v>
      </c>
    </row>
    <row r="137" spans="1:2" x14ac:dyDescent="0.25">
      <c r="A137" s="16" t="s">
        <v>5888</v>
      </c>
      <c r="B137" s="17">
        <v>8</v>
      </c>
    </row>
    <row r="138" spans="1:2" x14ac:dyDescent="0.25">
      <c r="A138" s="16" t="s">
        <v>5889</v>
      </c>
      <c r="B138" s="17">
        <v>8</v>
      </c>
    </row>
    <row r="139" spans="1:2" x14ac:dyDescent="0.25">
      <c r="A139" s="16" t="s">
        <v>5890</v>
      </c>
      <c r="B139" s="17">
        <v>7</v>
      </c>
    </row>
    <row r="140" spans="1:2" x14ac:dyDescent="0.25">
      <c r="A140" s="16" t="s">
        <v>5891</v>
      </c>
      <c r="B140" s="17">
        <v>7</v>
      </c>
    </row>
    <row r="141" spans="1:2" x14ac:dyDescent="0.25">
      <c r="A141" s="16" t="s">
        <v>5892</v>
      </c>
      <c r="B141" s="17">
        <v>7</v>
      </c>
    </row>
    <row r="142" spans="1:2" x14ac:dyDescent="0.25">
      <c r="A142" s="16" t="s">
        <v>5893</v>
      </c>
      <c r="B142" s="17">
        <v>7</v>
      </c>
    </row>
    <row r="143" spans="1:2" x14ac:dyDescent="0.25">
      <c r="A143" s="16" t="s">
        <v>5894</v>
      </c>
      <c r="B143" s="17">
        <v>7</v>
      </c>
    </row>
    <row r="144" spans="1:2" x14ac:dyDescent="0.25">
      <c r="A144" s="16" t="s">
        <v>5895</v>
      </c>
      <c r="B144" s="17">
        <v>7</v>
      </c>
    </row>
    <row r="145" spans="1:2" x14ac:dyDescent="0.25">
      <c r="A145" s="16" t="s">
        <v>5896</v>
      </c>
      <c r="B145" s="17">
        <v>7</v>
      </c>
    </row>
    <row r="146" spans="1:2" x14ac:dyDescent="0.25">
      <c r="A146" s="16" t="s">
        <v>5897</v>
      </c>
      <c r="B146" s="17">
        <v>7</v>
      </c>
    </row>
    <row r="147" spans="1:2" x14ac:dyDescent="0.25">
      <c r="A147" s="16" t="s">
        <v>5898</v>
      </c>
      <c r="B147" s="17">
        <v>7</v>
      </c>
    </row>
    <row r="148" spans="1:2" x14ac:dyDescent="0.25">
      <c r="A148" s="16" t="s">
        <v>5899</v>
      </c>
      <c r="B148" s="17">
        <v>7</v>
      </c>
    </row>
    <row r="149" spans="1:2" x14ac:dyDescent="0.25">
      <c r="A149" s="16" t="s">
        <v>5900</v>
      </c>
      <c r="B149" s="17">
        <v>7</v>
      </c>
    </row>
    <row r="150" spans="1:2" x14ac:dyDescent="0.25">
      <c r="A150" s="16" t="s">
        <v>5901</v>
      </c>
      <c r="B150" s="17">
        <v>7</v>
      </c>
    </row>
    <row r="151" spans="1:2" x14ac:dyDescent="0.25">
      <c r="A151" s="16" t="s">
        <v>5902</v>
      </c>
      <c r="B151" s="17">
        <v>7</v>
      </c>
    </row>
    <row r="152" spans="1:2" x14ac:dyDescent="0.25">
      <c r="A152" s="16" t="s">
        <v>5903</v>
      </c>
      <c r="B152" s="17">
        <v>7</v>
      </c>
    </row>
    <row r="153" spans="1:2" x14ac:dyDescent="0.25">
      <c r="A153" s="16" t="s">
        <v>5904</v>
      </c>
      <c r="B153" s="17">
        <v>7</v>
      </c>
    </row>
    <row r="154" spans="1:2" x14ac:dyDescent="0.25">
      <c r="A154" s="16" t="s">
        <v>5905</v>
      </c>
      <c r="B154" s="17">
        <v>7</v>
      </c>
    </row>
    <row r="155" spans="1:2" x14ac:dyDescent="0.25">
      <c r="A155" s="16" t="s">
        <v>5906</v>
      </c>
      <c r="B155" s="17">
        <v>7</v>
      </c>
    </row>
    <row r="156" spans="1:2" x14ac:dyDescent="0.25">
      <c r="A156" s="16" t="s">
        <v>5907</v>
      </c>
      <c r="B156" s="17">
        <v>7</v>
      </c>
    </row>
    <row r="157" spans="1:2" x14ac:dyDescent="0.25">
      <c r="A157" s="16" t="s">
        <v>5908</v>
      </c>
      <c r="B157" s="17">
        <v>7</v>
      </c>
    </row>
    <row r="158" spans="1:2" x14ac:dyDescent="0.25">
      <c r="A158" s="16" t="s">
        <v>5909</v>
      </c>
      <c r="B158" s="17">
        <v>7</v>
      </c>
    </row>
    <row r="159" spans="1:2" x14ac:dyDescent="0.25">
      <c r="A159" s="16" t="s">
        <v>5910</v>
      </c>
      <c r="B159" s="17">
        <v>7</v>
      </c>
    </row>
    <row r="160" spans="1:2" x14ac:dyDescent="0.25">
      <c r="A160" s="16" t="s">
        <v>5911</v>
      </c>
      <c r="B160" s="17">
        <v>7</v>
      </c>
    </row>
    <row r="161" spans="1:2" x14ac:dyDescent="0.25">
      <c r="A161" s="16" t="s">
        <v>5912</v>
      </c>
      <c r="B161" s="17">
        <v>7</v>
      </c>
    </row>
    <row r="162" spans="1:2" x14ac:dyDescent="0.25">
      <c r="A162" s="16" t="s">
        <v>5913</v>
      </c>
      <c r="B162" s="17">
        <v>7</v>
      </c>
    </row>
    <row r="163" spans="1:2" x14ac:dyDescent="0.25">
      <c r="A163" s="16" t="s">
        <v>5914</v>
      </c>
      <c r="B163" s="17">
        <v>7</v>
      </c>
    </row>
    <row r="164" spans="1:2" x14ac:dyDescent="0.25">
      <c r="A164" s="16" t="s">
        <v>5915</v>
      </c>
      <c r="B164" s="17">
        <v>7</v>
      </c>
    </row>
    <row r="165" spans="1:2" x14ac:dyDescent="0.25">
      <c r="A165" s="16" t="s">
        <v>5916</v>
      </c>
      <c r="B165" s="17">
        <v>7</v>
      </c>
    </row>
    <row r="166" spans="1:2" x14ac:dyDescent="0.25">
      <c r="A166" s="16" t="s">
        <v>5917</v>
      </c>
      <c r="B166" s="17">
        <v>7</v>
      </c>
    </row>
    <row r="167" spans="1:2" x14ac:dyDescent="0.25">
      <c r="A167" s="16" t="s">
        <v>5918</v>
      </c>
      <c r="B167" s="17">
        <v>7</v>
      </c>
    </row>
    <row r="168" spans="1:2" x14ac:dyDescent="0.25">
      <c r="A168" s="16" t="s">
        <v>5919</v>
      </c>
      <c r="B168" s="17">
        <v>7</v>
      </c>
    </row>
    <row r="169" spans="1:2" x14ac:dyDescent="0.25">
      <c r="A169" s="16" t="s">
        <v>5920</v>
      </c>
      <c r="B169" s="17">
        <v>7</v>
      </c>
    </row>
    <row r="170" spans="1:2" x14ac:dyDescent="0.25">
      <c r="A170" s="16" t="s">
        <v>5921</v>
      </c>
      <c r="B170" s="17">
        <v>7</v>
      </c>
    </row>
    <row r="171" spans="1:2" x14ac:dyDescent="0.25">
      <c r="A171" s="16" t="s">
        <v>5922</v>
      </c>
      <c r="B171" s="17">
        <v>7</v>
      </c>
    </row>
    <row r="172" spans="1:2" x14ac:dyDescent="0.25">
      <c r="A172" s="16" t="s">
        <v>5923</v>
      </c>
      <c r="B172" s="17">
        <v>7</v>
      </c>
    </row>
    <row r="173" spans="1:2" x14ac:dyDescent="0.25">
      <c r="A173" s="16" t="s">
        <v>5924</v>
      </c>
      <c r="B173" s="17">
        <v>7</v>
      </c>
    </row>
    <row r="174" spans="1:2" x14ac:dyDescent="0.25">
      <c r="A174" s="16" t="s">
        <v>5925</v>
      </c>
      <c r="B174" s="17">
        <v>6</v>
      </c>
    </row>
    <row r="175" spans="1:2" x14ac:dyDescent="0.25">
      <c r="A175" s="16" t="s">
        <v>5926</v>
      </c>
      <c r="B175" s="17">
        <v>6</v>
      </c>
    </row>
    <row r="176" spans="1:2" x14ac:dyDescent="0.25">
      <c r="A176" s="16" t="s">
        <v>5927</v>
      </c>
      <c r="B176" s="17">
        <v>6</v>
      </c>
    </row>
    <row r="177" spans="1:2" x14ac:dyDescent="0.25">
      <c r="A177" s="16" t="s">
        <v>5928</v>
      </c>
      <c r="B177" s="17">
        <v>6</v>
      </c>
    </row>
    <row r="178" spans="1:2" x14ac:dyDescent="0.25">
      <c r="A178" s="16" t="s">
        <v>5929</v>
      </c>
      <c r="B178" s="17">
        <v>6</v>
      </c>
    </row>
    <row r="179" spans="1:2" x14ac:dyDescent="0.25">
      <c r="A179" s="16" t="s">
        <v>5930</v>
      </c>
      <c r="B179" s="17">
        <v>6</v>
      </c>
    </row>
    <row r="180" spans="1:2" x14ac:dyDescent="0.25">
      <c r="A180" s="16" t="s">
        <v>5931</v>
      </c>
      <c r="B180" s="17">
        <v>6</v>
      </c>
    </row>
    <row r="181" spans="1:2" x14ac:dyDescent="0.25">
      <c r="A181" s="16" t="s">
        <v>5932</v>
      </c>
      <c r="B181" s="17">
        <v>6</v>
      </c>
    </row>
    <row r="182" spans="1:2" x14ac:dyDescent="0.25">
      <c r="A182" s="16" t="s">
        <v>5933</v>
      </c>
      <c r="B182" s="17">
        <v>6</v>
      </c>
    </row>
    <row r="183" spans="1:2" x14ac:dyDescent="0.25">
      <c r="A183" s="16" t="s">
        <v>5934</v>
      </c>
      <c r="B183" s="17">
        <v>6</v>
      </c>
    </row>
    <row r="184" spans="1:2" x14ac:dyDescent="0.25">
      <c r="A184" s="16" t="s">
        <v>5935</v>
      </c>
      <c r="B184" s="17">
        <v>6</v>
      </c>
    </row>
    <row r="185" spans="1:2" x14ac:dyDescent="0.25">
      <c r="A185" s="16" t="s">
        <v>5936</v>
      </c>
      <c r="B185" s="17">
        <v>6</v>
      </c>
    </row>
    <row r="186" spans="1:2" x14ac:dyDescent="0.25">
      <c r="A186" s="16" t="s">
        <v>5937</v>
      </c>
      <c r="B186" s="17">
        <v>6</v>
      </c>
    </row>
    <row r="187" spans="1:2" x14ac:dyDescent="0.25">
      <c r="A187" s="16" t="s">
        <v>5938</v>
      </c>
      <c r="B187" s="17">
        <v>6</v>
      </c>
    </row>
    <row r="188" spans="1:2" x14ac:dyDescent="0.25">
      <c r="A188" s="16" t="s">
        <v>5939</v>
      </c>
      <c r="B188" s="17">
        <v>6</v>
      </c>
    </row>
    <row r="189" spans="1:2" x14ac:dyDescent="0.25">
      <c r="A189" s="16" t="s">
        <v>5940</v>
      </c>
      <c r="B189" s="17">
        <v>6</v>
      </c>
    </row>
    <row r="190" spans="1:2" x14ac:dyDescent="0.25">
      <c r="A190" s="16" t="s">
        <v>5941</v>
      </c>
      <c r="B190" s="17">
        <v>6</v>
      </c>
    </row>
    <row r="191" spans="1:2" x14ac:dyDescent="0.25">
      <c r="A191" s="16" t="s">
        <v>5942</v>
      </c>
      <c r="B191" s="17">
        <v>6</v>
      </c>
    </row>
    <row r="192" spans="1:2" x14ac:dyDescent="0.25">
      <c r="A192" s="16" t="s">
        <v>5943</v>
      </c>
      <c r="B192" s="17">
        <v>6</v>
      </c>
    </row>
    <row r="193" spans="1:2" x14ac:dyDescent="0.25">
      <c r="A193" s="16" t="s">
        <v>5944</v>
      </c>
      <c r="B193" s="17">
        <v>6</v>
      </c>
    </row>
    <row r="194" spans="1:2" x14ac:dyDescent="0.25">
      <c r="A194" s="16" t="s">
        <v>5945</v>
      </c>
      <c r="B194" s="17">
        <v>6</v>
      </c>
    </row>
    <row r="195" spans="1:2" x14ac:dyDescent="0.25">
      <c r="A195" s="16" t="s">
        <v>5946</v>
      </c>
      <c r="B195" s="17">
        <v>6</v>
      </c>
    </row>
    <row r="196" spans="1:2" x14ac:dyDescent="0.25">
      <c r="A196" s="16" t="s">
        <v>5947</v>
      </c>
      <c r="B196" s="17">
        <v>6</v>
      </c>
    </row>
    <row r="197" spans="1:2" x14ac:dyDescent="0.25">
      <c r="A197" s="16" t="s">
        <v>5948</v>
      </c>
      <c r="B197" s="17">
        <v>6</v>
      </c>
    </row>
    <row r="198" spans="1:2" x14ac:dyDescent="0.25">
      <c r="A198" s="16" t="s">
        <v>5949</v>
      </c>
      <c r="B198" s="17">
        <v>6</v>
      </c>
    </row>
    <row r="199" spans="1:2" x14ac:dyDescent="0.25">
      <c r="A199" s="16" t="s">
        <v>5950</v>
      </c>
      <c r="B199" s="17">
        <v>5</v>
      </c>
    </row>
    <row r="200" spans="1:2" x14ac:dyDescent="0.25">
      <c r="A200" s="16" t="s">
        <v>5951</v>
      </c>
      <c r="B200" s="17">
        <v>5</v>
      </c>
    </row>
    <row r="201" spans="1:2" x14ac:dyDescent="0.25">
      <c r="A201" s="16" t="s">
        <v>5952</v>
      </c>
      <c r="B201" s="17">
        <v>5</v>
      </c>
    </row>
    <row r="202" spans="1:2" x14ac:dyDescent="0.25">
      <c r="A202" s="16" t="s">
        <v>5953</v>
      </c>
      <c r="B202" s="17">
        <v>5</v>
      </c>
    </row>
    <row r="203" spans="1:2" x14ac:dyDescent="0.25">
      <c r="A203" s="16" t="s">
        <v>5954</v>
      </c>
      <c r="B203" s="17">
        <v>5</v>
      </c>
    </row>
    <row r="204" spans="1:2" x14ac:dyDescent="0.25">
      <c r="A204" s="16" t="s">
        <v>5955</v>
      </c>
      <c r="B204" s="17">
        <v>5</v>
      </c>
    </row>
    <row r="205" spans="1:2" x14ac:dyDescent="0.25">
      <c r="A205" s="16" t="s">
        <v>5956</v>
      </c>
      <c r="B205" s="17">
        <v>5</v>
      </c>
    </row>
    <row r="206" spans="1:2" x14ac:dyDescent="0.25">
      <c r="A206" s="16" t="s">
        <v>5957</v>
      </c>
      <c r="B206" s="17">
        <v>5</v>
      </c>
    </row>
    <row r="207" spans="1:2" x14ac:dyDescent="0.25">
      <c r="A207" s="16" t="s">
        <v>5958</v>
      </c>
      <c r="B207" s="17">
        <v>5</v>
      </c>
    </row>
    <row r="208" spans="1:2" x14ac:dyDescent="0.25">
      <c r="A208" s="16" t="s">
        <v>5959</v>
      </c>
      <c r="B208" s="17">
        <v>5</v>
      </c>
    </row>
    <row r="209" spans="1:2" x14ac:dyDescent="0.25">
      <c r="A209" s="16" t="s">
        <v>5960</v>
      </c>
      <c r="B209" s="17">
        <v>5</v>
      </c>
    </row>
    <row r="210" spans="1:2" x14ac:dyDescent="0.25">
      <c r="A210" s="16" t="s">
        <v>5961</v>
      </c>
      <c r="B210" s="17">
        <v>5</v>
      </c>
    </row>
    <row r="211" spans="1:2" x14ac:dyDescent="0.25">
      <c r="A211" s="16" t="s">
        <v>5962</v>
      </c>
      <c r="B211" s="17">
        <v>5</v>
      </c>
    </row>
    <row r="212" spans="1:2" x14ac:dyDescent="0.25">
      <c r="A212" s="16" t="s">
        <v>5963</v>
      </c>
      <c r="B212" s="17">
        <v>5</v>
      </c>
    </row>
    <row r="213" spans="1:2" x14ac:dyDescent="0.25">
      <c r="A213" s="16" t="s">
        <v>5964</v>
      </c>
      <c r="B213" s="17">
        <v>5</v>
      </c>
    </row>
    <row r="214" spans="1:2" x14ac:dyDescent="0.25">
      <c r="A214" s="16" t="s">
        <v>5965</v>
      </c>
      <c r="B214" s="17">
        <v>5</v>
      </c>
    </row>
    <row r="215" spans="1:2" x14ac:dyDescent="0.25">
      <c r="A215" s="16" t="s">
        <v>5966</v>
      </c>
      <c r="B215" s="17">
        <v>5</v>
      </c>
    </row>
    <row r="216" spans="1:2" x14ac:dyDescent="0.25">
      <c r="A216" s="16" t="s">
        <v>5967</v>
      </c>
      <c r="B216" s="17">
        <v>5</v>
      </c>
    </row>
    <row r="217" spans="1:2" x14ac:dyDescent="0.25">
      <c r="A217" s="16" t="s">
        <v>5968</v>
      </c>
      <c r="B217" s="17">
        <v>5</v>
      </c>
    </row>
    <row r="218" spans="1:2" x14ac:dyDescent="0.25">
      <c r="A218" s="16" t="s">
        <v>5969</v>
      </c>
      <c r="B218" s="17">
        <v>5</v>
      </c>
    </row>
    <row r="219" spans="1:2" x14ac:dyDescent="0.25">
      <c r="A219" s="16" t="s">
        <v>5970</v>
      </c>
      <c r="B219" s="17">
        <v>5</v>
      </c>
    </row>
    <row r="220" spans="1:2" x14ac:dyDescent="0.25">
      <c r="A220" s="16" t="s">
        <v>5971</v>
      </c>
      <c r="B220" s="17">
        <v>5</v>
      </c>
    </row>
    <row r="221" spans="1:2" x14ac:dyDescent="0.25">
      <c r="A221" s="16" t="s">
        <v>5972</v>
      </c>
      <c r="B221" s="17">
        <v>5</v>
      </c>
    </row>
    <row r="222" spans="1:2" x14ac:dyDescent="0.25">
      <c r="A222" s="16" t="s">
        <v>5973</v>
      </c>
      <c r="B222" s="17">
        <v>5</v>
      </c>
    </row>
    <row r="223" spans="1:2" x14ac:dyDescent="0.25">
      <c r="A223" s="16" t="s">
        <v>5974</v>
      </c>
      <c r="B223" s="17">
        <v>5</v>
      </c>
    </row>
    <row r="224" spans="1:2" x14ac:dyDescent="0.25">
      <c r="A224" s="16" t="s">
        <v>5975</v>
      </c>
      <c r="B224" s="17">
        <v>5</v>
      </c>
    </row>
    <row r="225" spans="1:2" x14ac:dyDescent="0.25">
      <c r="A225" s="16" t="s">
        <v>5976</v>
      </c>
      <c r="B225" s="17">
        <v>5</v>
      </c>
    </row>
    <row r="226" spans="1:2" x14ac:dyDescent="0.25">
      <c r="A226" s="16" t="s">
        <v>5977</v>
      </c>
      <c r="B226" s="17">
        <v>5</v>
      </c>
    </row>
    <row r="227" spans="1:2" x14ac:dyDescent="0.25">
      <c r="A227" s="16" t="s">
        <v>5978</v>
      </c>
      <c r="B227" s="17">
        <v>5</v>
      </c>
    </row>
    <row r="228" spans="1:2" x14ac:dyDescent="0.25">
      <c r="A228" s="16" t="s">
        <v>5979</v>
      </c>
      <c r="B228" s="17">
        <v>5</v>
      </c>
    </row>
    <row r="229" spans="1:2" x14ac:dyDescent="0.25">
      <c r="A229" s="16" t="s">
        <v>5980</v>
      </c>
      <c r="B229" s="17">
        <v>5</v>
      </c>
    </row>
    <row r="230" spans="1:2" x14ac:dyDescent="0.25">
      <c r="A230" s="16" t="s">
        <v>5981</v>
      </c>
      <c r="B230" s="17">
        <v>5</v>
      </c>
    </row>
    <row r="231" spans="1:2" x14ac:dyDescent="0.25">
      <c r="A231" s="16" t="s">
        <v>5982</v>
      </c>
      <c r="B231" s="17">
        <v>5</v>
      </c>
    </row>
    <row r="232" spans="1:2" x14ac:dyDescent="0.25">
      <c r="A232" s="16" t="s">
        <v>5983</v>
      </c>
      <c r="B232" s="17">
        <v>5</v>
      </c>
    </row>
    <row r="233" spans="1:2" x14ac:dyDescent="0.25">
      <c r="A233" s="16" t="s">
        <v>5984</v>
      </c>
      <c r="B233" s="17">
        <v>5</v>
      </c>
    </row>
    <row r="234" spans="1:2" x14ac:dyDescent="0.25">
      <c r="A234" s="16" t="s">
        <v>5985</v>
      </c>
      <c r="B234" s="17">
        <v>5</v>
      </c>
    </row>
    <row r="235" spans="1:2" x14ac:dyDescent="0.25">
      <c r="A235" s="16" t="s">
        <v>5986</v>
      </c>
      <c r="B235" s="17">
        <v>5</v>
      </c>
    </row>
    <row r="236" spans="1:2" x14ac:dyDescent="0.25">
      <c r="A236" s="16" t="s">
        <v>5987</v>
      </c>
      <c r="B236" s="17">
        <v>5</v>
      </c>
    </row>
    <row r="237" spans="1:2" x14ac:dyDescent="0.25">
      <c r="A237" s="16" t="s">
        <v>5988</v>
      </c>
      <c r="B237" s="17">
        <v>5</v>
      </c>
    </row>
    <row r="238" spans="1:2" x14ac:dyDescent="0.25">
      <c r="A238" s="16" t="s">
        <v>5989</v>
      </c>
      <c r="B238" s="17">
        <v>5</v>
      </c>
    </row>
    <row r="239" spans="1:2" x14ac:dyDescent="0.25">
      <c r="A239" s="16" t="s">
        <v>5990</v>
      </c>
      <c r="B239" s="17">
        <v>5</v>
      </c>
    </row>
    <row r="240" spans="1:2" x14ac:dyDescent="0.25">
      <c r="A240" s="16" t="s">
        <v>5991</v>
      </c>
      <c r="B240" s="17">
        <v>5</v>
      </c>
    </row>
    <row r="241" spans="1:2" x14ac:dyDescent="0.25">
      <c r="A241" s="16" t="s">
        <v>5992</v>
      </c>
      <c r="B241" s="17">
        <v>5</v>
      </c>
    </row>
    <row r="242" spans="1:2" x14ac:dyDescent="0.25">
      <c r="A242" s="16" t="s">
        <v>5993</v>
      </c>
      <c r="B242" s="17">
        <v>5</v>
      </c>
    </row>
    <row r="243" spans="1:2" x14ac:dyDescent="0.25">
      <c r="A243" s="16" t="s">
        <v>5994</v>
      </c>
      <c r="B243" s="17">
        <v>5</v>
      </c>
    </row>
    <row r="244" spans="1:2" x14ac:dyDescent="0.25">
      <c r="A244" s="16" t="s">
        <v>5995</v>
      </c>
      <c r="B244" s="17">
        <v>5</v>
      </c>
    </row>
    <row r="245" spans="1:2" x14ac:dyDescent="0.25">
      <c r="A245" s="16" t="s">
        <v>5996</v>
      </c>
      <c r="B245" s="17">
        <v>4</v>
      </c>
    </row>
    <row r="246" spans="1:2" x14ac:dyDescent="0.25">
      <c r="A246" s="16" t="s">
        <v>5997</v>
      </c>
      <c r="B246" s="17">
        <v>4</v>
      </c>
    </row>
    <row r="247" spans="1:2" x14ac:dyDescent="0.25">
      <c r="A247" s="16" t="s">
        <v>5998</v>
      </c>
      <c r="B247" s="17">
        <v>4</v>
      </c>
    </row>
    <row r="248" spans="1:2" x14ac:dyDescent="0.25">
      <c r="A248" s="16" t="s">
        <v>5999</v>
      </c>
      <c r="B248" s="17">
        <v>4</v>
      </c>
    </row>
    <row r="249" spans="1:2" x14ac:dyDescent="0.25">
      <c r="A249" s="16" t="s">
        <v>6000</v>
      </c>
      <c r="B249" s="17">
        <v>4</v>
      </c>
    </row>
    <row r="250" spans="1:2" x14ac:dyDescent="0.25">
      <c r="A250" s="16" t="s">
        <v>6001</v>
      </c>
      <c r="B250" s="17">
        <v>4</v>
      </c>
    </row>
    <row r="251" spans="1:2" x14ac:dyDescent="0.25">
      <c r="A251" s="16" t="s">
        <v>6002</v>
      </c>
      <c r="B251" s="17">
        <v>4</v>
      </c>
    </row>
    <row r="252" spans="1:2" x14ac:dyDescent="0.25">
      <c r="A252" s="16" t="s">
        <v>6003</v>
      </c>
      <c r="B252" s="17">
        <v>4</v>
      </c>
    </row>
    <row r="253" spans="1:2" x14ac:dyDescent="0.25">
      <c r="A253" s="16" t="s">
        <v>6004</v>
      </c>
      <c r="B253" s="17">
        <v>4</v>
      </c>
    </row>
    <row r="254" spans="1:2" x14ac:dyDescent="0.25">
      <c r="A254" s="16" t="s">
        <v>6005</v>
      </c>
      <c r="B254" s="17">
        <v>4</v>
      </c>
    </row>
    <row r="255" spans="1:2" x14ac:dyDescent="0.25">
      <c r="A255" s="16" t="s">
        <v>6006</v>
      </c>
      <c r="B255" s="17">
        <v>4</v>
      </c>
    </row>
    <row r="256" spans="1:2" x14ac:dyDescent="0.25">
      <c r="A256" s="16" t="s">
        <v>6007</v>
      </c>
      <c r="B256" s="17">
        <v>4</v>
      </c>
    </row>
    <row r="257" spans="1:2" x14ac:dyDescent="0.25">
      <c r="A257" s="16" t="s">
        <v>6008</v>
      </c>
      <c r="B257" s="17">
        <v>4</v>
      </c>
    </row>
    <row r="258" spans="1:2" x14ac:dyDescent="0.25">
      <c r="A258" s="16" t="s">
        <v>6009</v>
      </c>
      <c r="B258" s="17">
        <v>4</v>
      </c>
    </row>
    <row r="259" spans="1:2" x14ac:dyDescent="0.25">
      <c r="A259" s="16" t="s">
        <v>6010</v>
      </c>
      <c r="B259" s="17">
        <v>4</v>
      </c>
    </row>
    <row r="260" spans="1:2" x14ac:dyDescent="0.25">
      <c r="A260" s="16" t="s">
        <v>6011</v>
      </c>
      <c r="B260" s="17">
        <v>4</v>
      </c>
    </row>
    <row r="261" spans="1:2" x14ac:dyDescent="0.25">
      <c r="A261" s="16" t="s">
        <v>6012</v>
      </c>
      <c r="B261" s="17">
        <v>4</v>
      </c>
    </row>
    <row r="262" spans="1:2" x14ac:dyDescent="0.25">
      <c r="A262" s="16" t="s">
        <v>6013</v>
      </c>
      <c r="B262" s="17">
        <v>4</v>
      </c>
    </row>
    <row r="263" spans="1:2" x14ac:dyDescent="0.25">
      <c r="A263" s="16" t="s">
        <v>6014</v>
      </c>
      <c r="B263" s="17">
        <v>4</v>
      </c>
    </row>
    <row r="264" spans="1:2" x14ac:dyDescent="0.25">
      <c r="A264" s="16" t="s">
        <v>6015</v>
      </c>
      <c r="B264" s="17">
        <v>4</v>
      </c>
    </row>
    <row r="265" spans="1:2" x14ac:dyDescent="0.25">
      <c r="A265" s="16" t="s">
        <v>6016</v>
      </c>
      <c r="B265" s="17">
        <v>4</v>
      </c>
    </row>
    <row r="266" spans="1:2" x14ac:dyDescent="0.25">
      <c r="A266" s="16" t="s">
        <v>6017</v>
      </c>
      <c r="B266" s="17">
        <v>4</v>
      </c>
    </row>
    <row r="267" spans="1:2" x14ac:dyDescent="0.25">
      <c r="A267" s="16" t="s">
        <v>6018</v>
      </c>
      <c r="B267" s="17">
        <v>4</v>
      </c>
    </row>
    <row r="268" spans="1:2" x14ac:dyDescent="0.25">
      <c r="A268" s="16" t="s">
        <v>6019</v>
      </c>
      <c r="B268" s="17">
        <v>4</v>
      </c>
    </row>
    <row r="269" spans="1:2" x14ac:dyDescent="0.25">
      <c r="A269" s="16" t="s">
        <v>6020</v>
      </c>
      <c r="B269" s="17">
        <v>4</v>
      </c>
    </row>
    <row r="270" spans="1:2" x14ac:dyDescent="0.25">
      <c r="A270" s="16" t="s">
        <v>6021</v>
      </c>
      <c r="B270" s="17">
        <v>4</v>
      </c>
    </row>
    <row r="271" spans="1:2" x14ac:dyDescent="0.25">
      <c r="A271" s="16" t="s">
        <v>6022</v>
      </c>
      <c r="B271" s="17">
        <v>4</v>
      </c>
    </row>
    <row r="272" spans="1:2" x14ac:dyDescent="0.25">
      <c r="A272" s="16" t="s">
        <v>6023</v>
      </c>
      <c r="B272" s="17">
        <v>4</v>
      </c>
    </row>
    <row r="273" spans="1:2" x14ac:dyDescent="0.25">
      <c r="A273" s="16" t="s">
        <v>6024</v>
      </c>
      <c r="B273" s="17">
        <v>4</v>
      </c>
    </row>
    <row r="274" spans="1:2" x14ac:dyDescent="0.25">
      <c r="A274" s="16" t="s">
        <v>6025</v>
      </c>
      <c r="B274" s="17">
        <v>4</v>
      </c>
    </row>
    <row r="275" spans="1:2" x14ac:dyDescent="0.25">
      <c r="A275" s="16" t="s">
        <v>6026</v>
      </c>
      <c r="B275" s="17">
        <v>4</v>
      </c>
    </row>
    <row r="276" spans="1:2" x14ac:dyDescent="0.25">
      <c r="A276" s="16" t="s">
        <v>6027</v>
      </c>
      <c r="B276" s="17">
        <v>4</v>
      </c>
    </row>
    <row r="277" spans="1:2" x14ac:dyDescent="0.25">
      <c r="A277" s="16" t="s">
        <v>6028</v>
      </c>
      <c r="B277" s="17">
        <v>4</v>
      </c>
    </row>
    <row r="278" spans="1:2" x14ac:dyDescent="0.25">
      <c r="A278" s="16" t="s">
        <v>6029</v>
      </c>
      <c r="B278" s="17">
        <v>4</v>
      </c>
    </row>
    <row r="279" spans="1:2" x14ac:dyDescent="0.25">
      <c r="A279" s="16" t="s">
        <v>6030</v>
      </c>
      <c r="B279" s="17">
        <v>4</v>
      </c>
    </row>
    <row r="280" spans="1:2" x14ac:dyDescent="0.25">
      <c r="A280" s="16" t="s">
        <v>6031</v>
      </c>
      <c r="B280" s="17">
        <v>4</v>
      </c>
    </row>
    <row r="281" spans="1:2" x14ac:dyDescent="0.25">
      <c r="A281" s="16" t="s">
        <v>6032</v>
      </c>
      <c r="B281" s="17">
        <v>4</v>
      </c>
    </row>
    <row r="282" spans="1:2" x14ac:dyDescent="0.25">
      <c r="A282" s="16" t="s">
        <v>6033</v>
      </c>
      <c r="B282" s="17">
        <v>4</v>
      </c>
    </row>
    <row r="283" spans="1:2" x14ac:dyDescent="0.25">
      <c r="A283" s="16" t="s">
        <v>6034</v>
      </c>
      <c r="B283" s="17">
        <v>4</v>
      </c>
    </row>
    <row r="284" spans="1:2" x14ac:dyDescent="0.25">
      <c r="A284" s="16" t="s">
        <v>6035</v>
      </c>
      <c r="B284" s="17">
        <v>4</v>
      </c>
    </row>
    <row r="285" spans="1:2" x14ac:dyDescent="0.25">
      <c r="A285" s="16" t="s">
        <v>6036</v>
      </c>
      <c r="B285" s="17">
        <v>4</v>
      </c>
    </row>
    <row r="286" spans="1:2" x14ac:dyDescent="0.25">
      <c r="A286" s="16" t="s">
        <v>6037</v>
      </c>
      <c r="B286" s="17">
        <v>4</v>
      </c>
    </row>
    <row r="287" spans="1:2" x14ac:dyDescent="0.25">
      <c r="A287" s="16" t="s">
        <v>6038</v>
      </c>
      <c r="B287" s="17">
        <v>4</v>
      </c>
    </row>
    <row r="288" spans="1:2" x14ac:dyDescent="0.25">
      <c r="A288" s="16" t="s">
        <v>6039</v>
      </c>
      <c r="B288" s="17">
        <v>4</v>
      </c>
    </row>
    <row r="289" spans="1:2" x14ac:dyDescent="0.25">
      <c r="A289" s="16" t="s">
        <v>6040</v>
      </c>
      <c r="B289" s="17">
        <v>4</v>
      </c>
    </row>
    <row r="290" spans="1:2" x14ac:dyDescent="0.25">
      <c r="A290" s="16" t="s">
        <v>6041</v>
      </c>
      <c r="B290" s="17">
        <v>4</v>
      </c>
    </row>
    <row r="291" spans="1:2" x14ac:dyDescent="0.25">
      <c r="A291" s="16" t="s">
        <v>6042</v>
      </c>
      <c r="B291" s="17">
        <v>4</v>
      </c>
    </row>
    <row r="292" spans="1:2" x14ac:dyDescent="0.25">
      <c r="A292" s="16" t="s">
        <v>6043</v>
      </c>
      <c r="B292" s="17">
        <v>4</v>
      </c>
    </row>
    <row r="293" spans="1:2" x14ac:dyDescent="0.25">
      <c r="A293" s="16" t="s">
        <v>6044</v>
      </c>
      <c r="B293" s="17">
        <v>4</v>
      </c>
    </row>
    <row r="294" spans="1:2" x14ac:dyDescent="0.25">
      <c r="A294" s="16" t="s">
        <v>6045</v>
      </c>
      <c r="B294" s="17">
        <v>4</v>
      </c>
    </row>
    <row r="295" spans="1:2" x14ac:dyDescent="0.25">
      <c r="A295" s="16" t="s">
        <v>6046</v>
      </c>
      <c r="B295" s="17">
        <v>4</v>
      </c>
    </row>
    <row r="296" spans="1:2" x14ac:dyDescent="0.25">
      <c r="A296" s="16" t="s">
        <v>6047</v>
      </c>
      <c r="B296" s="17">
        <v>4</v>
      </c>
    </row>
    <row r="297" spans="1:2" x14ac:dyDescent="0.25">
      <c r="A297" s="16" t="s">
        <v>6048</v>
      </c>
      <c r="B297" s="17">
        <v>4</v>
      </c>
    </row>
    <row r="298" spans="1:2" x14ac:dyDescent="0.25">
      <c r="A298" s="16" t="s">
        <v>6049</v>
      </c>
      <c r="B298" s="17">
        <v>4</v>
      </c>
    </row>
    <row r="299" spans="1:2" x14ac:dyDescent="0.25">
      <c r="A299" s="16" t="s">
        <v>6050</v>
      </c>
      <c r="B299" s="17">
        <v>4</v>
      </c>
    </row>
    <row r="300" spans="1:2" x14ac:dyDescent="0.25">
      <c r="A300" s="16" t="s">
        <v>6051</v>
      </c>
      <c r="B300" s="17">
        <v>4</v>
      </c>
    </row>
    <row r="301" spans="1:2" x14ac:dyDescent="0.25">
      <c r="A301" s="16" t="s">
        <v>6052</v>
      </c>
      <c r="B301" s="17">
        <v>4</v>
      </c>
    </row>
    <row r="302" spans="1:2" x14ac:dyDescent="0.25">
      <c r="A302" s="16" t="s">
        <v>6053</v>
      </c>
      <c r="B302" s="17">
        <v>4</v>
      </c>
    </row>
    <row r="303" spans="1:2" x14ac:dyDescent="0.25">
      <c r="A303" s="16" t="s">
        <v>6054</v>
      </c>
      <c r="B303" s="17">
        <v>4</v>
      </c>
    </row>
    <row r="304" spans="1:2" x14ac:dyDescent="0.25">
      <c r="A304" s="16" t="s">
        <v>6055</v>
      </c>
      <c r="B304" s="17">
        <v>4</v>
      </c>
    </row>
    <row r="305" spans="1:2" x14ac:dyDescent="0.25">
      <c r="A305" s="16" t="s">
        <v>6056</v>
      </c>
      <c r="B305" s="17">
        <v>4</v>
      </c>
    </row>
    <row r="306" spans="1:2" x14ac:dyDescent="0.25">
      <c r="A306" s="16" t="s">
        <v>6057</v>
      </c>
      <c r="B306" s="17">
        <v>4</v>
      </c>
    </row>
    <row r="307" spans="1:2" x14ac:dyDescent="0.25">
      <c r="A307" s="16" t="s">
        <v>6058</v>
      </c>
      <c r="B307" s="17">
        <v>4</v>
      </c>
    </row>
    <row r="308" spans="1:2" x14ac:dyDescent="0.25">
      <c r="A308" s="16" t="s">
        <v>6059</v>
      </c>
      <c r="B308" s="17">
        <v>4</v>
      </c>
    </row>
    <row r="309" spans="1:2" x14ac:dyDescent="0.25">
      <c r="A309" s="16" t="s">
        <v>6060</v>
      </c>
      <c r="B309" s="17">
        <v>4</v>
      </c>
    </row>
    <row r="310" spans="1:2" x14ac:dyDescent="0.25">
      <c r="A310" s="16" t="s">
        <v>6061</v>
      </c>
      <c r="B310" s="17">
        <v>4</v>
      </c>
    </row>
    <row r="311" spans="1:2" x14ac:dyDescent="0.25">
      <c r="A311" s="16" t="s">
        <v>6062</v>
      </c>
      <c r="B311" s="17">
        <v>4</v>
      </c>
    </row>
    <row r="312" spans="1:2" x14ac:dyDescent="0.25">
      <c r="A312" s="16" t="s">
        <v>6063</v>
      </c>
      <c r="B312" s="17">
        <v>4</v>
      </c>
    </row>
    <row r="313" spans="1:2" x14ac:dyDescent="0.25">
      <c r="A313" s="16" t="s">
        <v>6064</v>
      </c>
      <c r="B313" s="17">
        <v>4</v>
      </c>
    </row>
    <row r="314" spans="1:2" x14ac:dyDescent="0.25">
      <c r="A314" s="16" t="s">
        <v>6065</v>
      </c>
      <c r="B314" s="17">
        <v>4</v>
      </c>
    </row>
    <row r="315" spans="1:2" x14ac:dyDescent="0.25">
      <c r="A315" s="16" t="s">
        <v>6066</v>
      </c>
      <c r="B315" s="17">
        <v>4</v>
      </c>
    </row>
    <row r="316" spans="1:2" x14ac:dyDescent="0.25">
      <c r="A316" s="16" t="s">
        <v>6067</v>
      </c>
      <c r="B316" s="17">
        <v>4</v>
      </c>
    </row>
    <row r="317" spans="1:2" x14ac:dyDescent="0.25">
      <c r="A317" s="16" t="s">
        <v>6068</v>
      </c>
      <c r="B317" s="17">
        <v>4</v>
      </c>
    </row>
    <row r="318" spans="1:2" x14ac:dyDescent="0.25">
      <c r="A318" s="16" t="s">
        <v>6069</v>
      </c>
      <c r="B318" s="17">
        <v>4</v>
      </c>
    </row>
    <row r="319" spans="1:2" x14ac:dyDescent="0.25">
      <c r="A319" s="16" t="s">
        <v>6070</v>
      </c>
      <c r="B319" s="17">
        <v>4</v>
      </c>
    </row>
    <row r="320" spans="1:2" x14ac:dyDescent="0.25">
      <c r="A320" s="16" t="s">
        <v>6071</v>
      </c>
      <c r="B320" s="17">
        <v>4</v>
      </c>
    </row>
    <row r="321" spans="1:2" x14ac:dyDescent="0.25">
      <c r="A321" s="16" t="s">
        <v>6072</v>
      </c>
      <c r="B321" s="17">
        <v>4</v>
      </c>
    </row>
    <row r="322" spans="1:2" x14ac:dyDescent="0.25">
      <c r="A322" s="16" t="s">
        <v>6073</v>
      </c>
      <c r="B322" s="17">
        <v>4</v>
      </c>
    </row>
    <row r="323" spans="1:2" x14ac:dyDescent="0.25">
      <c r="A323" s="16" t="s">
        <v>6074</v>
      </c>
      <c r="B323" s="17">
        <v>3</v>
      </c>
    </row>
    <row r="324" spans="1:2" x14ac:dyDescent="0.25">
      <c r="A324" s="16" t="s">
        <v>6075</v>
      </c>
      <c r="B324" s="17">
        <v>3</v>
      </c>
    </row>
    <row r="325" spans="1:2" x14ac:dyDescent="0.25">
      <c r="A325" s="16" t="s">
        <v>6076</v>
      </c>
      <c r="B325" s="17">
        <v>3</v>
      </c>
    </row>
    <row r="326" spans="1:2" x14ac:dyDescent="0.25">
      <c r="A326" s="16" t="s">
        <v>6077</v>
      </c>
      <c r="B326" s="17">
        <v>3</v>
      </c>
    </row>
    <row r="327" spans="1:2" x14ac:dyDescent="0.25">
      <c r="A327" s="16" t="s">
        <v>6078</v>
      </c>
      <c r="B327" s="17">
        <v>3</v>
      </c>
    </row>
    <row r="328" spans="1:2" x14ac:dyDescent="0.25">
      <c r="A328" s="16" t="s">
        <v>6079</v>
      </c>
      <c r="B328" s="17">
        <v>3</v>
      </c>
    </row>
    <row r="329" spans="1:2" x14ac:dyDescent="0.25">
      <c r="A329" s="16" t="s">
        <v>6080</v>
      </c>
      <c r="B329" s="17">
        <v>3</v>
      </c>
    </row>
    <row r="330" spans="1:2" x14ac:dyDescent="0.25">
      <c r="A330" s="16" t="s">
        <v>6081</v>
      </c>
      <c r="B330" s="17">
        <v>3</v>
      </c>
    </row>
    <row r="331" spans="1:2" x14ac:dyDescent="0.25">
      <c r="A331" s="16" t="s">
        <v>6082</v>
      </c>
      <c r="B331" s="17">
        <v>3</v>
      </c>
    </row>
    <row r="332" spans="1:2" x14ac:dyDescent="0.25">
      <c r="A332" s="16" t="s">
        <v>6083</v>
      </c>
      <c r="B332" s="17">
        <v>3</v>
      </c>
    </row>
    <row r="333" spans="1:2" x14ac:dyDescent="0.25">
      <c r="A333" s="16" t="s">
        <v>6084</v>
      </c>
      <c r="B333" s="17">
        <v>3</v>
      </c>
    </row>
    <row r="334" spans="1:2" x14ac:dyDescent="0.25">
      <c r="A334" s="16" t="s">
        <v>6085</v>
      </c>
      <c r="B334" s="17">
        <v>3</v>
      </c>
    </row>
    <row r="335" spans="1:2" x14ac:dyDescent="0.25">
      <c r="A335" s="16" t="s">
        <v>6086</v>
      </c>
      <c r="B335" s="17">
        <v>3</v>
      </c>
    </row>
    <row r="336" spans="1:2" x14ac:dyDescent="0.25">
      <c r="A336" s="16" t="s">
        <v>6087</v>
      </c>
      <c r="B336" s="17">
        <v>3</v>
      </c>
    </row>
    <row r="337" spans="1:2" x14ac:dyDescent="0.25">
      <c r="A337" s="16" t="s">
        <v>6088</v>
      </c>
      <c r="B337" s="17">
        <v>3</v>
      </c>
    </row>
    <row r="338" spans="1:2" x14ac:dyDescent="0.25">
      <c r="A338" s="16" t="s">
        <v>6089</v>
      </c>
      <c r="B338" s="17">
        <v>3</v>
      </c>
    </row>
    <row r="339" spans="1:2" x14ac:dyDescent="0.25">
      <c r="A339" s="16" t="s">
        <v>6090</v>
      </c>
      <c r="B339" s="17">
        <v>3</v>
      </c>
    </row>
    <row r="340" spans="1:2" x14ac:dyDescent="0.25">
      <c r="A340" s="16" t="s">
        <v>6091</v>
      </c>
      <c r="B340" s="17">
        <v>3</v>
      </c>
    </row>
    <row r="341" spans="1:2" x14ac:dyDescent="0.25">
      <c r="A341" s="16" t="s">
        <v>6092</v>
      </c>
      <c r="B341" s="17">
        <v>3</v>
      </c>
    </row>
    <row r="342" spans="1:2" x14ac:dyDescent="0.25">
      <c r="A342" s="16" t="s">
        <v>6093</v>
      </c>
      <c r="B342" s="17">
        <v>3</v>
      </c>
    </row>
    <row r="343" spans="1:2" x14ac:dyDescent="0.25">
      <c r="A343" s="16" t="s">
        <v>6094</v>
      </c>
      <c r="B343" s="17">
        <v>3</v>
      </c>
    </row>
    <row r="344" spans="1:2" x14ac:dyDescent="0.25">
      <c r="A344" s="16" t="s">
        <v>6095</v>
      </c>
      <c r="B344" s="17">
        <v>3</v>
      </c>
    </row>
    <row r="345" spans="1:2" x14ac:dyDescent="0.25">
      <c r="A345" s="16" t="s">
        <v>6096</v>
      </c>
      <c r="B345" s="17">
        <v>3</v>
      </c>
    </row>
    <row r="346" spans="1:2" x14ac:dyDescent="0.25">
      <c r="A346" s="16" t="s">
        <v>6097</v>
      </c>
      <c r="B346" s="17">
        <v>3</v>
      </c>
    </row>
    <row r="347" spans="1:2" x14ac:dyDescent="0.25">
      <c r="A347" s="16" t="s">
        <v>6098</v>
      </c>
      <c r="B347" s="17">
        <v>3</v>
      </c>
    </row>
    <row r="348" spans="1:2" x14ac:dyDescent="0.25">
      <c r="A348" s="16" t="s">
        <v>6099</v>
      </c>
      <c r="B348" s="17">
        <v>3</v>
      </c>
    </row>
    <row r="349" spans="1:2" x14ac:dyDescent="0.25">
      <c r="A349" s="16" t="s">
        <v>6100</v>
      </c>
      <c r="B349" s="17">
        <v>3</v>
      </c>
    </row>
    <row r="350" spans="1:2" x14ac:dyDescent="0.25">
      <c r="A350" s="16" t="s">
        <v>6101</v>
      </c>
      <c r="B350" s="17">
        <v>3</v>
      </c>
    </row>
    <row r="351" spans="1:2" x14ac:dyDescent="0.25">
      <c r="A351" s="16" t="s">
        <v>6102</v>
      </c>
      <c r="B351" s="17">
        <v>3</v>
      </c>
    </row>
    <row r="352" spans="1:2" x14ac:dyDescent="0.25">
      <c r="A352" s="16" t="s">
        <v>6103</v>
      </c>
      <c r="B352" s="17">
        <v>3</v>
      </c>
    </row>
    <row r="353" spans="1:2" x14ac:dyDescent="0.25">
      <c r="A353" s="16" t="s">
        <v>6104</v>
      </c>
      <c r="B353" s="17">
        <v>3</v>
      </c>
    </row>
    <row r="354" spans="1:2" x14ac:dyDescent="0.25">
      <c r="A354" s="16" t="s">
        <v>6105</v>
      </c>
      <c r="B354" s="17">
        <v>3</v>
      </c>
    </row>
    <row r="355" spans="1:2" x14ac:dyDescent="0.25">
      <c r="A355" s="16" t="s">
        <v>6106</v>
      </c>
      <c r="B355" s="17">
        <v>3</v>
      </c>
    </row>
    <row r="356" spans="1:2" x14ac:dyDescent="0.25">
      <c r="A356" s="16" t="s">
        <v>6107</v>
      </c>
      <c r="B356" s="17">
        <v>3</v>
      </c>
    </row>
    <row r="357" spans="1:2" x14ac:dyDescent="0.25">
      <c r="A357" s="16" t="s">
        <v>6108</v>
      </c>
      <c r="B357" s="17">
        <v>3</v>
      </c>
    </row>
    <row r="358" spans="1:2" x14ac:dyDescent="0.25">
      <c r="A358" s="16" t="s">
        <v>6109</v>
      </c>
      <c r="B358" s="17">
        <v>3</v>
      </c>
    </row>
    <row r="359" spans="1:2" x14ac:dyDescent="0.25">
      <c r="A359" s="16" t="s">
        <v>6110</v>
      </c>
      <c r="B359" s="17">
        <v>3</v>
      </c>
    </row>
    <row r="360" spans="1:2" x14ac:dyDescent="0.25">
      <c r="A360" s="16" t="s">
        <v>6111</v>
      </c>
      <c r="B360" s="17">
        <v>3</v>
      </c>
    </row>
    <row r="361" spans="1:2" x14ac:dyDescent="0.25">
      <c r="A361" s="16" t="s">
        <v>6112</v>
      </c>
      <c r="B361" s="17">
        <v>3</v>
      </c>
    </row>
    <row r="362" spans="1:2" x14ac:dyDescent="0.25">
      <c r="A362" s="16" t="s">
        <v>6113</v>
      </c>
      <c r="B362" s="17">
        <v>3</v>
      </c>
    </row>
    <row r="363" spans="1:2" x14ac:dyDescent="0.25">
      <c r="A363" s="16" t="s">
        <v>6114</v>
      </c>
      <c r="B363" s="17">
        <v>3</v>
      </c>
    </row>
    <row r="364" spans="1:2" x14ac:dyDescent="0.25">
      <c r="A364" s="16" t="s">
        <v>6115</v>
      </c>
      <c r="B364" s="17">
        <v>3</v>
      </c>
    </row>
    <row r="365" spans="1:2" x14ac:dyDescent="0.25">
      <c r="A365" s="16" t="s">
        <v>6116</v>
      </c>
      <c r="B365" s="17">
        <v>3</v>
      </c>
    </row>
    <row r="366" spans="1:2" x14ac:dyDescent="0.25">
      <c r="A366" s="16" t="s">
        <v>6117</v>
      </c>
      <c r="B366" s="17">
        <v>3</v>
      </c>
    </row>
    <row r="367" spans="1:2" x14ac:dyDescent="0.25">
      <c r="A367" s="16" t="s">
        <v>6118</v>
      </c>
      <c r="B367" s="17">
        <v>3</v>
      </c>
    </row>
    <row r="368" spans="1:2" x14ac:dyDescent="0.25">
      <c r="A368" s="16" t="s">
        <v>6119</v>
      </c>
      <c r="B368" s="17">
        <v>3</v>
      </c>
    </row>
    <row r="369" spans="1:2" x14ac:dyDescent="0.25">
      <c r="A369" s="16" t="s">
        <v>6120</v>
      </c>
      <c r="B369" s="17">
        <v>3</v>
      </c>
    </row>
    <row r="370" spans="1:2" x14ac:dyDescent="0.25">
      <c r="A370" s="16" t="s">
        <v>6121</v>
      </c>
      <c r="B370" s="17">
        <v>3</v>
      </c>
    </row>
    <row r="371" spans="1:2" x14ac:dyDescent="0.25">
      <c r="A371" s="16" t="s">
        <v>6122</v>
      </c>
      <c r="B371" s="17">
        <v>3</v>
      </c>
    </row>
    <row r="372" spans="1:2" x14ac:dyDescent="0.25">
      <c r="A372" s="16" t="s">
        <v>6123</v>
      </c>
      <c r="B372" s="17">
        <v>3</v>
      </c>
    </row>
    <row r="373" spans="1:2" x14ac:dyDescent="0.25">
      <c r="A373" s="16" t="s">
        <v>6124</v>
      </c>
      <c r="B373" s="17">
        <v>3</v>
      </c>
    </row>
    <row r="374" spans="1:2" x14ac:dyDescent="0.25">
      <c r="A374" s="16" t="s">
        <v>6125</v>
      </c>
      <c r="B374" s="17">
        <v>3</v>
      </c>
    </row>
    <row r="375" spans="1:2" x14ac:dyDescent="0.25">
      <c r="A375" s="16" t="s">
        <v>6126</v>
      </c>
      <c r="B375" s="17">
        <v>3</v>
      </c>
    </row>
    <row r="376" spans="1:2" x14ac:dyDescent="0.25">
      <c r="A376" s="16" t="s">
        <v>6127</v>
      </c>
      <c r="B376" s="17">
        <v>3</v>
      </c>
    </row>
    <row r="377" spans="1:2" x14ac:dyDescent="0.25">
      <c r="A377" s="16" t="s">
        <v>6128</v>
      </c>
      <c r="B377" s="17">
        <v>3</v>
      </c>
    </row>
    <row r="378" spans="1:2" x14ac:dyDescent="0.25">
      <c r="A378" s="16" t="s">
        <v>6129</v>
      </c>
      <c r="B378" s="17">
        <v>3</v>
      </c>
    </row>
    <row r="379" spans="1:2" x14ac:dyDescent="0.25">
      <c r="A379" s="16" t="s">
        <v>6130</v>
      </c>
      <c r="B379" s="17">
        <v>3</v>
      </c>
    </row>
    <row r="380" spans="1:2" x14ac:dyDescent="0.25">
      <c r="A380" s="16" t="s">
        <v>6131</v>
      </c>
      <c r="B380" s="17">
        <v>3</v>
      </c>
    </row>
    <row r="381" spans="1:2" x14ac:dyDescent="0.25">
      <c r="A381" s="16" t="s">
        <v>6132</v>
      </c>
      <c r="B381" s="17">
        <v>3</v>
      </c>
    </row>
    <row r="382" spans="1:2" x14ac:dyDescent="0.25">
      <c r="A382" s="16" t="s">
        <v>6133</v>
      </c>
      <c r="B382" s="17">
        <v>3</v>
      </c>
    </row>
    <row r="383" spans="1:2" x14ac:dyDescent="0.25">
      <c r="A383" s="16" t="s">
        <v>6134</v>
      </c>
      <c r="B383" s="17">
        <v>3</v>
      </c>
    </row>
    <row r="384" spans="1:2" x14ac:dyDescent="0.25">
      <c r="A384" s="16" t="s">
        <v>6135</v>
      </c>
      <c r="B384" s="17">
        <v>3</v>
      </c>
    </row>
    <row r="385" spans="1:2" x14ac:dyDescent="0.25">
      <c r="A385" s="16" t="s">
        <v>6136</v>
      </c>
      <c r="B385" s="17">
        <v>3</v>
      </c>
    </row>
    <row r="386" spans="1:2" x14ac:dyDescent="0.25">
      <c r="A386" s="16" t="s">
        <v>6137</v>
      </c>
      <c r="B386" s="17">
        <v>3</v>
      </c>
    </row>
    <row r="387" spans="1:2" x14ac:dyDescent="0.25">
      <c r="A387" s="16" t="s">
        <v>6138</v>
      </c>
      <c r="B387" s="17">
        <v>3</v>
      </c>
    </row>
    <row r="388" spans="1:2" x14ac:dyDescent="0.25">
      <c r="A388" s="16" t="s">
        <v>6139</v>
      </c>
      <c r="B388" s="17">
        <v>3</v>
      </c>
    </row>
    <row r="389" spans="1:2" x14ac:dyDescent="0.25">
      <c r="A389" s="16" t="s">
        <v>6140</v>
      </c>
      <c r="B389" s="17">
        <v>3</v>
      </c>
    </row>
    <row r="390" spans="1:2" x14ac:dyDescent="0.25">
      <c r="A390" s="16" t="s">
        <v>6141</v>
      </c>
      <c r="B390" s="17">
        <v>3</v>
      </c>
    </row>
    <row r="391" spans="1:2" x14ac:dyDescent="0.25">
      <c r="A391" s="16" t="s">
        <v>6142</v>
      </c>
      <c r="B391" s="17">
        <v>3</v>
      </c>
    </row>
    <row r="392" spans="1:2" x14ac:dyDescent="0.25">
      <c r="A392" s="16" t="s">
        <v>6143</v>
      </c>
      <c r="B392" s="17">
        <v>3</v>
      </c>
    </row>
    <row r="393" spans="1:2" x14ac:dyDescent="0.25">
      <c r="A393" s="16" t="s">
        <v>6144</v>
      </c>
      <c r="B393" s="17">
        <v>3</v>
      </c>
    </row>
    <row r="394" spans="1:2" x14ac:dyDescent="0.25">
      <c r="A394" s="16" t="s">
        <v>6145</v>
      </c>
      <c r="B394" s="17">
        <v>3</v>
      </c>
    </row>
    <row r="395" spans="1:2" x14ac:dyDescent="0.25">
      <c r="A395" s="16" t="s">
        <v>6146</v>
      </c>
      <c r="B395" s="17">
        <v>3</v>
      </c>
    </row>
    <row r="396" spans="1:2" x14ac:dyDescent="0.25">
      <c r="A396" s="16" t="s">
        <v>6147</v>
      </c>
      <c r="B396" s="17">
        <v>3</v>
      </c>
    </row>
    <row r="397" spans="1:2" x14ac:dyDescent="0.25">
      <c r="A397" s="16" t="s">
        <v>6148</v>
      </c>
      <c r="B397" s="17">
        <v>3</v>
      </c>
    </row>
    <row r="398" spans="1:2" x14ac:dyDescent="0.25">
      <c r="A398" s="16" t="s">
        <v>6149</v>
      </c>
      <c r="B398" s="17">
        <v>3</v>
      </c>
    </row>
    <row r="399" spans="1:2" x14ac:dyDescent="0.25">
      <c r="A399" s="16" t="s">
        <v>6150</v>
      </c>
      <c r="B399" s="17">
        <v>3</v>
      </c>
    </row>
    <row r="400" spans="1:2" x14ac:dyDescent="0.25">
      <c r="A400" s="16" t="s">
        <v>6151</v>
      </c>
      <c r="B400" s="17">
        <v>3</v>
      </c>
    </row>
    <row r="401" spans="1:2" x14ac:dyDescent="0.25">
      <c r="A401" s="16" t="s">
        <v>6152</v>
      </c>
      <c r="B401" s="17">
        <v>3</v>
      </c>
    </row>
    <row r="402" spans="1:2" x14ac:dyDescent="0.25">
      <c r="A402" s="16" t="s">
        <v>6153</v>
      </c>
      <c r="B402" s="17">
        <v>3</v>
      </c>
    </row>
    <row r="403" spans="1:2" x14ac:dyDescent="0.25">
      <c r="A403" s="16" t="s">
        <v>6154</v>
      </c>
      <c r="B403" s="17">
        <v>3</v>
      </c>
    </row>
    <row r="404" spans="1:2" x14ac:dyDescent="0.25">
      <c r="A404" s="16" t="s">
        <v>6155</v>
      </c>
      <c r="B404" s="17">
        <v>3</v>
      </c>
    </row>
    <row r="405" spans="1:2" x14ac:dyDescent="0.25">
      <c r="A405" s="16" t="s">
        <v>6156</v>
      </c>
      <c r="B405" s="17">
        <v>3</v>
      </c>
    </row>
    <row r="406" spans="1:2" x14ac:dyDescent="0.25">
      <c r="A406" s="16" t="s">
        <v>6157</v>
      </c>
      <c r="B406" s="17">
        <v>3</v>
      </c>
    </row>
    <row r="407" spans="1:2" x14ac:dyDescent="0.25">
      <c r="A407" s="16" t="s">
        <v>6158</v>
      </c>
      <c r="B407" s="17">
        <v>3</v>
      </c>
    </row>
    <row r="408" spans="1:2" x14ac:dyDescent="0.25">
      <c r="A408" s="16" t="s">
        <v>6159</v>
      </c>
      <c r="B408" s="17">
        <v>3</v>
      </c>
    </row>
    <row r="409" spans="1:2" x14ac:dyDescent="0.25">
      <c r="A409" s="16" t="s">
        <v>6160</v>
      </c>
      <c r="B409" s="17">
        <v>3</v>
      </c>
    </row>
    <row r="410" spans="1:2" x14ac:dyDescent="0.25">
      <c r="A410" s="16" t="s">
        <v>6161</v>
      </c>
      <c r="B410" s="17">
        <v>3</v>
      </c>
    </row>
    <row r="411" spans="1:2" x14ac:dyDescent="0.25">
      <c r="A411" s="16" t="s">
        <v>6162</v>
      </c>
      <c r="B411" s="17">
        <v>3</v>
      </c>
    </row>
    <row r="412" spans="1:2" x14ac:dyDescent="0.25">
      <c r="A412" s="16" t="s">
        <v>6163</v>
      </c>
      <c r="B412" s="17">
        <v>3</v>
      </c>
    </row>
    <row r="413" spans="1:2" x14ac:dyDescent="0.25">
      <c r="A413" s="16" t="s">
        <v>6164</v>
      </c>
      <c r="B413" s="17">
        <v>3</v>
      </c>
    </row>
    <row r="414" spans="1:2" x14ac:dyDescent="0.25">
      <c r="A414" s="16" t="s">
        <v>6165</v>
      </c>
      <c r="B414" s="17">
        <v>3</v>
      </c>
    </row>
    <row r="415" spans="1:2" x14ac:dyDescent="0.25">
      <c r="A415" s="16" t="s">
        <v>6166</v>
      </c>
      <c r="B415" s="17">
        <v>3</v>
      </c>
    </row>
    <row r="416" spans="1:2" x14ac:dyDescent="0.25">
      <c r="A416" s="16" t="s">
        <v>6167</v>
      </c>
      <c r="B416" s="17">
        <v>3</v>
      </c>
    </row>
    <row r="417" spans="1:2" x14ac:dyDescent="0.25">
      <c r="A417" s="16" t="s">
        <v>6168</v>
      </c>
      <c r="B417" s="17">
        <v>3</v>
      </c>
    </row>
    <row r="418" spans="1:2" x14ac:dyDescent="0.25">
      <c r="A418" s="16" t="s">
        <v>6169</v>
      </c>
      <c r="B418" s="17">
        <v>3</v>
      </c>
    </row>
    <row r="419" spans="1:2" x14ac:dyDescent="0.25">
      <c r="A419" s="16" t="s">
        <v>6170</v>
      </c>
      <c r="B419" s="17">
        <v>3</v>
      </c>
    </row>
    <row r="420" spans="1:2" x14ac:dyDescent="0.25">
      <c r="A420" s="16" t="s">
        <v>6171</v>
      </c>
      <c r="B420" s="17">
        <v>3</v>
      </c>
    </row>
    <row r="421" spans="1:2" x14ac:dyDescent="0.25">
      <c r="A421" s="16" t="s">
        <v>6172</v>
      </c>
      <c r="B421" s="17">
        <v>3</v>
      </c>
    </row>
    <row r="422" spans="1:2" x14ac:dyDescent="0.25">
      <c r="A422" s="16" t="s">
        <v>6173</v>
      </c>
      <c r="B422" s="17">
        <v>3</v>
      </c>
    </row>
    <row r="423" spans="1:2" x14ac:dyDescent="0.25">
      <c r="A423" s="16" t="s">
        <v>6174</v>
      </c>
      <c r="B423" s="17">
        <v>3</v>
      </c>
    </row>
    <row r="424" spans="1:2" x14ac:dyDescent="0.25">
      <c r="A424" s="16" t="s">
        <v>6175</v>
      </c>
      <c r="B424" s="17">
        <v>3</v>
      </c>
    </row>
    <row r="425" spans="1:2" x14ac:dyDescent="0.25">
      <c r="A425" s="16" t="s">
        <v>6176</v>
      </c>
      <c r="B425" s="17">
        <v>3</v>
      </c>
    </row>
    <row r="426" spans="1:2" x14ac:dyDescent="0.25">
      <c r="A426" s="16" t="s">
        <v>6177</v>
      </c>
      <c r="B426" s="17">
        <v>3</v>
      </c>
    </row>
    <row r="427" spans="1:2" x14ac:dyDescent="0.25">
      <c r="A427" s="16" t="s">
        <v>6178</v>
      </c>
      <c r="B427" s="17">
        <v>3</v>
      </c>
    </row>
    <row r="428" spans="1:2" x14ac:dyDescent="0.25">
      <c r="A428" s="16" t="s">
        <v>6179</v>
      </c>
      <c r="B428" s="17">
        <v>3</v>
      </c>
    </row>
    <row r="429" spans="1:2" x14ac:dyDescent="0.25">
      <c r="A429" s="16" t="s">
        <v>6180</v>
      </c>
      <c r="B429" s="17">
        <v>3</v>
      </c>
    </row>
    <row r="430" spans="1:2" x14ac:dyDescent="0.25">
      <c r="A430" s="16" t="s">
        <v>6181</v>
      </c>
      <c r="B430" s="17">
        <v>3</v>
      </c>
    </row>
    <row r="431" spans="1:2" x14ac:dyDescent="0.25">
      <c r="A431" s="16" t="s">
        <v>6182</v>
      </c>
      <c r="B431" s="17">
        <v>3</v>
      </c>
    </row>
    <row r="432" spans="1:2" x14ac:dyDescent="0.25">
      <c r="A432" s="16" t="s">
        <v>6183</v>
      </c>
      <c r="B432" s="17">
        <v>3</v>
      </c>
    </row>
    <row r="433" spans="1:2" x14ac:dyDescent="0.25">
      <c r="A433" s="16" t="s">
        <v>6184</v>
      </c>
      <c r="B433" s="17">
        <v>3</v>
      </c>
    </row>
    <row r="434" spans="1:2" x14ac:dyDescent="0.25">
      <c r="A434" s="16" t="s">
        <v>6185</v>
      </c>
      <c r="B434" s="17">
        <v>3</v>
      </c>
    </row>
    <row r="435" spans="1:2" x14ac:dyDescent="0.25">
      <c r="A435" s="16" t="s">
        <v>6186</v>
      </c>
      <c r="B435" s="17">
        <v>3</v>
      </c>
    </row>
    <row r="436" spans="1:2" x14ac:dyDescent="0.25">
      <c r="A436" s="16" t="s">
        <v>6187</v>
      </c>
      <c r="B436" s="17">
        <v>3</v>
      </c>
    </row>
    <row r="437" spans="1:2" x14ac:dyDescent="0.25">
      <c r="A437" s="16" t="s">
        <v>6188</v>
      </c>
      <c r="B437" s="17">
        <v>3</v>
      </c>
    </row>
    <row r="438" spans="1:2" x14ac:dyDescent="0.25">
      <c r="A438" s="16" t="s">
        <v>6189</v>
      </c>
      <c r="B438" s="17">
        <v>3</v>
      </c>
    </row>
    <row r="439" spans="1:2" x14ac:dyDescent="0.25">
      <c r="A439" s="16" t="s">
        <v>6190</v>
      </c>
      <c r="B439" s="17">
        <v>3</v>
      </c>
    </row>
    <row r="440" spans="1:2" x14ac:dyDescent="0.25">
      <c r="A440" s="16" t="s">
        <v>6191</v>
      </c>
      <c r="B440" s="17">
        <v>2</v>
      </c>
    </row>
    <row r="441" spans="1:2" x14ac:dyDescent="0.25">
      <c r="A441" s="16" t="s">
        <v>6192</v>
      </c>
      <c r="B441" s="17">
        <v>2</v>
      </c>
    </row>
    <row r="442" spans="1:2" x14ac:dyDescent="0.25">
      <c r="A442" s="16" t="s">
        <v>6193</v>
      </c>
      <c r="B442" s="17">
        <v>2</v>
      </c>
    </row>
    <row r="443" spans="1:2" x14ac:dyDescent="0.25">
      <c r="A443" s="16" t="s">
        <v>6194</v>
      </c>
      <c r="B443" s="17">
        <v>2</v>
      </c>
    </row>
    <row r="444" spans="1:2" x14ac:dyDescent="0.25">
      <c r="A444" s="16" t="s">
        <v>6195</v>
      </c>
      <c r="B444" s="17">
        <v>2</v>
      </c>
    </row>
    <row r="445" spans="1:2" x14ac:dyDescent="0.25">
      <c r="A445" s="16" t="s">
        <v>6196</v>
      </c>
      <c r="B445" s="17">
        <v>2</v>
      </c>
    </row>
    <row r="446" spans="1:2" x14ac:dyDescent="0.25">
      <c r="A446" s="16" t="s">
        <v>6197</v>
      </c>
      <c r="B446" s="17">
        <v>2</v>
      </c>
    </row>
    <row r="447" spans="1:2" x14ac:dyDescent="0.25">
      <c r="A447" s="16" t="s">
        <v>6198</v>
      </c>
      <c r="B447" s="17">
        <v>2</v>
      </c>
    </row>
    <row r="448" spans="1:2" x14ac:dyDescent="0.25">
      <c r="A448" s="16" t="s">
        <v>6199</v>
      </c>
      <c r="B448" s="17">
        <v>2</v>
      </c>
    </row>
    <row r="449" spans="1:2" x14ac:dyDescent="0.25">
      <c r="A449" s="16" t="s">
        <v>6200</v>
      </c>
      <c r="B449" s="17">
        <v>2</v>
      </c>
    </row>
    <row r="450" spans="1:2" x14ac:dyDescent="0.25">
      <c r="A450" s="16" t="s">
        <v>6201</v>
      </c>
      <c r="B450" s="17">
        <v>2</v>
      </c>
    </row>
    <row r="451" spans="1:2" x14ac:dyDescent="0.25">
      <c r="A451" s="16" t="s">
        <v>6202</v>
      </c>
      <c r="B451" s="17">
        <v>2</v>
      </c>
    </row>
    <row r="452" spans="1:2" x14ac:dyDescent="0.25">
      <c r="A452" s="16" t="s">
        <v>6203</v>
      </c>
      <c r="B452" s="17">
        <v>2</v>
      </c>
    </row>
    <row r="453" spans="1:2" x14ac:dyDescent="0.25">
      <c r="A453" s="16" t="s">
        <v>6204</v>
      </c>
      <c r="B453" s="17">
        <v>2</v>
      </c>
    </row>
    <row r="454" spans="1:2" x14ac:dyDescent="0.25">
      <c r="A454" s="16" t="s">
        <v>6205</v>
      </c>
      <c r="B454" s="17">
        <v>2</v>
      </c>
    </row>
    <row r="455" spans="1:2" x14ac:dyDescent="0.25">
      <c r="A455" s="16" t="s">
        <v>6206</v>
      </c>
      <c r="B455" s="17">
        <v>2</v>
      </c>
    </row>
    <row r="456" spans="1:2" x14ac:dyDescent="0.25">
      <c r="A456" s="16" t="s">
        <v>6207</v>
      </c>
      <c r="B456" s="17">
        <v>2</v>
      </c>
    </row>
    <row r="457" spans="1:2" x14ac:dyDescent="0.25">
      <c r="A457" s="16" t="s">
        <v>6208</v>
      </c>
      <c r="B457" s="17">
        <v>2</v>
      </c>
    </row>
    <row r="458" spans="1:2" x14ac:dyDescent="0.25">
      <c r="A458" s="16" t="s">
        <v>6209</v>
      </c>
      <c r="B458" s="17">
        <v>2</v>
      </c>
    </row>
    <row r="459" spans="1:2" x14ac:dyDescent="0.25">
      <c r="A459" s="16" t="s">
        <v>6210</v>
      </c>
      <c r="B459" s="17">
        <v>2</v>
      </c>
    </row>
    <row r="460" spans="1:2" x14ac:dyDescent="0.25">
      <c r="A460" s="16" t="s">
        <v>6211</v>
      </c>
      <c r="B460" s="17">
        <v>2</v>
      </c>
    </row>
    <row r="461" spans="1:2" x14ac:dyDescent="0.25">
      <c r="A461" s="16" t="s">
        <v>6212</v>
      </c>
      <c r="B461" s="17">
        <v>2</v>
      </c>
    </row>
    <row r="462" spans="1:2" x14ac:dyDescent="0.25">
      <c r="A462" s="16" t="s">
        <v>6213</v>
      </c>
      <c r="B462" s="17">
        <v>2</v>
      </c>
    </row>
    <row r="463" spans="1:2" x14ac:dyDescent="0.25">
      <c r="A463" s="16" t="s">
        <v>6214</v>
      </c>
      <c r="B463" s="17">
        <v>2</v>
      </c>
    </row>
    <row r="464" spans="1:2" x14ac:dyDescent="0.25">
      <c r="A464" s="16" t="s">
        <v>6215</v>
      </c>
      <c r="B464" s="17">
        <v>2</v>
      </c>
    </row>
    <row r="465" spans="1:2" x14ac:dyDescent="0.25">
      <c r="A465" s="16" t="s">
        <v>6216</v>
      </c>
      <c r="B465" s="17">
        <v>2</v>
      </c>
    </row>
    <row r="466" spans="1:2" x14ac:dyDescent="0.25">
      <c r="A466" s="16" t="s">
        <v>6217</v>
      </c>
      <c r="B466" s="17">
        <v>2</v>
      </c>
    </row>
    <row r="467" spans="1:2" x14ac:dyDescent="0.25">
      <c r="A467" s="16" t="s">
        <v>6218</v>
      </c>
      <c r="B467" s="17">
        <v>2</v>
      </c>
    </row>
    <row r="468" spans="1:2" x14ac:dyDescent="0.25">
      <c r="A468" s="16" t="s">
        <v>6219</v>
      </c>
      <c r="B468" s="17">
        <v>2</v>
      </c>
    </row>
    <row r="469" spans="1:2" x14ac:dyDescent="0.25">
      <c r="A469" s="16" t="s">
        <v>6220</v>
      </c>
      <c r="B469" s="17">
        <v>2</v>
      </c>
    </row>
    <row r="470" spans="1:2" x14ac:dyDescent="0.25">
      <c r="A470" s="16" t="s">
        <v>6221</v>
      </c>
      <c r="B470" s="17">
        <v>2</v>
      </c>
    </row>
    <row r="471" spans="1:2" x14ac:dyDescent="0.25">
      <c r="A471" s="16" t="s">
        <v>6222</v>
      </c>
      <c r="B471" s="17">
        <v>2</v>
      </c>
    </row>
    <row r="472" spans="1:2" x14ac:dyDescent="0.25">
      <c r="A472" s="16" t="s">
        <v>6223</v>
      </c>
      <c r="B472" s="17">
        <v>2</v>
      </c>
    </row>
    <row r="473" spans="1:2" x14ac:dyDescent="0.25">
      <c r="A473" s="16" t="s">
        <v>6224</v>
      </c>
      <c r="B473" s="17">
        <v>2</v>
      </c>
    </row>
    <row r="474" spans="1:2" x14ac:dyDescent="0.25">
      <c r="A474" s="16" t="s">
        <v>6225</v>
      </c>
      <c r="B474" s="17">
        <v>2</v>
      </c>
    </row>
    <row r="475" spans="1:2" x14ac:dyDescent="0.25">
      <c r="A475" s="16" t="s">
        <v>6226</v>
      </c>
      <c r="B475" s="17">
        <v>2</v>
      </c>
    </row>
    <row r="476" spans="1:2" x14ac:dyDescent="0.25">
      <c r="A476" s="16" t="s">
        <v>6227</v>
      </c>
      <c r="B476" s="17">
        <v>2</v>
      </c>
    </row>
    <row r="477" spans="1:2" x14ac:dyDescent="0.25">
      <c r="A477" s="16" t="s">
        <v>6228</v>
      </c>
      <c r="B477" s="17">
        <v>2</v>
      </c>
    </row>
    <row r="478" spans="1:2" x14ac:dyDescent="0.25">
      <c r="A478" s="16" t="s">
        <v>6229</v>
      </c>
      <c r="B478" s="17">
        <v>2</v>
      </c>
    </row>
    <row r="479" spans="1:2" x14ac:dyDescent="0.25">
      <c r="A479" s="16" t="s">
        <v>6230</v>
      </c>
      <c r="B479" s="17">
        <v>2</v>
      </c>
    </row>
    <row r="480" spans="1:2" x14ac:dyDescent="0.25">
      <c r="A480" s="16" t="s">
        <v>6231</v>
      </c>
      <c r="B480" s="17">
        <v>2</v>
      </c>
    </row>
    <row r="481" spans="1:2" x14ac:dyDescent="0.25">
      <c r="A481" s="16" t="s">
        <v>6232</v>
      </c>
      <c r="B481" s="17">
        <v>2</v>
      </c>
    </row>
    <row r="482" spans="1:2" x14ac:dyDescent="0.25">
      <c r="A482" s="16" t="s">
        <v>6233</v>
      </c>
      <c r="B482" s="17">
        <v>2</v>
      </c>
    </row>
    <row r="483" spans="1:2" x14ac:dyDescent="0.25">
      <c r="A483" s="16" t="s">
        <v>6234</v>
      </c>
      <c r="B483" s="17">
        <v>2</v>
      </c>
    </row>
    <row r="484" spans="1:2" x14ac:dyDescent="0.25">
      <c r="A484" s="16" t="s">
        <v>6235</v>
      </c>
      <c r="B484" s="17">
        <v>2</v>
      </c>
    </row>
    <row r="485" spans="1:2" x14ac:dyDescent="0.25">
      <c r="A485" s="16" t="s">
        <v>6236</v>
      </c>
      <c r="B485" s="17">
        <v>2</v>
      </c>
    </row>
    <row r="486" spans="1:2" x14ac:dyDescent="0.25">
      <c r="A486" s="16" t="s">
        <v>6237</v>
      </c>
      <c r="B486" s="17">
        <v>2</v>
      </c>
    </row>
    <row r="487" spans="1:2" x14ac:dyDescent="0.25">
      <c r="A487" s="16" t="s">
        <v>6238</v>
      </c>
      <c r="B487" s="17">
        <v>2</v>
      </c>
    </row>
    <row r="488" spans="1:2" x14ac:dyDescent="0.25">
      <c r="A488" s="16" t="s">
        <v>6239</v>
      </c>
      <c r="B488" s="17">
        <v>2</v>
      </c>
    </row>
    <row r="489" spans="1:2" x14ac:dyDescent="0.25">
      <c r="A489" s="16" t="s">
        <v>6240</v>
      </c>
      <c r="B489" s="17">
        <v>2</v>
      </c>
    </row>
    <row r="490" spans="1:2" x14ac:dyDescent="0.25">
      <c r="A490" s="16" t="s">
        <v>6241</v>
      </c>
      <c r="B490" s="17">
        <v>2</v>
      </c>
    </row>
    <row r="491" spans="1:2" x14ac:dyDescent="0.25">
      <c r="A491" s="16" t="s">
        <v>6242</v>
      </c>
      <c r="B491" s="17">
        <v>2</v>
      </c>
    </row>
    <row r="492" spans="1:2" x14ac:dyDescent="0.25">
      <c r="A492" s="16" t="s">
        <v>6243</v>
      </c>
      <c r="B492" s="17">
        <v>2</v>
      </c>
    </row>
    <row r="493" spans="1:2" x14ac:dyDescent="0.25">
      <c r="A493" s="16" t="s">
        <v>6244</v>
      </c>
      <c r="B493" s="17">
        <v>2</v>
      </c>
    </row>
    <row r="494" spans="1:2" x14ac:dyDescent="0.25">
      <c r="A494" s="16" t="s">
        <v>6245</v>
      </c>
      <c r="B494" s="17">
        <v>2</v>
      </c>
    </row>
    <row r="495" spans="1:2" x14ac:dyDescent="0.25">
      <c r="A495" s="16" t="s">
        <v>6246</v>
      </c>
      <c r="B495" s="17">
        <v>2</v>
      </c>
    </row>
    <row r="496" spans="1:2" x14ac:dyDescent="0.25">
      <c r="A496" s="16" t="s">
        <v>6247</v>
      </c>
      <c r="B496" s="17">
        <v>2</v>
      </c>
    </row>
    <row r="497" spans="1:2" x14ac:dyDescent="0.25">
      <c r="A497" s="16" t="s">
        <v>6248</v>
      </c>
      <c r="B497" s="17">
        <v>2</v>
      </c>
    </row>
    <row r="498" spans="1:2" x14ac:dyDescent="0.25">
      <c r="A498" s="16" t="s">
        <v>6249</v>
      </c>
      <c r="B498" s="17">
        <v>2</v>
      </c>
    </row>
    <row r="499" spans="1:2" x14ac:dyDescent="0.25">
      <c r="A499" s="16" t="s">
        <v>6250</v>
      </c>
      <c r="B499" s="17">
        <v>2</v>
      </c>
    </row>
    <row r="500" spans="1:2" x14ac:dyDescent="0.25">
      <c r="A500" s="16" t="s">
        <v>6251</v>
      </c>
      <c r="B500" s="17">
        <v>2</v>
      </c>
    </row>
    <row r="501" spans="1:2" x14ac:dyDescent="0.25">
      <c r="A501" s="16" t="s">
        <v>6252</v>
      </c>
      <c r="B501" s="17">
        <v>2</v>
      </c>
    </row>
    <row r="502" spans="1:2" x14ac:dyDescent="0.25">
      <c r="A502" s="16" t="s">
        <v>6253</v>
      </c>
      <c r="B502" s="17">
        <v>2</v>
      </c>
    </row>
    <row r="503" spans="1:2" x14ac:dyDescent="0.25">
      <c r="A503" s="16" t="s">
        <v>6254</v>
      </c>
      <c r="B503" s="17">
        <v>2</v>
      </c>
    </row>
    <row r="504" spans="1:2" x14ac:dyDescent="0.25">
      <c r="A504" s="16" t="s">
        <v>6255</v>
      </c>
      <c r="B504" s="17">
        <v>2</v>
      </c>
    </row>
    <row r="505" spans="1:2" x14ac:dyDescent="0.25">
      <c r="A505" s="16" t="s">
        <v>6256</v>
      </c>
      <c r="B505" s="17">
        <v>2</v>
      </c>
    </row>
    <row r="506" spans="1:2" x14ac:dyDescent="0.25">
      <c r="A506" s="16" t="s">
        <v>6257</v>
      </c>
      <c r="B506" s="17">
        <v>2</v>
      </c>
    </row>
    <row r="507" spans="1:2" x14ac:dyDescent="0.25">
      <c r="A507" s="16" t="s">
        <v>6258</v>
      </c>
      <c r="B507" s="17">
        <v>2</v>
      </c>
    </row>
    <row r="508" spans="1:2" x14ac:dyDescent="0.25">
      <c r="A508" s="16" t="s">
        <v>6259</v>
      </c>
      <c r="B508" s="17">
        <v>2</v>
      </c>
    </row>
    <row r="509" spans="1:2" x14ac:dyDescent="0.25">
      <c r="A509" s="16" t="s">
        <v>6260</v>
      </c>
      <c r="B509" s="17">
        <v>2</v>
      </c>
    </row>
    <row r="510" spans="1:2" x14ac:dyDescent="0.25">
      <c r="A510" s="16" t="s">
        <v>6261</v>
      </c>
      <c r="B510" s="17">
        <v>2</v>
      </c>
    </row>
    <row r="511" spans="1:2" x14ac:dyDescent="0.25">
      <c r="A511" s="16" t="s">
        <v>6262</v>
      </c>
      <c r="B511" s="17">
        <v>2</v>
      </c>
    </row>
    <row r="512" spans="1:2" x14ac:dyDescent="0.25">
      <c r="A512" s="16" t="s">
        <v>6263</v>
      </c>
      <c r="B512" s="17">
        <v>2</v>
      </c>
    </row>
    <row r="513" spans="1:2" x14ac:dyDescent="0.25">
      <c r="A513" s="16" t="s">
        <v>6264</v>
      </c>
      <c r="B513" s="17">
        <v>2</v>
      </c>
    </row>
    <row r="514" spans="1:2" x14ac:dyDescent="0.25">
      <c r="A514" s="16" t="s">
        <v>6265</v>
      </c>
      <c r="B514" s="17">
        <v>2</v>
      </c>
    </row>
    <row r="515" spans="1:2" x14ac:dyDescent="0.25">
      <c r="A515" s="16" t="s">
        <v>6266</v>
      </c>
      <c r="B515" s="17">
        <v>2</v>
      </c>
    </row>
    <row r="516" spans="1:2" x14ac:dyDescent="0.25">
      <c r="A516" s="16" t="s">
        <v>6267</v>
      </c>
      <c r="B516" s="17">
        <v>2</v>
      </c>
    </row>
    <row r="517" spans="1:2" x14ac:dyDescent="0.25">
      <c r="A517" s="16" t="s">
        <v>6268</v>
      </c>
      <c r="B517" s="17">
        <v>2</v>
      </c>
    </row>
    <row r="518" spans="1:2" x14ac:dyDescent="0.25">
      <c r="A518" s="16" t="s">
        <v>6269</v>
      </c>
      <c r="B518" s="17">
        <v>2</v>
      </c>
    </row>
    <row r="519" spans="1:2" x14ac:dyDescent="0.25">
      <c r="A519" s="16" t="s">
        <v>6270</v>
      </c>
      <c r="B519" s="17">
        <v>2</v>
      </c>
    </row>
    <row r="520" spans="1:2" x14ac:dyDescent="0.25">
      <c r="A520" s="16" t="s">
        <v>6271</v>
      </c>
      <c r="B520" s="17">
        <v>2</v>
      </c>
    </row>
    <row r="521" spans="1:2" x14ac:dyDescent="0.25">
      <c r="A521" s="16" t="s">
        <v>6272</v>
      </c>
      <c r="B521" s="17">
        <v>2</v>
      </c>
    </row>
    <row r="522" spans="1:2" x14ac:dyDescent="0.25">
      <c r="A522" s="16" t="s">
        <v>6273</v>
      </c>
      <c r="B522" s="17">
        <v>2</v>
      </c>
    </row>
    <row r="523" spans="1:2" x14ac:dyDescent="0.25">
      <c r="A523" s="16" t="s">
        <v>6274</v>
      </c>
      <c r="B523" s="17">
        <v>2</v>
      </c>
    </row>
    <row r="524" spans="1:2" x14ac:dyDescent="0.25">
      <c r="A524" s="16" t="s">
        <v>6275</v>
      </c>
      <c r="B524" s="17">
        <v>2</v>
      </c>
    </row>
    <row r="525" spans="1:2" x14ac:dyDescent="0.25">
      <c r="A525" s="16" t="s">
        <v>6276</v>
      </c>
      <c r="B525" s="17">
        <v>2</v>
      </c>
    </row>
    <row r="526" spans="1:2" x14ac:dyDescent="0.25">
      <c r="A526" s="16" t="s">
        <v>6277</v>
      </c>
      <c r="B526" s="17">
        <v>2</v>
      </c>
    </row>
    <row r="527" spans="1:2" x14ac:dyDescent="0.25">
      <c r="A527" s="16" t="s">
        <v>6278</v>
      </c>
      <c r="B527" s="17">
        <v>2</v>
      </c>
    </row>
    <row r="528" spans="1:2" x14ac:dyDescent="0.25">
      <c r="A528" s="16" t="s">
        <v>6279</v>
      </c>
      <c r="B528" s="17">
        <v>2</v>
      </c>
    </row>
    <row r="529" spans="1:2" x14ac:dyDescent="0.25">
      <c r="A529" s="16" t="s">
        <v>6280</v>
      </c>
      <c r="B529" s="17">
        <v>2</v>
      </c>
    </row>
    <row r="530" spans="1:2" x14ac:dyDescent="0.25">
      <c r="A530" s="16" t="s">
        <v>6281</v>
      </c>
      <c r="B530" s="17">
        <v>2</v>
      </c>
    </row>
    <row r="531" spans="1:2" x14ac:dyDescent="0.25">
      <c r="A531" s="16" t="s">
        <v>6282</v>
      </c>
      <c r="B531" s="17">
        <v>2</v>
      </c>
    </row>
    <row r="532" spans="1:2" x14ac:dyDescent="0.25">
      <c r="A532" s="16" t="s">
        <v>6283</v>
      </c>
      <c r="B532" s="17">
        <v>2</v>
      </c>
    </row>
    <row r="533" spans="1:2" x14ac:dyDescent="0.25">
      <c r="A533" s="16" t="s">
        <v>6284</v>
      </c>
      <c r="B533" s="17">
        <v>2</v>
      </c>
    </row>
    <row r="534" spans="1:2" x14ac:dyDescent="0.25">
      <c r="A534" s="16" t="s">
        <v>6285</v>
      </c>
      <c r="B534" s="17">
        <v>2</v>
      </c>
    </row>
    <row r="535" spans="1:2" x14ac:dyDescent="0.25">
      <c r="A535" s="16" t="s">
        <v>6286</v>
      </c>
      <c r="B535" s="17">
        <v>2</v>
      </c>
    </row>
    <row r="536" spans="1:2" x14ac:dyDescent="0.25">
      <c r="A536" s="16" t="s">
        <v>6287</v>
      </c>
      <c r="B536" s="17">
        <v>2</v>
      </c>
    </row>
    <row r="537" spans="1:2" x14ac:dyDescent="0.25">
      <c r="A537" s="16" t="s">
        <v>6288</v>
      </c>
      <c r="B537" s="17">
        <v>2</v>
      </c>
    </row>
    <row r="538" spans="1:2" x14ac:dyDescent="0.25">
      <c r="A538" s="16" t="s">
        <v>6289</v>
      </c>
      <c r="B538" s="17">
        <v>2</v>
      </c>
    </row>
    <row r="539" spans="1:2" x14ac:dyDescent="0.25">
      <c r="A539" s="16" t="s">
        <v>6290</v>
      </c>
      <c r="B539" s="17">
        <v>2</v>
      </c>
    </row>
    <row r="540" spans="1:2" x14ac:dyDescent="0.25">
      <c r="A540" s="16" t="s">
        <v>6291</v>
      </c>
      <c r="B540" s="17">
        <v>2</v>
      </c>
    </row>
    <row r="541" spans="1:2" x14ac:dyDescent="0.25">
      <c r="A541" s="16" t="s">
        <v>6292</v>
      </c>
      <c r="B541" s="17">
        <v>2</v>
      </c>
    </row>
    <row r="542" spans="1:2" x14ac:dyDescent="0.25">
      <c r="A542" s="16" t="s">
        <v>6293</v>
      </c>
      <c r="B542" s="17">
        <v>2</v>
      </c>
    </row>
    <row r="543" spans="1:2" x14ac:dyDescent="0.25">
      <c r="A543" s="16" t="s">
        <v>6294</v>
      </c>
      <c r="B543" s="17">
        <v>2</v>
      </c>
    </row>
    <row r="544" spans="1:2" x14ac:dyDescent="0.25">
      <c r="A544" s="16" t="s">
        <v>6295</v>
      </c>
      <c r="B544" s="17">
        <v>2</v>
      </c>
    </row>
    <row r="545" spans="1:2" x14ac:dyDescent="0.25">
      <c r="A545" s="16" t="s">
        <v>6296</v>
      </c>
      <c r="B545" s="17">
        <v>2</v>
      </c>
    </row>
    <row r="546" spans="1:2" x14ac:dyDescent="0.25">
      <c r="A546" s="16" t="s">
        <v>6297</v>
      </c>
      <c r="B546" s="17">
        <v>2</v>
      </c>
    </row>
    <row r="547" spans="1:2" x14ac:dyDescent="0.25">
      <c r="A547" s="16" t="s">
        <v>6298</v>
      </c>
      <c r="B547" s="17">
        <v>2</v>
      </c>
    </row>
    <row r="548" spans="1:2" x14ac:dyDescent="0.25">
      <c r="A548" s="16" t="s">
        <v>6299</v>
      </c>
      <c r="B548" s="17">
        <v>2</v>
      </c>
    </row>
    <row r="549" spans="1:2" x14ac:dyDescent="0.25">
      <c r="A549" s="16" t="s">
        <v>6300</v>
      </c>
      <c r="B549" s="17">
        <v>2</v>
      </c>
    </row>
    <row r="550" spans="1:2" x14ac:dyDescent="0.25">
      <c r="A550" s="16" t="s">
        <v>6301</v>
      </c>
      <c r="B550" s="17">
        <v>2</v>
      </c>
    </row>
    <row r="551" spans="1:2" x14ac:dyDescent="0.25">
      <c r="A551" s="16" t="s">
        <v>6302</v>
      </c>
      <c r="B551" s="17">
        <v>2</v>
      </c>
    </row>
    <row r="552" spans="1:2" x14ac:dyDescent="0.25">
      <c r="A552" s="16" t="s">
        <v>6303</v>
      </c>
      <c r="B552" s="17">
        <v>2</v>
      </c>
    </row>
    <row r="553" spans="1:2" x14ac:dyDescent="0.25">
      <c r="A553" s="16" t="s">
        <v>6304</v>
      </c>
      <c r="B553" s="17">
        <v>2</v>
      </c>
    </row>
    <row r="554" spans="1:2" x14ac:dyDescent="0.25">
      <c r="A554" s="16" t="s">
        <v>6305</v>
      </c>
      <c r="B554" s="17">
        <v>2</v>
      </c>
    </row>
    <row r="555" spans="1:2" x14ac:dyDescent="0.25">
      <c r="A555" s="16" t="s">
        <v>6306</v>
      </c>
      <c r="B555" s="17">
        <v>2</v>
      </c>
    </row>
    <row r="556" spans="1:2" x14ac:dyDescent="0.25">
      <c r="A556" s="16" t="s">
        <v>6307</v>
      </c>
      <c r="B556" s="17">
        <v>2</v>
      </c>
    </row>
    <row r="557" spans="1:2" x14ac:dyDescent="0.25">
      <c r="A557" s="16" t="s">
        <v>6308</v>
      </c>
      <c r="B557" s="17">
        <v>2</v>
      </c>
    </row>
    <row r="558" spans="1:2" x14ac:dyDescent="0.25">
      <c r="A558" s="16" t="s">
        <v>6309</v>
      </c>
      <c r="B558" s="17">
        <v>2</v>
      </c>
    </row>
    <row r="559" spans="1:2" x14ac:dyDescent="0.25">
      <c r="A559" s="16" t="s">
        <v>6310</v>
      </c>
      <c r="B559" s="17">
        <v>2</v>
      </c>
    </row>
    <row r="560" spans="1:2" x14ac:dyDescent="0.25">
      <c r="A560" s="16" t="s">
        <v>6311</v>
      </c>
      <c r="B560" s="17">
        <v>2</v>
      </c>
    </row>
    <row r="561" spans="1:2" x14ac:dyDescent="0.25">
      <c r="A561" s="16" t="s">
        <v>6312</v>
      </c>
      <c r="B561" s="17">
        <v>2</v>
      </c>
    </row>
    <row r="562" spans="1:2" x14ac:dyDescent="0.25">
      <c r="A562" s="16" t="s">
        <v>6313</v>
      </c>
      <c r="B562" s="17">
        <v>2</v>
      </c>
    </row>
    <row r="563" spans="1:2" x14ac:dyDescent="0.25">
      <c r="A563" s="16" t="s">
        <v>6314</v>
      </c>
      <c r="B563" s="17">
        <v>2</v>
      </c>
    </row>
    <row r="564" spans="1:2" x14ac:dyDescent="0.25">
      <c r="A564" s="16" t="s">
        <v>6315</v>
      </c>
      <c r="B564" s="17">
        <v>2</v>
      </c>
    </row>
    <row r="565" spans="1:2" x14ac:dyDescent="0.25">
      <c r="A565" s="16" t="s">
        <v>6316</v>
      </c>
      <c r="B565" s="17">
        <v>2</v>
      </c>
    </row>
    <row r="566" spans="1:2" x14ac:dyDescent="0.25">
      <c r="A566" s="16" t="s">
        <v>6317</v>
      </c>
      <c r="B566" s="17">
        <v>2</v>
      </c>
    </row>
    <row r="567" spans="1:2" x14ac:dyDescent="0.25">
      <c r="A567" s="16" t="s">
        <v>6318</v>
      </c>
      <c r="B567" s="17">
        <v>2</v>
      </c>
    </row>
    <row r="568" spans="1:2" x14ac:dyDescent="0.25">
      <c r="A568" s="16" t="s">
        <v>6319</v>
      </c>
      <c r="B568" s="17">
        <v>2</v>
      </c>
    </row>
    <row r="569" spans="1:2" x14ac:dyDescent="0.25">
      <c r="A569" s="16" t="s">
        <v>6320</v>
      </c>
      <c r="B569" s="17">
        <v>2</v>
      </c>
    </row>
    <row r="570" spans="1:2" x14ac:dyDescent="0.25">
      <c r="A570" s="16" t="s">
        <v>6321</v>
      </c>
      <c r="B570" s="17">
        <v>2</v>
      </c>
    </row>
    <row r="571" spans="1:2" x14ac:dyDescent="0.25">
      <c r="A571" s="16" t="s">
        <v>6322</v>
      </c>
      <c r="B571" s="17">
        <v>2</v>
      </c>
    </row>
    <row r="572" spans="1:2" x14ac:dyDescent="0.25">
      <c r="A572" s="16" t="s">
        <v>6323</v>
      </c>
      <c r="B572" s="17">
        <v>2</v>
      </c>
    </row>
    <row r="573" spans="1:2" x14ac:dyDescent="0.25">
      <c r="A573" s="16" t="s">
        <v>6324</v>
      </c>
      <c r="B573" s="17">
        <v>2</v>
      </c>
    </row>
    <row r="574" spans="1:2" x14ac:dyDescent="0.25">
      <c r="A574" s="16" t="s">
        <v>6325</v>
      </c>
      <c r="B574" s="17">
        <v>2</v>
      </c>
    </row>
    <row r="575" spans="1:2" x14ac:dyDescent="0.25">
      <c r="A575" s="16" t="s">
        <v>6326</v>
      </c>
      <c r="B575" s="17">
        <v>2</v>
      </c>
    </row>
    <row r="576" spans="1:2" x14ac:dyDescent="0.25">
      <c r="A576" s="16" t="s">
        <v>6327</v>
      </c>
      <c r="B576" s="17">
        <v>2</v>
      </c>
    </row>
    <row r="577" spans="1:2" x14ac:dyDescent="0.25">
      <c r="A577" s="16" t="s">
        <v>6328</v>
      </c>
      <c r="B577" s="17">
        <v>2</v>
      </c>
    </row>
    <row r="578" spans="1:2" x14ac:dyDescent="0.25">
      <c r="A578" s="16" t="s">
        <v>6329</v>
      </c>
      <c r="B578" s="17">
        <v>2</v>
      </c>
    </row>
    <row r="579" spans="1:2" x14ac:dyDescent="0.25">
      <c r="A579" s="16" t="s">
        <v>6330</v>
      </c>
      <c r="B579" s="17">
        <v>2</v>
      </c>
    </row>
    <row r="580" spans="1:2" x14ac:dyDescent="0.25">
      <c r="A580" s="16" t="s">
        <v>6331</v>
      </c>
      <c r="B580" s="17">
        <v>2</v>
      </c>
    </row>
    <row r="581" spans="1:2" x14ac:dyDescent="0.25">
      <c r="A581" s="16" t="s">
        <v>6332</v>
      </c>
      <c r="B581" s="17">
        <v>2</v>
      </c>
    </row>
    <row r="582" spans="1:2" x14ac:dyDescent="0.25">
      <c r="A582" s="16" t="s">
        <v>6333</v>
      </c>
      <c r="B582" s="17">
        <v>2</v>
      </c>
    </row>
    <row r="583" spans="1:2" x14ac:dyDescent="0.25">
      <c r="A583" s="16" t="s">
        <v>6334</v>
      </c>
      <c r="B583" s="17">
        <v>2</v>
      </c>
    </row>
    <row r="584" spans="1:2" x14ac:dyDescent="0.25">
      <c r="A584" s="16" t="s">
        <v>6335</v>
      </c>
      <c r="B584" s="17">
        <v>2</v>
      </c>
    </row>
    <row r="585" spans="1:2" x14ac:dyDescent="0.25">
      <c r="A585" s="16" t="s">
        <v>6336</v>
      </c>
      <c r="B585" s="17">
        <v>2</v>
      </c>
    </row>
    <row r="586" spans="1:2" x14ac:dyDescent="0.25">
      <c r="A586" s="16" t="s">
        <v>6337</v>
      </c>
      <c r="B586" s="17">
        <v>2</v>
      </c>
    </row>
    <row r="587" spans="1:2" x14ac:dyDescent="0.25">
      <c r="A587" s="16" t="s">
        <v>6338</v>
      </c>
      <c r="B587" s="17">
        <v>2</v>
      </c>
    </row>
    <row r="588" spans="1:2" x14ac:dyDescent="0.25">
      <c r="A588" s="16" t="s">
        <v>6339</v>
      </c>
      <c r="B588" s="17">
        <v>2</v>
      </c>
    </row>
    <row r="589" spans="1:2" x14ac:dyDescent="0.25">
      <c r="A589" s="16" t="s">
        <v>6340</v>
      </c>
      <c r="B589" s="17">
        <v>2</v>
      </c>
    </row>
    <row r="590" spans="1:2" x14ac:dyDescent="0.25">
      <c r="A590" s="16" t="s">
        <v>6341</v>
      </c>
      <c r="B590" s="17">
        <v>2</v>
      </c>
    </row>
    <row r="591" spans="1:2" x14ac:dyDescent="0.25">
      <c r="A591" s="16" t="s">
        <v>6342</v>
      </c>
      <c r="B591" s="17">
        <v>2</v>
      </c>
    </row>
    <row r="592" spans="1:2" x14ac:dyDescent="0.25">
      <c r="A592" s="16" t="s">
        <v>6343</v>
      </c>
      <c r="B592" s="17">
        <v>2</v>
      </c>
    </row>
    <row r="593" spans="1:2" x14ac:dyDescent="0.25">
      <c r="A593" s="16" t="s">
        <v>6344</v>
      </c>
      <c r="B593" s="17">
        <v>2</v>
      </c>
    </row>
    <row r="594" spans="1:2" x14ac:dyDescent="0.25">
      <c r="A594" s="16" t="s">
        <v>6345</v>
      </c>
      <c r="B594" s="17">
        <v>2</v>
      </c>
    </row>
    <row r="595" spans="1:2" x14ac:dyDescent="0.25">
      <c r="A595" s="16" t="s">
        <v>6346</v>
      </c>
      <c r="B595" s="17">
        <v>2</v>
      </c>
    </row>
    <row r="596" spans="1:2" x14ac:dyDescent="0.25">
      <c r="A596" s="16" t="s">
        <v>6347</v>
      </c>
      <c r="B596" s="17">
        <v>2</v>
      </c>
    </row>
    <row r="597" spans="1:2" x14ac:dyDescent="0.25">
      <c r="A597" s="16" t="s">
        <v>6348</v>
      </c>
      <c r="B597" s="17">
        <v>2</v>
      </c>
    </row>
    <row r="598" spans="1:2" x14ac:dyDescent="0.25">
      <c r="A598" s="16" t="s">
        <v>6349</v>
      </c>
      <c r="B598" s="17">
        <v>2</v>
      </c>
    </row>
    <row r="599" spans="1:2" x14ac:dyDescent="0.25">
      <c r="A599" s="16" t="s">
        <v>6350</v>
      </c>
      <c r="B599" s="17">
        <v>2</v>
      </c>
    </row>
    <row r="600" spans="1:2" x14ac:dyDescent="0.25">
      <c r="A600" s="16" t="s">
        <v>6351</v>
      </c>
      <c r="B600" s="17">
        <v>2</v>
      </c>
    </row>
    <row r="601" spans="1:2" x14ac:dyDescent="0.25">
      <c r="A601" s="16" t="s">
        <v>6352</v>
      </c>
      <c r="B601" s="17">
        <v>2</v>
      </c>
    </row>
    <row r="602" spans="1:2" x14ac:dyDescent="0.25">
      <c r="A602" s="16" t="s">
        <v>6353</v>
      </c>
      <c r="B602" s="17">
        <v>2</v>
      </c>
    </row>
    <row r="603" spans="1:2" x14ac:dyDescent="0.25">
      <c r="A603" s="16" t="s">
        <v>6354</v>
      </c>
      <c r="B603" s="17">
        <v>2</v>
      </c>
    </row>
    <row r="604" spans="1:2" x14ac:dyDescent="0.25">
      <c r="A604" s="16" t="s">
        <v>6355</v>
      </c>
      <c r="B604" s="17">
        <v>2</v>
      </c>
    </row>
    <row r="605" spans="1:2" x14ac:dyDescent="0.25">
      <c r="A605" s="16" t="s">
        <v>6356</v>
      </c>
      <c r="B605" s="17">
        <v>2</v>
      </c>
    </row>
    <row r="606" spans="1:2" x14ac:dyDescent="0.25">
      <c r="A606" s="16" t="s">
        <v>6357</v>
      </c>
      <c r="B606" s="17">
        <v>2</v>
      </c>
    </row>
    <row r="607" spans="1:2" x14ac:dyDescent="0.25">
      <c r="A607" s="16" t="s">
        <v>6358</v>
      </c>
      <c r="B607" s="17">
        <v>2</v>
      </c>
    </row>
    <row r="608" spans="1:2" x14ac:dyDescent="0.25">
      <c r="A608" s="16" t="s">
        <v>6359</v>
      </c>
      <c r="B608" s="17">
        <v>2</v>
      </c>
    </row>
    <row r="609" spans="1:2" x14ac:dyDescent="0.25">
      <c r="A609" s="16" t="s">
        <v>6360</v>
      </c>
      <c r="B609" s="17">
        <v>2</v>
      </c>
    </row>
    <row r="610" spans="1:2" x14ac:dyDescent="0.25">
      <c r="A610" s="16" t="s">
        <v>6361</v>
      </c>
      <c r="B610" s="17">
        <v>2</v>
      </c>
    </row>
    <row r="611" spans="1:2" x14ac:dyDescent="0.25">
      <c r="A611" s="16" t="s">
        <v>6362</v>
      </c>
      <c r="B611" s="17">
        <v>2</v>
      </c>
    </row>
    <row r="612" spans="1:2" x14ac:dyDescent="0.25">
      <c r="A612" s="16" t="s">
        <v>6363</v>
      </c>
      <c r="B612" s="17">
        <v>2</v>
      </c>
    </row>
    <row r="613" spans="1:2" x14ac:dyDescent="0.25">
      <c r="A613" s="16" t="s">
        <v>6364</v>
      </c>
      <c r="B613" s="17">
        <v>2</v>
      </c>
    </row>
    <row r="614" spans="1:2" x14ac:dyDescent="0.25">
      <c r="A614" s="16" t="s">
        <v>6365</v>
      </c>
      <c r="B614" s="17">
        <v>2</v>
      </c>
    </row>
    <row r="615" spans="1:2" x14ac:dyDescent="0.25">
      <c r="A615" s="16" t="s">
        <v>6366</v>
      </c>
      <c r="B615" s="17">
        <v>2</v>
      </c>
    </row>
    <row r="616" spans="1:2" x14ac:dyDescent="0.25">
      <c r="A616" s="16" t="s">
        <v>6367</v>
      </c>
      <c r="B616" s="17">
        <v>2</v>
      </c>
    </row>
    <row r="617" spans="1:2" x14ac:dyDescent="0.25">
      <c r="A617" s="16" t="s">
        <v>6368</v>
      </c>
      <c r="B617" s="17">
        <v>2</v>
      </c>
    </row>
    <row r="618" spans="1:2" x14ac:dyDescent="0.25">
      <c r="A618" s="16" t="s">
        <v>6369</v>
      </c>
      <c r="B618" s="17">
        <v>2</v>
      </c>
    </row>
    <row r="619" spans="1:2" x14ac:dyDescent="0.25">
      <c r="A619" s="16" t="s">
        <v>6370</v>
      </c>
      <c r="B619" s="17">
        <v>2</v>
      </c>
    </row>
    <row r="620" spans="1:2" x14ac:dyDescent="0.25">
      <c r="A620" s="16" t="s">
        <v>6371</v>
      </c>
      <c r="B620" s="17">
        <v>2</v>
      </c>
    </row>
    <row r="621" spans="1:2" x14ac:dyDescent="0.25">
      <c r="A621" s="16" t="s">
        <v>6372</v>
      </c>
      <c r="B621" s="17">
        <v>2</v>
      </c>
    </row>
    <row r="622" spans="1:2" x14ac:dyDescent="0.25">
      <c r="A622" s="16" t="s">
        <v>6373</v>
      </c>
      <c r="B622" s="17">
        <v>2</v>
      </c>
    </row>
    <row r="623" spans="1:2" x14ac:dyDescent="0.25">
      <c r="A623" s="16" t="s">
        <v>6374</v>
      </c>
      <c r="B623" s="17">
        <v>2</v>
      </c>
    </row>
    <row r="624" spans="1:2" x14ac:dyDescent="0.25">
      <c r="A624" s="16" t="s">
        <v>6375</v>
      </c>
      <c r="B624" s="17">
        <v>2</v>
      </c>
    </row>
    <row r="625" spans="1:2" x14ac:dyDescent="0.25">
      <c r="A625" s="16" t="s">
        <v>6376</v>
      </c>
      <c r="B625" s="17">
        <v>2</v>
      </c>
    </row>
    <row r="626" spans="1:2" x14ac:dyDescent="0.25">
      <c r="A626" s="16" t="s">
        <v>6377</v>
      </c>
      <c r="B626" s="17">
        <v>2</v>
      </c>
    </row>
    <row r="627" spans="1:2" x14ac:dyDescent="0.25">
      <c r="A627" s="16" t="s">
        <v>6378</v>
      </c>
      <c r="B627" s="17">
        <v>2</v>
      </c>
    </row>
    <row r="628" spans="1:2" x14ac:dyDescent="0.25">
      <c r="A628" s="16" t="s">
        <v>6379</v>
      </c>
      <c r="B628" s="17">
        <v>2</v>
      </c>
    </row>
    <row r="629" spans="1:2" x14ac:dyDescent="0.25">
      <c r="A629" s="16" t="s">
        <v>6380</v>
      </c>
      <c r="B629" s="17">
        <v>2</v>
      </c>
    </row>
    <row r="630" spans="1:2" x14ac:dyDescent="0.25">
      <c r="A630" s="16" t="s">
        <v>6381</v>
      </c>
      <c r="B630" s="17">
        <v>2</v>
      </c>
    </row>
    <row r="631" spans="1:2" x14ac:dyDescent="0.25">
      <c r="A631" s="16" t="s">
        <v>6382</v>
      </c>
      <c r="B631" s="17">
        <v>2</v>
      </c>
    </row>
    <row r="632" spans="1:2" x14ac:dyDescent="0.25">
      <c r="A632" s="16" t="s">
        <v>6383</v>
      </c>
      <c r="B632" s="17">
        <v>2</v>
      </c>
    </row>
    <row r="633" spans="1:2" x14ac:dyDescent="0.25">
      <c r="A633" s="16" t="s">
        <v>6384</v>
      </c>
      <c r="B633" s="17">
        <v>2</v>
      </c>
    </row>
    <row r="634" spans="1:2" x14ac:dyDescent="0.25">
      <c r="A634" s="16" t="s">
        <v>6385</v>
      </c>
      <c r="B634" s="17">
        <v>2</v>
      </c>
    </row>
    <row r="635" spans="1:2" x14ac:dyDescent="0.25">
      <c r="A635" s="16" t="s">
        <v>6386</v>
      </c>
      <c r="B635" s="17">
        <v>2</v>
      </c>
    </row>
    <row r="636" spans="1:2" x14ac:dyDescent="0.25">
      <c r="A636" s="16" t="s">
        <v>6387</v>
      </c>
      <c r="B636" s="17">
        <v>1</v>
      </c>
    </row>
    <row r="637" spans="1:2" x14ac:dyDescent="0.25">
      <c r="A637" s="16" t="s">
        <v>6388</v>
      </c>
      <c r="B637" s="17">
        <v>1</v>
      </c>
    </row>
    <row r="638" spans="1:2" x14ac:dyDescent="0.25">
      <c r="A638" s="16" t="s">
        <v>6389</v>
      </c>
      <c r="B638" s="17">
        <v>1</v>
      </c>
    </row>
    <row r="639" spans="1:2" x14ac:dyDescent="0.25">
      <c r="A639" s="16" t="s">
        <v>6390</v>
      </c>
      <c r="B639" s="17">
        <v>1</v>
      </c>
    </row>
    <row r="640" spans="1:2" x14ac:dyDescent="0.25">
      <c r="A640" s="16" t="s">
        <v>6391</v>
      </c>
      <c r="B640" s="17">
        <v>1</v>
      </c>
    </row>
    <row r="641" spans="1:2" x14ac:dyDescent="0.25">
      <c r="A641" s="16" t="s">
        <v>6392</v>
      </c>
      <c r="B641" s="17">
        <v>1</v>
      </c>
    </row>
    <row r="642" spans="1:2" x14ac:dyDescent="0.25">
      <c r="A642" s="16" t="s">
        <v>6393</v>
      </c>
      <c r="B642" s="17">
        <v>1</v>
      </c>
    </row>
    <row r="643" spans="1:2" x14ac:dyDescent="0.25">
      <c r="A643" s="16" t="s">
        <v>6394</v>
      </c>
      <c r="B643" s="17">
        <v>1</v>
      </c>
    </row>
    <row r="644" spans="1:2" x14ac:dyDescent="0.25">
      <c r="A644" s="16" t="s">
        <v>6395</v>
      </c>
      <c r="B644" s="17">
        <v>1</v>
      </c>
    </row>
    <row r="645" spans="1:2" x14ac:dyDescent="0.25">
      <c r="A645" s="16" t="s">
        <v>6396</v>
      </c>
      <c r="B645" s="17">
        <v>1</v>
      </c>
    </row>
    <row r="646" spans="1:2" x14ac:dyDescent="0.25">
      <c r="A646" s="16" t="s">
        <v>6397</v>
      </c>
      <c r="B646" s="17">
        <v>1</v>
      </c>
    </row>
    <row r="647" spans="1:2" x14ac:dyDescent="0.25">
      <c r="A647" s="16" t="s">
        <v>6398</v>
      </c>
      <c r="B647" s="17">
        <v>1</v>
      </c>
    </row>
    <row r="648" spans="1:2" x14ac:dyDescent="0.25">
      <c r="A648" s="16" t="s">
        <v>6399</v>
      </c>
      <c r="B648" s="17">
        <v>1</v>
      </c>
    </row>
    <row r="649" spans="1:2" x14ac:dyDescent="0.25">
      <c r="A649" s="16" t="s">
        <v>6400</v>
      </c>
      <c r="B649" s="17">
        <v>1</v>
      </c>
    </row>
    <row r="650" spans="1:2" x14ac:dyDescent="0.25">
      <c r="A650" s="16" t="s">
        <v>6401</v>
      </c>
      <c r="B650" s="17">
        <v>1</v>
      </c>
    </row>
    <row r="651" spans="1:2" x14ac:dyDescent="0.25">
      <c r="A651" s="16" t="s">
        <v>6402</v>
      </c>
      <c r="B651" s="17">
        <v>1</v>
      </c>
    </row>
    <row r="652" spans="1:2" x14ac:dyDescent="0.25">
      <c r="A652" s="16" t="s">
        <v>6403</v>
      </c>
      <c r="B652" s="17">
        <v>1</v>
      </c>
    </row>
    <row r="653" spans="1:2" x14ac:dyDescent="0.25">
      <c r="A653" s="16" t="s">
        <v>6404</v>
      </c>
      <c r="B653" s="17">
        <v>1</v>
      </c>
    </row>
    <row r="654" spans="1:2" x14ac:dyDescent="0.25">
      <c r="A654" s="16" t="s">
        <v>6405</v>
      </c>
      <c r="B654" s="17">
        <v>1</v>
      </c>
    </row>
    <row r="655" spans="1:2" x14ac:dyDescent="0.25">
      <c r="A655" s="16" t="s">
        <v>6406</v>
      </c>
      <c r="B655" s="17">
        <v>1</v>
      </c>
    </row>
    <row r="656" spans="1:2" x14ac:dyDescent="0.25">
      <c r="A656" s="16" t="s">
        <v>6407</v>
      </c>
      <c r="B656" s="17">
        <v>1</v>
      </c>
    </row>
    <row r="657" spans="1:2" x14ac:dyDescent="0.25">
      <c r="A657" s="16" t="s">
        <v>6408</v>
      </c>
      <c r="B657" s="17">
        <v>1</v>
      </c>
    </row>
    <row r="658" spans="1:2" x14ac:dyDescent="0.25">
      <c r="A658" s="16" t="s">
        <v>6409</v>
      </c>
      <c r="B658" s="17">
        <v>1</v>
      </c>
    </row>
    <row r="659" spans="1:2" x14ac:dyDescent="0.25">
      <c r="A659" s="16" t="s">
        <v>6410</v>
      </c>
      <c r="B659" s="17">
        <v>1</v>
      </c>
    </row>
    <row r="660" spans="1:2" x14ac:dyDescent="0.25">
      <c r="A660" s="16" t="s">
        <v>6411</v>
      </c>
      <c r="B660" s="17">
        <v>1</v>
      </c>
    </row>
    <row r="661" spans="1:2" x14ac:dyDescent="0.25">
      <c r="A661" s="16" t="s">
        <v>6412</v>
      </c>
      <c r="B661" s="17">
        <v>1</v>
      </c>
    </row>
    <row r="662" spans="1:2" x14ac:dyDescent="0.25">
      <c r="A662" s="16" t="s">
        <v>6413</v>
      </c>
      <c r="B662" s="17">
        <v>1</v>
      </c>
    </row>
    <row r="663" spans="1:2" x14ac:dyDescent="0.25">
      <c r="A663" s="16" t="s">
        <v>6414</v>
      </c>
      <c r="B663" s="17">
        <v>1</v>
      </c>
    </row>
    <row r="664" spans="1:2" x14ac:dyDescent="0.25">
      <c r="A664" s="16" t="s">
        <v>6415</v>
      </c>
      <c r="B664" s="17">
        <v>1</v>
      </c>
    </row>
    <row r="665" spans="1:2" x14ac:dyDescent="0.25">
      <c r="A665" s="16" t="s">
        <v>6416</v>
      </c>
      <c r="B665" s="17">
        <v>1</v>
      </c>
    </row>
    <row r="666" spans="1:2" x14ac:dyDescent="0.25">
      <c r="A666" s="16" t="s">
        <v>6417</v>
      </c>
      <c r="B666" s="17">
        <v>1</v>
      </c>
    </row>
    <row r="667" spans="1:2" x14ac:dyDescent="0.25">
      <c r="A667" s="16" t="s">
        <v>6418</v>
      </c>
      <c r="B667" s="17">
        <v>1</v>
      </c>
    </row>
    <row r="668" spans="1:2" x14ac:dyDescent="0.25">
      <c r="A668" s="16" t="s">
        <v>6419</v>
      </c>
      <c r="B668" s="17">
        <v>1</v>
      </c>
    </row>
    <row r="669" spans="1:2" x14ac:dyDescent="0.25">
      <c r="A669" s="16" t="s">
        <v>6420</v>
      </c>
      <c r="B669" s="17">
        <v>1</v>
      </c>
    </row>
    <row r="670" spans="1:2" x14ac:dyDescent="0.25">
      <c r="A670" s="16" t="s">
        <v>6421</v>
      </c>
      <c r="B670" s="17">
        <v>1</v>
      </c>
    </row>
    <row r="671" spans="1:2" x14ac:dyDescent="0.25">
      <c r="A671" s="16" t="s">
        <v>6422</v>
      </c>
      <c r="B671" s="17">
        <v>1</v>
      </c>
    </row>
    <row r="672" spans="1:2" x14ac:dyDescent="0.25">
      <c r="A672" s="16" t="s">
        <v>6423</v>
      </c>
      <c r="B672" s="17">
        <v>1</v>
      </c>
    </row>
    <row r="673" spans="1:2" x14ac:dyDescent="0.25">
      <c r="A673" s="16" t="s">
        <v>6424</v>
      </c>
      <c r="B673" s="17">
        <v>1</v>
      </c>
    </row>
    <row r="674" spans="1:2" x14ac:dyDescent="0.25">
      <c r="A674" s="16" t="s">
        <v>6425</v>
      </c>
      <c r="B674" s="17">
        <v>1</v>
      </c>
    </row>
    <row r="675" spans="1:2" x14ac:dyDescent="0.25">
      <c r="A675" s="16" t="s">
        <v>6426</v>
      </c>
      <c r="B675" s="17">
        <v>1</v>
      </c>
    </row>
    <row r="676" spans="1:2" x14ac:dyDescent="0.25">
      <c r="A676" s="16" t="s">
        <v>6427</v>
      </c>
      <c r="B676" s="17">
        <v>1</v>
      </c>
    </row>
    <row r="677" spans="1:2" x14ac:dyDescent="0.25">
      <c r="A677" s="16" t="s">
        <v>6428</v>
      </c>
      <c r="B677" s="17">
        <v>1</v>
      </c>
    </row>
    <row r="678" spans="1:2" x14ac:dyDescent="0.25">
      <c r="A678" s="16" t="s">
        <v>6429</v>
      </c>
      <c r="B678" s="17">
        <v>1</v>
      </c>
    </row>
    <row r="679" spans="1:2" x14ac:dyDescent="0.25">
      <c r="A679" s="16" t="s">
        <v>6430</v>
      </c>
      <c r="B679" s="17">
        <v>1</v>
      </c>
    </row>
    <row r="680" spans="1:2" x14ac:dyDescent="0.25">
      <c r="A680" s="16" t="s">
        <v>6431</v>
      </c>
      <c r="B680" s="17">
        <v>1</v>
      </c>
    </row>
    <row r="681" spans="1:2" x14ac:dyDescent="0.25">
      <c r="A681" s="16" t="s">
        <v>6432</v>
      </c>
      <c r="B681" s="17">
        <v>1</v>
      </c>
    </row>
    <row r="682" spans="1:2" x14ac:dyDescent="0.25">
      <c r="A682" s="16" t="s">
        <v>6433</v>
      </c>
      <c r="B682" s="17">
        <v>1</v>
      </c>
    </row>
    <row r="683" spans="1:2" x14ac:dyDescent="0.25">
      <c r="A683" s="16" t="s">
        <v>6434</v>
      </c>
      <c r="B683" s="17">
        <v>1</v>
      </c>
    </row>
    <row r="684" spans="1:2" x14ac:dyDescent="0.25">
      <c r="A684" s="16" t="s">
        <v>6435</v>
      </c>
      <c r="B684" s="17">
        <v>1</v>
      </c>
    </row>
    <row r="685" spans="1:2" x14ac:dyDescent="0.25">
      <c r="A685" s="16" t="s">
        <v>6436</v>
      </c>
      <c r="B685" s="17">
        <v>1</v>
      </c>
    </row>
    <row r="686" spans="1:2" x14ac:dyDescent="0.25">
      <c r="A686" s="16" t="s">
        <v>6437</v>
      </c>
      <c r="B686" s="17">
        <v>1</v>
      </c>
    </row>
    <row r="687" spans="1:2" x14ac:dyDescent="0.25">
      <c r="A687" s="16" t="s">
        <v>6438</v>
      </c>
      <c r="B687" s="17">
        <v>1</v>
      </c>
    </row>
    <row r="688" spans="1:2" x14ac:dyDescent="0.25">
      <c r="A688" s="16" t="s">
        <v>6439</v>
      </c>
      <c r="B688" s="17">
        <v>1</v>
      </c>
    </row>
    <row r="689" spans="1:2" x14ac:dyDescent="0.25">
      <c r="A689" s="16" t="s">
        <v>6440</v>
      </c>
      <c r="B689" s="17">
        <v>1</v>
      </c>
    </row>
    <row r="690" spans="1:2" x14ac:dyDescent="0.25">
      <c r="A690" s="16" t="s">
        <v>6441</v>
      </c>
      <c r="B690" s="17">
        <v>1</v>
      </c>
    </row>
    <row r="691" spans="1:2" x14ac:dyDescent="0.25">
      <c r="A691" s="16" t="s">
        <v>6442</v>
      </c>
      <c r="B691" s="17">
        <v>1</v>
      </c>
    </row>
    <row r="692" spans="1:2" x14ac:dyDescent="0.25">
      <c r="A692" s="16" t="s">
        <v>6443</v>
      </c>
      <c r="B692" s="17">
        <v>1</v>
      </c>
    </row>
    <row r="693" spans="1:2" x14ac:dyDescent="0.25">
      <c r="A693" s="16" t="s">
        <v>6444</v>
      </c>
      <c r="B693" s="17">
        <v>1</v>
      </c>
    </row>
    <row r="694" spans="1:2" x14ac:dyDescent="0.25">
      <c r="A694" s="16" t="s">
        <v>6445</v>
      </c>
      <c r="B694" s="17">
        <v>1</v>
      </c>
    </row>
    <row r="695" spans="1:2" x14ac:dyDescent="0.25">
      <c r="A695" s="16" t="s">
        <v>6446</v>
      </c>
      <c r="B695" s="17">
        <v>1</v>
      </c>
    </row>
    <row r="696" spans="1:2" x14ac:dyDescent="0.25">
      <c r="A696" s="16" t="s">
        <v>6447</v>
      </c>
      <c r="B696" s="17">
        <v>1</v>
      </c>
    </row>
    <row r="697" spans="1:2" x14ac:dyDescent="0.25">
      <c r="A697" s="16" t="s">
        <v>6448</v>
      </c>
      <c r="B697" s="17">
        <v>1</v>
      </c>
    </row>
    <row r="698" spans="1:2" x14ac:dyDescent="0.25">
      <c r="A698" s="16" t="s">
        <v>6449</v>
      </c>
      <c r="B698" s="17">
        <v>1</v>
      </c>
    </row>
    <row r="699" spans="1:2" x14ac:dyDescent="0.25">
      <c r="A699" s="16" t="s">
        <v>6450</v>
      </c>
      <c r="B699" s="17">
        <v>1</v>
      </c>
    </row>
    <row r="700" spans="1:2" x14ac:dyDescent="0.25">
      <c r="A700" s="16" t="s">
        <v>6451</v>
      </c>
      <c r="B700" s="17">
        <v>1</v>
      </c>
    </row>
    <row r="701" spans="1:2" x14ac:dyDescent="0.25">
      <c r="A701" s="16" t="s">
        <v>6452</v>
      </c>
      <c r="B701" s="17">
        <v>1</v>
      </c>
    </row>
    <row r="702" spans="1:2" x14ac:dyDescent="0.25">
      <c r="A702" s="16" t="s">
        <v>6453</v>
      </c>
      <c r="B702" s="17">
        <v>1</v>
      </c>
    </row>
    <row r="703" spans="1:2" x14ac:dyDescent="0.25">
      <c r="A703" s="16" t="s">
        <v>6454</v>
      </c>
      <c r="B703" s="17">
        <v>1</v>
      </c>
    </row>
    <row r="704" spans="1:2" x14ac:dyDescent="0.25">
      <c r="A704" s="16" t="s">
        <v>6455</v>
      </c>
      <c r="B704" s="17">
        <v>1</v>
      </c>
    </row>
    <row r="705" spans="1:2" x14ac:dyDescent="0.25">
      <c r="A705" s="16" t="s">
        <v>6456</v>
      </c>
      <c r="B705" s="17">
        <v>1</v>
      </c>
    </row>
    <row r="706" spans="1:2" x14ac:dyDescent="0.25">
      <c r="A706" s="16" t="s">
        <v>6457</v>
      </c>
      <c r="B706" s="17">
        <v>1</v>
      </c>
    </row>
    <row r="707" spans="1:2" x14ac:dyDescent="0.25">
      <c r="A707" s="16" t="s">
        <v>6458</v>
      </c>
      <c r="B707" s="17">
        <v>1</v>
      </c>
    </row>
    <row r="708" spans="1:2" x14ac:dyDescent="0.25">
      <c r="A708" s="16" t="s">
        <v>6459</v>
      </c>
      <c r="B708" s="17">
        <v>1</v>
      </c>
    </row>
    <row r="709" spans="1:2" x14ac:dyDescent="0.25">
      <c r="A709" s="16" t="s">
        <v>6460</v>
      </c>
      <c r="B709" s="17">
        <v>1</v>
      </c>
    </row>
    <row r="710" spans="1:2" x14ac:dyDescent="0.25">
      <c r="A710" s="16" t="s">
        <v>6461</v>
      </c>
      <c r="B710" s="17">
        <v>1</v>
      </c>
    </row>
    <row r="711" spans="1:2" x14ac:dyDescent="0.25">
      <c r="A711" s="16" t="s">
        <v>6462</v>
      </c>
      <c r="B711" s="17">
        <v>1</v>
      </c>
    </row>
    <row r="712" spans="1:2" x14ac:dyDescent="0.25">
      <c r="A712" s="16" t="s">
        <v>6463</v>
      </c>
      <c r="B712" s="17">
        <v>1</v>
      </c>
    </row>
    <row r="713" spans="1:2" x14ac:dyDescent="0.25">
      <c r="A713" s="16" t="s">
        <v>6464</v>
      </c>
      <c r="B713" s="17">
        <v>1</v>
      </c>
    </row>
    <row r="714" spans="1:2" x14ac:dyDescent="0.25">
      <c r="A714" s="16" t="s">
        <v>6465</v>
      </c>
      <c r="B714" s="17">
        <v>1</v>
      </c>
    </row>
    <row r="715" spans="1:2" x14ac:dyDescent="0.25">
      <c r="A715" s="16" t="s">
        <v>6466</v>
      </c>
      <c r="B715" s="17">
        <v>1</v>
      </c>
    </row>
    <row r="716" spans="1:2" x14ac:dyDescent="0.25">
      <c r="A716" s="16" t="s">
        <v>6467</v>
      </c>
      <c r="B716" s="17">
        <v>1</v>
      </c>
    </row>
    <row r="717" spans="1:2" x14ac:dyDescent="0.25">
      <c r="A717" s="16" t="s">
        <v>6468</v>
      </c>
      <c r="B717" s="17">
        <v>1</v>
      </c>
    </row>
    <row r="718" spans="1:2" x14ac:dyDescent="0.25">
      <c r="A718" s="16" t="s">
        <v>6469</v>
      </c>
      <c r="B718" s="17">
        <v>1</v>
      </c>
    </row>
    <row r="719" spans="1:2" x14ac:dyDescent="0.25">
      <c r="A719" s="16" t="s">
        <v>6470</v>
      </c>
      <c r="B719" s="17">
        <v>1</v>
      </c>
    </row>
    <row r="720" spans="1:2" x14ac:dyDescent="0.25">
      <c r="A720" s="16" t="s">
        <v>6471</v>
      </c>
      <c r="B720" s="17">
        <v>1</v>
      </c>
    </row>
    <row r="721" spans="1:2" x14ac:dyDescent="0.25">
      <c r="A721" s="16" t="s">
        <v>6472</v>
      </c>
      <c r="B721" s="17">
        <v>1</v>
      </c>
    </row>
    <row r="722" spans="1:2" x14ac:dyDescent="0.25">
      <c r="A722" s="16" t="s">
        <v>6473</v>
      </c>
      <c r="B722" s="17">
        <v>1</v>
      </c>
    </row>
    <row r="723" spans="1:2" x14ac:dyDescent="0.25">
      <c r="A723" s="16" t="s">
        <v>6474</v>
      </c>
      <c r="B723" s="17">
        <v>1</v>
      </c>
    </row>
    <row r="724" spans="1:2" x14ac:dyDescent="0.25">
      <c r="A724" s="16" t="s">
        <v>6475</v>
      </c>
      <c r="B724" s="17">
        <v>1</v>
      </c>
    </row>
    <row r="725" spans="1:2" x14ac:dyDescent="0.25">
      <c r="A725" s="16" t="s">
        <v>6476</v>
      </c>
      <c r="B725" s="17">
        <v>1</v>
      </c>
    </row>
    <row r="726" spans="1:2" x14ac:dyDescent="0.25">
      <c r="A726" s="16" t="s">
        <v>6477</v>
      </c>
      <c r="B726" s="17">
        <v>1</v>
      </c>
    </row>
    <row r="727" spans="1:2" x14ac:dyDescent="0.25">
      <c r="A727" s="16" t="s">
        <v>6478</v>
      </c>
      <c r="B727" s="17">
        <v>1</v>
      </c>
    </row>
    <row r="728" spans="1:2" x14ac:dyDescent="0.25">
      <c r="A728" s="16" t="s">
        <v>6479</v>
      </c>
      <c r="B728" s="17">
        <v>1</v>
      </c>
    </row>
    <row r="729" spans="1:2" x14ac:dyDescent="0.25">
      <c r="A729" s="16" t="s">
        <v>6480</v>
      </c>
      <c r="B729" s="17">
        <v>1</v>
      </c>
    </row>
    <row r="730" spans="1:2" x14ac:dyDescent="0.25">
      <c r="A730" s="16" t="s">
        <v>6481</v>
      </c>
      <c r="B730" s="17">
        <v>1</v>
      </c>
    </row>
    <row r="731" spans="1:2" x14ac:dyDescent="0.25">
      <c r="A731" s="16" t="s">
        <v>6482</v>
      </c>
      <c r="B731" s="17">
        <v>1</v>
      </c>
    </row>
    <row r="732" spans="1:2" x14ac:dyDescent="0.25">
      <c r="A732" s="16" t="s">
        <v>6483</v>
      </c>
      <c r="B732" s="17">
        <v>1</v>
      </c>
    </row>
    <row r="733" spans="1:2" x14ac:dyDescent="0.25">
      <c r="A733" s="16" t="s">
        <v>6484</v>
      </c>
      <c r="B733" s="17">
        <v>1</v>
      </c>
    </row>
    <row r="734" spans="1:2" x14ac:dyDescent="0.25">
      <c r="A734" s="16" t="s">
        <v>6485</v>
      </c>
      <c r="B734" s="17">
        <v>1</v>
      </c>
    </row>
    <row r="735" spans="1:2" x14ac:dyDescent="0.25">
      <c r="A735" s="16" t="s">
        <v>6486</v>
      </c>
      <c r="B735" s="17">
        <v>1</v>
      </c>
    </row>
    <row r="736" spans="1:2" x14ac:dyDescent="0.25">
      <c r="A736" s="16" t="s">
        <v>6487</v>
      </c>
      <c r="B736" s="17">
        <v>1</v>
      </c>
    </row>
    <row r="737" spans="1:2" x14ac:dyDescent="0.25">
      <c r="A737" s="16" t="s">
        <v>6488</v>
      </c>
      <c r="B737" s="17">
        <v>1</v>
      </c>
    </row>
    <row r="738" spans="1:2" x14ac:dyDescent="0.25">
      <c r="A738" s="16" t="s">
        <v>6489</v>
      </c>
      <c r="B738" s="17">
        <v>1</v>
      </c>
    </row>
    <row r="739" spans="1:2" x14ac:dyDescent="0.25">
      <c r="A739" s="16" t="s">
        <v>6490</v>
      </c>
      <c r="B739" s="17">
        <v>1</v>
      </c>
    </row>
    <row r="740" spans="1:2" x14ac:dyDescent="0.25">
      <c r="A740" s="16" t="s">
        <v>6491</v>
      </c>
      <c r="B740" s="17">
        <v>1</v>
      </c>
    </row>
    <row r="741" spans="1:2" x14ac:dyDescent="0.25">
      <c r="A741" s="16" t="s">
        <v>6492</v>
      </c>
      <c r="B741" s="17">
        <v>1</v>
      </c>
    </row>
    <row r="742" spans="1:2" x14ac:dyDescent="0.25">
      <c r="A742" s="16" t="s">
        <v>6493</v>
      </c>
      <c r="B742" s="17">
        <v>1</v>
      </c>
    </row>
    <row r="743" spans="1:2" x14ac:dyDescent="0.25">
      <c r="A743" s="16" t="s">
        <v>6494</v>
      </c>
      <c r="B743" s="17">
        <v>1</v>
      </c>
    </row>
    <row r="744" spans="1:2" x14ac:dyDescent="0.25">
      <c r="A744" s="16" t="s">
        <v>6495</v>
      </c>
      <c r="B744" s="17">
        <v>1</v>
      </c>
    </row>
    <row r="745" spans="1:2" x14ac:dyDescent="0.25">
      <c r="A745" s="16" t="s">
        <v>6496</v>
      </c>
      <c r="B745" s="17">
        <v>1</v>
      </c>
    </row>
    <row r="746" spans="1:2" x14ac:dyDescent="0.25">
      <c r="A746" s="16" t="s">
        <v>6497</v>
      </c>
      <c r="B746" s="17">
        <v>1</v>
      </c>
    </row>
    <row r="747" spans="1:2" x14ac:dyDescent="0.25">
      <c r="A747" s="16" t="s">
        <v>6498</v>
      </c>
      <c r="B747" s="17">
        <v>1</v>
      </c>
    </row>
    <row r="748" spans="1:2" x14ac:dyDescent="0.25">
      <c r="A748" s="16" t="s">
        <v>6499</v>
      </c>
      <c r="B748" s="17">
        <v>1</v>
      </c>
    </row>
    <row r="749" spans="1:2" x14ac:dyDescent="0.25">
      <c r="A749" s="16" t="s">
        <v>6500</v>
      </c>
      <c r="B749" s="17">
        <v>1</v>
      </c>
    </row>
    <row r="750" spans="1:2" x14ac:dyDescent="0.25">
      <c r="A750" s="16" t="s">
        <v>6501</v>
      </c>
      <c r="B750" s="17">
        <v>1</v>
      </c>
    </row>
    <row r="751" spans="1:2" x14ac:dyDescent="0.25">
      <c r="A751" s="16" t="s">
        <v>6502</v>
      </c>
      <c r="B751" s="17">
        <v>1</v>
      </c>
    </row>
    <row r="752" spans="1:2" x14ac:dyDescent="0.25">
      <c r="A752" s="16" t="s">
        <v>6503</v>
      </c>
      <c r="B752" s="17">
        <v>1</v>
      </c>
    </row>
    <row r="753" spans="1:2" x14ac:dyDescent="0.25">
      <c r="A753" s="16" t="s">
        <v>6504</v>
      </c>
      <c r="B753" s="17">
        <v>1</v>
      </c>
    </row>
    <row r="754" spans="1:2" x14ac:dyDescent="0.25">
      <c r="A754" s="16" t="s">
        <v>6505</v>
      </c>
      <c r="B754" s="17">
        <v>1</v>
      </c>
    </row>
    <row r="755" spans="1:2" x14ac:dyDescent="0.25">
      <c r="A755" s="16" t="s">
        <v>6506</v>
      </c>
      <c r="B755" s="17">
        <v>1</v>
      </c>
    </row>
    <row r="756" spans="1:2" x14ac:dyDescent="0.25">
      <c r="A756" s="16" t="s">
        <v>6507</v>
      </c>
      <c r="B756" s="17">
        <v>1</v>
      </c>
    </row>
    <row r="757" spans="1:2" x14ac:dyDescent="0.25">
      <c r="A757" s="16" t="s">
        <v>6508</v>
      </c>
      <c r="B757" s="17">
        <v>1</v>
      </c>
    </row>
    <row r="758" spans="1:2" x14ac:dyDescent="0.25">
      <c r="A758" s="16" t="s">
        <v>6509</v>
      </c>
      <c r="B758" s="17">
        <v>1</v>
      </c>
    </row>
    <row r="759" spans="1:2" x14ac:dyDescent="0.25">
      <c r="A759" s="16" t="s">
        <v>6510</v>
      </c>
      <c r="B759" s="17">
        <v>1</v>
      </c>
    </row>
    <row r="760" spans="1:2" x14ac:dyDescent="0.25">
      <c r="A760" s="16" t="s">
        <v>6511</v>
      </c>
      <c r="B760" s="17">
        <v>1</v>
      </c>
    </row>
    <row r="761" spans="1:2" x14ac:dyDescent="0.25">
      <c r="A761" s="16" t="s">
        <v>6512</v>
      </c>
      <c r="B761" s="17">
        <v>1</v>
      </c>
    </row>
    <row r="762" spans="1:2" x14ac:dyDescent="0.25">
      <c r="A762" s="16" t="s">
        <v>6513</v>
      </c>
      <c r="B762" s="17">
        <v>1</v>
      </c>
    </row>
    <row r="763" spans="1:2" x14ac:dyDescent="0.25">
      <c r="A763" s="16" t="s">
        <v>6514</v>
      </c>
      <c r="B763" s="17">
        <v>1</v>
      </c>
    </row>
    <row r="764" spans="1:2" x14ac:dyDescent="0.25">
      <c r="A764" s="16" t="s">
        <v>6515</v>
      </c>
      <c r="B764" s="17">
        <v>1</v>
      </c>
    </row>
    <row r="765" spans="1:2" x14ac:dyDescent="0.25">
      <c r="A765" s="16" t="s">
        <v>6516</v>
      </c>
      <c r="B765" s="17">
        <v>1</v>
      </c>
    </row>
    <row r="766" spans="1:2" x14ac:dyDescent="0.25">
      <c r="A766" s="16" t="s">
        <v>6517</v>
      </c>
      <c r="B766" s="17">
        <v>1</v>
      </c>
    </row>
    <row r="767" spans="1:2" x14ac:dyDescent="0.25">
      <c r="A767" s="16" t="s">
        <v>6518</v>
      </c>
      <c r="B767" s="17">
        <v>1</v>
      </c>
    </row>
    <row r="768" spans="1:2" x14ac:dyDescent="0.25">
      <c r="A768" s="16" t="s">
        <v>6519</v>
      </c>
      <c r="B768" s="17">
        <v>1</v>
      </c>
    </row>
    <row r="769" spans="1:2" x14ac:dyDescent="0.25">
      <c r="A769" s="16" t="s">
        <v>6520</v>
      </c>
      <c r="B769" s="17">
        <v>1</v>
      </c>
    </row>
    <row r="770" spans="1:2" x14ac:dyDescent="0.25">
      <c r="A770" s="16" t="s">
        <v>6521</v>
      </c>
      <c r="B770" s="17">
        <v>1</v>
      </c>
    </row>
    <row r="771" spans="1:2" x14ac:dyDescent="0.25">
      <c r="A771" s="16" t="s">
        <v>6522</v>
      </c>
      <c r="B771" s="17">
        <v>1</v>
      </c>
    </row>
    <row r="772" spans="1:2" x14ac:dyDescent="0.25">
      <c r="A772" s="16" t="s">
        <v>6523</v>
      </c>
      <c r="B772" s="17">
        <v>1</v>
      </c>
    </row>
    <row r="773" spans="1:2" x14ac:dyDescent="0.25">
      <c r="A773" s="16" t="s">
        <v>6524</v>
      </c>
      <c r="B773" s="17">
        <v>1</v>
      </c>
    </row>
    <row r="774" spans="1:2" x14ac:dyDescent="0.25">
      <c r="A774" s="16" t="s">
        <v>6525</v>
      </c>
      <c r="B774" s="17">
        <v>1</v>
      </c>
    </row>
    <row r="775" spans="1:2" x14ac:dyDescent="0.25">
      <c r="A775" s="16" t="s">
        <v>6526</v>
      </c>
      <c r="B775" s="17">
        <v>1</v>
      </c>
    </row>
    <row r="776" spans="1:2" x14ac:dyDescent="0.25">
      <c r="A776" s="16" t="s">
        <v>6527</v>
      </c>
      <c r="B776" s="17">
        <v>1</v>
      </c>
    </row>
    <row r="777" spans="1:2" x14ac:dyDescent="0.25">
      <c r="A777" s="16" t="s">
        <v>6528</v>
      </c>
      <c r="B777" s="17">
        <v>1</v>
      </c>
    </row>
    <row r="778" spans="1:2" x14ac:dyDescent="0.25">
      <c r="A778" s="16" t="s">
        <v>6529</v>
      </c>
      <c r="B778" s="17">
        <v>1</v>
      </c>
    </row>
    <row r="779" spans="1:2" x14ac:dyDescent="0.25">
      <c r="A779" s="16" t="s">
        <v>6530</v>
      </c>
      <c r="B779" s="17">
        <v>1</v>
      </c>
    </row>
    <row r="780" spans="1:2" x14ac:dyDescent="0.25">
      <c r="A780" s="16" t="s">
        <v>6531</v>
      </c>
      <c r="B780" s="17">
        <v>1</v>
      </c>
    </row>
    <row r="781" spans="1:2" x14ac:dyDescent="0.25">
      <c r="A781" s="16" t="s">
        <v>6532</v>
      </c>
      <c r="B781" s="17">
        <v>1</v>
      </c>
    </row>
    <row r="782" spans="1:2" x14ac:dyDescent="0.25">
      <c r="A782" s="16" t="s">
        <v>6533</v>
      </c>
      <c r="B782" s="17">
        <v>1</v>
      </c>
    </row>
    <row r="783" spans="1:2" x14ac:dyDescent="0.25">
      <c r="A783" s="16" t="s">
        <v>6534</v>
      </c>
      <c r="B783" s="17">
        <v>1</v>
      </c>
    </row>
    <row r="784" spans="1:2" x14ac:dyDescent="0.25">
      <c r="A784" s="16" t="s">
        <v>6535</v>
      </c>
      <c r="B784" s="17">
        <v>1</v>
      </c>
    </row>
    <row r="785" spans="1:2" x14ac:dyDescent="0.25">
      <c r="A785" s="16" t="s">
        <v>6536</v>
      </c>
      <c r="B785" s="17">
        <v>1</v>
      </c>
    </row>
    <row r="786" spans="1:2" x14ac:dyDescent="0.25">
      <c r="A786" s="16" t="s">
        <v>6537</v>
      </c>
      <c r="B786" s="17">
        <v>1</v>
      </c>
    </row>
    <row r="787" spans="1:2" x14ac:dyDescent="0.25">
      <c r="A787" s="16" t="s">
        <v>6538</v>
      </c>
      <c r="B787" s="17">
        <v>1</v>
      </c>
    </row>
    <row r="788" spans="1:2" x14ac:dyDescent="0.25">
      <c r="A788" s="16" t="s">
        <v>6539</v>
      </c>
      <c r="B788" s="17">
        <v>1</v>
      </c>
    </row>
    <row r="789" spans="1:2" x14ac:dyDescent="0.25">
      <c r="A789" s="16" t="s">
        <v>6540</v>
      </c>
      <c r="B789" s="17">
        <v>1</v>
      </c>
    </row>
    <row r="790" spans="1:2" x14ac:dyDescent="0.25">
      <c r="A790" s="16" t="s">
        <v>6541</v>
      </c>
      <c r="B790" s="17">
        <v>1</v>
      </c>
    </row>
    <row r="791" spans="1:2" x14ac:dyDescent="0.25">
      <c r="A791" s="16" t="s">
        <v>6542</v>
      </c>
      <c r="B791" s="17">
        <v>1</v>
      </c>
    </row>
    <row r="792" spans="1:2" x14ac:dyDescent="0.25">
      <c r="A792" s="16" t="s">
        <v>6543</v>
      </c>
      <c r="B792" s="17">
        <v>1</v>
      </c>
    </row>
    <row r="793" spans="1:2" x14ac:dyDescent="0.25">
      <c r="A793" s="16" t="s">
        <v>6544</v>
      </c>
      <c r="B793" s="17">
        <v>1</v>
      </c>
    </row>
    <row r="794" spans="1:2" x14ac:dyDescent="0.25">
      <c r="A794" s="16" t="s">
        <v>6545</v>
      </c>
      <c r="B794" s="17">
        <v>1</v>
      </c>
    </row>
    <row r="795" spans="1:2" x14ac:dyDescent="0.25">
      <c r="A795" s="16" t="s">
        <v>6546</v>
      </c>
      <c r="B795" s="17">
        <v>1</v>
      </c>
    </row>
    <row r="796" spans="1:2" x14ac:dyDescent="0.25">
      <c r="A796" s="16" t="s">
        <v>6547</v>
      </c>
      <c r="B796" s="17">
        <v>1</v>
      </c>
    </row>
    <row r="797" spans="1:2" x14ac:dyDescent="0.25">
      <c r="A797" s="16" t="s">
        <v>6548</v>
      </c>
      <c r="B797" s="17">
        <v>1</v>
      </c>
    </row>
    <row r="798" spans="1:2" x14ac:dyDescent="0.25">
      <c r="A798" s="16" t="s">
        <v>6549</v>
      </c>
      <c r="B798" s="17">
        <v>1</v>
      </c>
    </row>
    <row r="799" spans="1:2" x14ac:dyDescent="0.25">
      <c r="A799" s="16" t="s">
        <v>6550</v>
      </c>
      <c r="B799" s="17">
        <v>1</v>
      </c>
    </row>
    <row r="800" spans="1:2" x14ac:dyDescent="0.25">
      <c r="A800" s="16" t="s">
        <v>6551</v>
      </c>
      <c r="B800" s="17">
        <v>1</v>
      </c>
    </row>
    <row r="801" spans="1:2" x14ac:dyDescent="0.25">
      <c r="A801" s="16" t="s">
        <v>6552</v>
      </c>
      <c r="B801" s="17">
        <v>1</v>
      </c>
    </row>
    <row r="802" spans="1:2" x14ac:dyDescent="0.25">
      <c r="A802" s="16" t="s">
        <v>6553</v>
      </c>
      <c r="B802" s="17">
        <v>1</v>
      </c>
    </row>
    <row r="803" spans="1:2" x14ac:dyDescent="0.25">
      <c r="A803" s="16" t="s">
        <v>6554</v>
      </c>
      <c r="B803" s="17">
        <v>1</v>
      </c>
    </row>
    <row r="804" spans="1:2" x14ac:dyDescent="0.25">
      <c r="A804" s="16" t="s">
        <v>6555</v>
      </c>
      <c r="B804" s="17">
        <v>1</v>
      </c>
    </row>
    <row r="805" spans="1:2" x14ac:dyDescent="0.25">
      <c r="A805" s="16" t="s">
        <v>6556</v>
      </c>
      <c r="B805" s="17">
        <v>1</v>
      </c>
    </row>
    <row r="806" spans="1:2" x14ac:dyDescent="0.25">
      <c r="A806" s="16" t="s">
        <v>6557</v>
      </c>
      <c r="B806" s="17">
        <v>1</v>
      </c>
    </row>
    <row r="807" spans="1:2" x14ac:dyDescent="0.25">
      <c r="A807" s="16" t="s">
        <v>6558</v>
      </c>
      <c r="B807" s="17">
        <v>1</v>
      </c>
    </row>
    <row r="808" spans="1:2" x14ac:dyDescent="0.25">
      <c r="A808" s="16" t="s">
        <v>6559</v>
      </c>
      <c r="B808" s="17">
        <v>1</v>
      </c>
    </row>
    <row r="809" spans="1:2" x14ac:dyDescent="0.25">
      <c r="A809" s="16" t="s">
        <v>6560</v>
      </c>
      <c r="B809" s="17">
        <v>1</v>
      </c>
    </row>
    <row r="810" spans="1:2" x14ac:dyDescent="0.25">
      <c r="A810" s="16" t="s">
        <v>6561</v>
      </c>
      <c r="B810" s="17">
        <v>1</v>
      </c>
    </row>
    <row r="811" spans="1:2" x14ac:dyDescent="0.25">
      <c r="A811" s="16" t="s">
        <v>6562</v>
      </c>
      <c r="B811" s="17">
        <v>1</v>
      </c>
    </row>
    <row r="812" spans="1:2" x14ac:dyDescent="0.25">
      <c r="A812" s="16" t="s">
        <v>6563</v>
      </c>
      <c r="B812" s="17">
        <v>1</v>
      </c>
    </row>
    <row r="813" spans="1:2" x14ac:dyDescent="0.25">
      <c r="A813" s="16" t="s">
        <v>6564</v>
      </c>
      <c r="B813" s="17">
        <v>1</v>
      </c>
    </row>
    <row r="814" spans="1:2" x14ac:dyDescent="0.25">
      <c r="A814" s="16" t="s">
        <v>6565</v>
      </c>
      <c r="B814" s="17">
        <v>1</v>
      </c>
    </row>
    <row r="815" spans="1:2" x14ac:dyDescent="0.25">
      <c r="A815" s="16" t="s">
        <v>6566</v>
      </c>
      <c r="B815" s="17">
        <v>1</v>
      </c>
    </row>
    <row r="816" spans="1:2" x14ac:dyDescent="0.25">
      <c r="A816" s="16" t="s">
        <v>6567</v>
      </c>
      <c r="B816" s="17">
        <v>1</v>
      </c>
    </row>
    <row r="817" spans="1:2" x14ac:dyDescent="0.25">
      <c r="A817" s="16" t="s">
        <v>6568</v>
      </c>
      <c r="B817" s="17">
        <v>1</v>
      </c>
    </row>
    <row r="818" spans="1:2" x14ac:dyDescent="0.25">
      <c r="A818" s="16" t="s">
        <v>6569</v>
      </c>
      <c r="B818" s="17">
        <v>1</v>
      </c>
    </row>
    <row r="819" spans="1:2" x14ac:dyDescent="0.25">
      <c r="A819" s="16" t="s">
        <v>6570</v>
      </c>
      <c r="B819" s="17">
        <v>1</v>
      </c>
    </row>
    <row r="820" spans="1:2" x14ac:dyDescent="0.25">
      <c r="A820" s="16" t="s">
        <v>6571</v>
      </c>
      <c r="B820" s="17">
        <v>1</v>
      </c>
    </row>
    <row r="821" spans="1:2" x14ac:dyDescent="0.25">
      <c r="A821" s="16" t="s">
        <v>6572</v>
      </c>
      <c r="B821" s="17">
        <v>1</v>
      </c>
    </row>
    <row r="822" spans="1:2" x14ac:dyDescent="0.25">
      <c r="A822" s="16" t="s">
        <v>6573</v>
      </c>
      <c r="B822" s="17">
        <v>1</v>
      </c>
    </row>
    <row r="823" spans="1:2" x14ac:dyDescent="0.25">
      <c r="A823" s="16" t="s">
        <v>6574</v>
      </c>
      <c r="B823" s="17">
        <v>1</v>
      </c>
    </row>
    <row r="824" spans="1:2" x14ac:dyDescent="0.25">
      <c r="A824" s="16" t="s">
        <v>6575</v>
      </c>
      <c r="B824" s="17">
        <v>1</v>
      </c>
    </row>
    <row r="825" spans="1:2" x14ac:dyDescent="0.25">
      <c r="A825" s="16" t="s">
        <v>6576</v>
      </c>
      <c r="B825" s="17">
        <v>1</v>
      </c>
    </row>
    <row r="826" spans="1:2" x14ac:dyDescent="0.25">
      <c r="A826" s="16" t="s">
        <v>6577</v>
      </c>
      <c r="B826" s="17">
        <v>1</v>
      </c>
    </row>
    <row r="827" spans="1:2" x14ac:dyDescent="0.25">
      <c r="A827" s="16" t="s">
        <v>6578</v>
      </c>
      <c r="B827" s="17">
        <v>1</v>
      </c>
    </row>
    <row r="828" spans="1:2" x14ac:dyDescent="0.25">
      <c r="A828" s="16" t="s">
        <v>6579</v>
      </c>
      <c r="B828" s="17">
        <v>1</v>
      </c>
    </row>
    <row r="829" spans="1:2" x14ac:dyDescent="0.25">
      <c r="A829" s="16" t="s">
        <v>6580</v>
      </c>
      <c r="B829" s="17">
        <v>1</v>
      </c>
    </row>
    <row r="830" spans="1:2" x14ac:dyDescent="0.25">
      <c r="A830" s="16" t="s">
        <v>6581</v>
      </c>
      <c r="B830" s="17">
        <v>1</v>
      </c>
    </row>
    <row r="831" spans="1:2" x14ac:dyDescent="0.25">
      <c r="A831" s="16" t="s">
        <v>6582</v>
      </c>
      <c r="B831" s="17">
        <v>1</v>
      </c>
    </row>
    <row r="832" spans="1:2" x14ac:dyDescent="0.25">
      <c r="A832" s="16" t="s">
        <v>6583</v>
      </c>
      <c r="B832" s="17">
        <v>1</v>
      </c>
    </row>
    <row r="833" spans="1:2" x14ac:dyDescent="0.25">
      <c r="A833" s="16" t="s">
        <v>6584</v>
      </c>
      <c r="B833" s="17">
        <v>1</v>
      </c>
    </row>
    <row r="834" spans="1:2" x14ac:dyDescent="0.25">
      <c r="A834" s="16" t="s">
        <v>6585</v>
      </c>
      <c r="B834" s="17">
        <v>1</v>
      </c>
    </row>
    <row r="835" spans="1:2" x14ac:dyDescent="0.25">
      <c r="A835" s="16" t="s">
        <v>6586</v>
      </c>
      <c r="B835" s="17">
        <v>1</v>
      </c>
    </row>
    <row r="836" spans="1:2" x14ac:dyDescent="0.25">
      <c r="A836" s="16" t="s">
        <v>6587</v>
      </c>
      <c r="B836" s="17">
        <v>1</v>
      </c>
    </row>
    <row r="837" spans="1:2" x14ac:dyDescent="0.25">
      <c r="A837" s="16" t="s">
        <v>6588</v>
      </c>
      <c r="B837" s="17">
        <v>1</v>
      </c>
    </row>
    <row r="838" spans="1:2" x14ac:dyDescent="0.25">
      <c r="A838" s="16" t="s">
        <v>6589</v>
      </c>
      <c r="B838" s="17">
        <v>1</v>
      </c>
    </row>
    <row r="839" spans="1:2" x14ac:dyDescent="0.25">
      <c r="A839" s="16" t="s">
        <v>6590</v>
      </c>
      <c r="B839" s="17">
        <v>1</v>
      </c>
    </row>
    <row r="840" spans="1:2" x14ac:dyDescent="0.25">
      <c r="A840" s="16" t="s">
        <v>6591</v>
      </c>
      <c r="B840" s="17">
        <v>1</v>
      </c>
    </row>
    <row r="841" spans="1:2" x14ac:dyDescent="0.25">
      <c r="A841" s="16" t="s">
        <v>6592</v>
      </c>
      <c r="B841" s="17">
        <v>1</v>
      </c>
    </row>
    <row r="842" spans="1:2" x14ac:dyDescent="0.25">
      <c r="A842" s="16" t="s">
        <v>6593</v>
      </c>
      <c r="B842" s="17">
        <v>1</v>
      </c>
    </row>
    <row r="843" spans="1:2" x14ac:dyDescent="0.25">
      <c r="A843" s="16" t="s">
        <v>6594</v>
      </c>
      <c r="B843" s="17">
        <v>1</v>
      </c>
    </row>
    <row r="844" spans="1:2" x14ac:dyDescent="0.25">
      <c r="A844" s="16" t="s">
        <v>6595</v>
      </c>
      <c r="B844" s="17">
        <v>1</v>
      </c>
    </row>
    <row r="845" spans="1:2" x14ac:dyDescent="0.25">
      <c r="A845" s="16" t="s">
        <v>6596</v>
      </c>
      <c r="B845" s="17">
        <v>1</v>
      </c>
    </row>
    <row r="846" spans="1:2" x14ac:dyDescent="0.25">
      <c r="A846" s="16" t="s">
        <v>6597</v>
      </c>
      <c r="B846" s="17">
        <v>1</v>
      </c>
    </row>
    <row r="847" spans="1:2" x14ac:dyDescent="0.25">
      <c r="A847" s="16" t="s">
        <v>6598</v>
      </c>
      <c r="B847" s="17">
        <v>1</v>
      </c>
    </row>
    <row r="848" spans="1:2" x14ac:dyDescent="0.25">
      <c r="A848" s="16" t="s">
        <v>6599</v>
      </c>
      <c r="B848" s="17">
        <v>1</v>
      </c>
    </row>
    <row r="849" spans="1:2" x14ac:dyDescent="0.25">
      <c r="A849" s="16" t="s">
        <v>6600</v>
      </c>
      <c r="B849" s="17">
        <v>1</v>
      </c>
    </row>
    <row r="850" spans="1:2" x14ac:dyDescent="0.25">
      <c r="A850" s="16" t="s">
        <v>6601</v>
      </c>
      <c r="B850" s="17">
        <v>1</v>
      </c>
    </row>
    <row r="851" spans="1:2" x14ac:dyDescent="0.25">
      <c r="A851" s="16" t="s">
        <v>6602</v>
      </c>
      <c r="B851" s="17">
        <v>1</v>
      </c>
    </row>
    <row r="852" spans="1:2" x14ac:dyDescent="0.25">
      <c r="A852" s="16" t="s">
        <v>6603</v>
      </c>
      <c r="B852" s="17">
        <v>1</v>
      </c>
    </row>
    <row r="853" spans="1:2" x14ac:dyDescent="0.25">
      <c r="A853" s="16" t="s">
        <v>6604</v>
      </c>
      <c r="B853" s="17">
        <v>1</v>
      </c>
    </row>
    <row r="854" spans="1:2" x14ac:dyDescent="0.25">
      <c r="A854" s="16" t="s">
        <v>6605</v>
      </c>
      <c r="B854" s="17">
        <v>1</v>
      </c>
    </row>
    <row r="855" spans="1:2" x14ac:dyDescent="0.25">
      <c r="A855" s="16" t="s">
        <v>6606</v>
      </c>
      <c r="B855" s="17">
        <v>1</v>
      </c>
    </row>
    <row r="856" spans="1:2" x14ac:dyDescent="0.25">
      <c r="A856" s="16" t="s">
        <v>6607</v>
      </c>
      <c r="B856" s="17">
        <v>1</v>
      </c>
    </row>
    <row r="857" spans="1:2" x14ac:dyDescent="0.25">
      <c r="A857" s="16" t="s">
        <v>6608</v>
      </c>
      <c r="B857" s="17">
        <v>1</v>
      </c>
    </row>
    <row r="858" spans="1:2" x14ac:dyDescent="0.25">
      <c r="A858" s="16" t="s">
        <v>6609</v>
      </c>
      <c r="B858" s="17">
        <v>1</v>
      </c>
    </row>
    <row r="859" spans="1:2" x14ac:dyDescent="0.25">
      <c r="A859" s="16" t="s">
        <v>6610</v>
      </c>
      <c r="B859" s="17">
        <v>1</v>
      </c>
    </row>
    <row r="860" spans="1:2" x14ac:dyDescent="0.25">
      <c r="A860" s="16" t="s">
        <v>6611</v>
      </c>
      <c r="B860" s="17">
        <v>1</v>
      </c>
    </row>
    <row r="861" spans="1:2" x14ac:dyDescent="0.25">
      <c r="A861" s="16" t="s">
        <v>6612</v>
      </c>
      <c r="B861" s="17">
        <v>1</v>
      </c>
    </row>
    <row r="862" spans="1:2" x14ac:dyDescent="0.25">
      <c r="A862" s="16" t="s">
        <v>6613</v>
      </c>
      <c r="B862" s="17">
        <v>1</v>
      </c>
    </row>
    <row r="863" spans="1:2" x14ac:dyDescent="0.25">
      <c r="A863" s="16" t="s">
        <v>6614</v>
      </c>
      <c r="B863" s="17">
        <v>1</v>
      </c>
    </row>
    <row r="864" spans="1:2" x14ac:dyDescent="0.25">
      <c r="A864" s="16" t="s">
        <v>6615</v>
      </c>
      <c r="B864" s="17">
        <v>1</v>
      </c>
    </row>
    <row r="865" spans="1:2" x14ac:dyDescent="0.25">
      <c r="A865" s="16" t="s">
        <v>6616</v>
      </c>
      <c r="B865" s="17">
        <v>1</v>
      </c>
    </row>
    <row r="866" spans="1:2" x14ac:dyDescent="0.25">
      <c r="A866" s="16" t="s">
        <v>6617</v>
      </c>
      <c r="B866" s="17">
        <v>1</v>
      </c>
    </row>
    <row r="867" spans="1:2" x14ac:dyDescent="0.25">
      <c r="A867" s="16" t="s">
        <v>6618</v>
      </c>
      <c r="B867" s="17">
        <v>1</v>
      </c>
    </row>
    <row r="868" spans="1:2" x14ac:dyDescent="0.25">
      <c r="A868" s="16" t="s">
        <v>6619</v>
      </c>
      <c r="B868" s="17">
        <v>1</v>
      </c>
    </row>
    <row r="869" spans="1:2" x14ac:dyDescent="0.25">
      <c r="A869" s="16" t="s">
        <v>6620</v>
      </c>
      <c r="B869" s="17">
        <v>1</v>
      </c>
    </row>
    <row r="870" spans="1:2" x14ac:dyDescent="0.25">
      <c r="A870" s="16" t="s">
        <v>6621</v>
      </c>
      <c r="B870" s="17">
        <v>1</v>
      </c>
    </row>
    <row r="871" spans="1:2" x14ac:dyDescent="0.25">
      <c r="A871" s="16" t="s">
        <v>6622</v>
      </c>
      <c r="B871" s="17">
        <v>1</v>
      </c>
    </row>
    <row r="872" spans="1:2" x14ac:dyDescent="0.25">
      <c r="A872" s="16" t="s">
        <v>6623</v>
      </c>
      <c r="B872" s="17">
        <v>1</v>
      </c>
    </row>
    <row r="873" spans="1:2" x14ac:dyDescent="0.25">
      <c r="A873" s="16" t="s">
        <v>6624</v>
      </c>
      <c r="B873" s="17">
        <v>1</v>
      </c>
    </row>
    <row r="874" spans="1:2" x14ac:dyDescent="0.25">
      <c r="A874" s="16" t="s">
        <v>6625</v>
      </c>
      <c r="B874" s="17">
        <v>1</v>
      </c>
    </row>
    <row r="875" spans="1:2" x14ac:dyDescent="0.25">
      <c r="A875" s="16" t="s">
        <v>6626</v>
      </c>
      <c r="B875" s="17">
        <v>1</v>
      </c>
    </row>
    <row r="876" spans="1:2" x14ac:dyDescent="0.25">
      <c r="A876" s="16" t="s">
        <v>6627</v>
      </c>
      <c r="B876" s="17">
        <v>1</v>
      </c>
    </row>
    <row r="877" spans="1:2" x14ac:dyDescent="0.25">
      <c r="A877" s="16" t="s">
        <v>6628</v>
      </c>
      <c r="B877" s="17">
        <v>1</v>
      </c>
    </row>
    <row r="878" spans="1:2" x14ac:dyDescent="0.25">
      <c r="A878" s="16" t="s">
        <v>6629</v>
      </c>
      <c r="B878" s="17">
        <v>1</v>
      </c>
    </row>
    <row r="879" spans="1:2" x14ac:dyDescent="0.25">
      <c r="A879" s="16" t="s">
        <v>6630</v>
      </c>
      <c r="B879" s="17">
        <v>1</v>
      </c>
    </row>
    <row r="880" spans="1:2" x14ac:dyDescent="0.25">
      <c r="A880" s="16" t="s">
        <v>6631</v>
      </c>
      <c r="B880" s="17">
        <v>1</v>
      </c>
    </row>
    <row r="881" spans="1:2" x14ac:dyDescent="0.25">
      <c r="A881" s="16" t="s">
        <v>6632</v>
      </c>
      <c r="B881" s="17">
        <v>1</v>
      </c>
    </row>
    <row r="882" spans="1:2" x14ac:dyDescent="0.25">
      <c r="A882" s="16" t="s">
        <v>6633</v>
      </c>
      <c r="B882" s="17">
        <v>1</v>
      </c>
    </row>
    <row r="883" spans="1:2" x14ac:dyDescent="0.25">
      <c r="A883" s="16" t="s">
        <v>6634</v>
      </c>
      <c r="B883" s="17">
        <v>1</v>
      </c>
    </row>
    <row r="884" spans="1:2" x14ac:dyDescent="0.25">
      <c r="A884" s="16" t="s">
        <v>6635</v>
      </c>
      <c r="B884" s="17">
        <v>1</v>
      </c>
    </row>
    <row r="885" spans="1:2" x14ac:dyDescent="0.25">
      <c r="A885" s="16" t="s">
        <v>6636</v>
      </c>
      <c r="B885" s="17">
        <v>1</v>
      </c>
    </row>
    <row r="886" spans="1:2" x14ac:dyDescent="0.25">
      <c r="A886" s="16" t="s">
        <v>6637</v>
      </c>
      <c r="B886" s="17">
        <v>1</v>
      </c>
    </row>
    <row r="887" spans="1:2" x14ac:dyDescent="0.25">
      <c r="A887" s="16" t="s">
        <v>6638</v>
      </c>
      <c r="B887" s="17">
        <v>1</v>
      </c>
    </row>
    <row r="888" spans="1:2" x14ac:dyDescent="0.25">
      <c r="A888" s="16" t="s">
        <v>6639</v>
      </c>
      <c r="B888" s="17">
        <v>1</v>
      </c>
    </row>
    <row r="889" spans="1:2" x14ac:dyDescent="0.25">
      <c r="A889" s="16" t="s">
        <v>6640</v>
      </c>
      <c r="B889" s="17">
        <v>1</v>
      </c>
    </row>
    <row r="890" spans="1:2" x14ac:dyDescent="0.25">
      <c r="A890" s="16" t="s">
        <v>6641</v>
      </c>
      <c r="B890" s="17">
        <v>1</v>
      </c>
    </row>
    <row r="891" spans="1:2" x14ac:dyDescent="0.25">
      <c r="A891" s="16" t="s">
        <v>6642</v>
      </c>
      <c r="B891" s="17">
        <v>1</v>
      </c>
    </row>
    <row r="892" spans="1:2" x14ac:dyDescent="0.25">
      <c r="A892" s="16" t="s">
        <v>6643</v>
      </c>
      <c r="B892" s="17">
        <v>1</v>
      </c>
    </row>
    <row r="893" spans="1:2" x14ac:dyDescent="0.25">
      <c r="A893" s="16" t="s">
        <v>6644</v>
      </c>
      <c r="B893" s="17">
        <v>1</v>
      </c>
    </row>
    <row r="894" spans="1:2" x14ac:dyDescent="0.25">
      <c r="A894" s="16" t="s">
        <v>6645</v>
      </c>
      <c r="B894" s="17">
        <v>1</v>
      </c>
    </row>
    <row r="895" spans="1:2" x14ac:dyDescent="0.25">
      <c r="A895" s="16" t="s">
        <v>6646</v>
      </c>
      <c r="B895" s="17">
        <v>1</v>
      </c>
    </row>
    <row r="896" spans="1:2" x14ac:dyDescent="0.25">
      <c r="A896" s="16" t="s">
        <v>6647</v>
      </c>
      <c r="B896" s="17">
        <v>1</v>
      </c>
    </row>
    <row r="897" spans="1:2" x14ac:dyDescent="0.25">
      <c r="A897" s="16" t="s">
        <v>6648</v>
      </c>
      <c r="B897" s="17">
        <v>1</v>
      </c>
    </row>
    <row r="898" spans="1:2" x14ac:dyDescent="0.25">
      <c r="A898" s="16" t="s">
        <v>6649</v>
      </c>
      <c r="B898" s="17">
        <v>1</v>
      </c>
    </row>
    <row r="899" spans="1:2" x14ac:dyDescent="0.25">
      <c r="A899" s="16" t="s">
        <v>6650</v>
      </c>
      <c r="B899" s="17">
        <v>1</v>
      </c>
    </row>
    <row r="900" spans="1:2" x14ac:dyDescent="0.25">
      <c r="A900" s="16" t="s">
        <v>6651</v>
      </c>
      <c r="B900" s="17">
        <v>1</v>
      </c>
    </row>
    <row r="901" spans="1:2" x14ac:dyDescent="0.25">
      <c r="A901" s="16" t="s">
        <v>6652</v>
      </c>
      <c r="B901" s="17">
        <v>1</v>
      </c>
    </row>
    <row r="902" spans="1:2" x14ac:dyDescent="0.25">
      <c r="A902" s="16" t="s">
        <v>6653</v>
      </c>
      <c r="B902" s="17">
        <v>1</v>
      </c>
    </row>
    <row r="903" spans="1:2" x14ac:dyDescent="0.25">
      <c r="A903" s="16" t="s">
        <v>6654</v>
      </c>
      <c r="B903" s="17">
        <v>1</v>
      </c>
    </row>
    <row r="904" spans="1:2" x14ac:dyDescent="0.25">
      <c r="A904" s="16" t="s">
        <v>6655</v>
      </c>
      <c r="B904" s="17">
        <v>1</v>
      </c>
    </row>
    <row r="905" spans="1:2" x14ac:dyDescent="0.25">
      <c r="A905" s="16" t="s">
        <v>6656</v>
      </c>
      <c r="B905" s="17">
        <v>1</v>
      </c>
    </row>
    <row r="906" spans="1:2" x14ac:dyDescent="0.25">
      <c r="A906" s="16" t="s">
        <v>6657</v>
      </c>
      <c r="B906" s="17">
        <v>1</v>
      </c>
    </row>
    <row r="907" spans="1:2" x14ac:dyDescent="0.25">
      <c r="A907" s="16" t="s">
        <v>6658</v>
      </c>
      <c r="B907" s="17">
        <v>1</v>
      </c>
    </row>
    <row r="908" spans="1:2" x14ac:dyDescent="0.25">
      <c r="A908" s="16" t="s">
        <v>6659</v>
      </c>
      <c r="B908" s="17">
        <v>1</v>
      </c>
    </row>
    <row r="909" spans="1:2" x14ac:dyDescent="0.25">
      <c r="A909" s="16" t="s">
        <v>6660</v>
      </c>
      <c r="B909" s="17">
        <v>1</v>
      </c>
    </row>
    <row r="910" spans="1:2" x14ac:dyDescent="0.25">
      <c r="A910" s="16" t="s">
        <v>6661</v>
      </c>
      <c r="B910" s="17">
        <v>1</v>
      </c>
    </row>
    <row r="911" spans="1:2" x14ac:dyDescent="0.25">
      <c r="A911" s="16" t="s">
        <v>6662</v>
      </c>
      <c r="B911" s="17">
        <v>1</v>
      </c>
    </row>
    <row r="912" spans="1:2" x14ac:dyDescent="0.25">
      <c r="A912" s="16" t="s">
        <v>6663</v>
      </c>
      <c r="B912" s="17">
        <v>1</v>
      </c>
    </row>
    <row r="913" spans="1:2" x14ac:dyDescent="0.25">
      <c r="A913" s="16" t="s">
        <v>6664</v>
      </c>
      <c r="B913" s="17">
        <v>1</v>
      </c>
    </row>
    <row r="914" spans="1:2" x14ac:dyDescent="0.25">
      <c r="A914" s="16" t="s">
        <v>6665</v>
      </c>
      <c r="B914" s="17">
        <v>1</v>
      </c>
    </row>
    <row r="915" spans="1:2" x14ac:dyDescent="0.25">
      <c r="A915" s="16" t="s">
        <v>6666</v>
      </c>
      <c r="B915" s="17">
        <v>1</v>
      </c>
    </row>
    <row r="916" spans="1:2" x14ac:dyDescent="0.25">
      <c r="A916" s="16" t="s">
        <v>6667</v>
      </c>
      <c r="B916" s="17">
        <v>1</v>
      </c>
    </row>
    <row r="917" spans="1:2" x14ac:dyDescent="0.25">
      <c r="A917" s="16" t="s">
        <v>6668</v>
      </c>
      <c r="B917" s="17">
        <v>1</v>
      </c>
    </row>
    <row r="918" spans="1:2" x14ac:dyDescent="0.25">
      <c r="A918" s="16" t="s">
        <v>6669</v>
      </c>
      <c r="B918" s="17">
        <v>1</v>
      </c>
    </row>
    <row r="919" spans="1:2" x14ac:dyDescent="0.25">
      <c r="A919" s="16" t="s">
        <v>6670</v>
      </c>
      <c r="B919" s="17">
        <v>1</v>
      </c>
    </row>
    <row r="920" spans="1:2" x14ac:dyDescent="0.25">
      <c r="A920" s="16" t="s">
        <v>6671</v>
      </c>
      <c r="B920" s="17">
        <v>1</v>
      </c>
    </row>
    <row r="921" spans="1:2" x14ac:dyDescent="0.25">
      <c r="A921" s="16" t="s">
        <v>6672</v>
      </c>
      <c r="B921" s="17">
        <v>1</v>
      </c>
    </row>
    <row r="922" spans="1:2" x14ac:dyDescent="0.25">
      <c r="A922" s="16" t="s">
        <v>6673</v>
      </c>
      <c r="B922" s="17">
        <v>1</v>
      </c>
    </row>
    <row r="923" spans="1:2" x14ac:dyDescent="0.25">
      <c r="A923" s="16" t="s">
        <v>6674</v>
      </c>
      <c r="B923" s="17">
        <v>1</v>
      </c>
    </row>
    <row r="924" spans="1:2" x14ac:dyDescent="0.25">
      <c r="A924" s="16" t="s">
        <v>6675</v>
      </c>
      <c r="B924" s="17">
        <v>1</v>
      </c>
    </row>
    <row r="925" spans="1:2" x14ac:dyDescent="0.25">
      <c r="A925" s="16" t="s">
        <v>6676</v>
      </c>
      <c r="B925" s="17">
        <v>1</v>
      </c>
    </row>
    <row r="926" spans="1:2" x14ac:dyDescent="0.25">
      <c r="A926" s="16" t="s">
        <v>6677</v>
      </c>
      <c r="B926" s="17">
        <v>1</v>
      </c>
    </row>
    <row r="927" spans="1:2" x14ac:dyDescent="0.25">
      <c r="A927" s="16" t="s">
        <v>6678</v>
      </c>
      <c r="B927" s="17">
        <v>1</v>
      </c>
    </row>
    <row r="928" spans="1:2" x14ac:dyDescent="0.25">
      <c r="A928" s="16" t="s">
        <v>6679</v>
      </c>
      <c r="B928" s="17">
        <v>1</v>
      </c>
    </row>
    <row r="929" spans="1:2" x14ac:dyDescent="0.25">
      <c r="A929" s="16" t="s">
        <v>6680</v>
      </c>
      <c r="B929" s="17">
        <v>1</v>
      </c>
    </row>
    <row r="930" spans="1:2" x14ac:dyDescent="0.25">
      <c r="A930" s="16" t="s">
        <v>6681</v>
      </c>
      <c r="B930" s="17">
        <v>1</v>
      </c>
    </row>
    <row r="931" spans="1:2" x14ac:dyDescent="0.25">
      <c r="A931" s="16" t="s">
        <v>6682</v>
      </c>
      <c r="B931" s="17">
        <v>1</v>
      </c>
    </row>
    <row r="932" spans="1:2" x14ac:dyDescent="0.25">
      <c r="A932" s="16" t="s">
        <v>6683</v>
      </c>
      <c r="B932" s="17">
        <v>1</v>
      </c>
    </row>
    <row r="933" spans="1:2" x14ac:dyDescent="0.25">
      <c r="A933" s="16" t="s">
        <v>6684</v>
      </c>
      <c r="B933" s="17">
        <v>1</v>
      </c>
    </row>
    <row r="934" spans="1:2" x14ac:dyDescent="0.25">
      <c r="A934" s="16" t="s">
        <v>6685</v>
      </c>
      <c r="B934" s="17">
        <v>1</v>
      </c>
    </row>
    <row r="935" spans="1:2" x14ac:dyDescent="0.25">
      <c r="A935" s="16" t="s">
        <v>6686</v>
      </c>
      <c r="B935" s="17">
        <v>1</v>
      </c>
    </row>
    <row r="936" spans="1:2" x14ac:dyDescent="0.25">
      <c r="A936" s="16" t="s">
        <v>6687</v>
      </c>
      <c r="B936" s="17">
        <v>1</v>
      </c>
    </row>
    <row r="937" spans="1:2" x14ac:dyDescent="0.25">
      <c r="A937" s="16" t="s">
        <v>6688</v>
      </c>
      <c r="B937" s="17">
        <v>1</v>
      </c>
    </row>
    <row r="938" spans="1:2" x14ac:dyDescent="0.25">
      <c r="A938" s="16" t="s">
        <v>6689</v>
      </c>
      <c r="B938" s="17">
        <v>1</v>
      </c>
    </row>
    <row r="939" spans="1:2" x14ac:dyDescent="0.25">
      <c r="A939" s="16" t="s">
        <v>6690</v>
      </c>
      <c r="B939" s="17">
        <v>1</v>
      </c>
    </row>
    <row r="940" spans="1:2" x14ac:dyDescent="0.25">
      <c r="A940" s="16" t="s">
        <v>6691</v>
      </c>
      <c r="B940" s="17">
        <v>1</v>
      </c>
    </row>
    <row r="941" spans="1:2" x14ac:dyDescent="0.25">
      <c r="A941" s="16" t="s">
        <v>6692</v>
      </c>
      <c r="B941" s="17">
        <v>1</v>
      </c>
    </row>
    <row r="942" spans="1:2" x14ac:dyDescent="0.25">
      <c r="A942" s="16" t="s">
        <v>6693</v>
      </c>
      <c r="B942" s="17">
        <v>1</v>
      </c>
    </row>
    <row r="943" spans="1:2" x14ac:dyDescent="0.25">
      <c r="A943" s="16" t="s">
        <v>6694</v>
      </c>
      <c r="B943" s="17">
        <v>1</v>
      </c>
    </row>
    <row r="944" spans="1:2" x14ac:dyDescent="0.25">
      <c r="A944" s="16" t="s">
        <v>6695</v>
      </c>
      <c r="B944" s="17">
        <v>1</v>
      </c>
    </row>
    <row r="945" spans="1:2" x14ac:dyDescent="0.25">
      <c r="A945" s="16" t="s">
        <v>6696</v>
      </c>
      <c r="B945" s="17">
        <v>1</v>
      </c>
    </row>
    <row r="946" spans="1:2" x14ac:dyDescent="0.25">
      <c r="A946" s="16" t="s">
        <v>6697</v>
      </c>
      <c r="B946" s="17">
        <v>1</v>
      </c>
    </row>
    <row r="947" spans="1:2" x14ac:dyDescent="0.25">
      <c r="A947" s="16" t="s">
        <v>6698</v>
      </c>
      <c r="B947" s="17">
        <v>1</v>
      </c>
    </row>
    <row r="948" spans="1:2" x14ac:dyDescent="0.25">
      <c r="A948" s="16" t="s">
        <v>6699</v>
      </c>
      <c r="B948" s="17">
        <v>1</v>
      </c>
    </row>
    <row r="949" spans="1:2" x14ac:dyDescent="0.25">
      <c r="A949" s="16" t="s">
        <v>6700</v>
      </c>
      <c r="B949" s="17">
        <v>1</v>
      </c>
    </row>
    <row r="950" spans="1:2" x14ac:dyDescent="0.25">
      <c r="A950" s="16" t="s">
        <v>6701</v>
      </c>
      <c r="B950" s="17">
        <v>1</v>
      </c>
    </row>
    <row r="951" spans="1:2" x14ac:dyDescent="0.25">
      <c r="A951" s="16" t="s">
        <v>6702</v>
      </c>
      <c r="B951" s="17">
        <v>1</v>
      </c>
    </row>
    <row r="952" spans="1:2" x14ac:dyDescent="0.25">
      <c r="A952" s="16" t="s">
        <v>6703</v>
      </c>
      <c r="B952" s="17">
        <v>1</v>
      </c>
    </row>
    <row r="953" spans="1:2" x14ac:dyDescent="0.25">
      <c r="A953" s="16" t="s">
        <v>6704</v>
      </c>
      <c r="B953" s="17">
        <v>1</v>
      </c>
    </row>
    <row r="954" spans="1:2" x14ac:dyDescent="0.25">
      <c r="A954" s="16" t="s">
        <v>6705</v>
      </c>
      <c r="B954" s="17">
        <v>1</v>
      </c>
    </row>
    <row r="955" spans="1:2" x14ac:dyDescent="0.25">
      <c r="A955" s="16" t="s">
        <v>6706</v>
      </c>
      <c r="B955" s="17">
        <v>1</v>
      </c>
    </row>
    <row r="956" spans="1:2" x14ac:dyDescent="0.25">
      <c r="A956" s="16" t="s">
        <v>6707</v>
      </c>
      <c r="B956" s="17">
        <v>1</v>
      </c>
    </row>
    <row r="957" spans="1:2" x14ac:dyDescent="0.25">
      <c r="A957" s="16" t="s">
        <v>6708</v>
      </c>
      <c r="B957" s="17">
        <v>1</v>
      </c>
    </row>
    <row r="958" spans="1:2" x14ac:dyDescent="0.25">
      <c r="A958" s="16" t="s">
        <v>6709</v>
      </c>
      <c r="B958" s="17">
        <v>1</v>
      </c>
    </row>
    <row r="959" spans="1:2" x14ac:dyDescent="0.25">
      <c r="A959" s="16" t="s">
        <v>6710</v>
      </c>
      <c r="B959" s="17">
        <v>1</v>
      </c>
    </row>
    <row r="960" spans="1:2" x14ac:dyDescent="0.25">
      <c r="A960" s="16" t="s">
        <v>6711</v>
      </c>
      <c r="B960" s="17">
        <v>1</v>
      </c>
    </row>
    <row r="961" spans="1:2" x14ac:dyDescent="0.25">
      <c r="A961" s="16" t="s">
        <v>6712</v>
      </c>
      <c r="B961" s="17">
        <v>1</v>
      </c>
    </row>
    <row r="962" spans="1:2" x14ac:dyDescent="0.25">
      <c r="A962" s="16" t="s">
        <v>6713</v>
      </c>
      <c r="B962" s="17">
        <v>1</v>
      </c>
    </row>
    <row r="963" spans="1:2" x14ac:dyDescent="0.25">
      <c r="A963" s="16" t="s">
        <v>6714</v>
      </c>
      <c r="B963" s="17">
        <v>1</v>
      </c>
    </row>
    <row r="964" spans="1:2" x14ac:dyDescent="0.25">
      <c r="A964" s="16" t="s">
        <v>6715</v>
      </c>
      <c r="B964" s="17">
        <v>1</v>
      </c>
    </row>
    <row r="965" spans="1:2" x14ac:dyDescent="0.25">
      <c r="A965" s="16" t="s">
        <v>6716</v>
      </c>
      <c r="B965" s="17">
        <v>1</v>
      </c>
    </row>
    <row r="966" spans="1:2" x14ac:dyDescent="0.25">
      <c r="A966" s="16" t="s">
        <v>6717</v>
      </c>
      <c r="B966" s="17">
        <v>1</v>
      </c>
    </row>
    <row r="967" spans="1:2" x14ac:dyDescent="0.25">
      <c r="A967" s="16" t="s">
        <v>6718</v>
      </c>
      <c r="B967" s="17">
        <v>1</v>
      </c>
    </row>
    <row r="968" spans="1:2" x14ac:dyDescent="0.25">
      <c r="A968" s="16" t="s">
        <v>6719</v>
      </c>
      <c r="B968" s="17">
        <v>1</v>
      </c>
    </row>
    <row r="969" spans="1:2" x14ac:dyDescent="0.25">
      <c r="A969" s="16" t="s">
        <v>6720</v>
      </c>
      <c r="B969" s="17">
        <v>1</v>
      </c>
    </row>
    <row r="970" spans="1:2" x14ac:dyDescent="0.25">
      <c r="A970" s="16" t="s">
        <v>6721</v>
      </c>
      <c r="B970" s="17">
        <v>1</v>
      </c>
    </row>
    <row r="971" spans="1:2" x14ac:dyDescent="0.25">
      <c r="A971" s="16" t="s">
        <v>6722</v>
      </c>
      <c r="B971" s="17">
        <v>1</v>
      </c>
    </row>
    <row r="972" spans="1:2" x14ac:dyDescent="0.25">
      <c r="A972" s="16" t="s">
        <v>6723</v>
      </c>
      <c r="B972" s="17">
        <v>1</v>
      </c>
    </row>
    <row r="973" spans="1:2" x14ac:dyDescent="0.25">
      <c r="A973" s="16" t="s">
        <v>6724</v>
      </c>
      <c r="B973" s="17">
        <v>1</v>
      </c>
    </row>
    <row r="974" spans="1:2" x14ac:dyDescent="0.25">
      <c r="A974" s="16" t="s">
        <v>6725</v>
      </c>
      <c r="B974" s="17">
        <v>1</v>
      </c>
    </row>
    <row r="975" spans="1:2" x14ac:dyDescent="0.25">
      <c r="A975" s="16" t="s">
        <v>6726</v>
      </c>
      <c r="B975" s="17">
        <v>1</v>
      </c>
    </row>
    <row r="976" spans="1:2" x14ac:dyDescent="0.25">
      <c r="A976" s="16" t="s">
        <v>6727</v>
      </c>
      <c r="B976" s="17">
        <v>1</v>
      </c>
    </row>
    <row r="977" spans="1:2" x14ac:dyDescent="0.25">
      <c r="A977" s="16" t="s">
        <v>6728</v>
      </c>
      <c r="B977" s="17">
        <v>1</v>
      </c>
    </row>
    <row r="978" spans="1:2" x14ac:dyDescent="0.25">
      <c r="A978" s="16" t="s">
        <v>6729</v>
      </c>
      <c r="B978" s="17">
        <v>1</v>
      </c>
    </row>
    <row r="979" spans="1:2" x14ac:dyDescent="0.25">
      <c r="A979" s="16" t="s">
        <v>6730</v>
      </c>
      <c r="B979" s="17">
        <v>1</v>
      </c>
    </row>
    <row r="980" spans="1:2" x14ac:dyDescent="0.25">
      <c r="A980" s="16" t="s">
        <v>6731</v>
      </c>
      <c r="B980" s="17">
        <v>1</v>
      </c>
    </row>
    <row r="981" spans="1:2" x14ac:dyDescent="0.25">
      <c r="A981" s="16" t="s">
        <v>6732</v>
      </c>
      <c r="B981" s="17">
        <v>1</v>
      </c>
    </row>
    <row r="982" spans="1:2" x14ac:dyDescent="0.25">
      <c r="A982" s="16" t="s">
        <v>6733</v>
      </c>
      <c r="B982" s="17">
        <v>1</v>
      </c>
    </row>
    <row r="983" spans="1:2" x14ac:dyDescent="0.25">
      <c r="A983" s="16" t="s">
        <v>6734</v>
      </c>
      <c r="B983" s="17">
        <v>1</v>
      </c>
    </row>
    <row r="984" spans="1:2" x14ac:dyDescent="0.25">
      <c r="A984" s="16" t="s">
        <v>6735</v>
      </c>
      <c r="B984" s="17">
        <v>1</v>
      </c>
    </row>
    <row r="985" spans="1:2" x14ac:dyDescent="0.25">
      <c r="A985" s="16" t="s">
        <v>6736</v>
      </c>
      <c r="B985" s="17">
        <v>1</v>
      </c>
    </row>
    <row r="986" spans="1:2" x14ac:dyDescent="0.25">
      <c r="A986" s="16" t="s">
        <v>6737</v>
      </c>
      <c r="B986" s="17">
        <v>1</v>
      </c>
    </row>
    <row r="987" spans="1:2" x14ac:dyDescent="0.25">
      <c r="A987" s="16" t="s">
        <v>6738</v>
      </c>
      <c r="B987" s="17">
        <v>1</v>
      </c>
    </row>
    <row r="988" spans="1:2" x14ac:dyDescent="0.25">
      <c r="A988" s="16" t="s">
        <v>6739</v>
      </c>
      <c r="B988" s="17">
        <v>1</v>
      </c>
    </row>
    <row r="989" spans="1:2" x14ac:dyDescent="0.25">
      <c r="A989" s="16" t="s">
        <v>6740</v>
      </c>
      <c r="B989" s="17">
        <v>1</v>
      </c>
    </row>
    <row r="990" spans="1:2" x14ac:dyDescent="0.25">
      <c r="A990" s="16" t="s">
        <v>6741</v>
      </c>
      <c r="B990" s="17">
        <v>1</v>
      </c>
    </row>
    <row r="991" spans="1:2" x14ac:dyDescent="0.25">
      <c r="A991" s="16" t="s">
        <v>6742</v>
      </c>
      <c r="B991" s="17">
        <v>1</v>
      </c>
    </row>
    <row r="992" spans="1:2" x14ac:dyDescent="0.25">
      <c r="A992" s="16" t="s">
        <v>6743</v>
      </c>
      <c r="B992" s="17">
        <v>1</v>
      </c>
    </row>
    <row r="993" spans="1:2" x14ac:dyDescent="0.25">
      <c r="A993" s="16" t="s">
        <v>6744</v>
      </c>
      <c r="B993" s="17">
        <v>1</v>
      </c>
    </row>
    <row r="994" spans="1:2" x14ac:dyDescent="0.25">
      <c r="A994" s="16" t="s">
        <v>6745</v>
      </c>
      <c r="B994" s="17">
        <v>1</v>
      </c>
    </row>
    <row r="995" spans="1:2" x14ac:dyDescent="0.25">
      <c r="A995" s="16" t="s">
        <v>6746</v>
      </c>
      <c r="B995" s="17">
        <v>1</v>
      </c>
    </row>
    <row r="996" spans="1:2" x14ac:dyDescent="0.25">
      <c r="A996" s="16" t="s">
        <v>6747</v>
      </c>
      <c r="B996" s="17">
        <v>1</v>
      </c>
    </row>
    <row r="997" spans="1:2" x14ac:dyDescent="0.25">
      <c r="A997" s="16" t="s">
        <v>6748</v>
      </c>
      <c r="B997" s="17">
        <v>1</v>
      </c>
    </row>
    <row r="998" spans="1:2" x14ac:dyDescent="0.25">
      <c r="A998" s="16" t="s">
        <v>6749</v>
      </c>
      <c r="B998" s="17">
        <v>1</v>
      </c>
    </row>
    <row r="999" spans="1:2" x14ac:dyDescent="0.25">
      <c r="A999" s="16" t="s">
        <v>6750</v>
      </c>
      <c r="B999" s="17">
        <v>1</v>
      </c>
    </row>
    <row r="1000" spans="1:2" x14ac:dyDescent="0.25">
      <c r="A1000" s="16" t="s">
        <v>6751</v>
      </c>
      <c r="B1000" s="17">
        <v>1</v>
      </c>
    </row>
    <row r="1001" spans="1:2" x14ac:dyDescent="0.25">
      <c r="A1001" s="16" t="s">
        <v>6752</v>
      </c>
      <c r="B1001" s="17">
        <v>1</v>
      </c>
    </row>
    <row r="1002" spans="1:2" x14ac:dyDescent="0.25">
      <c r="A1002" s="16" t="s">
        <v>6753</v>
      </c>
      <c r="B1002" s="17">
        <v>1</v>
      </c>
    </row>
    <row r="1003" spans="1:2" x14ac:dyDescent="0.25">
      <c r="A1003" s="16" t="s">
        <v>6754</v>
      </c>
      <c r="B1003" s="17">
        <v>1</v>
      </c>
    </row>
    <row r="1004" spans="1:2" x14ac:dyDescent="0.25">
      <c r="A1004" s="16" t="s">
        <v>6755</v>
      </c>
      <c r="B1004" s="17">
        <v>1</v>
      </c>
    </row>
    <row r="1005" spans="1:2" x14ac:dyDescent="0.25">
      <c r="A1005" s="16" t="s">
        <v>6756</v>
      </c>
      <c r="B1005" s="17">
        <v>1</v>
      </c>
    </row>
    <row r="1006" spans="1:2" x14ac:dyDescent="0.25">
      <c r="A1006" s="16" t="s">
        <v>6757</v>
      </c>
      <c r="B1006" s="17">
        <v>1</v>
      </c>
    </row>
    <row r="1007" spans="1:2" x14ac:dyDescent="0.25">
      <c r="A1007" s="16" t="s">
        <v>6758</v>
      </c>
      <c r="B1007" s="17">
        <v>1</v>
      </c>
    </row>
    <row r="1008" spans="1:2" x14ac:dyDescent="0.25">
      <c r="A1008" s="16" t="s">
        <v>6759</v>
      </c>
      <c r="B1008" s="17">
        <v>1</v>
      </c>
    </row>
    <row r="1009" spans="1:2" x14ac:dyDescent="0.25">
      <c r="A1009" s="16" t="s">
        <v>6760</v>
      </c>
      <c r="B1009" s="17">
        <v>1</v>
      </c>
    </row>
    <row r="1010" spans="1:2" x14ac:dyDescent="0.25">
      <c r="A1010" s="16" t="s">
        <v>6761</v>
      </c>
      <c r="B1010" s="17">
        <v>1</v>
      </c>
    </row>
    <row r="1011" spans="1:2" x14ac:dyDescent="0.25">
      <c r="A1011" s="16" t="s">
        <v>6762</v>
      </c>
      <c r="B1011" s="17">
        <v>1</v>
      </c>
    </row>
    <row r="1012" spans="1:2" x14ac:dyDescent="0.25">
      <c r="A1012" s="16" t="s">
        <v>6763</v>
      </c>
      <c r="B1012" s="17">
        <v>1</v>
      </c>
    </row>
    <row r="1013" spans="1:2" x14ac:dyDescent="0.25">
      <c r="A1013" s="16" t="s">
        <v>6764</v>
      </c>
      <c r="B1013" s="17">
        <v>1</v>
      </c>
    </row>
    <row r="1014" spans="1:2" x14ac:dyDescent="0.25">
      <c r="A1014" s="16" t="s">
        <v>6765</v>
      </c>
      <c r="B1014" s="17">
        <v>1</v>
      </c>
    </row>
    <row r="1015" spans="1:2" x14ac:dyDescent="0.25">
      <c r="A1015" s="16" t="s">
        <v>6766</v>
      </c>
      <c r="B1015" s="17">
        <v>1</v>
      </c>
    </row>
    <row r="1016" spans="1:2" x14ac:dyDescent="0.25">
      <c r="A1016" s="16" t="s">
        <v>6767</v>
      </c>
      <c r="B1016" s="17">
        <v>1</v>
      </c>
    </row>
    <row r="1017" spans="1:2" x14ac:dyDescent="0.25">
      <c r="A1017" s="16" t="s">
        <v>6768</v>
      </c>
      <c r="B1017" s="17">
        <v>1</v>
      </c>
    </row>
    <row r="1018" spans="1:2" x14ac:dyDescent="0.25">
      <c r="A1018" s="16" t="s">
        <v>6769</v>
      </c>
      <c r="B1018" s="17">
        <v>1</v>
      </c>
    </row>
    <row r="1019" spans="1:2" x14ac:dyDescent="0.25">
      <c r="A1019" s="16" t="s">
        <v>6770</v>
      </c>
      <c r="B1019" s="17">
        <v>1</v>
      </c>
    </row>
    <row r="1020" spans="1:2" x14ac:dyDescent="0.25">
      <c r="A1020" s="16" t="s">
        <v>6771</v>
      </c>
      <c r="B1020" s="17">
        <v>1</v>
      </c>
    </row>
    <row r="1021" spans="1:2" x14ac:dyDescent="0.25">
      <c r="A1021" s="16" t="s">
        <v>6772</v>
      </c>
      <c r="B1021" s="17">
        <v>1</v>
      </c>
    </row>
    <row r="1022" spans="1:2" x14ac:dyDescent="0.25">
      <c r="A1022" s="16" t="s">
        <v>6773</v>
      </c>
      <c r="B1022" s="17">
        <v>1</v>
      </c>
    </row>
    <row r="1023" spans="1:2" x14ac:dyDescent="0.25">
      <c r="A1023" s="16" t="s">
        <v>6774</v>
      </c>
      <c r="B1023" s="17">
        <v>1</v>
      </c>
    </row>
    <row r="1024" spans="1:2" x14ac:dyDescent="0.25">
      <c r="A1024" s="16" t="s">
        <v>6775</v>
      </c>
      <c r="B1024" s="17">
        <v>1</v>
      </c>
    </row>
    <row r="1025" spans="1:2" x14ac:dyDescent="0.25">
      <c r="A1025" s="16" t="s">
        <v>6776</v>
      </c>
      <c r="B1025" s="17">
        <v>1</v>
      </c>
    </row>
    <row r="1026" spans="1:2" x14ac:dyDescent="0.25">
      <c r="A1026" s="16" t="s">
        <v>6777</v>
      </c>
      <c r="B1026" s="17">
        <v>1</v>
      </c>
    </row>
    <row r="1027" spans="1:2" x14ac:dyDescent="0.25">
      <c r="A1027" s="16" t="s">
        <v>6778</v>
      </c>
      <c r="B1027" s="17">
        <v>1</v>
      </c>
    </row>
    <row r="1028" spans="1:2" x14ac:dyDescent="0.25">
      <c r="A1028" s="16" t="s">
        <v>6779</v>
      </c>
      <c r="B1028" s="17">
        <v>1</v>
      </c>
    </row>
    <row r="1029" spans="1:2" x14ac:dyDescent="0.25">
      <c r="A1029" s="16" t="s">
        <v>6780</v>
      </c>
      <c r="B1029" s="17">
        <v>1</v>
      </c>
    </row>
    <row r="1030" spans="1:2" x14ac:dyDescent="0.25">
      <c r="A1030" s="16" t="s">
        <v>6781</v>
      </c>
      <c r="B1030" s="17">
        <v>1</v>
      </c>
    </row>
    <row r="1031" spans="1:2" x14ac:dyDescent="0.25">
      <c r="A1031" s="16" t="s">
        <v>6782</v>
      </c>
      <c r="B1031" s="17">
        <v>1</v>
      </c>
    </row>
    <row r="1032" spans="1:2" x14ac:dyDescent="0.25">
      <c r="A1032" s="16" t="s">
        <v>6783</v>
      </c>
      <c r="B1032" s="17">
        <v>1</v>
      </c>
    </row>
    <row r="1033" spans="1:2" x14ac:dyDescent="0.25">
      <c r="A1033" s="16" t="s">
        <v>6784</v>
      </c>
      <c r="B1033" s="17">
        <v>1</v>
      </c>
    </row>
    <row r="1034" spans="1:2" x14ac:dyDescent="0.25">
      <c r="A1034" s="16" t="s">
        <v>6785</v>
      </c>
      <c r="B1034" s="17">
        <v>1</v>
      </c>
    </row>
    <row r="1035" spans="1:2" x14ac:dyDescent="0.25">
      <c r="A1035" s="16" t="s">
        <v>6786</v>
      </c>
      <c r="B1035" s="17">
        <v>1</v>
      </c>
    </row>
    <row r="1036" spans="1:2" x14ac:dyDescent="0.25">
      <c r="A1036" s="16" t="s">
        <v>6787</v>
      </c>
      <c r="B1036" s="17">
        <v>1</v>
      </c>
    </row>
    <row r="1037" spans="1:2" x14ac:dyDescent="0.25">
      <c r="A1037" s="16" t="s">
        <v>6788</v>
      </c>
      <c r="B1037" s="17">
        <v>1</v>
      </c>
    </row>
    <row r="1038" spans="1:2" x14ac:dyDescent="0.25">
      <c r="A1038" s="16" t="s">
        <v>6789</v>
      </c>
      <c r="B1038" s="17">
        <v>1</v>
      </c>
    </row>
    <row r="1039" spans="1:2" x14ac:dyDescent="0.25">
      <c r="A1039" s="16" t="s">
        <v>6790</v>
      </c>
      <c r="B1039" s="17">
        <v>1</v>
      </c>
    </row>
    <row r="1040" spans="1:2" x14ac:dyDescent="0.25">
      <c r="A1040" s="16" t="s">
        <v>6791</v>
      </c>
      <c r="B1040" s="17">
        <v>1</v>
      </c>
    </row>
    <row r="1041" spans="1:2" x14ac:dyDescent="0.25">
      <c r="A1041" s="16" t="s">
        <v>6792</v>
      </c>
      <c r="B1041" s="17">
        <v>1</v>
      </c>
    </row>
    <row r="1042" spans="1:2" x14ac:dyDescent="0.25">
      <c r="A1042" s="16" t="s">
        <v>6793</v>
      </c>
      <c r="B1042" s="17">
        <v>1</v>
      </c>
    </row>
    <row r="1043" spans="1:2" x14ac:dyDescent="0.25">
      <c r="A1043" s="16" t="s">
        <v>6794</v>
      </c>
      <c r="B1043" s="17">
        <v>1</v>
      </c>
    </row>
    <row r="1044" spans="1:2" x14ac:dyDescent="0.25">
      <c r="A1044" s="16" t="s">
        <v>6795</v>
      </c>
      <c r="B1044" s="17">
        <v>1</v>
      </c>
    </row>
    <row r="1045" spans="1:2" x14ac:dyDescent="0.25">
      <c r="A1045" s="16" t="s">
        <v>6796</v>
      </c>
      <c r="B1045" s="17">
        <v>1</v>
      </c>
    </row>
    <row r="1046" spans="1:2" x14ac:dyDescent="0.25">
      <c r="A1046" s="16" t="s">
        <v>6797</v>
      </c>
      <c r="B1046" s="17">
        <v>1</v>
      </c>
    </row>
    <row r="1047" spans="1:2" x14ac:dyDescent="0.25">
      <c r="A1047" s="16" t="s">
        <v>6798</v>
      </c>
      <c r="B1047" s="17">
        <v>1</v>
      </c>
    </row>
    <row r="1048" spans="1:2" x14ac:dyDescent="0.25">
      <c r="A1048" s="16" t="s">
        <v>6799</v>
      </c>
      <c r="B1048" s="17">
        <v>1</v>
      </c>
    </row>
    <row r="1049" spans="1:2" x14ac:dyDescent="0.25">
      <c r="A1049" s="16" t="s">
        <v>6800</v>
      </c>
      <c r="B1049" s="18">
        <v>1</v>
      </c>
    </row>
    <row r="1050" spans="1:2" x14ac:dyDescent="0.25">
      <c r="A1050" s="19" t="s">
        <v>6801</v>
      </c>
      <c r="B1050" s="20">
        <v>5422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B143"/>
  <sheetViews>
    <sheetView topLeftCell="A100" zoomScaleNormal="100" workbookViewId="0">
      <selection activeCell="J3520" sqref="J3520"/>
    </sheetView>
  </sheetViews>
  <sheetFormatPr defaultColWidth="8.42578125" defaultRowHeight="15" x14ac:dyDescent="0.25"/>
  <cols>
    <col min="2" max="2" width="46.85546875" customWidth="1"/>
  </cols>
  <sheetData>
    <row r="2" spans="1:2" x14ac:dyDescent="0.25">
      <c r="A2" t="s">
        <v>0</v>
      </c>
      <c r="B2" t="s">
        <v>6802</v>
      </c>
    </row>
    <row r="3" spans="1:2" x14ac:dyDescent="0.25">
      <c r="A3" t="s">
        <v>6803</v>
      </c>
      <c r="B3" t="s">
        <v>2194</v>
      </c>
    </row>
    <row r="4" spans="1:2" x14ac:dyDescent="0.25">
      <c r="A4" t="s">
        <v>6804</v>
      </c>
      <c r="B4" t="s">
        <v>2355</v>
      </c>
    </row>
    <row r="5" spans="1:2" x14ac:dyDescent="0.25">
      <c r="A5" t="s">
        <v>6805</v>
      </c>
      <c r="B5" t="s">
        <v>4047</v>
      </c>
    </row>
    <row r="6" spans="1:2" x14ac:dyDescent="0.25">
      <c r="A6" t="s">
        <v>6806</v>
      </c>
      <c r="B6" t="s">
        <v>3772</v>
      </c>
    </row>
    <row r="7" spans="1:2" x14ac:dyDescent="0.25">
      <c r="A7" t="s">
        <v>6807</v>
      </c>
      <c r="B7" t="s">
        <v>4297</v>
      </c>
    </row>
    <row r="8" spans="1:2" x14ac:dyDescent="0.25">
      <c r="A8" t="s">
        <v>6808</v>
      </c>
      <c r="B8" t="s">
        <v>3224</v>
      </c>
    </row>
    <row r="9" spans="1:2" x14ac:dyDescent="0.25">
      <c r="A9" t="s">
        <v>6809</v>
      </c>
      <c r="B9" t="s">
        <v>3389</v>
      </c>
    </row>
    <row r="10" spans="1:2" x14ac:dyDescent="0.25">
      <c r="A10" t="s">
        <v>6810</v>
      </c>
      <c r="B10" t="s">
        <v>3597</v>
      </c>
    </row>
    <row r="11" spans="1:2" x14ac:dyDescent="0.25">
      <c r="A11" t="s">
        <v>6811</v>
      </c>
      <c r="B11" t="s">
        <v>161</v>
      </c>
    </row>
    <row r="12" spans="1:2" x14ac:dyDescent="0.25">
      <c r="A12" t="s">
        <v>6812</v>
      </c>
      <c r="B12" t="s">
        <v>3171</v>
      </c>
    </row>
    <row r="13" spans="1:2" x14ac:dyDescent="0.25">
      <c r="A13" t="s">
        <v>6813</v>
      </c>
      <c r="B13" t="s">
        <v>1200</v>
      </c>
    </row>
    <row r="14" spans="1:2" x14ac:dyDescent="0.25">
      <c r="A14" t="s">
        <v>6814</v>
      </c>
      <c r="B14" t="s">
        <v>2506</v>
      </c>
    </row>
    <row r="15" spans="1:2" x14ac:dyDescent="0.25">
      <c r="A15" t="s">
        <v>6815</v>
      </c>
      <c r="B15" t="s">
        <v>4414</v>
      </c>
    </row>
    <row r="16" spans="1:2" x14ac:dyDescent="0.25">
      <c r="A16" t="s">
        <v>6816</v>
      </c>
      <c r="B16" t="s">
        <v>2864</v>
      </c>
    </row>
    <row r="17" spans="1:2" x14ac:dyDescent="0.25">
      <c r="A17" t="s">
        <v>6817</v>
      </c>
      <c r="B17" t="s">
        <v>3451</v>
      </c>
    </row>
    <row r="18" spans="1:2" x14ac:dyDescent="0.25">
      <c r="A18" t="s">
        <v>6818</v>
      </c>
      <c r="B18" t="s">
        <v>2963</v>
      </c>
    </row>
    <row r="19" spans="1:2" x14ac:dyDescent="0.25">
      <c r="A19" t="s">
        <v>6819</v>
      </c>
      <c r="B19" t="s">
        <v>4607</v>
      </c>
    </row>
    <row r="20" spans="1:2" x14ac:dyDescent="0.25">
      <c r="A20" t="s">
        <v>6820</v>
      </c>
      <c r="B20" t="s">
        <v>5253</v>
      </c>
    </row>
    <row r="21" spans="1:2" x14ac:dyDescent="0.25">
      <c r="A21" t="s">
        <v>6821</v>
      </c>
      <c r="B21" t="s">
        <v>5688</v>
      </c>
    </row>
    <row r="22" spans="1:2" x14ac:dyDescent="0.25">
      <c r="A22" t="s">
        <v>6822</v>
      </c>
      <c r="B22" t="s">
        <v>1734</v>
      </c>
    </row>
    <row r="23" spans="1:2" x14ac:dyDescent="0.25">
      <c r="A23" t="s">
        <v>6823</v>
      </c>
      <c r="B23" t="s">
        <v>346</v>
      </c>
    </row>
    <row r="24" spans="1:2" x14ac:dyDescent="0.25">
      <c r="A24" t="s">
        <v>6824</v>
      </c>
      <c r="B24" t="s">
        <v>1775</v>
      </c>
    </row>
    <row r="25" spans="1:2" x14ac:dyDescent="0.25">
      <c r="A25" t="s">
        <v>6825</v>
      </c>
      <c r="B25" t="s">
        <v>2300</v>
      </c>
    </row>
    <row r="26" spans="1:2" x14ac:dyDescent="0.25">
      <c r="A26" t="s">
        <v>6826</v>
      </c>
      <c r="B26" t="s">
        <v>1470</v>
      </c>
    </row>
    <row r="27" spans="1:2" x14ac:dyDescent="0.25">
      <c r="A27" t="s">
        <v>6827</v>
      </c>
      <c r="B27" t="s">
        <v>3364</v>
      </c>
    </row>
    <row r="28" spans="1:2" x14ac:dyDescent="0.25">
      <c r="A28" t="s">
        <v>6828</v>
      </c>
      <c r="B28" t="s">
        <v>3750</v>
      </c>
    </row>
    <row r="29" spans="1:2" x14ac:dyDescent="0.25">
      <c r="A29" t="s">
        <v>6829</v>
      </c>
      <c r="B29" t="s">
        <v>1509</v>
      </c>
    </row>
    <row r="30" spans="1:2" x14ac:dyDescent="0.25">
      <c r="A30" t="s">
        <v>6830</v>
      </c>
      <c r="B30" t="s">
        <v>5156</v>
      </c>
    </row>
    <row r="31" spans="1:2" x14ac:dyDescent="0.25">
      <c r="A31" t="s">
        <v>6831</v>
      </c>
      <c r="B31" t="s">
        <v>4939</v>
      </c>
    </row>
    <row r="32" spans="1:2" x14ac:dyDescent="0.25">
      <c r="A32" t="s">
        <v>6832</v>
      </c>
      <c r="B32" t="s">
        <v>1558</v>
      </c>
    </row>
    <row r="33" spans="1:2" x14ac:dyDescent="0.25">
      <c r="A33" t="s">
        <v>6833</v>
      </c>
      <c r="B33" t="s">
        <v>586</v>
      </c>
    </row>
    <row r="34" spans="1:2" x14ac:dyDescent="0.25">
      <c r="A34" t="s">
        <v>6834</v>
      </c>
      <c r="B34" t="s">
        <v>5358</v>
      </c>
    </row>
    <row r="35" spans="1:2" x14ac:dyDescent="0.25">
      <c r="A35" t="s">
        <v>6835</v>
      </c>
      <c r="B35" t="s">
        <v>2354</v>
      </c>
    </row>
    <row r="36" spans="1:2" x14ac:dyDescent="0.25">
      <c r="A36" t="s">
        <v>6836</v>
      </c>
      <c r="B36" t="s">
        <v>835</v>
      </c>
    </row>
    <row r="37" spans="1:2" x14ac:dyDescent="0.25">
      <c r="A37" t="s">
        <v>6837</v>
      </c>
      <c r="B37" t="s">
        <v>2418</v>
      </c>
    </row>
    <row r="38" spans="1:2" x14ac:dyDescent="0.25">
      <c r="A38" t="s">
        <v>6838</v>
      </c>
      <c r="B38" t="s">
        <v>2764</v>
      </c>
    </row>
    <row r="39" spans="1:2" x14ac:dyDescent="0.25">
      <c r="A39" t="s">
        <v>6839</v>
      </c>
      <c r="B39" t="s">
        <v>4283</v>
      </c>
    </row>
    <row r="40" spans="1:2" x14ac:dyDescent="0.25">
      <c r="A40" t="s">
        <v>6840</v>
      </c>
      <c r="B40" t="s">
        <v>5610</v>
      </c>
    </row>
    <row r="41" spans="1:2" x14ac:dyDescent="0.25">
      <c r="A41" t="s">
        <v>6841</v>
      </c>
      <c r="B41" t="s">
        <v>140</v>
      </c>
    </row>
    <row r="42" spans="1:2" x14ac:dyDescent="0.25">
      <c r="A42" t="s">
        <v>6842</v>
      </c>
      <c r="B42" t="s">
        <v>6843</v>
      </c>
    </row>
    <row r="43" spans="1:2" x14ac:dyDescent="0.25">
      <c r="A43" t="s">
        <v>6844</v>
      </c>
      <c r="B43" t="s">
        <v>3998</v>
      </c>
    </row>
    <row r="44" spans="1:2" x14ac:dyDescent="0.25">
      <c r="A44" t="s">
        <v>6845</v>
      </c>
      <c r="B44" t="s">
        <v>1637</v>
      </c>
    </row>
    <row r="45" spans="1:2" x14ac:dyDescent="0.25">
      <c r="A45" t="s">
        <v>6846</v>
      </c>
      <c r="B45" t="s">
        <v>2846</v>
      </c>
    </row>
    <row r="46" spans="1:2" x14ac:dyDescent="0.25">
      <c r="A46" t="s">
        <v>6847</v>
      </c>
      <c r="B46" t="s">
        <v>228</v>
      </c>
    </row>
    <row r="47" spans="1:2" x14ac:dyDescent="0.25">
      <c r="A47" t="s">
        <v>6848</v>
      </c>
      <c r="B47" t="s">
        <v>3713</v>
      </c>
    </row>
    <row r="48" spans="1:2" x14ac:dyDescent="0.25">
      <c r="A48" t="s">
        <v>6849</v>
      </c>
      <c r="B48" t="s">
        <v>31</v>
      </c>
    </row>
    <row r="49" spans="1:2" x14ac:dyDescent="0.25">
      <c r="A49" t="s">
        <v>6850</v>
      </c>
      <c r="B49" t="s">
        <v>2724</v>
      </c>
    </row>
    <row r="50" spans="1:2" x14ac:dyDescent="0.25">
      <c r="A50" t="s">
        <v>6851</v>
      </c>
      <c r="B50" t="s">
        <v>1268</v>
      </c>
    </row>
    <row r="51" spans="1:2" x14ac:dyDescent="0.25">
      <c r="A51" t="s">
        <v>6852</v>
      </c>
      <c r="B51" t="s">
        <v>4102</v>
      </c>
    </row>
    <row r="52" spans="1:2" x14ac:dyDescent="0.25">
      <c r="A52" t="s">
        <v>6853</v>
      </c>
      <c r="B52" t="s">
        <v>360</v>
      </c>
    </row>
    <row r="53" spans="1:2" x14ac:dyDescent="0.25">
      <c r="A53" t="s">
        <v>6854</v>
      </c>
      <c r="B53" t="s">
        <v>3101</v>
      </c>
    </row>
    <row r="54" spans="1:2" x14ac:dyDescent="0.25">
      <c r="A54" t="s">
        <v>6855</v>
      </c>
      <c r="B54" t="s">
        <v>5657</v>
      </c>
    </row>
    <row r="55" spans="1:2" x14ac:dyDescent="0.25">
      <c r="A55" t="s">
        <v>6856</v>
      </c>
      <c r="B55" t="s">
        <v>160</v>
      </c>
    </row>
    <row r="56" spans="1:2" x14ac:dyDescent="0.25">
      <c r="A56" t="s">
        <v>6857</v>
      </c>
      <c r="B56" t="s">
        <v>60</v>
      </c>
    </row>
    <row r="57" spans="1:2" x14ac:dyDescent="0.25">
      <c r="A57" t="s">
        <v>6858</v>
      </c>
      <c r="B57" t="s">
        <v>1588</v>
      </c>
    </row>
    <row r="58" spans="1:2" x14ac:dyDescent="0.25">
      <c r="A58" t="s">
        <v>6859</v>
      </c>
      <c r="B58" t="s">
        <v>3238</v>
      </c>
    </row>
    <row r="59" spans="1:2" x14ac:dyDescent="0.25">
      <c r="A59" t="s">
        <v>6860</v>
      </c>
      <c r="B59" t="s">
        <v>2978</v>
      </c>
    </row>
    <row r="60" spans="1:2" x14ac:dyDescent="0.25">
      <c r="A60" t="s">
        <v>6861</v>
      </c>
      <c r="B60" t="s">
        <v>5023</v>
      </c>
    </row>
    <row r="61" spans="1:2" x14ac:dyDescent="0.25">
      <c r="A61" t="s">
        <v>6862</v>
      </c>
      <c r="B61" t="s">
        <v>4737</v>
      </c>
    </row>
    <row r="62" spans="1:2" x14ac:dyDescent="0.25">
      <c r="A62" t="s">
        <v>6863</v>
      </c>
      <c r="B62" t="s">
        <v>1320</v>
      </c>
    </row>
    <row r="63" spans="1:2" x14ac:dyDescent="0.25">
      <c r="A63" t="s">
        <v>6864</v>
      </c>
      <c r="B63" t="s">
        <v>2454</v>
      </c>
    </row>
    <row r="64" spans="1:2" x14ac:dyDescent="0.25">
      <c r="A64" t="s">
        <v>6865</v>
      </c>
      <c r="B64" t="s">
        <v>803</v>
      </c>
    </row>
    <row r="65" spans="1:2" x14ac:dyDescent="0.25">
      <c r="A65" t="s">
        <v>6866</v>
      </c>
      <c r="B65" t="s">
        <v>3749</v>
      </c>
    </row>
    <row r="66" spans="1:2" x14ac:dyDescent="0.25">
      <c r="A66" t="s">
        <v>6867</v>
      </c>
      <c r="B66" t="s">
        <v>4000</v>
      </c>
    </row>
    <row r="67" spans="1:2" x14ac:dyDescent="0.25">
      <c r="A67" t="s">
        <v>6868</v>
      </c>
      <c r="B67" t="s">
        <v>1384</v>
      </c>
    </row>
    <row r="68" spans="1:2" x14ac:dyDescent="0.25">
      <c r="A68" t="s">
        <v>6869</v>
      </c>
      <c r="B68" t="s">
        <v>1871</v>
      </c>
    </row>
    <row r="69" spans="1:2" x14ac:dyDescent="0.25">
      <c r="A69" t="s">
        <v>6870</v>
      </c>
      <c r="B69" t="s">
        <v>2106</v>
      </c>
    </row>
    <row r="70" spans="1:2" x14ac:dyDescent="0.25">
      <c r="A70" t="s">
        <v>6871</v>
      </c>
      <c r="B70" t="s">
        <v>2809</v>
      </c>
    </row>
    <row r="71" spans="1:2" x14ac:dyDescent="0.25">
      <c r="A71" t="s">
        <v>6872</v>
      </c>
      <c r="B71" t="s">
        <v>3983</v>
      </c>
    </row>
    <row r="72" spans="1:2" x14ac:dyDescent="0.25">
      <c r="A72" t="s">
        <v>6873</v>
      </c>
      <c r="B72" t="s">
        <v>1253</v>
      </c>
    </row>
    <row r="73" spans="1:2" x14ac:dyDescent="0.25">
      <c r="A73" t="s">
        <v>6874</v>
      </c>
      <c r="B73" t="s">
        <v>2572</v>
      </c>
    </row>
    <row r="74" spans="1:2" x14ac:dyDescent="0.25">
      <c r="A74" t="s">
        <v>6875</v>
      </c>
      <c r="B74" t="s">
        <v>1893</v>
      </c>
    </row>
    <row r="75" spans="1:2" x14ac:dyDescent="0.25">
      <c r="A75" t="s">
        <v>6876</v>
      </c>
      <c r="B75" t="s">
        <v>4743</v>
      </c>
    </row>
    <row r="76" spans="1:2" x14ac:dyDescent="0.25">
      <c r="A76" t="s">
        <v>6877</v>
      </c>
      <c r="B76" t="s">
        <v>3692</v>
      </c>
    </row>
    <row r="77" spans="1:2" x14ac:dyDescent="0.25">
      <c r="A77" t="s">
        <v>6878</v>
      </c>
      <c r="B77" t="s">
        <v>1513</v>
      </c>
    </row>
    <row r="78" spans="1:2" x14ac:dyDescent="0.25">
      <c r="A78" t="s">
        <v>6879</v>
      </c>
      <c r="B78" t="s">
        <v>1082</v>
      </c>
    </row>
    <row r="79" spans="1:2" x14ac:dyDescent="0.25">
      <c r="A79" t="s">
        <v>6880</v>
      </c>
      <c r="B79" t="s">
        <v>564</v>
      </c>
    </row>
    <row r="80" spans="1:2" x14ac:dyDescent="0.25">
      <c r="A80" t="s">
        <v>6881</v>
      </c>
      <c r="B80" t="s">
        <v>3850</v>
      </c>
    </row>
    <row r="81" spans="1:2" x14ac:dyDescent="0.25">
      <c r="A81" t="s">
        <v>6882</v>
      </c>
      <c r="B81" t="s">
        <v>1323</v>
      </c>
    </row>
    <row r="82" spans="1:2" x14ac:dyDescent="0.25">
      <c r="A82" t="s">
        <v>6883</v>
      </c>
      <c r="B82" t="s">
        <v>2308</v>
      </c>
    </row>
    <row r="83" spans="1:2" x14ac:dyDescent="0.25">
      <c r="A83" t="s">
        <v>6884</v>
      </c>
      <c r="B83" t="s">
        <v>4668</v>
      </c>
    </row>
    <row r="84" spans="1:2" x14ac:dyDescent="0.25">
      <c r="A84" t="s">
        <v>6885</v>
      </c>
      <c r="B84" t="s">
        <v>2075</v>
      </c>
    </row>
    <row r="85" spans="1:2" x14ac:dyDescent="0.25">
      <c r="A85" t="s">
        <v>6886</v>
      </c>
      <c r="B85" t="s">
        <v>119</v>
      </c>
    </row>
    <row r="86" spans="1:2" x14ac:dyDescent="0.25">
      <c r="A86" t="s">
        <v>6887</v>
      </c>
      <c r="B86" t="s">
        <v>3543</v>
      </c>
    </row>
    <row r="87" spans="1:2" x14ac:dyDescent="0.25">
      <c r="A87" t="s">
        <v>6888</v>
      </c>
      <c r="B87" t="s">
        <v>5614</v>
      </c>
    </row>
    <row r="88" spans="1:2" x14ac:dyDescent="0.25">
      <c r="A88" t="s">
        <v>6889</v>
      </c>
      <c r="B88" t="s">
        <v>5184</v>
      </c>
    </row>
    <row r="89" spans="1:2" x14ac:dyDescent="0.25">
      <c r="A89" t="s">
        <v>6890</v>
      </c>
      <c r="B89" t="s">
        <v>2589</v>
      </c>
    </row>
    <row r="90" spans="1:2" x14ac:dyDescent="0.25">
      <c r="A90" t="s">
        <v>6891</v>
      </c>
      <c r="B90" t="s">
        <v>4272</v>
      </c>
    </row>
    <row r="91" spans="1:2" x14ac:dyDescent="0.25">
      <c r="A91" t="s">
        <v>6892</v>
      </c>
      <c r="B91" t="s">
        <v>3704</v>
      </c>
    </row>
    <row r="92" spans="1:2" x14ac:dyDescent="0.25">
      <c r="A92" t="s">
        <v>6893</v>
      </c>
      <c r="B92" t="s">
        <v>4269</v>
      </c>
    </row>
    <row r="93" spans="1:2" x14ac:dyDescent="0.25">
      <c r="A93" t="s">
        <v>6894</v>
      </c>
      <c r="B93" t="s">
        <v>2648</v>
      </c>
    </row>
    <row r="94" spans="1:2" x14ac:dyDescent="0.25">
      <c r="A94" t="s">
        <v>6895</v>
      </c>
      <c r="B94" t="s">
        <v>1639</v>
      </c>
    </row>
    <row r="95" spans="1:2" x14ac:dyDescent="0.25">
      <c r="A95" t="s">
        <v>6896</v>
      </c>
      <c r="B95" t="s">
        <v>1300</v>
      </c>
    </row>
    <row r="96" spans="1:2" x14ac:dyDescent="0.25">
      <c r="A96" t="s">
        <v>6897</v>
      </c>
      <c r="B96" t="s">
        <v>1063</v>
      </c>
    </row>
    <row r="97" spans="1:2" x14ac:dyDescent="0.25">
      <c r="A97" t="s">
        <v>6898</v>
      </c>
      <c r="B97" t="s">
        <v>3418</v>
      </c>
    </row>
    <row r="98" spans="1:2" x14ac:dyDescent="0.25">
      <c r="A98" t="s">
        <v>6899</v>
      </c>
      <c r="B98" t="s">
        <v>4536</v>
      </c>
    </row>
    <row r="99" spans="1:2" x14ac:dyDescent="0.25">
      <c r="A99" t="s">
        <v>6900</v>
      </c>
      <c r="B99" t="s">
        <v>261</v>
      </c>
    </row>
    <row r="100" spans="1:2" x14ac:dyDescent="0.25">
      <c r="A100" t="s">
        <v>6901</v>
      </c>
      <c r="B100" t="s">
        <v>5600</v>
      </c>
    </row>
    <row r="101" spans="1:2" x14ac:dyDescent="0.25">
      <c r="A101" t="s">
        <v>6902</v>
      </c>
      <c r="B101" t="s">
        <v>3248</v>
      </c>
    </row>
    <row r="102" spans="1:2" x14ac:dyDescent="0.25">
      <c r="A102" t="s">
        <v>6903</v>
      </c>
      <c r="B102" t="s">
        <v>4135</v>
      </c>
    </row>
    <row r="103" spans="1:2" x14ac:dyDescent="0.25">
      <c r="A103" t="s">
        <v>6904</v>
      </c>
      <c r="B103" t="s">
        <v>1120</v>
      </c>
    </row>
    <row r="104" spans="1:2" x14ac:dyDescent="0.25">
      <c r="A104" t="s">
        <v>6905</v>
      </c>
      <c r="B104" t="s">
        <v>2643</v>
      </c>
    </row>
    <row r="105" spans="1:2" x14ac:dyDescent="0.25">
      <c r="A105" t="s">
        <v>6906</v>
      </c>
      <c r="B105" t="s">
        <v>1806</v>
      </c>
    </row>
    <row r="106" spans="1:2" x14ac:dyDescent="0.25">
      <c r="A106" t="s">
        <v>6907</v>
      </c>
      <c r="B106" t="s">
        <v>2751</v>
      </c>
    </row>
    <row r="107" spans="1:2" x14ac:dyDescent="0.25">
      <c r="A107" t="s">
        <v>6908</v>
      </c>
      <c r="B107" t="s">
        <v>5340</v>
      </c>
    </row>
    <row r="108" spans="1:2" x14ac:dyDescent="0.25">
      <c r="A108" t="s">
        <v>6909</v>
      </c>
      <c r="B108" t="s">
        <v>1836</v>
      </c>
    </row>
    <row r="109" spans="1:2" x14ac:dyDescent="0.25">
      <c r="A109" t="s">
        <v>6910</v>
      </c>
      <c r="B109" t="s">
        <v>4095</v>
      </c>
    </row>
    <row r="110" spans="1:2" x14ac:dyDescent="0.25">
      <c r="A110" t="s">
        <v>6911</v>
      </c>
      <c r="B110" t="s">
        <v>4101</v>
      </c>
    </row>
    <row r="111" spans="1:2" x14ac:dyDescent="0.25">
      <c r="A111" t="s">
        <v>6912</v>
      </c>
      <c r="B111" t="s">
        <v>4695</v>
      </c>
    </row>
    <row r="112" spans="1:2" x14ac:dyDescent="0.25">
      <c r="A112" t="s">
        <v>6913</v>
      </c>
      <c r="B112" t="s">
        <v>3875</v>
      </c>
    </row>
    <row r="113" spans="1:2" x14ac:dyDescent="0.25">
      <c r="A113" t="s">
        <v>6914</v>
      </c>
      <c r="B113" t="s">
        <v>1029</v>
      </c>
    </row>
    <row r="114" spans="1:2" x14ac:dyDescent="0.25">
      <c r="A114" t="s">
        <v>6915</v>
      </c>
      <c r="B114" t="s">
        <v>4905</v>
      </c>
    </row>
    <row r="115" spans="1:2" x14ac:dyDescent="0.25">
      <c r="A115" t="s">
        <v>6916</v>
      </c>
      <c r="B115" t="s">
        <v>1711</v>
      </c>
    </row>
    <row r="116" spans="1:2" x14ac:dyDescent="0.25">
      <c r="A116" t="s">
        <v>6917</v>
      </c>
      <c r="B116" t="s">
        <v>4372</v>
      </c>
    </row>
    <row r="117" spans="1:2" x14ac:dyDescent="0.25">
      <c r="A117" t="s">
        <v>6918</v>
      </c>
      <c r="B117" t="s">
        <v>2171</v>
      </c>
    </row>
    <row r="118" spans="1:2" x14ac:dyDescent="0.25">
      <c r="A118" t="s">
        <v>6919</v>
      </c>
      <c r="B118" t="s">
        <v>5243</v>
      </c>
    </row>
    <row r="119" spans="1:2" x14ac:dyDescent="0.25">
      <c r="A119" t="s">
        <v>6920</v>
      </c>
      <c r="B119" t="s">
        <v>3450</v>
      </c>
    </row>
    <row r="120" spans="1:2" x14ac:dyDescent="0.25">
      <c r="A120" t="s">
        <v>6921</v>
      </c>
      <c r="B120" t="s">
        <v>5451</v>
      </c>
    </row>
    <row r="121" spans="1:2" x14ac:dyDescent="0.25">
      <c r="A121" t="s">
        <v>6922</v>
      </c>
      <c r="B121" t="s">
        <v>4347</v>
      </c>
    </row>
    <row r="122" spans="1:2" x14ac:dyDescent="0.25">
      <c r="A122" t="s">
        <v>6923</v>
      </c>
      <c r="B122" t="s">
        <v>2838</v>
      </c>
    </row>
    <row r="123" spans="1:2" x14ac:dyDescent="0.25">
      <c r="A123" t="s">
        <v>6924</v>
      </c>
      <c r="B123" t="s">
        <v>905</v>
      </c>
    </row>
    <row r="124" spans="1:2" x14ac:dyDescent="0.25">
      <c r="A124" t="s">
        <v>6925</v>
      </c>
      <c r="B124" t="s">
        <v>1257</v>
      </c>
    </row>
    <row r="125" spans="1:2" x14ac:dyDescent="0.25">
      <c r="A125" t="s">
        <v>6926</v>
      </c>
      <c r="B125" t="s">
        <v>2883</v>
      </c>
    </row>
    <row r="126" spans="1:2" x14ac:dyDescent="0.25">
      <c r="A126" t="s">
        <v>6927</v>
      </c>
      <c r="B126" t="s">
        <v>5346</v>
      </c>
    </row>
    <row r="127" spans="1:2" x14ac:dyDescent="0.25">
      <c r="A127" t="s">
        <v>6928</v>
      </c>
      <c r="B127" t="s">
        <v>3587</v>
      </c>
    </row>
    <row r="128" spans="1:2" x14ac:dyDescent="0.25">
      <c r="A128" t="s">
        <v>6929</v>
      </c>
      <c r="B128" t="s">
        <v>3660</v>
      </c>
    </row>
    <row r="129" spans="1:2" x14ac:dyDescent="0.25">
      <c r="A129" t="s">
        <v>6930</v>
      </c>
      <c r="B129" t="s">
        <v>2657</v>
      </c>
    </row>
    <row r="130" spans="1:2" x14ac:dyDescent="0.25">
      <c r="A130" t="s">
        <v>6931</v>
      </c>
      <c r="B130" t="s">
        <v>2758</v>
      </c>
    </row>
    <row r="131" spans="1:2" x14ac:dyDescent="0.25">
      <c r="A131" t="s">
        <v>6932</v>
      </c>
      <c r="B131" t="s">
        <v>1078</v>
      </c>
    </row>
    <row r="132" spans="1:2" x14ac:dyDescent="0.25">
      <c r="A132" t="s">
        <v>6933</v>
      </c>
      <c r="B132" t="s">
        <v>5185</v>
      </c>
    </row>
    <row r="133" spans="1:2" x14ac:dyDescent="0.25">
      <c r="A133" t="s">
        <v>6934</v>
      </c>
      <c r="B133" t="s">
        <v>1559</v>
      </c>
    </row>
    <row r="134" spans="1:2" x14ac:dyDescent="0.25">
      <c r="A134" t="s">
        <v>6935</v>
      </c>
      <c r="B134" t="s">
        <v>1080</v>
      </c>
    </row>
    <row r="135" spans="1:2" x14ac:dyDescent="0.25">
      <c r="A135" t="s">
        <v>6936</v>
      </c>
      <c r="B135" t="s">
        <v>4500</v>
      </c>
    </row>
    <row r="136" spans="1:2" x14ac:dyDescent="0.25">
      <c r="A136" t="s">
        <v>6937</v>
      </c>
      <c r="B136" t="s">
        <v>95</v>
      </c>
    </row>
    <row r="137" spans="1:2" x14ac:dyDescent="0.25">
      <c r="A137" t="s">
        <v>6938</v>
      </c>
      <c r="B137" t="s">
        <v>847</v>
      </c>
    </row>
    <row r="138" spans="1:2" x14ac:dyDescent="0.25">
      <c r="A138" t="s">
        <v>6939</v>
      </c>
      <c r="B138" t="s">
        <v>6940</v>
      </c>
    </row>
    <row r="139" spans="1:2" x14ac:dyDescent="0.25">
      <c r="A139" t="s">
        <v>6941</v>
      </c>
      <c r="B139" t="s">
        <v>5411</v>
      </c>
    </row>
    <row r="140" spans="1:2" x14ac:dyDescent="0.25">
      <c r="A140" t="s">
        <v>6942</v>
      </c>
      <c r="B140" t="s">
        <v>4235</v>
      </c>
    </row>
    <row r="141" spans="1:2" x14ac:dyDescent="0.25">
      <c r="A141" t="s">
        <v>6943</v>
      </c>
      <c r="B141" t="s">
        <v>5427</v>
      </c>
    </row>
    <row r="142" spans="1:2" x14ac:dyDescent="0.25">
      <c r="A142" t="s">
        <v>6944</v>
      </c>
      <c r="B142" t="s">
        <v>80</v>
      </c>
    </row>
    <row r="143" spans="1:2" x14ac:dyDescent="0.25">
      <c r="A143" t="s">
        <v>6945</v>
      </c>
      <c r="B143" t="s">
        <v>5136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filterMode="1"/>
  <dimension ref="A1:K3518"/>
  <sheetViews>
    <sheetView zoomScaleNormal="100" workbookViewId="0">
      <selection activeCell="J3520" sqref="J3520"/>
    </sheetView>
  </sheetViews>
  <sheetFormatPr defaultColWidth="8.42578125" defaultRowHeight="15" x14ac:dyDescent="0.25"/>
  <cols>
    <col min="2" max="2" width="58.42578125" customWidth="1"/>
  </cols>
  <sheetData>
    <row r="1" spans="1:3" x14ac:dyDescent="0.25">
      <c r="A1" t="s">
        <v>0</v>
      </c>
      <c r="B1" t="s">
        <v>6802</v>
      </c>
      <c r="C1" t="s">
        <v>6946</v>
      </c>
    </row>
    <row r="2" spans="1:3" hidden="1" x14ac:dyDescent="0.25">
      <c r="A2" t="s">
        <v>6803</v>
      </c>
      <c r="B2" t="s">
        <v>2194</v>
      </c>
      <c r="C2" t="s">
        <v>6947</v>
      </c>
    </row>
    <row r="3" spans="1:3" hidden="1" x14ac:dyDescent="0.25">
      <c r="A3" t="s">
        <v>6804</v>
      </c>
      <c r="B3" t="s">
        <v>2355</v>
      </c>
      <c r="C3" t="s">
        <v>6948</v>
      </c>
    </row>
    <row r="4" spans="1:3" hidden="1" x14ac:dyDescent="0.25">
      <c r="A4" t="s">
        <v>6805</v>
      </c>
      <c r="B4" t="s">
        <v>4047</v>
      </c>
      <c r="C4" t="s">
        <v>6949</v>
      </c>
    </row>
    <row r="5" spans="1:3" hidden="1" x14ac:dyDescent="0.25">
      <c r="A5" t="s">
        <v>6806</v>
      </c>
      <c r="B5" t="s">
        <v>3772</v>
      </c>
      <c r="C5" t="s">
        <v>6950</v>
      </c>
    </row>
    <row r="6" spans="1:3" hidden="1" x14ac:dyDescent="0.25">
      <c r="A6" t="s">
        <v>6807</v>
      </c>
      <c r="B6" t="s">
        <v>4297</v>
      </c>
      <c r="C6" t="s">
        <v>6951</v>
      </c>
    </row>
    <row r="7" spans="1:3" hidden="1" x14ac:dyDescent="0.25">
      <c r="A7" t="s">
        <v>6808</v>
      </c>
      <c r="B7" t="s">
        <v>3224</v>
      </c>
      <c r="C7" t="s">
        <v>6952</v>
      </c>
    </row>
    <row r="8" spans="1:3" hidden="1" x14ac:dyDescent="0.25">
      <c r="A8" t="s">
        <v>6809</v>
      </c>
      <c r="B8" t="s">
        <v>3389</v>
      </c>
      <c r="C8" t="s">
        <v>6953</v>
      </c>
    </row>
    <row r="9" spans="1:3" hidden="1" x14ac:dyDescent="0.25">
      <c r="A9" t="s">
        <v>6810</v>
      </c>
      <c r="B9" t="s">
        <v>3597</v>
      </c>
      <c r="C9" t="s">
        <v>6954</v>
      </c>
    </row>
    <row r="10" spans="1:3" hidden="1" x14ac:dyDescent="0.25">
      <c r="A10" t="s">
        <v>6811</v>
      </c>
      <c r="B10" t="s">
        <v>161</v>
      </c>
      <c r="C10" t="s">
        <v>6955</v>
      </c>
    </row>
    <row r="11" spans="1:3" hidden="1" x14ac:dyDescent="0.25">
      <c r="A11" t="s">
        <v>6812</v>
      </c>
      <c r="B11" t="s">
        <v>3171</v>
      </c>
      <c r="C11" t="s">
        <v>6956</v>
      </c>
    </row>
    <row r="12" spans="1:3" hidden="1" x14ac:dyDescent="0.25">
      <c r="A12" t="s">
        <v>6813</v>
      </c>
      <c r="B12" t="s">
        <v>1200</v>
      </c>
      <c r="C12" t="s">
        <v>6957</v>
      </c>
    </row>
    <row r="13" spans="1:3" hidden="1" x14ac:dyDescent="0.25">
      <c r="A13" t="s">
        <v>6814</v>
      </c>
      <c r="B13" t="s">
        <v>2506</v>
      </c>
      <c r="C13" t="s">
        <v>6958</v>
      </c>
    </row>
    <row r="14" spans="1:3" hidden="1" x14ac:dyDescent="0.25">
      <c r="A14" t="s">
        <v>6815</v>
      </c>
      <c r="B14" t="s">
        <v>4414</v>
      </c>
      <c r="C14" t="s">
        <v>6959</v>
      </c>
    </row>
    <row r="15" spans="1:3" hidden="1" x14ac:dyDescent="0.25">
      <c r="A15" t="s">
        <v>6816</v>
      </c>
      <c r="B15" t="s">
        <v>2864</v>
      </c>
      <c r="C15" t="s">
        <v>6960</v>
      </c>
    </row>
    <row r="16" spans="1:3" hidden="1" x14ac:dyDescent="0.25">
      <c r="A16" t="s">
        <v>6817</v>
      </c>
      <c r="B16" t="s">
        <v>3451</v>
      </c>
      <c r="C16" t="s">
        <v>6961</v>
      </c>
    </row>
    <row r="17" spans="1:3" hidden="1" x14ac:dyDescent="0.25">
      <c r="A17" t="s">
        <v>6818</v>
      </c>
      <c r="B17" t="s">
        <v>2963</v>
      </c>
      <c r="C17" t="s">
        <v>6958</v>
      </c>
    </row>
    <row r="18" spans="1:3" hidden="1" x14ac:dyDescent="0.25">
      <c r="A18" t="s">
        <v>6819</v>
      </c>
      <c r="B18" t="s">
        <v>4607</v>
      </c>
      <c r="C18" t="s">
        <v>6962</v>
      </c>
    </row>
    <row r="19" spans="1:3" hidden="1" x14ac:dyDescent="0.25">
      <c r="A19" t="s">
        <v>6820</v>
      </c>
      <c r="B19" t="s">
        <v>5253</v>
      </c>
      <c r="C19" t="s">
        <v>6963</v>
      </c>
    </row>
    <row r="20" spans="1:3" hidden="1" x14ac:dyDescent="0.25">
      <c r="A20" t="s">
        <v>6821</v>
      </c>
      <c r="B20" t="s">
        <v>5688</v>
      </c>
      <c r="C20" t="s">
        <v>6958</v>
      </c>
    </row>
    <row r="21" spans="1:3" hidden="1" x14ac:dyDescent="0.25">
      <c r="A21" t="s">
        <v>6822</v>
      </c>
      <c r="B21" t="s">
        <v>1734</v>
      </c>
      <c r="C21" t="s">
        <v>6964</v>
      </c>
    </row>
    <row r="22" spans="1:3" hidden="1" x14ac:dyDescent="0.25">
      <c r="A22" t="s">
        <v>6823</v>
      </c>
      <c r="B22" t="s">
        <v>346</v>
      </c>
      <c r="C22" t="s">
        <v>6965</v>
      </c>
    </row>
    <row r="23" spans="1:3" hidden="1" x14ac:dyDescent="0.25">
      <c r="A23" t="s">
        <v>6824</v>
      </c>
      <c r="B23" t="s">
        <v>1775</v>
      </c>
      <c r="C23" t="s">
        <v>6958</v>
      </c>
    </row>
    <row r="24" spans="1:3" hidden="1" x14ac:dyDescent="0.25">
      <c r="A24" t="s">
        <v>6825</v>
      </c>
      <c r="B24" t="s">
        <v>2300</v>
      </c>
      <c r="C24" t="s">
        <v>6958</v>
      </c>
    </row>
    <row r="25" spans="1:3" hidden="1" x14ac:dyDescent="0.25">
      <c r="A25" t="s">
        <v>6826</v>
      </c>
      <c r="B25" t="s">
        <v>1470</v>
      </c>
      <c r="C25" t="s">
        <v>6966</v>
      </c>
    </row>
    <row r="26" spans="1:3" hidden="1" x14ac:dyDescent="0.25">
      <c r="A26" t="s">
        <v>6827</v>
      </c>
      <c r="B26" t="s">
        <v>3364</v>
      </c>
      <c r="C26" t="s">
        <v>6967</v>
      </c>
    </row>
    <row r="27" spans="1:3" hidden="1" x14ac:dyDescent="0.25">
      <c r="A27" t="s">
        <v>6828</v>
      </c>
      <c r="B27" t="s">
        <v>3750</v>
      </c>
      <c r="C27" t="s">
        <v>6958</v>
      </c>
    </row>
    <row r="28" spans="1:3" hidden="1" x14ac:dyDescent="0.25">
      <c r="A28" t="s">
        <v>6829</v>
      </c>
      <c r="B28" t="s">
        <v>1509</v>
      </c>
      <c r="C28" t="s">
        <v>6968</v>
      </c>
    </row>
    <row r="29" spans="1:3" hidden="1" x14ac:dyDescent="0.25">
      <c r="A29" t="s">
        <v>6830</v>
      </c>
      <c r="B29" t="s">
        <v>5156</v>
      </c>
      <c r="C29" t="s">
        <v>6958</v>
      </c>
    </row>
    <row r="30" spans="1:3" hidden="1" x14ac:dyDescent="0.25">
      <c r="A30" t="s">
        <v>6831</v>
      </c>
      <c r="B30" t="s">
        <v>4939</v>
      </c>
      <c r="C30" t="s">
        <v>6969</v>
      </c>
    </row>
    <row r="31" spans="1:3" hidden="1" x14ac:dyDescent="0.25">
      <c r="A31" t="s">
        <v>6832</v>
      </c>
      <c r="B31" t="s">
        <v>1558</v>
      </c>
      <c r="C31" t="s">
        <v>6970</v>
      </c>
    </row>
    <row r="32" spans="1:3" hidden="1" x14ac:dyDescent="0.25">
      <c r="A32" t="s">
        <v>6833</v>
      </c>
      <c r="B32" t="s">
        <v>586</v>
      </c>
      <c r="C32" t="s">
        <v>6958</v>
      </c>
    </row>
    <row r="33" spans="1:3" hidden="1" x14ac:dyDescent="0.25">
      <c r="A33" t="s">
        <v>6834</v>
      </c>
      <c r="B33" t="s">
        <v>5358</v>
      </c>
      <c r="C33" t="s">
        <v>6958</v>
      </c>
    </row>
    <row r="34" spans="1:3" hidden="1" x14ac:dyDescent="0.25">
      <c r="A34" t="s">
        <v>6835</v>
      </c>
      <c r="B34" t="s">
        <v>2354</v>
      </c>
      <c r="C34" t="s">
        <v>6958</v>
      </c>
    </row>
    <row r="35" spans="1:3" hidden="1" x14ac:dyDescent="0.25">
      <c r="A35" t="s">
        <v>6836</v>
      </c>
      <c r="B35" t="s">
        <v>835</v>
      </c>
      <c r="C35" t="s">
        <v>6971</v>
      </c>
    </row>
    <row r="36" spans="1:3" hidden="1" x14ac:dyDescent="0.25">
      <c r="A36" t="s">
        <v>6837</v>
      </c>
      <c r="B36" t="s">
        <v>2418</v>
      </c>
      <c r="C36" t="s">
        <v>6958</v>
      </c>
    </row>
    <row r="37" spans="1:3" hidden="1" x14ac:dyDescent="0.25">
      <c r="A37" t="s">
        <v>6838</v>
      </c>
      <c r="B37" t="s">
        <v>2764</v>
      </c>
      <c r="C37" t="s">
        <v>6972</v>
      </c>
    </row>
    <row r="38" spans="1:3" hidden="1" x14ac:dyDescent="0.25">
      <c r="A38" t="s">
        <v>6839</v>
      </c>
      <c r="B38" t="s">
        <v>4283</v>
      </c>
      <c r="C38" t="s">
        <v>6973</v>
      </c>
    </row>
    <row r="39" spans="1:3" hidden="1" x14ac:dyDescent="0.25">
      <c r="A39" t="s">
        <v>6840</v>
      </c>
      <c r="B39" t="s">
        <v>5610</v>
      </c>
      <c r="C39" t="s">
        <v>6974</v>
      </c>
    </row>
    <row r="40" spans="1:3" hidden="1" x14ac:dyDescent="0.25">
      <c r="A40" t="s">
        <v>6841</v>
      </c>
      <c r="B40" t="s">
        <v>140</v>
      </c>
      <c r="C40" t="s">
        <v>6975</v>
      </c>
    </row>
    <row r="41" spans="1:3" hidden="1" x14ac:dyDescent="0.25">
      <c r="A41" t="s">
        <v>6842</v>
      </c>
      <c r="B41" t="s">
        <v>6843</v>
      </c>
      <c r="C41" t="s">
        <v>6976</v>
      </c>
    </row>
    <row r="42" spans="1:3" hidden="1" x14ac:dyDescent="0.25">
      <c r="A42" t="s">
        <v>6844</v>
      </c>
      <c r="B42" t="s">
        <v>3998</v>
      </c>
      <c r="C42" t="s">
        <v>6977</v>
      </c>
    </row>
    <row r="43" spans="1:3" hidden="1" x14ac:dyDescent="0.25">
      <c r="A43" t="s">
        <v>6845</v>
      </c>
      <c r="B43" t="s">
        <v>1637</v>
      </c>
      <c r="C43" t="s">
        <v>6978</v>
      </c>
    </row>
    <row r="44" spans="1:3" hidden="1" x14ac:dyDescent="0.25">
      <c r="A44" t="s">
        <v>6846</v>
      </c>
      <c r="B44" t="s">
        <v>2846</v>
      </c>
      <c r="C44" t="s">
        <v>6979</v>
      </c>
    </row>
    <row r="45" spans="1:3" hidden="1" x14ac:dyDescent="0.25">
      <c r="A45" t="s">
        <v>6847</v>
      </c>
      <c r="B45" t="s">
        <v>228</v>
      </c>
      <c r="C45" t="s">
        <v>6980</v>
      </c>
    </row>
    <row r="46" spans="1:3" hidden="1" x14ac:dyDescent="0.25">
      <c r="A46" t="s">
        <v>6848</v>
      </c>
      <c r="B46" t="s">
        <v>3713</v>
      </c>
      <c r="C46" t="s">
        <v>6981</v>
      </c>
    </row>
    <row r="47" spans="1:3" hidden="1" x14ac:dyDescent="0.25">
      <c r="A47" t="s">
        <v>6849</v>
      </c>
      <c r="B47" t="s">
        <v>31</v>
      </c>
      <c r="C47" t="s">
        <v>6982</v>
      </c>
    </row>
    <row r="48" spans="1:3" hidden="1" x14ac:dyDescent="0.25">
      <c r="A48" t="s">
        <v>6850</v>
      </c>
      <c r="B48" t="s">
        <v>2724</v>
      </c>
      <c r="C48" t="s">
        <v>6983</v>
      </c>
    </row>
    <row r="49" spans="1:3" hidden="1" x14ac:dyDescent="0.25">
      <c r="A49" t="s">
        <v>6851</v>
      </c>
      <c r="B49" t="s">
        <v>1268</v>
      </c>
      <c r="C49" t="s">
        <v>6984</v>
      </c>
    </row>
    <row r="50" spans="1:3" hidden="1" x14ac:dyDescent="0.25">
      <c r="A50" t="s">
        <v>6852</v>
      </c>
      <c r="B50" t="s">
        <v>4102</v>
      </c>
      <c r="C50" t="s">
        <v>6958</v>
      </c>
    </row>
    <row r="51" spans="1:3" hidden="1" x14ac:dyDescent="0.25">
      <c r="A51" t="s">
        <v>6853</v>
      </c>
      <c r="B51" t="s">
        <v>360</v>
      </c>
      <c r="C51" t="s">
        <v>6985</v>
      </c>
    </row>
    <row r="52" spans="1:3" hidden="1" x14ac:dyDescent="0.25">
      <c r="A52" t="s">
        <v>6854</v>
      </c>
      <c r="B52" t="s">
        <v>3101</v>
      </c>
      <c r="C52" t="s">
        <v>6986</v>
      </c>
    </row>
    <row r="53" spans="1:3" hidden="1" x14ac:dyDescent="0.25">
      <c r="A53" t="s">
        <v>6855</v>
      </c>
      <c r="B53" t="s">
        <v>5657</v>
      </c>
      <c r="C53" t="s">
        <v>6958</v>
      </c>
    </row>
    <row r="54" spans="1:3" hidden="1" x14ac:dyDescent="0.25">
      <c r="A54" t="s">
        <v>6856</v>
      </c>
      <c r="B54" t="s">
        <v>160</v>
      </c>
      <c r="C54" t="s">
        <v>6987</v>
      </c>
    </row>
    <row r="55" spans="1:3" hidden="1" x14ac:dyDescent="0.25">
      <c r="A55" t="s">
        <v>6857</v>
      </c>
      <c r="B55" t="s">
        <v>60</v>
      </c>
      <c r="C55" t="s">
        <v>6987</v>
      </c>
    </row>
    <row r="56" spans="1:3" hidden="1" x14ac:dyDescent="0.25">
      <c r="A56" t="s">
        <v>6858</v>
      </c>
      <c r="B56" t="s">
        <v>1588</v>
      </c>
      <c r="C56" t="s">
        <v>6988</v>
      </c>
    </row>
    <row r="57" spans="1:3" hidden="1" x14ac:dyDescent="0.25">
      <c r="A57" t="s">
        <v>6859</v>
      </c>
      <c r="B57" t="s">
        <v>3238</v>
      </c>
      <c r="C57" t="s">
        <v>6958</v>
      </c>
    </row>
    <row r="58" spans="1:3" hidden="1" x14ac:dyDescent="0.25">
      <c r="A58" t="s">
        <v>6860</v>
      </c>
      <c r="B58" t="s">
        <v>2978</v>
      </c>
      <c r="C58" t="s">
        <v>6989</v>
      </c>
    </row>
    <row r="59" spans="1:3" hidden="1" x14ac:dyDescent="0.25">
      <c r="A59" t="s">
        <v>6861</v>
      </c>
      <c r="B59" t="s">
        <v>5023</v>
      </c>
      <c r="C59" t="s">
        <v>6990</v>
      </c>
    </row>
    <row r="60" spans="1:3" hidden="1" x14ac:dyDescent="0.25">
      <c r="A60" t="s">
        <v>6862</v>
      </c>
      <c r="B60" t="s">
        <v>4737</v>
      </c>
      <c r="C60" t="s">
        <v>6958</v>
      </c>
    </row>
    <row r="61" spans="1:3" hidden="1" x14ac:dyDescent="0.25">
      <c r="A61" t="s">
        <v>6863</v>
      </c>
      <c r="B61" t="s">
        <v>1320</v>
      </c>
      <c r="C61" t="s">
        <v>6991</v>
      </c>
    </row>
    <row r="62" spans="1:3" hidden="1" x14ac:dyDescent="0.25">
      <c r="A62" t="s">
        <v>6864</v>
      </c>
      <c r="B62" t="s">
        <v>2454</v>
      </c>
      <c r="C62" t="s">
        <v>6992</v>
      </c>
    </row>
    <row r="63" spans="1:3" hidden="1" x14ac:dyDescent="0.25">
      <c r="A63" t="s">
        <v>6865</v>
      </c>
      <c r="B63" t="s">
        <v>803</v>
      </c>
      <c r="C63" t="s">
        <v>6958</v>
      </c>
    </row>
    <row r="64" spans="1:3" hidden="1" x14ac:dyDescent="0.25">
      <c r="A64" t="s">
        <v>6866</v>
      </c>
      <c r="B64" t="s">
        <v>3749</v>
      </c>
      <c r="C64" t="s">
        <v>6958</v>
      </c>
    </row>
    <row r="65" spans="1:3" hidden="1" x14ac:dyDescent="0.25">
      <c r="A65" t="s">
        <v>6867</v>
      </c>
      <c r="B65" t="s">
        <v>4000</v>
      </c>
      <c r="C65" t="s">
        <v>6993</v>
      </c>
    </row>
    <row r="66" spans="1:3" hidden="1" x14ac:dyDescent="0.25">
      <c r="A66" t="s">
        <v>6868</v>
      </c>
      <c r="B66" t="s">
        <v>1384</v>
      </c>
      <c r="C66" t="s">
        <v>6994</v>
      </c>
    </row>
    <row r="67" spans="1:3" hidden="1" x14ac:dyDescent="0.25">
      <c r="A67" t="s">
        <v>6869</v>
      </c>
      <c r="B67" t="s">
        <v>1871</v>
      </c>
      <c r="C67" t="s">
        <v>6995</v>
      </c>
    </row>
    <row r="68" spans="1:3" hidden="1" x14ac:dyDescent="0.25">
      <c r="A68" t="s">
        <v>6870</v>
      </c>
      <c r="B68" t="s">
        <v>2106</v>
      </c>
      <c r="C68" t="s">
        <v>6996</v>
      </c>
    </row>
    <row r="69" spans="1:3" hidden="1" x14ac:dyDescent="0.25">
      <c r="A69" t="s">
        <v>6871</v>
      </c>
      <c r="B69" t="s">
        <v>2809</v>
      </c>
      <c r="C69" t="s">
        <v>6997</v>
      </c>
    </row>
    <row r="70" spans="1:3" hidden="1" x14ac:dyDescent="0.25">
      <c r="A70" t="s">
        <v>6872</v>
      </c>
      <c r="B70" t="s">
        <v>3983</v>
      </c>
      <c r="C70" t="s">
        <v>6998</v>
      </c>
    </row>
    <row r="71" spans="1:3" hidden="1" x14ac:dyDescent="0.25">
      <c r="A71" t="s">
        <v>6873</v>
      </c>
      <c r="B71" t="s">
        <v>1253</v>
      </c>
      <c r="C71" t="s">
        <v>6999</v>
      </c>
    </row>
    <row r="72" spans="1:3" hidden="1" x14ac:dyDescent="0.25">
      <c r="A72" t="s">
        <v>6874</v>
      </c>
      <c r="B72" t="s">
        <v>2572</v>
      </c>
      <c r="C72" t="s">
        <v>7000</v>
      </c>
    </row>
    <row r="73" spans="1:3" hidden="1" x14ac:dyDescent="0.25">
      <c r="A73" t="s">
        <v>6875</v>
      </c>
      <c r="B73" t="s">
        <v>1893</v>
      </c>
      <c r="C73" t="s">
        <v>7001</v>
      </c>
    </row>
    <row r="74" spans="1:3" hidden="1" x14ac:dyDescent="0.25">
      <c r="A74" t="s">
        <v>6876</v>
      </c>
      <c r="B74" t="s">
        <v>4743</v>
      </c>
      <c r="C74" t="s">
        <v>6958</v>
      </c>
    </row>
    <row r="75" spans="1:3" hidden="1" x14ac:dyDescent="0.25">
      <c r="A75" t="s">
        <v>6877</v>
      </c>
      <c r="B75" t="s">
        <v>3692</v>
      </c>
      <c r="C75" t="s">
        <v>6958</v>
      </c>
    </row>
    <row r="76" spans="1:3" hidden="1" x14ac:dyDescent="0.25">
      <c r="A76" t="s">
        <v>6878</v>
      </c>
      <c r="B76" t="s">
        <v>1513</v>
      </c>
      <c r="C76" t="s">
        <v>7002</v>
      </c>
    </row>
    <row r="77" spans="1:3" hidden="1" x14ac:dyDescent="0.25">
      <c r="A77" t="s">
        <v>6879</v>
      </c>
      <c r="B77" t="s">
        <v>1082</v>
      </c>
      <c r="C77" t="s">
        <v>7003</v>
      </c>
    </row>
    <row r="78" spans="1:3" hidden="1" x14ac:dyDescent="0.25">
      <c r="A78" t="s">
        <v>6880</v>
      </c>
      <c r="B78" t="s">
        <v>564</v>
      </c>
      <c r="C78" t="s">
        <v>7004</v>
      </c>
    </row>
    <row r="79" spans="1:3" hidden="1" x14ac:dyDescent="0.25">
      <c r="A79" t="s">
        <v>6881</v>
      </c>
      <c r="B79" t="s">
        <v>3850</v>
      </c>
      <c r="C79" t="s">
        <v>7005</v>
      </c>
    </row>
    <row r="80" spans="1:3" hidden="1" x14ac:dyDescent="0.25">
      <c r="A80" t="s">
        <v>6882</v>
      </c>
      <c r="B80" t="s">
        <v>1323</v>
      </c>
      <c r="C80" t="s">
        <v>7006</v>
      </c>
    </row>
    <row r="81" spans="1:11" hidden="1" x14ac:dyDescent="0.25">
      <c r="A81" t="s">
        <v>6883</v>
      </c>
      <c r="B81" t="s">
        <v>2308</v>
      </c>
      <c r="C81" t="s">
        <v>6958</v>
      </c>
    </row>
    <row r="82" spans="1:11" hidden="1" x14ac:dyDescent="0.25">
      <c r="A82" t="s">
        <v>6884</v>
      </c>
      <c r="B82" t="s">
        <v>4668</v>
      </c>
      <c r="C82" t="s">
        <v>7007</v>
      </c>
    </row>
    <row r="83" spans="1:11" hidden="1" x14ac:dyDescent="0.25">
      <c r="A83" t="s">
        <v>6885</v>
      </c>
      <c r="B83" t="s">
        <v>2075</v>
      </c>
      <c r="C83" t="s">
        <v>7008</v>
      </c>
    </row>
    <row r="84" spans="1:11" hidden="1" x14ac:dyDescent="0.25">
      <c r="A84" t="s">
        <v>6886</v>
      </c>
      <c r="B84" t="s">
        <v>119</v>
      </c>
      <c r="C84" t="s">
        <v>7009</v>
      </c>
    </row>
    <row r="85" spans="1:11" hidden="1" x14ac:dyDescent="0.25">
      <c r="A85" t="s">
        <v>6887</v>
      </c>
      <c r="B85" t="s">
        <v>3543</v>
      </c>
      <c r="C85" t="s">
        <v>6958</v>
      </c>
    </row>
    <row r="86" spans="1:11" hidden="1" x14ac:dyDescent="0.25">
      <c r="A86" t="s">
        <v>6888</v>
      </c>
      <c r="B86" t="s">
        <v>5614</v>
      </c>
      <c r="C86" t="s">
        <v>7010</v>
      </c>
    </row>
    <row r="87" spans="1:11" hidden="1" x14ac:dyDescent="0.25">
      <c r="A87" t="s">
        <v>6889</v>
      </c>
      <c r="B87" t="s">
        <v>5184</v>
      </c>
      <c r="C87" t="s">
        <v>7011</v>
      </c>
      <c r="K87">
        <f>13*0.27</f>
        <v>3.5100000000000002</v>
      </c>
    </row>
    <row r="88" spans="1:11" hidden="1" x14ac:dyDescent="0.25">
      <c r="A88" t="s">
        <v>6890</v>
      </c>
      <c r="B88" t="s">
        <v>2589</v>
      </c>
      <c r="C88" t="s">
        <v>7012</v>
      </c>
    </row>
    <row r="89" spans="1:11" hidden="1" x14ac:dyDescent="0.25">
      <c r="A89" t="s">
        <v>6891</v>
      </c>
      <c r="B89" t="s">
        <v>4272</v>
      </c>
      <c r="C89" t="s">
        <v>6958</v>
      </c>
    </row>
    <row r="90" spans="1:11" hidden="1" x14ac:dyDescent="0.25">
      <c r="A90" t="s">
        <v>6892</v>
      </c>
      <c r="B90" t="s">
        <v>3704</v>
      </c>
      <c r="C90" t="s">
        <v>6958</v>
      </c>
    </row>
    <row r="91" spans="1:11" hidden="1" x14ac:dyDescent="0.25">
      <c r="A91" t="s">
        <v>6893</v>
      </c>
      <c r="B91" t="s">
        <v>4269</v>
      </c>
      <c r="C91" t="s">
        <v>7013</v>
      </c>
    </row>
    <row r="92" spans="1:11" hidden="1" x14ac:dyDescent="0.25">
      <c r="A92" t="s">
        <v>6894</v>
      </c>
      <c r="B92" t="s">
        <v>2648</v>
      </c>
      <c r="C92" t="s">
        <v>7014</v>
      </c>
    </row>
    <row r="93" spans="1:11" hidden="1" x14ac:dyDescent="0.25">
      <c r="A93" t="s">
        <v>6895</v>
      </c>
      <c r="B93" t="s">
        <v>1639</v>
      </c>
      <c r="C93" t="s">
        <v>7015</v>
      </c>
    </row>
    <row r="94" spans="1:11" hidden="1" x14ac:dyDescent="0.25">
      <c r="A94" t="s">
        <v>6896</v>
      </c>
      <c r="B94" t="s">
        <v>1300</v>
      </c>
      <c r="C94" t="s">
        <v>7016</v>
      </c>
    </row>
    <row r="95" spans="1:11" hidden="1" x14ac:dyDescent="0.25">
      <c r="A95" t="s">
        <v>6897</v>
      </c>
      <c r="B95" t="s">
        <v>1063</v>
      </c>
      <c r="C95" t="s">
        <v>7017</v>
      </c>
    </row>
    <row r="96" spans="1:11" hidden="1" x14ac:dyDescent="0.25">
      <c r="A96" t="s">
        <v>6898</v>
      </c>
      <c r="B96" t="s">
        <v>3418</v>
      </c>
      <c r="C96" t="s">
        <v>7018</v>
      </c>
    </row>
    <row r="97" spans="1:3" hidden="1" x14ac:dyDescent="0.25">
      <c r="A97" t="s">
        <v>6899</v>
      </c>
      <c r="B97" t="s">
        <v>4536</v>
      </c>
      <c r="C97" t="s">
        <v>6958</v>
      </c>
    </row>
    <row r="98" spans="1:3" hidden="1" x14ac:dyDescent="0.25">
      <c r="A98" t="s">
        <v>6900</v>
      </c>
      <c r="B98" t="s">
        <v>261</v>
      </c>
      <c r="C98" t="s">
        <v>7019</v>
      </c>
    </row>
    <row r="99" spans="1:3" hidden="1" x14ac:dyDescent="0.25">
      <c r="A99" t="s">
        <v>6901</v>
      </c>
      <c r="B99" t="s">
        <v>5600</v>
      </c>
      <c r="C99" t="s">
        <v>7020</v>
      </c>
    </row>
    <row r="100" spans="1:3" hidden="1" x14ac:dyDescent="0.25">
      <c r="A100" t="s">
        <v>6902</v>
      </c>
      <c r="B100" t="s">
        <v>3248</v>
      </c>
      <c r="C100" t="s">
        <v>7021</v>
      </c>
    </row>
    <row r="101" spans="1:3" hidden="1" x14ac:dyDescent="0.25">
      <c r="A101" t="s">
        <v>6903</v>
      </c>
      <c r="B101" t="s">
        <v>4135</v>
      </c>
      <c r="C101" t="s">
        <v>7022</v>
      </c>
    </row>
    <row r="102" spans="1:3" hidden="1" x14ac:dyDescent="0.25">
      <c r="A102" t="s">
        <v>6904</v>
      </c>
      <c r="B102" t="s">
        <v>1120</v>
      </c>
      <c r="C102" t="s">
        <v>7023</v>
      </c>
    </row>
    <row r="103" spans="1:3" hidden="1" x14ac:dyDescent="0.25">
      <c r="A103" t="s">
        <v>6905</v>
      </c>
      <c r="B103" t="s">
        <v>2643</v>
      </c>
      <c r="C103" t="s">
        <v>7024</v>
      </c>
    </row>
    <row r="104" spans="1:3" hidden="1" x14ac:dyDescent="0.25">
      <c r="A104" t="s">
        <v>6906</v>
      </c>
      <c r="B104" t="s">
        <v>1806</v>
      </c>
      <c r="C104" t="s">
        <v>6958</v>
      </c>
    </row>
    <row r="105" spans="1:3" hidden="1" x14ac:dyDescent="0.25">
      <c r="A105" t="s">
        <v>6907</v>
      </c>
      <c r="B105" t="s">
        <v>2751</v>
      </c>
      <c r="C105" t="s">
        <v>7025</v>
      </c>
    </row>
    <row r="106" spans="1:3" hidden="1" x14ac:dyDescent="0.25">
      <c r="A106" t="s">
        <v>6908</v>
      </c>
      <c r="B106" t="s">
        <v>5340</v>
      </c>
      <c r="C106" t="s">
        <v>7026</v>
      </c>
    </row>
    <row r="107" spans="1:3" hidden="1" x14ac:dyDescent="0.25">
      <c r="A107" t="s">
        <v>6909</v>
      </c>
      <c r="B107" t="s">
        <v>1836</v>
      </c>
      <c r="C107" t="s">
        <v>6958</v>
      </c>
    </row>
    <row r="108" spans="1:3" hidden="1" x14ac:dyDescent="0.25">
      <c r="A108" t="s">
        <v>6910</v>
      </c>
      <c r="B108" t="s">
        <v>4095</v>
      </c>
      <c r="C108" t="s">
        <v>7027</v>
      </c>
    </row>
    <row r="109" spans="1:3" hidden="1" x14ac:dyDescent="0.25">
      <c r="A109" t="s">
        <v>6911</v>
      </c>
      <c r="B109" t="s">
        <v>4101</v>
      </c>
      <c r="C109" t="s">
        <v>7028</v>
      </c>
    </row>
    <row r="110" spans="1:3" hidden="1" x14ac:dyDescent="0.25">
      <c r="A110" t="s">
        <v>6912</v>
      </c>
      <c r="B110" t="s">
        <v>4695</v>
      </c>
      <c r="C110" t="s">
        <v>7029</v>
      </c>
    </row>
    <row r="111" spans="1:3" hidden="1" x14ac:dyDescent="0.25">
      <c r="A111" t="s">
        <v>6913</v>
      </c>
      <c r="B111" t="s">
        <v>3875</v>
      </c>
      <c r="C111" t="s">
        <v>7030</v>
      </c>
    </row>
    <row r="112" spans="1:3" hidden="1" x14ac:dyDescent="0.25">
      <c r="A112" t="s">
        <v>6914</v>
      </c>
      <c r="B112" t="s">
        <v>1029</v>
      </c>
      <c r="C112" t="s">
        <v>6958</v>
      </c>
    </row>
    <row r="113" spans="1:3" hidden="1" x14ac:dyDescent="0.25">
      <c r="A113" t="s">
        <v>6915</v>
      </c>
      <c r="B113" t="s">
        <v>4905</v>
      </c>
      <c r="C113" t="s">
        <v>6958</v>
      </c>
    </row>
    <row r="114" spans="1:3" hidden="1" x14ac:dyDescent="0.25">
      <c r="A114" t="s">
        <v>6916</v>
      </c>
      <c r="B114" t="s">
        <v>1711</v>
      </c>
      <c r="C114" t="s">
        <v>7031</v>
      </c>
    </row>
    <row r="115" spans="1:3" hidden="1" x14ac:dyDescent="0.25">
      <c r="A115" t="s">
        <v>6917</v>
      </c>
      <c r="B115" t="s">
        <v>4372</v>
      </c>
      <c r="C115" t="s">
        <v>6958</v>
      </c>
    </row>
    <row r="116" spans="1:3" hidden="1" x14ac:dyDescent="0.25">
      <c r="A116" t="s">
        <v>6918</v>
      </c>
      <c r="B116" t="s">
        <v>2171</v>
      </c>
      <c r="C116" t="s">
        <v>7032</v>
      </c>
    </row>
    <row r="117" spans="1:3" hidden="1" x14ac:dyDescent="0.25">
      <c r="A117" t="s">
        <v>6919</v>
      </c>
      <c r="B117" t="s">
        <v>5243</v>
      </c>
      <c r="C117" t="s">
        <v>6958</v>
      </c>
    </row>
    <row r="118" spans="1:3" hidden="1" x14ac:dyDescent="0.25">
      <c r="A118" t="s">
        <v>6920</v>
      </c>
      <c r="B118" t="s">
        <v>3450</v>
      </c>
      <c r="C118" t="s">
        <v>7033</v>
      </c>
    </row>
    <row r="119" spans="1:3" hidden="1" x14ac:dyDescent="0.25">
      <c r="A119" t="s">
        <v>6921</v>
      </c>
      <c r="B119" t="s">
        <v>5451</v>
      </c>
      <c r="C119" t="s">
        <v>7034</v>
      </c>
    </row>
    <row r="120" spans="1:3" hidden="1" x14ac:dyDescent="0.25">
      <c r="A120" t="s">
        <v>6922</v>
      </c>
      <c r="B120" t="s">
        <v>4347</v>
      </c>
      <c r="C120" t="s">
        <v>6958</v>
      </c>
    </row>
    <row r="121" spans="1:3" hidden="1" x14ac:dyDescent="0.25">
      <c r="A121" t="s">
        <v>6923</v>
      </c>
      <c r="B121" t="s">
        <v>2838</v>
      </c>
      <c r="C121" t="s">
        <v>6958</v>
      </c>
    </row>
    <row r="122" spans="1:3" hidden="1" x14ac:dyDescent="0.25">
      <c r="A122" t="s">
        <v>6924</v>
      </c>
      <c r="B122" t="s">
        <v>905</v>
      </c>
      <c r="C122" t="s">
        <v>7035</v>
      </c>
    </row>
    <row r="123" spans="1:3" hidden="1" x14ac:dyDescent="0.25">
      <c r="A123" t="s">
        <v>6925</v>
      </c>
      <c r="B123" t="s">
        <v>1257</v>
      </c>
      <c r="C123" t="s">
        <v>7036</v>
      </c>
    </row>
    <row r="124" spans="1:3" hidden="1" x14ac:dyDescent="0.25">
      <c r="A124" t="s">
        <v>6926</v>
      </c>
      <c r="B124" t="s">
        <v>2883</v>
      </c>
      <c r="C124" t="s">
        <v>6958</v>
      </c>
    </row>
    <row r="125" spans="1:3" hidden="1" x14ac:dyDescent="0.25">
      <c r="A125" t="s">
        <v>6927</v>
      </c>
      <c r="B125" t="s">
        <v>5346</v>
      </c>
      <c r="C125" t="s">
        <v>6958</v>
      </c>
    </row>
    <row r="126" spans="1:3" hidden="1" x14ac:dyDescent="0.25">
      <c r="A126" t="s">
        <v>6928</v>
      </c>
      <c r="B126" t="s">
        <v>3587</v>
      </c>
      <c r="C126" t="s">
        <v>6958</v>
      </c>
    </row>
    <row r="127" spans="1:3" hidden="1" x14ac:dyDescent="0.25">
      <c r="A127" t="s">
        <v>6929</v>
      </c>
      <c r="B127" t="s">
        <v>3660</v>
      </c>
      <c r="C127" t="s">
        <v>7037</v>
      </c>
    </row>
    <row r="128" spans="1:3" hidden="1" x14ac:dyDescent="0.25">
      <c r="A128" t="s">
        <v>6930</v>
      </c>
      <c r="B128" t="s">
        <v>2657</v>
      </c>
      <c r="C128" t="s">
        <v>7038</v>
      </c>
    </row>
    <row r="129" spans="1:3" hidden="1" x14ac:dyDescent="0.25">
      <c r="A129" t="s">
        <v>6931</v>
      </c>
      <c r="B129" t="s">
        <v>2758</v>
      </c>
      <c r="C129" t="s">
        <v>7039</v>
      </c>
    </row>
    <row r="130" spans="1:3" hidden="1" x14ac:dyDescent="0.25">
      <c r="A130" t="s">
        <v>6932</v>
      </c>
      <c r="B130" t="s">
        <v>1078</v>
      </c>
      <c r="C130" t="s">
        <v>7040</v>
      </c>
    </row>
    <row r="131" spans="1:3" hidden="1" x14ac:dyDescent="0.25">
      <c r="A131" t="s">
        <v>6933</v>
      </c>
      <c r="B131" t="s">
        <v>5185</v>
      </c>
      <c r="C131" t="s">
        <v>7041</v>
      </c>
    </row>
    <row r="132" spans="1:3" hidden="1" x14ac:dyDescent="0.25">
      <c r="A132" t="s">
        <v>6934</v>
      </c>
      <c r="B132" t="s">
        <v>1559</v>
      </c>
      <c r="C132" t="s">
        <v>7042</v>
      </c>
    </row>
    <row r="133" spans="1:3" hidden="1" x14ac:dyDescent="0.25">
      <c r="A133" t="s">
        <v>6935</v>
      </c>
      <c r="B133" t="s">
        <v>1080</v>
      </c>
      <c r="C133" t="s">
        <v>7043</v>
      </c>
    </row>
    <row r="134" spans="1:3" hidden="1" x14ac:dyDescent="0.25">
      <c r="A134" t="s">
        <v>6936</v>
      </c>
      <c r="B134" t="s">
        <v>4500</v>
      </c>
      <c r="C134" t="s">
        <v>6958</v>
      </c>
    </row>
    <row r="135" spans="1:3" hidden="1" x14ac:dyDescent="0.25">
      <c r="A135" t="s">
        <v>6937</v>
      </c>
      <c r="B135" t="s">
        <v>95</v>
      </c>
      <c r="C135" t="s">
        <v>7044</v>
      </c>
    </row>
    <row r="136" spans="1:3" hidden="1" x14ac:dyDescent="0.25">
      <c r="A136" t="s">
        <v>6938</v>
      </c>
      <c r="B136" t="s">
        <v>847</v>
      </c>
      <c r="C136" t="s">
        <v>6958</v>
      </c>
    </row>
    <row r="137" spans="1:3" hidden="1" x14ac:dyDescent="0.25">
      <c r="A137" t="s">
        <v>6939</v>
      </c>
      <c r="B137" t="s">
        <v>6940</v>
      </c>
      <c r="C137" t="s">
        <v>6958</v>
      </c>
    </row>
    <row r="138" spans="1:3" hidden="1" x14ac:dyDescent="0.25">
      <c r="A138" t="s">
        <v>6941</v>
      </c>
      <c r="B138" t="s">
        <v>5411</v>
      </c>
      <c r="C138" t="s">
        <v>6958</v>
      </c>
    </row>
    <row r="139" spans="1:3" hidden="1" x14ac:dyDescent="0.25">
      <c r="A139" t="s">
        <v>6942</v>
      </c>
      <c r="B139" t="s">
        <v>4235</v>
      </c>
      <c r="C139" t="s">
        <v>6958</v>
      </c>
    </row>
    <row r="140" spans="1:3" hidden="1" x14ac:dyDescent="0.25">
      <c r="A140" t="s">
        <v>6943</v>
      </c>
      <c r="B140" t="s">
        <v>5427</v>
      </c>
      <c r="C140" t="s">
        <v>7045</v>
      </c>
    </row>
    <row r="141" spans="1:3" hidden="1" x14ac:dyDescent="0.25">
      <c r="A141" t="s">
        <v>6944</v>
      </c>
      <c r="B141" t="s">
        <v>80</v>
      </c>
      <c r="C141" t="s">
        <v>7046</v>
      </c>
    </row>
    <row r="142" spans="1:3" hidden="1" x14ac:dyDescent="0.25">
      <c r="A142" t="s">
        <v>6945</v>
      </c>
      <c r="B142" t="s">
        <v>5136</v>
      </c>
      <c r="C142" t="s">
        <v>6958</v>
      </c>
    </row>
    <row r="143" spans="1:3" hidden="1" x14ac:dyDescent="0.25">
      <c r="A143" t="s">
        <v>7047</v>
      </c>
      <c r="B143" t="s">
        <v>2179</v>
      </c>
      <c r="C143" t="s">
        <v>6958</v>
      </c>
    </row>
    <row r="144" spans="1:3" hidden="1" x14ac:dyDescent="0.25">
      <c r="A144" t="s">
        <v>7048</v>
      </c>
      <c r="B144" t="s">
        <v>7049</v>
      </c>
      <c r="C144" t="s">
        <v>7050</v>
      </c>
    </row>
    <row r="145" spans="1:3" hidden="1" x14ac:dyDescent="0.25">
      <c r="A145" t="s">
        <v>7051</v>
      </c>
      <c r="B145" t="s">
        <v>4839</v>
      </c>
      <c r="C145" t="s">
        <v>7052</v>
      </c>
    </row>
    <row r="146" spans="1:3" hidden="1" x14ac:dyDescent="0.25">
      <c r="A146" t="s">
        <v>7053</v>
      </c>
      <c r="B146" t="s">
        <v>1996</v>
      </c>
      <c r="C146" t="s">
        <v>7054</v>
      </c>
    </row>
    <row r="147" spans="1:3" hidden="1" x14ac:dyDescent="0.25">
      <c r="A147" t="s">
        <v>7055</v>
      </c>
      <c r="B147" t="s">
        <v>417</v>
      </c>
      <c r="C147" t="s">
        <v>7056</v>
      </c>
    </row>
    <row r="148" spans="1:3" hidden="1" x14ac:dyDescent="0.25">
      <c r="A148" t="s">
        <v>7057</v>
      </c>
      <c r="B148" t="s">
        <v>939</v>
      </c>
      <c r="C148" t="s">
        <v>7058</v>
      </c>
    </row>
    <row r="149" spans="1:3" hidden="1" x14ac:dyDescent="0.25">
      <c r="A149" t="s">
        <v>7059</v>
      </c>
      <c r="B149" t="s">
        <v>3878</v>
      </c>
      <c r="C149" t="s">
        <v>6958</v>
      </c>
    </row>
    <row r="150" spans="1:3" hidden="1" x14ac:dyDescent="0.25">
      <c r="A150" t="s">
        <v>7060</v>
      </c>
      <c r="B150" t="s">
        <v>2599</v>
      </c>
      <c r="C150" t="s">
        <v>7061</v>
      </c>
    </row>
    <row r="151" spans="1:3" hidden="1" x14ac:dyDescent="0.25">
      <c r="A151" t="s">
        <v>7062</v>
      </c>
      <c r="B151" t="s">
        <v>774</v>
      </c>
      <c r="C151" t="s">
        <v>7063</v>
      </c>
    </row>
    <row r="152" spans="1:3" hidden="1" x14ac:dyDescent="0.25">
      <c r="A152" t="s">
        <v>7064</v>
      </c>
      <c r="B152" t="s">
        <v>3791</v>
      </c>
      <c r="C152" t="s">
        <v>7065</v>
      </c>
    </row>
    <row r="153" spans="1:3" hidden="1" x14ac:dyDescent="0.25">
      <c r="A153" t="s">
        <v>7066</v>
      </c>
      <c r="B153" t="s">
        <v>1821</v>
      </c>
      <c r="C153" t="s">
        <v>6958</v>
      </c>
    </row>
    <row r="154" spans="1:3" hidden="1" x14ac:dyDescent="0.25">
      <c r="A154" t="s">
        <v>7067</v>
      </c>
      <c r="B154" t="s">
        <v>4143</v>
      </c>
      <c r="C154" t="s">
        <v>7068</v>
      </c>
    </row>
    <row r="155" spans="1:3" hidden="1" x14ac:dyDescent="0.25">
      <c r="A155" t="s">
        <v>7069</v>
      </c>
      <c r="B155" t="s">
        <v>4964</v>
      </c>
      <c r="C155" t="s">
        <v>7070</v>
      </c>
    </row>
    <row r="156" spans="1:3" hidden="1" x14ac:dyDescent="0.25">
      <c r="A156" t="s">
        <v>7071</v>
      </c>
      <c r="B156" t="s">
        <v>1376</v>
      </c>
      <c r="C156" t="s">
        <v>7072</v>
      </c>
    </row>
    <row r="157" spans="1:3" hidden="1" x14ac:dyDescent="0.25">
      <c r="A157" t="s">
        <v>7073</v>
      </c>
      <c r="B157" t="s">
        <v>2624</v>
      </c>
      <c r="C157" t="s">
        <v>7074</v>
      </c>
    </row>
    <row r="158" spans="1:3" hidden="1" x14ac:dyDescent="0.25">
      <c r="A158" t="s">
        <v>7075</v>
      </c>
      <c r="B158" t="s">
        <v>3621</v>
      </c>
      <c r="C158" t="s">
        <v>7076</v>
      </c>
    </row>
    <row r="159" spans="1:3" hidden="1" x14ac:dyDescent="0.25">
      <c r="A159" t="s">
        <v>7077</v>
      </c>
      <c r="B159" t="s">
        <v>5206</v>
      </c>
      <c r="C159" t="s">
        <v>6958</v>
      </c>
    </row>
    <row r="160" spans="1:3" hidden="1" x14ac:dyDescent="0.25">
      <c r="A160" t="s">
        <v>7078</v>
      </c>
      <c r="B160" t="s">
        <v>5404</v>
      </c>
      <c r="C160" t="s">
        <v>7079</v>
      </c>
    </row>
    <row r="161" spans="1:3" hidden="1" x14ac:dyDescent="0.25">
      <c r="A161" t="s">
        <v>7080</v>
      </c>
      <c r="B161" t="s">
        <v>4546</v>
      </c>
      <c r="C161" t="s">
        <v>7081</v>
      </c>
    </row>
    <row r="162" spans="1:3" hidden="1" x14ac:dyDescent="0.25">
      <c r="A162" t="s">
        <v>7082</v>
      </c>
      <c r="B162" t="s">
        <v>5251</v>
      </c>
      <c r="C162" t="s">
        <v>6958</v>
      </c>
    </row>
    <row r="163" spans="1:3" hidden="1" x14ac:dyDescent="0.25">
      <c r="A163" t="s">
        <v>7083</v>
      </c>
      <c r="B163" t="s">
        <v>1648</v>
      </c>
      <c r="C163" t="s">
        <v>7084</v>
      </c>
    </row>
    <row r="164" spans="1:3" hidden="1" x14ac:dyDescent="0.25">
      <c r="A164" t="s">
        <v>7085</v>
      </c>
      <c r="B164" t="s">
        <v>5695</v>
      </c>
      <c r="C164" t="s">
        <v>7086</v>
      </c>
    </row>
    <row r="165" spans="1:3" hidden="1" x14ac:dyDescent="0.25">
      <c r="A165" t="s">
        <v>7087</v>
      </c>
      <c r="B165" t="s">
        <v>1949</v>
      </c>
      <c r="C165" t="s">
        <v>6958</v>
      </c>
    </row>
    <row r="166" spans="1:3" hidden="1" x14ac:dyDescent="0.25">
      <c r="A166" t="s">
        <v>7088</v>
      </c>
      <c r="B166" t="s">
        <v>2189</v>
      </c>
      <c r="C166" t="s">
        <v>7089</v>
      </c>
    </row>
    <row r="167" spans="1:3" hidden="1" x14ac:dyDescent="0.25">
      <c r="A167" t="s">
        <v>7090</v>
      </c>
      <c r="B167" t="s">
        <v>4895</v>
      </c>
      <c r="C167" t="s">
        <v>7091</v>
      </c>
    </row>
    <row r="168" spans="1:3" hidden="1" x14ac:dyDescent="0.25">
      <c r="A168" t="s">
        <v>7092</v>
      </c>
      <c r="B168" t="s">
        <v>3210</v>
      </c>
      <c r="C168" t="s">
        <v>7040</v>
      </c>
    </row>
    <row r="169" spans="1:3" hidden="1" x14ac:dyDescent="0.25">
      <c r="A169" t="s">
        <v>7093</v>
      </c>
      <c r="B169" t="s">
        <v>4253</v>
      </c>
      <c r="C169" t="s">
        <v>6958</v>
      </c>
    </row>
    <row r="170" spans="1:3" hidden="1" x14ac:dyDescent="0.25">
      <c r="A170" t="s">
        <v>7094</v>
      </c>
      <c r="B170" t="s">
        <v>3117</v>
      </c>
      <c r="C170" t="s">
        <v>6958</v>
      </c>
    </row>
    <row r="171" spans="1:3" hidden="1" x14ac:dyDescent="0.25">
      <c r="A171" t="s">
        <v>7095</v>
      </c>
      <c r="B171" t="s">
        <v>2889</v>
      </c>
      <c r="C171" t="s">
        <v>7096</v>
      </c>
    </row>
    <row r="172" spans="1:3" hidden="1" x14ac:dyDescent="0.25">
      <c r="A172" t="s">
        <v>7097</v>
      </c>
      <c r="B172" t="s">
        <v>794</v>
      </c>
      <c r="C172" t="s">
        <v>6958</v>
      </c>
    </row>
    <row r="173" spans="1:3" hidden="1" x14ac:dyDescent="0.25">
      <c r="A173" t="s">
        <v>7098</v>
      </c>
      <c r="B173" t="s">
        <v>5458</v>
      </c>
      <c r="C173" t="s">
        <v>7099</v>
      </c>
    </row>
    <row r="174" spans="1:3" hidden="1" x14ac:dyDescent="0.25">
      <c r="A174" t="s">
        <v>7100</v>
      </c>
      <c r="B174" t="s">
        <v>289</v>
      </c>
      <c r="C174" t="s">
        <v>7101</v>
      </c>
    </row>
    <row r="175" spans="1:3" hidden="1" x14ac:dyDescent="0.25">
      <c r="A175" t="s">
        <v>7102</v>
      </c>
      <c r="B175" t="s">
        <v>67</v>
      </c>
      <c r="C175" t="s">
        <v>7103</v>
      </c>
    </row>
    <row r="176" spans="1:3" hidden="1" x14ac:dyDescent="0.25">
      <c r="A176" t="s">
        <v>7104</v>
      </c>
      <c r="B176" t="s">
        <v>2983</v>
      </c>
      <c r="C176" t="s">
        <v>7105</v>
      </c>
    </row>
    <row r="177" spans="1:3" hidden="1" x14ac:dyDescent="0.25">
      <c r="A177" t="s">
        <v>7106</v>
      </c>
      <c r="B177" t="s">
        <v>2973</v>
      </c>
      <c r="C177" t="s">
        <v>6958</v>
      </c>
    </row>
    <row r="178" spans="1:3" hidden="1" x14ac:dyDescent="0.25">
      <c r="A178" t="s">
        <v>7107</v>
      </c>
      <c r="B178" t="s">
        <v>4817</v>
      </c>
      <c r="C178" t="s">
        <v>7108</v>
      </c>
    </row>
    <row r="179" spans="1:3" hidden="1" x14ac:dyDescent="0.25">
      <c r="A179" t="s">
        <v>7109</v>
      </c>
      <c r="B179" t="s">
        <v>2016</v>
      </c>
      <c r="C179" t="s">
        <v>7110</v>
      </c>
    </row>
    <row r="180" spans="1:3" hidden="1" x14ac:dyDescent="0.25">
      <c r="A180" t="s">
        <v>7111</v>
      </c>
      <c r="B180" t="s">
        <v>800</v>
      </c>
      <c r="C180" t="s">
        <v>6958</v>
      </c>
    </row>
    <row r="181" spans="1:3" hidden="1" x14ac:dyDescent="0.25">
      <c r="A181" t="s">
        <v>7112</v>
      </c>
      <c r="B181" t="s">
        <v>2582</v>
      </c>
      <c r="C181" t="s">
        <v>6958</v>
      </c>
    </row>
    <row r="182" spans="1:3" hidden="1" x14ac:dyDescent="0.25">
      <c r="A182" t="s">
        <v>7113</v>
      </c>
      <c r="B182" t="s">
        <v>4195</v>
      </c>
      <c r="C182" t="s">
        <v>7114</v>
      </c>
    </row>
    <row r="183" spans="1:3" hidden="1" x14ac:dyDescent="0.25">
      <c r="A183" t="s">
        <v>7115</v>
      </c>
      <c r="B183" t="s">
        <v>4809</v>
      </c>
      <c r="C183" t="s">
        <v>6958</v>
      </c>
    </row>
    <row r="184" spans="1:3" hidden="1" x14ac:dyDescent="0.25">
      <c r="A184" t="s">
        <v>7116</v>
      </c>
      <c r="B184" t="s">
        <v>143</v>
      </c>
      <c r="C184" t="s">
        <v>7117</v>
      </c>
    </row>
    <row r="185" spans="1:3" hidden="1" x14ac:dyDescent="0.25">
      <c r="A185" t="s">
        <v>7118</v>
      </c>
      <c r="B185" t="s">
        <v>4133</v>
      </c>
      <c r="C185" t="s">
        <v>6958</v>
      </c>
    </row>
    <row r="186" spans="1:3" hidden="1" x14ac:dyDescent="0.25">
      <c r="A186" t="s">
        <v>7119</v>
      </c>
      <c r="B186" t="s">
        <v>3840</v>
      </c>
      <c r="C186" t="s">
        <v>7120</v>
      </c>
    </row>
    <row r="187" spans="1:3" hidden="1" x14ac:dyDescent="0.25">
      <c r="A187" t="s">
        <v>7121</v>
      </c>
      <c r="B187" t="s">
        <v>1345</v>
      </c>
      <c r="C187" t="s">
        <v>7122</v>
      </c>
    </row>
    <row r="188" spans="1:3" hidden="1" x14ac:dyDescent="0.25">
      <c r="A188" t="s">
        <v>7123</v>
      </c>
      <c r="B188" t="s">
        <v>3548</v>
      </c>
      <c r="C188" t="s">
        <v>6958</v>
      </c>
    </row>
    <row r="189" spans="1:3" hidden="1" x14ac:dyDescent="0.25">
      <c r="A189" t="s">
        <v>7124</v>
      </c>
      <c r="B189" t="s">
        <v>874</v>
      </c>
      <c r="C189" t="s">
        <v>7125</v>
      </c>
    </row>
    <row r="190" spans="1:3" hidden="1" x14ac:dyDescent="0.25">
      <c r="A190" t="s">
        <v>7126</v>
      </c>
      <c r="B190" t="s">
        <v>5425</v>
      </c>
      <c r="C190" t="s">
        <v>7127</v>
      </c>
    </row>
    <row r="191" spans="1:3" hidden="1" x14ac:dyDescent="0.25">
      <c r="A191" t="s">
        <v>7128</v>
      </c>
      <c r="B191" t="s">
        <v>4823</v>
      </c>
      <c r="C191" t="s">
        <v>7129</v>
      </c>
    </row>
    <row r="192" spans="1:3" hidden="1" x14ac:dyDescent="0.25">
      <c r="A192" t="s">
        <v>7130</v>
      </c>
      <c r="B192" t="s">
        <v>5046</v>
      </c>
      <c r="C192" t="s">
        <v>7131</v>
      </c>
    </row>
    <row r="193" spans="1:3" hidden="1" x14ac:dyDescent="0.25">
      <c r="A193" t="s">
        <v>7132</v>
      </c>
      <c r="B193" t="s">
        <v>7133</v>
      </c>
      <c r="C193" t="s">
        <v>7134</v>
      </c>
    </row>
    <row r="194" spans="1:3" hidden="1" x14ac:dyDescent="0.25">
      <c r="A194" t="s">
        <v>7135</v>
      </c>
      <c r="B194" t="s">
        <v>2771</v>
      </c>
      <c r="C194" t="s">
        <v>6958</v>
      </c>
    </row>
    <row r="195" spans="1:3" hidden="1" x14ac:dyDescent="0.25">
      <c r="A195" t="s">
        <v>7136</v>
      </c>
      <c r="B195" t="s">
        <v>1277</v>
      </c>
      <c r="C195" t="s">
        <v>6958</v>
      </c>
    </row>
    <row r="196" spans="1:3" hidden="1" x14ac:dyDescent="0.25">
      <c r="A196" t="s">
        <v>7137</v>
      </c>
      <c r="B196" t="s">
        <v>1723</v>
      </c>
      <c r="C196" t="s">
        <v>7138</v>
      </c>
    </row>
    <row r="197" spans="1:3" hidden="1" x14ac:dyDescent="0.25">
      <c r="A197" t="s">
        <v>7139</v>
      </c>
      <c r="B197" t="s">
        <v>3151</v>
      </c>
      <c r="C197" t="s">
        <v>7140</v>
      </c>
    </row>
    <row r="198" spans="1:3" hidden="1" x14ac:dyDescent="0.25">
      <c r="A198" t="s">
        <v>7141</v>
      </c>
      <c r="B198" t="s">
        <v>1461</v>
      </c>
      <c r="C198" t="s">
        <v>6958</v>
      </c>
    </row>
    <row r="199" spans="1:3" hidden="1" x14ac:dyDescent="0.25">
      <c r="A199" t="s">
        <v>7142</v>
      </c>
      <c r="B199" t="s">
        <v>4538</v>
      </c>
      <c r="C199" t="s">
        <v>6958</v>
      </c>
    </row>
    <row r="200" spans="1:3" hidden="1" x14ac:dyDescent="0.25">
      <c r="A200" t="s">
        <v>7143</v>
      </c>
      <c r="B200" t="s">
        <v>4310</v>
      </c>
      <c r="C200" t="s">
        <v>6958</v>
      </c>
    </row>
    <row r="201" spans="1:3" hidden="1" x14ac:dyDescent="0.25">
      <c r="A201" t="s">
        <v>7144</v>
      </c>
      <c r="B201" t="s">
        <v>634</v>
      </c>
      <c r="C201" t="s">
        <v>7145</v>
      </c>
    </row>
    <row r="202" spans="1:3" hidden="1" x14ac:dyDescent="0.25">
      <c r="A202" t="s">
        <v>7146</v>
      </c>
      <c r="B202" t="s">
        <v>3932</v>
      </c>
      <c r="C202" t="s">
        <v>7147</v>
      </c>
    </row>
    <row r="203" spans="1:3" hidden="1" x14ac:dyDescent="0.25">
      <c r="A203" t="s">
        <v>7148</v>
      </c>
      <c r="B203" t="s">
        <v>4053</v>
      </c>
      <c r="C203" t="s">
        <v>6958</v>
      </c>
    </row>
    <row r="204" spans="1:3" hidden="1" x14ac:dyDescent="0.25">
      <c r="A204" t="s">
        <v>7149</v>
      </c>
      <c r="B204" t="s">
        <v>4510</v>
      </c>
      <c r="C204" t="s">
        <v>6958</v>
      </c>
    </row>
    <row r="205" spans="1:3" hidden="1" x14ac:dyDescent="0.25">
      <c r="A205" t="s">
        <v>7150</v>
      </c>
      <c r="B205" t="s">
        <v>3698</v>
      </c>
      <c r="C205" t="s">
        <v>6958</v>
      </c>
    </row>
    <row r="206" spans="1:3" hidden="1" x14ac:dyDescent="0.25">
      <c r="A206" t="s">
        <v>7151</v>
      </c>
      <c r="B206" t="s">
        <v>2766</v>
      </c>
      <c r="C206" t="s">
        <v>6958</v>
      </c>
    </row>
    <row r="207" spans="1:3" hidden="1" x14ac:dyDescent="0.25">
      <c r="A207" t="s">
        <v>7152</v>
      </c>
      <c r="B207" t="s">
        <v>5590</v>
      </c>
      <c r="C207" t="s">
        <v>6958</v>
      </c>
    </row>
    <row r="208" spans="1:3" hidden="1" x14ac:dyDescent="0.25">
      <c r="A208" t="s">
        <v>7153</v>
      </c>
      <c r="B208" t="s">
        <v>3918</v>
      </c>
      <c r="C208" t="s">
        <v>6958</v>
      </c>
    </row>
    <row r="209" spans="1:3" hidden="1" x14ac:dyDescent="0.25">
      <c r="A209" t="s">
        <v>7154</v>
      </c>
      <c r="B209" t="s">
        <v>2581</v>
      </c>
      <c r="C209" t="s">
        <v>7155</v>
      </c>
    </row>
    <row r="210" spans="1:3" hidden="1" x14ac:dyDescent="0.25">
      <c r="A210" t="s">
        <v>7156</v>
      </c>
      <c r="B210" t="s">
        <v>2433</v>
      </c>
      <c r="C210" t="s">
        <v>7157</v>
      </c>
    </row>
    <row r="211" spans="1:3" hidden="1" x14ac:dyDescent="0.25">
      <c r="A211" t="s">
        <v>7158</v>
      </c>
      <c r="B211" t="s">
        <v>3359</v>
      </c>
      <c r="C211" t="s">
        <v>6958</v>
      </c>
    </row>
    <row r="212" spans="1:3" hidden="1" x14ac:dyDescent="0.25">
      <c r="A212" t="s">
        <v>7159</v>
      </c>
      <c r="B212" t="s">
        <v>5037</v>
      </c>
      <c r="C212" t="s">
        <v>6958</v>
      </c>
    </row>
    <row r="213" spans="1:3" hidden="1" x14ac:dyDescent="0.25">
      <c r="A213" t="s">
        <v>7160</v>
      </c>
      <c r="B213" t="s">
        <v>1015</v>
      </c>
      <c r="C213" t="s">
        <v>7161</v>
      </c>
    </row>
    <row r="214" spans="1:3" hidden="1" x14ac:dyDescent="0.25">
      <c r="A214" t="s">
        <v>7162</v>
      </c>
      <c r="B214" t="s">
        <v>5173</v>
      </c>
      <c r="C214" t="s">
        <v>6958</v>
      </c>
    </row>
    <row r="215" spans="1:3" hidden="1" x14ac:dyDescent="0.25">
      <c r="A215" t="s">
        <v>7163</v>
      </c>
      <c r="B215" t="s">
        <v>4265</v>
      </c>
      <c r="C215" t="s">
        <v>6958</v>
      </c>
    </row>
    <row r="216" spans="1:3" hidden="1" x14ac:dyDescent="0.25">
      <c r="A216" t="s">
        <v>7164</v>
      </c>
      <c r="B216" t="s">
        <v>2662</v>
      </c>
      <c r="C216" t="s">
        <v>7165</v>
      </c>
    </row>
    <row r="217" spans="1:3" hidden="1" x14ac:dyDescent="0.25">
      <c r="A217" t="s">
        <v>7166</v>
      </c>
      <c r="B217" t="s">
        <v>3626</v>
      </c>
      <c r="C217" t="s">
        <v>6958</v>
      </c>
    </row>
    <row r="218" spans="1:3" hidden="1" x14ac:dyDescent="0.25">
      <c r="A218" t="s">
        <v>7167</v>
      </c>
      <c r="B218" t="s">
        <v>1535</v>
      </c>
      <c r="C218" t="s">
        <v>7168</v>
      </c>
    </row>
    <row r="219" spans="1:3" hidden="1" x14ac:dyDescent="0.25">
      <c r="A219" t="s">
        <v>7169</v>
      </c>
      <c r="B219" t="s">
        <v>3392</v>
      </c>
      <c r="C219" t="s">
        <v>7170</v>
      </c>
    </row>
    <row r="220" spans="1:3" hidden="1" x14ac:dyDescent="0.25">
      <c r="A220" t="s">
        <v>7171</v>
      </c>
      <c r="B220" t="s">
        <v>4970</v>
      </c>
      <c r="C220" t="s">
        <v>7172</v>
      </c>
    </row>
    <row r="221" spans="1:3" hidden="1" x14ac:dyDescent="0.25">
      <c r="A221" t="s">
        <v>7173</v>
      </c>
      <c r="B221" t="s">
        <v>2587</v>
      </c>
      <c r="C221" t="s">
        <v>7174</v>
      </c>
    </row>
    <row r="222" spans="1:3" hidden="1" x14ac:dyDescent="0.25">
      <c r="A222" t="s">
        <v>7175</v>
      </c>
      <c r="B222" t="s">
        <v>1756</v>
      </c>
      <c r="C222" t="s">
        <v>6958</v>
      </c>
    </row>
    <row r="223" spans="1:3" hidden="1" x14ac:dyDescent="0.25">
      <c r="A223" t="s">
        <v>7176</v>
      </c>
      <c r="B223" t="s">
        <v>229</v>
      </c>
      <c r="C223" t="s">
        <v>7177</v>
      </c>
    </row>
    <row r="224" spans="1:3" hidden="1" x14ac:dyDescent="0.25">
      <c r="A224" t="s">
        <v>7178</v>
      </c>
      <c r="B224" t="s">
        <v>4606</v>
      </c>
      <c r="C224" t="s">
        <v>6958</v>
      </c>
    </row>
    <row r="225" spans="1:3" hidden="1" x14ac:dyDescent="0.25">
      <c r="A225" t="s">
        <v>7179</v>
      </c>
      <c r="B225" t="s">
        <v>1526</v>
      </c>
      <c r="C225" t="s">
        <v>7180</v>
      </c>
    </row>
    <row r="226" spans="1:3" hidden="1" x14ac:dyDescent="0.25">
      <c r="A226" t="s">
        <v>7181</v>
      </c>
      <c r="B226" t="s">
        <v>3667</v>
      </c>
      <c r="C226" t="s">
        <v>7182</v>
      </c>
    </row>
    <row r="227" spans="1:3" hidden="1" x14ac:dyDescent="0.25">
      <c r="A227" t="s">
        <v>7183</v>
      </c>
      <c r="B227" t="s">
        <v>1766</v>
      </c>
      <c r="C227" t="s">
        <v>7184</v>
      </c>
    </row>
    <row r="228" spans="1:3" hidden="1" x14ac:dyDescent="0.25">
      <c r="A228" t="s">
        <v>7185</v>
      </c>
      <c r="B228" t="s">
        <v>2923</v>
      </c>
      <c r="C228" t="s">
        <v>7186</v>
      </c>
    </row>
    <row r="229" spans="1:3" hidden="1" x14ac:dyDescent="0.25">
      <c r="A229" t="s">
        <v>7187</v>
      </c>
      <c r="B229" t="s">
        <v>3113</v>
      </c>
      <c r="C229" t="s">
        <v>7188</v>
      </c>
    </row>
    <row r="230" spans="1:3" hidden="1" x14ac:dyDescent="0.25">
      <c r="A230" t="s">
        <v>7189</v>
      </c>
      <c r="B230" t="s">
        <v>2767</v>
      </c>
      <c r="C230" t="s">
        <v>7190</v>
      </c>
    </row>
    <row r="231" spans="1:3" hidden="1" x14ac:dyDescent="0.25">
      <c r="A231" t="s">
        <v>7191</v>
      </c>
      <c r="B231" t="s">
        <v>5619</v>
      </c>
      <c r="C231" t="s">
        <v>7192</v>
      </c>
    </row>
    <row r="232" spans="1:3" hidden="1" x14ac:dyDescent="0.25">
      <c r="A232" t="s">
        <v>7193</v>
      </c>
      <c r="B232" t="s">
        <v>2727</v>
      </c>
      <c r="C232" t="s">
        <v>7194</v>
      </c>
    </row>
    <row r="233" spans="1:3" hidden="1" x14ac:dyDescent="0.25">
      <c r="A233" t="s">
        <v>7195</v>
      </c>
      <c r="B233" t="s">
        <v>2394</v>
      </c>
      <c r="C233" t="s">
        <v>7196</v>
      </c>
    </row>
    <row r="234" spans="1:3" hidden="1" x14ac:dyDescent="0.25">
      <c r="A234" t="s">
        <v>7197</v>
      </c>
      <c r="B234" t="s">
        <v>2338</v>
      </c>
      <c r="C234" t="s">
        <v>7198</v>
      </c>
    </row>
    <row r="235" spans="1:3" hidden="1" x14ac:dyDescent="0.25">
      <c r="A235" t="s">
        <v>7199</v>
      </c>
      <c r="B235" t="s">
        <v>3580</v>
      </c>
      <c r="C235" t="s">
        <v>7200</v>
      </c>
    </row>
    <row r="236" spans="1:3" hidden="1" x14ac:dyDescent="0.25">
      <c r="A236" t="s">
        <v>7201</v>
      </c>
      <c r="B236" t="s">
        <v>3103</v>
      </c>
      <c r="C236" t="s">
        <v>7202</v>
      </c>
    </row>
    <row r="237" spans="1:3" hidden="1" x14ac:dyDescent="0.25">
      <c r="A237" t="s">
        <v>7203</v>
      </c>
      <c r="B237" t="s">
        <v>3970</v>
      </c>
      <c r="C237" t="s">
        <v>7204</v>
      </c>
    </row>
    <row r="238" spans="1:3" hidden="1" x14ac:dyDescent="0.25">
      <c r="A238" t="s">
        <v>7205</v>
      </c>
      <c r="B238" t="s">
        <v>4554</v>
      </c>
      <c r="C238" t="s">
        <v>6958</v>
      </c>
    </row>
    <row r="239" spans="1:3" hidden="1" x14ac:dyDescent="0.25">
      <c r="A239" t="s">
        <v>7206</v>
      </c>
      <c r="B239" t="s">
        <v>3616</v>
      </c>
      <c r="C239" t="s">
        <v>7207</v>
      </c>
    </row>
    <row r="240" spans="1:3" hidden="1" x14ac:dyDescent="0.25">
      <c r="A240" t="s">
        <v>7208</v>
      </c>
      <c r="B240" t="s">
        <v>3311</v>
      </c>
      <c r="C240" t="s">
        <v>6958</v>
      </c>
    </row>
    <row r="241" spans="1:3" hidden="1" x14ac:dyDescent="0.25">
      <c r="A241" t="s">
        <v>7209</v>
      </c>
      <c r="B241" t="s">
        <v>5641</v>
      </c>
      <c r="C241" t="s">
        <v>7210</v>
      </c>
    </row>
    <row r="242" spans="1:3" hidden="1" x14ac:dyDescent="0.25">
      <c r="A242" t="s">
        <v>7211</v>
      </c>
      <c r="B242" t="s">
        <v>5349</v>
      </c>
      <c r="C242" t="s">
        <v>7212</v>
      </c>
    </row>
    <row r="243" spans="1:3" hidden="1" x14ac:dyDescent="0.25">
      <c r="A243" t="s">
        <v>7213</v>
      </c>
      <c r="B243" t="s">
        <v>1740</v>
      </c>
      <c r="C243" t="s">
        <v>7214</v>
      </c>
    </row>
    <row r="244" spans="1:3" hidden="1" x14ac:dyDescent="0.25">
      <c r="A244" t="s">
        <v>7215</v>
      </c>
      <c r="B244" t="s">
        <v>4015</v>
      </c>
      <c r="C244" t="s">
        <v>7216</v>
      </c>
    </row>
    <row r="245" spans="1:3" hidden="1" x14ac:dyDescent="0.25">
      <c r="A245" t="s">
        <v>7217</v>
      </c>
      <c r="B245" t="s">
        <v>1198</v>
      </c>
      <c r="C245" t="s">
        <v>7218</v>
      </c>
    </row>
    <row r="246" spans="1:3" hidden="1" x14ac:dyDescent="0.25">
      <c r="A246" t="s">
        <v>7219</v>
      </c>
      <c r="B246" t="s">
        <v>3438</v>
      </c>
      <c r="C246" t="s">
        <v>7220</v>
      </c>
    </row>
    <row r="247" spans="1:3" hidden="1" x14ac:dyDescent="0.25">
      <c r="A247" t="s">
        <v>7221</v>
      </c>
      <c r="B247" t="s">
        <v>3851</v>
      </c>
      <c r="C247" t="s">
        <v>7222</v>
      </c>
    </row>
    <row r="248" spans="1:3" hidden="1" x14ac:dyDescent="0.25">
      <c r="A248" t="s">
        <v>7223</v>
      </c>
      <c r="B248" t="s">
        <v>1738</v>
      </c>
      <c r="C248" t="s">
        <v>7222</v>
      </c>
    </row>
    <row r="249" spans="1:3" hidden="1" x14ac:dyDescent="0.25">
      <c r="A249" t="s">
        <v>7224</v>
      </c>
      <c r="B249" t="s">
        <v>217</v>
      </c>
      <c r="C249" t="s">
        <v>7225</v>
      </c>
    </row>
    <row r="250" spans="1:3" hidden="1" x14ac:dyDescent="0.25">
      <c r="A250" t="s">
        <v>7226</v>
      </c>
      <c r="B250" t="s">
        <v>970</v>
      </c>
      <c r="C250" t="s">
        <v>7227</v>
      </c>
    </row>
    <row r="251" spans="1:3" hidden="1" x14ac:dyDescent="0.25">
      <c r="A251" t="s">
        <v>7228</v>
      </c>
      <c r="B251" t="s">
        <v>3253</v>
      </c>
      <c r="C251" t="s">
        <v>7229</v>
      </c>
    </row>
    <row r="252" spans="1:3" hidden="1" x14ac:dyDescent="0.25">
      <c r="A252" t="s">
        <v>7230</v>
      </c>
      <c r="B252" t="s">
        <v>4061</v>
      </c>
      <c r="C252" t="s">
        <v>7231</v>
      </c>
    </row>
    <row r="253" spans="1:3" hidden="1" x14ac:dyDescent="0.25">
      <c r="A253" t="s">
        <v>7232</v>
      </c>
      <c r="B253" t="s">
        <v>5591</v>
      </c>
      <c r="C253" t="s">
        <v>6958</v>
      </c>
    </row>
    <row r="254" spans="1:3" hidden="1" x14ac:dyDescent="0.25">
      <c r="A254" t="s">
        <v>7233</v>
      </c>
      <c r="B254" t="s">
        <v>3110</v>
      </c>
      <c r="C254" t="s">
        <v>7234</v>
      </c>
    </row>
    <row r="255" spans="1:3" hidden="1" x14ac:dyDescent="0.25">
      <c r="A255" t="s">
        <v>7235</v>
      </c>
      <c r="B255" t="s">
        <v>1835</v>
      </c>
      <c r="C255" t="s">
        <v>7236</v>
      </c>
    </row>
    <row r="256" spans="1:3" hidden="1" x14ac:dyDescent="0.25">
      <c r="A256" t="s">
        <v>7237</v>
      </c>
      <c r="B256" t="s">
        <v>4689</v>
      </c>
      <c r="C256" t="s">
        <v>7238</v>
      </c>
    </row>
    <row r="257" spans="1:3" hidden="1" x14ac:dyDescent="0.25">
      <c r="A257" t="s">
        <v>7239</v>
      </c>
      <c r="B257" t="s">
        <v>3091</v>
      </c>
      <c r="C257" t="s">
        <v>7240</v>
      </c>
    </row>
    <row r="258" spans="1:3" hidden="1" x14ac:dyDescent="0.25">
      <c r="A258" t="s">
        <v>7241</v>
      </c>
      <c r="B258" t="s">
        <v>3195</v>
      </c>
      <c r="C258" t="s">
        <v>7242</v>
      </c>
    </row>
    <row r="259" spans="1:3" hidden="1" x14ac:dyDescent="0.25">
      <c r="A259" t="s">
        <v>7243</v>
      </c>
      <c r="B259" t="s">
        <v>3249</v>
      </c>
      <c r="C259" t="s">
        <v>7244</v>
      </c>
    </row>
    <row r="260" spans="1:3" hidden="1" x14ac:dyDescent="0.25">
      <c r="A260" t="s">
        <v>7245</v>
      </c>
      <c r="B260" t="s">
        <v>1748</v>
      </c>
      <c r="C260" t="s">
        <v>6958</v>
      </c>
    </row>
    <row r="261" spans="1:3" hidden="1" x14ac:dyDescent="0.25">
      <c r="A261" t="s">
        <v>7246</v>
      </c>
      <c r="B261" t="s">
        <v>4518</v>
      </c>
      <c r="C261" t="s">
        <v>7247</v>
      </c>
    </row>
    <row r="262" spans="1:3" hidden="1" x14ac:dyDescent="0.25">
      <c r="A262" t="s">
        <v>7248</v>
      </c>
      <c r="B262" t="s">
        <v>4574</v>
      </c>
      <c r="C262" t="s">
        <v>7249</v>
      </c>
    </row>
    <row r="263" spans="1:3" hidden="1" x14ac:dyDescent="0.25">
      <c r="A263" t="s">
        <v>7250</v>
      </c>
      <c r="B263" t="s">
        <v>4122</v>
      </c>
      <c r="C263" t="s">
        <v>6958</v>
      </c>
    </row>
    <row r="264" spans="1:3" hidden="1" x14ac:dyDescent="0.25">
      <c r="A264" t="s">
        <v>7251</v>
      </c>
      <c r="B264" t="s">
        <v>2334</v>
      </c>
      <c r="C264" t="s">
        <v>7252</v>
      </c>
    </row>
    <row r="265" spans="1:3" hidden="1" x14ac:dyDescent="0.25">
      <c r="A265" t="s">
        <v>7253</v>
      </c>
      <c r="B265" t="s">
        <v>3143</v>
      </c>
      <c r="C265" t="s">
        <v>7254</v>
      </c>
    </row>
    <row r="266" spans="1:3" hidden="1" x14ac:dyDescent="0.25">
      <c r="A266" t="s">
        <v>7255</v>
      </c>
      <c r="B266" t="s">
        <v>5357</v>
      </c>
      <c r="C266" t="s">
        <v>7256</v>
      </c>
    </row>
    <row r="267" spans="1:3" hidden="1" x14ac:dyDescent="0.25">
      <c r="A267" t="s">
        <v>7257</v>
      </c>
      <c r="B267" t="s">
        <v>2623</v>
      </c>
      <c r="C267" t="s">
        <v>7258</v>
      </c>
    </row>
    <row r="268" spans="1:3" hidden="1" x14ac:dyDescent="0.25">
      <c r="A268" t="s">
        <v>7259</v>
      </c>
      <c r="B268" t="s">
        <v>3657</v>
      </c>
      <c r="C268" t="s">
        <v>6958</v>
      </c>
    </row>
    <row r="269" spans="1:3" hidden="1" x14ac:dyDescent="0.25">
      <c r="A269" t="s">
        <v>7260</v>
      </c>
      <c r="B269" t="s">
        <v>3785</v>
      </c>
      <c r="C269" t="s">
        <v>6958</v>
      </c>
    </row>
    <row r="270" spans="1:3" hidden="1" x14ac:dyDescent="0.25">
      <c r="A270" t="s">
        <v>7261</v>
      </c>
      <c r="B270" t="s">
        <v>7262</v>
      </c>
      <c r="C270" t="s">
        <v>7263</v>
      </c>
    </row>
    <row r="271" spans="1:3" hidden="1" x14ac:dyDescent="0.25">
      <c r="A271" t="s">
        <v>7264</v>
      </c>
      <c r="B271" t="s">
        <v>2714</v>
      </c>
      <c r="C271" t="s">
        <v>7265</v>
      </c>
    </row>
    <row r="272" spans="1:3" hidden="1" x14ac:dyDescent="0.25">
      <c r="A272" t="s">
        <v>7266</v>
      </c>
      <c r="B272" t="s">
        <v>2350</v>
      </c>
      <c r="C272" t="s">
        <v>7267</v>
      </c>
    </row>
    <row r="273" spans="1:3" hidden="1" x14ac:dyDescent="0.25">
      <c r="A273" t="s">
        <v>7268</v>
      </c>
      <c r="B273" t="s">
        <v>1231</v>
      </c>
      <c r="C273" t="s">
        <v>6958</v>
      </c>
    </row>
    <row r="274" spans="1:3" hidden="1" x14ac:dyDescent="0.25">
      <c r="A274" t="s">
        <v>7269</v>
      </c>
      <c r="B274" t="s">
        <v>5102</v>
      </c>
      <c r="C274" t="s">
        <v>6958</v>
      </c>
    </row>
    <row r="275" spans="1:3" x14ac:dyDescent="0.25">
      <c r="A275" t="s">
        <v>7270</v>
      </c>
      <c r="B275" t="s">
        <v>203</v>
      </c>
      <c r="C275" t="s">
        <v>7271</v>
      </c>
    </row>
    <row r="276" spans="1:3" hidden="1" x14ac:dyDescent="0.25">
      <c r="A276" t="s">
        <v>7272</v>
      </c>
      <c r="B276" t="s">
        <v>5240</v>
      </c>
      <c r="C276" t="s">
        <v>7273</v>
      </c>
    </row>
    <row r="277" spans="1:3" hidden="1" x14ac:dyDescent="0.25">
      <c r="A277" t="s">
        <v>7274</v>
      </c>
      <c r="B277" t="s">
        <v>2465</v>
      </c>
      <c r="C277" t="s">
        <v>7275</v>
      </c>
    </row>
    <row r="278" spans="1:3" hidden="1" x14ac:dyDescent="0.25">
      <c r="A278" t="s">
        <v>7276</v>
      </c>
      <c r="B278" t="s">
        <v>4331</v>
      </c>
      <c r="C278" t="s">
        <v>6958</v>
      </c>
    </row>
    <row r="279" spans="1:3" hidden="1" x14ac:dyDescent="0.25">
      <c r="A279" t="s">
        <v>7277</v>
      </c>
      <c r="B279" t="s">
        <v>2154</v>
      </c>
      <c r="C279" t="s">
        <v>7278</v>
      </c>
    </row>
    <row r="280" spans="1:3" hidden="1" x14ac:dyDescent="0.25">
      <c r="A280" t="s">
        <v>7279</v>
      </c>
      <c r="B280" t="s">
        <v>4342</v>
      </c>
      <c r="C280" t="s">
        <v>7280</v>
      </c>
    </row>
    <row r="281" spans="1:3" hidden="1" x14ac:dyDescent="0.25">
      <c r="A281" t="s">
        <v>7281</v>
      </c>
      <c r="B281" t="s">
        <v>1138</v>
      </c>
      <c r="C281" t="s">
        <v>7282</v>
      </c>
    </row>
    <row r="282" spans="1:3" hidden="1" x14ac:dyDescent="0.25">
      <c r="A282" t="s">
        <v>7283</v>
      </c>
      <c r="B282" t="s">
        <v>1383</v>
      </c>
      <c r="C282" t="s">
        <v>7284</v>
      </c>
    </row>
    <row r="283" spans="1:3" hidden="1" x14ac:dyDescent="0.25">
      <c r="A283" t="s">
        <v>7285</v>
      </c>
      <c r="B283" t="s">
        <v>3575</v>
      </c>
      <c r="C283" t="s">
        <v>7286</v>
      </c>
    </row>
    <row r="284" spans="1:3" hidden="1" x14ac:dyDescent="0.25">
      <c r="A284" t="s">
        <v>7287</v>
      </c>
      <c r="B284" t="s">
        <v>716</v>
      </c>
      <c r="C284" t="s">
        <v>7288</v>
      </c>
    </row>
    <row r="285" spans="1:3" hidden="1" x14ac:dyDescent="0.25">
      <c r="A285" t="s">
        <v>7289</v>
      </c>
      <c r="B285" t="s">
        <v>5084</v>
      </c>
      <c r="C285" t="s">
        <v>6958</v>
      </c>
    </row>
    <row r="286" spans="1:3" hidden="1" x14ac:dyDescent="0.25">
      <c r="A286" t="s">
        <v>7290</v>
      </c>
      <c r="B286" t="s">
        <v>1828</v>
      </c>
      <c r="C286" t="s">
        <v>7291</v>
      </c>
    </row>
    <row r="287" spans="1:3" hidden="1" x14ac:dyDescent="0.25">
      <c r="A287" t="s">
        <v>7292</v>
      </c>
      <c r="B287" t="s">
        <v>1919</v>
      </c>
      <c r="C287" t="s">
        <v>7293</v>
      </c>
    </row>
    <row r="288" spans="1:3" hidden="1" x14ac:dyDescent="0.25">
      <c r="A288" t="s">
        <v>7294</v>
      </c>
      <c r="B288" t="s">
        <v>4921</v>
      </c>
      <c r="C288" t="s">
        <v>7295</v>
      </c>
    </row>
    <row r="289" spans="1:3" hidden="1" x14ac:dyDescent="0.25">
      <c r="A289" t="s">
        <v>7296</v>
      </c>
      <c r="B289" t="s">
        <v>1757</v>
      </c>
      <c r="C289" t="s">
        <v>6958</v>
      </c>
    </row>
    <row r="290" spans="1:3" hidden="1" x14ac:dyDescent="0.25">
      <c r="A290" t="s">
        <v>7297</v>
      </c>
      <c r="B290" t="s">
        <v>3377</v>
      </c>
      <c r="C290" t="s">
        <v>6958</v>
      </c>
    </row>
    <row r="291" spans="1:3" hidden="1" x14ac:dyDescent="0.25">
      <c r="A291" t="s">
        <v>7298</v>
      </c>
      <c r="B291" t="s">
        <v>3014</v>
      </c>
      <c r="C291" t="s">
        <v>7299</v>
      </c>
    </row>
    <row r="292" spans="1:3" hidden="1" x14ac:dyDescent="0.25">
      <c r="A292" t="s">
        <v>7300</v>
      </c>
      <c r="B292" t="s">
        <v>5620</v>
      </c>
      <c r="C292" t="s">
        <v>7301</v>
      </c>
    </row>
    <row r="293" spans="1:3" hidden="1" x14ac:dyDescent="0.25">
      <c r="A293" t="s">
        <v>7302</v>
      </c>
      <c r="B293" t="s">
        <v>4437</v>
      </c>
      <c r="C293" t="s">
        <v>6958</v>
      </c>
    </row>
    <row r="294" spans="1:3" hidden="1" x14ac:dyDescent="0.25">
      <c r="A294" t="s">
        <v>7303</v>
      </c>
      <c r="B294" t="s">
        <v>4149</v>
      </c>
      <c r="C294" t="s">
        <v>7304</v>
      </c>
    </row>
    <row r="295" spans="1:3" hidden="1" x14ac:dyDescent="0.25">
      <c r="A295" t="s">
        <v>7305</v>
      </c>
      <c r="B295" t="s">
        <v>3917</v>
      </c>
      <c r="C295" t="s">
        <v>7306</v>
      </c>
    </row>
    <row r="296" spans="1:3" hidden="1" x14ac:dyDescent="0.25">
      <c r="A296" t="s">
        <v>7307</v>
      </c>
      <c r="B296" t="s">
        <v>84</v>
      </c>
      <c r="C296" t="s">
        <v>7308</v>
      </c>
    </row>
    <row r="297" spans="1:3" hidden="1" x14ac:dyDescent="0.25">
      <c r="A297" t="s">
        <v>7309</v>
      </c>
      <c r="B297" t="s">
        <v>5186</v>
      </c>
      <c r="C297" t="s">
        <v>7310</v>
      </c>
    </row>
    <row r="298" spans="1:3" hidden="1" x14ac:dyDescent="0.25">
      <c r="A298" t="s">
        <v>7311</v>
      </c>
      <c r="B298" t="s">
        <v>4597</v>
      </c>
      <c r="C298" t="s">
        <v>7312</v>
      </c>
    </row>
    <row r="299" spans="1:3" hidden="1" x14ac:dyDescent="0.25">
      <c r="A299" t="s">
        <v>7313</v>
      </c>
      <c r="B299" t="s">
        <v>1946</v>
      </c>
      <c r="C299" t="s">
        <v>7314</v>
      </c>
    </row>
    <row r="300" spans="1:3" hidden="1" x14ac:dyDescent="0.25">
      <c r="A300" t="s">
        <v>7315</v>
      </c>
      <c r="B300" t="s">
        <v>3048</v>
      </c>
      <c r="C300" t="s">
        <v>7316</v>
      </c>
    </row>
    <row r="301" spans="1:3" hidden="1" x14ac:dyDescent="0.25">
      <c r="A301" t="s">
        <v>7317</v>
      </c>
      <c r="B301" t="s">
        <v>1970</v>
      </c>
      <c r="C301" t="s">
        <v>7318</v>
      </c>
    </row>
    <row r="302" spans="1:3" hidden="1" x14ac:dyDescent="0.25">
      <c r="A302" t="s">
        <v>7319</v>
      </c>
      <c r="B302" t="s">
        <v>2149</v>
      </c>
      <c r="C302" t="s">
        <v>7320</v>
      </c>
    </row>
    <row r="303" spans="1:3" hidden="1" x14ac:dyDescent="0.25">
      <c r="A303" t="s">
        <v>7321</v>
      </c>
      <c r="B303" t="s">
        <v>5576</v>
      </c>
      <c r="C303" t="s">
        <v>7322</v>
      </c>
    </row>
    <row r="304" spans="1:3" hidden="1" x14ac:dyDescent="0.25">
      <c r="A304" t="s">
        <v>7323</v>
      </c>
      <c r="B304" t="s">
        <v>5499</v>
      </c>
      <c r="C304" t="s">
        <v>7324</v>
      </c>
    </row>
    <row r="305" spans="1:3" hidden="1" x14ac:dyDescent="0.25">
      <c r="A305" t="s">
        <v>7325</v>
      </c>
      <c r="B305" t="s">
        <v>3172</v>
      </c>
      <c r="C305" t="s">
        <v>6958</v>
      </c>
    </row>
    <row r="306" spans="1:3" hidden="1" x14ac:dyDescent="0.25">
      <c r="A306" t="s">
        <v>7326</v>
      </c>
      <c r="B306" t="s">
        <v>491</v>
      </c>
      <c r="C306" t="s">
        <v>7327</v>
      </c>
    </row>
    <row r="307" spans="1:3" hidden="1" x14ac:dyDescent="0.25">
      <c r="A307" t="s">
        <v>7328</v>
      </c>
      <c r="B307" t="s">
        <v>4842</v>
      </c>
      <c r="C307" t="s">
        <v>6958</v>
      </c>
    </row>
    <row r="308" spans="1:3" hidden="1" x14ac:dyDescent="0.25">
      <c r="A308" t="s">
        <v>7329</v>
      </c>
      <c r="B308" t="s">
        <v>2847</v>
      </c>
      <c r="C308" t="s">
        <v>7330</v>
      </c>
    </row>
    <row r="309" spans="1:3" hidden="1" x14ac:dyDescent="0.25">
      <c r="A309" t="s">
        <v>7331</v>
      </c>
      <c r="B309" t="s">
        <v>3943</v>
      </c>
      <c r="C309" t="s">
        <v>7332</v>
      </c>
    </row>
    <row r="310" spans="1:3" hidden="1" x14ac:dyDescent="0.25">
      <c r="A310" t="s">
        <v>7333</v>
      </c>
      <c r="B310" t="s">
        <v>4013</v>
      </c>
      <c r="C310" t="s">
        <v>7334</v>
      </c>
    </row>
    <row r="311" spans="1:3" hidden="1" x14ac:dyDescent="0.25">
      <c r="A311" t="s">
        <v>7335</v>
      </c>
      <c r="B311" t="s">
        <v>942</v>
      </c>
      <c r="C311" t="s">
        <v>7336</v>
      </c>
    </row>
    <row r="312" spans="1:3" hidden="1" x14ac:dyDescent="0.25">
      <c r="A312" t="s">
        <v>7337</v>
      </c>
      <c r="B312" t="s">
        <v>2118</v>
      </c>
      <c r="C312" t="s">
        <v>6958</v>
      </c>
    </row>
    <row r="313" spans="1:3" hidden="1" x14ac:dyDescent="0.25">
      <c r="A313" t="s">
        <v>7338</v>
      </c>
      <c r="B313" t="s">
        <v>3691</v>
      </c>
      <c r="C313" t="s">
        <v>7339</v>
      </c>
    </row>
    <row r="314" spans="1:3" hidden="1" x14ac:dyDescent="0.25">
      <c r="A314" t="s">
        <v>7340</v>
      </c>
      <c r="B314" t="s">
        <v>5264</v>
      </c>
      <c r="C314" t="s">
        <v>7341</v>
      </c>
    </row>
    <row r="315" spans="1:3" hidden="1" x14ac:dyDescent="0.25">
      <c r="A315" t="s">
        <v>7342</v>
      </c>
      <c r="B315" t="s">
        <v>1206</v>
      </c>
      <c r="C315" t="s">
        <v>6958</v>
      </c>
    </row>
    <row r="316" spans="1:3" hidden="1" x14ac:dyDescent="0.25">
      <c r="A316" t="s">
        <v>7343</v>
      </c>
      <c r="B316" t="s">
        <v>1932</v>
      </c>
      <c r="C316" t="s">
        <v>6958</v>
      </c>
    </row>
    <row r="317" spans="1:3" hidden="1" x14ac:dyDescent="0.25">
      <c r="A317" t="s">
        <v>7344</v>
      </c>
      <c r="B317" t="s">
        <v>3021</v>
      </c>
      <c r="C317" t="s">
        <v>7345</v>
      </c>
    </row>
    <row r="318" spans="1:3" hidden="1" x14ac:dyDescent="0.25">
      <c r="A318" t="s">
        <v>7346</v>
      </c>
      <c r="B318" t="s">
        <v>2140</v>
      </c>
      <c r="C318" t="s">
        <v>6958</v>
      </c>
    </row>
    <row r="319" spans="1:3" hidden="1" x14ac:dyDescent="0.25">
      <c r="A319" t="s">
        <v>7347</v>
      </c>
      <c r="B319" t="s">
        <v>1390</v>
      </c>
      <c r="C319" t="s">
        <v>7348</v>
      </c>
    </row>
    <row r="320" spans="1:3" hidden="1" x14ac:dyDescent="0.25">
      <c r="A320" t="s">
        <v>7349</v>
      </c>
      <c r="B320" t="s">
        <v>2633</v>
      </c>
      <c r="C320" t="s">
        <v>6958</v>
      </c>
    </row>
    <row r="321" spans="1:3" hidden="1" x14ac:dyDescent="0.25">
      <c r="A321" t="s">
        <v>7350</v>
      </c>
      <c r="B321" t="s">
        <v>5624</v>
      </c>
      <c r="C321" t="s">
        <v>7351</v>
      </c>
    </row>
    <row r="322" spans="1:3" hidden="1" x14ac:dyDescent="0.25">
      <c r="A322" t="s">
        <v>7352</v>
      </c>
      <c r="B322" t="s">
        <v>7353</v>
      </c>
      <c r="C322" t="s">
        <v>7354</v>
      </c>
    </row>
    <row r="323" spans="1:3" hidden="1" x14ac:dyDescent="0.25">
      <c r="A323" t="s">
        <v>7355</v>
      </c>
      <c r="B323" t="s">
        <v>2059</v>
      </c>
      <c r="C323" t="s">
        <v>7356</v>
      </c>
    </row>
    <row r="324" spans="1:3" hidden="1" x14ac:dyDescent="0.25">
      <c r="A324" t="s">
        <v>7357</v>
      </c>
      <c r="B324" t="s">
        <v>5510</v>
      </c>
      <c r="C324" t="s">
        <v>7358</v>
      </c>
    </row>
    <row r="325" spans="1:3" hidden="1" x14ac:dyDescent="0.25">
      <c r="A325" t="s">
        <v>7359</v>
      </c>
      <c r="B325" t="s">
        <v>2197</v>
      </c>
      <c r="C325" t="s">
        <v>7360</v>
      </c>
    </row>
    <row r="326" spans="1:3" hidden="1" x14ac:dyDescent="0.25">
      <c r="A326" t="s">
        <v>7361</v>
      </c>
      <c r="B326" t="s">
        <v>583</v>
      </c>
      <c r="C326" t="s">
        <v>6958</v>
      </c>
    </row>
    <row r="327" spans="1:3" hidden="1" x14ac:dyDescent="0.25">
      <c r="A327" t="s">
        <v>7362</v>
      </c>
      <c r="B327" t="s">
        <v>2651</v>
      </c>
      <c r="C327" t="s">
        <v>6958</v>
      </c>
    </row>
    <row r="328" spans="1:3" hidden="1" x14ac:dyDescent="0.25">
      <c r="A328" t="s">
        <v>7363</v>
      </c>
      <c r="B328" t="s">
        <v>1994</v>
      </c>
      <c r="C328" t="s">
        <v>6958</v>
      </c>
    </row>
    <row r="329" spans="1:3" hidden="1" x14ac:dyDescent="0.25">
      <c r="A329" t="s">
        <v>7364</v>
      </c>
      <c r="B329" t="s">
        <v>4114</v>
      </c>
      <c r="C329" t="s">
        <v>7365</v>
      </c>
    </row>
    <row r="330" spans="1:3" hidden="1" x14ac:dyDescent="0.25">
      <c r="A330" t="s">
        <v>7366</v>
      </c>
      <c r="B330" t="s">
        <v>5269</v>
      </c>
      <c r="C330" t="s">
        <v>7367</v>
      </c>
    </row>
    <row r="331" spans="1:3" hidden="1" x14ac:dyDescent="0.25">
      <c r="A331" t="s">
        <v>7368</v>
      </c>
      <c r="B331" t="s">
        <v>35</v>
      </c>
      <c r="C331" t="s">
        <v>7369</v>
      </c>
    </row>
    <row r="332" spans="1:3" hidden="1" x14ac:dyDescent="0.25">
      <c r="A332" t="s">
        <v>7370</v>
      </c>
      <c r="B332" t="s">
        <v>208</v>
      </c>
      <c r="C332" t="s">
        <v>7371</v>
      </c>
    </row>
    <row r="333" spans="1:3" hidden="1" x14ac:dyDescent="0.25">
      <c r="A333" t="s">
        <v>7372</v>
      </c>
      <c r="B333" t="s">
        <v>4985</v>
      </c>
      <c r="C333" t="s">
        <v>7373</v>
      </c>
    </row>
    <row r="334" spans="1:3" hidden="1" x14ac:dyDescent="0.25">
      <c r="A334" t="s">
        <v>7374</v>
      </c>
      <c r="B334" t="s">
        <v>1692</v>
      </c>
      <c r="C334" t="s">
        <v>7375</v>
      </c>
    </row>
    <row r="335" spans="1:3" hidden="1" x14ac:dyDescent="0.25">
      <c r="A335" t="s">
        <v>7376</v>
      </c>
      <c r="B335" t="s">
        <v>1007</v>
      </c>
      <c r="C335" t="s">
        <v>7377</v>
      </c>
    </row>
    <row r="336" spans="1:3" hidden="1" x14ac:dyDescent="0.25">
      <c r="A336" t="s">
        <v>7378</v>
      </c>
      <c r="B336" t="s">
        <v>2169</v>
      </c>
      <c r="C336" t="s">
        <v>6958</v>
      </c>
    </row>
    <row r="337" spans="1:3" hidden="1" x14ac:dyDescent="0.25">
      <c r="A337" t="s">
        <v>7379</v>
      </c>
      <c r="B337" t="s">
        <v>2773</v>
      </c>
      <c r="C337" t="s">
        <v>7380</v>
      </c>
    </row>
    <row r="338" spans="1:3" hidden="1" x14ac:dyDescent="0.25">
      <c r="A338" t="s">
        <v>7381</v>
      </c>
      <c r="B338" t="s">
        <v>2148</v>
      </c>
      <c r="C338" t="s">
        <v>6958</v>
      </c>
    </row>
    <row r="339" spans="1:3" hidden="1" x14ac:dyDescent="0.25">
      <c r="A339" t="s">
        <v>7382</v>
      </c>
      <c r="B339" t="s">
        <v>1523</v>
      </c>
      <c r="C339" t="s">
        <v>7383</v>
      </c>
    </row>
    <row r="340" spans="1:3" hidden="1" x14ac:dyDescent="0.25">
      <c r="A340" t="s">
        <v>7384</v>
      </c>
      <c r="B340" t="s">
        <v>3471</v>
      </c>
      <c r="C340" t="s">
        <v>6958</v>
      </c>
    </row>
    <row r="341" spans="1:3" hidden="1" x14ac:dyDescent="0.25">
      <c r="A341" t="s">
        <v>7385</v>
      </c>
      <c r="B341" t="s">
        <v>1366</v>
      </c>
      <c r="C341" t="s">
        <v>7386</v>
      </c>
    </row>
    <row r="342" spans="1:3" hidden="1" x14ac:dyDescent="0.25">
      <c r="A342" t="s">
        <v>7387</v>
      </c>
      <c r="B342" t="s">
        <v>77</v>
      </c>
      <c r="C342" t="s">
        <v>7388</v>
      </c>
    </row>
    <row r="343" spans="1:3" hidden="1" x14ac:dyDescent="0.25">
      <c r="A343" t="s">
        <v>7389</v>
      </c>
      <c r="B343" t="s">
        <v>4821</v>
      </c>
      <c r="C343" t="s">
        <v>7390</v>
      </c>
    </row>
    <row r="344" spans="1:3" hidden="1" x14ac:dyDescent="0.25">
      <c r="A344" t="s">
        <v>7391</v>
      </c>
      <c r="B344" t="s">
        <v>842</v>
      </c>
      <c r="C344" t="s">
        <v>7392</v>
      </c>
    </row>
    <row r="345" spans="1:3" hidden="1" x14ac:dyDescent="0.25">
      <c r="A345" t="s">
        <v>7393</v>
      </c>
      <c r="B345" t="s">
        <v>4348</v>
      </c>
      <c r="C345" t="s">
        <v>7394</v>
      </c>
    </row>
    <row r="346" spans="1:3" hidden="1" x14ac:dyDescent="0.25">
      <c r="A346" t="s">
        <v>7395</v>
      </c>
      <c r="B346" t="s">
        <v>5168</v>
      </c>
      <c r="C346" t="s">
        <v>6958</v>
      </c>
    </row>
    <row r="347" spans="1:3" hidden="1" x14ac:dyDescent="0.25">
      <c r="A347" t="s">
        <v>7396</v>
      </c>
      <c r="B347" t="s">
        <v>1875</v>
      </c>
      <c r="C347" t="s">
        <v>6958</v>
      </c>
    </row>
    <row r="348" spans="1:3" hidden="1" x14ac:dyDescent="0.25">
      <c r="A348" t="s">
        <v>7397</v>
      </c>
      <c r="B348" t="s">
        <v>2865</v>
      </c>
      <c r="C348" t="s">
        <v>7398</v>
      </c>
    </row>
    <row r="349" spans="1:3" hidden="1" x14ac:dyDescent="0.25">
      <c r="A349" t="s">
        <v>7399</v>
      </c>
      <c r="B349" t="s">
        <v>4364</v>
      </c>
      <c r="C349" t="s">
        <v>7400</v>
      </c>
    </row>
    <row r="350" spans="1:3" hidden="1" x14ac:dyDescent="0.25">
      <c r="A350" t="s">
        <v>7401</v>
      </c>
      <c r="B350" t="s">
        <v>2721</v>
      </c>
      <c r="C350" t="s">
        <v>7402</v>
      </c>
    </row>
    <row r="351" spans="1:3" hidden="1" x14ac:dyDescent="0.25">
      <c r="A351" t="s">
        <v>7403</v>
      </c>
      <c r="B351" t="s">
        <v>2023</v>
      </c>
      <c r="C351" t="s">
        <v>6958</v>
      </c>
    </row>
    <row r="352" spans="1:3" hidden="1" x14ac:dyDescent="0.25">
      <c r="A352" t="s">
        <v>7404</v>
      </c>
      <c r="B352" t="s">
        <v>334</v>
      </c>
      <c r="C352" t="s">
        <v>7405</v>
      </c>
    </row>
    <row r="353" spans="1:3" hidden="1" x14ac:dyDescent="0.25">
      <c r="A353" t="s">
        <v>7406</v>
      </c>
      <c r="B353" t="s">
        <v>673</v>
      </c>
      <c r="C353" t="s">
        <v>6958</v>
      </c>
    </row>
    <row r="354" spans="1:3" hidden="1" x14ac:dyDescent="0.25">
      <c r="A354" t="s">
        <v>7407</v>
      </c>
      <c r="B354" t="s">
        <v>3208</v>
      </c>
      <c r="C354" t="s">
        <v>7408</v>
      </c>
    </row>
    <row r="355" spans="1:3" hidden="1" x14ac:dyDescent="0.25">
      <c r="A355" t="s">
        <v>7409</v>
      </c>
      <c r="B355" t="s">
        <v>73</v>
      </c>
      <c r="C355" t="s">
        <v>7410</v>
      </c>
    </row>
    <row r="356" spans="1:3" hidden="1" x14ac:dyDescent="0.25">
      <c r="A356" t="s">
        <v>7411</v>
      </c>
      <c r="B356" t="s">
        <v>2256</v>
      </c>
      <c r="C356" t="s">
        <v>7412</v>
      </c>
    </row>
    <row r="357" spans="1:3" hidden="1" x14ac:dyDescent="0.25">
      <c r="A357" t="s">
        <v>7413</v>
      </c>
      <c r="B357" t="s">
        <v>1247</v>
      </c>
      <c r="C357" t="s">
        <v>7414</v>
      </c>
    </row>
    <row r="358" spans="1:3" hidden="1" x14ac:dyDescent="0.25">
      <c r="A358" t="s">
        <v>7415</v>
      </c>
      <c r="B358" t="s">
        <v>4833</v>
      </c>
      <c r="C358" t="s">
        <v>7416</v>
      </c>
    </row>
    <row r="359" spans="1:3" hidden="1" x14ac:dyDescent="0.25">
      <c r="A359" t="s">
        <v>7417</v>
      </c>
      <c r="B359" t="s">
        <v>3428</v>
      </c>
      <c r="C359" t="s">
        <v>7418</v>
      </c>
    </row>
    <row r="360" spans="1:3" hidden="1" x14ac:dyDescent="0.25">
      <c r="A360" t="s">
        <v>7419</v>
      </c>
      <c r="B360" t="s">
        <v>4156</v>
      </c>
      <c r="C360" t="s">
        <v>7420</v>
      </c>
    </row>
    <row r="361" spans="1:3" hidden="1" x14ac:dyDescent="0.25">
      <c r="A361" t="s">
        <v>7421</v>
      </c>
      <c r="B361" t="s">
        <v>2295</v>
      </c>
      <c r="C361" t="s">
        <v>7422</v>
      </c>
    </row>
    <row r="362" spans="1:3" hidden="1" x14ac:dyDescent="0.25">
      <c r="A362" t="s">
        <v>7423</v>
      </c>
      <c r="B362" t="s">
        <v>3331</v>
      </c>
      <c r="C362" t="s">
        <v>6958</v>
      </c>
    </row>
    <row r="363" spans="1:3" hidden="1" x14ac:dyDescent="0.25">
      <c r="A363" t="s">
        <v>7424</v>
      </c>
      <c r="B363" t="s">
        <v>5399</v>
      </c>
      <c r="C363" t="s">
        <v>7425</v>
      </c>
    </row>
    <row r="364" spans="1:3" hidden="1" x14ac:dyDescent="0.25">
      <c r="A364" t="s">
        <v>7426</v>
      </c>
      <c r="B364" t="s">
        <v>5398</v>
      </c>
      <c r="C364" t="s">
        <v>6958</v>
      </c>
    </row>
    <row r="365" spans="1:3" hidden="1" x14ac:dyDescent="0.25">
      <c r="A365" t="s">
        <v>7427</v>
      </c>
      <c r="B365" t="s">
        <v>7428</v>
      </c>
      <c r="C365" t="s">
        <v>7429</v>
      </c>
    </row>
    <row r="366" spans="1:3" hidden="1" x14ac:dyDescent="0.25">
      <c r="A366" t="s">
        <v>7430</v>
      </c>
      <c r="B366" t="s">
        <v>5239</v>
      </c>
      <c r="C366" t="s">
        <v>7431</v>
      </c>
    </row>
    <row r="367" spans="1:3" hidden="1" x14ac:dyDescent="0.25">
      <c r="A367" t="s">
        <v>7432</v>
      </c>
      <c r="B367" t="s">
        <v>2682</v>
      </c>
      <c r="C367" t="s">
        <v>7433</v>
      </c>
    </row>
    <row r="368" spans="1:3" hidden="1" x14ac:dyDescent="0.25">
      <c r="A368" t="s">
        <v>7434</v>
      </c>
      <c r="B368" t="s">
        <v>713</v>
      </c>
      <c r="C368" t="s">
        <v>7435</v>
      </c>
    </row>
    <row r="369" spans="1:3" hidden="1" x14ac:dyDescent="0.25">
      <c r="A369" t="s">
        <v>7436</v>
      </c>
      <c r="B369" t="s">
        <v>2967</v>
      </c>
      <c r="C369" t="s">
        <v>7437</v>
      </c>
    </row>
    <row r="370" spans="1:3" hidden="1" x14ac:dyDescent="0.25">
      <c r="A370" t="s">
        <v>7438</v>
      </c>
      <c r="B370" t="s">
        <v>3229</v>
      </c>
      <c r="C370" t="s">
        <v>7439</v>
      </c>
    </row>
    <row r="371" spans="1:3" hidden="1" x14ac:dyDescent="0.25">
      <c r="A371" t="s">
        <v>7440</v>
      </c>
      <c r="B371" t="s">
        <v>1186</v>
      </c>
      <c r="C371" t="s">
        <v>7441</v>
      </c>
    </row>
    <row r="372" spans="1:3" hidden="1" x14ac:dyDescent="0.25">
      <c r="A372" t="s">
        <v>7442</v>
      </c>
      <c r="B372" t="s">
        <v>3350</v>
      </c>
      <c r="C372" t="s">
        <v>7443</v>
      </c>
    </row>
    <row r="373" spans="1:3" hidden="1" x14ac:dyDescent="0.25">
      <c r="A373" t="s">
        <v>7444</v>
      </c>
      <c r="B373" t="s">
        <v>5639</v>
      </c>
      <c r="C373" t="s">
        <v>7445</v>
      </c>
    </row>
    <row r="374" spans="1:3" hidden="1" x14ac:dyDescent="0.25">
      <c r="A374" t="s">
        <v>7446</v>
      </c>
      <c r="B374" t="s">
        <v>4657</v>
      </c>
      <c r="C374" t="s">
        <v>7447</v>
      </c>
    </row>
    <row r="375" spans="1:3" hidden="1" x14ac:dyDescent="0.25">
      <c r="A375" t="s">
        <v>7448</v>
      </c>
      <c r="B375" t="s">
        <v>666</v>
      </c>
      <c r="C375" t="s">
        <v>7449</v>
      </c>
    </row>
    <row r="376" spans="1:3" hidden="1" x14ac:dyDescent="0.25">
      <c r="A376" t="s">
        <v>7450</v>
      </c>
      <c r="B376" t="s">
        <v>1680</v>
      </c>
      <c r="C376" t="s">
        <v>7451</v>
      </c>
    </row>
    <row r="377" spans="1:3" hidden="1" x14ac:dyDescent="0.25">
      <c r="A377" t="s">
        <v>7452</v>
      </c>
      <c r="B377" t="s">
        <v>1673</v>
      </c>
      <c r="C377" t="s">
        <v>6958</v>
      </c>
    </row>
    <row r="378" spans="1:3" hidden="1" x14ac:dyDescent="0.25">
      <c r="A378" t="s">
        <v>7453</v>
      </c>
      <c r="B378" t="s">
        <v>3648</v>
      </c>
      <c r="C378" t="s">
        <v>7454</v>
      </c>
    </row>
    <row r="379" spans="1:3" hidden="1" x14ac:dyDescent="0.25">
      <c r="A379" t="s">
        <v>7455</v>
      </c>
      <c r="B379" t="s">
        <v>5437</v>
      </c>
      <c r="C379" t="s">
        <v>6958</v>
      </c>
    </row>
    <row r="380" spans="1:3" hidden="1" x14ac:dyDescent="0.25">
      <c r="A380" t="s">
        <v>7456</v>
      </c>
      <c r="B380" t="s">
        <v>4178</v>
      </c>
      <c r="C380" t="s">
        <v>7457</v>
      </c>
    </row>
    <row r="381" spans="1:3" hidden="1" x14ac:dyDescent="0.25">
      <c r="A381" t="s">
        <v>7458</v>
      </c>
      <c r="B381" t="s">
        <v>4123</v>
      </c>
      <c r="C381" t="s">
        <v>7459</v>
      </c>
    </row>
    <row r="382" spans="1:3" hidden="1" x14ac:dyDescent="0.25">
      <c r="A382" t="s">
        <v>7460</v>
      </c>
      <c r="B382" t="s">
        <v>186</v>
      </c>
      <c r="C382" t="s">
        <v>7461</v>
      </c>
    </row>
    <row r="383" spans="1:3" hidden="1" x14ac:dyDescent="0.25">
      <c r="A383" t="s">
        <v>7462</v>
      </c>
      <c r="B383" t="s">
        <v>2725</v>
      </c>
      <c r="C383" t="s">
        <v>6958</v>
      </c>
    </row>
    <row r="384" spans="1:3" hidden="1" x14ac:dyDescent="0.25">
      <c r="A384" t="s">
        <v>7463</v>
      </c>
      <c r="B384" t="s">
        <v>1691</v>
      </c>
      <c r="C384" t="s">
        <v>7464</v>
      </c>
    </row>
    <row r="385" spans="1:3" hidden="1" x14ac:dyDescent="0.25">
      <c r="A385" t="s">
        <v>7465</v>
      </c>
      <c r="B385" t="s">
        <v>2897</v>
      </c>
      <c r="C385" t="s">
        <v>7466</v>
      </c>
    </row>
    <row r="386" spans="1:3" hidden="1" x14ac:dyDescent="0.25">
      <c r="A386" t="s">
        <v>7467</v>
      </c>
      <c r="B386" t="s">
        <v>4194</v>
      </c>
      <c r="C386" t="s">
        <v>7468</v>
      </c>
    </row>
    <row r="387" spans="1:3" hidden="1" x14ac:dyDescent="0.25">
      <c r="A387" t="s">
        <v>7469</v>
      </c>
      <c r="B387" t="s">
        <v>3317</v>
      </c>
      <c r="C387" t="s">
        <v>6958</v>
      </c>
    </row>
    <row r="388" spans="1:3" hidden="1" x14ac:dyDescent="0.25">
      <c r="A388" t="s">
        <v>7470</v>
      </c>
      <c r="B388" t="s">
        <v>5522</v>
      </c>
      <c r="C388" t="s">
        <v>6958</v>
      </c>
    </row>
    <row r="389" spans="1:3" hidden="1" x14ac:dyDescent="0.25">
      <c r="A389" t="s">
        <v>7471</v>
      </c>
      <c r="B389" t="s">
        <v>150</v>
      </c>
      <c r="C389" t="s">
        <v>7472</v>
      </c>
    </row>
    <row r="390" spans="1:3" hidden="1" x14ac:dyDescent="0.25">
      <c r="A390" t="s">
        <v>7473</v>
      </c>
      <c r="B390" t="s">
        <v>5378</v>
      </c>
      <c r="C390" t="s">
        <v>7474</v>
      </c>
    </row>
    <row r="391" spans="1:3" hidden="1" x14ac:dyDescent="0.25">
      <c r="A391" t="s">
        <v>7475</v>
      </c>
      <c r="B391" t="s">
        <v>3493</v>
      </c>
      <c r="C391" t="s">
        <v>7476</v>
      </c>
    </row>
    <row r="392" spans="1:3" hidden="1" x14ac:dyDescent="0.25">
      <c r="A392" t="s">
        <v>7477</v>
      </c>
      <c r="B392" t="s">
        <v>3157</v>
      </c>
      <c r="C392" t="s">
        <v>7478</v>
      </c>
    </row>
    <row r="393" spans="1:3" hidden="1" x14ac:dyDescent="0.25">
      <c r="A393" t="s">
        <v>7479</v>
      </c>
      <c r="B393" t="s">
        <v>5105</v>
      </c>
      <c r="C393" t="s">
        <v>7480</v>
      </c>
    </row>
    <row r="394" spans="1:3" hidden="1" x14ac:dyDescent="0.25">
      <c r="A394" t="s">
        <v>7481</v>
      </c>
      <c r="B394" t="s">
        <v>4825</v>
      </c>
      <c r="C394" t="s">
        <v>6958</v>
      </c>
    </row>
    <row r="395" spans="1:3" hidden="1" x14ac:dyDescent="0.25">
      <c r="A395" t="s">
        <v>7482</v>
      </c>
      <c r="B395" t="s">
        <v>2819</v>
      </c>
      <c r="C395" t="s">
        <v>7483</v>
      </c>
    </row>
    <row r="396" spans="1:3" hidden="1" x14ac:dyDescent="0.25">
      <c r="A396" t="s">
        <v>7484</v>
      </c>
      <c r="B396" t="s">
        <v>751</v>
      </c>
      <c r="C396" t="s">
        <v>7485</v>
      </c>
    </row>
    <row r="397" spans="1:3" hidden="1" x14ac:dyDescent="0.25">
      <c r="A397" t="s">
        <v>7486</v>
      </c>
      <c r="B397" t="s">
        <v>4845</v>
      </c>
      <c r="C397" t="s">
        <v>7485</v>
      </c>
    </row>
    <row r="398" spans="1:3" hidden="1" x14ac:dyDescent="0.25">
      <c r="A398" t="s">
        <v>7487</v>
      </c>
      <c r="B398" t="s">
        <v>4254</v>
      </c>
      <c r="C398" t="s">
        <v>7488</v>
      </c>
    </row>
    <row r="399" spans="1:3" hidden="1" x14ac:dyDescent="0.25">
      <c r="A399" t="s">
        <v>7489</v>
      </c>
      <c r="B399" t="s">
        <v>1140</v>
      </c>
      <c r="C399" t="s">
        <v>7490</v>
      </c>
    </row>
    <row r="400" spans="1:3" hidden="1" x14ac:dyDescent="0.25">
      <c r="A400" t="s">
        <v>7491</v>
      </c>
      <c r="B400" t="s">
        <v>4999</v>
      </c>
      <c r="C400" t="s">
        <v>7492</v>
      </c>
    </row>
    <row r="401" spans="1:3" hidden="1" x14ac:dyDescent="0.25">
      <c r="A401" t="s">
        <v>7493</v>
      </c>
      <c r="B401" t="s">
        <v>7494</v>
      </c>
      <c r="C401" t="s">
        <v>7495</v>
      </c>
    </row>
    <row r="402" spans="1:3" hidden="1" x14ac:dyDescent="0.25">
      <c r="A402" t="s">
        <v>7496</v>
      </c>
      <c r="B402" t="s">
        <v>4343</v>
      </c>
      <c r="C402" t="s">
        <v>6958</v>
      </c>
    </row>
    <row r="403" spans="1:3" hidden="1" x14ac:dyDescent="0.25">
      <c r="A403" t="s">
        <v>7497</v>
      </c>
      <c r="B403" t="s">
        <v>4811</v>
      </c>
      <c r="C403" t="s">
        <v>7498</v>
      </c>
    </row>
    <row r="404" spans="1:3" hidden="1" x14ac:dyDescent="0.25">
      <c r="A404" t="s">
        <v>7499</v>
      </c>
      <c r="B404" t="s">
        <v>3722</v>
      </c>
      <c r="C404" t="s">
        <v>6958</v>
      </c>
    </row>
    <row r="405" spans="1:3" hidden="1" x14ac:dyDescent="0.25">
      <c r="A405" t="s">
        <v>7500</v>
      </c>
      <c r="B405" t="s">
        <v>5574</v>
      </c>
      <c r="C405" t="s">
        <v>7501</v>
      </c>
    </row>
    <row r="406" spans="1:3" hidden="1" x14ac:dyDescent="0.25">
      <c r="A406" t="s">
        <v>7502</v>
      </c>
      <c r="B406" t="s">
        <v>4495</v>
      </c>
      <c r="C406" t="s">
        <v>6958</v>
      </c>
    </row>
    <row r="407" spans="1:3" hidden="1" x14ac:dyDescent="0.25">
      <c r="A407" t="s">
        <v>7503</v>
      </c>
      <c r="B407" t="s">
        <v>3777</v>
      </c>
      <c r="C407" t="s">
        <v>7504</v>
      </c>
    </row>
    <row r="408" spans="1:3" hidden="1" x14ac:dyDescent="0.25">
      <c r="A408" t="s">
        <v>7505</v>
      </c>
      <c r="B408" t="s">
        <v>2762</v>
      </c>
      <c r="C408" t="s">
        <v>7506</v>
      </c>
    </row>
    <row r="409" spans="1:3" hidden="1" x14ac:dyDescent="0.25">
      <c r="A409" t="s">
        <v>7507</v>
      </c>
      <c r="B409" t="s">
        <v>3670</v>
      </c>
      <c r="C409" t="s">
        <v>6958</v>
      </c>
    </row>
    <row r="410" spans="1:3" hidden="1" x14ac:dyDescent="0.25">
      <c r="A410" t="s">
        <v>7508</v>
      </c>
      <c r="B410" t="s">
        <v>123</v>
      </c>
      <c r="C410" t="s">
        <v>7509</v>
      </c>
    </row>
    <row r="411" spans="1:3" hidden="1" x14ac:dyDescent="0.25">
      <c r="A411" t="s">
        <v>7510</v>
      </c>
      <c r="B411" t="s">
        <v>3760</v>
      </c>
      <c r="C411" t="s">
        <v>7511</v>
      </c>
    </row>
    <row r="412" spans="1:3" hidden="1" x14ac:dyDescent="0.25">
      <c r="A412" t="s">
        <v>7512</v>
      </c>
      <c r="B412" t="s">
        <v>1736</v>
      </c>
      <c r="C412" t="s">
        <v>7513</v>
      </c>
    </row>
    <row r="413" spans="1:3" hidden="1" x14ac:dyDescent="0.25">
      <c r="A413" t="s">
        <v>7514</v>
      </c>
      <c r="B413" t="s">
        <v>5313</v>
      </c>
      <c r="C413" t="s">
        <v>7515</v>
      </c>
    </row>
    <row r="414" spans="1:3" hidden="1" x14ac:dyDescent="0.25">
      <c r="A414" t="s">
        <v>7516</v>
      </c>
      <c r="B414" t="s">
        <v>781</v>
      </c>
      <c r="C414" t="s">
        <v>6958</v>
      </c>
    </row>
    <row r="415" spans="1:3" hidden="1" x14ac:dyDescent="0.25">
      <c r="A415" t="s">
        <v>7517</v>
      </c>
      <c r="B415" t="s">
        <v>62</v>
      </c>
      <c r="C415" t="s">
        <v>7518</v>
      </c>
    </row>
    <row r="416" spans="1:3" hidden="1" x14ac:dyDescent="0.25">
      <c r="A416" t="s">
        <v>7519</v>
      </c>
      <c r="B416" t="s">
        <v>1706</v>
      </c>
      <c r="C416" t="s">
        <v>7520</v>
      </c>
    </row>
    <row r="417" spans="1:3" hidden="1" x14ac:dyDescent="0.25">
      <c r="A417" t="s">
        <v>7521</v>
      </c>
      <c r="B417" t="s">
        <v>1324</v>
      </c>
      <c r="C417" t="s">
        <v>7522</v>
      </c>
    </row>
    <row r="418" spans="1:3" hidden="1" x14ac:dyDescent="0.25">
      <c r="A418" t="s">
        <v>7523</v>
      </c>
      <c r="B418" t="s">
        <v>2026</v>
      </c>
      <c r="C418" t="s">
        <v>7524</v>
      </c>
    </row>
    <row r="419" spans="1:3" hidden="1" x14ac:dyDescent="0.25">
      <c r="A419" t="s">
        <v>7525</v>
      </c>
      <c r="B419" t="s">
        <v>973</v>
      </c>
      <c r="C419" t="s">
        <v>7526</v>
      </c>
    </row>
    <row r="420" spans="1:3" hidden="1" x14ac:dyDescent="0.25">
      <c r="A420" t="s">
        <v>7527</v>
      </c>
      <c r="B420" t="s">
        <v>421</v>
      </c>
      <c r="C420" t="s">
        <v>7528</v>
      </c>
    </row>
    <row r="421" spans="1:3" hidden="1" x14ac:dyDescent="0.25">
      <c r="A421" t="s">
        <v>7529</v>
      </c>
      <c r="B421" t="s">
        <v>3463</v>
      </c>
      <c r="C421" t="s">
        <v>7530</v>
      </c>
    </row>
    <row r="422" spans="1:3" hidden="1" x14ac:dyDescent="0.25">
      <c r="A422" t="s">
        <v>7531</v>
      </c>
      <c r="B422" t="s">
        <v>592</v>
      </c>
      <c r="C422" t="s">
        <v>6958</v>
      </c>
    </row>
    <row r="423" spans="1:3" hidden="1" x14ac:dyDescent="0.25">
      <c r="A423" t="s">
        <v>7532</v>
      </c>
      <c r="B423" t="s">
        <v>3842</v>
      </c>
      <c r="C423" t="s">
        <v>7533</v>
      </c>
    </row>
    <row r="424" spans="1:3" hidden="1" x14ac:dyDescent="0.25">
      <c r="A424" t="s">
        <v>7534</v>
      </c>
      <c r="B424" t="s">
        <v>3427</v>
      </c>
      <c r="C424" t="s">
        <v>6958</v>
      </c>
    </row>
    <row r="425" spans="1:3" hidden="1" x14ac:dyDescent="0.25">
      <c r="A425" t="s">
        <v>7535</v>
      </c>
      <c r="B425" t="s">
        <v>2792</v>
      </c>
      <c r="C425" t="s">
        <v>6958</v>
      </c>
    </row>
    <row r="426" spans="1:3" hidden="1" x14ac:dyDescent="0.25">
      <c r="A426" t="s">
        <v>7536</v>
      </c>
      <c r="B426" t="s">
        <v>3915</v>
      </c>
      <c r="C426" t="s">
        <v>7537</v>
      </c>
    </row>
    <row r="427" spans="1:3" hidden="1" x14ac:dyDescent="0.25">
      <c r="A427" t="s">
        <v>7538</v>
      </c>
      <c r="B427" t="s">
        <v>3025</v>
      </c>
      <c r="C427" t="s">
        <v>6958</v>
      </c>
    </row>
    <row r="428" spans="1:3" hidden="1" x14ac:dyDescent="0.25">
      <c r="A428" t="s">
        <v>7539</v>
      </c>
      <c r="B428" t="s">
        <v>2337</v>
      </c>
      <c r="C428" t="s">
        <v>7540</v>
      </c>
    </row>
    <row r="429" spans="1:3" hidden="1" x14ac:dyDescent="0.25">
      <c r="A429" t="s">
        <v>7541</v>
      </c>
      <c r="B429" t="s">
        <v>4448</v>
      </c>
      <c r="C429" t="s">
        <v>7542</v>
      </c>
    </row>
    <row r="430" spans="1:3" hidden="1" x14ac:dyDescent="0.25">
      <c r="A430" t="s">
        <v>7543</v>
      </c>
      <c r="B430" t="s">
        <v>4751</v>
      </c>
      <c r="C430" t="s">
        <v>7544</v>
      </c>
    </row>
    <row r="431" spans="1:3" hidden="1" x14ac:dyDescent="0.25">
      <c r="A431" t="s">
        <v>7545</v>
      </c>
      <c r="B431" t="s">
        <v>828</v>
      </c>
      <c r="C431" t="s">
        <v>7546</v>
      </c>
    </row>
    <row r="432" spans="1:3" hidden="1" x14ac:dyDescent="0.25">
      <c r="A432" t="s">
        <v>7547</v>
      </c>
      <c r="B432" t="s">
        <v>5337</v>
      </c>
      <c r="C432" t="s">
        <v>7548</v>
      </c>
    </row>
    <row r="433" spans="1:3" hidden="1" x14ac:dyDescent="0.25">
      <c r="A433" t="s">
        <v>7549</v>
      </c>
      <c r="B433" t="s">
        <v>3764</v>
      </c>
      <c r="C433" t="s">
        <v>7550</v>
      </c>
    </row>
    <row r="434" spans="1:3" hidden="1" x14ac:dyDescent="0.25">
      <c r="A434" t="s">
        <v>7551</v>
      </c>
      <c r="B434" t="s">
        <v>3978</v>
      </c>
      <c r="C434" t="s">
        <v>6958</v>
      </c>
    </row>
    <row r="435" spans="1:3" hidden="1" x14ac:dyDescent="0.25">
      <c r="A435" t="s">
        <v>7552</v>
      </c>
      <c r="B435" t="s">
        <v>5463</v>
      </c>
      <c r="C435" t="s">
        <v>6958</v>
      </c>
    </row>
    <row r="436" spans="1:3" hidden="1" x14ac:dyDescent="0.25">
      <c r="A436" t="s">
        <v>7553</v>
      </c>
      <c r="B436" t="s">
        <v>999</v>
      </c>
      <c r="C436" t="s">
        <v>7554</v>
      </c>
    </row>
    <row r="437" spans="1:3" hidden="1" x14ac:dyDescent="0.25">
      <c r="A437" t="s">
        <v>7555</v>
      </c>
      <c r="B437" t="s">
        <v>5106</v>
      </c>
      <c r="C437" t="s">
        <v>6958</v>
      </c>
    </row>
    <row r="438" spans="1:3" hidden="1" x14ac:dyDescent="0.25">
      <c r="A438" t="s">
        <v>7556</v>
      </c>
      <c r="B438" t="s">
        <v>4908</v>
      </c>
      <c r="C438" t="s">
        <v>7557</v>
      </c>
    </row>
    <row r="439" spans="1:3" hidden="1" x14ac:dyDescent="0.25">
      <c r="A439" t="s">
        <v>7558</v>
      </c>
      <c r="B439" t="s">
        <v>7559</v>
      </c>
      <c r="C439" t="s">
        <v>7560</v>
      </c>
    </row>
    <row r="440" spans="1:3" hidden="1" x14ac:dyDescent="0.25">
      <c r="A440" t="s">
        <v>7561</v>
      </c>
      <c r="B440" t="s">
        <v>710</v>
      </c>
      <c r="C440" t="s">
        <v>6958</v>
      </c>
    </row>
    <row r="441" spans="1:3" hidden="1" x14ac:dyDescent="0.25">
      <c r="A441" t="s">
        <v>7562</v>
      </c>
      <c r="B441" t="s">
        <v>5429</v>
      </c>
      <c r="C441" t="s">
        <v>7563</v>
      </c>
    </row>
    <row r="442" spans="1:3" hidden="1" x14ac:dyDescent="0.25">
      <c r="A442" t="s">
        <v>7564</v>
      </c>
      <c r="B442" t="s">
        <v>5044</v>
      </c>
      <c r="C442" t="s">
        <v>6958</v>
      </c>
    </row>
    <row r="443" spans="1:3" hidden="1" x14ac:dyDescent="0.25">
      <c r="A443" t="s">
        <v>7565</v>
      </c>
      <c r="B443" t="s">
        <v>3889</v>
      </c>
      <c r="C443" t="s">
        <v>7566</v>
      </c>
    </row>
    <row r="444" spans="1:3" hidden="1" x14ac:dyDescent="0.25">
      <c r="A444" t="s">
        <v>7567</v>
      </c>
      <c r="B444" t="s">
        <v>4634</v>
      </c>
      <c r="C444" t="s">
        <v>7568</v>
      </c>
    </row>
    <row r="445" spans="1:3" hidden="1" x14ac:dyDescent="0.25">
      <c r="A445" t="s">
        <v>7569</v>
      </c>
      <c r="B445" t="s">
        <v>7570</v>
      </c>
      <c r="C445" t="s">
        <v>6958</v>
      </c>
    </row>
    <row r="446" spans="1:3" hidden="1" x14ac:dyDescent="0.25">
      <c r="A446" t="s">
        <v>7571</v>
      </c>
      <c r="B446" t="s">
        <v>3060</v>
      </c>
      <c r="C446" t="s">
        <v>6958</v>
      </c>
    </row>
    <row r="447" spans="1:3" hidden="1" x14ac:dyDescent="0.25">
      <c r="A447" t="s">
        <v>7572</v>
      </c>
      <c r="B447" t="s">
        <v>4759</v>
      </c>
      <c r="C447" t="s">
        <v>7573</v>
      </c>
    </row>
    <row r="448" spans="1:3" hidden="1" x14ac:dyDescent="0.25">
      <c r="A448" t="s">
        <v>7574</v>
      </c>
      <c r="B448" t="s">
        <v>2158</v>
      </c>
      <c r="C448" t="s">
        <v>7575</v>
      </c>
    </row>
    <row r="449" spans="1:3" hidden="1" x14ac:dyDescent="0.25">
      <c r="A449" t="s">
        <v>7576</v>
      </c>
      <c r="B449" t="s">
        <v>4642</v>
      </c>
      <c r="C449" t="s">
        <v>7577</v>
      </c>
    </row>
    <row r="450" spans="1:3" hidden="1" x14ac:dyDescent="0.25">
      <c r="A450" t="s">
        <v>7578</v>
      </c>
      <c r="B450" t="s">
        <v>2591</v>
      </c>
      <c r="C450" t="s">
        <v>7579</v>
      </c>
    </row>
    <row r="451" spans="1:3" hidden="1" x14ac:dyDescent="0.25">
      <c r="A451" t="s">
        <v>7580</v>
      </c>
      <c r="B451" t="s">
        <v>485</v>
      </c>
      <c r="C451" t="s">
        <v>6958</v>
      </c>
    </row>
    <row r="452" spans="1:3" hidden="1" x14ac:dyDescent="0.25">
      <c r="A452" t="s">
        <v>7581</v>
      </c>
      <c r="B452" t="s">
        <v>4519</v>
      </c>
      <c r="C452" t="s">
        <v>6958</v>
      </c>
    </row>
    <row r="453" spans="1:3" hidden="1" x14ac:dyDescent="0.25">
      <c r="A453" t="s">
        <v>7582</v>
      </c>
      <c r="B453" t="s">
        <v>1236</v>
      </c>
      <c r="C453" t="s">
        <v>7583</v>
      </c>
    </row>
    <row r="454" spans="1:3" hidden="1" x14ac:dyDescent="0.25">
      <c r="A454" t="s">
        <v>7584</v>
      </c>
      <c r="B454" t="s">
        <v>3226</v>
      </c>
      <c r="C454" t="s">
        <v>6958</v>
      </c>
    </row>
    <row r="455" spans="1:3" hidden="1" x14ac:dyDescent="0.25">
      <c r="A455" t="s">
        <v>7585</v>
      </c>
      <c r="B455" t="s">
        <v>5648</v>
      </c>
      <c r="C455" t="s">
        <v>7586</v>
      </c>
    </row>
    <row r="456" spans="1:3" hidden="1" x14ac:dyDescent="0.25">
      <c r="A456" t="s">
        <v>7587</v>
      </c>
      <c r="B456" t="s">
        <v>2491</v>
      </c>
      <c r="C456" t="s">
        <v>7588</v>
      </c>
    </row>
    <row r="457" spans="1:3" hidden="1" x14ac:dyDescent="0.25">
      <c r="A457" t="s">
        <v>7589</v>
      </c>
      <c r="B457" t="s">
        <v>3908</v>
      </c>
      <c r="C457" t="s">
        <v>7590</v>
      </c>
    </row>
    <row r="458" spans="1:3" hidden="1" x14ac:dyDescent="0.25">
      <c r="A458" t="s">
        <v>7591</v>
      </c>
      <c r="B458" t="s">
        <v>3329</v>
      </c>
      <c r="C458" t="s">
        <v>6958</v>
      </c>
    </row>
    <row r="459" spans="1:3" hidden="1" x14ac:dyDescent="0.25">
      <c r="A459" t="s">
        <v>7592</v>
      </c>
      <c r="B459" t="s">
        <v>4398</v>
      </c>
      <c r="C459" t="s">
        <v>7593</v>
      </c>
    </row>
    <row r="460" spans="1:3" hidden="1" x14ac:dyDescent="0.25">
      <c r="A460" t="s">
        <v>7594</v>
      </c>
      <c r="B460" t="s">
        <v>282</v>
      </c>
      <c r="C460" t="s">
        <v>7595</v>
      </c>
    </row>
    <row r="461" spans="1:3" hidden="1" x14ac:dyDescent="0.25">
      <c r="A461" t="s">
        <v>7596</v>
      </c>
      <c r="B461" t="s">
        <v>2040</v>
      </c>
      <c r="C461" t="s">
        <v>6958</v>
      </c>
    </row>
    <row r="462" spans="1:3" hidden="1" x14ac:dyDescent="0.25">
      <c r="A462" t="s">
        <v>7597</v>
      </c>
      <c r="B462" t="s">
        <v>4284</v>
      </c>
      <c r="C462" t="s">
        <v>7598</v>
      </c>
    </row>
    <row r="463" spans="1:3" hidden="1" x14ac:dyDescent="0.25">
      <c r="A463" t="s">
        <v>7599</v>
      </c>
      <c r="B463" t="s">
        <v>5553</v>
      </c>
      <c r="C463" t="s">
        <v>6958</v>
      </c>
    </row>
    <row r="464" spans="1:3" hidden="1" x14ac:dyDescent="0.25">
      <c r="A464" t="s">
        <v>7600</v>
      </c>
      <c r="B464" t="s">
        <v>2503</v>
      </c>
      <c r="C464" t="s">
        <v>7601</v>
      </c>
    </row>
    <row r="465" spans="1:3" hidden="1" x14ac:dyDescent="0.25">
      <c r="A465" t="s">
        <v>7602</v>
      </c>
      <c r="B465" t="s">
        <v>2814</v>
      </c>
      <c r="C465" t="s">
        <v>7603</v>
      </c>
    </row>
    <row r="466" spans="1:3" hidden="1" x14ac:dyDescent="0.25">
      <c r="A466" t="s">
        <v>7604</v>
      </c>
      <c r="B466" t="s">
        <v>5621</v>
      </c>
      <c r="C466" t="s">
        <v>7605</v>
      </c>
    </row>
    <row r="467" spans="1:3" hidden="1" x14ac:dyDescent="0.25">
      <c r="A467" t="s">
        <v>7606</v>
      </c>
      <c r="B467" t="s">
        <v>5587</v>
      </c>
      <c r="C467" t="s">
        <v>7607</v>
      </c>
    </row>
    <row r="468" spans="1:3" hidden="1" x14ac:dyDescent="0.25">
      <c r="A468" t="s">
        <v>7608</v>
      </c>
      <c r="B468" t="s">
        <v>5111</v>
      </c>
      <c r="C468" t="s">
        <v>7609</v>
      </c>
    </row>
    <row r="469" spans="1:3" hidden="1" x14ac:dyDescent="0.25">
      <c r="A469" t="s">
        <v>7610</v>
      </c>
      <c r="B469" t="s">
        <v>5306</v>
      </c>
      <c r="C469" t="s">
        <v>7611</v>
      </c>
    </row>
    <row r="470" spans="1:3" hidden="1" x14ac:dyDescent="0.25">
      <c r="A470" t="s">
        <v>7612</v>
      </c>
      <c r="B470" t="s">
        <v>3373</v>
      </c>
      <c r="C470" t="s">
        <v>6958</v>
      </c>
    </row>
    <row r="471" spans="1:3" hidden="1" x14ac:dyDescent="0.25">
      <c r="A471" t="s">
        <v>7613</v>
      </c>
      <c r="B471" t="s">
        <v>1943</v>
      </c>
      <c r="C471" t="s">
        <v>6958</v>
      </c>
    </row>
    <row r="472" spans="1:3" hidden="1" x14ac:dyDescent="0.25">
      <c r="A472" t="s">
        <v>7614</v>
      </c>
      <c r="B472" t="s">
        <v>1151</v>
      </c>
      <c r="C472" t="s">
        <v>7615</v>
      </c>
    </row>
    <row r="473" spans="1:3" hidden="1" x14ac:dyDescent="0.25">
      <c r="A473" t="s">
        <v>7616</v>
      </c>
      <c r="B473" t="s">
        <v>3153</v>
      </c>
      <c r="C473" t="s">
        <v>7617</v>
      </c>
    </row>
    <row r="474" spans="1:3" hidden="1" x14ac:dyDescent="0.25">
      <c r="A474" t="s">
        <v>7618</v>
      </c>
      <c r="B474" t="s">
        <v>1554</v>
      </c>
      <c r="C474" t="s">
        <v>7619</v>
      </c>
    </row>
    <row r="475" spans="1:3" hidden="1" x14ac:dyDescent="0.25">
      <c r="A475" t="s">
        <v>7620</v>
      </c>
      <c r="B475" t="s">
        <v>4667</v>
      </c>
      <c r="C475" t="s">
        <v>7621</v>
      </c>
    </row>
    <row r="476" spans="1:3" hidden="1" x14ac:dyDescent="0.25">
      <c r="A476" t="s">
        <v>7622</v>
      </c>
      <c r="B476" t="s">
        <v>1467</v>
      </c>
      <c r="C476" t="s">
        <v>7623</v>
      </c>
    </row>
    <row r="477" spans="1:3" hidden="1" x14ac:dyDescent="0.25">
      <c r="A477" t="s">
        <v>7624</v>
      </c>
      <c r="B477" t="s">
        <v>2785</v>
      </c>
      <c r="C477" t="s">
        <v>7625</v>
      </c>
    </row>
    <row r="478" spans="1:3" hidden="1" x14ac:dyDescent="0.25">
      <c r="A478" t="s">
        <v>7626</v>
      </c>
      <c r="B478" t="s">
        <v>4652</v>
      </c>
      <c r="C478" t="s">
        <v>6958</v>
      </c>
    </row>
    <row r="479" spans="1:3" hidden="1" x14ac:dyDescent="0.25">
      <c r="A479" t="s">
        <v>7627</v>
      </c>
      <c r="B479" t="s">
        <v>1590</v>
      </c>
      <c r="C479" t="s">
        <v>7628</v>
      </c>
    </row>
    <row r="480" spans="1:3" hidden="1" x14ac:dyDescent="0.25">
      <c r="A480" t="s">
        <v>7629</v>
      </c>
      <c r="B480" t="s">
        <v>5565</v>
      </c>
      <c r="C480" t="s">
        <v>7630</v>
      </c>
    </row>
    <row r="481" spans="1:3" hidden="1" x14ac:dyDescent="0.25">
      <c r="A481" t="s">
        <v>7631</v>
      </c>
      <c r="B481" t="s">
        <v>1431</v>
      </c>
      <c r="C481" t="s">
        <v>7632</v>
      </c>
    </row>
    <row r="482" spans="1:3" hidden="1" x14ac:dyDescent="0.25">
      <c r="A482" t="s">
        <v>7633</v>
      </c>
      <c r="B482" t="s">
        <v>2708</v>
      </c>
      <c r="C482" t="s">
        <v>7634</v>
      </c>
    </row>
    <row r="483" spans="1:3" hidden="1" x14ac:dyDescent="0.25">
      <c r="A483" t="s">
        <v>7635</v>
      </c>
      <c r="B483" t="s">
        <v>36</v>
      </c>
      <c r="C483" t="s">
        <v>7410</v>
      </c>
    </row>
    <row r="484" spans="1:3" hidden="1" x14ac:dyDescent="0.25">
      <c r="A484" t="s">
        <v>7636</v>
      </c>
      <c r="B484" t="s">
        <v>5172</v>
      </c>
      <c r="C484" t="s">
        <v>6958</v>
      </c>
    </row>
    <row r="485" spans="1:3" hidden="1" x14ac:dyDescent="0.25">
      <c r="A485" t="s">
        <v>7637</v>
      </c>
      <c r="B485" t="s">
        <v>3341</v>
      </c>
      <c r="C485" t="s">
        <v>7638</v>
      </c>
    </row>
    <row r="486" spans="1:3" hidden="1" x14ac:dyDescent="0.25">
      <c r="A486" t="s">
        <v>7639</v>
      </c>
      <c r="B486" t="s">
        <v>4956</v>
      </c>
      <c r="C486" t="s">
        <v>6958</v>
      </c>
    </row>
    <row r="487" spans="1:3" hidden="1" x14ac:dyDescent="0.25">
      <c r="A487" t="s">
        <v>7640</v>
      </c>
      <c r="B487" t="s">
        <v>2092</v>
      </c>
      <c r="C487" t="s">
        <v>7641</v>
      </c>
    </row>
    <row r="488" spans="1:3" hidden="1" x14ac:dyDescent="0.25">
      <c r="A488" t="s">
        <v>7642</v>
      </c>
      <c r="B488" t="s">
        <v>5545</v>
      </c>
      <c r="C488" t="s">
        <v>6958</v>
      </c>
    </row>
    <row r="489" spans="1:3" hidden="1" x14ac:dyDescent="0.25">
      <c r="A489" t="s">
        <v>7643</v>
      </c>
      <c r="B489" t="s">
        <v>2476</v>
      </c>
      <c r="C489" t="s">
        <v>6958</v>
      </c>
    </row>
    <row r="490" spans="1:3" hidden="1" x14ac:dyDescent="0.25">
      <c r="A490" t="s">
        <v>7644</v>
      </c>
      <c r="B490" t="s">
        <v>3898</v>
      </c>
      <c r="C490" t="s">
        <v>6958</v>
      </c>
    </row>
    <row r="491" spans="1:3" hidden="1" x14ac:dyDescent="0.25">
      <c r="A491" t="s">
        <v>7645</v>
      </c>
      <c r="B491" t="s">
        <v>1634</v>
      </c>
      <c r="C491" t="s">
        <v>7646</v>
      </c>
    </row>
    <row r="492" spans="1:3" hidden="1" x14ac:dyDescent="0.25">
      <c r="A492" t="s">
        <v>7647</v>
      </c>
      <c r="B492" t="s">
        <v>4769</v>
      </c>
      <c r="C492" t="s">
        <v>6958</v>
      </c>
    </row>
    <row r="493" spans="1:3" hidden="1" x14ac:dyDescent="0.25">
      <c r="A493" t="s">
        <v>7648</v>
      </c>
      <c r="B493" t="s">
        <v>2055</v>
      </c>
      <c r="C493" t="s">
        <v>7649</v>
      </c>
    </row>
    <row r="494" spans="1:3" hidden="1" x14ac:dyDescent="0.25">
      <c r="A494" t="s">
        <v>7650</v>
      </c>
      <c r="B494" t="s">
        <v>4333</v>
      </c>
      <c r="C494" t="s">
        <v>7651</v>
      </c>
    </row>
    <row r="495" spans="1:3" hidden="1" x14ac:dyDescent="0.25">
      <c r="A495" t="s">
        <v>7652</v>
      </c>
      <c r="B495" t="s">
        <v>69</v>
      </c>
      <c r="C495" t="s">
        <v>7653</v>
      </c>
    </row>
    <row r="496" spans="1:3" hidden="1" x14ac:dyDescent="0.25">
      <c r="A496" t="s">
        <v>7654</v>
      </c>
      <c r="B496" t="s">
        <v>453</v>
      </c>
      <c r="C496" t="s">
        <v>7655</v>
      </c>
    </row>
    <row r="497" spans="1:3" hidden="1" x14ac:dyDescent="0.25">
      <c r="A497" t="s">
        <v>7656</v>
      </c>
      <c r="B497" t="s">
        <v>2955</v>
      </c>
      <c r="C497" t="s">
        <v>6958</v>
      </c>
    </row>
    <row r="498" spans="1:3" hidden="1" x14ac:dyDescent="0.25">
      <c r="A498" t="s">
        <v>7657</v>
      </c>
      <c r="B498" t="s">
        <v>3995</v>
      </c>
      <c r="C498" t="s">
        <v>7658</v>
      </c>
    </row>
    <row r="499" spans="1:3" hidden="1" x14ac:dyDescent="0.25">
      <c r="A499" t="s">
        <v>7659</v>
      </c>
      <c r="B499" t="s">
        <v>4197</v>
      </c>
      <c r="C499" t="s">
        <v>6958</v>
      </c>
    </row>
    <row r="500" spans="1:3" hidden="1" x14ac:dyDescent="0.25">
      <c r="A500" t="s">
        <v>7660</v>
      </c>
      <c r="B500" t="s">
        <v>521</v>
      </c>
      <c r="C500" t="s">
        <v>7661</v>
      </c>
    </row>
    <row r="501" spans="1:3" hidden="1" x14ac:dyDescent="0.25">
      <c r="A501" t="s">
        <v>7662</v>
      </c>
      <c r="B501" t="s">
        <v>3200</v>
      </c>
      <c r="C501" t="s">
        <v>6958</v>
      </c>
    </row>
    <row r="502" spans="1:3" hidden="1" x14ac:dyDescent="0.25">
      <c r="A502" t="s">
        <v>7663</v>
      </c>
      <c r="B502" t="s">
        <v>610</v>
      </c>
      <c r="C502" t="s">
        <v>7664</v>
      </c>
    </row>
    <row r="503" spans="1:3" hidden="1" x14ac:dyDescent="0.25">
      <c r="A503" t="s">
        <v>7665</v>
      </c>
      <c r="B503" t="s">
        <v>4218</v>
      </c>
      <c r="C503" t="s">
        <v>6958</v>
      </c>
    </row>
    <row r="504" spans="1:3" hidden="1" x14ac:dyDescent="0.25">
      <c r="A504" t="s">
        <v>7666</v>
      </c>
      <c r="B504" t="s">
        <v>3078</v>
      </c>
      <c r="C504" t="s">
        <v>7667</v>
      </c>
    </row>
    <row r="505" spans="1:3" hidden="1" x14ac:dyDescent="0.25">
      <c r="A505" t="s">
        <v>7668</v>
      </c>
      <c r="B505" t="s">
        <v>1239</v>
      </c>
      <c r="C505" t="s">
        <v>7669</v>
      </c>
    </row>
    <row r="506" spans="1:3" hidden="1" x14ac:dyDescent="0.25">
      <c r="A506" t="s">
        <v>7670</v>
      </c>
      <c r="B506" t="s">
        <v>3659</v>
      </c>
      <c r="C506" t="s">
        <v>6958</v>
      </c>
    </row>
    <row r="507" spans="1:3" hidden="1" x14ac:dyDescent="0.25">
      <c r="A507" t="s">
        <v>7671</v>
      </c>
      <c r="B507" t="s">
        <v>1265</v>
      </c>
      <c r="C507" t="s">
        <v>6958</v>
      </c>
    </row>
    <row r="508" spans="1:3" hidden="1" x14ac:dyDescent="0.25">
      <c r="A508" t="s">
        <v>7672</v>
      </c>
      <c r="B508" t="s">
        <v>3685</v>
      </c>
      <c r="C508" t="s">
        <v>6958</v>
      </c>
    </row>
    <row r="509" spans="1:3" hidden="1" x14ac:dyDescent="0.25">
      <c r="A509" t="s">
        <v>7673</v>
      </c>
      <c r="B509" t="s">
        <v>2812</v>
      </c>
      <c r="C509" t="s">
        <v>6958</v>
      </c>
    </row>
    <row r="510" spans="1:3" hidden="1" x14ac:dyDescent="0.25">
      <c r="A510" t="s">
        <v>7674</v>
      </c>
      <c r="B510" t="s">
        <v>4062</v>
      </c>
      <c r="C510" t="s">
        <v>6958</v>
      </c>
    </row>
    <row r="511" spans="1:3" hidden="1" x14ac:dyDescent="0.25">
      <c r="A511" t="s">
        <v>7675</v>
      </c>
      <c r="B511" t="s">
        <v>2136</v>
      </c>
      <c r="C511" t="s">
        <v>6958</v>
      </c>
    </row>
    <row r="512" spans="1:3" hidden="1" x14ac:dyDescent="0.25">
      <c r="A512" t="s">
        <v>7676</v>
      </c>
      <c r="B512" t="s">
        <v>4248</v>
      </c>
      <c r="C512" t="s">
        <v>6958</v>
      </c>
    </row>
    <row r="513" spans="1:3" hidden="1" x14ac:dyDescent="0.25">
      <c r="A513" t="s">
        <v>7677</v>
      </c>
      <c r="B513" t="s">
        <v>3352</v>
      </c>
      <c r="C513" t="s">
        <v>7678</v>
      </c>
    </row>
    <row r="514" spans="1:3" hidden="1" x14ac:dyDescent="0.25">
      <c r="A514" t="s">
        <v>7679</v>
      </c>
      <c r="B514" t="s">
        <v>2602</v>
      </c>
      <c r="C514" t="s">
        <v>7680</v>
      </c>
    </row>
    <row r="515" spans="1:3" hidden="1" x14ac:dyDescent="0.25">
      <c r="A515" t="s">
        <v>7681</v>
      </c>
      <c r="B515" t="s">
        <v>3574</v>
      </c>
      <c r="C515" t="s">
        <v>7682</v>
      </c>
    </row>
    <row r="516" spans="1:3" hidden="1" x14ac:dyDescent="0.25">
      <c r="A516" t="s">
        <v>7683</v>
      </c>
      <c r="B516" t="s">
        <v>3423</v>
      </c>
      <c r="C516" t="s">
        <v>7684</v>
      </c>
    </row>
    <row r="517" spans="1:3" hidden="1" x14ac:dyDescent="0.25">
      <c r="A517" t="s">
        <v>7685</v>
      </c>
      <c r="B517" t="s">
        <v>2768</v>
      </c>
      <c r="C517" t="s">
        <v>6958</v>
      </c>
    </row>
    <row r="518" spans="1:3" hidden="1" x14ac:dyDescent="0.25">
      <c r="A518" t="s">
        <v>7686</v>
      </c>
      <c r="B518" t="s">
        <v>4952</v>
      </c>
      <c r="C518" t="s">
        <v>7687</v>
      </c>
    </row>
    <row r="519" spans="1:3" hidden="1" x14ac:dyDescent="0.25">
      <c r="A519" t="s">
        <v>7688</v>
      </c>
      <c r="B519" t="s">
        <v>5518</v>
      </c>
      <c r="C519" t="s">
        <v>7689</v>
      </c>
    </row>
    <row r="520" spans="1:3" hidden="1" x14ac:dyDescent="0.25">
      <c r="A520" t="s">
        <v>7690</v>
      </c>
      <c r="B520" t="s">
        <v>1475</v>
      </c>
      <c r="C520" t="s">
        <v>6958</v>
      </c>
    </row>
    <row r="521" spans="1:3" hidden="1" x14ac:dyDescent="0.25">
      <c r="A521" t="s">
        <v>7691</v>
      </c>
      <c r="B521" t="s">
        <v>5295</v>
      </c>
      <c r="C521" t="s">
        <v>6958</v>
      </c>
    </row>
    <row r="522" spans="1:3" hidden="1" x14ac:dyDescent="0.25">
      <c r="A522" t="s">
        <v>7692</v>
      </c>
      <c r="B522" t="s">
        <v>900</v>
      </c>
      <c r="C522" t="s">
        <v>7693</v>
      </c>
    </row>
    <row r="523" spans="1:3" hidden="1" x14ac:dyDescent="0.25">
      <c r="A523" t="s">
        <v>7694</v>
      </c>
      <c r="B523" t="s">
        <v>2284</v>
      </c>
      <c r="C523" t="s">
        <v>7695</v>
      </c>
    </row>
    <row r="524" spans="1:3" hidden="1" x14ac:dyDescent="0.25">
      <c r="A524" t="s">
        <v>7696</v>
      </c>
      <c r="B524" t="s">
        <v>1056</v>
      </c>
      <c r="C524" t="s">
        <v>6958</v>
      </c>
    </row>
    <row r="525" spans="1:3" hidden="1" x14ac:dyDescent="0.25">
      <c r="A525" t="s">
        <v>7697</v>
      </c>
      <c r="B525" t="s">
        <v>4525</v>
      </c>
      <c r="C525" t="s">
        <v>7698</v>
      </c>
    </row>
    <row r="526" spans="1:3" hidden="1" x14ac:dyDescent="0.25">
      <c r="A526" t="s">
        <v>7699</v>
      </c>
      <c r="B526" t="s">
        <v>4894</v>
      </c>
      <c r="C526" t="s">
        <v>7700</v>
      </c>
    </row>
    <row r="527" spans="1:3" hidden="1" x14ac:dyDescent="0.25">
      <c r="A527" t="s">
        <v>7701</v>
      </c>
      <c r="B527" t="s">
        <v>925</v>
      </c>
      <c r="C527" t="s">
        <v>7702</v>
      </c>
    </row>
    <row r="528" spans="1:3" hidden="1" x14ac:dyDescent="0.25">
      <c r="A528" t="s">
        <v>7703</v>
      </c>
      <c r="B528" t="s">
        <v>7704</v>
      </c>
      <c r="C528" t="s">
        <v>7705</v>
      </c>
    </row>
    <row r="529" spans="1:3" hidden="1" x14ac:dyDescent="0.25">
      <c r="A529" t="s">
        <v>7706</v>
      </c>
      <c r="B529" t="s">
        <v>1750</v>
      </c>
      <c r="C529" t="s">
        <v>7707</v>
      </c>
    </row>
    <row r="530" spans="1:3" hidden="1" x14ac:dyDescent="0.25">
      <c r="A530" t="s">
        <v>7708</v>
      </c>
      <c r="B530" t="s">
        <v>1776</v>
      </c>
      <c r="C530" t="s">
        <v>6958</v>
      </c>
    </row>
    <row r="531" spans="1:3" hidden="1" x14ac:dyDescent="0.25">
      <c r="A531" t="s">
        <v>7709</v>
      </c>
      <c r="B531" t="s">
        <v>3282</v>
      </c>
      <c r="C531" t="s">
        <v>7710</v>
      </c>
    </row>
    <row r="532" spans="1:3" hidden="1" x14ac:dyDescent="0.25">
      <c r="A532" t="s">
        <v>7711</v>
      </c>
      <c r="B532" t="s">
        <v>3665</v>
      </c>
      <c r="C532" t="s">
        <v>7712</v>
      </c>
    </row>
    <row r="533" spans="1:3" hidden="1" x14ac:dyDescent="0.25">
      <c r="A533" t="s">
        <v>7713</v>
      </c>
      <c r="B533" t="s">
        <v>3027</v>
      </c>
      <c r="C533" t="s">
        <v>6958</v>
      </c>
    </row>
    <row r="534" spans="1:3" hidden="1" x14ac:dyDescent="0.25">
      <c r="A534" t="s">
        <v>7714</v>
      </c>
      <c r="B534" t="s">
        <v>3035</v>
      </c>
      <c r="C534" t="s">
        <v>7715</v>
      </c>
    </row>
    <row r="535" spans="1:3" hidden="1" x14ac:dyDescent="0.25">
      <c r="A535" t="s">
        <v>7716</v>
      </c>
      <c r="B535" t="s">
        <v>3797</v>
      </c>
      <c r="C535" t="s">
        <v>7717</v>
      </c>
    </row>
    <row r="536" spans="1:3" hidden="1" x14ac:dyDescent="0.25">
      <c r="A536" t="s">
        <v>7718</v>
      </c>
      <c r="B536" t="s">
        <v>4491</v>
      </c>
      <c r="C536" t="s">
        <v>6958</v>
      </c>
    </row>
    <row r="537" spans="1:3" hidden="1" x14ac:dyDescent="0.25">
      <c r="A537" t="s">
        <v>7719</v>
      </c>
      <c r="B537" t="s">
        <v>1921</v>
      </c>
      <c r="C537" t="s">
        <v>7720</v>
      </c>
    </row>
    <row r="538" spans="1:3" hidden="1" x14ac:dyDescent="0.25">
      <c r="A538" t="s">
        <v>7721</v>
      </c>
      <c r="B538" t="s">
        <v>5453</v>
      </c>
      <c r="C538" t="s">
        <v>7722</v>
      </c>
    </row>
    <row r="539" spans="1:3" hidden="1" x14ac:dyDescent="0.25">
      <c r="A539" t="s">
        <v>7723</v>
      </c>
      <c r="B539" t="s">
        <v>4822</v>
      </c>
      <c r="C539" t="s">
        <v>7724</v>
      </c>
    </row>
    <row r="540" spans="1:3" hidden="1" x14ac:dyDescent="0.25">
      <c r="A540" t="s">
        <v>7725</v>
      </c>
      <c r="B540" t="s">
        <v>1961</v>
      </c>
      <c r="C540" t="s">
        <v>6958</v>
      </c>
    </row>
    <row r="541" spans="1:3" hidden="1" x14ac:dyDescent="0.25">
      <c r="A541" t="s">
        <v>7726</v>
      </c>
      <c r="B541" t="s">
        <v>4957</v>
      </c>
      <c r="C541" t="s">
        <v>7727</v>
      </c>
    </row>
    <row r="542" spans="1:3" hidden="1" x14ac:dyDescent="0.25">
      <c r="A542" t="s">
        <v>7728</v>
      </c>
      <c r="B542" t="s">
        <v>207</v>
      </c>
      <c r="C542" t="s">
        <v>7729</v>
      </c>
    </row>
    <row r="543" spans="1:3" hidden="1" x14ac:dyDescent="0.25">
      <c r="A543" t="s">
        <v>7730</v>
      </c>
      <c r="B543" t="s">
        <v>854</v>
      </c>
      <c r="C543" t="s">
        <v>7731</v>
      </c>
    </row>
    <row r="544" spans="1:3" hidden="1" x14ac:dyDescent="0.25">
      <c r="A544" t="s">
        <v>7732</v>
      </c>
      <c r="B544" t="s">
        <v>3339</v>
      </c>
      <c r="C544" t="s">
        <v>6958</v>
      </c>
    </row>
    <row r="545" spans="1:3" hidden="1" x14ac:dyDescent="0.25">
      <c r="A545" t="s">
        <v>7733</v>
      </c>
      <c r="B545" t="s">
        <v>4725</v>
      </c>
      <c r="C545" t="s">
        <v>7734</v>
      </c>
    </row>
    <row r="546" spans="1:3" hidden="1" x14ac:dyDescent="0.25">
      <c r="A546" t="s">
        <v>7735</v>
      </c>
      <c r="B546" t="s">
        <v>5415</v>
      </c>
      <c r="C546" t="s">
        <v>6958</v>
      </c>
    </row>
    <row r="547" spans="1:3" hidden="1" x14ac:dyDescent="0.25">
      <c r="A547" t="s">
        <v>7736</v>
      </c>
      <c r="B547" t="s">
        <v>135</v>
      </c>
      <c r="C547" t="s">
        <v>7737</v>
      </c>
    </row>
    <row r="548" spans="1:3" hidden="1" x14ac:dyDescent="0.25">
      <c r="A548" t="s">
        <v>7738</v>
      </c>
      <c r="B548" t="s">
        <v>1763</v>
      </c>
      <c r="C548" t="s">
        <v>7739</v>
      </c>
    </row>
    <row r="549" spans="1:3" hidden="1" x14ac:dyDescent="0.25">
      <c r="A549" t="s">
        <v>7740</v>
      </c>
      <c r="B549" t="s">
        <v>5130</v>
      </c>
      <c r="C549" t="s">
        <v>7741</v>
      </c>
    </row>
    <row r="550" spans="1:3" hidden="1" x14ac:dyDescent="0.25">
      <c r="A550" t="s">
        <v>7742</v>
      </c>
      <c r="B550" t="s">
        <v>2003</v>
      </c>
      <c r="C550" t="s">
        <v>7743</v>
      </c>
    </row>
    <row r="551" spans="1:3" hidden="1" x14ac:dyDescent="0.25">
      <c r="A551" t="s">
        <v>7744</v>
      </c>
      <c r="B551" t="s">
        <v>5412</v>
      </c>
      <c r="C551" t="s">
        <v>7745</v>
      </c>
    </row>
    <row r="552" spans="1:3" hidden="1" x14ac:dyDescent="0.25">
      <c r="A552" t="s">
        <v>7746</v>
      </c>
      <c r="B552" t="s">
        <v>5319</v>
      </c>
      <c r="C552" t="s">
        <v>6958</v>
      </c>
    </row>
    <row r="553" spans="1:3" hidden="1" x14ac:dyDescent="0.25">
      <c r="A553" t="s">
        <v>7747</v>
      </c>
      <c r="B553" t="s">
        <v>461</v>
      </c>
      <c r="C553" t="s">
        <v>7748</v>
      </c>
    </row>
    <row r="554" spans="1:3" hidden="1" x14ac:dyDescent="0.25">
      <c r="A554" t="s">
        <v>7749</v>
      </c>
      <c r="B554" t="s">
        <v>1322</v>
      </c>
      <c r="C554" t="s">
        <v>6958</v>
      </c>
    </row>
    <row r="555" spans="1:3" hidden="1" x14ac:dyDescent="0.25">
      <c r="A555" t="s">
        <v>7750</v>
      </c>
      <c r="B555" t="s">
        <v>5540</v>
      </c>
      <c r="C555" t="s">
        <v>7751</v>
      </c>
    </row>
    <row r="556" spans="1:3" hidden="1" x14ac:dyDescent="0.25">
      <c r="A556" t="s">
        <v>7752</v>
      </c>
      <c r="B556" t="s">
        <v>4313</v>
      </c>
      <c r="C556" t="s">
        <v>6958</v>
      </c>
    </row>
    <row r="557" spans="1:3" hidden="1" x14ac:dyDescent="0.25">
      <c r="A557" t="s">
        <v>7753</v>
      </c>
      <c r="B557" t="s">
        <v>4152</v>
      </c>
      <c r="C557" t="s">
        <v>6958</v>
      </c>
    </row>
    <row r="558" spans="1:3" hidden="1" x14ac:dyDescent="0.25">
      <c r="A558" t="s">
        <v>7754</v>
      </c>
      <c r="B558" t="s">
        <v>5515</v>
      </c>
      <c r="C558" t="s">
        <v>7755</v>
      </c>
    </row>
    <row r="559" spans="1:3" hidden="1" x14ac:dyDescent="0.25">
      <c r="A559" t="s">
        <v>7756</v>
      </c>
      <c r="B559" t="s">
        <v>3929</v>
      </c>
      <c r="C559" t="s">
        <v>6958</v>
      </c>
    </row>
    <row r="560" spans="1:3" hidden="1" x14ac:dyDescent="0.25">
      <c r="A560" t="s">
        <v>7757</v>
      </c>
      <c r="B560" t="s">
        <v>487</v>
      </c>
      <c r="C560" t="s">
        <v>6958</v>
      </c>
    </row>
    <row r="561" spans="1:3" hidden="1" x14ac:dyDescent="0.25">
      <c r="A561" t="s">
        <v>7758</v>
      </c>
      <c r="B561" t="s">
        <v>1372</v>
      </c>
      <c r="C561" t="s">
        <v>7759</v>
      </c>
    </row>
    <row r="562" spans="1:3" hidden="1" x14ac:dyDescent="0.25">
      <c r="A562" t="s">
        <v>7760</v>
      </c>
      <c r="B562" t="s">
        <v>356</v>
      </c>
      <c r="C562" t="s">
        <v>7761</v>
      </c>
    </row>
    <row r="563" spans="1:3" hidden="1" x14ac:dyDescent="0.25">
      <c r="A563" t="s">
        <v>7762</v>
      </c>
      <c r="B563" t="s">
        <v>4458</v>
      </c>
      <c r="C563" t="s">
        <v>6958</v>
      </c>
    </row>
    <row r="564" spans="1:3" hidden="1" x14ac:dyDescent="0.25">
      <c r="A564" t="s">
        <v>7763</v>
      </c>
      <c r="B564" t="s">
        <v>5025</v>
      </c>
      <c r="C564" t="s">
        <v>7764</v>
      </c>
    </row>
    <row r="565" spans="1:3" hidden="1" x14ac:dyDescent="0.25">
      <c r="A565" t="s">
        <v>7765</v>
      </c>
      <c r="B565" t="s">
        <v>698</v>
      </c>
      <c r="C565" t="s">
        <v>7766</v>
      </c>
    </row>
    <row r="566" spans="1:3" hidden="1" x14ac:dyDescent="0.25">
      <c r="A566" t="s">
        <v>7767</v>
      </c>
      <c r="B566" t="s">
        <v>5164</v>
      </c>
      <c r="C566" t="s">
        <v>7768</v>
      </c>
    </row>
    <row r="567" spans="1:3" hidden="1" x14ac:dyDescent="0.25">
      <c r="A567" t="s">
        <v>7769</v>
      </c>
      <c r="B567" t="s">
        <v>567</v>
      </c>
      <c r="C567" t="s">
        <v>6958</v>
      </c>
    </row>
    <row r="568" spans="1:3" hidden="1" x14ac:dyDescent="0.25">
      <c r="A568" t="s">
        <v>7770</v>
      </c>
      <c r="B568" t="s">
        <v>3403</v>
      </c>
      <c r="C568" t="s">
        <v>7771</v>
      </c>
    </row>
    <row r="569" spans="1:3" hidden="1" x14ac:dyDescent="0.25">
      <c r="A569" t="s">
        <v>7772</v>
      </c>
      <c r="B569" t="s">
        <v>2663</v>
      </c>
      <c r="C569" t="s">
        <v>7773</v>
      </c>
    </row>
    <row r="570" spans="1:3" hidden="1" x14ac:dyDescent="0.25">
      <c r="A570" t="s">
        <v>7774</v>
      </c>
      <c r="B570" t="s">
        <v>1252</v>
      </c>
      <c r="C570" t="s">
        <v>7775</v>
      </c>
    </row>
    <row r="571" spans="1:3" hidden="1" x14ac:dyDescent="0.25">
      <c r="A571" t="s">
        <v>7776</v>
      </c>
      <c r="B571" t="s">
        <v>5016</v>
      </c>
      <c r="C571" t="s">
        <v>7777</v>
      </c>
    </row>
    <row r="572" spans="1:3" hidden="1" x14ac:dyDescent="0.25">
      <c r="A572" t="s">
        <v>7778</v>
      </c>
      <c r="B572" t="s">
        <v>4057</v>
      </c>
      <c r="C572" t="s">
        <v>7779</v>
      </c>
    </row>
    <row r="573" spans="1:3" hidden="1" x14ac:dyDescent="0.25">
      <c r="A573" t="s">
        <v>7780</v>
      </c>
      <c r="B573" t="s">
        <v>1237</v>
      </c>
      <c r="C573" t="s">
        <v>6958</v>
      </c>
    </row>
    <row r="574" spans="1:3" hidden="1" x14ac:dyDescent="0.25">
      <c r="A574" t="s">
        <v>7781</v>
      </c>
      <c r="B574" t="s">
        <v>359</v>
      </c>
      <c r="C574" t="s">
        <v>7782</v>
      </c>
    </row>
    <row r="575" spans="1:3" hidden="1" x14ac:dyDescent="0.25">
      <c r="A575" t="s">
        <v>7783</v>
      </c>
      <c r="B575" t="s">
        <v>458</v>
      </c>
      <c r="C575" t="s">
        <v>7784</v>
      </c>
    </row>
    <row r="576" spans="1:3" hidden="1" x14ac:dyDescent="0.25">
      <c r="A576" t="s">
        <v>7785</v>
      </c>
      <c r="B576" t="s">
        <v>4170</v>
      </c>
      <c r="C576" t="s">
        <v>7786</v>
      </c>
    </row>
    <row r="577" spans="1:3" hidden="1" x14ac:dyDescent="0.25">
      <c r="A577" t="s">
        <v>7787</v>
      </c>
      <c r="B577" t="s">
        <v>5517</v>
      </c>
      <c r="C577" t="s">
        <v>7788</v>
      </c>
    </row>
    <row r="578" spans="1:3" hidden="1" x14ac:dyDescent="0.25">
      <c r="A578" t="s">
        <v>7789</v>
      </c>
      <c r="B578" t="s">
        <v>4344</v>
      </c>
      <c r="C578" t="s">
        <v>6958</v>
      </c>
    </row>
    <row r="579" spans="1:3" hidden="1" x14ac:dyDescent="0.25">
      <c r="A579" t="s">
        <v>7790</v>
      </c>
      <c r="B579" t="s">
        <v>2188</v>
      </c>
      <c r="C579" t="s">
        <v>7791</v>
      </c>
    </row>
    <row r="580" spans="1:3" hidden="1" x14ac:dyDescent="0.25">
      <c r="A580" t="s">
        <v>7792</v>
      </c>
      <c r="B580" t="s">
        <v>1362</v>
      </c>
      <c r="C580" t="s">
        <v>6958</v>
      </c>
    </row>
    <row r="581" spans="1:3" hidden="1" x14ac:dyDescent="0.25">
      <c r="A581" t="s">
        <v>7793</v>
      </c>
      <c r="B581" t="s">
        <v>852</v>
      </c>
      <c r="C581" t="s">
        <v>6958</v>
      </c>
    </row>
    <row r="582" spans="1:3" hidden="1" x14ac:dyDescent="0.25">
      <c r="A582" t="s">
        <v>7794</v>
      </c>
      <c r="B582" t="s">
        <v>5465</v>
      </c>
      <c r="C582" t="s">
        <v>7795</v>
      </c>
    </row>
    <row r="583" spans="1:3" hidden="1" x14ac:dyDescent="0.25">
      <c r="A583" t="s">
        <v>7796</v>
      </c>
      <c r="B583" t="s">
        <v>3900</v>
      </c>
      <c r="C583" t="s">
        <v>7797</v>
      </c>
    </row>
    <row r="584" spans="1:3" hidden="1" x14ac:dyDescent="0.25">
      <c r="A584" t="s">
        <v>7798</v>
      </c>
      <c r="B584" t="s">
        <v>1925</v>
      </c>
      <c r="C584" t="s">
        <v>7799</v>
      </c>
    </row>
    <row r="585" spans="1:3" hidden="1" x14ac:dyDescent="0.25">
      <c r="A585" t="s">
        <v>7800</v>
      </c>
      <c r="B585" t="s">
        <v>4654</v>
      </c>
      <c r="C585" t="s">
        <v>7801</v>
      </c>
    </row>
    <row r="586" spans="1:3" hidden="1" x14ac:dyDescent="0.25">
      <c r="A586" t="s">
        <v>7802</v>
      </c>
      <c r="B586" t="s">
        <v>952</v>
      </c>
      <c r="C586" t="s">
        <v>6958</v>
      </c>
    </row>
    <row r="587" spans="1:3" hidden="1" x14ac:dyDescent="0.25">
      <c r="A587" t="s">
        <v>7803</v>
      </c>
      <c r="B587" t="s">
        <v>4683</v>
      </c>
      <c r="C587" t="s">
        <v>6958</v>
      </c>
    </row>
    <row r="588" spans="1:3" hidden="1" x14ac:dyDescent="0.25">
      <c r="A588" t="s">
        <v>7804</v>
      </c>
      <c r="B588" t="s">
        <v>3583</v>
      </c>
      <c r="C588" t="s">
        <v>7805</v>
      </c>
    </row>
    <row r="589" spans="1:3" hidden="1" x14ac:dyDescent="0.25">
      <c r="A589" t="s">
        <v>7806</v>
      </c>
      <c r="B589" t="s">
        <v>301</v>
      </c>
      <c r="C589" t="s">
        <v>7807</v>
      </c>
    </row>
    <row r="590" spans="1:3" hidden="1" x14ac:dyDescent="0.25">
      <c r="A590" t="s">
        <v>7808</v>
      </c>
      <c r="B590" t="s">
        <v>4806</v>
      </c>
      <c r="C590" t="s">
        <v>7809</v>
      </c>
    </row>
    <row r="591" spans="1:3" hidden="1" x14ac:dyDescent="0.25">
      <c r="A591" t="s">
        <v>7810</v>
      </c>
      <c r="B591" t="s">
        <v>5187</v>
      </c>
      <c r="C591" t="s">
        <v>7811</v>
      </c>
    </row>
    <row r="592" spans="1:3" hidden="1" x14ac:dyDescent="0.25">
      <c r="A592" t="s">
        <v>7812</v>
      </c>
      <c r="B592" t="s">
        <v>2642</v>
      </c>
      <c r="C592" t="s">
        <v>7813</v>
      </c>
    </row>
    <row r="593" spans="1:3" hidden="1" x14ac:dyDescent="0.25">
      <c r="A593" t="s">
        <v>7814</v>
      </c>
      <c r="B593" t="s">
        <v>885</v>
      </c>
      <c r="C593" t="s">
        <v>7815</v>
      </c>
    </row>
    <row r="594" spans="1:3" hidden="1" x14ac:dyDescent="0.25">
      <c r="A594" t="s">
        <v>7816</v>
      </c>
      <c r="B594" t="s">
        <v>573</v>
      </c>
      <c r="C594" t="s">
        <v>7817</v>
      </c>
    </row>
    <row r="595" spans="1:3" hidden="1" x14ac:dyDescent="0.25">
      <c r="A595" t="s">
        <v>7818</v>
      </c>
      <c r="B595" t="s">
        <v>1009</v>
      </c>
      <c r="C595" t="s">
        <v>7819</v>
      </c>
    </row>
    <row r="596" spans="1:3" hidden="1" x14ac:dyDescent="0.25">
      <c r="A596" t="s">
        <v>7820</v>
      </c>
      <c r="B596" t="s">
        <v>3982</v>
      </c>
      <c r="C596" t="s">
        <v>7821</v>
      </c>
    </row>
    <row r="597" spans="1:3" hidden="1" x14ac:dyDescent="0.25">
      <c r="A597" t="s">
        <v>7822</v>
      </c>
      <c r="B597" t="s">
        <v>4346</v>
      </c>
      <c r="C597" t="s">
        <v>7823</v>
      </c>
    </row>
    <row r="598" spans="1:3" hidden="1" x14ac:dyDescent="0.25">
      <c r="A598" t="s">
        <v>7824</v>
      </c>
      <c r="B598" t="s">
        <v>5364</v>
      </c>
      <c r="C598" t="s">
        <v>7825</v>
      </c>
    </row>
    <row r="599" spans="1:3" hidden="1" x14ac:dyDescent="0.25">
      <c r="A599" t="s">
        <v>7826</v>
      </c>
      <c r="B599" t="s">
        <v>383</v>
      </c>
      <c r="C599" t="s">
        <v>7827</v>
      </c>
    </row>
    <row r="600" spans="1:3" hidden="1" x14ac:dyDescent="0.25">
      <c r="A600" t="s">
        <v>7828</v>
      </c>
      <c r="B600" t="s">
        <v>5283</v>
      </c>
      <c r="C600" t="s">
        <v>6958</v>
      </c>
    </row>
    <row r="601" spans="1:3" hidden="1" x14ac:dyDescent="0.25">
      <c r="A601" t="s">
        <v>7829</v>
      </c>
      <c r="B601" t="s">
        <v>7830</v>
      </c>
      <c r="C601" t="s">
        <v>7831</v>
      </c>
    </row>
    <row r="602" spans="1:3" hidden="1" x14ac:dyDescent="0.25">
      <c r="A602" t="s">
        <v>7832</v>
      </c>
      <c r="B602" t="s">
        <v>1838</v>
      </c>
      <c r="C602" t="s">
        <v>7833</v>
      </c>
    </row>
    <row r="603" spans="1:3" hidden="1" x14ac:dyDescent="0.25">
      <c r="A603" t="s">
        <v>7834</v>
      </c>
      <c r="B603" t="s">
        <v>5083</v>
      </c>
      <c r="C603" t="s">
        <v>7835</v>
      </c>
    </row>
    <row r="604" spans="1:3" hidden="1" x14ac:dyDescent="0.25">
      <c r="A604" t="s">
        <v>7836</v>
      </c>
      <c r="B604" t="s">
        <v>495</v>
      </c>
      <c r="C604" t="s">
        <v>6958</v>
      </c>
    </row>
    <row r="605" spans="1:3" hidden="1" x14ac:dyDescent="0.25">
      <c r="A605" t="s">
        <v>7837</v>
      </c>
      <c r="B605" t="s">
        <v>4531</v>
      </c>
      <c r="C605" t="s">
        <v>6958</v>
      </c>
    </row>
    <row r="606" spans="1:3" hidden="1" x14ac:dyDescent="0.25">
      <c r="A606" t="s">
        <v>7838</v>
      </c>
      <c r="B606" t="s">
        <v>4580</v>
      </c>
      <c r="C606" t="s">
        <v>7839</v>
      </c>
    </row>
    <row r="607" spans="1:3" hidden="1" x14ac:dyDescent="0.25">
      <c r="A607" t="s">
        <v>7840</v>
      </c>
      <c r="B607" t="s">
        <v>1955</v>
      </c>
      <c r="C607" t="s">
        <v>7841</v>
      </c>
    </row>
    <row r="608" spans="1:3" hidden="1" x14ac:dyDescent="0.25">
      <c r="A608" t="s">
        <v>7842</v>
      </c>
      <c r="B608" t="s">
        <v>1900</v>
      </c>
      <c r="C608" t="s">
        <v>7843</v>
      </c>
    </row>
    <row r="609" spans="1:3" hidden="1" x14ac:dyDescent="0.25">
      <c r="A609" t="s">
        <v>7844</v>
      </c>
      <c r="B609" t="s">
        <v>912</v>
      </c>
      <c r="C609" t="s">
        <v>6958</v>
      </c>
    </row>
    <row r="610" spans="1:3" hidden="1" x14ac:dyDescent="0.25">
      <c r="A610" t="s">
        <v>7845</v>
      </c>
      <c r="B610" t="s">
        <v>4613</v>
      </c>
      <c r="C610" t="s">
        <v>6958</v>
      </c>
    </row>
    <row r="611" spans="1:3" hidden="1" x14ac:dyDescent="0.25">
      <c r="A611" t="s">
        <v>7846</v>
      </c>
      <c r="B611" t="s">
        <v>3006</v>
      </c>
      <c r="C611" t="s">
        <v>7847</v>
      </c>
    </row>
    <row r="612" spans="1:3" hidden="1" x14ac:dyDescent="0.25">
      <c r="A612" t="s">
        <v>7848</v>
      </c>
      <c r="B612" t="s">
        <v>3054</v>
      </c>
      <c r="C612" t="s">
        <v>7849</v>
      </c>
    </row>
    <row r="613" spans="1:3" hidden="1" x14ac:dyDescent="0.25">
      <c r="A613" t="s">
        <v>7850</v>
      </c>
      <c r="B613" t="s">
        <v>5613</v>
      </c>
      <c r="C613" t="s">
        <v>7851</v>
      </c>
    </row>
    <row r="614" spans="1:3" hidden="1" x14ac:dyDescent="0.25">
      <c r="A614" t="s">
        <v>7852</v>
      </c>
      <c r="B614" t="s">
        <v>576</v>
      </c>
      <c r="C614" t="s">
        <v>7853</v>
      </c>
    </row>
    <row r="615" spans="1:3" hidden="1" x14ac:dyDescent="0.25">
      <c r="A615" t="s">
        <v>7854</v>
      </c>
      <c r="B615" t="s">
        <v>7855</v>
      </c>
      <c r="C615" t="s">
        <v>7856</v>
      </c>
    </row>
    <row r="616" spans="1:3" hidden="1" x14ac:dyDescent="0.25">
      <c r="A616" t="s">
        <v>7857</v>
      </c>
      <c r="B616" t="s">
        <v>613</v>
      </c>
      <c r="C616" t="s">
        <v>7858</v>
      </c>
    </row>
    <row r="617" spans="1:3" hidden="1" x14ac:dyDescent="0.25">
      <c r="A617" t="s">
        <v>7859</v>
      </c>
      <c r="B617" t="s">
        <v>4841</v>
      </c>
      <c r="C617" t="s">
        <v>7860</v>
      </c>
    </row>
    <row r="618" spans="1:3" hidden="1" x14ac:dyDescent="0.25">
      <c r="A618" t="s">
        <v>7861</v>
      </c>
      <c r="B618" t="s">
        <v>971</v>
      </c>
      <c r="C618" t="s">
        <v>6958</v>
      </c>
    </row>
    <row r="619" spans="1:3" hidden="1" x14ac:dyDescent="0.25">
      <c r="A619" t="s">
        <v>7862</v>
      </c>
      <c r="B619" t="s">
        <v>1539</v>
      </c>
      <c r="C619" t="s">
        <v>7863</v>
      </c>
    </row>
    <row r="620" spans="1:3" hidden="1" x14ac:dyDescent="0.25">
      <c r="A620" t="s">
        <v>7864</v>
      </c>
      <c r="B620" t="s">
        <v>2793</v>
      </c>
      <c r="C620" t="s">
        <v>6958</v>
      </c>
    </row>
    <row r="621" spans="1:3" hidden="1" x14ac:dyDescent="0.25">
      <c r="A621" t="s">
        <v>7865</v>
      </c>
      <c r="B621" t="s">
        <v>2605</v>
      </c>
      <c r="C621" t="s">
        <v>6958</v>
      </c>
    </row>
    <row r="622" spans="1:3" hidden="1" x14ac:dyDescent="0.25">
      <c r="A622" t="s">
        <v>7866</v>
      </c>
      <c r="B622" t="s">
        <v>2523</v>
      </c>
      <c r="C622" t="s">
        <v>7867</v>
      </c>
    </row>
    <row r="623" spans="1:3" hidden="1" x14ac:dyDescent="0.25">
      <c r="A623" t="s">
        <v>7868</v>
      </c>
      <c r="B623" t="s">
        <v>1019</v>
      </c>
      <c r="C623" t="s">
        <v>7869</v>
      </c>
    </row>
    <row r="624" spans="1:3" hidden="1" x14ac:dyDescent="0.25">
      <c r="A624" t="s">
        <v>7870</v>
      </c>
      <c r="B624" t="s">
        <v>2786</v>
      </c>
      <c r="C624" t="s">
        <v>6958</v>
      </c>
    </row>
    <row r="625" spans="1:3" hidden="1" x14ac:dyDescent="0.25">
      <c r="A625" t="s">
        <v>7871</v>
      </c>
      <c r="B625" t="s">
        <v>4100</v>
      </c>
      <c r="C625" t="s">
        <v>7872</v>
      </c>
    </row>
    <row r="626" spans="1:3" hidden="1" x14ac:dyDescent="0.25">
      <c r="A626" t="s">
        <v>7873</v>
      </c>
      <c r="B626" t="s">
        <v>2167</v>
      </c>
      <c r="C626" t="s">
        <v>7874</v>
      </c>
    </row>
    <row r="627" spans="1:3" hidden="1" x14ac:dyDescent="0.25">
      <c r="A627" t="s">
        <v>7875</v>
      </c>
      <c r="B627" t="s">
        <v>19</v>
      </c>
      <c r="C627" t="s">
        <v>7876</v>
      </c>
    </row>
    <row r="628" spans="1:3" hidden="1" x14ac:dyDescent="0.25">
      <c r="A628" t="s">
        <v>7877</v>
      </c>
      <c r="B628" t="s">
        <v>7878</v>
      </c>
      <c r="C628" t="s">
        <v>7879</v>
      </c>
    </row>
    <row r="629" spans="1:3" hidden="1" x14ac:dyDescent="0.25">
      <c r="A629" t="s">
        <v>7880</v>
      </c>
      <c r="B629" t="s">
        <v>5019</v>
      </c>
      <c r="C629" t="s">
        <v>6958</v>
      </c>
    </row>
    <row r="630" spans="1:3" hidden="1" x14ac:dyDescent="0.25">
      <c r="A630" t="s">
        <v>7881</v>
      </c>
      <c r="B630" t="s">
        <v>382</v>
      </c>
      <c r="C630" t="s">
        <v>6958</v>
      </c>
    </row>
    <row r="631" spans="1:3" hidden="1" x14ac:dyDescent="0.25">
      <c r="A631" t="s">
        <v>7882</v>
      </c>
      <c r="B631" t="s">
        <v>2217</v>
      </c>
      <c r="C631" t="s">
        <v>7883</v>
      </c>
    </row>
    <row r="632" spans="1:3" hidden="1" x14ac:dyDescent="0.25">
      <c r="A632" t="s">
        <v>7884</v>
      </c>
      <c r="B632" t="s">
        <v>4390</v>
      </c>
      <c r="C632" t="s">
        <v>6958</v>
      </c>
    </row>
    <row r="633" spans="1:3" hidden="1" x14ac:dyDescent="0.25">
      <c r="A633" t="s">
        <v>7885</v>
      </c>
      <c r="B633" t="s">
        <v>2263</v>
      </c>
      <c r="C633" t="s">
        <v>7886</v>
      </c>
    </row>
    <row r="634" spans="1:3" hidden="1" x14ac:dyDescent="0.25">
      <c r="A634" t="s">
        <v>7887</v>
      </c>
      <c r="B634" t="s">
        <v>5131</v>
      </c>
      <c r="C634" t="s">
        <v>7888</v>
      </c>
    </row>
    <row r="635" spans="1:3" hidden="1" x14ac:dyDescent="0.25">
      <c r="A635" t="s">
        <v>7889</v>
      </c>
      <c r="B635" t="s">
        <v>1413</v>
      </c>
      <c r="C635" t="s">
        <v>7890</v>
      </c>
    </row>
    <row r="636" spans="1:3" hidden="1" x14ac:dyDescent="0.25">
      <c r="A636" t="s">
        <v>7891</v>
      </c>
      <c r="B636" t="s">
        <v>33</v>
      </c>
      <c r="C636" t="s">
        <v>7892</v>
      </c>
    </row>
    <row r="637" spans="1:3" hidden="1" x14ac:dyDescent="0.25">
      <c r="A637" t="s">
        <v>7893</v>
      </c>
      <c r="B637" t="s">
        <v>3897</v>
      </c>
      <c r="C637" t="s">
        <v>7894</v>
      </c>
    </row>
    <row r="638" spans="1:3" hidden="1" x14ac:dyDescent="0.25">
      <c r="A638" t="s">
        <v>7895</v>
      </c>
      <c r="B638" t="s">
        <v>3855</v>
      </c>
      <c r="C638" t="s">
        <v>7896</v>
      </c>
    </row>
    <row r="639" spans="1:3" hidden="1" x14ac:dyDescent="0.25">
      <c r="A639" t="s">
        <v>7897</v>
      </c>
      <c r="B639" t="s">
        <v>1869</v>
      </c>
      <c r="C639" t="s">
        <v>7898</v>
      </c>
    </row>
    <row r="640" spans="1:3" hidden="1" x14ac:dyDescent="0.25">
      <c r="A640" t="s">
        <v>7899</v>
      </c>
      <c r="B640" t="s">
        <v>882</v>
      </c>
      <c r="C640" t="s">
        <v>7900</v>
      </c>
    </row>
    <row r="641" spans="1:3" hidden="1" x14ac:dyDescent="0.25">
      <c r="A641" t="s">
        <v>7901</v>
      </c>
      <c r="B641" t="s">
        <v>5133</v>
      </c>
      <c r="C641" t="s">
        <v>7902</v>
      </c>
    </row>
    <row r="642" spans="1:3" hidden="1" x14ac:dyDescent="0.25">
      <c r="A642" t="s">
        <v>7903</v>
      </c>
      <c r="B642" t="s">
        <v>1978</v>
      </c>
      <c r="C642" t="s">
        <v>6958</v>
      </c>
    </row>
    <row r="643" spans="1:3" hidden="1" x14ac:dyDescent="0.25">
      <c r="A643" t="s">
        <v>7904</v>
      </c>
      <c r="B643" t="s">
        <v>1482</v>
      </c>
      <c r="C643" t="s">
        <v>7905</v>
      </c>
    </row>
    <row r="644" spans="1:3" hidden="1" x14ac:dyDescent="0.25">
      <c r="A644" t="s">
        <v>7906</v>
      </c>
      <c r="B644" t="s">
        <v>3876</v>
      </c>
      <c r="C644" t="s">
        <v>6958</v>
      </c>
    </row>
    <row r="645" spans="1:3" hidden="1" x14ac:dyDescent="0.25">
      <c r="A645" t="s">
        <v>7907</v>
      </c>
      <c r="B645" t="s">
        <v>4703</v>
      </c>
      <c r="C645" t="s">
        <v>6958</v>
      </c>
    </row>
    <row r="646" spans="1:3" hidden="1" x14ac:dyDescent="0.25">
      <c r="A646" t="s">
        <v>7908</v>
      </c>
      <c r="B646" t="s">
        <v>5632</v>
      </c>
      <c r="C646" t="s">
        <v>7909</v>
      </c>
    </row>
    <row r="647" spans="1:3" hidden="1" x14ac:dyDescent="0.25">
      <c r="A647" t="s">
        <v>7910</v>
      </c>
      <c r="B647" t="s">
        <v>3131</v>
      </c>
      <c r="C647" t="s">
        <v>7911</v>
      </c>
    </row>
    <row r="648" spans="1:3" hidden="1" x14ac:dyDescent="0.25">
      <c r="A648" t="s">
        <v>7912</v>
      </c>
      <c r="B648" t="s">
        <v>1377</v>
      </c>
      <c r="C648" t="s">
        <v>6958</v>
      </c>
    </row>
    <row r="649" spans="1:3" hidden="1" x14ac:dyDescent="0.25">
      <c r="A649" t="s">
        <v>7913</v>
      </c>
      <c r="B649" t="s">
        <v>4901</v>
      </c>
      <c r="C649" t="s">
        <v>6958</v>
      </c>
    </row>
    <row r="650" spans="1:3" hidden="1" x14ac:dyDescent="0.25">
      <c r="A650" t="s">
        <v>7914</v>
      </c>
      <c r="B650" t="s">
        <v>623</v>
      </c>
      <c r="C650" t="s">
        <v>6958</v>
      </c>
    </row>
    <row r="651" spans="1:3" hidden="1" x14ac:dyDescent="0.25">
      <c r="A651" t="s">
        <v>7915</v>
      </c>
      <c r="B651" t="s">
        <v>2466</v>
      </c>
      <c r="C651" t="s">
        <v>6958</v>
      </c>
    </row>
    <row r="652" spans="1:3" hidden="1" x14ac:dyDescent="0.25">
      <c r="A652" t="s">
        <v>7916</v>
      </c>
      <c r="B652" t="s">
        <v>5559</v>
      </c>
      <c r="C652" t="s">
        <v>7917</v>
      </c>
    </row>
    <row r="653" spans="1:3" hidden="1" x14ac:dyDescent="0.25">
      <c r="A653" t="s">
        <v>7918</v>
      </c>
      <c r="B653" t="s">
        <v>2882</v>
      </c>
      <c r="C653" t="s">
        <v>7919</v>
      </c>
    </row>
    <row r="654" spans="1:3" hidden="1" x14ac:dyDescent="0.25">
      <c r="A654" t="s">
        <v>7920</v>
      </c>
      <c r="B654" t="s">
        <v>2777</v>
      </c>
      <c r="C654" t="s">
        <v>7921</v>
      </c>
    </row>
    <row r="655" spans="1:3" hidden="1" x14ac:dyDescent="0.25">
      <c r="A655" t="s">
        <v>7922</v>
      </c>
      <c r="B655" t="s">
        <v>187</v>
      </c>
      <c r="C655" t="s">
        <v>7923</v>
      </c>
    </row>
    <row r="656" spans="1:3" hidden="1" x14ac:dyDescent="0.25">
      <c r="A656" t="s">
        <v>7924</v>
      </c>
      <c r="B656" t="s">
        <v>3703</v>
      </c>
      <c r="C656" t="s">
        <v>7925</v>
      </c>
    </row>
    <row r="657" spans="1:3" hidden="1" x14ac:dyDescent="0.25">
      <c r="A657" t="s">
        <v>7926</v>
      </c>
      <c r="B657" t="s">
        <v>259</v>
      </c>
      <c r="C657" t="s">
        <v>7927</v>
      </c>
    </row>
    <row r="658" spans="1:3" hidden="1" x14ac:dyDescent="0.25">
      <c r="A658" t="s">
        <v>7928</v>
      </c>
      <c r="B658" t="s">
        <v>435</v>
      </c>
      <c r="C658" t="s">
        <v>7929</v>
      </c>
    </row>
    <row r="659" spans="1:3" hidden="1" x14ac:dyDescent="0.25">
      <c r="A659" t="s">
        <v>7930</v>
      </c>
      <c r="B659" t="s">
        <v>3258</v>
      </c>
      <c r="C659" t="s">
        <v>7931</v>
      </c>
    </row>
    <row r="660" spans="1:3" hidden="1" x14ac:dyDescent="0.25">
      <c r="A660" t="s">
        <v>7932</v>
      </c>
      <c r="B660" t="s">
        <v>148</v>
      </c>
      <c r="C660" t="s">
        <v>7933</v>
      </c>
    </row>
    <row r="661" spans="1:3" hidden="1" x14ac:dyDescent="0.25">
      <c r="A661" t="s">
        <v>7934</v>
      </c>
      <c r="B661" t="s">
        <v>7935</v>
      </c>
      <c r="C661" t="s">
        <v>6958</v>
      </c>
    </row>
    <row r="662" spans="1:3" hidden="1" x14ac:dyDescent="0.25">
      <c r="A662" t="s">
        <v>7936</v>
      </c>
      <c r="B662" t="s">
        <v>4322</v>
      </c>
      <c r="C662" t="s">
        <v>6958</v>
      </c>
    </row>
    <row r="663" spans="1:3" hidden="1" x14ac:dyDescent="0.25">
      <c r="A663" t="s">
        <v>7937</v>
      </c>
      <c r="B663" t="s">
        <v>550</v>
      </c>
      <c r="C663" t="s">
        <v>6958</v>
      </c>
    </row>
    <row r="664" spans="1:3" hidden="1" x14ac:dyDescent="0.25">
      <c r="A664" t="s">
        <v>7938</v>
      </c>
      <c r="B664" t="s">
        <v>1293</v>
      </c>
      <c r="C664" t="s">
        <v>6958</v>
      </c>
    </row>
    <row r="665" spans="1:3" hidden="1" x14ac:dyDescent="0.25">
      <c r="A665" t="s">
        <v>7939</v>
      </c>
      <c r="B665" t="s">
        <v>2736</v>
      </c>
      <c r="C665" t="s">
        <v>6958</v>
      </c>
    </row>
    <row r="666" spans="1:3" hidden="1" x14ac:dyDescent="0.25">
      <c r="A666" t="s">
        <v>7940</v>
      </c>
      <c r="B666" t="s">
        <v>3008</v>
      </c>
      <c r="C666" t="s">
        <v>7941</v>
      </c>
    </row>
    <row r="667" spans="1:3" hidden="1" x14ac:dyDescent="0.25">
      <c r="A667" t="s">
        <v>7942</v>
      </c>
      <c r="B667" t="s">
        <v>956</v>
      </c>
      <c r="C667" t="s">
        <v>7943</v>
      </c>
    </row>
    <row r="668" spans="1:3" hidden="1" x14ac:dyDescent="0.25">
      <c r="A668" t="s">
        <v>7944</v>
      </c>
      <c r="B668" t="s">
        <v>2053</v>
      </c>
      <c r="C668" t="s">
        <v>7945</v>
      </c>
    </row>
    <row r="669" spans="1:3" hidden="1" x14ac:dyDescent="0.25">
      <c r="A669" t="s">
        <v>7946</v>
      </c>
      <c r="B669" t="s">
        <v>2087</v>
      </c>
      <c r="C669" t="s">
        <v>6958</v>
      </c>
    </row>
    <row r="670" spans="1:3" hidden="1" x14ac:dyDescent="0.25">
      <c r="A670" t="s">
        <v>7947</v>
      </c>
      <c r="B670" t="s">
        <v>3411</v>
      </c>
      <c r="C670" t="s">
        <v>6958</v>
      </c>
    </row>
    <row r="671" spans="1:3" hidden="1" x14ac:dyDescent="0.25">
      <c r="A671" t="s">
        <v>7948</v>
      </c>
      <c r="B671" t="s">
        <v>1953</v>
      </c>
      <c r="C671" t="s">
        <v>7949</v>
      </c>
    </row>
    <row r="672" spans="1:3" hidden="1" x14ac:dyDescent="0.25">
      <c r="A672" t="s">
        <v>7950</v>
      </c>
      <c r="B672" t="s">
        <v>851</v>
      </c>
      <c r="C672" t="s">
        <v>7951</v>
      </c>
    </row>
    <row r="673" spans="1:3" hidden="1" x14ac:dyDescent="0.25">
      <c r="A673" t="s">
        <v>7952</v>
      </c>
      <c r="B673" t="s">
        <v>324</v>
      </c>
      <c r="C673" t="s">
        <v>7953</v>
      </c>
    </row>
    <row r="674" spans="1:3" hidden="1" x14ac:dyDescent="0.25">
      <c r="A674" t="s">
        <v>7954</v>
      </c>
      <c r="B674" t="s">
        <v>4306</v>
      </c>
      <c r="C674" t="s">
        <v>7955</v>
      </c>
    </row>
    <row r="675" spans="1:3" hidden="1" x14ac:dyDescent="0.25">
      <c r="A675" t="s">
        <v>7956</v>
      </c>
      <c r="B675" t="s">
        <v>1642</v>
      </c>
      <c r="C675" t="s">
        <v>7957</v>
      </c>
    </row>
    <row r="676" spans="1:3" hidden="1" x14ac:dyDescent="0.25">
      <c r="A676" t="s">
        <v>7958</v>
      </c>
      <c r="B676" t="s">
        <v>5502</v>
      </c>
      <c r="C676" t="s">
        <v>6958</v>
      </c>
    </row>
    <row r="677" spans="1:3" hidden="1" x14ac:dyDescent="0.25">
      <c r="A677" t="s">
        <v>7959</v>
      </c>
      <c r="B677" t="s">
        <v>2831</v>
      </c>
      <c r="C677" t="s">
        <v>7960</v>
      </c>
    </row>
    <row r="678" spans="1:3" hidden="1" x14ac:dyDescent="0.25">
      <c r="A678" t="s">
        <v>7961</v>
      </c>
      <c r="B678" t="s">
        <v>636</v>
      </c>
      <c r="C678" t="s">
        <v>7962</v>
      </c>
    </row>
    <row r="679" spans="1:3" hidden="1" x14ac:dyDescent="0.25">
      <c r="A679" t="s">
        <v>7963</v>
      </c>
      <c r="B679" t="s">
        <v>4781</v>
      </c>
      <c r="C679" t="s">
        <v>6958</v>
      </c>
    </row>
    <row r="680" spans="1:3" hidden="1" x14ac:dyDescent="0.25">
      <c r="A680" t="s">
        <v>7964</v>
      </c>
      <c r="B680" t="s">
        <v>737</v>
      </c>
      <c r="C680" t="s">
        <v>7965</v>
      </c>
    </row>
    <row r="681" spans="1:3" hidden="1" x14ac:dyDescent="0.25">
      <c r="A681" t="s">
        <v>7966</v>
      </c>
      <c r="B681" t="s">
        <v>1623</v>
      </c>
      <c r="C681" t="s">
        <v>6958</v>
      </c>
    </row>
    <row r="682" spans="1:3" hidden="1" x14ac:dyDescent="0.25">
      <c r="A682" t="s">
        <v>7967</v>
      </c>
      <c r="B682" t="s">
        <v>4644</v>
      </c>
      <c r="C682" t="s">
        <v>6958</v>
      </c>
    </row>
    <row r="683" spans="1:3" hidden="1" x14ac:dyDescent="0.25">
      <c r="A683" t="s">
        <v>7968</v>
      </c>
      <c r="B683" t="s">
        <v>5664</v>
      </c>
      <c r="C683" t="s">
        <v>7969</v>
      </c>
    </row>
    <row r="684" spans="1:3" hidden="1" x14ac:dyDescent="0.25">
      <c r="A684" t="s">
        <v>7970</v>
      </c>
      <c r="B684" t="s">
        <v>1387</v>
      </c>
      <c r="C684" t="s">
        <v>7971</v>
      </c>
    </row>
    <row r="685" spans="1:3" hidden="1" x14ac:dyDescent="0.25">
      <c r="A685" t="s">
        <v>7972</v>
      </c>
      <c r="B685" t="s">
        <v>3275</v>
      </c>
      <c r="C685" t="s">
        <v>6958</v>
      </c>
    </row>
    <row r="686" spans="1:3" hidden="1" x14ac:dyDescent="0.25">
      <c r="A686" t="s">
        <v>7973</v>
      </c>
      <c r="B686" t="s">
        <v>1733</v>
      </c>
      <c r="C686" t="s">
        <v>7974</v>
      </c>
    </row>
    <row r="687" spans="1:3" hidden="1" x14ac:dyDescent="0.25">
      <c r="A687" t="s">
        <v>7975</v>
      </c>
      <c r="B687" t="s">
        <v>5370</v>
      </c>
      <c r="C687" t="s">
        <v>6958</v>
      </c>
    </row>
    <row r="688" spans="1:3" hidden="1" x14ac:dyDescent="0.25">
      <c r="A688" t="s">
        <v>7976</v>
      </c>
      <c r="B688" t="s">
        <v>4421</v>
      </c>
      <c r="C688" t="s">
        <v>7977</v>
      </c>
    </row>
    <row r="689" spans="1:3" hidden="1" x14ac:dyDescent="0.25">
      <c r="A689" t="s">
        <v>7978</v>
      </c>
      <c r="B689" t="s">
        <v>1854</v>
      </c>
      <c r="C689" t="s">
        <v>6958</v>
      </c>
    </row>
    <row r="690" spans="1:3" hidden="1" x14ac:dyDescent="0.25">
      <c r="A690" t="s">
        <v>7979</v>
      </c>
      <c r="B690" t="s">
        <v>5373</v>
      </c>
      <c r="C690" t="s">
        <v>7980</v>
      </c>
    </row>
    <row r="691" spans="1:3" hidden="1" x14ac:dyDescent="0.25">
      <c r="A691" t="s">
        <v>7981</v>
      </c>
      <c r="B691" t="s">
        <v>2060</v>
      </c>
      <c r="C691" t="s">
        <v>7982</v>
      </c>
    </row>
    <row r="692" spans="1:3" hidden="1" x14ac:dyDescent="0.25">
      <c r="A692" t="s">
        <v>7983</v>
      </c>
      <c r="B692" t="s">
        <v>1496</v>
      </c>
      <c r="C692" t="s">
        <v>7984</v>
      </c>
    </row>
    <row r="693" spans="1:3" hidden="1" x14ac:dyDescent="0.25">
      <c r="A693" t="s">
        <v>7985</v>
      </c>
      <c r="B693" t="s">
        <v>430</v>
      </c>
      <c r="C693" t="s">
        <v>7986</v>
      </c>
    </row>
    <row r="694" spans="1:3" hidden="1" x14ac:dyDescent="0.25">
      <c r="A694" t="s">
        <v>7987</v>
      </c>
      <c r="B694" t="s">
        <v>1018</v>
      </c>
      <c r="C694" t="s">
        <v>7988</v>
      </c>
    </row>
    <row r="695" spans="1:3" hidden="1" x14ac:dyDescent="0.25">
      <c r="A695" t="s">
        <v>7989</v>
      </c>
      <c r="B695" t="s">
        <v>2890</v>
      </c>
      <c r="C695" t="s">
        <v>7990</v>
      </c>
    </row>
    <row r="696" spans="1:3" hidden="1" x14ac:dyDescent="0.25">
      <c r="A696" t="s">
        <v>7991</v>
      </c>
      <c r="B696" t="s">
        <v>1111</v>
      </c>
      <c r="C696" t="s">
        <v>7992</v>
      </c>
    </row>
    <row r="697" spans="1:3" hidden="1" x14ac:dyDescent="0.25">
      <c r="A697" t="s">
        <v>7993</v>
      </c>
      <c r="B697" t="s">
        <v>5583</v>
      </c>
      <c r="C697" t="s">
        <v>7994</v>
      </c>
    </row>
    <row r="698" spans="1:3" hidden="1" x14ac:dyDescent="0.25">
      <c r="A698" t="s">
        <v>7995</v>
      </c>
      <c r="B698" t="s">
        <v>2200</v>
      </c>
      <c r="C698" t="s">
        <v>6958</v>
      </c>
    </row>
    <row r="699" spans="1:3" hidden="1" x14ac:dyDescent="0.25">
      <c r="A699" t="s">
        <v>7996</v>
      </c>
      <c r="B699" t="s">
        <v>1409</v>
      </c>
      <c r="C699" t="s">
        <v>6958</v>
      </c>
    </row>
    <row r="700" spans="1:3" hidden="1" x14ac:dyDescent="0.25">
      <c r="A700" t="s">
        <v>7997</v>
      </c>
      <c r="B700" t="s">
        <v>4608</v>
      </c>
      <c r="C700" t="s">
        <v>7998</v>
      </c>
    </row>
    <row r="701" spans="1:3" hidden="1" x14ac:dyDescent="0.25">
      <c r="A701" t="s">
        <v>7999</v>
      </c>
      <c r="B701" t="s">
        <v>4993</v>
      </c>
      <c r="C701" t="s">
        <v>8000</v>
      </c>
    </row>
    <row r="702" spans="1:3" hidden="1" x14ac:dyDescent="0.25">
      <c r="A702" t="s">
        <v>8001</v>
      </c>
      <c r="B702" t="s">
        <v>2616</v>
      </c>
      <c r="C702" t="s">
        <v>6958</v>
      </c>
    </row>
    <row r="703" spans="1:3" hidden="1" x14ac:dyDescent="0.25">
      <c r="A703" t="s">
        <v>8002</v>
      </c>
      <c r="B703" t="s">
        <v>202</v>
      </c>
      <c r="C703" t="s">
        <v>8003</v>
      </c>
    </row>
    <row r="704" spans="1:3" hidden="1" x14ac:dyDescent="0.25">
      <c r="A704" t="s">
        <v>8004</v>
      </c>
      <c r="B704" t="s">
        <v>1829</v>
      </c>
      <c r="C704" t="s">
        <v>8005</v>
      </c>
    </row>
    <row r="705" spans="1:3" hidden="1" x14ac:dyDescent="0.25">
      <c r="A705" t="s">
        <v>8006</v>
      </c>
      <c r="B705" t="s">
        <v>3860</v>
      </c>
      <c r="C705" t="s">
        <v>8007</v>
      </c>
    </row>
    <row r="706" spans="1:3" hidden="1" x14ac:dyDescent="0.25">
      <c r="A706" t="s">
        <v>8008</v>
      </c>
      <c r="B706" t="s">
        <v>1668</v>
      </c>
      <c r="C706" t="s">
        <v>6958</v>
      </c>
    </row>
    <row r="707" spans="1:3" hidden="1" x14ac:dyDescent="0.25">
      <c r="A707" t="s">
        <v>8009</v>
      </c>
      <c r="B707" t="s">
        <v>4387</v>
      </c>
      <c r="C707" t="s">
        <v>8010</v>
      </c>
    </row>
    <row r="708" spans="1:3" hidden="1" x14ac:dyDescent="0.25">
      <c r="A708" t="s">
        <v>8011</v>
      </c>
      <c r="B708" t="s">
        <v>587</v>
      </c>
      <c r="C708" t="s">
        <v>8012</v>
      </c>
    </row>
    <row r="709" spans="1:3" hidden="1" x14ac:dyDescent="0.25">
      <c r="A709" t="s">
        <v>8013</v>
      </c>
      <c r="B709" t="s">
        <v>1107</v>
      </c>
      <c r="C709" t="s">
        <v>8014</v>
      </c>
    </row>
    <row r="710" spans="1:3" hidden="1" x14ac:dyDescent="0.25">
      <c r="A710" t="s">
        <v>8015</v>
      </c>
      <c r="B710" t="s">
        <v>2487</v>
      </c>
      <c r="C710" t="s">
        <v>8016</v>
      </c>
    </row>
    <row r="711" spans="1:3" hidden="1" x14ac:dyDescent="0.25">
      <c r="A711" t="s">
        <v>8017</v>
      </c>
      <c r="B711" t="s">
        <v>3799</v>
      </c>
      <c r="C711" t="s">
        <v>6958</v>
      </c>
    </row>
    <row r="712" spans="1:3" hidden="1" x14ac:dyDescent="0.25">
      <c r="A712" t="s">
        <v>8018</v>
      </c>
      <c r="B712" t="s">
        <v>2822</v>
      </c>
      <c r="C712" t="s">
        <v>8019</v>
      </c>
    </row>
    <row r="713" spans="1:3" hidden="1" x14ac:dyDescent="0.25">
      <c r="A713" t="s">
        <v>8020</v>
      </c>
      <c r="B713" t="s">
        <v>3629</v>
      </c>
      <c r="C713" t="s">
        <v>8021</v>
      </c>
    </row>
    <row r="714" spans="1:3" hidden="1" x14ac:dyDescent="0.25">
      <c r="A714" t="s">
        <v>8022</v>
      </c>
      <c r="B714" t="s">
        <v>2163</v>
      </c>
      <c r="C714" t="s">
        <v>8023</v>
      </c>
    </row>
    <row r="715" spans="1:3" hidden="1" x14ac:dyDescent="0.25">
      <c r="A715" t="s">
        <v>8024</v>
      </c>
      <c r="B715" t="s">
        <v>2794</v>
      </c>
      <c r="C715" t="s">
        <v>6958</v>
      </c>
    </row>
    <row r="716" spans="1:3" hidden="1" x14ac:dyDescent="0.25">
      <c r="A716" t="s">
        <v>8025</v>
      </c>
      <c r="B716" t="s">
        <v>4828</v>
      </c>
      <c r="C716" t="s">
        <v>8026</v>
      </c>
    </row>
    <row r="717" spans="1:3" hidden="1" x14ac:dyDescent="0.25">
      <c r="A717" t="s">
        <v>8027</v>
      </c>
      <c r="B717" t="s">
        <v>2335</v>
      </c>
      <c r="C717" t="s">
        <v>8028</v>
      </c>
    </row>
    <row r="718" spans="1:3" hidden="1" x14ac:dyDescent="0.25">
      <c r="A718" t="s">
        <v>8029</v>
      </c>
      <c r="B718" t="s">
        <v>1069</v>
      </c>
      <c r="C718" t="s">
        <v>8030</v>
      </c>
    </row>
    <row r="719" spans="1:3" hidden="1" x14ac:dyDescent="0.25">
      <c r="A719" t="s">
        <v>8031</v>
      </c>
      <c r="B719" t="s">
        <v>4433</v>
      </c>
      <c r="C719" t="s">
        <v>6958</v>
      </c>
    </row>
    <row r="720" spans="1:3" hidden="1" x14ac:dyDescent="0.25">
      <c r="A720" t="s">
        <v>8032</v>
      </c>
      <c r="B720" t="s">
        <v>2112</v>
      </c>
      <c r="C720" t="s">
        <v>6958</v>
      </c>
    </row>
    <row r="721" spans="1:3" hidden="1" x14ac:dyDescent="0.25">
      <c r="A721" t="s">
        <v>8033</v>
      </c>
      <c r="B721" t="s">
        <v>1735</v>
      </c>
      <c r="C721" t="s">
        <v>8034</v>
      </c>
    </row>
    <row r="722" spans="1:3" hidden="1" x14ac:dyDescent="0.25">
      <c r="A722" t="s">
        <v>8035</v>
      </c>
      <c r="B722" t="s">
        <v>5126</v>
      </c>
      <c r="C722" t="s">
        <v>8036</v>
      </c>
    </row>
    <row r="723" spans="1:3" hidden="1" x14ac:dyDescent="0.25">
      <c r="A723" t="s">
        <v>8037</v>
      </c>
      <c r="B723" t="s">
        <v>5226</v>
      </c>
      <c r="C723" t="s">
        <v>8038</v>
      </c>
    </row>
    <row r="724" spans="1:3" hidden="1" x14ac:dyDescent="0.25">
      <c r="A724" t="s">
        <v>8039</v>
      </c>
      <c r="B724" t="s">
        <v>641</v>
      </c>
      <c r="C724" t="s">
        <v>8040</v>
      </c>
    </row>
    <row r="725" spans="1:3" hidden="1" x14ac:dyDescent="0.25">
      <c r="A725" t="s">
        <v>8041</v>
      </c>
      <c r="B725" t="s">
        <v>2988</v>
      </c>
      <c r="C725" t="s">
        <v>6958</v>
      </c>
    </row>
    <row r="726" spans="1:3" hidden="1" x14ac:dyDescent="0.25">
      <c r="A726" t="s">
        <v>8042</v>
      </c>
      <c r="B726" t="s">
        <v>1612</v>
      </c>
      <c r="C726" t="s">
        <v>8043</v>
      </c>
    </row>
    <row r="727" spans="1:3" hidden="1" x14ac:dyDescent="0.25">
      <c r="A727" t="s">
        <v>8044</v>
      </c>
      <c r="B727" t="s">
        <v>1514</v>
      </c>
      <c r="C727" t="s">
        <v>6958</v>
      </c>
    </row>
    <row r="728" spans="1:3" hidden="1" x14ac:dyDescent="0.25">
      <c r="A728" t="s">
        <v>8045</v>
      </c>
      <c r="B728" t="s">
        <v>3458</v>
      </c>
      <c r="C728" t="s">
        <v>8046</v>
      </c>
    </row>
    <row r="729" spans="1:3" hidden="1" x14ac:dyDescent="0.25">
      <c r="A729" t="s">
        <v>8047</v>
      </c>
      <c r="B729" t="s">
        <v>3270</v>
      </c>
      <c r="C729" t="s">
        <v>8048</v>
      </c>
    </row>
    <row r="730" spans="1:3" hidden="1" x14ac:dyDescent="0.25">
      <c r="A730" t="s">
        <v>8049</v>
      </c>
      <c r="B730" t="s">
        <v>1038</v>
      </c>
      <c r="C730" t="s">
        <v>8050</v>
      </c>
    </row>
    <row r="731" spans="1:3" hidden="1" x14ac:dyDescent="0.25">
      <c r="A731" t="s">
        <v>8051</v>
      </c>
      <c r="B731" t="s">
        <v>3053</v>
      </c>
      <c r="C731" t="s">
        <v>8052</v>
      </c>
    </row>
    <row r="732" spans="1:3" hidden="1" x14ac:dyDescent="0.25">
      <c r="A732" t="s">
        <v>8053</v>
      </c>
      <c r="B732" t="s">
        <v>947</v>
      </c>
      <c r="C732" t="s">
        <v>8054</v>
      </c>
    </row>
    <row r="733" spans="1:3" hidden="1" x14ac:dyDescent="0.25">
      <c r="A733" t="s">
        <v>8055</v>
      </c>
      <c r="B733" t="s">
        <v>855</v>
      </c>
      <c r="C733" t="s">
        <v>8056</v>
      </c>
    </row>
    <row r="734" spans="1:3" hidden="1" x14ac:dyDescent="0.25">
      <c r="A734" t="s">
        <v>8057</v>
      </c>
      <c r="B734" t="s">
        <v>3402</v>
      </c>
      <c r="C734" t="s">
        <v>6958</v>
      </c>
    </row>
    <row r="735" spans="1:3" hidden="1" x14ac:dyDescent="0.25">
      <c r="A735" t="s">
        <v>8058</v>
      </c>
      <c r="B735" t="s">
        <v>780</v>
      </c>
      <c r="C735" t="s">
        <v>8059</v>
      </c>
    </row>
    <row r="736" spans="1:3" hidden="1" x14ac:dyDescent="0.25">
      <c r="A736" t="s">
        <v>8060</v>
      </c>
      <c r="B736" t="s">
        <v>385</v>
      </c>
      <c r="C736" t="s">
        <v>8061</v>
      </c>
    </row>
    <row r="737" spans="1:3" hidden="1" x14ac:dyDescent="0.25">
      <c r="A737" t="s">
        <v>8062</v>
      </c>
      <c r="B737" t="s">
        <v>833</v>
      </c>
      <c r="C737" t="s">
        <v>6958</v>
      </c>
    </row>
    <row r="738" spans="1:3" hidden="1" x14ac:dyDescent="0.25">
      <c r="A738" t="s">
        <v>8063</v>
      </c>
      <c r="B738" t="s">
        <v>41</v>
      </c>
      <c r="C738" t="s">
        <v>6958</v>
      </c>
    </row>
    <row r="739" spans="1:3" hidden="1" x14ac:dyDescent="0.25">
      <c r="A739" t="s">
        <v>8064</v>
      </c>
      <c r="B739" t="s">
        <v>2533</v>
      </c>
      <c r="C739" t="s">
        <v>6958</v>
      </c>
    </row>
    <row r="740" spans="1:3" hidden="1" x14ac:dyDescent="0.25">
      <c r="A740" t="s">
        <v>8065</v>
      </c>
      <c r="B740" t="s">
        <v>1964</v>
      </c>
      <c r="C740" t="s">
        <v>8066</v>
      </c>
    </row>
    <row r="741" spans="1:3" hidden="1" x14ac:dyDescent="0.25">
      <c r="A741" t="s">
        <v>8067</v>
      </c>
      <c r="B741" t="s">
        <v>2012</v>
      </c>
      <c r="C741" t="s">
        <v>6958</v>
      </c>
    </row>
    <row r="742" spans="1:3" hidden="1" x14ac:dyDescent="0.25">
      <c r="A742" t="s">
        <v>8068</v>
      </c>
      <c r="B742" t="s">
        <v>4662</v>
      </c>
      <c r="C742" t="s">
        <v>6958</v>
      </c>
    </row>
    <row r="743" spans="1:3" hidden="1" x14ac:dyDescent="0.25">
      <c r="A743" t="s">
        <v>8069</v>
      </c>
      <c r="B743" t="s">
        <v>1156</v>
      </c>
      <c r="C743" t="s">
        <v>6958</v>
      </c>
    </row>
    <row r="744" spans="1:3" hidden="1" x14ac:dyDescent="0.25">
      <c r="A744" t="s">
        <v>8070</v>
      </c>
      <c r="B744" t="s">
        <v>1474</v>
      </c>
      <c r="C744" t="s">
        <v>6958</v>
      </c>
    </row>
    <row r="745" spans="1:3" hidden="1" x14ac:dyDescent="0.25">
      <c r="A745" t="s">
        <v>8071</v>
      </c>
      <c r="B745" t="s">
        <v>4329</v>
      </c>
      <c r="C745" t="s">
        <v>8072</v>
      </c>
    </row>
    <row r="746" spans="1:3" hidden="1" x14ac:dyDescent="0.25">
      <c r="A746" t="s">
        <v>8073</v>
      </c>
      <c r="B746" t="s">
        <v>1179</v>
      </c>
      <c r="C746" t="s">
        <v>8074</v>
      </c>
    </row>
    <row r="747" spans="1:3" hidden="1" x14ac:dyDescent="0.25">
      <c r="A747" t="s">
        <v>8075</v>
      </c>
      <c r="B747" t="s">
        <v>5507</v>
      </c>
      <c r="C747" t="s">
        <v>6958</v>
      </c>
    </row>
    <row r="748" spans="1:3" hidden="1" x14ac:dyDescent="0.25">
      <c r="A748" t="s">
        <v>8076</v>
      </c>
      <c r="B748" t="s">
        <v>3076</v>
      </c>
      <c r="C748" t="s">
        <v>8077</v>
      </c>
    </row>
    <row r="749" spans="1:3" hidden="1" x14ac:dyDescent="0.25">
      <c r="A749" t="s">
        <v>8078</v>
      </c>
      <c r="B749" t="s">
        <v>3362</v>
      </c>
      <c r="C749" t="s">
        <v>6958</v>
      </c>
    </row>
    <row r="750" spans="1:3" hidden="1" x14ac:dyDescent="0.25">
      <c r="A750" t="s">
        <v>8079</v>
      </c>
      <c r="B750" t="s">
        <v>2884</v>
      </c>
      <c r="C750" t="s">
        <v>8080</v>
      </c>
    </row>
    <row r="751" spans="1:3" hidden="1" x14ac:dyDescent="0.25">
      <c r="A751" t="s">
        <v>8081</v>
      </c>
      <c r="B751" t="s">
        <v>4430</v>
      </c>
      <c r="C751" t="s">
        <v>8082</v>
      </c>
    </row>
    <row r="752" spans="1:3" hidden="1" x14ac:dyDescent="0.25">
      <c r="A752" t="s">
        <v>8083</v>
      </c>
      <c r="B752" t="s">
        <v>8084</v>
      </c>
      <c r="C752" t="s">
        <v>8085</v>
      </c>
    </row>
    <row r="753" spans="1:3" hidden="1" x14ac:dyDescent="0.25">
      <c r="A753" t="s">
        <v>8086</v>
      </c>
      <c r="B753" t="s">
        <v>5231</v>
      </c>
      <c r="C753" t="s">
        <v>6958</v>
      </c>
    </row>
    <row r="754" spans="1:3" hidden="1" x14ac:dyDescent="0.25">
      <c r="A754" t="s">
        <v>8087</v>
      </c>
      <c r="B754" t="s">
        <v>966</v>
      </c>
      <c r="C754" t="s">
        <v>8088</v>
      </c>
    </row>
    <row r="755" spans="1:3" hidden="1" x14ac:dyDescent="0.25">
      <c r="A755" t="s">
        <v>8089</v>
      </c>
      <c r="B755" t="s">
        <v>3286</v>
      </c>
      <c r="C755" t="s">
        <v>8090</v>
      </c>
    </row>
    <row r="756" spans="1:3" hidden="1" x14ac:dyDescent="0.25">
      <c r="A756" t="s">
        <v>8091</v>
      </c>
      <c r="B756" t="s">
        <v>8092</v>
      </c>
      <c r="C756" t="s">
        <v>8093</v>
      </c>
    </row>
    <row r="757" spans="1:3" hidden="1" x14ac:dyDescent="0.25">
      <c r="A757" t="s">
        <v>8094</v>
      </c>
      <c r="B757" t="s">
        <v>2911</v>
      </c>
      <c r="C757" t="s">
        <v>6958</v>
      </c>
    </row>
    <row r="758" spans="1:3" hidden="1" x14ac:dyDescent="0.25">
      <c r="A758" t="s">
        <v>8095</v>
      </c>
      <c r="B758" t="s">
        <v>2367</v>
      </c>
      <c r="C758" t="s">
        <v>8096</v>
      </c>
    </row>
    <row r="759" spans="1:3" hidden="1" x14ac:dyDescent="0.25">
      <c r="A759" t="s">
        <v>8097</v>
      </c>
      <c r="B759" t="s">
        <v>4813</v>
      </c>
      <c r="C759" t="s">
        <v>8098</v>
      </c>
    </row>
    <row r="760" spans="1:3" hidden="1" x14ac:dyDescent="0.25">
      <c r="A760" t="s">
        <v>8099</v>
      </c>
      <c r="B760" t="s">
        <v>4529</v>
      </c>
      <c r="C760" t="s">
        <v>8100</v>
      </c>
    </row>
    <row r="761" spans="1:3" hidden="1" x14ac:dyDescent="0.25">
      <c r="A761" t="s">
        <v>8101</v>
      </c>
      <c r="B761" t="s">
        <v>1885</v>
      </c>
      <c r="C761" t="s">
        <v>8102</v>
      </c>
    </row>
    <row r="762" spans="1:3" hidden="1" x14ac:dyDescent="0.25">
      <c r="A762" t="s">
        <v>8103</v>
      </c>
      <c r="B762" t="s">
        <v>1281</v>
      </c>
      <c r="C762" t="s">
        <v>6958</v>
      </c>
    </row>
    <row r="763" spans="1:3" hidden="1" x14ac:dyDescent="0.25">
      <c r="A763" t="s">
        <v>8104</v>
      </c>
      <c r="B763" t="s">
        <v>2292</v>
      </c>
      <c r="C763" t="s">
        <v>8105</v>
      </c>
    </row>
    <row r="764" spans="1:3" hidden="1" x14ac:dyDescent="0.25">
      <c r="A764" t="s">
        <v>8106</v>
      </c>
      <c r="B764" t="s">
        <v>4224</v>
      </c>
      <c r="C764" t="s">
        <v>8107</v>
      </c>
    </row>
    <row r="765" spans="1:3" hidden="1" x14ac:dyDescent="0.25">
      <c r="A765" t="s">
        <v>8108</v>
      </c>
      <c r="B765" t="s">
        <v>5405</v>
      </c>
      <c r="C765" t="s">
        <v>8109</v>
      </c>
    </row>
    <row r="766" spans="1:3" hidden="1" x14ac:dyDescent="0.25">
      <c r="A766" t="s">
        <v>8110</v>
      </c>
      <c r="B766" t="s">
        <v>2042</v>
      </c>
      <c r="C766" t="s">
        <v>8111</v>
      </c>
    </row>
    <row r="767" spans="1:3" hidden="1" x14ac:dyDescent="0.25">
      <c r="A767" t="s">
        <v>8112</v>
      </c>
      <c r="B767" t="s">
        <v>1790</v>
      </c>
      <c r="C767" t="s">
        <v>8113</v>
      </c>
    </row>
    <row r="768" spans="1:3" hidden="1" x14ac:dyDescent="0.25">
      <c r="A768" t="s">
        <v>8114</v>
      </c>
      <c r="B768" t="s">
        <v>3177</v>
      </c>
      <c r="C768" t="s">
        <v>8115</v>
      </c>
    </row>
    <row r="769" spans="1:3" hidden="1" x14ac:dyDescent="0.25">
      <c r="A769" t="s">
        <v>8116</v>
      </c>
      <c r="B769" t="s">
        <v>4139</v>
      </c>
      <c r="C769" t="s">
        <v>8117</v>
      </c>
    </row>
    <row r="770" spans="1:3" hidden="1" x14ac:dyDescent="0.25">
      <c r="A770" t="s">
        <v>8118</v>
      </c>
      <c r="B770" t="s">
        <v>2411</v>
      </c>
      <c r="C770" t="s">
        <v>8119</v>
      </c>
    </row>
    <row r="771" spans="1:3" hidden="1" x14ac:dyDescent="0.25">
      <c r="A771" t="s">
        <v>8120</v>
      </c>
      <c r="B771" t="s">
        <v>1690</v>
      </c>
      <c r="C771" t="s">
        <v>6958</v>
      </c>
    </row>
    <row r="772" spans="1:3" hidden="1" x14ac:dyDescent="0.25">
      <c r="A772" t="s">
        <v>8121</v>
      </c>
      <c r="B772" t="s">
        <v>5473</v>
      </c>
      <c r="C772" t="s">
        <v>8122</v>
      </c>
    </row>
    <row r="773" spans="1:3" hidden="1" x14ac:dyDescent="0.25">
      <c r="A773" t="s">
        <v>8123</v>
      </c>
      <c r="B773" t="s">
        <v>4587</v>
      </c>
      <c r="C773" t="s">
        <v>6958</v>
      </c>
    </row>
    <row r="774" spans="1:3" hidden="1" x14ac:dyDescent="0.25">
      <c r="A774" t="s">
        <v>8124</v>
      </c>
      <c r="B774" t="s">
        <v>4267</v>
      </c>
      <c r="C774" t="s">
        <v>8125</v>
      </c>
    </row>
    <row r="775" spans="1:3" hidden="1" x14ac:dyDescent="0.25">
      <c r="A775" t="s">
        <v>8126</v>
      </c>
      <c r="B775" t="s">
        <v>3739</v>
      </c>
      <c r="C775" t="s">
        <v>8127</v>
      </c>
    </row>
    <row r="776" spans="1:3" hidden="1" x14ac:dyDescent="0.25">
      <c r="A776" t="s">
        <v>8128</v>
      </c>
      <c r="B776" t="s">
        <v>3353</v>
      </c>
      <c r="C776" t="s">
        <v>6958</v>
      </c>
    </row>
    <row r="777" spans="1:3" hidden="1" x14ac:dyDescent="0.25">
      <c r="A777" t="s">
        <v>8129</v>
      </c>
      <c r="B777" t="s">
        <v>1504</v>
      </c>
      <c r="C777" t="s">
        <v>6958</v>
      </c>
    </row>
    <row r="778" spans="1:3" hidden="1" x14ac:dyDescent="0.25">
      <c r="A778" t="s">
        <v>8130</v>
      </c>
      <c r="B778" t="s">
        <v>480</v>
      </c>
      <c r="C778" t="s">
        <v>7628</v>
      </c>
    </row>
    <row r="779" spans="1:3" hidden="1" x14ac:dyDescent="0.25">
      <c r="A779" t="s">
        <v>8131</v>
      </c>
      <c r="B779" t="s">
        <v>1309</v>
      </c>
      <c r="C779" t="s">
        <v>8132</v>
      </c>
    </row>
    <row r="780" spans="1:3" hidden="1" x14ac:dyDescent="0.25">
      <c r="A780" t="s">
        <v>8133</v>
      </c>
      <c r="B780" t="s">
        <v>506</v>
      </c>
      <c r="C780" t="s">
        <v>8134</v>
      </c>
    </row>
    <row r="781" spans="1:3" hidden="1" x14ac:dyDescent="0.25">
      <c r="A781" t="s">
        <v>8135</v>
      </c>
      <c r="B781" t="s">
        <v>2182</v>
      </c>
      <c r="C781" t="s">
        <v>6958</v>
      </c>
    </row>
    <row r="782" spans="1:3" hidden="1" x14ac:dyDescent="0.25">
      <c r="A782" t="s">
        <v>8136</v>
      </c>
      <c r="B782" t="s">
        <v>5005</v>
      </c>
      <c r="C782" t="s">
        <v>8137</v>
      </c>
    </row>
    <row r="783" spans="1:3" hidden="1" x14ac:dyDescent="0.25">
      <c r="A783" t="s">
        <v>8138</v>
      </c>
      <c r="B783" t="s">
        <v>4326</v>
      </c>
      <c r="C783" t="s">
        <v>8139</v>
      </c>
    </row>
    <row r="784" spans="1:3" hidden="1" x14ac:dyDescent="0.25">
      <c r="A784" t="s">
        <v>8140</v>
      </c>
      <c r="B784" t="s">
        <v>4416</v>
      </c>
      <c r="C784" t="s">
        <v>6958</v>
      </c>
    </row>
    <row r="785" spans="1:3" hidden="1" x14ac:dyDescent="0.25">
      <c r="A785" t="s">
        <v>8141</v>
      </c>
      <c r="B785" t="s">
        <v>5449</v>
      </c>
      <c r="C785" t="s">
        <v>8142</v>
      </c>
    </row>
    <row r="786" spans="1:3" hidden="1" x14ac:dyDescent="0.25">
      <c r="A786" t="s">
        <v>8143</v>
      </c>
      <c r="B786" t="s">
        <v>2837</v>
      </c>
      <c r="C786" t="s">
        <v>6958</v>
      </c>
    </row>
    <row r="787" spans="1:3" hidden="1" x14ac:dyDescent="0.25">
      <c r="A787" t="s">
        <v>8144</v>
      </c>
      <c r="B787" t="s">
        <v>1199</v>
      </c>
      <c r="C787" t="s">
        <v>6958</v>
      </c>
    </row>
    <row r="788" spans="1:3" hidden="1" x14ac:dyDescent="0.25">
      <c r="A788" t="s">
        <v>8145</v>
      </c>
      <c r="B788" t="s">
        <v>4843</v>
      </c>
      <c r="C788" t="s">
        <v>8146</v>
      </c>
    </row>
    <row r="789" spans="1:3" hidden="1" x14ac:dyDescent="0.25">
      <c r="A789" t="s">
        <v>8147</v>
      </c>
      <c r="B789" t="s">
        <v>2088</v>
      </c>
      <c r="C789" t="s">
        <v>6958</v>
      </c>
    </row>
    <row r="790" spans="1:3" hidden="1" x14ac:dyDescent="0.25">
      <c r="A790" t="s">
        <v>8148</v>
      </c>
      <c r="B790" t="s">
        <v>2047</v>
      </c>
      <c r="C790" t="s">
        <v>8149</v>
      </c>
    </row>
    <row r="791" spans="1:3" hidden="1" x14ac:dyDescent="0.25">
      <c r="A791" t="s">
        <v>8150</v>
      </c>
      <c r="B791" t="s">
        <v>1497</v>
      </c>
      <c r="C791" t="s">
        <v>8151</v>
      </c>
    </row>
    <row r="792" spans="1:3" hidden="1" x14ac:dyDescent="0.25">
      <c r="A792" t="s">
        <v>8152</v>
      </c>
      <c r="B792" t="s">
        <v>3844</v>
      </c>
      <c r="C792" t="s">
        <v>8153</v>
      </c>
    </row>
    <row r="793" spans="1:3" hidden="1" x14ac:dyDescent="0.25">
      <c r="A793" t="s">
        <v>8154</v>
      </c>
      <c r="B793" t="s">
        <v>5667</v>
      </c>
      <c r="C793" t="s">
        <v>6958</v>
      </c>
    </row>
    <row r="794" spans="1:3" hidden="1" x14ac:dyDescent="0.25">
      <c r="A794" t="s">
        <v>8155</v>
      </c>
      <c r="B794" t="s">
        <v>5607</v>
      </c>
      <c r="C794" t="s">
        <v>8156</v>
      </c>
    </row>
    <row r="795" spans="1:3" hidden="1" x14ac:dyDescent="0.25">
      <c r="A795" t="s">
        <v>8157</v>
      </c>
      <c r="B795" t="s">
        <v>4988</v>
      </c>
      <c r="C795" t="s">
        <v>8158</v>
      </c>
    </row>
    <row r="796" spans="1:3" hidden="1" x14ac:dyDescent="0.25">
      <c r="A796" t="s">
        <v>8159</v>
      </c>
      <c r="B796" t="s">
        <v>1998</v>
      </c>
      <c r="C796" t="s">
        <v>8160</v>
      </c>
    </row>
    <row r="797" spans="1:3" hidden="1" x14ac:dyDescent="0.25">
      <c r="A797" t="s">
        <v>8161</v>
      </c>
      <c r="B797" t="s">
        <v>5060</v>
      </c>
      <c r="C797" t="s">
        <v>8162</v>
      </c>
    </row>
    <row r="798" spans="1:3" hidden="1" x14ac:dyDescent="0.25">
      <c r="A798" t="s">
        <v>8163</v>
      </c>
      <c r="B798" t="s">
        <v>2932</v>
      </c>
      <c r="C798" t="s">
        <v>6958</v>
      </c>
    </row>
    <row r="799" spans="1:3" hidden="1" x14ac:dyDescent="0.25">
      <c r="A799" t="s">
        <v>8164</v>
      </c>
      <c r="B799" t="s">
        <v>5421</v>
      </c>
      <c r="C799" t="s">
        <v>6958</v>
      </c>
    </row>
    <row r="800" spans="1:3" hidden="1" x14ac:dyDescent="0.25">
      <c r="A800" t="s">
        <v>8165</v>
      </c>
      <c r="B800" t="s">
        <v>4732</v>
      </c>
      <c r="C800" t="s">
        <v>6958</v>
      </c>
    </row>
    <row r="801" spans="1:3" hidden="1" x14ac:dyDescent="0.25">
      <c r="A801" t="s">
        <v>8166</v>
      </c>
      <c r="B801" t="s">
        <v>1449</v>
      </c>
      <c r="C801" t="s">
        <v>8167</v>
      </c>
    </row>
    <row r="802" spans="1:3" hidden="1" x14ac:dyDescent="0.25">
      <c r="A802" t="s">
        <v>8168</v>
      </c>
      <c r="B802" t="s">
        <v>4544</v>
      </c>
      <c r="C802" t="s">
        <v>8169</v>
      </c>
    </row>
    <row r="803" spans="1:3" hidden="1" x14ac:dyDescent="0.25">
      <c r="A803" t="s">
        <v>8170</v>
      </c>
      <c r="B803" t="s">
        <v>1594</v>
      </c>
      <c r="C803" t="s">
        <v>8171</v>
      </c>
    </row>
    <row r="804" spans="1:3" hidden="1" x14ac:dyDescent="0.25">
      <c r="A804" t="s">
        <v>8172</v>
      </c>
      <c r="B804" t="s">
        <v>3686</v>
      </c>
      <c r="C804" t="s">
        <v>8173</v>
      </c>
    </row>
    <row r="805" spans="1:3" hidden="1" x14ac:dyDescent="0.25">
      <c r="A805" t="s">
        <v>8174</v>
      </c>
      <c r="B805" t="s">
        <v>3424</v>
      </c>
      <c r="C805" t="s">
        <v>8175</v>
      </c>
    </row>
    <row r="806" spans="1:3" hidden="1" x14ac:dyDescent="0.25">
      <c r="A806" t="s">
        <v>8176</v>
      </c>
      <c r="B806" t="s">
        <v>4227</v>
      </c>
      <c r="C806" t="s">
        <v>8177</v>
      </c>
    </row>
    <row r="807" spans="1:3" hidden="1" x14ac:dyDescent="0.25">
      <c r="A807" t="s">
        <v>8178</v>
      </c>
      <c r="B807" t="s">
        <v>3581</v>
      </c>
      <c r="C807" t="s">
        <v>8179</v>
      </c>
    </row>
    <row r="808" spans="1:3" hidden="1" x14ac:dyDescent="0.25">
      <c r="A808" t="s">
        <v>8180</v>
      </c>
      <c r="B808" t="s">
        <v>1755</v>
      </c>
      <c r="C808" t="s">
        <v>6958</v>
      </c>
    </row>
    <row r="809" spans="1:3" hidden="1" x14ac:dyDescent="0.25">
      <c r="A809" t="s">
        <v>8181</v>
      </c>
      <c r="B809" t="s">
        <v>2369</v>
      </c>
      <c r="C809" t="s">
        <v>8182</v>
      </c>
    </row>
    <row r="810" spans="1:3" hidden="1" x14ac:dyDescent="0.25">
      <c r="A810" t="s">
        <v>8183</v>
      </c>
      <c r="B810" t="s">
        <v>1137</v>
      </c>
      <c r="C810" t="s">
        <v>8184</v>
      </c>
    </row>
    <row r="811" spans="1:3" hidden="1" x14ac:dyDescent="0.25">
      <c r="A811" t="s">
        <v>8185</v>
      </c>
      <c r="B811" t="s">
        <v>4505</v>
      </c>
      <c r="C811" t="s">
        <v>8186</v>
      </c>
    </row>
    <row r="812" spans="1:3" hidden="1" x14ac:dyDescent="0.25">
      <c r="A812" t="s">
        <v>8187</v>
      </c>
      <c r="B812" t="s">
        <v>2408</v>
      </c>
      <c r="C812" t="s">
        <v>8188</v>
      </c>
    </row>
    <row r="813" spans="1:3" hidden="1" x14ac:dyDescent="0.25">
      <c r="A813" t="s">
        <v>8189</v>
      </c>
      <c r="B813" t="s">
        <v>2898</v>
      </c>
      <c r="C813" t="s">
        <v>8190</v>
      </c>
    </row>
    <row r="814" spans="1:3" hidden="1" x14ac:dyDescent="0.25">
      <c r="A814" t="s">
        <v>8191</v>
      </c>
      <c r="B814" t="s">
        <v>5389</v>
      </c>
      <c r="C814" t="s">
        <v>8192</v>
      </c>
    </row>
    <row r="815" spans="1:3" hidden="1" x14ac:dyDescent="0.25">
      <c r="A815" t="s">
        <v>8193</v>
      </c>
      <c r="B815" t="s">
        <v>5154</v>
      </c>
      <c r="C815" t="s">
        <v>8194</v>
      </c>
    </row>
    <row r="816" spans="1:3" hidden="1" x14ac:dyDescent="0.25">
      <c r="A816" t="s">
        <v>8195</v>
      </c>
      <c r="B816" t="s">
        <v>1133</v>
      </c>
      <c r="C816" t="s">
        <v>8196</v>
      </c>
    </row>
    <row r="817" spans="1:3" hidden="1" x14ac:dyDescent="0.25">
      <c r="A817" t="s">
        <v>8197</v>
      </c>
      <c r="B817" t="s">
        <v>4933</v>
      </c>
      <c r="C817" t="s">
        <v>8198</v>
      </c>
    </row>
    <row r="818" spans="1:3" hidden="1" x14ac:dyDescent="0.25">
      <c r="A818" t="s">
        <v>8199</v>
      </c>
      <c r="B818" t="s">
        <v>4399</v>
      </c>
      <c r="C818" t="s">
        <v>6958</v>
      </c>
    </row>
    <row r="819" spans="1:3" hidden="1" x14ac:dyDescent="0.25">
      <c r="A819" t="s">
        <v>8200</v>
      </c>
      <c r="B819" t="s">
        <v>4981</v>
      </c>
      <c r="C819" t="s">
        <v>8201</v>
      </c>
    </row>
    <row r="820" spans="1:3" hidden="1" x14ac:dyDescent="0.25">
      <c r="A820" t="s">
        <v>8202</v>
      </c>
      <c r="B820" t="s">
        <v>1572</v>
      </c>
      <c r="C820" t="s">
        <v>8203</v>
      </c>
    </row>
    <row r="821" spans="1:3" hidden="1" x14ac:dyDescent="0.25">
      <c r="A821" t="s">
        <v>8204</v>
      </c>
      <c r="B821" t="s">
        <v>5342</v>
      </c>
      <c r="C821" t="s">
        <v>8205</v>
      </c>
    </row>
    <row r="822" spans="1:3" hidden="1" x14ac:dyDescent="0.25">
      <c r="A822" t="s">
        <v>8206</v>
      </c>
      <c r="B822" t="s">
        <v>3846</v>
      </c>
      <c r="C822" t="s">
        <v>8207</v>
      </c>
    </row>
    <row r="823" spans="1:3" hidden="1" x14ac:dyDescent="0.25">
      <c r="A823" t="s">
        <v>8208</v>
      </c>
      <c r="B823" t="s">
        <v>2329</v>
      </c>
      <c r="C823" t="s">
        <v>6958</v>
      </c>
    </row>
    <row r="824" spans="1:3" hidden="1" x14ac:dyDescent="0.25">
      <c r="A824" t="s">
        <v>8209</v>
      </c>
      <c r="B824" t="s">
        <v>3481</v>
      </c>
      <c r="C824" t="s">
        <v>8210</v>
      </c>
    </row>
    <row r="825" spans="1:3" hidden="1" x14ac:dyDescent="0.25">
      <c r="A825" t="s">
        <v>8211</v>
      </c>
      <c r="B825" t="s">
        <v>5163</v>
      </c>
      <c r="C825" t="s">
        <v>6958</v>
      </c>
    </row>
    <row r="826" spans="1:3" hidden="1" x14ac:dyDescent="0.25">
      <c r="A826" t="s">
        <v>8212</v>
      </c>
      <c r="B826" t="s">
        <v>4369</v>
      </c>
      <c r="C826" t="s">
        <v>8213</v>
      </c>
    </row>
    <row r="827" spans="1:3" hidden="1" x14ac:dyDescent="0.25">
      <c r="A827" t="s">
        <v>8214</v>
      </c>
      <c r="B827" t="s">
        <v>1944</v>
      </c>
      <c r="C827" t="s">
        <v>8215</v>
      </c>
    </row>
    <row r="828" spans="1:3" hidden="1" x14ac:dyDescent="0.25">
      <c r="A828" t="s">
        <v>8216</v>
      </c>
      <c r="B828" t="s">
        <v>302</v>
      </c>
      <c r="C828" t="s">
        <v>8217</v>
      </c>
    </row>
    <row r="829" spans="1:3" hidden="1" x14ac:dyDescent="0.25">
      <c r="A829" t="s">
        <v>8218</v>
      </c>
      <c r="B829" t="s">
        <v>1788</v>
      </c>
      <c r="C829" t="s">
        <v>8219</v>
      </c>
    </row>
    <row r="830" spans="1:3" hidden="1" x14ac:dyDescent="0.25">
      <c r="A830" t="s">
        <v>8220</v>
      </c>
      <c r="B830" t="s">
        <v>2404</v>
      </c>
      <c r="C830" t="s">
        <v>7036</v>
      </c>
    </row>
    <row r="831" spans="1:3" hidden="1" x14ac:dyDescent="0.25">
      <c r="A831" t="s">
        <v>8221</v>
      </c>
      <c r="B831" t="s">
        <v>3036</v>
      </c>
      <c r="C831" t="s">
        <v>6958</v>
      </c>
    </row>
    <row r="832" spans="1:3" hidden="1" x14ac:dyDescent="0.25">
      <c r="A832" t="s">
        <v>8222</v>
      </c>
      <c r="B832" t="s">
        <v>4796</v>
      </c>
      <c r="C832" t="s">
        <v>6958</v>
      </c>
    </row>
    <row r="833" spans="1:3" hidden="1" x14ac:dyDescent="0.25">
      <c r="A833" t="s">
        <v>8223</v>
      </c>
      <c r="B833" t="s">
        <v>2259</v>
      </c>
      <c r="C833" t="s">
        <v>8224</v>
      </c>
    </row>
    <row r="834" spans="1:3" hidden="1" x14ac:dyDescent="0.25">
      <c r="A834" t="s">
        <v>8225</v>
      </c>
      <c r="B834" t="s">
        <v>3483</v>
      </c>
      <c r="C834" t="s">
        <v>8226</v>
      </c>
    </row>
    <row r="835" spans="1:3" hidden="1" x14ac:dyDescent="0.25">
      <c r="A835" t="s">
        <v>8227</v>
      </c>
      <c r="B835" t="s">
        <v>2211</v>
      </c>
      <c r="C835" t="s">
        <v>8228</v>
      </c>
    </row>
    <row r="836" spans="1:3" hidden="1" x14ac:dyDescent="0.25">
      <c r="A836" t="s">
        <v>8229</v>
      </c>
      <c r="B836" t="s">
        <v>313</v>
      </c>
      <c r="C836" t="s">
        <v>8230</v>
      </c>
    </row>
    <row r="837" spans="1:3" hidden="1" x14ac:dyDescent="0.25">
      <c r="A837" t="s">
        <v>8231</v>
      </c>
      <c r="B837" t="s">
        <v>5609</v>
      </c>
      <c r="C837" t="s">
        <v>8232</v>
      </c>
    </row>
    <row r="838" spans="1:3" hidden="1" x14ac:dyDescent="0.25">
      <c r="A838" t="s">
        <v>8233</v>
      </c>
      <c r="B838" t="s">
        <v>3508</v>
      </c>
      <c r="C838" t="s">
        <v>8234</v>
      </c>
    </row>
    <row r="839" spans="1:3" hidden="1" x14ac:dyDescent="0.25">
      <c r="A839" t="s">
        <v>8235</v>
      </c>
      <c r="B839" t="s">
        <v>1585</v>
      </c>
      <c r="C839" t="s">
        <v>6958</v>
      </c>
    </row>
    <row r="840" spans="1:3" hidden="1" x14ac:dyDescent="0.25">
      <c r="A840" t="s">
        <v>8236</v>
      </c>
      <c r="B840" t="s">
        <v>4463</v>
      </c>
      <c r="C840" t="s">
        <v>6958</v>
      </c>
    </row>
    <row r="841" spans="1:3" hidden="1" x14ac:dyDescent="0.25">
      <c r="A841" t="s">
        <v>8237</v>
      </c>
      <c r="B841" t="s">
        <v>5188</v>
      </c>
      <c r="C841" t="s">
        <v>8238</v>
      </c>
    </row>
    <row r="842" spans="1:3" hidden="1" x14ac:dyDescent="0.25">
      <c r="A842" t="s">
        <v>8239</v>
      </c>
      <c r="B842" t="s">
        <v>1286</v>
      </c>
      <c r="C842" t="s">
        <v>7036</v>
      </c>
    </row>
    <row r="843" spans="1:3" hidden="1" x14ac:dyDescent="0.25">
      <c r="A843" t="s">
        <v>8240</v>
      </c>
      <c r="B843" t="s">
        <v>3609</v>
      </c>
      <c r="C843" t="s">
        <v>8241</v>
      </c>
    </row>
    <row r="844" spans="1:3" hidden="1" x14ac:dyDescent="0.25">
      <c r="A844" t="s">
        <v>8242</v>
      </c>
      <c r="B844" t="s">
        <v>3100</v>
      </c>
      <c r="C844" t="s">
        <v>8243</v>
      </c>
    </row>
    <row r="845" spans="1:3" hidden="1" x14ac:dyDescent="0.25">
      <c r="A845" t="s">
        <v>8244</v>
      </c>
      <c r="B845" t="s">
        <v>545</v>
      </c>
      <c r="C845" t="s">
        <v>8245</v>
      </c>
    </row>
    <row r="846" spans="1:3" hidden="1" x14ac:dyDescent="0.25">
      <c r="A846" t="s">
        <v>8246</v>
      </c>
      <c r="B846" t="s">
        <v>4897</v>
      </c>
      <c r="C846" t="s">
        <v>8247</v>
      </c>
    </row>
    <row r="847" spans="1:3" hidden="1" x14ac:dyDescent="0.25">
      <c r="A847" t="s">
        <v>8248</v>
      </c>
      <c r="B847" t="s">
        <v>182</v>
      </c>
      <c r="C847" t="s">
        <v>8249</v>
      </c>
    </row>
    <row r="848" spans="1:3" hidden="1" x14ac:dyDescent="0.25">
      <c r="A848" t="s">
        <v>8250</v>
      </c>
      <c r="B848" t="s">
        <v>5527</v>
      </c>
      <c r="C848" t="s">
        <v>8251</v>
      </c>
    </row>
    <row r="849" spans="1:3" hidden="1" x14ac:dyDescent="0.25">
      <c r="A849" t="s">
        <v>8252</v>
      </c>
      <c r="B849" t="s">
        <v>578</v>
      </c>
      <c r="C849" t="s">
        <v>6958</v>
      </c>
    </row>
    <row r="850" spans="1:3" hidden="1" x14ac:dyDescent="0.25">
      <c r="A850" t="s">
        <v>8253</v>
      </c>
      <c r="B850" t="s">
        <v>1489</v>
      </c>
      <c r="C850" t="s">
        <v>8254</v>
      </c>
    </row>
    <row r="851" spans="1:3" hidden="1" x14ac:dyDescent="0.25">
      <c r="A851" t="s">
        <v>8255</v>
      </c>
      <c r="B851" t="s">
        <v>8256</v>
      </c>
      <c r="C851" t="s">
        <v>6958</v>
      </c>
    </row>
    <row r="852" spans="1:3" hidden="1" x14ac:dyDescent="0.25">
      <c r="A852" t="s">
        <v>8257</v>
      </c>
      <c r="B852" t="s">
        <v>3323</v>
      </c>
      <c r="C852" t="s">
        <v>8258</v>
      </c>
    </row>
    <row r="853" spans="1:3" hidden="1" x14ac:dyDescent="0.25">
      <c r="A853" t="s">
        <v>8259</v>
      </c>
      <c r="B853" t="s">
        <v>2425</v>
      </c>
      <c r="C853" t="s">
        <v>8260</v>
      </c>
    </row>
    <row r="854" spans="1:3" hidden="1" x14ac:dyDescent="0.25">
      <c r="A854" t="s">
        <v>8261</v>
      </c>
      <c r="B854" t="s">
        <v>8262</v>
      </c>
      <c r="C854" t="s">
        <v>6958</v>
      </c>
    </row>
    <row r="855" spans="1:3" hidden="1" x14ac:dyDescent="0.25">
      <c r="A855" t="s">
        <v>8263</v>
      </c>
      <c r="B855" t="s">
        <v>4209</v>
      </c>
      <c r="C855" t="s">
        <v>6958</v>
      </c>
    </row>
    <row r="856" spans="1:3" hidden="1" x14ac:dyDescent="0.25">
      <c r="A856" t="s">
        <v>8264</v>
      </c>
      <c r="B856" t="s">
        <v>3690</v>
      </c>
      <c r="C856" t="s">
        <v>6958</v>
      </c>
    </row>
    <row r="857" spans="1:3" hidden="1" x14ac:dyDescent="0.25">
      <c r="A857" t="s">
        <v>8265</v>
      </c>
      <c r="B857" t="s">
        <v>5581</v>
      </c>
      <c r="C857" t="s">
        <v>6958</v>
      </c>
    </row>
    <row r="858" spans="1:3" hidden="1" x14ac:dyDescent="0.25">
      <c r="A858" t="s">
        <v>8266</v>
      </c>
      <c r="B858" t="s">
        <v>4688</v>
      </c>
      <c r="C858" t="s">
        <v>8267</v>
      </c>
    </row>
    <row r="859" spans="1:3" hidden="1" x14ac:dyDescent="0.25">
      <c r="A859" t="s">
        <v>8268</v>
      </c>
      <c r="B859" t="s">
        <v>4861</v>
      </c>
      <c r="C859" t="s">
        <v>8269</v>
      </c>
    </row>
    <row r="860" spans="1:3" hidden="1" x14ac:dyDescent="0.25">
      <c r="A860" t="s">
        <v>8270</v>
      </c>
      <c r="B860" t="s">
        <v>4226</v>
      </c>
      <c r="C860" t="s">
        <v>8271</v>
      </c>
    </row>
    <row r="861" spans="1:3" hidden="1" x14ac:dyDescent="0.25">
      <c r="A861" t="s">
        <v>8272</v>
      </c>
      <c r="B861" t="s">
        <v>4965</v>
      </c>
      <c r="C861" t="s">
        <v>8273</v>
      </c>
    </row>
    <row r="862" spans="1:3" hidden="1" x14ac:dyDescent="0.25">
      <c r="A862" t="s">
        <v>8274</v>
      </c>
      <c r="B862" t="s">
        <v>635</v>
      </c>
      <c r="C862" t="s">
        <v>8275</v>
      </c>
    </row>
    <row r="863" spans="1:3" hidden="1" x14ac:dyDescent="0.25">
      <c r="A863" t="s">
        <v>8276</v>
      </c>
      <c r="B863" t="s">
        <v>3954</v>
      </c>
      <c r="C863" t="s">
        <v>6958</v>
      </c>
    </row>
    <row r="864" spans="1:3" hidden="1" x14ac:dyDescent="0.25">
      <c r="A864" t="s">
        <v>8277</v>
      </c>
      <c r="B864" t="s">
        <v>2133</v>
      </c>
      <c r="C864" t="s">
        <v>7669</v>
      </c>
    </row>
    <row r="865" spans="1:3" hidden="1" x14ac:dyDescent="0.25">
      <c r="A865" t="s">
        <v>8278</v>
      </c>
      <c r="B865" t="s">
        <v>3448</v>
      </c>
      <c r="C865" t="s">
        <v>8279</v>
      </c>
    </row>
    <row r="866" spans="1:3" hidden="1" x14ac:dyDescent="0.25">
      <c r="A866" t="s">
        <v>8280</v>
      </c>
      <c r="B866" t="s">
        <v>4810</v>
      </c>
      <c r="C866" t="s">
        <v>8281</v>
      </c>
    </row>
    <row r="867" spans="1:3" hidden="1" x14ac:dyDescent="0.25">
      <c r="A867" t="s">
        <v>8282</v>
      </c>
      <c r="B867" t="s">
        <v>2854</v>
      </c>
      <c r="C867" t="s">
        <v>8283</v>
      </c>
    </row>
    <row r="868" spans="1:3" hidden="1" x14ac:dyDescent="0.25">
      <c r="A868" t="s">
        <v>8284</v>
      </c>
      <c r="B868" t="s">
        <v>5138</v>
      </c>
      <c r="C868" t="s">
        <v>8285</v>
      </c>
    </row>
    <row r="869" spans="1:3" hidden="1" x14ac:dyDescent="0.25">
      <c r="A869" t="s">
        <v>8286</v>
      </c>
      <c r="B869" t="s">
        <v>4325</v>
      </c>
      <c r="C869" t="s">
        <v>6958</v>
      </c>
    </row>
    <row r="870" spans="1:3" hidden="1" x14ac:dyDescent="0.25">
      <c r="A870" t="s">
        <v>8287</v>
      </c>
      <c r="B870" t="s">
        <v>1798</v>
      </c>
      <c r="C870" t="s">
        <v>8288</v>
      </c>
    </row>
    <row r="871" spans="1:3" hidden="1" x14ac:dyDescent="0.25">
      <c r="A871" t="s">
        <v>8289</v>
      </c>
      <c r="B871" t="s">
        <v>4406</v>
      </c>
      <c r="C871" t="s">
        <v>8290</v>
      </c>
    </row>
    <row r="872" spans="1:3" hidden="1" x14ac:dyDescent="0.25">
      <c r="A872" t="s">
        <v>8291</v>
      </c>
      <c r="B872" t="s">
        <v>3821</v>
      </c>
      <c r="C872" t="s">
        <v>8292</v>
      </c>
    </row>
    <row r="873" spans="1:3" hidden="1" x14ac:dyDescent="0.25">
      <c r="A873" t="s">
        <v>8293</v>
      </c>
      <c r="B873" t="s">
        <v>965</v>
      </c>
      <c r="C873" t="s">
        <v>8294</v>
      </c>
    </row>
    <row r="874" spans="1:3" hidden="1" x14ac:dyDescent="0.25">
      <c r="A874" t="s">
        <v>8295</v>
      </c>
      <c r="B874" t="s">
        <v>1791</v>
      </c>
      <c r="C874" t="s">
        <v>6958</v>
      </c>
    </row>
    <row r="875" spans="1:3" hidden="1" x14ac:dyDescent="0.25">
      <c r="A875" t="s">
        <v>8296</v>
      </c>
      <c r="B875" t="s">
        <v>179</v>
      </c>
      <c r="C875" t="s">
        <v>8297</v>
      </c>
    </row>
    <row r="876" spans="1:3" hidden="1" x14ac:dyDescent="0.25">
      <c r="A876" t="s">
        <v>8298</v>
      </c>
      <c r="B876" t="s">
        <v>1746</v>
      </c>
      <c r="C876" t="s">
        <v>8299</v>
      </c>
    </row>
    <row r="877" spans="1:3" hidden="1" x14ac:dyDescent="0.25">
      <c r="A877" t="s">
        <v>8300</v>
      </c>
      <c r="B877" t="s">
        <v>2437</v>
      </c>
      <c r="C877" t="s">
        <v>8301</v>
      </c>
    </row>
    <row r="878" spans="1:3" hidden="1" x14ac:dyDescent="0.25">
      <c r="A878" t="s">
        <v>8302</v>
      </c>
      <c r="B878" t="s">
        <v>4572</v>
      </c>
      <c r="C878" t="s">
        <v>6958</v>
      </c>
    </row>
    <row r="879" spans="1:3" hidden="1" x14ac:dyDescent="0.25">
      <c r="A879" t="s">
        <v>8303</v>
      </c>
      <c r="B879" t="s">
        <v>3819</v>
      </c>
      <c r="C879" t="s">
        <v>8304</v>
      </c>
    </row>
    <row r="880" spans="1:3" hidden="1" x14ac:dyDescent="0.25">
      <c r="A880" t="s">
        <v>8305</v>
      </c>
      <c r="B880" t="s">
        <v>3527</v>
      </c>
      <c r="C880" t="s">
        <v>8306</v>
      </c>
    </row>
    <row r="881" spans="1:3" hidden="1" x14ac:dyDescent="0.25">
      <c r="A881" t="s">
        <v>8307</v>
      </c>
      <c r="B881" t="s">
        <v>5040</v>
      </c>
      <c r="C881" t="s">
        <v>8308</v>
      </c>
    </row>
    <row r="882" spans="1:3" hidden="1" x14ac:dyDescent="0.25">
      <c r="A882" t="s">
        <v>8309</v>
      </c>
      <c r="B882" t="s">
        <v>5123</v>
      </c>
      <c r="C882" t="s">
        <v>8310</v>
      </c>
    </row>
    <row r="883" spans="1:3" hidden="1" x14ac:dyDescent="0.25">
      <c r="A883" t="s">
        <v>8311</v>
      </c>
      <c r="B883" t="s">
        <v>5287</v>
      </c>
      <c r="C883" t="s">
        <v>6958</v>
      </c>
    </row>
    <row r="884" spans="1:3" hidden="1" x14ac:dyDescent="0.25">
      <c r="A884" t="s">
        <v>8312</v>
      </c>
      <c r="B884" t="s">
        <v>5387</v>
      </c>
      <c r="C884" t="s">
        <v>6958</v>
      </c>
    </row>
    <row r="885" spans="1:3" hidden="1" x14ac:dyDescent="0.25">
      <c r="A885" t="s">
        <v>8313</v>
      </c>
      <c r="B885" t="s">
        <v>5606</v>
      </c>
      <c r="C885" t="s">
        <v>6958</v>
      </c>
    </row>
    <row r="886" spans="1:3" hidden="1" x14ac:dyDescent="0.25">
      <c r="A886" t="s">
        <v>8314</v>
      </c>
      <c r="B886" t="s">
        <v>1342</v>
      </c>
      <c r="C886" t="s">
        <v>8315</v>
      </c>
    </row>
    <row r="887" spans="1:3" hidden="1" x14ac:dyDescent="0.25">
      <c r="A887" t="s">
        <v>8316</v>
      </c>
      <c r="B887" t="s">
        <v>4382</v>
      </c>
      <c r="C887" t="s">
        <v>8317</v>
      </c>
    </row>
    <row r="888" spans="1:3" hidden="1" x14ac:dyDescent="0.25">
      <c r="A888" t="s">
        <v>8318</v>
      </c>
      <c r="B888" t="s">
        <v>3566</v>
      </c>
      <c r="C888" t="s">
        <v>8319</v>
      </c>
    </row>
    <row r="889" spans="1:3" hidden="1" x14ac:dyDescent="0.25">
      <c r="A889" t="s">
        <v>8320</v>
      </c>
      <c r="B889" t="s">
        <v>1830</v>
      </c>
      <c r="C889" t="s">
        <v>8321</v>
      </c>
    </row>
    <row r="890" spans="1:3" hidden="1" x14ac:dyDescent="0.25">
      <c r="A890" t="s">
        <v>8322</v>
      </c>
      <c r="B890" t="s">
        <v>1104</v>
      </c>
      <c r="C890" t="s">
        <v>8323</v>
      </c>
    </row>
    <row r="891" spans="1:3" hidden="1" x14ac:dyDescent="0.25">
      <c r="A891" t="s">
        <v>8324</v>
      </c>
      <c r="B891" t="s">
        <v>1098</v>
      </c>
      <c r="C891" t="s">
        <v>8325</v>
      </c>
    </row>
    <row r="892" spans="1:3" hidden="1" x14ac:dyDescent="0.25">
      <c r="A892" t="s">
        <v>8326</v>
      </c>
      <c r="B892" t="s">
        <v>4582</v>
      </c>
      <c r="C892" t="s">
        <v>8327</v>
      </c>
    </row>
    <row r="893" spans="1:3" hidden="1" x14ac:dyDescent="0.25">
      <c r="A893" t="s">
        <v>8328</v>
      </c>
      <c r="B893" t="s">
        <v>585</v>
      </c>
      <c r="C893" t="s">
        <v>8329</v>
      </c>
    </row>
    <row r="894" spans="1:3" hidden="1" x14ac:dyDescent="0.25">
      <c r="A894" t="s">
        <v>8330</v>
      </c>
      <c r="B894" t="s">
        <v>112</v>
      </c>
      <c r="C894" t="s">
        <v>8331</v>
      </c>
    </row>
    <row r="895" spans="1:3" hidden="1" x14ac:dyDescent="0.25">
      <c r="A895" t="s">
        <v>8332</v>
      </c>
      <c r="B895" t="s">
        <v>5289</v>
      </c>
      <c r="C895" t="s">
        <v>6958</v>
      </c>
    </row>
    <row r="896" spans="1:3" hidden="1" x14ac:dyDescent="0.25">
      <c r="A896" t="s">
        <v>8333</v>
      </c>
      <c r="B896" t="s">
        <v>1112</v>
      </c>
      <c r="C896" t="s">
        <v>8334</v>
      </c>
    </row>
    <row r="897" spans="1:3" hidden="1" x14ac:dyDescent="0.25">
      <c r="A897" t="s">
        <v>8335</v>
      </c>
      <c r="B897" t="s">
        <v>2922</v>
      </c>
      <c r="C897" t="s">
        <v>8336</v>
      </c>
    </row>
    <row r="898" spans="1:3" hidden="1" x14ac:dyDescent="0.25">
      <c r="A898" t="s">
        <v>8337</v>
      </c>
      <c r="B898" t="s">
        <v>2570</v>
      </c>
      <c r="C898" t="s">
        <v>8338</v>
      </c>
    </row>
    <row r="899" spans="1:3" hidden="1" x14ac:dyDescent="0.25">
      <c r="A899" t="s">
        <v>8339</v>
      </c>
      <c r="B899" t="s">
        <v>3837</v>
      </c>
      <c r="C899" t="s">
        <v>8340</v>
      </c>
    </row>
    <row r="900" spans="1:3" hidden="1" x14ac:dyDescent="0.25">
      <c r="A900" t="s">
        <v>8341</v>
      </c>
      <c r="B900" t="s">
        <v>5331</v>
      </c>
      <c r="C900" t="s">
        <v>8342</v>
      </c>
    </row>
    <row r="901" spans="1:3" hidden="1" x14ac:dyDescent="0.25">
      <c r="A901" t="s">
        <v>8343</v>
      </c>
      <c r="B901" t="s">
        <v>4848</v>
      </c>
      <c r="C901" t="s">
        <v>6958</v>
      </c>
    </row>
    <row r="902" spans="1:3" hidden="1" x14ac:dyDescent="0.25">
      <c r="A902" t="s">
        <v>8344</v>
      </c>
      <c r="B902" t="s">
        <v>2661</v>
      </c>
      <c r="C902" t="s">
        <v>8345</v>
      </c>
    </row>
    <row r="903" spans="1:3" hidden="1" x14ac:dyDescent="0.25">
      <c r="A903" t="s">
        <v>8346</v>
      </c>
      <c r="B903" t="s">
        <v>3385</v>
      </c>
      <c r="C903" t="s">
        <v>8347</v>
      </c>
    </row>
    <row r="904" spans="1:3" hidden="1" x14ac:dyDescent="0.25">
      <c r="A904" t="s">
        <v>8348</v>
      </c>
      <c r="B904" t="s">
        <v>5020</v>
      </c>
      <c r="C904" t="s">
        <v>6958</v>
      </c>
    </row>
    <row r="905" spans="1:3" hidden="1" x14ac:dyDescent="0.25">
      <c r="A905" t="s">
        <v>8349</v>
      </c>
      <c r="B905" t="s">
        <v>3600</v>
      </c>
      <c r="C905" t="s">
        <v>8350</v>
      </c>
    </row>
    <row r="906" spans="1:3" hidden="1" x14ac:dyDescent="0.25">
      <c r="A906" t="s">
        <v>8351</v>
      </c>
      <c r="B906" t="s">
        <v>1902</v>
      </c>
      <c r="C906" t="s">
        <v>6958</v>
      </c>
    </row>
    <row r="907" spans="1:3" hidden="1" x14ac:dyDescent="0.25">
      <c r="A907" t="s">
        <v>8352</v>
      </c>
      <c r="B907" t="s">
        <v>3645</v>
      </c>
      <c r="C907" t="s">
        <v>8353</v>
      </c>
    </row>
    <row r="908" spans="1:3" hidden="1" x14ac:dyDescent="0.25">
      <c r="A908" t="s">
        <v>8354</v>
      </c>
      <c r="B908" t="s">
        <v>5225</v>
      </c>
      <c r="C908" t="s">
        <v>8355</v>
      </c>
    </row>
    <row r="909" spans="1:3" hidden="1" x14ac:dyDescent="0.25">
      <c r="A909" t="s">
        <v>8356</v>
      </c>
      <c r="B909" t="s">
        <v>5095</v>
      </c>
      <c r="C909" t="s">
        <v>8357</v>
      </c>
    </row>
    <row r="910" spans="1:3" hidden="1" x14ac:dyDescent="0.25">
      <c r="A910" t="s">
        <v>8358</v>
      </c>
      <c r="B910" t="s">
        <v>5462</v>
      </c>
      <c r="C910" t="s">
        <v>8359</v>
      </c>
    </row>
    <row r="911" spans="1:3" hidden="1" x14ac:dyDescent="0.25">
      <c r="A911" t="s">
        <v>8360</v>
      </c>
      <c r="B911" t="s">
        <v>4706</v>
      </c>
      <c r="C911" t="s">
        <v>8361</v>
      </c>
    </row>
    <row r="912" spans="1:3" hidden="1" x14ac:dyDescent="0.25">
      <c r="A912" t="s">
        <v>8362</v>
      </c>
      <c r="B912" t="s">
        <v>3693</v>
      </c>
      <c r="C912" t="s">
        <v>8363</v>
      </c>
    </row>
    <row r="913" spans="1:3" hidden="1" x14ac:dyDescent="0.25">
      <c r="A913" t="s">
        <v>8364</v>
      </c>
      <c r="B913" t="s">
        <v>8365</v>
      </c>
      <c r="C913" t="s">
        <v>6958</v>
      </c>
    </row>
    <row r="914" spans="1:3" hidden="1" x14ac:dyDescent="0.25">
      <c r="A914" t="s">
        <v>8366</v>
      </c>
      <c r="B914" t="s">
        <v>2063</v>
      </c>
      <c r="C914" t="s">
        <v>6958</v>
      </c>
    </row>
    <row r="915" spans="1:3" hidden="1" x14ac:dyDescent="0.25">
      <c r="A915" t="s">
        <v>8367</v>
      </c>
      <c r="B915" t="s">
        <v>5167</v>
      </c>
      <c r="C915" t="s">
        <v>6958</v>
      </c>
    </row>
    <row r="916" spans="1:3" hidden="1" x14ac:dyDescent="0.25">
      <c r="A916" t="s">
        <v>8368</v>
      </c>
      <c r="B916" t="s">
        <v>5640</v>
      </c>
      <c r="C916" t="s">
        <v>8369</v>
      </c>
    </row>
    <row r="917" spans="1:3" hidden="1" x14ac:dyDescent="0.25">
      <c r="A917" t="s">
        <v>8370</v>
      </c>
      <c r="B917" t="s">
        <v>4761</v>
      </c>
      <c r="C917" t="s">
        <v>8371</v>
      </c>
    </row>
    <row r="918" spans="1:3" hidden="1" x14ac:dyDescent="0.25">
      <c r="A918" t="s">
        <v>8372</v>
      </c>
      <c r="B918" t="s">
        <v>274</v>
      </c>
      <c r="C918" t="s">
        <v>8373</v>
      </c>
    </row>
    <row r="919" spans="1:3" hidden="1" x14ac:dyDescent="0.25">
      <c r="A919" t="s">
        <v>8374</v>
      </c>
      <c r="B919" t="s">
        <v>1663</v>
      </c>
      <c r="C919" t="s">
        <v>8375</v>
      </c>
    </row>
    <row r="920" spans="1:3" hidden="1" x14ac:dyDescent="0.25">
      <c r="A920" t="s">
        <v>8376</v>
      </c>
      <c r="B920" t="s">
        <v>2020</v>
      </c>
      <c r="C920" t="s">
        <v>8377</v>
      </c>
    </row>
    <row r="921" spans="1:3" hidden="1" x14ac:dyDescent="0.25">
      <c r="A921" t="s">
        <v>8378</v>
      </c>
      <c r="B921" t="s">
        <v>2417</v>
      </c>
      <c r="C921" t="s">
        <v>8379</v>
      </c>
    </row>
    <row r="922" spans="1:3" hidden="1" x14ac:dyDescent="0.25">
      <c r="A922" t="s">
        <v>8380</v>
      </c>
      <c r="B922" t="s">
        <v>2746</v>
      </c>
      <c r="C922" t="s">
        <v>6958</v>
      </c>
    </row>
    <row r="923" spans="1:3" hidden="1" x14ac:dyDescent="0.25">
      <c r="A923" t="s">
        <v>8381</v>
      </c>
      <c r="B923" t="s">
        <v>3085</v>
      </c>
      <c r="C923" t="s">
        <v>6958</v>
      </c>
    </row>
    <row r="924" spans="1:3" hidden="1" x14ac:dyDescent="0.25">
      <c r="A924" t="s">
        <v>8382</v>
      </c>
      <c r="B924" t="s">
        <v>759</v>
      </c>
      <c r="C924" t="s">
        <v>8383</v>
      </c>
    </row>
    <row r="925" spans="1:3" hidden="1" x14ac:dyDescent="0.25">
      <c r="A925" t="s">
        <v>8384</v>
      </c>
      <c r="B925" t="s">
        <v>4428</v>
      </c>
      <c r="C925" t="s">
        <v>8385</v>
      </c>
    </row>
    <row r="926" spans="1:3" hidden="1" x14ac:dyDescent="0.25">
      <c r="A926" t="s">
        <v>8386</v>
      </c>
      <c r="B926" t="s">
        <v>4924</v>
      </c>
      <c r="C926" t="s">
        <v>6958</v>
      </c>
    </row>
    <row r="927" spans="1:3" hidden="1" x14ac:dyDescent="0.25">
      <c r="A927" t="s">
        <v>8387</v>
      </c>
      <c r="B927" t="s">
        <v>4162</v>
      </c>
      <c r="C927" t="s">
        <v>6958</v>
      </c>
    </row>
    <row r="928" spans="1:3" hidden="1" x14ac:dyDescent="0.25">
      <c r="A928" t="s">
        <v>8388</v>
      </c>
      <c r="B928" t="s">
        <v>2729</v>
      </c>
      <c r="C928" t="s">
        <v>8389</v>
      </c>
    </row>
    <row r="929" spans="1:3" hidden="1" x14ac:dyDescent="0.25">
      <c r="A929" t="s">
        <v>8390</v>
      </c>
      <c r="B929" t="s">
        <v>2919</v>
      </c>
      <c r="C929" t="s">
        <v>8391</v>
      </c>
    </row>
    <row r="930" spans="1:3" hidden="1" x14ac:dyDescent="0.25">
      <c r="A930" t="s">
        <v>8392</v>
      </c>
      <c r="B930" t="s">
        <v>584</v>
      </c>
      <c r="C930" t="s">
        <v>6958</v>
      </c>
    </row>
    <row r="931" spans="1:3" hidden="1" x14ac:dyDescent="0.25">
      <c r="A931" t="s">
        <v>8393</v>
      </c>
      <c r="B931" t="s">
        <v>4216</v>
      </c>
      <c r="C931" t="s">
        <v>8394</v>
      </c>
    </row>
    <row r="932" spans="1:3" hidden="1" x14ac:dyDescent="0.25">
      <c r="A932" t="s">
        <v>8395</v>
      </c>
      <c r="B932" t="s">
        <v>4291</v>
      </c>
      <c r="C932" t="s">
        <v>6958</v>
      </c>
    </row>
    <row r="933" spans="1:3" hidden="1" x14ac:dyDescent="0.25">
      <c r="A933" t="s">
        <v>8396</v>
      </c>
      <c r="B933" t="s">
        <v>1422</v>
      </c>
      <c r="C933" t="s">
        <v>8397</v>
      </c>
    </row>
    <row r="934" spans="1:3" hidden="1" x14ac:dyDescent="0.25">
      <c r="A934" t="s">
        <v>8398</v>
      </c>
      <c r="B934" t="s">
        <v>1784</v>
      </c>
      <c r="C934" t="s">
        <v>6958</v>
      </c>
    </row>
    <row r="935" spans="1:3" hidden="1" x14ac:dyDescent="0.25">
      <c r="A935" t="s">
        <v>8399</v>
      </c>
      <c r="B935" t="s">
        <v>3443</v>
      </c>
      <c r="C935" t="s">
        <v>8400</v>
      </c>
    </row>
    <row r="936" spans="1:3" hidden="1" x14ac:dyDescent="0.25">
      <c r="A936" t="s">
        <v>8401</v>
      </c>
      <c r="B936" t="s">
        <v>4989</v>
      </c>
      <c r="C936" t="s">
        <v>6958</v>
      </c>
    </row>
    <row r="937" spans="1:3" hidden="1" x14ac:dyDescent="0.25">
      <c r="A937" t="s">
        <v>8402</v>
      </c>
      <c r="B937" t="s">
        <v>2975</v>
      </c>
      <c r="C937" t="s">
        <v>6958</v>
      </c>
    </row>
    <row r="938" spans="1:3" hidden="1" x14ac:dyDescent="0.25">
      <c r="A938" t="s">
        <v>8403</v>
      </c>
      <c r="B938" t="s">
        <v>2196</v>
      </c>
      <c r="C938" t="s">
        <v>8404</v>
      </c>
    </row>
    <row r="939" spans="1:3" hidden="1" x14ac:dyDescent="0.25">
      <c r="A939" t="s">
        <v>8405</v>
      </c>
      <c r="B939" t="s">
        <v>1283</v>
      </c>
      <c r="C939" t="s">
        <v>8406</v>
      </c>
    </row>
    <row r="940" spans="1:3" hidden="1" x14ac:dyDescent="0.25">
      <c r="A940" t="s">
        <v>8407</v>
      </c>
      <c r="B940" t="s">
        <v>1303</v>
      </c>
      <c r="C940" t="s">
        <v>6958</v>
      </c>
    </row>
    <row r="941" spans="1:3" hidden="1" x14ac:dyDescent="0.25">
      <c r="A941" t="s">
        <v>8408</v>
      </c>
      <c r="B941" t="s">
        <v>1980</v>
      </c>
      <c r="C941" t="s">
        <v>6958</v>
      </c>
    </row>
    <row r="942" spans="1:3" hidden="1" x14ac:dyDescent="0.25">
      <c r="A942" t="s">
        <v>8409</v>
      </c>
      <c r="B942" t="s">
        <v>4881</v>
      </c>
      <c r="C942" t="s">
        <v>8410</v>
      </c>
    </row>
    <row r="943" spans="1:3" hidden="1" x14ac:dyDescent="0.25">
      <c r="A943" t="s">
        <v>8411</v>
      </c>
      <c r="B943" t="s">
        <v>5241</v>
      </c>
      <c r="C943" t="s">
        <v>6958</v>
      </c>
    </row>
    <row r="944" spans="1:3" hidden="1" x14ac:dyDescent="0.25">
      <c r="A944" t="s">
        <v>8412</v>
      </c>
      <c r="B944" t="s">
        <v>2343</v>
      </c>
      <c r="C944" t="s">
        <v>6958</v>
      </c>
    </row>
    <row r="945" spans="1:3" hidden="1" x14ac:dyDescent="0.25">
      <c r="A945" t="s">
        <v>8413</v>
      </c>
      <c r="B945" t="s">
        <v>1364</v>
      </c>
      <c r="C945" t="s">
        <v>8414</v>
      </c>
    </row>
    <row r="946" spans="1:3" hidden="1" x14ac:dyDescent="0.25">
      <c r="A946" t="s">
        <v>8415</v>
      </c>
      <c r="B946" t="s">
        <v>4439</v>
      </c>
      <c r="C946" t="s">
        <v>8416</v>
      </c>
    </row>
    <row r="947" spans="1:3" hidden="1" x14ac:dyDescent="0.25">
      <c r="A947" t="s">
        <v>8417</v>
      </c>
      <c r="B947" t="s">
        <v>1344</v>
      </c>
      <c r="C947" t="s">
        <v>8245</v>
      </c>
    </row>
    <row r="948" spans="1:3" hidden="1" x14ac:dyDescent="0.25">
      <c r="A948" t="s">
        <v>8418</v>
      </c>
      <c r="B948" t="s">
        <v>2504</v>
      </c>
      <c r="C948" t="s">
        <v>6958</v>
      </c>
    </row>
    <row r="949" spans="1:3" hidden="1" x14ac:dyDescent="0.25">
      <c r="A949" t="s">
        <v>8419</v>
      </c>
      <c r="B949" t="s">
        <v>463</v>
      </c>
      <c r="C949" t="s">
        <v>8420</v>
      </c>
    </row>
    <row r="950" spans="1:3" hidden="1" x14ac:dyDescent="0.25">
      <c r="A950" t="s">
        <v>8421</v>
      </c>
      <c r="B950" t="s">
        <v>1787</v>
      </c>
      <c r="C950" t="s">
        <v>8422</v>
      </c>
    </row>
    <row r="951" spans="1:3" hidden="1" x14ac:dyDescent="0.25">
      <c r="A951" t="s">
        <v>8423</v>
      </c>
      <c r="B951" t="s">
        <v>4148</v>
      </c>
      <c r="C951" t="s">
        <v>8424</v>
      </c>
    </row>
    <row r="952" spans="1:3" hidden="1" x14ac:dyDescent="0.25">
      <c r="A952" t="s">
        <v>8425</v>
      </c>
      <c r="B952" t="s">
        <v>2371</v>
      </c>
      <c r="C952" t="s">
        <v>8426</v>
      </c>
    </row>
    <row r="953" spans="1:3" hidden="1" x14ac:dyDescent="0.25">
      <c r="A953" t="s">
        <v>8427</v>
      </c>
      <c r="B953" t="s">
        <v>2229</v>
      </c>
      <c r="C953" t="s">
        <v>8428</v>
      </c>
    </row>
    <row r="954" spans="1:3" hidden="1" x14ac:dyDescent="0.25">
      <c r="A954" t="s">
        <v>8429</v>
      </c>
      <c r="B954" t="s">
        <v>5039</v>
      </c>
      <c r="C954" t="s">
        <v>8430</v>
      </c>
    </row>
    <row r="955" spans="1:3" hidden="1" x14ac:dyDescent="0.25">
      <c r="A955" t="s">
        <v>8431</v>
      </c>
      <c r="B955" t="s">
        <v>1030</v>
      </c>
      <c r="C955" t="s">
        <v>8432</v>
      </c>
    </row>
    <row r="956" spans="1:3" hidden="1" x14ac:dyDescent="0.25">
      <c r="A956" t="s">
        <v>8433</v>
      </c>
      <c r="B956" t="s">
        <v>53</v>
      </c>
      <c r="C956" t="s">
        <v>8434</v>
      </c>
    </row>
    <row r="957" spans="1:3" hidden="1" x14ac:dyDescent="0.25">
      <c r="A957" t="s">
        <v>8435</v>
      </c>
      <c r="B957" t="s">
        <v>2260</v>
      </c>
      <c r="C957" t="s">
        <v>8436</v>
      </c>
    </row>
    <row r="958" spans="1:3" hidden="1" x14ac:dyDescent="0.25">
      <c r="A958" t="s">
        <v>8437</v>
      </c>
      <c r="B958" t="s">
        <v>413</v>
      </c>
      <c r="C958" t="s">
        <v>8438</v>
      </c>
    </row>
    <row r="959" spans="1:3" hidden="1" x14ac:dyDescent="0.25">
      <c r="A959" t="s">
        <v>8439</v>
      </c>
      <c r="B959" t="s">
        <v>1097</v>
      </c>
      <c r="C959" t="s">
        <v>8440</v>
      </c>
    </row>
    <row r="960" spans="1:3" hidden="1" x14ac:dyDescent="0.25">
      <c r="A960" t="s">
        <v>8441</v>
      </c>
      <c r="B960" t="s">
        <v>2262</v>
      </c>
      <c r="C960" t="s">
        <v>6958</v>
      </c>
    </row>
    <row r="961" spans="1:3" hidden="1" x14ac:dyDescent="0.25">
      <c r="A961" t="s">
        <v>8442</v>
      </c>
      <c r="B961" t="s">
        <v>820</v>
      </c>
      <c r="C961" t="s">
        <v>8443</v>
      </c>
    </row>
    <row r="962" spans="1:3" hidden="1" x14ac:dyDescent="0.25">
      <c r="A962" t="s">
        <v>8444</v>
      </c>
      <c r="B962" t="s">
        <v>2242</v>
      </c>
      <c r="C962" t="s">
        <v>6958</v>
      </c>
    </row>
    <row r="963" spans="1:3" hidden="1" x14ac:dyDescent="0.25">
      <c r="A963" t="s">
        <v>8445</v>
      </c>
      <c r="B963" t="s">
        <v>5396</v>
      </c>
      <c r="C963" t="s">
        <v>6958</v>
      </c>
    </row>
    <row r="964" spans="1:3" hidden="1" x14ac:dyDescent="0.25">
      <c r="A964" t="s">
        <v>8446</v>
      </c>
      <c r="B964" t="s">
        <v>5304</v>
      </c>
      <c r="C964" t="s">
        <v>6958</v>
      </c>
    </row>
    <row r="965" spans="1:3" hidden="1" x14ac:dyDescent="0.25">
      <c r="A965" t="s">
        <v>8447</v>
      </c>
      <c r="B965" t="s">
        <v>4264</v>
      </c>
      <c r="C965" t="s">
        <v>8448</v>
      </c>
    </row>
    <row r="966" spans="1:3" hidden="1" x14ac:dyDescent="0.25">
      <c r="A966" t="s">
        <v>8449</v>
      </c>
      <c r="B966" t="s">
        <v>5495</v>
      </c>
      <c r="C966" t="s">
        <v>8450</v>
      </c>
    </row>
    <row r="967" spans="1:3" hidden="1" x14ac:dyDescent="0.25">
      <c r="A967" t="s">
        <v>8451</v>
      </c>
      <c r="B967" t="s">
        <v>3973</v>
      </c>
      <c r="C967" t="s">
        <v>8452</v>
      </c>
    </row>
    <row r="968" spans="1:3" hidden="1" x14ac:dyDescent="0.25">
      <c r="A968" t="s">
        <v>8453</v>
      </c>
      <c r="B968" t="s">
        <v>3613</v>
      </c>
      <c r="C968" t="s">
        <v>6958</v>
      </c>
    </row>
    <row r="969" spans="1:3" hidden="1" x14ac:dyDescent="0.25">
      <c r="A969" t="s">
        <v>8454</v>
      </c>
      <c r="B969" t="s">
        <v>5213</v>
      </c>
      <c r="C969" t="s">
        <v>6958</v>
      </c>
    </row>
    <row r="970" spans="1:3" hidden="1" x14ac:dyDescent="0.25">
      <c r="A970" t="s">
        <v>8455</v>
      </c>
      <c r="B970" t="s">
        <v>5074</v>
      </c>
      <c r="C970" t="s">
        <v>8456</v>
      </c>
    </row>
    <row r="971" spans="1:3" hidden="1" x14ac:dyDescent="0.25">
      <c r="A971" t="s">
        <v>8457</v>
      </c>
      <c r="B971" t="s">
        <v>3246</v>
      </c>
      <c r="C971" t="s">
        <v>8458</v>
      </c>
    </row>
    <row r="972" spans="1:3" hidden="1" x14ac:dyDescent="0.25">
      <c r="A972" t="s">
        <v>8459</v>
      </c>
      <c r="B972" t="s">
        <v>4202</v>
      </c>
      <c r="C972" t="s">
        <v>8460</v>
      </c>
    </row>
    <row r="973" spans="1:3" hidden="1" x14ac:dyDescent="0.25">
      <c r="A973" t="s">
        <v>8461</v>
      </c>
      <c r="B973" t="s">
        <v>1501</v>
      </c>
      <c r="C973" t="s">
        <v>8462</v>
      </c>
    </row>
    <row r="974" spans="1:3" hidden="1" x14ac:dyDescent="0.25">
      <c r="A974" t="s">
        <v>8463</v>
      </c>
      <c r="B974" t="s">
        <v>2603</v>
      </c>
      <c r="C974" t="s">
        <v>6958</v>
      </c>
    </row>
    <row r="975" spans="1:3" hidden="1" x14ac:dyDescent="0.25">
      <c r="A975" t="s">
        <v>8464</v>
      </c>
      <c r="B975" t="s">
        <v>4942</v>
      </c>
      <c r="C975" t="s">
        <v>6958</v>
      </c>
    </row>
    <row r="976" spans="1:3" hidden="1" x14ac:dyDescent="0.25">
      <c r="A976" t="s">
        <v>8465</v>
      </c>
      <c r="B976" t="s">
        <v>2933</v>
      </c>
      <c r="C976" t="s">
        <v>6958</v>
      </c>
    </row>
    <row r="977" spans="1:3" hidden="1" x14ac:dyDescent="0.25">
      <c r="A977" t="s">
        <v>8466</v>
      </c>
      <c r="B977" t="s">
        <v>4168</v>
      </c>
      <c r="C977" t="s">
        <v>8467</v>
      </c>
    </row>
    <row r="978" spans="1:3" hidden="1" x14ac:dyDescent="0.25">
      <c r="A978" t="s">
        <v>8468</v>
      </c>
      <c r="B978" t="s">
        <v>4237</v>
      </c>
      <c r="C978" t="s">
        <v>8469</v>
      </c>
    </row>
    <row r="979" spans="1:3" hidden="1" x14ac:dyDescent="0.25">
      <c r="A979" t="s">
        <v>8470</v>
      </c>
      <c r="B979" t="s">
        <v>5573</v>
      </c>
      <c r="C979" t="s">
        <v>8471</v>
      </c>
    </row>
    <row r="980" spans="1:3" hidden="1" x14ac:dyDescent="0.25">
      <c r="A980" t="s">
        <v>8472</v>
      </c>
      <c r="B980" t="s">
        <v>287</v>
      </c>
      <c r="C980" t="s">
        <v>8473</v>
      </c>
    </row>
    <row r="981" spans="1:3" hidden="1" x14ac:dyDescent="0.25">
      <c r="A981" t="s">
        <v>8474</v>
      </c>
      <c r="B981" t="s">
        <v>3454</v>
      </c>
      <c r="C981" t="s">
        <v>6958</v>
      </c>
    </row>
    <row r="982" spans="1:3" hidden="1" x14ac:dyDescent="0.25">
      <c r="A982" t="s">
        <v>8475</v>
      </c>
      <c r="B982" t="s">
        <v>1375</v>
      </c>
      <c r="C982" t="s">
        <v>6958</v>
      </c>
    </row>
    <row r="983" spans="1:3" hidden="1" x14ac:dyDescent="0.25">
      <c r="A983" t="s">
        <v>8476</v>
      </c>
      <c r="B983" t="s">
        <v>4586</v>
      </c>
      <c r="C983" t="s">
        <v>8477</v>
      </c>
    </row>
    <row r="984" spans="1:3" hidden="1" x14ac:dyDescent="0.25">
      <c r="A984" t="s">
        <v>8478</v>
      </c>
      <c r="B984" t="s">
        <v>2234</v>
      </c>
      <c r="C984" t="s">
        <v>8479</v>
      </c>
    </row>
    <row r="985" spans="1:3" hidden="1" x14ac:dyDescent="0.25">
      <c r="A985" t="s">
        <v>8480</v>
      </c>
      <c r="B985" t="s">
        <v>5682</v>
      </c>
      <c r="C985" t="s">
        <v>8481</v>
      </c>
    </row>
    <row r="986" spans="1:3" hidden="1" x14ac:dyDescent="0.25">
      <c r="A986" t="s">
        <v>8482</v>
      </c>
      <c r="B986" t="s">
        <v>1665</v>
      </c>
      <c r="C986" t="s">
        <v>8483</v>
      </c>
    </row>
    <row r="987" spans="1:3" hidden="1" x14ac:dyDescent="0.25">
      <c r="A987" t="s">
        <v>8484</v>
      </c>
      <c r="B987" t="s">
        <v>4565</v>
      </c>
      <c r="C987" t="s">
        <v>8485</v>
      </c>
    </row>
    <row r="988" spans="1:3" hidden="1" x14ac:dyDescent="0.25">
      <c r="A988" t="s">
        <v>8486</v>
      </c>
      <c r="B988" t="s">
        <v>4279</v>
      </c>
      <c r="C988" t="s">
        <v>8487</v>
      </c>
    </row>
    <row r="989" spans="1:3" hidden="1" x14ac:dyDescent="0.25">
      <c r="A989" t="s">
        <v>8488</v>
      </c>
      <c r="B989" t="s">
        <v>1484</v>
      </c>
      <c r="C989" t="s">
        <v>6958</v>
      </c>
    </row>
    <row r="990" spans="1:3" hidden="1" x14ac:dyDescent="0.25">
      <c r="A990" t="s">
        <v>8489</v>
      </c>
      <c r="B990" t="s">
        <v>3358</v>
      </c>
      <c r="C990" t="s">
        <v>8490</v>
      </c>
    </row>
    <row r="991" spans="1:3" hidden="1" x14ac:dyDescent="0.25">
      <c r="A991" t="s">
        <v>8491</v>
      </c>
      <c r="B991" t="s">
        <v>692</v>
      </c>
      <c r="C991" t="s">
        <v>8492</v>
      </c>
    </row>
    <row r="992" spans="1:3" hidden="1" x14ac:dyDescent="0.25">
      <c r="A992" t="s">
        <v>8493</v>
      </c>
      <c r="B992" t="s">
        <v>2257</v>
      </c>
      <c r="C992" t="s">
        <v>8494</v>
      </c>
    </row>
    <row r="993" spans="1:3" hidden="1" x14ac:dyDescent="0.25">
      <c r="A993" t="s">
        <v>8495</v>
      </c>
      <c r="B993" t="s">
        <v>4686</v>
      </c>
      <c r="C993" t="s">
        <v>8496</v>
      </c>
    </row>
    <row r="994" spans="1:3" hidden="1" x14ac:dyDescent="0.25">
      <c r="A994" t="s">
        <v>8497</v>
      </c>
      <c r="B994" t="s">
        <v>2597</v>
      </c>
      <c r="C994" t="s">
        <v>8498</v>
      </c>
    </row>
    <row r="995" spans="1:3" hidden="1" x14ac:dyDescent="0.25">
      <c r="A995" t="s">
        <v>8499</v>
      </c>
      <c r="B995" t="s">
        <v>4592</v>
      </c>
      <c r="C995" t="s">
        <v>8500</v>
      </c>
    </row>
    <row r="996" spans="1:3" hidden="1" x14ac:dyDescent="0.25">
      <c r="A996" t="s">
        <v>8501</v>
      </c>
      <c r="B996" t="s">
        <v>5175</v>
      </c>
      <c r="C996" t="s">
        <v>8502</v>
      </c>
    </row>
    <row r="997" spans="1:3" hidden="1" x14ac:dyDescent="0.25">
      <c r="A997" t="s">
        <v>8503</v>
      </c>
      <c r="B997" t="s">
        <v>2811</v>
      </c>
      <c r="C997" t="s">
        <v>6958</v>
      </c>
    </row>
    <row r="998" spans="1:3" hidden="1" x14ac:dyDescent="0.25">
      <c r="A998" t="s">
        <v>8504</v>
      </c>
      <c r="B998" t="s">
        <v>2835</v>
      </c>
      <c r="C998" t="s">
        <v>6958</v>
      </c>
    </row>
    <row r="999" spans="1:3" hidden="1" x14ac:dyDescent="0.25">
      <c r="A999" t="s">
        <v>8505</v>
      </c>
      <c r="B999" t="s">
        <v>3333</v>
      </c>
      <c r="C999" t="s">
        <v>6958</v>
      </c>
    </row>
    <row r="1000" spans="1:3" hidden="1" x14ac:dyDescent="0.25">
      <c r="A1000" t="s">
        <v>8506</v>
      </c>
      <c r="B1000" t="s">
        <v>4869</v>
      </c>
      <c r="C1000" t="s">
        <v>6958</v>
      </c>
    </row>
    <row r="1001" spans="1:3" hidden="1" x14ac:dyDescent="0.25">
      <c r="A1001" t="s">
        <v>8507</v>
      </c>
      <c r="B1001" t="s">
        <v>954</v>
      </c>
      <c r="C1001" t="s">
        <v>6958</v>
      </c>
    </row>
    <row r="1002" spans="1:3" hidden="1" x14ac:dyDescent="0.25">
      <c r="A1002" t="s">
        <v>8508</v>
      </c>
      <c r="B1002" t="s">
        <v>1229</v>
      </c>
      <c r="C1002" t="s">
        <v>8509</v>
      </c>
    </row>
    <row r="1003" spans="1:3" hidden="1" x14ac:dyDescent="0.25">
      <c r="A1003" t="s">
        <v>8510</v>
      </c>
      <c r="B1003" t="s">
        <v>2017</v>
      </c>
      <c r="C1003" t="s">
        <v>8511</v>
      </c>
    </row>
    <row r="1004" spans="1:3" hidden="1" x14ac:dyDescent="0.25">
      <c r="A1004" t="s">
        <v>8512</v>
      </c>
      <c r="B1004" t="s">
        <v>4161</v>
      </c>
      <c r="C1004" t="s">
        <v>6958</v>
      </c>
    </row>
    <row r="1005" spans="1:3" hidden="1" x14ac:dyDescent="0.25">
      <c r="A1005" t="s">
        <v>8513</v>
      </c>
      <c r="B1005" t="s">
        <v>4812</v>
      </c>
      <c r="C1005" t="s">
        <v>8514</v>
      </c>
    </row>
    <row r="1006" spans="1:3" hidden="1" x14ac:dyDescent="0.25">
      <c r="A1006" t="s">
        <v>8515</v>
      </c>
      <c r="B1006" t="s">
        <v>4163</v>
      </c>
      <c r="C1006" t="s">
        <v>8516</v>
      </c>
    </row>
    <row r="1007" spans="1:3" hidden="1" x14ac:dyDescent="0.25">
      <c r="A1007" t="s">
        <v>8517</v>
      </c>
      <c r="B1007" t="s">
        <v>1502</v>
      </c>
      <c r="C1007" t="s">
        <v>8518</v>
      </c>
    </row>
    <row r="1008" spans="1:3" hidden="1" x14ac:dyDescent="0.25">
      <c r="A1008" t="s">
        <v>8519</v>
      </c>
      <c r="B1008" t="s">
        <v>554</v>
      </c>
      <c r="C1008" t="s">
        <v>8520</v>
      </c>
    </row>
    <row r="1009" spans="1:3" hidden="1" x14ac:dyDescent="0.25">
      <c r="A1009" t="s">
        <v>8521</v>
      </c>
      <c r="B1009" t="s">
        <v>3964</v>
      </c>
      <c r="C1009" t="s">
        <v>8522</v>
      </c>
    </row>
    <row r="1010" spans="1:3" hidden="1" x14ac:dyDescent="0.25">
      <c r="A1010" t="s">
        <v>8523</v>
      </c>
      <c r="B1010" t="s">
        <v>2287</v>
      </c>
      <c r="C1010" t="s">
        <v>8524</v>
      </c>
    </row>
    <row r="1011" spans="1:3" hidden="1" x14ac:dyDescent="0.25">
      <c r="A1011" t="s">
        <v>8525</v>
      </c>
      <c r="B1011" t="s">
        <v>3303</v>
      </c>
      <c r="C1011" t="s">
        <v>8526</v>
      </c>
    </row>
    <row r="1012" spans="1:3" hidden="1" x14ac:dyDescent="0.25">
      <c r="A1012" t="s">
        <v>8527</v>
      </c>
      <c r="B1012" t="s">
        <v>1394</v>
      </c>
      <c r="C1012" t="s">
        <v>8528</v>
      </c>
    </row>
    <row r="1013" spans="1:3" hidden="1" x14ac:dyDescent="0.25">
      <c r="A1013" t="s">
        <v>8529</v>
      </c>
      <c r="B1013" t="s">
        <v>5228</v>
      </c>
      <c r="C1013" t="s">
        <v>8530</v>
      </c>
    </row>
    <row r="1014" spans="1:3" hidden="1" x14ac:dyDescent="0.25">
      <c r="A1014" t="s">
        <v>8531</v>
      </c>
      <c r="B1014" t="s">
        <v>5075</v>
      </c>
      <c r="C1014" t="s">
        <v>6958</v>
      </c>
    </row>
    <row r="1015" spans="1:3" hidden="1" x14ac:dyDescent="0.25">
      <c r="A1015" t="s">
        <v>8532</v>
      </c>
      <c r="B1015" t="s">
        <v>3236</v>
      </c>
      <c r="C1015" t="s">
        <v>8533</v>
      </c>
    </row>
    <row r="1016" spans="1:3" hidden="1" x14ac:dyDescent="0.25">
      <c r="A1016" t="s">
        <v>8534</v>
      </c>
      <c r="B1016" t="s">
        <v>452</v>
      </c>
      <c r="C1016" t="s">
        <v>6958</v>
      </c>
    </row>
    <row r="1017" spans="1:3" hidden="1" x14ac:dyDescent="0.25">
      <c r="A1017" t="s">
        <v>8535</v>
      </c>
      <c r="B1017" t="s">
        <v>4995</v>
      </c>
      <c r="C1017" t="s">
        <v>6958</v>
      </c>
    </row>
    <row r="1018" spans="1:3" hidden="1" x14ac:dyDescent="0.25">
      <c r="A1018" t="s">
        <v>8536</v>
      </c>
      <c r="B1018" t="s">
        <v>1271</v>
      </c>
      <c r="C1018" t="s">
        <v>6958</v>
      </c>
    </row>
    <row r="1019" spans="1:3" hidden="1" x14ac:dyDescent="0.25">
      <c r="A1019" t="s">
        <v>8537</v>
      </c>
      <c r="B1019" t="s">
        <v>4958</v>
      </c>
      <c r="C1019" t="s">
        <v>8538</v>
      </c>
    </row>
    <row r="1020" spans="1:3" hidden="1" x14ac:dyDescent="0.25">
      <c r="A1020" t="s">
        <v>8539</v>
      </c>
      <c r="B1020" t="s">
        <v>5479</v>
      </c>
      <c r="C1020" t="s">
        <v>8540</v>
      </c>
    </row>
    <row r="1021" spans="1:3" hidden="1" x14ac:dyDescent="0.25">
      <c r="A1021" t="s">
        <v>8541</v>
      </c>
      <c r="B1021" t="s">
        <v>2025</v>
      </c>
      <c r="C1021" t="s">
        <v>8542</v>
      </c>
    </row>
    <row r="1022" spans="1:3" hidden="1" x14ac:dyDescent="0.25">
      <c r="A1022" t="s">
        <v>8543</v>
      </c>
      <c r="B1022" t="s">
        <v>1006</v>
      </c>
      <c r="C1022" t="s">
        <v>8544</v>
      </c>
    </row>
    <row r="1023" spans="1:3" hidden="1" x14ac:dyDescent="0.25">
      <c r="A1023" t="s">
        <v>8545</v>
      </c>
      <c r="B1023" t="s">
        <v>2818</v>
      </c>
      <c r="C1023" t="s">
        <v>8546</v>
      </c>
    </row>
    <row r="1024" spans="1:3" hidden="1" x14ac:dyDescent="0.25">
      <c r="A1024" t="s">
        <v>8547</v>
      </c>
      <c r="B1024" t="s">
        <v>2138</v>
      </c>
      <c r="C1024" t="s">
        <v>6958</v>
      </c>
    </row>
    <row r="1025" spans="1:3" hidden="1" x14ac:dyDescent="0.25">
      <c r="A1025" t="s">
        <v>8548</v>
      </c>
      <c r="B1025" t="s">
        <v>4205</v>
      </c>
      <c r="C1025" t="s">
        <v>8549</v>
      </c>
    </row>
    <row r="1026" spans="1:3" hidden="1" x14ac:dyDescent="0.25">
      <c r="A1026" t="s">
        <v>8550</v>
      </c>
      <c r="B1026" t="s">
        <v>5227</v>
      </c>
      <c r="C1026" t="s">
        <v>8551</v>
      </c>
    </row>
    <row r="1027" spans="1:3" hidden="1" x14ac:dyDescent="0.25">
      <c r="A1027" t="s">
        <v>8552</v>
      </c>
      <c r="B1027" t="s">
        <v>580</v>
      </c>
      <c r="C1027" t="s">
        <v>8553</v>
      </c>
    </row>
    <row r="1028" spans="1:3" hidden="1" x14ac:dyDescent="0.25">
      <c r="A1028" t="s">
        <v>8554</v>
      </c>
      <c r="B1028" t="s">
        <v>3857</v>
      </c>
      <c r="C1028" t="s">
        <v>6958</v>
      </c>
    </row>
    <row r="1029" spans="1:3" hidden="1" x14ac:dyDescent="0.25">
      <c r="A1029" t="s">
        <v>8555</v>
      </c>
      <c r="B1029" t="s">
        <v>5394</v>
      </c>
      <c r="C1029" t="s">
        <v>8556</v>
      </c>
    </row>
    <row r="1030" spans="1:3" hidden="1" x14ac:dyDescent="0.25">
      <c r="A1030" t="s">
        <v>8557</v>
      </c>
      <c r="B1030" t="s">
        <v>5259</v>
      </c>
      <c r="C1030" t="s">
        <v>6958</v>
      </c>
    </row>
    <row r="1031" spans="1:3" hidden="1" x14ac:dyDescent="0.25">
      <c r="A1031" t="s">
        <v>8558</v>
      </c>
      <c r="B1031" t="s">
        <v>4438</v>
      </c>
      <c r="C1031" t="s">
        <v>6958</v>
      </c>
    </row>
    <row r="1032" spans="1:3" hidden="1" x14ac:dyDescent="0.25">
      <c r="A1032" t="s">
        <v>8559</v>
      </c>
      <c r="B1032" t="s">
        <v>4930</v>
      </c>
      <c r="C1032" t="s">
        <v>8560</v>
      </c>
    </row>
    <row r="1033" spans="1:3" hidden="1" x14ac:dyDescent="0.25">
      <c r="A1033" t="s">
        <v>8561</v>
      </c>
      <c r="B1033" t="s">
        <v>2511</v>
      </c>
      <c r="C1033" t="s">
        <v>8562</v>
      </c>
    </row>
    <row r="1034" spans="1:3" hidden="1" x14ac:dyDescent="0.25">
      <c r="A1034" t="s">
        <v>8563</v>
      </c>
      <c r="B1034" t="s">
        <v>5534</v>
      </c>
      <c r="C1034" t="s">
        <v>6958</v>
      </c>
    </row>
    <row r="1035" spans="1:3" hidden="1" x14ac:dyDescent="0.25">
      <c r="A1035" t="s">
        <v>8564</v>
      </c>
      <c r="B1035" t="s">
        <v>4385</v>
      </c>
      <c r="C1035" t="s">
        <v>8565</v>
      </c>
    </row>
    <row r="1036" spans="1:3" hidden="1" x14ac:dyDescent="0.25">
      <c r="A1036" t="s">
        <v>8566</v>
      </c>
      <c r="B1036" t="s">
        <v>1304</v>
      </c>
      <c r="C1036" t="s">
        <v>8567</v>
      </c>
    </row>
    <row r="1037" spans="1:3" hidden="1" x14ac:dyDescent="0.25">
      <c r="A1037" t="s">
        <v>8568</v>
      </c>
      <c r="B1037" t="s">
        <v>1907</v>
      </c>
      <c r="C1037" t="s">
        <v>8569</v>
      </c>
    </row>
    <row r="1038" spans="1:3" hidden="1" x14ac:dyDescent="0.25">
      <c r="A1038" t="s">
        <v>8570</v>
      </c>
      <c r="B1038" t="s">
        <v>3090</v>
      </c>
      <c r="C1038" t="s">
        <v>8571</v>
      </c>
    </row>
    <row r="1039" spans="1:3" hidden="1" x14ac:dyDescent="0.25">
      <c r="A1039" t="s">
        <v>8572</v>
      </c>
      <c r="B1039" t="s">
        <v>4370</v>
      </c>
      <c r="C1039" t="s">
        <v>6958</v>
      </c>
    </row>
    <row r="1040" spans="1:3" hidden="1" x14ac:dyDescent="0.25">
      <c r="A1040" t="s">
        <v>8573</v>
      </c>
      <c r="B1040" t="s">
        <v>3854</v>
      </c>
      <c r="C1040" t="s">
        <v>8574</v>
      </c>
    </row>
    <row r="1041" spans="1:3" hidden="1" x14ac:dyDescent="0.25">
      <c r="A1041" t="s">
        <v>8575</v>
      </c>
      <c r="B1041" t="s">
        <v>2498</v>
      </c>
      <c r="C1041" t="s">
        <v>8576</v>
      </c>
    </row>
    <row r="1042" spans="1:3" hidden="1" x14ac:dyDescent="0.25">
      <c r="A1042" t="s">
        <v>8577</v>
      </c>
      <c r="B1042" t="s">
        <v>5212</v>
      </c>
      <c r="C1042" t="s">
        <v>8578</v>
      </c>
    </row>
    <row r="1043" spans="1:3" hidden="1" x14ac:dyDescent="0.25">
      <c r="A1043" t="s">
        <v>8579</v>
      </c>
      <c r="B1043" t="s">
        <v>1605</v>
      </c>
      <c r="C1043" t="s">
        <v>6958</v>
      </c>
    </row>
    <row r="1044" spans="1:3" hidden="1" x14ac:dyDescent="0.25">
      <c r="A1044" t="s">
        <v>8580</v>
      </c>
      <c r="B1044" t="s">
        <v>3598</v>
      </c>
      <c r="C1044" t="s">
        <v>6958</v>
      </c>
    </row>
    <row r="1045" spans="1:3" hidden="1" x14ac:dyDescent="0.25">
      <c r="A1045" t="s">
        <v>8581</v>
      </c>
      <c r="B1045" t="s">
        <v>121</v>
      </c>
      <c r="C1045" t="s">
        <v>8582</v>
      </c>
    </row>
    <row r="1046" spans="1:3" hidden="1" x14ac:dyDescent="0.25">
      <c r="A1046" t="s">
        <v>8583</v>
      </c>
      <c r="B1046" t="s">
        <v>2183</v>
      </c>
      <c r="C1046" t="s">
        <v>8584</v>
      </c>
    </row>
    <row r="1047" spans="1:3" hidden="1" x14ac:dyDescent="0.25">
      <c r="A1047" t="s">
        <v>8585</v>
      </c>
      <c r="B1047" t="s">
        <v>4055</v>
      </c>
      <c r="C1047" t="s">
        <v>6958</v>
      </c>
    </row>
    <row r="1048" spans="1:3" hidden="1" x14ac:dyDescent="0.25">
      <c r="A1048" t="s">
        <v>8586</v>
      </c>
      <c r="B1048" t="s">
        <v>5054</v>
      </c>
      <c r="C1048" t="s">
        <v>8587</v>
      </c>
    </row>
    <row r="1049" spans="1:3" hidden="1" x14ac:dyDescent="0.25">
      <c r="A1049" t="s">
        <v>8588</v>
      </c>
      <c r="B1049" t="s">
        <v>4046</v>
      </c>
      <c r="C1049" t="s">
        <v>8589</v>
      </c>
    </row>
    <row r="1050" spans="1:3" hidden="1" x14ac:dyDescent="0.25">
      <c r="A1050" t="s">
        <v>8590</v>
      </c>
      <c r="B1050" t="s">
        <v>4870</v>
      </c>
      <c r="C1050" t="s">
        <v>8591</v>
      </c>
    </row>
    <row r="1051" spans="1:3" hidden="1" x14ac:dyDescent="0.25">
      <c r="A1051" t="s">
        <v>8592</v>
      </c>
      <c r="B1051" t="s">
        <v>4260</v>
      </c>
      <c r="C1051" t="s">
        <v>6958</v>
      </c>
    </row>
    <row r="1052" spans="1:3" hidden="1" x14ac:dyDescent="0.25">
      <c r="A1052" t="s">
        <v>8593</v>
      </c>
      <c r="B1052" t="s">
        <v>2660</v>
      </c>
      <c r="C1052" t="s">
        <v>6958</v>
      </c>
    </row>
    <row r="1053" spans="1:3" hidden="1" x14ac:dyDescent="0.25">
      <c r="A1053" t="s">
        <v>8594</v>
      </c>
      <c r="B1053" t="s">
        <v>3696</v>
      </c>
      <c r="C1053" t="s">
        <v>8595</v>
      </c>
    </row>
    <row r="1054" spans="1:3" hidden="1" x14ac:dyDescent="0.25">
      <c r="A1054" t="s">
        <v>8596</v>
      </c>
      <c r="B1054" t="s">
        <v>3732</v>
      </c>
      <c r="C1054" t="s">
        <v>8597</v>
      </c>
    </row>
    <row r="1055" spans="1:3" hidden="1" x14ac:dyDescent="0.25">
      <c r="A1055" t="s">
        <v>8598</v>
      </c>
      <c r="B1055" t="s">
        <v>553</v>
      </c>
      <c r="C1055" t="s">
        <v>8599</v>
      </c>
    </row>
    <row r="1056" spans="1:3" hidden="1" x14ac:dyDescent="0.25">
      <c r="A1056" t="s">
        <v>8600</v>
      </c>
      <c r="B1056" t="s">
        <v>262</v>
      </c>
      <c r="C1056" t="s">
        <v>6958</v>
      </c>
    </row>
    <row r="1057" spans="1:3" hidden="1" x14ac:dyDescent="0.25">
      <c r="A1057" t="s">
        <v>8601</v>
      </c>
      <c r="B1057" t="s">
        <v>2787</v>
      </c>
      <c r="C1057" t="s">
        <v>8602</v>
      </c>
    </row>
    <row r="1058" spans="1:3" hidden="1" x14ac:dyDescent="0.25">
      <c r="A1058" t="s">
        <v>8603</v>
      </c>
      <c r="B1058" t="s">
        <v>1570</v>
      </c>
      <c r="C1058" t="s">
        <v>8604</v>
      </c>
    </row>
    <row r="1059" spans="1:3" hidden="1" x14ac:dyDescent="0.25">
      <c r="A1059" t="s">
        <v>8605</v>
      </c>
      <c r="B1059" t="s">
        <v>4044</v>
      </c>
      <c r="C1059" t="s">
        <v>8606</v>
      </c>
    </row>
    <row r="1060" spans="1:3" hidden="1" x14ac:dyDescent="0.25">
      <c r="A1060" t="s">
        <v>8607</v>
      </c>
      <c r="B1060" t="s">
        <v>4070</v>
      </c>
      <c r="C1060" t="s">
        <v>8608</v>
      </c>
    </row>
    <row r="1061" spans="1:3" hidden="1" x14ac:dyDescent="0.25">
      <c r="A1061" t="s">
        <v>8609</v>
      </c>
      <c r="B1061" t="s">
        <v>5341</v>
      </c>
      <c r="C1061" t="s">
        <v>6958</v>
      </c>
    </row>
    <row r="1062" spans="1:3" hidden="1" x14ac:dyDescent="0.25">
      <c r="A1062" t="s">
        <v>8610</v>
      </c>
      <c r="B1062" t="s">
        <v>4660</v>
      </c>
      <c r="C1062" t="s">
        <v>6958</v>
      </c>
    </row>
    <row r="1063" spans="1:3" hidden="1" x14ac:dyDescent="0.25">
      <c r="A1063" t="s">
        <v>8611</v>
      </c>
      <c r="B1063" t="s">
        <v>1433</v>
      </c>
      <c r="C1063" t="s">
        <v>8612</v>
      </c>
    </row>
    <row r="1064" spans="1:3" hidden="1" x14ac:dyDescent="0.25">
      <c r="A1064" t="s">
        <v>8613</v>
      </c>
      <c r="B1064" t="s">
        <v>3277</v>
      </c>
      <c r="C1064" t="s">
        <v>8614</v>
      </c>
    </row>
    <row r="1065" spans="1:3" hidden="1" x14ac:dyDescent="0.25">
      <c r="A1065" t="s">
        <v>8615</v>
      </c>
      <c r="B1065" t="s">
        <v>1282</v>
      </c>
      <c r="C1065" t="s">
        <v>6958</v>
      </c>
    </row>
    <row r="1066" spans="1:3" hidden="1" x14ac:dyDescent="0.25">
      <c r="A1066" t="s">
        <v>8616</v>
      </c>
      <c r="B1066" t="s">
        <v>1824</v>
      </c>
      <c r="C1066" t="s">
        <v>8617</v>
      </c>
    </row>
    <row r="1067" spans="1:3" hidden="1" x14ac:dyDescent="0.25">
      <c r="A1067" t="s">
        <v>8618</v>
      </c>
      <c r="B1067" t="s">
        <v>3102</v>
      </c>
      <c r="C1067" t="s">
        <v>8619</v>
      </c>
    </row>
    <row r="1068" spans="1:3" hidden="1" x14ac:dyDescent="0.25">
      <c r="A1068" t="s">
        <v>8620</v>
      </c>
      <c r="B1068" t="s">
        <v>337</v>
      </c>
      <c r="C1068" t="s">
        <v>8621</v>
      </c>
    </row>
    <row r="1069" spans="1:3" hidden="1" x14ac:dyDescent="0.25">
      <c r="A1069" t="s">
        <v>8622</v>
      </c>
      <c r="B1069" t="s">
        <v>5236</v>
      </c>
      <c r="C1069" t="s">
        <v>8623</v>
      </c>
    </row>
    <row r="1070" spans="1:3" hidden="1" x14ac:dyDescent="0.25">
      <c r="A1070" t="s">
        <v>8624</v>
      </c>
      <c r="B1070" t="s">
        <v>4340</v>
      </c>
      <c r="C1070" t="s">
        <v>8625</v>
      </c>
    </row>
    <row r="1071" spans="1:3" hidden="1" x14ac:dyDescent="0.25">
      <c r="A1071" t="s">
        <v>8626</v>
      </c>
      <c r="B1071" t="s">
        <v>5467</v>
      </c>
      <c r="C1071" t="s">
        <v>6958</v>
      </c>
    </row>
    <row r="1072" spans="1:3" hidden="1" x14ac:dyDescent="0.25">
      <c r="A1072" t="s">
        <v>8627</v>
      </c>
      <c r="B1072" t="s">
        <v>3168</v>
      </c>
      <c r="C1072" t="s">
        <v>6958</v>
      </c>
    </row>
    <row r="1073" spans="1:3" hidden="1" x14ac:dyDescent="0.25">
      <c r="A1073" t="s">
        <v>8628</v>
      </c>
      <c r="B1073" t="s">
        <v>2965</v>
      </c>
      <c r="C1073" t="s">
        <v>8629</v>
      </c>
    </row>
    <row r="1074" spans="1:3" hidden="1" x14ac:dyDescent="0.25">
      <c r="A1074" t="s">
        <v>8630</v>
      </c>
      <c r="B1074" t="s">
        <v>5343</v>
      </c>
      <c r="C1074" t="s">
        <v>8631</v>
      </c>
    </row>
    <row r="1075" spans="1:3" hidden="1" x14ac:dyDescent="0.25">
      <c r="A1075" t="s">
        <v>8632</v>
      </c>
      <c r="B1075" t="s">
        <v>4030</v>
      </c>
      <c r="C1075" t="s">
        <v>8633</v>
      </c>
    </row>
    <row r="1076" spans="1:3" hidden="1" x14ac:dyDescent="0.25">
      <c r="A1076" t="s">
        <v>8634</v>
      </c>
      <c r="B1076" t="s">
        <v>8635</v>
      </c>
      <c r="C1076" t="s">
        <v>8636</v>
      </c>
    </row>
    <row r="1077" spans="1:3" hidden="1" x14ac:dyDescent="0.25">
      <c r="A1077" t="s">
        <v>8637</v>
      </c>
      <c r="B1077" t="s">
        <v>1524</v>
      </c>
      <c r="C1077" t="s">
        <v>8638</v>
      </c>
    </row>
    <row r="1078" spans="1:3" hidden="1" x14ac:dyDescent="0.25">
      <c r="A1078" t="s">
        <v>8639</v>
      </c>
      <c r="B1078" t="s">
        <v>4553</v>
      </c>
      <c r="C1078" t="s">
        <v>6958</v>
      </c>
    </row>
    <row r="1079" spans="1:3" hidden="1" x14ac:dyDescent="0.25">
      <c r="A1079" t="s">
        <v>8640</v>
      </c>
      <c r="B1079" t="s">
        <v>169</v>
      </c>
      <c r="C1079" t="s">
        <v>8641</v>
      </c>
    </row>
    <row r="1080" spans="1:3" hidden="1" x14ac:dyDescent="0.25">
      <c r="A1080" t="s">
        <v>8642</v>
      </c>
      <c r="B1080" t="s">
        <v>293</v>
      </c>
      <c r="C1080" t="s">
        <v>8641</v>
      </c>
    </row>
    <row r="1081" spans="1:3" hidden="1" x14ac:dyDescent="0.25">
      <c r="A1081" t="s">
        <v>8643</v>
      </c>
      <c r="B1081" t="s">
        <v>3619</v>
      </c>
      <c r="C1081" t="s">
        <v>6958</v>
      </c>
    </row>
    <row r="1082" spans="1:3" hidden="1" x14ac:dyDescent="0.25">
      <c r="A1082" t="s">
        <v>8644</v>
      </c>
      <c r="B1082" t="s">
        <v>4275</v>
      </c>
      <c r="C1082" t="s">
        <v>6958</v>
      </c>
    </row>
    <row r="1083" spans="1:3" hidden="1" x14ac:dyDescent="0.25">
      <c r="A1083" t="s">
        <v>8645</v>
      </c>
      <c r="B1083" t="s">
        <v>5662</v>
      </c>
      <c r="C1083" t="s">
        <v>8646</v>
      </c>
    </row>
    <row r="1084" spans="1:3" hidden="1" x14ac:dyDescent="0.25">
      <c r="A1084" t="s">
        <v>8647</v>
      </c>
      <c r="B1084" t="s">
        <v>2528</v>
      </c>
      <c r="C1084" t="s">
        <v>8648</v>
      </c>
    </row>
    <row r="1085" spans="1:3" hidden="1" x14ac:dyDescent="0.25">
      <c r="A1085" t="s">
        <v>8649</v>
      </c>
      <c r="B1085" t="s">
        <v>1163</v>
      </c>
      <c r="C1085" t="s">
        <v>8650</v>
      </c>
    </row>
    <row r="1086" spans="1:3" hidden="1" x14ac:dyDescent="0.25">
      <c r="A1086" t="s">
        <v>8651</v>
      </c>
      <c r="B1086" t="s">
        <v>3398</v>
      </c>
      <c r="C1086" t="s">
        <v>8652</v>
      </c>
    </row>
    <row r="1087" spans="1:3" hidden="1" x14ac:dyDescent="0.25">
      <c r="A1087" t="s">
        <v>8653</v>
      </c>
      <c r="B1087" t="s">
        <v>1710</v>
      </c>
      <c r="C1087" t="s">
        <v>8654</v>
      </c>
    </row>
    <row r="1088" spans="1:3" hidden="1" x14ac:dyDescent="0.25">
      <c r="A1088" t="s">
        <v>8655</v>
      </c>
      <c r="B1088" t="s">
        <v>782</v>
      </c>
      <c r="C1088" t="s">
        <v>8656</v>
      </c>
    </row>
    <row r="1089" spans="1:3" hidden="1" x14ac:dyDescent="0.25">
      <c r="A1089" t="s">
        <v>8657</v>
      </c>
      <c r="B1089" t="s">
        <v>2113</v>
      </c>
      <c r="C1089" t="s">
        <v>8658</v>
      </c>
    </row>
    <row r="1090" spans="1:3" hidden="1" x14ac:dyDescent="0.25">
      <c r="A1090" t="s">
        <v>8659</v>
      </c>
      <c r="B1090" t="s">
        <v>2887</v>
      </c>
      <c r="C1090" t="s">
        <v>6958</v>
      </c>
    </row>
    <row r="1091" spans="1:3" hidden="1" x14ac:dyDescent="0.25">
      <c r="A1091" t="s">
        <v>8660</v>
      </c>
      <c r="B1091" t="s">
        <v>3222</v>
      </c>
      <c r="C1091" t="s">
        <v>8661</v>
      </c>
    </row>
    <row r="1092" spans="1:3" hidden="1" x14ac:dyDescent="0.25">
      <c r="A1092" t="s">
        <v>8662</v>
      </c>
      <c r="B1092" t="s">
        <v>1314</v>
      </c>
      <c r="C1092" t="s">
        <v>8663</v>
      </c>
    </row>
    <row r="1093" spans="1:3" hidden="1" x14ac:dyDescent="0.25">
      <c r="A1093" t="s">
        <v>8664</v>
      </c>
      <c r="B1093" t="s">
        <v>3766</v>
      </c>
      <c r="C1093" t="s">
        <v>6958</v>
      </c>
    </row>
    <row r="1094" spans="1:3" hidden="1" x14ac:dyDescent="0.25">
      <c r="A1094" t="s">
        <v>8665</v>
      </c>
      <c r="B1094" t="s">
        <v>5249</v>
      </c>
      <c r="C1094" t="s">
        <v>8666</v>
      </c>
    </row>
    <row r="1095" spans="1:3" hidden="1" x14ac:dyDescent="0.25">
      <c r="A1095" t="s">
        <v>8667</v>
      </c>
      <c r="B1095" t="s">
        <v>3146</v>
      </c>
      <c r="C1095" t="s">
        <v>8668</v>
      </c>
    </row>
    <row r="1096" spans="1:3" hidden="1" x14ac:dyDescent="0.25">
      <c r="A1096" t="s">
        <v>8669</v>
      </c>
      <c r="B1096" t="s">
        <v>5015</v>
      </c>
      <c r="C1096" t="s">
        <v>8670</v>
      </c>
    </row>
    <row r="1097" spans="1:3" hidden="1" x14ac:dyDescent="0.25">
      <c r="A1097" t="s">
        <v>8671</v>
      </c>
      <c r="B1097" t="s">
        <v>4976</v>
      </c>
      <c r="C1097" t="s">
        <v>8672</v>
      </c>
    </row>
    <row r="1098" spans="1:3" hidden="1" x14ac:dyDescent="0.25">
      <c r="A1098" t="s">
        <v>8673</v>
      </c>
      <c r="B1098" t="s">
        <v>419</v>
      </c>
      <c r="C1098" t="s">
        <v>7040</v>
      </c>
    </row>
    <row r="1099" spans="1:3" hidden="1" x14ac:dyDescent="0.25">
      <c r="A1099" t="s">
        <v>8674</v>
      </c>
      <c r="B1099" t="s">
        <v>5332</v>
      </c>
      <c r="C1099" t="s">
        <v>8675</v>
      </c>
    </row>
    <row r="1100" spans="1:3" hidden="1" x14ac:dyDescent="0.25">
      <c r="A1100" t="s">
        <v>8676</v>
      </c>
      <c r="B1100" t="s">
        <v>1886</v>
      </c>
      <c r="C1100" t="s">
        <v>8677</v>
      </c>
    </row>
    <row r="1101" spans="1:3" hidden="1" x14ac:dyDescent="0.25">
      <c r="A1101" t="s">
        <v>8678</v>
      </c>
      <c r="B1101" t="s">
        <v>2972</v>
      </c>
      <c r="C1101" t="s">
        <v>6958</v>
      </c>
    </row>
    <row r="1102" spans="1:3" hidden="1" x14ac:dyDescent="0.25">
      <c r="A1102" t="s">
        <v>8679</v>
      </c>
      <c r="B1102" t="s">
        <v>484</v>
      </c>
      <c r="C1102" t="s">
        <v>6958</v>
      </c>
    </row>
    <row r="1103" spans="1:3" hidden="1" x14ac:dyDescent="0.25">
      <c r="A1103" t="s">
        <v>8680</v>
      </c>
      <c r="B1103" t="s">
        <v>2160</v>
      </c>
      <c r="C1103" t="s">
        <v>8681</v>
      </c>
    </row>
    <row r="1104" spans="1:3" hidden="1" x14ac:dyDescent="0.25">
      <c r="A1104" t="s">
        <v>8682</v>
      </c>
      <c r="B1104" t="s">
        <v>2011</v>
      </c>
      <c r="C1104" t="s">
        <v>8683</v>
      </c>
    </row>
    <row r="1105" spans="1:3" hidden="1" x14ac:dyDescent="0.25">
      <c r="A1105" t="s">
        <v>8684</v>
      </c>
      <c r="B1105" t="s">
        <v>246</v>
      </c>
      <c r="C1105" t="s">
        <v>6958</v>
      </c>
    </row>
    <row r="1106" spans="1:3" hidden="1" x14ac:dyDescent="0.25">
      <c r="A1106" t="s">
        <v>8685</v>
      </c>
      <c r="B1106" t="s">
        <v>3005</v>
      </c>
      <c r="C1106" t="s">
        <v>8686</v>
      </c>
    </row>
    <row r="1107" spans="1:3" hidden="1" x14ac:dyDescent="0.25">
      <c r="A1107" t="s">
        <v>8687</v>
      </c>
      <c r="B1107" t="s">
        <v>2306</v>
      </c>
      <c r="C1107" t="s">
        <v>6958</v>
      </c>
    </row>
    <row r="1108" spans="1:3" hidden="1" x14ac:dyDescent="0.25">
      <c r="A1108" t="s">
        <v>8688</v>
      </c>
      <c r="B1108" t="s">
        <v>834</v>
      </c>
      <c r="C1108" t="s">
        <v>6958</v>
      </c>
    </row>
    <row r="1109" spans="1:3" hidden="1" x14ac:dyDescent="0.25">
      <c r="A1109" t="s">
        <v>8689</v>
      </c>
      <c r="B1109" t="s">
        <v>43</v>
      </c>
      <c r="C1109" t="s">
        <v>8690</v>
      </c>
    </row>
    <row r="1110" spans="1:3" hidden="1" x14ac:dyDescent="0.25">
      <c r="A1110" t="s">
        <v>8691</v>
      </c>
      <c r="B1110" t="s">
        <v>1834</v>
      </c>
      <c r="C1110" t="s">
        <v>6958</v>
      </c>
    </row>
    <row r="1111" spans="1:3" hidden="1" x14ac:dyDescent="0.25">
      <c r="A1111" t="s">
        <v>8692</v>
      </c>
      <c r="B1111" t="s">
        <v>4391</v>
      </c>
      <c r="C1111" t="s">
        <v>6958</v>
      </c>
    </row>
    <row r="1112" spans="1:3" hidden="1" x14ac:dyDescent="0.25">
      <c r="A1112" t="s">
        <v>8693</v>
      </c>
      <c r="B1112" t="s">
        <v>4978</v>
      </c>
      <c r="C1112" t="s">
        <v>8694</v>
      </c>
    </row>
    <row r="1113" spans="1:3" hidden="1" x14ac:dyDescent="0.25">
      <c r="A1113" t="s">
        <v>8695</v>
      </c>
      <c r="B1113" t="s">
        <v>1592</v>
      </c>
      <c r="C1113" t="s">
        <v>6958</v>
      </c>
    </row>
    <row r="1114" spans="1:3" hidden="1" x14ac:dyDescent="0.25">
      <c r="A1114" t="s">
        <v>8696</v>
      </c>
      <c r="B1114" t="s">
        <v>325</v>
      </c>
      <c r="C1114" t="s">
        <v>8697</v>
      </c>
    </row>
    <row r="1115" spans="1:3" hidden="1" x14ac:dyDescent="0.25">
      <c r="A1115" t="s">
        <v>8698</v>
      </c>
      <c r="B1115" t="s">
        <v>4490</v>
      </c>
      <c r="C1115" t="s">
        <v>8699</v>
      </c>
    </row>
    <row r="1116" spans="1:3" hidden="1" x14ac:dyDescent="0.25">
      <c r="A1116" t="s">
        <v>8700</v>
      </c>
      <c r="B1116" t="s">
        <v>411</v>
      </c>
      <c r="C1116" t="s">
        <v>8701</v>
      </c>
    </row>
    <row r="1117" spans="1:3" hidden="1" x14ac:dyDescent="0.25">
      <c r="A1117" t="s">
        <v>8702</v>
      </c>
      <c r="B1117" t="s">
        <v>4118</v>
      </c>
      <c r="C1117" t="s">
        <v>6958</v>
      </c>
    </row>
    <row r="1118" spans="1:3" hidden="1" x14ac:dyDescent="0.25">
      <c r="A1118" t="s">
        <v>8703</v>
      </c>
      <c r="B1118" t="s">
        <v>1110</v>
      </c>
      <c r="C1118" t="s">
        <v>8704</v>
      </c>
    </row>
    <row r="1119" spans="1:3" hidden="1" x14ac:dyDescent="0.25">
      <c r="A1119" t="s">
        <v>8705</v>
      </c>
      <c r="B1119" t="s">
        <v>5221</v>
      </c>
      <c r="C1119" t="s">
        <v>8706</v>
      </c>
    </row>
    <row r="1120" spans="1:3" hidden="1" x14ac:dyDescent="0.25">
      <c r="A1120" t="s">
        <v>8707</v>
      </c>
      <c r="B1120" t="s">
        <v>4182</v>
      </c>
      <c r="C1120" t="s">
        <v>8708</v>
      </c>
    </row>
    <row r="1121" spans="1:3" hidden="1" x14ac:dyDescent="0.25">
      <c r="A1121" t="s">
        <v>8709</v>
      </c>
      <c r="B1121" t="s">
        <v>1752</v>
      </c>
      <c r="C1121" t="s">
        <v>8710</v>
      </c>
    </row>
    <row r="1122" spans="1:3" hidden="1" x14ac:dyDescent="0.25">
      <c r="A1122" t="s">
        <v>8711</v>
      </c>
      <c r="B1122" t="s">
        <v>1933</v>
      </c>
      <c r="C1122" t="s">
        <v>8712</v>
      </c>
    </row>
    <row r="1123" spans="1:3" hidden="1" x14ac:dyDescent="0.25">
      <c r="A1123" t="s">
        <v>8713</v>
      </c>
      <c r="B1123" t="s">
        <v>2717</v>
      </c>
      <c r="C1123" t="s">
        <v>6958</v>
      </c>
    </row>
    <row r="1124" spans="1:3" hidden="1" x14ac:dyDescent="0.25">
      <c r="A1124" t="s">
        <v>8714</v>
      </c>
      <c r="B1124" t="s">
        <v>3919</v>
      </c>
      <c r="C1124" t="s">
        <v>6958</v>
      </c>
    </row>
    <row r="1125" spans="1:3" hidden="1" x14ac:dyDescent="0.25">
      <c r="A1125" t="s">
        <v>8715</v>
      </c>
      <c r="B1125" t="s">
        <v>5265</v>
      </c>
      <c r="C1125" t="s">
        <v>6958</v>
      </c>
    </row>
    <row r="1126" spans="1:3" hidden="1" x14ac:dyDescent="0.25">
      <c r="A1126" t="s">
        <v>8716</v>
      </c>
      <c r="B1126" t="s">
        <v>2470</v>
      </c>
      <c r="C1126" t="s">
        <v>8717</v>
      </c>
    </row>
    <row r="1127" spans="1:3" hidden="1" x14ac:dyDescent="0.25">
      <c r="A1127" t="s">
        <v>8718</v>
      </c>
      <c r="B1127" t="s">
        <v>2178</v>
      </c>
      <c r="C1127" t="s">
        <v>8719</v>
      </c>
    </row>
    <row r="1128" spans="1:3" hidden="1" x14ac:dyDescent="0.25">
      <c r="A1128" t="s">
        <v>8720</v>
      </c>
      <c r="B1128" t="s">
        <v>90</v>
      </c>
      <c r="C1128" t="s">
        <v>8717</v>
      </c>
    </row>
    <row r="1129" spans="1:3" hidden="1" x14ac:dyDescent="0.25">
      <c r="A1129" t="s">
        <v>8721</v>
      </c>
      <c r="B1129" t="s">
        <v>2396</v>
      </c>
      <c r="C1129" t="s">
        <v>6958</v>
      </c>
    </row>
    <row r="1130" spans="1:3" hidden="1" x14ac:dyDescent="0.25">
      <c r="A1130" t="s">
        <v>8722</v>
      </c>
      <c r="B1130" t="s">
        <v>4440</v>
      </c>
      <c r="C1130" t="s">
        <v>8723</v>
      </c>
    </row>
    <row r="1131" spans="1:3" hidden="1" x14ac:dyDescent="0.25">
      <c r="A1131" t="s">
        <v>8724</v>
      </c>
      <c r="B1131" t="s">
        <v>1273</v>
      </c>
      <c r="C1131" t="s">
        <v>6958</v>
      </c>
    </row>
    <row r="1132" spans="1:3" hidden="1" x14ac:dyDescent="0.25">
      <c r="A1132" t="s">
        <v>8725</v>
      </c>
      <c r="B1132" t="s">
        <v>5486</v>
      </c>
      <c r="C1132" t="s">
        <v>8726</v>
      </c>
    </row>
    <row r="1133" spans="1:3" hidden="1" x14ac:dyDescent="0.25">
      <c r="A1133" t="s">
        <v>8727</v>
      </c>
      <c r="B1133" t="s">
        <v>1624</v>
      </c>
      <c r="C1133" t="s">
        <v>6958</v>
      </c>
    </row>
    <row r="1134" spans="1:3" hidden="1" x14ac:dyDescent="0.25">
      <c r="A1134" t="s">
        <v>8728</v>
      </c>
      <c r="B1134" t="s">
        <v>4222</v>
      </c>
      <c r="C1134" t="s">
        <v>6958</v>
      </c>
    </row>
    <row r="1135" spans="1:3" hidden="1" x14ac:dyDescent="0.25">
      <c r="A1135" t="s">
        <v>8729</v>
      </c>
      <c r="B1135" t="s">
        <v>1358</v>
      </c>
      <c r="C1135" t="s">
        <v>8730</v>
      </c>
    </row>
    <row r="1136" spans="1:3" hidden="1" x14ac:dyDescent="0.25">
      <c r="A1136" t="s">
        <v>8731</v>
      </c>
      <c r="B1136" t="s">
        <v>3586</v>
      </c>
      <c r="C1136" t="s">
        <v>6958</v>
      </c>
    </row>
    <row r="1137" spans="1:3" hidden="1" x14ac:dyDescent="0.25">
      <c r="A1137" t="s">
        <v>8732</v>
      </c>
      <c r="B1137" t="s">
        <v>1847</v>
      </c>
      <c r="C1137" t="s">
        <v>6958</v>
      </c>
    </row>
    <row r="1138" spans="1:3" hidden="1" x14ac:dyDescent="0.25">
      <c r="A1138" t="s">
        <v>8733</v>
      </c>
      <c r="B1138" t="s">
        <v>8734</v>
      </c>
      <c r="C1138" t="s">
        <v>8735</v>
      </c>
    </row>
    <row r="1139" spans="1:3" hidden="1" x14ac:dyDescent="0.25">
      <c r="A1139" t="s">
        <v>8736</v>
      </c>
      <c r="B1139" t="s">
        <v>2387</v>
      </c>
      <c r="C1139" t="s">
        <v>6958</v>
      </c>
    </row>
    <row r="1140" spans="1:3" hidden="1" x14ac:dyDescent="0.25">
      <c r="A1140" t="s">
        <v>8737</v>
      </c>
      <c r="B1140" t="s">
        <v>2268</v>
      </c>
      <c r="C1140" t="s">
        <v>8738</v>
      </c>
    </row>
    <row r="1141" spans="1:3" hidden="1" x14ac:dyDescent="0.25">
      <c r="A1141" t="s">
        <v>8739</v>
      </c>
      <c r="B1141" t="s">
        <v>3086</v>
      </c>
      <c r="C1141" t="s">
        <v>8740</v>
      </c>
    </row>
    <row r="1142" spans="1:3" hidden="1" x14ac:dyDescent="0.25">
      <c r="A1142" t="s">
        <v>8741</v>
      </c>
      <c r="B1142" t="s">
        <v>3019</v>
      </c>
      <c r="C1142" t="s">
        <v>8742</v>
      </c>
    </row>
    <row r="1143" spans="1:3" hidden="1" x14ac:dyDescent="0.25">
      <c r="A1143" t="s">
        <v>8743</v>
      </c>
      <c r="B1143" t="s">
        <v>1468</v>
      </c>
      <c r="C1143" t="s">
        <v>6958</v>
      </c>
    </row>
    <row r="1144" spans="1:3" hidden="1" x14ac:dyDescent="0.25">
      <c r="A1144" t="s">
        <v>8744</v>
      </c>
      <c r="B1144" t="s">
        <v>2614</v>
      </c>
      <c r="C1144" t="s">
        <v>8745</v>
      </c>
    </row>
    <row r="1145" spans="1:3" hidden="1" x14ac:dyDescent="0.25">
      <c r="A1145" t="s">
        <v>8746</v>
      </c>
      <c r="B1145" t="s">
        <v>4836</v>
      </c>
      <c r="C1145" t="s">
        <v>6958</v>
      </c>
    </row>
    <row r="1146" spans="1:3" hidden="1" x14ac:dyDescent="0.25">
      <c r="A1146" t="s">
        <v>8747</v>
      </c>
      <c r="B1146" t="s">
        <v>639</v>
      </c>
      <c r="C1146" t="s">
        <v>6958</v>
      </c>
    </row>
    <row r="1147" spans="1:3" hidden="1" x14ac:dyDescent="0.25">
      <c r="A1147" t="s">
        <v>8748</v>
      </c>
      <c r="B1147" t="s">
        <v>5033</v>
      </c>
      <c r="C1147" t="s">
        <v>8749</v>
      </c>
    </row>
    <row r="1148" spans="1:3" hidden="1" x14ac:dyDescent="0.25">
      <c r="A1148" t="s">
        <v>8750</v>
      </c>
      <c r="B1148" t="s">
        <v>3652</v>
      </c>
      <c r="C1148" t="s">
        <v>8751</v>
      </c>
    </row>
    <row r="1149" spans="1:3" hidden="1" x14ac:dyDescent="0.25">
      <c r="A1149" t="s">
        <v>8752</v>
      </c>
      <c r="B1149" t="s">
        <v>4619</v>
      </c>
      <c r="C1149" t="s">
        <v>8753</v>
      </c>
    </row>
    <row r="1150" spans="1:3" hidden="1" x14ac:dyDescent="0.25">
      <c r="A1150" t="s">
        <v>8754</v>
      </c>
      <c r="B1150" t="s">
        <v>4917</v>
      </c>
      <c r="C1150" t="s">
        <v>8755</v>
      </c>
    </row>
    <row r="1151" spans="1:3" hidden="1" x14ac:dyDescent="0.25">
      <c r="A1151" t="s">
        <v>8756</v>
      </c>
      <c r="B1151" t="s">
        <v>1780</v>
      </c>
      <c r="C1151" t="s">
        <v>8757</v>
      </c>
    </row>
    <row r="1152" spans="1:3" hidden="1" x14ac:dyDescent="0.25">
      <c r="A1152" t="s">
        <v>8758</v>
      </c>
      <c r="B1152" t="s">
        <v>4994</v>
      </c>
      <c r="C1152" t="s">
        <v>8759</v>
      </c>
    </row>
    <row r="1153" spans="1:3" hidden="1" x14ac:dyDescent="0.25">
      <c r="A1153" t="s">
        <v>8760</v>
      </c>
      <c r="B1153" t="s">
        <v>4350</v>
      </c>
      <c r="C1153" t="s">
        <v>6958</v>
      </c>
    </row>
    <row r="1154" spans="1:3" hidden="1" x14ac:dyDescent="0.25">
      <c r="A1154" t="s">
        <v>8761</v>
      </c>
      <c r="B1154" t="s">
        <v>1000</v>
      </c>
      <c r="C1154" t="s">
        <v>8762</v>
      </c>
    </row>
    <row r="1155" spans="1:3" hidden="1" x14ac:dyDescent="0.25">
      <c r="A1155" t="s">
        <v>8763</v>
      </c>
      <c r="B1155" t="s">
        <v>306</v>
      </c>
      <c r="C1155" t="s">
        <v>8764</v>
      </c>
    </row>
    <row r="1156" spans="1:3" hidden="1" x14ac:dyDescent="0.25">
      <c r="A1156" t="s">
        <v>8765</v>
      </c>
      <c r="B1156" t="s">
        <v>2726</v>
      </c>
      <c r="C1156" t="s">
        <v>6958</v>
      </c>
    </row>
    <row r="1157" spans="1:3" hidden="1" x14ac:dyDescent="0.25">
      <c r="A1157" t="s">
        <v>8766</v>
      </c>
      <c r="B1157" t="s">
        <v>5668</v>
      </c>
      <c r="C1157" t="s">
        <v>8767</v>
      </c>
    </row>
    <row r="1158" spans="1:3" hidden="1" x14ac:dyDescent="0.25">
      <c r="A1158" t="s">
        <v>8768</v>
      </c>
      <c r="B1158" t="s">
        <v>183</v>
      </c>
      <c r="C1158" t="s">
        <v>6958</v>
      </c>
    </row>
    <row r="1159" spans="1:3" hidden="1" x14ac:dyDescent="0.25">
      <c r="A1159" t="s">
        <v>8769</v>
      </c>
      <c r="B1159" t="s">
        <v>1246</v>
      </c>
      <c r="C1159" t="s">
        <v>8770</v>
      </c>
    </row>
    <row r="1160" spans="1:3" hidden="1" x14ac:dyDescent="0.25">
      <c r="A1160" t="s">
        <v>8771</v>
      </c>
      <c r="B1160" t="s">
        <v>1617</v>
      </c>
      <c r="C1160" t="s">
        <v>8772</v>
      </c>
    </row>
    <row r="1161" spans="1:3" hidden="1" x14ac:dyDescent="0.25">
      <c r="A1161" t="s">
        <v>8773</v>
      </c>
      <c r="B1161" t="s">
        <v>1533</v>
      </c>
      <c r="C1161" t="s">
        <v>6958</v>
      </c>
    </row>
    <row r="1162" spans="1:3" hidden="1" x14ac:dyDescent="0.25">
      <c r="A1162" t="s">
        <v>8774</v>
      </c>
      <c r="B1162" t="s">
        <v>24</v>
      </c>
      <c r="C1162" t="s">
        <v>8775</v>
      </c>
    </row>
    <row r="1163" spans="1:3" hidden="1" x14ac:dyDescent="0.25">
      <c r="A1163" t="s">
        <v>8776</v>
      </c>
      <c r="B1163" t="s">
        <v>766</v>
      </c>
      <c r="C1163" t="s">
        <v>8777</v>
      </c>
    </row>
    <row r="1164" spans="1:3" hidden="1" x14ac:dyDescent="0.25">
      <c r="A1164" t="s">
        <v>8778</v>
      </c>
      <c r="B1164" t="s">
        <v>1702</v>
      </c>
      <c r="C1164" t="s">
        <v>8779</v>
      </c>
    </row>
    <row r="1165" spans="1:3" hidden="1" x14ac:dyDescent="0.25">
      <c r="A1165" t="s">
        <v>8780</v>
      </c>
      <c r="B1165" t="s">
        <v>771</v>
      </c>
      <c r="C1165" t="s">
        <v>8781</v>
      </c>
    </row>
    <row r="1166" spans="1:3" hidden="1" x14ac:dyDescent="0.25">
      <c r="A1166" t="s">
        <v>8782</v>
      </c>
      <c r="B1166" t="s">
        <v>3651</v>
      </c>
      <c r="C1166" t="s">
        <v>8781</v>
      </c>
    </row>
    <row r="1167" spans="1:3" hidden="1" x14ac:dyDescent="0.25">
      <c r="A1167" t="s">
        <v>8783</v>
      </c>
      <c r="B1167" t="s">
        <v>2722</v>
      </c>
      <c r="C1167" t="s">
        <v>8784</v>
      </c>
    </row>
    <row r="1168" spans="1:3" hidden="1" x14ac:dyDescent="0.25">
      <c r="A1168" t="s">
        <v>8785</v>
      </c>
      <c r="B1168" t="s">
        <v>3095</v>
      </c>
      <c r="C1168" t="s">
        <v>8786</v>
      </c>
    </row>
    <row r="1169" spans="1:3" hidden="1" x14ac:dyDescent="0.25">
      <c r="A1169" t="s">
        <v>8787</v>
      </c>
      <c r="B1169" t="s">
        <v>353</v>
      </c>
      <c r="C1169" t="s">
        <v>8788</v>
      </c>
    </row>
    <row r="1170" spans="1:3" hidden="1" x14ac:dyDescent="0.25">
      <c r="A1170" t="s">
        <v>8789</v>
      </c>
      <c r="B1170" t="s">
        <v>5113</v>
      </c>
      <c r="C1170" t="s">
        <v>6958</v>
      </c>
    </row>
    <row r="1171" spans="1:3" hidden="1" x14ac:dyDescent="0.25">
      <c r="A1171" t="s">
        <v>8790</v>
      </c>
      <c r="B1171" t="s">
        <v>3056</v>
      </c>
      <c r="C1171" t="s">
        <v>8791</v>
      </c>
    </row>
    <row r="1172" spans="1:3" hidden="1" x14ac:dyDescent="0.25">
      <c r="A1172" t="s">
        <v>8792</v>
      </c>
      <c r="B1172" t="s">
        <v>2715</v>
      </c>
      <c r="C1172" t="s">
        <v>8793</v>
      </c>
    </row>
    <row r="1173" spans="1:3" hidden="1" x14ac:dyDescent="0.25">
      <c r="A1173" t="s">
        <v>8794</v>
      </c>
      <c r="B1173" t="s">
        <v>1712</v>
      </c>
      <c r="C1173" t="s">
        <v>6958</v>
      </c>
    </row>
    <row r="1174" spans="1:3" hidden="1" x14ac:dyDescent="0.25">
      <c r="A1174" t="s">
        <v>8795</v>
      </c>
      <c r="B1174" t="s">
        <v>1759</v>
      </c>
      <c r="C1174" t="s">
        <v>8796</v>
      </c>
    </row>
    <row r="1175" spans="1:3" hidden="1" x14ac:dyDescent="0.25">
      <c r="A1175" t="s">
        <v>8797</v>
      </c>
      <c r="B1175" t="s">
        <v>1889</v>
      </c>
      <c r="C1175" t="s">
        <v>8798</v>
      </c>
    </row>
    <row r="1176" spans="1:3" hidden="1" x14ac:dyDescent="0.25">
      <c r="A1176" t="s">
        <v>8799</v>
      </c>
      <c r="B1176" t="s">
        <v>4532</v>
      </c>
      <c r="C1176" t="s">
        <v>8800</v>
      </c>
    </row>
    <row r="1177" spans="1:3" hidden="1" x14ac:dyDescent="0.25">
      <c r="A1177" t="s">
        <v>8801</v>
      </c>
      <c r="B1177" t="s">
        <v>5104</v>
      </c>
      <c r="C1177" t="s">
        <v>8802</v>
      </c>
    </row>
    <row r="1178" spans="1:3" hidden="1" x14ac:dyDescent="0.25">
      <c r="A1178" t="s">
        <v>8803</v>
      </c>
      <c r="B1178" t="s">
        <v>3926</v>
      </c>
      <c r="C1178" t="s">
        <v>6958</v>
      </c>
    </row>
    <row r="1179" spans="1:3" hidden="1" x14ac:dyDescent="0.25">
      <c r="A1179" t="s">
        <v>8804</v>
      </c>
      <c r="B1179" t="s">
        <v>1804</v>
      </c>
      <c r="C1179" t="s">
        <v>8805</v>
      </c>
    </row>
    <row r="1180" spans="1:3" hidden="1" x14ac:dyDescent="0.25">
      <c r="A1180" t="s">
        <v>8806</v>
      </c>
      <c r="B1180" t="s">
        <v>568</v>
      </c>
      <c r="C1180" t="s">
        <v>8391</v>
      </c>
    </row>
    <row r="1181" spans="1:3" hidden="1" x14ac:dyDescent="0.25">
      <c r="A1181" t="s">
        <v>8807</v>
      </c>
      <c r="B1181" t="s">
        <v>5297</v>
      </c>
      <c r="C1181" t="s">
        <v>6958</v>
      </c>
    </row>
    <row r="1182" spans="1:3" hidden="1" x14ac:dyDescent="0.25">
      <c r="A1182" t="s">
        <v>8808</v>
      </c>
      <c r="B1182" t="s">
        <v>3164</v>
      </c>
      <c r="C1182" t="s">
        <v>8809</v>
      </c>
    </row>
    <row r="1183" spans="1:3" hidden="1" x14ac:dyDescent="0.25">
      <c r="A1183" t="s">
        <v>8810</v>
      </c>
      <c r="B1183" t="s">
        <v>3809</v>
      </c>
      <c r="C1183" t="s">
        <v>8811</v>
      </c>
    </row>
    <row r="1184" spans="1:3" hidden="1" x14ac:dyDescent="0.25">
      <c r="A1184" t="s">
        <v>8812</v>
      </c>
      <c r="B1184" t="s">
        <v>2251</v>
      </c>
      <c r="C1184" t="s">
        <v>8813</v>
      </c>
    </row>
    <row r="1185" spans="1:3" hidden="1" x14ac:dyDescent="0.25">
      <c r="A1185" t="s">
        <v>8814</v>
      </c>
      <c r="B1185" t="s">
        <v>2349</v>
      </c>
      <c r="C1185" t="s">
        <v>8815</v>
      </c>
    </row>
    <row r="1186" spans="1:3" hidden="1" x14ac:dyDescent="0.25">
      <c r="A1186" t="s">
        <v>8816</v>
      </c>
      <c r="B1186" t="s">
        <v>1507</v>
      </c>
      <c r="C1186" t="s">
        <v>8817</v>
      </c>
    </row>
    <row r="1187" spans="1:3" hidden="1" x14ac:dyDescent="0.25">
      <c r="A1187" t="s">
        <v>8818</v>
      </c>
      <c r="B1187" t="s">
        <v>2517</v>
      </c>
      <c r="C1187" t="s">
        <v>8819</v>
      </c>
    </row>
    <row r="1188" spans="1:3" hidden="1" x14ac:dyDescent="0.25">
      <c r="A1188" t="s">
        <v>8820</v>
      </c>
      <c r="B1188" t="s">
        <v>4012</v>
      </c>
      <c r="C1188" t="s">
        <v>8821</v>
      </c>
    </row>
    <row r="1189" spans="1:3" hidden="1" x14ac:dyDescent="0.25">
      <c r="A1189" t="s">
        <v>8822</v>
      </c>
      <c r="B1189" t="s">
        <v>2861</v>
      </c>
      <c r="C1189" t="s">
        <v>8823</v>
      </c>
    </row>
    <row r="1190" spans="1:3" hidden="1" x14ac:dyDescent="0.25">
      <c r="A1190" t="s">
        <v>8824</v>
      </c>
      <c r="B1190" t="s">
        <v>1867</v>
      </c>
      <c r="C1190" t="s">
        <v>8825</v>
      </c>
    </row>
    <row r="1191" spans="1:3" hidden="1" x14ac:dyDescent="0.25">
      <c r="A1191" t="s">
        <v>8826</v>
      </c>
      <c r="B1191" t="s">
        <v>856</v>
      </c>
      <c r="C1191" t="s">
        <v>8827</v>
      </c>
    </row>
    <row r="1192" spans="1:3" hidden="1" x14ac:dyDescent="0.25">
      <c r="A1192" t="s">
        <v>8828</v>
      </c>
      <c r="B1192" t="s">
        <v>2601</v>
      </c>
      <c r="C1192" t="s">
        <v>6958</v>
      </c>
    </row>
    <row r="1193" spans="1:3" hidden="1" x14ac:dyDescent="0.25">
      <c r="A1193" t="s">
        <v>8829</v>
      </c>
      <c r="B1193" t="s">
        <v>2824</v>
      </c>
      <c r="C1193" t="s">
        <v>8830</v>
      </c>
    </row>
    <row r="1194" spans="1:3" hidden="1" x14ac:dyDescent="0.25">
      <c r="A1194" t="s">
        <v>8831</v>
      </c>
      <c r="B1194" t="s">
        <v>2569</v>
      </c>
      <c r="C1194" t="s">
        <v>8832</v>
      </c>
    </row>
    <row r="1195" spans="1:3" hidden="1" x14ac:dyDescent="0.25">
      <c r="A1195" t="s">
        <v>8833</v>
      </c>
      <c r="B1195" t="s">
        <v>2019</v>
      </c>
      <c r="C1195" t="s">
        <v>6958</v>
      </c>
    </row>
    <row r="1196" spans="1:3" hidden="1" x14ac:dyDescent="0.25">
      <c r="A1196" t="s">
        <v>8834</v>
      </c>
      <c r="B1196" t="s">
        <v>3782</v>
      </c>
      <c r="C1196" t="s">
        <v>6958</v>
      </c>
    </row>
    <row r="1197" spans="1:3" hidden="1" x14ac:dyDescent="0.25">
      <c r="A1197" t="s">
        <v>8835</v>
      </c>
      <c r="B1197" t="s">
        <v>5487</v>
      </c>
      <c r="C1197" t="s">
        <v>8836</v>
      </c>
    </row>
    <row r="1198" spans="1:3" hidden="1" x14ac:dyDescent="0.25">
      <c r="A1198" t="s">
        <v>8837</v>
      </c>
      <c r="B1198" t="s">
        <v>4947</v>
      </c>
      <c r="C1198" t="s">
        <v>6958</v>
      </c>
    </row>
    <row r="1199" spans="1:3" hidden="1" x14ac:dyDescent="0.25">
      <c r="A1199" t="s">
        <v>8838</v>
      </c>
      <c r="B1199" t="s">
        <v>2980</v>
      </c>
      <c r="C1199" t="s">
        <v>8839</v>
      </c>
    </row>
    <row r="1200" spans="1:3" hidden="1" x14ac:dyDescent="0.25">
      <c r="A1200" t="s">
        <v>8840</v>
      </c>
      <c r="B1200" t="s">
        <v>2833</v>
      </c>
      <c r="C1200" t="s">
        <v>6958</v>
      </c>
    </row>
    <row r="1201" spans="1:3" hidden="1" x14ac:dyDescent="0.25">
      <c r="A1201" t="s">
        <v>8841</v>
      </c>
      <c r="B1201" t="s">
        <v>3425</v>
      </c>
      <c r="C1201" t="s">
        <v>6958</v>
      </c>
    </row>
    <row r="1202" spans="1:3" hidden="1" x14ac:dyDescent="0.25">
      <c r="A1202" t="s">
        <v>8842</v>
      </c>
      <c r="B1202" t="s">
        <v>2610</v>
      </c>
      <c r="C1202" t="s">
        <v>6958</v>
      </c>
    </row>
    <row r="1203" spans="1:3" hidden="1" x14ac:dyDescent="0.25">
      <c r="A1203" t="s">
        <v>8843</v>
      </c>
      <c r="B1203" t="s">
        <v>2778</v>
      </c>
      <c r="C1203" t="s">
        <v>8844</v>
      </c>
    </row>
    <row r="1204" spans="1:3" hidden="1" x14ac:dyDescent="0.25">
      <c r="A1204" t="s">
        <v>8845</v>
      </c>
      <c r="B1204" t="s">
        <v>420</v>
      </c>
      <c r="C1204" t="s">
        <v>8846</v>
      </c>
    </row>
    <row r="1205" spans="1:3" hidden="1" x14ac:dyDescent="0.25">
      <c r="A1205" t="s">
        <v>8847</v>
      </c>
      <c r="B1205" t="s">
        <v>1115</v>
      </c>
      <c r="C1205" t="s">
        <v>8848</v>
      </c>
    </row>
    <row r="1206" spans="1:3" hidden="1" x14ac:dyDescent="0.25">
      <c r="A1206" t="s">
        <v>8849</v>
      </c>
      <c r="B1206" t="s">
        <v>3388</v>
      </c>
      <c r="C1206" t="s">
        <v>8848</v>
      </c>
    </row>
    <row r="1207" spans="1:3" hidden="1" x14ac:dyDescent="0.25">
      <c r="A1207" t="s">
        <v>8850</v>
      </c>
      <c r="B1207" t="s">
        <v>700</v>
      </c>
      <c r="C1207" t="s">
        <v>8848</v>
      </c>
    </row>
    <row r="1208" spans="1:3" hidden="1" x14ac:dyDescent="0.25">
      <c r="A1208" t="s">
        <v>8851</v>
      </c>
      <c r="B1208" t="s">
        <v>1108</v>
      </c>
      <c r="C1208" t="s">
        <v>8848</v>
      </c>
    </row>
    <row r="1209" spans="1:3" hidden="1" x14ac:dyDescent="0.25">
      <c r="A1209" t="s">
        <v>8852</v>
      </c>
      <c r="B1209" t="s">
        <v>3207</v>
      </c>
      <c r="C1209" t="s">
        <v>8853</v>
      </c>
    </row>
    <row r="1210" spans="1:3" hidden="1" x14ac:dyDescent="0.25">
      <c r="A1210" t="s">
        <v>8854</v>
      </c>
      <c r="B1210" t="s">
        <v>2917</v>
      </c>
      <c r="C1210" t="s">
        <v>8855</v>
      </c>
    </row>
    <row r="1211" spans="1:3" hidden="1" x14ac:dyDescent="0.25">
      <c r="A1211" t="s">
        <v>8856</v>
      </c>
      <c r="B1211" t="s">
        <v>3369</v>
      </c>
      <c r="C1211" t="s">
        <v>8857</v>
      </c>
    </row>
    <row r="1212" spans="1:3" hidden="1" x14ac:dyDescent="0.25">
      <c r="A1212" t="s">
        <v>8858</v>
      </c>
      <c r="B1212" t="s">
        <v>5093</v>
      </c>
      <c r="C1212" t="s">
        <v>8857</v>
      </c>
    </row>
    <row r="1213" spans="1:3" hidden="1" x14ac:dyDescent="0.25">
      <c r="A1213" t="s">
        <v>8859</v>
      </c>
      <c r="B1213" t="s">
        <v>2684</v>
      </c>
      <c r="C1213" t="s">
        <v>6958</v>
      </c>
    </row>
    <row r="1214" spans="1:3" hidden="1" x14ac:dyDescent="0.25">
      <c r="A1214" t="s">
        <v>8860</v>
      </c>
      <c r="B1214" t="s">
        <v>5372</v>
      </c>
      <c r="C1214" t="s">
        <v>6958</v>
      </c>
    </row>
    <row r="1215" spans="1:3" hidden="1" x14ac:dyDescent="0.25">
      <c r="A1215" t="s">
        <v>8861</v>
      </c>
      <c r="B1215" t="s">
        <v>3872</v>
      </c>
      <c r="C1215" t="s">
        <v>8862</v>
      </c>
    </row>
    <row r="1216" spans="1:3" hidden="1" x14ac:dyDescent="0.25">
      <c r="A1216" t="s">
        <v>8863</v>
      </c>
      <c r="B1216" t="s">
        <v>2532</v>
      </c>
      <c r="C1216" t="s">
        <v>6958</v>
      </c>
    </row>
    <row r="1217" spans="1:3" hidden="1" x14ac:dyDescent="0.25">
      <c r="A1217" t="s">
        <v>8864</v>
      </c>
      <c r="B1217" t="s">
        <v>1040</v>
      </c>
      <c r="C1217" t="s">
        <v>6958</v>
      </c>
    </row>
    <row r="1218" spans="1:3" hidden="1" x14ac:dyDescent="0.25">
      <c r="A1218" t="s">
        <v>8865</v>
      </c>
      <c r="B1218" t="s">
        <v>2497</v>
      </c>
      <c r="C1218" t="s">
        <v>8866</v>
      </c>
    </row>
    <row r="1219" spans="1:3" hidden="1" x14ac:dyDescent="0.25">
      <c r="A1219" t="s">
        <v>8867</v>
      </c>
      <c r="B1219" t="s">
        <v>4467</v>
      </c>
      <c r="C1219" t="s">
        <v>6958</v>
      </c>
    </row>
    <row r="1220" spans="1:3" hidden="1" x14ac:dyDescent="0.25">
      <c r="A1220" t="s">
        <v>8868</v>
      </c>
      <c r="B1220" t="s">
        <v>4112</v>
      </c>
      <c r="C1220" t="s">
        <v>8869</v>
      </c>
    </row>
    <row r="1221" spans="1:3" hidden="1" x14ac:dyDescent="0.25">
      <c r="A1221" t="s">
        <v>8870</v>
      </c>
      <c r="B1221" t="s">
        <v>1538</v>
      </c>
      <c r="C1221" t="s">
        <v>8871</v>
      </c>
    </row>
    <row r="1222" spans="1:3" hidden="1" x14ac:dyDescent="0.25">
      <c r="A1222" t="s">
        <v>8872</v>
      </c>
      <c r="B1222" t="s">
        <v>3683</v>
      </c>
      <c r="C1222" t="s">
        <v>6958</v>
      </c>
    </row>
    <row r="1223" spans="1:3" hidden="1" x14ac:dyDescent="0.25">
      <c r="A1223" t="s">
        <v>8873</v>
      </c>
      <c r="B1223" t="s">
        <v>1600</v>
      </c>
      <c r="C1223" t="s">
        <v>8874</v>
      </c>
    </row>
    <row r="1224" spans="1:3" hidden="1" x14ac:dyDescent="0.25">
      <c r="A1224" t="s">
        <v>8875</v>
      </c>
      <c r="B1224" t="s">
        <v>239</v>
      </c>
      <c r="C1224" t="s">
        <v>8876</v>
      </c>
    </row>
    <row r="1225" spans="1:3" hidden="1" x14ac:dyDescent="0.25">
      <c r="A1225" t="s">
        <v>8877</v>
      </c>
      <c r="B1225" t="s">
        <v>251</v>
      </c>
      <c r="C1225" t="s">
        <v>8878</v>
      </c>
    </row>
    <row r="1226" spans="1:3" hidden="1" x14ac:dyDescent="0.25">
      <c r="A1226" t="s">
        <v>8879</v>
      </c>
      <c r="B1226" t="s">
        <v>1284</v>
      </c>
      <c r="C1226" t="s">
        <v>8880</v>
      </c>
    </row>
    <row r="1227" spans="1:3" hidden="1" x14ac:dyDescent="0.25">
      <c r="A1227" t="s">
        <v>8881</v>
      </c>
      <c r="B1227" t="s">
        <v>4772</v>
      </c>
      <c r="C1227" t="s">
        <v>8882</v>
      </c>
    </row>
    <row r="1228" spans="1:3" hidden="1" x14ac:dyDescent="0.25">
      <c r="A1228" t="s">
        <v>8883</v>
      </c>
      <c r="B1228" t="s">
        <v>1772</v>
      </c>
      <c r="C1228" t="s">
        <v>8884</v>
      </c>
    </row>
    <row r="1229" spans="1:3" hidden="1" x14ac:dyDescent="0.25">
      <c r="A1229" t="s">
        <v>8885</v>
      </c>
      <c r="B1229" t="s">
        <v>3492</v>
      </c>
      <c r="C1229" t="s">
        <v>6958</v>
      </c>
    </row>
    <row r="1230" spans="1:3" hidden="1" x14ac:dyDescent="0.25">
      <c r="A1230" t="s">
        <v>8886</v>
      </c>
      <c r="B1230" t="s">
        <v>2151</v>
      </c>
      <c r="C1230" t="s">
        <v>8887</v>
      </c>
    </row>
    <row r="1231" spans="1:3" hidden="1" x14ac:dyDescent="0.25">
      <c r="A1231" t="s">
        <v>8888</v>
      </c>
      <c r="B1231" t="s">
        <v>2115</v>
      </c>
      <c r="C1231" t="s">
        <v>6958</v>
      </c>
    </row>
    <row r="1232" spans="1:3" hidden="1" x14ac:dyDescent="0.25">
      <c r="A1232" t="s">
        <v>8889</v>
      </c>
      <c r="B1232" t="s">
        <v>725</v>
      </c>
      <c r="C1232" t="s">
        <v>8890</v>
      </c>
    </row>
    <row r="1233" spans="1:3" hidden="1" x14ac:dyDescent="0.25">
      <c r="A1233" t="s">
        <v>8891</v>
      </c>
      <c r="B1233" t="s">
        <v>4105</v>
      </c>
      <c r="C1233" t="s">
        <v>8892</v>
      </c>
    </row>
    <row r="1234" spans="1:3" hidden="1" x14ac:dyDescent="0.25">
      <c r="A1234" t="s">
        <v>8893</v>
      </c>
      <c r="B1234" t="s">
        <v>2297</v>
      </c>
      <c r="C1234" t="s">
        <v>8894</v>
      </c>
    </row>
    <row r="1235" spans="1:3" hidden="1" x14ac:dyDescent="0.25">
      <c r="A1235" t="s">
        <v>8895</v>
      </c>
      <c r="B1235" t="s">
        <v>3407</v>
      </c>
      <c r="C1235" t="s">
        <v>8896</v>
      </c>
    </row>
    <row r="1236" spans="1:3" hidden="1" x14ac:dyDescent="0.25">
      <c r="A1236" t="s">
        <v>8897</v>
      </c>
      <c r="B1236" t="s">
        <v>3235</v>
      </c>
      <c r="C1236" t="s">
        <v>8898</v>
      </c>
    </row>
    <row r="1237" spans="1:3" hidden="1" x14ac:dyDescent="0.25">
      <c r="A1237" t="s">
        <v>8899</v>
      </c>
      <c r="B1237" t="s">
        <v>3985</v>
      </c>
      <c r="C1237" t="s">
        <v>8900</v>
      </c>
    </row>
    <row r="1238" spans="1:3" hidden="1" x14ac:dyDescent="0.25">
      <c r="A1238" t="s">
        <v>8901</v>
      </c>
      <c r="B1238" t="s">
        <v>1155</v>
      </c>
      <c r="C1238" t="s">
        <v>6958</v>
      </c>
    </row>
    <row r="1239" spans="1:3" hidden="1" x14ac:dyDescent="0.25">
      <c r="A1239" t="s">
        <v>8902</v>
      </c>
      <c r="B1239" t="s">
        <v>1839</v>
      </c>
      <c r="C1239" t="s">
        <v>8903</v>
      </c>
    </row>
    <row r="1240" spans="1:3" hidden="1" x14ac:dyDescent="0.25">
      <c r="A1240" t="s">
        <v>8904</v>
      </c>
      <c r="B1240" t="s">
        <v>571</v>
      </c>
      <c r="C1240" t="s">
        <v>8905</v>
      </c>
    </row>
    <row r="1241" spans="1:3" hidden="1" x14ac:dyDescent="0.25">
      <c r="A1241" t="s">
        <v>8906</v>
      </c>
      <c r="B1241" t="s">
        <v>5077</v>
      </c>
      <c r="C1241" t="s">
        <v>8907</v>
      </c>
    </row>
    <row r="1242" spans="1:3" hidden="1" x14ac:dyDescent="0.25">
      <c r="A1242" t="s">
        <v>8908</v>
      </c>
      <c r="B1242" t="s">
        <v>327</v>
      </c>
      <c r="C1242" t="s">
        <v>8909</v>
      </c>
    </row>
    <row r="1243" spans="1:3" hidden="1" x14ac:dyDescent="0.25">
      <c r="A1243" t="s">
        <v>8910</v>
      </c>
      <c r="B1243" t="s">
        <v>4913</v>
      </c>
      <c r="C1243" t="s">
        <v>6958</v>
      </c>
    </row>
    <row r="1244" spans="1:3" hidden="1" x14ac:dyDescent="0.25">
      <c r="A1244" t="s">
        <v>8911</v>
      </c>
      <c r="B1244" t="s">
        <v>2790</v>
      </c>
      <c r="C1244" t="s">
        <v>6958</v>
      </c>
    </row>
    <row r="1245" spans="1:3" hidden="1" x14ac:dyDescent="0.25">
      <c r="A1245" t="s">
        <v>8912</v>
      </c>
      <c r="B1245" t="s">
        <v>5604</v>
      </c>
      <c r="C1245" t="s">
        <v>8913</v>
      </c>
    </row>
    <row r="1246" spans="1:3" hidden="1" x14ac:dyDescent="0.25">
      <c r="A1246" t="s">
        <v>8914</v>
      </c>
      <c r="B1246" t="s">
        <v>4503</v>
      </c>
      <c r="C1246" t="s">
        <v>8915</v>
      </c>
    </row>
    <row r="1247" spans="1:3" hidden="1" x14ac:dyDescent="0.25">
      <c r="A1247" t="s">
        <v>8916</v>
      </c>
      <c r="B1247" t="s">
        <v>2478</v>
      </c>
      <c r="C1247" t="s">
        <v>8917</v>
      </c>
    </row>
    <row r="1248" spans="1:3" hidden="1" x14ac:dyDescent="0.25">
      <c r="A1248" t="s">
        <v>8918</v>
      </c>
      <c r="B1248" t="s">
        <v>1762</v>
      </c>
      <c r="C1248" t="s">
        <v>8919</v>
      </c>
    </row>
    <row r="1249" spans="1:3" hidden="1" x14ac:dyDescent="0.25">
      <c r="A1249" t="s">
        <v>8920</v>
      </c>
      <c r="B1249" t="s">
        <v>5585</v>
      </c>
      <c r="C1249" t="s">
        <v>6958</v>
      </c>
    </row>
    <row r="1250" spans="1:3" hidden="1" x14ac:dyDescent="0.25">
      <c r="A1250" t="s">
        <v>8921</v>
      </c>
      <c r="B1250" t="s">
        <v>4925</v>
      </c>
      <c r="C1250" t="s">
        <v>6958</v>
      </c>
    </row>
    <row r="1251" spans="1:3" hidden="1" x14ac:dyDescent="0.25">
      <c r="A1251" t="s">
        <v>8922</v>
      </c>
      <c r="B1251" t="s">
        <v>2443</v>
      </c>
      <c r="C1251" t="s">
        <v>6958</v>
      </c>
    </row>
    <row r="1252" spans="1:3" hidden="1" x14ac:dyDescent="0.25">
      <c r="A1252" t="s">
        <v>8923</v>
      </c>
      <c r="B1252" t="s">
        <v>1742</v>
      </c>
      <c r="C1252" t="s">
        <v>8924</v>
      </c>
    </row>
    <row r="1253" spans="1:3" hidden="1" x14ac:dyDescent="0.25">
      <c r="A1253" t="s">
        <v>8925</v>
      </c>
      <c r="B1253" t="s">
        <v>5070</v>
      </c>
      <c r="C1253" t="s">
        <v>8926</v>
      </c>
    </row>
    <row r="1254" spans="1:3" hidden="1" x14ac:dyDescent="0.25">
      <c r="A1254" t="s">
        <v>8927</v>
      </c>
      <c r="B1254" t="s">
        <v>3273</v>
      </c>
      <c r="C1254" t="s">
        <v>8928</v>
      </c>
    </row>
    <row r="1255" spans="1:3" hidden="1" x14ac:dyDescent="0.25">
      <c r="A1255" t="s">
        <v>8929</v>
      </c>
      <c r="B1255" t="s">
        <v>4969</v>
      </c>
      <c r="C1255" t="s">
        <v>6958</v>
      </c>
    </row>
    <row r="1256" spans="1:3" hidden="1" x14ac:dyDescent="0.25">
      <c r="A1256" t="s">
        <v>8930</v>
      </c>
      <c r="B1256" t="s">
        <v>2460</v>
      </c>
      <c r="C1256" t="s">
        <v>8931</v>
      </c>
    </row>
    <row r="1257" spans="1:3" hidden="1" x14ac:dyDescent="0.25">
      <c r="A1257" t="s">
        <v>8932</v>
      </c>
      <c r="B1257" t="s">
        <v>8933</v>
      </c>
      <c r="C1257" t="s">
        <v>8934</v>
      </c>
    </row>
    <row r="1258" spans="1:3" hidden="1" x14ac:dyDescent="0.25">
      <c r="A1258" t="s">
        <v>8935</v>
      </c>
      <c r="B1258" t="s">
        <v>2693</v>
      </c>
      <c r="C1258" t="s">
        <v>6958</v>
      </c>
    </row>
    <row r="1259" spans="1:3" hidden="1" x14ac:dyDescent="0.25">
      <c r="A1259" t="s">
        <v>8936</v>
      </c>
      <c r="B1259" t="s">
        <v>4418</v>
      </c>
      <c r="C1259" t="s">
        <v>8937</v>
      </c>
    </row>
    <row r="1260" spans="1:3" hidden="1" x14ac:dyDescent="0.25">
      <c r="A1260" t="s">
        <v>8938</v>
      </c>
      <c r="B1260" t="s">
        <v>3887</v>
      </c>
      <c r="C1260" t="s">
        <v>8939</v>
      </c>
    </row>
    <row r="1261" spans="1:3" hidden="1" x14ac:dyDescent="0.25">
      <c r="A1261" t="s">
        <v>8940</v>
      </c>
      <c r="B1261" t="s">
        <v>5681</v>
      </c>
      <c r="C1261" t="s">
        <v>8941</v>
      </c>
    </row>
    <row r="1262" spans="1:3" hidden="1" x14ac:dyDescent="0.25">
      <c r="A1262" t="s">
        <v>8942</v>
      </c>
      <c r="B1262" t="s">
        <v>1130</v>
      </c>
      <c r="C1262" t="s">
        <v>8943</v>
      </c>
    </row>
    <row r="1263" spans="1:3" hidden="1" x14ac:dyDescent="0.25">
      <c r="A1263" t="s">
        <v>8944</v>
      </c>
      <c r="B1263" t="s">
        <v>4277</v>
      </c>
      <c r="C1263" t="s">
        <v>8945</v>
      </c>
    </row>
    <row r="1264" spans="1:3" hidden="1" x14ac:dyDescent="0.25">
      <c r="A1264" t="s">
        <v>8946</v>
      </c>
      <c r="B1264" t="s">
        <v>5174</v>
      </c>
      <c r="C1264" t="s">
        <v>8947</v>
      </c>
    </row>
    <row r="1265" spans="1:3" hidden="1" x14ac:dyDescent="0.25">
      <c r="A1265" t="s">
        <v>8948</v>
      </c>
      <c r="B1265" t="s">
        <v>1494</v>
      </c>
      <c r="C1265" t="s">
        <v>6958</v>
      </c>
    </row>
    <row r="1266" spans="1:3" hidden="1" x14ac:dyDescent="0.25">
      <c r="A1266" t="s">
        <v>8949</v>
      </c>
      <c r="B1266" t="s">
        <v>54</v>
      </c>
      <c r="C1266" t="s">
        <v>8950</v>
      </c>
    </row>
    <row r="1267" spans="1:3" hidden="1" x14ac:dyDescent="0.25">
      <c r="A1267" t="s">
        <v>8951</v>
      </c>
      <c r="B1267" t="s">
        <v>2346</v>
      </c>
      <c r="C1267" t="s">
        <v>6958</v>
      </c>
    </row>
    <row r="1268" spans="1:3" hidden="1" x14ac:dyDescent="0.25">
      <c r="A1268" t="s">
        <v>8952</v>
      </c>
      <c r="B1268" t="s">
        <v>8953</v>
      </c>
      <c r="C1268" t="s">
        <v>8954</v>
      </c>
    </row>
    <row r="1269" spans="1:3" hidden="1" x14ac:dyDescent="0.25">
      <c r="A1269" t="s">
        <v>8955</v>
      </c>
      <c r="B1269" t="s">
        <v>4300</v>
      </c>
      <c r="C1269" t="s">
        <v>6958</v>
      </c>
    </row>
    <row r="1270" spans="1:3" hidden="1" x14ac:dyDescent="0.25">
      <c r="A1270" t="s">
        <v>8956</v>
      </c>
      <c r="B1270" t="s">
        <v>5252</v>
      </c>
      <c r="C1270" t="s">
        <v>8957</v>
      </c>
    </row>
    <row r="1271" spans="1:3" hidden="1" x14ac:dyDescent="0.25">
      <c r="A1271" t="s">
        <v>8958</v>
      </c>
      <c r="B1271" t="s">
        <v>4573</v>
      </c>
      <c r="C1271" t="s">
        <v>6958</v>
      </c>
    </row>
    <row r="1272" spans="1:3" hidden="1" x14ac:dyDescent="0.25">
      <c r="A1272" t="s">
        <v>8959</v>
      </c>
      <c r="B1272" t="s">
        <v>2908</v>
      </c>
      <c r="C1272" t="s">
        <v>8960</v>
      </c>
    </row>
    <row r="1273" spans="1:3" hidden="1" x14ac:dyDescent="0.25">
      <c r="A1273" t="s">
        <v>8961</v>
      </c>
      <c r="B1273" t="s">
        <v>730</v>
      </c>
      <c r="C1273" t="s">
        <v>8962</v>
      </c>
    </row>
    <row r="1274" spans="1:3" hidden="1" x14ac:dyDescent="0.25">
      <c r="A1274" t="s">
        <v>8963</v>
      </c>
      <c r="B1274" t="s">
        <v>3401</v>
      </c>
      <c r="C1274" t="s">
        <v>8964</v>
      </c>
    </row>
    <row r="1275" spans="1:3" hidden="1" x14ac:dyDescent="0.25">
      <c r="A1275" t="s">
        <v>8965</v>
      </c>
      <c r="B1275" t="s">
        <v>5069</v>
      </c>
      <c r="C1275" t="s">
        <v>8966</v>
      </c>
    </row>
    <row r="1276" spans="1:3" hidden="1" x14ac:dyDescent="0.25">
      <c r="A1276" t="s">
        <v>8967</v>
      </c>
      <c r="B1276" t="s">
        <v>2527</v>
      </c>
      <c r="C1276" t="s">
        <v>8968</v>
      </c>
    </row>
    <row r="1277" spans="1:3" hidden="1" x14ac:dyDescent="0.25">
      <c r="A1277" t="s">
        <v>8969</v>
      </c>
      <c r="B1277" t="s">
        <v>3406</v>
      </c>
      <c r="C1277" t="s">
        <v>8970</v>
      </c>
    </row>
    <row r="1278" spans="1:3" hidden="1" x14ac:dyDescent="0.25">
      <c r="A1278" t="s">
        <v>8971</v>
      </c>
      <c r="B1278" t="s">
        <v>5110</v>
      </c>
      <c r="C1278" t="s">
        <v>8972</v>
      </c>
    </row>
    <row r="1279" spans="1:3" hidden="1" x14ac:dyDescent="0.25">
      <c r="A1279" t="s">
        <v>8973</v>
      </c>
      <c r="B1279" t="s">
        <v>3743</v>
      </c>
      <c r="C1279" t="s">
        <v>6958</v>
      </c>
    </row>
    <row r="1280" spans="1:3" hidden="1" x14ac:dyDescent="0.25">
      <c r="A1280" t="s">
        <v>8974</v>
      </c>
      <c r="B1280" t="s">
        <v>2832</v>
      </c>
      <c r="C1280" t="s">
        <v>8975</v>
      </c>
    </row>
    <row r="1281" spans="1:3" hidden="1" x14ac:dyDescent="0.25">
      <c r="A1281" t="s">
        <v>8976</v>
      </c>
      <c r="B1281" t="s">
        <v>1714</v>
      </c>
      <c r="C1281" t="s">
        <v>8977</v>
      </c>
    </row>
    <row r="1282" spans="1:3" hidden="1" x14ac:dyDescent="0.25">
      <c r="A1282" t="s">
        <v>8978</v>
      </c>
      <c r="B1282" t="s">
        <v>4151</v>
      </c>
      <c r="C1282" t="s">
        <v>8979</v>
      </c>
    </row>
    <row r="1283" spans="1:3" hidden="1" x14ac:dyDescent="0.25">
      <c r="A1283" t="s">
        <v>8980</v>
      </c>
      <c r="B1283" t="s">
        <v>4318</v>
      </c>
      <c r="C1283" t="s">
        <v>8981</v>
      </c>
    </row>
    <row r="1284" spans="1:3" hidden="1" x14ac:dyDescent="0.25">
      <c r="A1284" t="s">
        <v>8982</v>
      </c>
      <c r="B1284" t="s">
        <v>778</v>
      </c>
      <c r="C1284" t="s">
        <v>8983</v>
      </c>
    </row>
    <row r="1285" spans="1:3" hidden="1" x14ac:dyDescent="0.25">
      <c r="A1285" t="s">
        <v>8984</v>
      </c>
      <c r="B1285" t="s">
        <v>4173</v>
      </c>
      <c r="C1285" t="s">
        <v>8985</v>
      </c>
    </row>
    <row r="1286" spans="1:3" hidden="1" x14ac:dyDescent="0.25">
      <c r="A1286" t="s">
        <v>8986</v>
      </c>
      <c r="B1286" t="s">
        <v>4434</v>
      </c>
      <c r="C1286" t="s">
        <v>8987</v>
      </c>
    </row>
    <row r="1287" spans="1:3" hidden="1" x14ac:dyDescent="0.25">
      <c r="A1287" t="s">
        <v>8988</v>
      </c>
      <c r="B1287" t="s">
        <v>1660</v>
      </c>
      <c r="C1287" t="s">
        <v>6958</v>
      </c>
    </row>
    <row r="1288" spans="1:3" hidden="1" x14ac:dyDescent="0.25">
      <c r="A1288" t="s">
        <v>8989</v>
      </c>
      <c r="B1288" t="s">
        <v>3300</v>
      </c>
      <c r="C1288" t="s">
        <v>8990</v>
      </c>
    </row>
    <row r="1289" spans="1:3" hidden="1" x14ac:dyDescent="0.25">
      <c r="A1289" t="s">
        <v>8991</v>
      </c>
      <c r="B1289" t="s">
        <v>1609</v>
      </c>
      <c r="C1289" t="s">
        <v>6958</v>
      </c>
    </row>
    <row r="1290" spans="1:3" hidden="1" x14ac:dyDescent="0.25">
      <c r="A1290" t="s">
        <v>8992</v>
      </c>
      <c r="B1290" t="s">
        <v>2848</v>
      </c>
      <c r="C1290" t="s">
        <v>6958</v>
      </c>
    </row>
    <row r="1291" spans="1:3" hidden="1" x14ac:dyDescent="0.25">
      <c r="A1291" t="s">
        <v>8993</v>
      </c>
      <c r="B1291" t="s">
        <v>3675</v>
      </c>
      <c r="C1291" t="s">
        <v>6958</v>
      </c>
    </row>
    <row r="1292" spans="1:3" hidden="1" x14ac:dyDescent="0.25">
      <c r="A1292" t="s">
        <v>8994</v>
      </c>
      <c r="B1292" t="s">
        <v>549</v>
      </c>
      <c r="C1292" t="s">
        <v>6958</v>
      </c>
    </row>
    <row r="1293" spans="1:3" hidden="1" x14ac:dyDescent="0.25">
      <c r="A1293" t="s">
        <v>8995</v>
      </c>
      <c r="B1293" t="s">
        <v>2869</v>
      </c>
      <c r="C1293" t="s">
        <v>8996</v>
      </c>
    </row>
    <row r="1294" spans="1:3" hidden="1" x14ac:dyDescent="0.25">
      <c r="A1294" t="s">
        <v>8997</v>
      </c>
      <c r="B1294" t="s">
        <v>2457</v>
      </c>
      <c r="C1294" t="s">
        <v>6958</v>
      </c>
    </row>
    <row r="1295" spans="1:3" hidden="1" x14ac:dyDescent="0.25">
      <c r="A1295" t="s">
        <v>8998</v>
      </c>
      <c r="B1295" t="s">
        <v>1850</v>
      </c>
      <c r="C1295" t="s">
        <v>8999</v>
      </c>
    </row>
    <row r="1296" spans="1:3" hidden="1" x14ac:dyDescent="0.25">
      <c r="A1296" t="s">
        <v>9000</v>
      </c>
      <c r="B1296" t="s">
        <v>2583</v>
      </c>
      <c r="C1296" t="s">
        <v>9001</v>
      </c>
    </row>
    <row r="1297" spans="1:3" hidden="1" x14ac:dyDescent="0.25">
      <c r="A1297" t="s">
        <v>9002</v>
      </c>
      <c r="B1297" t="s">
        <v>4412</v>
      </c>
      <c r="C1297" t="s">
        <v>9003</v>
      </c>
    </row>
    <row r="1298" spans="1:3" hidden="1" x14ac:dyDescent="0.25">
      <c r="A1298" t="s">
        <v>9004</v>
      </c>
      <c r="B1298" t="s">
        <v>5384</v>
      </c>
      <c r="C1298" t="s">
        <v>9005</v>
      </c>
    </row>
    <row r="1299" spans="1:3" hidden="1" x14ac:dyDescent="0.25">
      <c r="A1299" t="s">
        <v>9006</v>
      </c>
      <c r="B1299" t="s">
        <v>288</v>
      </c>
      <c r="C1299" t="s">
        <v>9007</v>
      </c>
    </row>
    <row r="1300" spans="1:3" hidden="1" x14ac:dyDescent="0.25">
      <c r="A1300" t="s">
        <v>9008</v>
      </c>
      <c r="B1300" t="s">
        <v>4515</v>
      </c>
      <c r="C1300" t="s">
        <v>9009</v>
      </c>
    </row>
    <row r="1301" spans="1:3" hidden="1" x14ac:dyDescent="0.25">
      <c r="A1301" t="s">
        <v>9010</v>
      </c>
      <c r="B1301" t="s">
        <v>4196</v>
      </c>
      <c r="C1301" t="s">
        <v>9011</v>
      </c>
    </row>
    <row r="1302" spans="1:3" hidden="1" x14ac:dyDescent="0.25">
      <c r="A1302" t="s">
        <v>9012</v>
      </c>
      <c r="B1302" t="s">
        <v>3965</v>
      </c>
      <c r="C1302" t="s">
        <v>9013</v>
      </c>
    </row>
    <row r="1303" spans="1:3" hidden="1" x14ac:dyDescent="0.25">
      <c r="A1303" t="s">
        <v>9014</v>
      </c>
      <c r="B1303" t="s">
        <v>1428</v>
      </c>
      <c r="C1303" t="s">
        <v>9015</v>
      </c>
    </row>
    <row r="1304" spans="1:3" hidden="1" x14ac:dyDescent="0.25">
      <c r="A1304" t="s">
        <v>9016</v>
      </c>
      <c r="B1304" t="s">
        <v>3475</v>
      </c>
      <c r="C1304" t="s">
        <v>9017</v>
      </c>
    </row>
    <row r="1305" spans="1:3" hidden="1" x14ac:dyDescent="0.25">
      <c r="A1305" t="s">
        <v>9018</v>
      </c>
      <c r="B1305" t="s">
        <v>3223</v>
      </c>
      <c r="C1305" t="s">
        <v>9019</v>
      </c>
    </row>
    <row r="1306" spans="1:3" hidden="1" x14ac:dyDescent="0.25">
      <c r="A1306" t="s">
        <v>9020</v>
      </c>
      <c r="B1306" t="s">
        <v>671</v>
      </c>
      <c r="C1306" t="s">
        <v>6958</v>
      </c>
    </row>
    <row r="1307" spans="1:3" hidden="1" x14ac:dyDescent="0.25">
      <c r="A1307" t="s">
        <v>9021</v>
      </c>
      <c r="B1307" t="s">
        <v>2150</v>
      </c>
      <c r="C1307" t="s">
        <v>9022</v>
      </c>
    </row>
    <row r="1308" spans="1:3" hidden="1" x14ac:dyDescent="0.25">
      <c r="A1308" t="s">
        <v>9023</v>
      </c>
      <c r="B1308" t="s">
        <v>1444</v>
      </c>
      <c r="C1308" t="s">
        <v>9024</v>
      </c>
    </row>
    <row r="1309" spans="1:3" hidden="1" x14ac:dyDescent="0.25">
      <c r="A1309" t="s">
        <v>9025</v>
      </c>
      <c r="B1309" t="s">
        <v>5444</v>
      </c>
      <c r="C1309" t="s">
        <v>9026</v>
      </c>
    </row>
    <row r="1310" spans="1:3" hidden="1" x14ac:dyDescent="0.25">
      <c r="A1310" t="s">
        <v>9027</v>
      </c>
      <c r="B1310" t="s">
        <v>2324</v>
      </c>
      <c r="C1310" t="s">
        <v>9028</v>
      </c>
    </row>
    <row r="1311" spans="1:3" hidden="1" x14ac:dyDescent="0.25">
      <c r="A1311" t="s">
        <v>9029</v>
      </c>
      <c r="B1311" t="s">
        <v>5588</v>
      </c>
      <c r="C1311" t="s">
        <v>6958</v>
      </c>
    </row>
    <row r="1312" spans="1:3" hidden="1" x14ac:dyDescent="0.25">
      <c r="A1312" t="s">
        <v>9030</v>
      </c>
      <c r="B1312" t="s">
        <v>1636</v>
      </c>
      <c r="C1312" t="s">
        <v>6958</v>
      </c>
    </row>
    <row r="1313" spans="1:3" hidden="1" x14ac:dyDescent="0.25">
      <c r="A1313" t="s">
        <v>9031</v>
      </c>
      <c r="B1313" t="s">
        <v>4147</v>
      </c>
      <c r="C1313" t="s">
        <v>9032</v>
      </c>
    </row>
    <row r="1314" spans="1:3" hidden="1" x14ac:dyDescent="0.25">
      <c r="A1314" t="s">
        <v>9033</v>
      </c>
      <c r="B1314" t="s">
        <v>120</v>
      </c>
      <c r="C1314" t="s">
        <v>9034</v>
      </c>
    </row>
    <row r="1315" spans="1:3" hidden="1" x14ac:dyDescent="0.25">
      <c r="A1315" t="s">
        <v>9035</v>
      </c>
      <c r="B1315" t="s">
        <v>4893</v>
      </c>
      <c r="C1315" t="s">
        <v>6958</v>
      </c>
    </row>
    <row r="1316" spans="1:3" hidden="1" x14ac:dyDescent="0.25">
      <c r="A1316" t="s">
        <v>9036</v>
      </c>
      <c r="B1316" t="s">
        <v>2447</v>
      </c>
      <c r="C1316" t="s">
        <v>6958</v>
      </c>
    </row>
    <row r="1317" spans="1:3" hidden="1" x14ac:dyDescent="0.25">
      <c r="A1317" t="s">
        <v>9037</v>
      </c>
      <c r="B1317" t="s">
        <v>1047</v>
      </c>
      <c r="C1317" t="s">
        <v>6958</v>
      </c>
    </row>
    <row r="1318" spans="1:3" hidden="1" x14ac:dyDescent="0.25">
      <c r="A1318" t="s">
        <v>9038</v>
      </c>
      <c r="B1318" t="s">
        <v>3001</v>
      </c>
      <c r="C1318" t="s">
        <v>9039</v>
      </c>
    </row>
    <row r="1319" spans="1:3" hidden="1" x14ac:dyDescent="0.25">
      <c r="A1319" t="s">
        <v>9040</v>
      </c>
      <c r="B1319" t="s">
        <v>3709</v>
      </c>
      <c r="C1319" t="s">
        <v>6958</v>
      </c>
    </row>
    <row r="1320" spans="1:3" hidden="1" x14ac:dyDescent="0.25">
      <c r="A1320" t="s">
        <v>9041</v>
      </c>
      <c r="B1320" t="s">
        <v>2671</v>
      </c>
      <c r="C1320" t="s">
        <v>9042</v>
      </c>
    </row>
    <row r="1321" spans="1:3" hidden="1" x14ac:dyDescent="0.25">
      <c r="A1321" t="s">
        <v>9043</v>
      </c>
      <c r="B1321" t="s">
        <v>4690</v>
      </c>
      <c r="C1321" t="s">
        <v>9044</v>
      </c>
    </row>
    <row r="1322" spans="1:3" hidden="1" x14ac:dyDescent="0.25">
      <c r="A1322" t="s">
        <v>9045</v>
      </c>
      <c r="B1322" t="s">
        <v>3305</v>
      </c>
      <c r="C1322" t="s">
        <v>6958</v>
      </c>
    </row>
    <row r="1323" spans="1:3" hidden="1" x14ac:dyDescent="0.25">
      <c r="A1323" t="s">
        <v>9046</v>
      </c>
      <c r="B1323" t="s">
        <v>2718</v>
      </c>
      <c r="C1323" t="s">
        <v>6958</v>
      </c>
    </row>
    <row r="1324" spans="1:3" hidden="1" x14ac:dyDescent="0.25">
      <c r="A1324" t="s">
        <v>9047</v>
      </c>
      <c r="B1324" t="s">
        <v>632</v>
      </c>
      <c r="C1324" t="s">
        <v>6958</v>
      </c>
    </row>
    <row r="1325" spans="1:3" hidden="1" x14ac:dyDescent="0.25">
      <c r="A1325" t="s">
        <v>9048</v>
      </c>
      <c r="B1325" t="s">
        <v>1117</v>
      </c>
      <c r="C1325" t="s">
        <v>6958</v>
      </c>
    </row>
    <row r="1326" spans="1:3" hidden="1" x14ac:dyDescent="0.25">
      <c r="A1326" t="s">
        <v>9049</v>
      </c>
      <c r="B1326" t="s">
        <v>1493</v>
      </c>
      <c r="C1326" t="s">
        <v>6958</v>
      </c>
    </row>
    <row r="1327" spans="1:3" hidden="1" x14ac:dyDescent="0.25">
      <c r="A1327" t="s">
        <v>9050</v>
      </c>
      <c r="B1327" t="s">
        <v>4078</v>
      </c>
      <c r="C1327" t="s">
        <v>9051</v>
      </c>
    </row>
    <row r="1328" spans="1:3" hidden="1" x14ac:dyDescent="0.25">
      <c r="A1328" t="s">
        <v>9052</v>
      </c>
      <c r="B1328" t="s">
        <v>5392</v>
      </c>
      <c r="C1328" t="s">
        <v>9053</v>
      </c>
    </row>
    <row r="1329" spans="1:3" hidden="1" x14ac:dyDescent="0.25">
      <c r="A1329" t="s">
        <v>9054</v>
      </c>
      <c r="B1329" t="s">
        <v>3020</v>
      </c>
      <c r="C1329" t="s">
        <v>9055</v>
      </c>
    </row>
    <row r="1330" spans="1:3" hidden="1" x14ac:dyDescent="0.25">
      <c r="A1330" t="s">
        <v>9056</v>
      </c>
      <c r="B1330" t="s">
        <v>3439</v>
      </c>
      <c r="C1330" t="s">
        <v>9057</v>
      </c>
    </row>
    <row r="1331" spans="1:3" hidden="1" x14ac:dyDescent="0.25">
      <c r="A1331" t="s">
        <v>9058</v>
      </c>
      <c r="B1331" t="s">
        <v>4826</v>
      </c>
      <c r="C1331" t="s">
        <v>9059</v>
      </c>
    </row>
    <row r="1332" spans="1:3" hidden="1" x14ac:dyDescent="0.25">
      <c r="A1332" t="s">
        <v>9060</v>
      </c>
      <c r="B1332" t="s">
        <v>1529</v>
      </c>
      <c r="C1332" t="s">
        <v>9061</v>
      </c>
    </row>
    <row r="1333" spans="1:3" hidden="1" x14ac:dyDescent="0.25">
      <c r="A1333" t="s">
        <v>9062</v>
      </c>
      <c r="B1333" t="s">
        <v>4234</v>
      </c>
      <c r="C1333" t="s">
        <v>6958</v>
      </c>
    </row>
    <row r="1334" spans="1:3" hidden="1" x14ac:dyDescent="0.25">
      <c r="A1334" t="s">
        <v>9063</v>
      </c>
      <c r="B1334" t="s">
        <v>361</v>
      </c>
      <c r="C1334" t="s">
        <v>9064</v>
      </c>
    </row>
    <row r="1335" spans="1:3" hidden="1" x14ac:dyDescent="0.25">
      <c r="A1335" t="s">
        <v>9065</v>
      </c>
      <c r="B1335" t="s">
        <v>4857</v>
      </c>
      <c r="C1335" t="s">
        <v>9066</v>
      </c>
    </row>
    <row r="1336" spans="1:3" hidden="1" x14ac:dyDescent="0.25">
      <c r="A1336" t="s">
        <v>9067</v>
      </c>
      <c r="B1336" t="s">
        <v>2921</v>
      </c>
      <c r="C1336" t="s">
        <v>9068</v>
      </c>
    </row>
    <row r="1337" spans="1:3" hidden="1" x14ac:dyDescent="0.25">
      <c r="A1337" t="s">
        <v>9069</v>
      </c>
      <c r="B1337" t="s">
        <v>1992</v>
      </c>
      <c r="C1337" t="s">
        <v>9070</v>
      </c>
    </row>
    <row r="1338" spans="1:3" hidden="1" x14ac:dyDescent="0.25">
      <c r="A1338" t="s">
        <v>9071</v>
      </c>
      <c r="B1338" t="s">
        <v>1148</v>
      </c>
      <c r="C1338" t="s">
        <v>6958</v>
      </c>
    </row>
    <row r="1339" spans="1:3" hidden="1" x14ac:dyDescent="0.25">
      <c r="A1339" t="s">
        <v>9072</v>
      </c>
      <c r="B1339" t="s">
        <v>3695</v>
      </c>
      <c r="C1339" t="s">
        <v>9073</v>
      </c>
    </row>
    <row r="1340" spans="1:3" hidden="1" x14ac:dyDescent="0.25">
      <c r="A1340" t="s">
        <v>9074</v>
      </c>
      <c r="B1340" t="s">
        <v>526</v>
      </c>
      <c r="C1340" t="s">
        <v>9075</v>
      </c>
    </row>
    <row r="1341" spans="1:3" hidden="1" x14ac:dyDescent="0.25">
      <c r="A1341" t="s">
        <v>9076</v>
      </c>
      <c r="B1341" t="s">
        <v>4735</v>
      </c>
      <c r="C1341" t="s">
        <v>6958</v>
      </c>
    </row>
    <row r="1342" spans="1:3" hidden="1" x14ac:dyDescent="0.25">
      <c r="A1342" t="s">
        <v>9077</v>
      </c>
      <c r="B1342" t="s">
        <v>3017</v>
      </c>
      <c r="C1342" t="s">
        <v>9078</v>
      </c>
    </row>
    <row r="1343" spans="1:3" hidden="1" x14ac:dyDescent="0.25">
      <c r="A1343" t="s">
        <v>9079</v>
      </c>
      <c r="B1343" t="s">
        <v>4029</v>
      </c>
      <c r="C1343" t="s">
        <v>6958</v>
      </c>
    </row>
    <row r="1344" spans="1:3" hidden="1" x14ac:dyDescent="0.25">
      <c r="A1344" t="s">
        <v>9080</v>
      </c>
      <c r="B1344" t="s">
        <v>2070</v>
      </c>
      <c r="C1344" t="s">
        <v>6958</v>
      </c>
    </row>
    <row r="1345" spans="1:3" hidden="1" x14ac:dyDescent="0.25">
      <c r="A1345" t="s">
        <v>9081</v>
      </c>
      <c r="B1345" t="s">
        <v>976</v>
      </c>
      <c r="C1345" t="s">
        <v>9082</v>
      </c>
    </row>
    <row r="1346" spans="1:3" hidden="1" x14ac:dyDescent="0.25">
      <c r="A1346" t="s">
        <v>9083</v>
      </c>
      <c r="B1346" t="s">
        <v>1495</v>
      </c>
      <c r="C1346" t="s">
        <v>9084</v>
      </c>
    </row>
    <row r="1347" spans="1:3" hidden="1" x14ac:dyDescent="0.25">
      <c r="A1347" t="s">
        <v>9085</v>
      </c>
      <c r="B1347" t="s">
        <v>2784</v>
      </c>
      <c r="C1347" t="s">
        <v>9086</v>
      </c>
    </row>
    <row r="1348" spans="1:3" hidden="1" x14ac:dyDescent="0.25">
      <c r="A1348" t="s">
        <v>9087</v>
      </c>
      <c r="B1348" t="s">
        <v>128</v>
      </c>
      <c r="C1348" t="s">
        <v>9088</v>
      </c>
    </row>
    <row r="1349" spans="1:3" hidden="1" x14ac:dyDescent="0.25">
      <c r="A1349" t="s">
        <v>9089</v>
      </c>
      <c r="B1349" t="s">
        <v>4447</v>
      </c>
      <c r="C1349" t="s">
        <v>9090</v>
      </c>
    </row>
    <row r="1350" spans="1:3" hidden="1" x14ac:dyDescent="0.25">
      <c r="A1350" t="s">
        <v>9091</v>
      </c>
      <c r="B1350" t="s">
        <v>178</v>
      </c>
      <c r="C1350" t="s">
        <v>6958</v>
      </c>
    </row>
    <row r="1351" spans="1:3" hidden="1" x14ac:dyDescent="0.25">
      <c r="A1351" t="s">
        <v>9092</v>
      </c>
      <c r="B1351" t="s">
        <v>9093</v>
      </c>
      <c r="C1351" t="s">
        <v>9094</v>
      </c>
    </row>
    <row r="1352" spans="1:3" hidden="1" x14ac:dyDescent="0.25">
      <c r="A1352" t="s">
        <v>9095</v>
      </c>
      <c r="B1352" t="s">
        <v>559</v>
      </c>
      <c r="C1352" t="s">
        <v>9096</v>
      </c>
    </row>
    <row r="1353" spans="1:3" hidden="1" x14ac:dyDescent="0.25">
      <c r="A1353" t="s">
        <v>9097</v>
      </c>
      <c r="B1353" t="s">
        <v>2956</v>
      </c>
      <c r="C1353" t="s">
        <v>9098</v>
      </c>
    </row>
    <row r="1354" spans="1:3" hidden="1" x14ac:dyDescent="0.25">
      <c r="A1354" t="s">
        <v>9099</v>
      </c>
      <c r="B1354" t="s">
        <v>5053</v>
      </c>
      <c r="C1354" t="s">
        <v>6958</v>
      </c>
    </row>
    <row r="1355" spans="1:3" hidden="1" x14ac:dyDescent="0.25">
      <c r="A1355" t="s">
        <v>9100</v>
      </c>
      <c r="B1355" t="s">
        <v>4915</v>
      </c>
      <c r="C1355" t="s">
        <v>6958</v>
      </c>
    </row>
    <row r="1356" spans="1:3" hidden="1" x14ac:dyDescent="0.25">
      <c r="A1356" t="s">
        <v>9101</v>
      </c>
      <c r="B1356" t="s">
        <v>1608</v>
      </c>
      <c r="C1356" t="s">
        <v>9102</v>
      </c>
    </row>
    <row r="1357" spans="1:3" hidden="1" x14ac:dyDescent="0.25">
      <c r="A1357" t="s">
        <v>9103</v>
      </c>
      <c r="B1357" t="s">
        <v>4719</v>
      </c>
      <c r="C1357" t="s">
        <v>9104</v>
      </c>
    </row>
    <row r="1358" spans="1:3" hidden="1" x14ac:dyDescent="0.25">
      <c r="A1358" t="s">
        <v>9105</v>
      </c>
      <c r="B1358" t="s">
        <v>2749</v>
      </c>
      <c r="C1358" t="s">
        <v>9106</v>
      </c>
    </row>
    <row r="1359" spans="1:3" hidden="1" x14ac:dyDescent="0.25">
      <c r="A1359" t="s">
        <v>9107</v>
      </c>
      <c r="B1359" t="s">
        <v>790</v>
      </c>
      <c r="C1359" t="s">
        <v>9108</v>
      </c>
    </row>
    <row r="1360" spans="1:3" hidden="1" x14ac:dyDescent="0.25">
      <c r="A1360" t="s">
        <v>9109</v>
      </c>
      <c r="B1360" t="s">
        <v>4083</v>
      </c>
      <c r="C1360" t="s">
        <v>9110</v>
      </c>
    </row>
    <row r="1361" spans="1:3" hidden="1" x14ac:dyDescent="0.25">
      <c r="A1361" t="s">
        <v>9111</v>
      </c>
      <c r="B1361" t="s">
        <v>5190</v>
      </c>
      <c r="C1361" t="s">
        <v>9112</v>
      </c>
    </row>
    <row r="1362" spans="1:3" hidden="1" x14ac:dyDescent="0.25">
      <c r="A1362" t="s">
        <v>9113</v>
      </c>
      <c r="B1362" t="s">
        <v>351</v>
      </c>
      <c r="C1362" t="s">
        <v>9114</v>
      </c>
    </row>
    <row r="1363" spans="1:3" hidden="1" x14ac:dyDescent="0.25">
      <c r="A1363" t="s">
        <v>9115</v>
      </c>
      <c r="B1363" t="s">
        <v>5482</v>
      </c>
      <c r="C1363" t="s">
        <v>9116</v>
      </c>
    </row>
    <row r="1364" spans="1:3" hidden="1" x14ac:dyDescent="0.25">
      <c r="A1364" t="s">
        <v>9117</v>
      </c>
      <c r="B1364" t="s">
        <v>4020</v>
      </c>
      <c r="C1364" t="s">
        <v>6958</v>
      </c>
    </row>
    <row r="1365" spans="1:3" hidden="1" x14ac:dyDescent="0.25">
      <c r="A1365" t="s">
        <v>9118</v>
      </c>
      <c r="B1365" t="s">
        <v>909</v>
      </c>
      <c r="C1365" t="s">
        <v>6958</v>
      </c>
    </row>
    <row r="1366" spans="1:3" hidden="1" x14ac:dyDescent="0.25">
      <c r="A1366" t="s">
        <v>9119</v>
      </c>
      <c r="B1366" t="s">
        <v>5257</v>
      </c>
      <c r="C1366" t="s">
        <v>9120</v>
      </c>
    </row>
    <row r="1367" spans="1:3" hidden="1" x14ac:dyDescent="0.25">
      <c r="A1367" t="s">
        <v>9121</v>
      </c>
      <c r="B1367" t="s">
        <v>9122</v>
      </c>
      <c r="C1367" t="s">
        <v>6958</v>
      </c>
    </row>
    <row r="1368" spans="1:3" hidden="1" x14ac:dyDescent="0.25">
      <c r="A1368" t="s">
        <v>9123</v>
      </c>
      <c r="B1368" t="s">
        <v>4879</v>
      </c>
      <c r="C1368" t="s">
        <v>9124</v>
      </c>
    </row>
    <row r="1369" spans="1:3" hidden="1" x14ac:dyDescent="0.25">
      <c r="A1369" t="s">
        <v>9125</v>
      </c>
      <c r="B1369" t="s">
        <v>1703</v>
      </c>
      <c r="C1369" t="s">
        <v>9126</v>
      </c>
    </row>
    <row r="1370" spans="1:3" hidden="1" x14ac:dyDescent="0.25">
      <c r="A1370" t="s">
        <v>9127</v>
      </c>
      <c r="B1370" t="s">
        <v>5475</v>
      </c>
      <c r="C1370" t="s">
        <v>9128</v>
      </c>
    </row>
    <row r="1371" spans="1:3" hidden="1" x14ac:dyDescent="0.25">
      <c r="A1371" t="s">
        <v>9129</v>
      </c>
      <c r="B1371" t="s">
        <v>5634</v>
      </c>
      <c r="C1371" t="s">
        <v>9130</v>
      </c>
    </row>
    <row r="1372" spans="1:3" hidden="1" x14ac:dyDescent="0.25">
      <c r="A1372" t="s">
        <v>9131</v>
      </c>
      <c r="B1372" t="s">
        <v>2221</v>
      </c>
      <c r="C1372" t="s">
        <v>6958</v>
      </c>
    </row>
    <row r="1373" spans="1:3" hidden="1" x14ac:dyDescent="0.25">
      <c r="A1373" t="s">
        <v>9132</v>
      </c>
      <c r="B1373" t="s">
        <v>72</v>
      </c>
      <c r="C1373" t="s">
        <v>9133</v>
      </c>
    </row>
    <row r="1374" spans="1:3" hidden="1" x14ac:dyDescent="0.25">
      <c r="A1374" t="s">
        <v>9134</v>
      </c>
      <c r="B1374" t="s">
        <v>860</v>
      </c>
      <c r="C1374" t="s">
        <v>6958</v>
      </c>
    </row>
    <row r="1375" spans="1:3" hidden="1" x14ac:dyDescent="0.25">
      <c r="A1375" t="s">
        <v>9135</v>
      </c>
      <c r="B1375" t="s">
        <v>3503</v>
      </c>
      <c r="C1375" t="s">
        <v>9136</v>
      </c>
    </row>
    <row r="1376" spans="1:3" hidden="1" x14ac:dyDescent="0.25">
      <c r="A1376" t="s">
        <v>9137</v>
      </c>
      <c r="B1376" t="s">
        <v>3828</v>
      </c>
      <c r="C1376" t="s">
        <v>9138</v>
      </c>
    </row>
    <row r="1377" spans="1:3" hidden="1" x14ac:dyDescent="0.25">
      <c r="A1377" t="s">
        <v>9139</v>
      </c>
      <c r="B1377" t="s">
        <v>159</v>
      </c>
      <c r="C1377" t="s">
        <v>9140</v>
      </c>
    </row>
    <row r="1378" spans="1:3" hidden="1" x14ac:dyDescent="0.25">
      <c r="A1378" t="s">
        <v>9141</v>
      </c>
      <c r="B1378" t="s">
        <v>4424</v>
      </c>
      <c r="C1378" t="s">
        <v>9142</v>
      </c>
    </row>
    <row r="1379" spans="1:3" hidden="1" x14ac:dyDescent="0.25">
      <c r="A1379" t="s">
        <v>9143</v>
      </c>
      <c r="B1379" t="s">
        <v>4618</v>
      </c>
      <c r="C1379" t="s">
        <v>9144</v>
      </c>
    </row>
    <row r="1380" spans="1:3" hidden="1" x14ac:dyDescent="0.25">
      <c r="A1380" t="s">
        <v>9145</v>
      </c>
      <c r="B1380" t="s">
        <v>4042</v>
      </c>
      <c r="C1380" t="s">
        <v>6958</v>
      </c>
    </row>
    <row r="1381" spans="1:3" hidden="1" x14ac:dyDescent="0.25">
      <c r="A1381" t="s">
        <v>9146</v>
      </c>
      <c r="B1381" t="s">
        <v>5552</v>
      </c>
      <c r="C1381" t="s">
        <v>9147</v>
      </c>
    </row>
    <row r="1382" spans="1:3" hidden="1" x14ac:dyDescent="0.25">
      <c r="A1382" t="s">
        <v>9148</v>
      </c>
      <c r="B1382" t="s">
        <v>1840</v>
      </c>
      <c r="C1382" t="s">
        <v>9149</v>
      </c>
    </row>
    <row r="1383" spans="1:3" hidden="1" x14ac:dyDescent="0.25">
      <c r="A1383" t="s">
        <v>9150</v>
      </c>
      <c r="B1383" t="s">
        <v>374</v>
      </c>
      <c r="C1383" t="s">
        <v>6958</v>
      </c>
    </row>
    <row r="1384" spans="1:3" hidden="1" x14ac:dyDescent="0.25">
      <c r="A1384" t="s">
        <v>9151</v>
      </c>
      <c r="B1384" t="s">
        <v>2924</v>
      </c>
      <c r="C1384" t="s">
        <v>9152</v>
      </c>
    </row>
    <row r="1385" spans="1:3" hidden="1" x14ac:dyDescent="0.25">
      <c r="A1385" t="s">
        <v>9153</v>
      </c>
      <c r="B1385" t="s">
        <v>3602</v>
      </c>
      <c r="C1385" t="s">
        <v>9154</v>
      </c>
    </row>
    <row r="1386" spans="1:3" hidden="1" x14ac:dyDescent="0.25">
      <c r="A1386" t="s">
        <v>9155</v>
      </c>
      <c r="B1386" t="s">
        <v>4305</v>
      </c>
      <c r="C1386" t="s">
        <v>9156</v>
      </c>
    </row>
    <row r="1387" spans="1:3" hidden="1" x14ac:dyDescent="0.25">
      <c r="A1387" t="s">
        <v>9157</v>
      </c>
      <c r="B1387" t="s">
        <v>962</v>
      </c>
      <c r="C1387" t="s">
        <v>9158</v>
      </c>
    </row>
    <row r="1388" spans="1:3" hidden="1" x14ac:dyDescent="0.25">
      <c r="A1388" t="s">
        <v>9159</v>
      </c>
      <c r="B1388" t="s">
        <v>814</v>
      </c>
      <c r="C1388" t="s">
        <v>9160</v>
      </c>
    </row>
    <row r="1389" spans="1:3" hidden="1" x14ac:dyDescent="0.25">
      <c r="A1389" t="s">
        <v>9161</v>
      </c>
      <c r="B1389" t="s">
        <v>3871</v>
      </c>
      <c r="C1389" t="s">
        <v>6958</v>
      </c>
    </row>
    <row r="1390" spans="1:3" hidden="1" x14ac:dyDescent="0.25">
      <c r="A1390" t="s">
        <v>9162</v>
      </c>
      <c r="B1390" t="s">
        <v>4920</v>
      </c>
      <c r="C1390" t="s">
        <v>9163</v>
      </c>
    </row>
    <row r="1391" spans="1:3" hidden="1" x14ac:dyDescent="0.25">
      <c r="A1391" t="s">
        <v>9164</v>
      </c>
      <c r="B1391" t="s">
        <v>5291</v>
      </c>
      <c r="C1391" t="s">
        <v>9165</v>
      </c>
    </row>
    <row r="1392" spans="1:3" hidden="1" x14ac:dyDescent="0.25">
      <c r="A1392" t="s">
        <v>9166</v>
      </c>
      <c r="B1392" t="s">
        <v>5506</v>
      </c>
      <c r="C1392" t="s">
        <v>9167</v>
      </c>
    </row>
    <row r="1393" spans="1:3" hidden="1" x14ac:dyDescent="0.25">
      <c r="A1393" t="s">
        <v>9168</v>
      </c>
      <c r="B1393" t="s">
        <v>2871</v>
      </c>
      <c r="C1393" t="s">
        <v>9169</v>
      </c>
    </row>
    <row r="1394" spans="1:3" hidden="1" x14ac:dyDescent="0.25">
      <c r="A1394" t="s">
        <v>9170</v>
      </c>
      <c r="B1394" t="s">
        <v>2700</v>
      </c>
      <c r="C1394" t="s">
        <v>6958</v>
      </c>
    </row>
    <row r="1395" spans="1:3" hidden="1" x14ac:dyDescent="0.25">
      <c r="A1395" t="s">
        <v>9171</v>
      </c>
      <c r="B1395" t="s">
        <v>1615</v>
      </c>
      <c r="C1395" t="s">
        <v>6958</v>
      </c>
    </row>
    <row r="1396" spans="1:3" hidden="1" x14ac:dyDescent="0.25">
      <c r="A1396" t="s">
        <v>9172</v>
      </c>
      <c r="B1396" t="s">
        <v>4919</v>
      </c>
      <c r="C1396" t="s">
        <v>9173</v>
      </c>
    </row>
    <row r="1397" spans="1:3" hidden="1" x14ac:dyDescent="0.25">
      <c r="A1397" t="s">
        <v>9174</v>
      </c>
      <c r="B1397" t="s">
        <v>1801</v>
      </c>
      <c r="C1397" t="s">
        <v>9175</v>
      </c>
    </row>
    <row r="1398" spans="1:3" hidden="1" x14ac:dyDescent="0.25">
      <c r="A1398" t="s">
        <v>9176</v>
      </c>
      <c r="B1398" t="s">
        <v>2841</v>
      </c>
      <c r="C1398" t="s">
        <v>6958</v>
      </c>
    </row>
    <row r="1399" spans="1:3" hidden="1" x14ac:dyDescent="0.25">
      <c r="A1399" t="s">
        <v>9177</v>
      </c>
      <c r="B1399" t="s">
        <v>990</v>
      </c>
      <c r="C1399" t="s">
        <v>6958</v>
      </c>
    </row>
    <row r="1400" spans="1:3" hidden="1" x14ac:dyDescent="0.25">
      <c r="A1400" t="s">
        <v>9178</v>
      </c>
      <c r="B1400" t="s">
        <v>1792</v>
      </c>
      <c r="C1400" t="s">
        <v>9179</v>
      </c>
    </row>
    <row r="1401" spans="1:3" hidden="1" x14ac:dyDescent="0.25">
      <c r="A1401" t="s">
        <v>9180</v>
      </c>
      <c r="B1401" t="s">
        <v>1656</v>
      </c>
      <c r="C1401" t="s">
        <v>9181</v>
      </c>
    </row>
    <row r="1402" spans="1:3" hidden="1" x14ac:dyDescent="0.25">
      <c r="A1402" t="s">
        <v>9182</v>
      </c>
      <c r="B1402" t="s">
        <v>1903</v>
      </c>
      <c r="C1402" t="s">
        <v>6958</v>
      </c>
    </row>
    <row r="1403" spans="1:3" hidden="1" x14ac:dyDescent="0.25">
      <c r="A1403" t="s">
        <v>9183</v>
      </c>
      <c r="B1403" t="s">
        <v>3805</v>
      </c>
      <c r="C1403" t="s">
        <v>9184</v>
      </c>
    </row>
    <row r="1404" spans="1:3" hidden="1" x14ac:dyDescent="0.25">
      <c r="A1404" t="s">
        <v>9185</v>
      </c>
      <c r="B1404" t="s">
        <v>464</v>
      </c>
      <c r="C1404" t="s">
        <v>9186</v>
      </c>
    </row>
    <row r="1405" spans="1:3" hidden="1" x14ac:dyDescent="0.25">
      <c r="A1405" t="s">
        <v>9187</v>
      </c>
      <c r="B1405" t="s">
        <v>2620</v>
      </c>
      <c r="C1405" t="s">
        <v>9188</v>
      </c>
    </row>
    <row r="1406" spans="1:3" hidden="1" x14ac:dyDescent="0.25">
      <c r="A1406" t="s">
        <v>9189</v>
      </c>
      <c r="B1406" t="s">
        <v>2034</v>
      </c>
      <c r="C1406" t="s">
        <v>9190</v>
      </c>
    </row>
    <row r="1407" spans="1:3" hidden="1" x14ac:dyDescent="0.25">
      <c r="A1407" t="s">
        <v>9191</v>
      </c>
      <c r="B1407" t="s">
        <v>2992</v>
      </c>
      <c r="C1407" t="s">
        <v>6958</v>
      </c>
    </row>
    <row r="1408" spans="1:3" hidden="1" x14ac:dyDescent="0.25">
      <c r="A1408" t="s">
        <v>9192</v>
      </c>
      <c r="B1408" t="s">
        <v>5472</v>
      </c>
      <c r="C1408" t="s">
        <v>9193</v>
      </c>
    </row>
    <row r="1409" spans="1:3" hidden="1" x14ac:dyDescent="0.25">
      <c r="A1409" t="s">
        <v>9194</v>
      </c>
      <c r="B1409" t="s">
        <v>2415</v>
      </c>
      <c r="C1409" t="s">
        <v>9195</v>
      </c>
    </row>
    <row r="1410" spans="1:3" hidden="1" x14ac:dyDescent="0.25">
      <c r="A1410" t="s">
        <v>9196</v>
      </c>
      <c r="B1410" t="s">
        <v>2323</v>
      </c>
      <c r="C1410" t="s">
        <v>9197</v>
      </c>
    </row>
    <row r="1411" spans="1:3" hidden="1" x14ac:dyDescent="0.25">
      <c r="A1411" t="s">
        <v>9198</v>
      </c>
      <c r="B1411" t="s">
        <v>4691</v>
      </c>
      <c r="C1411" t="s">
        <v>6958</v>
      </c>
    </row>
    <row r="1412" spans="1:3" hidden="1" x14ac:dyDescent="0.25">
      <c r="A1412" t="s">
        <v>9199</v>
      </c>
      <c r="B1412" t="s">
        <v>1168</v>
      </c>
      <c r="C1412" t="s">
        <v>9200</v>
      </c>
    </row>
    <row r="1413" spans="1:3" hidden="1" x14ac:dyDescent="0.25">
      <c r="A1413" t="s">
        <v>9201</v>
      </c>
      <c r="B1413" t="s">
        <v>1773</v>
      </c>
      <c r="C1413" t="s">
        <v>9202</v>
      </c>
    </row>
    <row r="1414" spans="1:3" hidden="1" x14ac:dyDescent="0.25">
      <c r="A1414" t="s">
        <v>9203</v>
      </c>
      <c r="B1414" t="s">
        <v>180</v>
      </c>
      <c r="C1414" t="s">
        <v>9204</v>
      </c>
    </row>
    <row r="1415" spans="1:3" hidden="1" x14ac:dyDescent="0.25">
      <c r="A1415" t="s">
        <v>9205</v>
      </c>
      <c r="B1415" t="s">
        <v>3320</v>
      </c>
      <c r="C1415" t="s">
        <v>9206</v>
      </c>
    </row>
    <row r="1416" spans="1:3" hidden="1" x14ac:dyDescent="0.25">
      <c r="A1416" t="s">
        <v>9207</v>
      </c>
      <c r="B1416" t="s">
        <v>4324</v>
      </c>
      <c r="C1416" t="s">
        <v>6958</v>
      </c>
    </row>
    <row r="1417" spans="1:3" hidden="1" x14ac:dyDescent="0.25">
      <c r="A1417" t="s">
        <v>9208</v>
      </c>
      <c r="B1417" t="s">
        <v>674</v>
      </c>
      <c r="C1417" t="s">
        <v>6958</v>
      </c>
    </row>
    <row r="1418" spans="1:3" hidden="1" x14ac:dyDescent="0.25">
      <c r="A1418" t="s">
        <v>9209</v>
      </c>
      <c r="B1418" t="s">
        <v>4794</v>
      </c>
      <c r="C1418" t="s">
        <v>6958</v>
      </c>
    </row>
    <row r="1419" spans="1:3" hidden="1" x14ac:dyDescent="0.25">
      <c r="A1419" t="s">
        <v>9210</v>
      </c>
      <c r="B1419" t="s">
        <v>4442</v>
      </c>
      <c r="C1419" t="s">
        <v>9211</v>
      </c>
    </row>
    <row r="1420" spans="1:3" hidden="1" x14ac:dyDescent="0.25">
      <c r="A1420" t="s">
        <v>9212</v>
      </c>
      <c r="B1420" t="s">
        <v>1159</v>
      </c>
      <c r="C1420" t="s">
        <v>9213</v>
      </c>
    </row>
    <row r="1421" spans="1:3" hidden="1" x14ac:dyDescent="0.25">
      <c r="A1421" t="s">
        <v>9214</v>
      </c>
      <c r="B1421" t="s">
        <v>1888</v>
      </c>
      <c r="C1421" t="s">
        <v>9215</v>
      </c>
    </row>
    <row r="1422" spans="1:3" hidden="1" x14ac:dyDescent="0.25">
      <c r="A1422" t="s">
        <v>9216</v>
      </c>
      <c r="B1422" t="s">
        <v>618</v>
      </c>
      <c r="C1422" t="s">
        <v>6958</v>
      </c>
    </row>
    <row r="1423" spans="1:3" hidden="1" x14ac:dyDescent="0.25">
      <c r="A1423" t="s">
        <v>9217</v>
      </c>
      <c r="B1423" t="s">
        <v>2294</v>
      </c>
      <c r="C1423" t="s">
        <v>9218</v>
      </c>
    </row>
    <row r="1424" spans="1:3" hidden="1" x14ac:dyDescent="0.25">
      <c r="A1424" t="s">
        <v>9219</v>
      </c>
      <c r="B1424" t="s">
        <v>1983</v>
      </c>
      <c r="C1424" t="s">
        <v>9220</v>
      </c>
    </row>
    <row r="1425" spans="1:3" hidden="1" x14ac:dyDescent="0.25">
      <c r="A1425" t="s">
        <v>9221</v>
      </c>
      <c r="B1425" t="s">
        <v>4875</v>
      </c>
      <c r="C1425" t="s">
        <v>9222</v>
      </c>
    </row>
    <row r="1426" spans="1:3" hidden="1" x14ac:dyDescent="0.25">
      <c r="A1426" t="s">
        <v>9223</v>
      </c>
      <c r="B1426" t="s">
        <v>2317</v>
      </c>
      <c r="C1426" t="s">
        <v>6958</v>
      </c>
    </row>
    <row r="1427" spans="1:3" hidden="1" x14ac:dyDescent="0.25">
      <c r="A1427" t="s">
        <v>9224</v>
      </c>
      <c r="B1427" t="s">
        <v>5438</v>
      </c>
      <c r="C1427" t="s">
        <v>9225</v>
      </c>
    </row>
    <row r="1428" spans="1:3" hidden="1" x14ac:dyDescent="0.25">
      <c r="A1428" t="s">
        <v>9226</v>
      </c>
      <c r="B1428" t="s">
        <v>3308</v>
      </c>
      <c r="C1428" t="s">
        <v>9227</v>
      </c>
    </row>
    <row r="1429" spans="1:3" hidden="1" x14ac:dyDescent="0.25">
      <c r="A1429" t="s">
        <v>9228</v>
      </c>
      <c r="B1429" t="s">
        <v>4959</v>
      </c>
      <c r="C1429" t="s">
        <v>9229</v>
      </c>
    </row>
    <row r="1430" spans="1:3" hidden="1" x14ac:dyDescent="0.25">
      <c r="A1430" t="s">
        <v>9230</v>
      </c>
      <c r="B1430" t="s">
        <v>3798</v>
      </c>
      <c r="C1430" t="s">
        <v>9231</v>
      </c>
    </row>
    <row r="1431" spans="1:3" hidden="1" x14ac:dyDescent="0.25">
      <c r="A1431" t="s">
        <v>9232</v>
      </c>
      <c r="B1431" t="s">
        <v>2366</v>
      </c>
      <c r="C1431" t="s">
        <v>6958</v>
      </c>
    </row>
    <row r="1432" spans="1:3" hidden="1" x14ac:dyDescent="0.25">
      <c r="A1432" t="s">
        <v>9233</v>
      </c>
      <c r="B1432" t="s">
        <v>5114</v>
      </c>
      <c r="C1432" t="s">
        <v>9234</v>
      </c>
    </row>
    <row r="1433" spans="1:3" hidden="1" x14ac:dyDescent="0.25">
      <c r="A1433" t="s">
        <v>9235</v>
      </c>
      <c r="B1433" t="s">
        <v>2373</v>
      </c>
      <c r="C1433" t="s">
        <v>6958</v>
      </c>
    </row>
    <row r="1434" spans="1:3" hidden="1" x14ac:dyDescent="0.25">
      <c r="A1434" t="s">
        <v>9236</v>
      </c>
      <c r="B1434" t="s">
        <v>929</v>
      </c>
      <c r="C1434" t="s">
        <v>6958</v>
      </c>
    </row>
    <row r="1435" spans="1:3" hidden="1" x14ac:dyDescent="0.25">
      <c r="A1435" t="s">
        <v>9237</v>
      </c>
      <c r="B1435" t="s">
        <v>755</v>
      </c>
      <c r="C1435" t="s">
        <v>9238</v>
      </c>
    </row>
    <row r="1436" spans="1:3" hidden="1" x14ac:dyDescent="0.25">
      <c r="A1436" t="s">
        <v>9239</v>
      </c>
      <c r="B1436" t="s">
        <v>1561</v>
      </c>
      <c r="C1436" t="s">
        <v>9240</v>
      </c>
    </row>
    <row r="1437" spans="1:3" hidden="1" x14ac:dyDescent="0.25">
      <c r="A1437" t="s">
        <v>9241</v>
      </c>
      <c r="B1437" t="s">
        <v>4961</v>
      </c>
      <c r="C1437" t="s">
        <v>6958</v>
      </c>
    </row>
    <row r="1438" spans="1:3" hidden="1" x14ac:dyDescent="0.25">
      <c r="A1438" t="s">
        <v>9242</v>
      </c>
      <c r="B1438" t="s">
        <v>4734</v>
      </c>
      <c r="C1438" t="s">
        <v>9243</v>
      </c>
    </row>
    <row r="1439" spans="1:3" hidden="1" x14ac:dyDescent="0.25">
      <c r="A1439" t="s">
        <v>9244</v>
      </c>
      <c r="B1439" t="s">
        <v>1455</v>
      </c>
      <c r="C1439" t="s">
        <v>6958</v>
      </c>
    </row>
    <row r="1440" spans="1:3" hidden="1" x14ac:dyDescent="0.25">
      <c r="A1440" t="s">
        <v>9245</v>
      </c>
      <c r="B1440" t="s">
        <v>2564</v>
      </c>
      <c r="C1440" t="s">
        <v>9246</v>
      </c>
    </row>
    <row r="1441" spans="1:3" hidden="1" x14ac:dyDescent="0.25">
      <c r="A1441" t="s">
        <v>9247</v>
      </c>
      <c r="B1441" t="s">
        <v>5329</v>
      </c>
      <c r="C1441" t="s">
        <v>9248</v>
      </c>
    </row>
    <row r="1442" spans="1:3" hidden="1" x14ac:dyDescent="0.25">
      <c r="A1442" t="s">
        <v>9249</v>
      </c>
      <c r="B1442" t="s">
        <v>1099</v>
      </c>
      <c r="C1442" t="s">
        <v>9250</v>
      </c>
    </row>
    <row r="1443" spans="1:3" hidden="1" x14ac:dyDescent="0.25">
      <c r="A1443" t="s">
        <v>9251</v>
      </c>
      <c r="B1443" t="s">
        <v>1765</v>
      </c>
      <c r="C1443" t="s">
        <v>9252</v>
      </c>
    </row>
    <row r="1444" spans="1:3" hidden="1" x14ac:dyDescent="0.25">
      <c r="A1444" t="s">
        <v>9253</v>
      </c>
      <c r="B1444" t="s">
        <v>1808</v>
      </c>
      <c r="C1444" t="s">
        <v>6958</v>
      </c>
    </row>
    <row r="1445" spans="1:3" hidden="1" x14ac:dyDescent="0.25">
      <c r="A1445" t="s">
        <v>9254</v>
      </c>
      <c r="B1445" t="s">
        <v>4560</v>
      </c>
      <c r="C1445" t="s">
        <v>9255</v>
      </c>
    </row>
    <row r="1446" spans="1:3" hidden="1" x14ac:dyDescent="0.25">
      <c r="A1446" t="s">
        <v>9256</v>
      </c>
      <c r="B1446" t="s">
        <v>1695</v>
      </c>
      <c r="C1446" t="s">
        <v>9257</v>
      </c>
    </row>
    <row r="1447" spans="1:3" hidden="1" x14ac:dyDescent="0.25">
      <c r="A1447" t="s">
        <v>9258</v>
      </c>
      <c r="B1447" t="s">
        <v>4164</v>
      </c>
      <c r="C1447" t="s">
        <v>9259</v>
      </c>
    </row>
    <row r="1448" spans="1:3" hidden="1" x14ac:dyDescent="0.25">
      <c r="A1448" t="s">
        <v>9260</v>
      </c>
      <c r="B1448" t="s">
        <v>1880</v>
      </c>
      <c r="C1448" t="s">
        <v>6958</v>
      </c>
    </row>
    <row r="1449" spans="1:3" hidden="1" x14ac:dyDescent="0.25">
      <c r="A1449" t="s">
        <v>9261</v>
      </c>
      <c r="B1449" t="s">
        <v>2119</v>
      </c>
      <c r="C1449" t="s">
        <v>6958</v>
      </c>
    </row>
    <row r="1450" spans="1:3" hidden="1" x14ac:dyDescent="0.25">
      <c r="A1450" t="s">
        <v>9262</v>
      </c>
      <c r="B1450" t="s">
        <v>943</v>
      </c>
      <c r="C1450" t="s">
        <v>6958</v>
      </c>
    </row>
    <row r="1451" spans="1:3" hidden="1" x14ac:dyDescent="0.25">
      <c r="A1451" t="s">
        <v>9263</v>
      </c>
      <c r="B1451" t="s">
        <v>2534</v>
      </c>
      <c r="C1451" t="s">
        <v>9264</v>
      </c>
    </row>
    <row r="1452" spans="1:3" hidden="1" x14ac:dyDescent="0.25">
      <c r="A1452" t="s">
        <v>9265</v>
      </c>
      <c r="B1452" t="s">
        <v>3901</v>
      </c>
      <c r="C1452" t="s">
        <v>9266</v>
      </c>
    </row>
    <row r="1453" spans="1:3" hidden="1" x14ac:dyDescent="0.25">
      <c r="A1453" t="s">
        <v>9267</v>
      </c>
      <c r="B1453" t="s">
        <v>4540</v>
      </c>
      <c r="C1453" t="s">
        <v>6958</v>
      </c>
    </row>
    <row r="1454" spans="1:3" hidden="1" x14ac:dyDescent="0.25">
      <c r="A1454" t="s">
        <v>9268</v>
      </c>
      <c r="B1454" t="s">
        <v>4096</v>
      </c>
      <c r="C1454" t="s">
        <v>6958</v>
      </c>
    </row>
    <row r="1455" spans="1:3" hidden="1" x14ac:dyDescent="0.25">
      <c r="A1455" t="s">
        <v>9269</v>
      </c>
      <c r="B1455" t="s">
        <v>3167</v>
      </c>
      <c r="C1455" t="s">
        <v>9270</v>
      </c>
    </row>
    <row r="1456" spans="1:3" hidden="1" x14ac:dyDescent="0.25">
      <c r="A1456" t="s">
        <v>9271</v>
      </c>
      <c r="B1456" t="s">
        <v>596</v>
      </c>
      <c r="C1456" t="s">
        <v>9272</v>
      </c>
    </row>
    <row r="1457" spans="1:3" hidden="1" x14ac:dyDescent="0.25">
      <c r="A1457" t="s">
        <v>9273</v>
      </c>
      <c r="B1457" t="s">
        <v>2689</v>
      </c>
      <c r="C1457" t="s">
        <v>9274</v>
      </c>
    </row>
    <row r="1458" spans="1:3" hidden="1" x14ac:dyDescent="0.25">
      <c r="A1458" t="s">
        <v>9275</v>
      </c>
      <c r="B1458" t="s">
        <v>2365</v>
      </c>
      <c r="C1458" t="s">
        <v>6958</v>
      </c>
    </row>
    <row r="1459" spans="1:3" hidden="1" x14ac:dyDescent="0.25">
      <c r="A1459" t="s">
        <v>9276</v>
      </c>
      <c r="B1459" t="s">
        <v>1678</v>
      </c>
      <c r="C1459" t="s">
        <v>6958</v>
      </c>
    </row>
    <row r="1460" spans="1:3" hidden="1" x14ac:dyDescent="0.25">
      <c r="A1460" t="s">
        <v>9277</v>
      </c>
      <c r="B1460" t="s">
        <v>758</v>
      </c>
      <c r="C1460" t="s">
        <v>9278</v>
      </c>
    </row>
    <row r="1461" spans="1:3" hidden="1" x14ac:dyDescent="0.25">
      <c r="A1461" t="s">
        <v>9279</v>
      </c>
      <c r="B1461" t="s">
        <v>4446</v>
      </c>
      <c r="C1461" t="s">
        <v>6958</v>
      </c>
    </row>
    <row r="1462" spans="1:3" hidden="1" x14ac:dyDescent="0.25">
      <c r="A1462" t="s">
        <v>9280</v>
      </c>
      <c r="B1462" t="s">
        <v>1187</v>
      </c>
      <c r="C1462" t="s">
        <v>6958</v>
      </c>
    </row>
    <row r="1463" spans="1:3" hidden="1" x14ac:dyDescent="0.25">
      <c r="A1463" t="s">
        <v>9281</v>
      </c>
      <c r="B1463" t="s">
        <v>1990</v>
      </c>
      <c r="C1463" t="s">
        <v>9282</v>
      </c>
    </row>
    <row r="1464" spans="1:3" hidden="1" x14ac:dyDescent="0.25">
      <c r="A1464" t="s">
        <v>9283</v>
      </c>
      <c r="B1464" t="s">
        <v>3620</v>
      </c>
      <c r="C1464" t="s">
        <v>9284</v>
      </c>
    </row>
    <row r="1465" spans="1:3" hidden="1" x14ac:dyDescent="0.25">
      <c r="A1465" t="s">
        <v>9285</v>
      </c>
      <c r="B1465" t="s">
        <v>1764</v>
      </c>
      <c r="C1465" t="s">
        <v>9286</v>
      </c>
    </row>
    <row r="1466" spans="1:3" hidden="1" x14ac:dyDescent="0.25">
      <c r="A1466" t="s">
        <v>9287</v>
      </c>
      <c r="B1466" t="s">
        <v>3487</v>
      </c>
      <c r="C1466" t="s">
        <v>9288</v>
      </c>
    </row>
    <row r="1467" spans="1:3" hidden="1" x14ac:dyDescent="0.25">
      <c r="A1467" t="s">
        <v>9289</v>
      </c>
      <c r="B1467" t="s">
        <v>5254</v>
      </c>
      <c r="C1467" t="s">
        <v>9290</v>
      </c>
    </row>
    <row r="1468" spans="1:3" hidden="1" x14ac:dyDescent="0.25">
      <c r="A1468" t="s">
        <v>9291</v>
      </c>
      <c r="B1468" t="s">
        <v>4107</v>
      </c>
      <c r="C1468" t="s">
        <v>9292</v>
      </c>
    </row>
    <row r="1469" spans="1:3" hidden="1" x14ac:dyDescent="0.25">
      <c r="A1469" t="s">
        <v>9293</v>
      </c>
      <c r="B1469" t="s">
        <v>4900</v>
      </c>
      <c r="C1469" t="s">
        <v>6958</v>
      </c>
    </row>
    <row r="1470" spans="1:3" hidden="1" x14ac:dyDescent="0.25">
      <c r="A1470" t="s">
        <v>9294</v>
      </c>
      <c r="B1470" t="s">
        <v>2397</v>
      </c>
      <c r="C1470" t="s">
        <v>6958</v>
      </c>
    </row>
    <row r="1471" spans="1:3" hidden="1" x14ac:dyDescent="0.25">
      <c r="A1471" t="s">
        <v>9295</v>
      </c>
      <c r="B1471" t="s">
        <v>5255</v>
      </c>
      <c r="C1471" t="s">
        <v>9296</v>
      </c>
    </row>
    <row r="1472" spans="1:3" hidden="1" x14ac:dyDescent="0.25">
      <c r="A1472" t="s">
        <v>9297</v>
      </c>
      <c r="B1472" t="s">
        <v>2008</v>
      </c>
      <c r="C1472" t="s">
        <v>9298</v>
      </c>
    </row>
    <row r="1473" spans="1:3" hidden="1" x14ac:dyDescent="0.25">
      <c r="A1473" t="s">
        <v>9299</v>
      </c>
      <c r="B1473" t="s">
        <v>5646</v>
      </c>
      <c r="C1473" t="s">
        <v>9300</v>
      </c>
    </row>
    <row r="1474" spans="1:3" hidden="1" x14ac:dyDescent="0.25">
      <c r="A1474" t="s">
        <v>9301</v>
      </c>
      <c r="B1474" t="s">
        <v>4801</v>
      </c>
      <c r="C1474" t="s">
        <v>6958</v>
      </c>
    </row>
    <row r="1475" spans="1:3" hidden="1" x14ac:dyDescent="0.25">
      <c r="A1475" t="s">
        <v>9302</v>
      </c>
      <c r="B1475" t="s">
        <v>4408</v>
      </c>
      <c r="C1475" t="s">
        <v>9303</v>
      </c>
    </row>
    <row r="1476" spans="1:3" hidden="1" x14ac:dyDescent="0.25">
      <c r="A1476" t="s">
        <v>9304</v>
      </c>
      <c r="B1476" t="s">
        <v>3679</v>
      </c>
      <c r="C1476" t="s">
        <v>7036</v>
      </c>
    </row>
    <row r="1477" spans="1:3" hidden="1" x14ac:dyDescent="0.25">
      <c r="A1477" t="s">
        <v>9305</v>
      </c>
      <c r="B1477" t="s">
        <v>4251</v>
      </c>
      <c r="C1477" t="s">
        <v>9306</v>
      </c>
    </row>
    <row r="1478" spans="1:3" hidden="1" x14ac:dyDescent="0.25">
      <c r="A1478" t="s">
        <v>9307</v>
      </c>
      <c r="B1478" t="s">
        <v>3074</v>
      </c>
      <c r="C1478" t="s">
        <v>9308</v>
      </c>
    </row>
    <row r="1479" spans="1:3" hidden="1" x14ac:dyDescent="0.25">
      <c r="A1479" t="s">
        <v>9309</v>
      </c>
      <c r="B1479" t="s">
        <v>4006</v>
      </c>
      <c r="C1479" t="s">
        <v>9310</v>
      </c>
    </row>
    <row r="1480" spans="1:3" hidden="1" x14ac:dyDescent="0.25">
      <c r="A1480" t="s">
        <v>9311</v>
      </c>
      <c r="B1480" t="s">
        <v>2800</v>
      </c>
      <c r="C1480" t="s">
        <v>9312</v>
      </c>
    </row>
    <row r="1481" spans="1:3" hidden="1" x14ac:dyDescent="0.25">
      <c r="A1481" t="s">
        <v>9313</v>
      </c>
      <c r="B1481" t="s">
        <v>1329</v>
      </c>
      <c r="C1481" t="s">
        <v>9314</v>
      </c>
    </row>
    <row r="1482" spans="1:3" hidden="1" x14ac:dyDescent="0.25">
      <c r="A1482" t="s">
        <v>9315</v>
      </c>
      <c r="B1482" t="s">
        <v>96</v>
      </c>
      <c r="C1482" t="s">
        <v>9316</v>
      </c>
    </row>
    <row r="1483" spans="1:3" hidden="1" x14ac:dyDescent="0.25">
      <c r="A1483" t="s">
        <v>9317</v>
      </c>
      <c r="B1483" t="s">
        <v>3469</v>
      </c>
      <c r="C1483" t="s">
        <v>9318</v>
      </c>
    </row>
    <row r="1484" spans="1:3" hidden="1" x14ac:dyDescent="0.25">
      <c r="A1484" t="s">
        <v>9319</v>
      </c>
      <c r="B1484" t="s">
        <v>2690</v>
      </c>
      <c r="C1484" t="s">
        <v>6958</v>
      </c>
    </row>
    <row r="1485" spans="1:3" hidden="1" x14ac:dyDescent="0.25">
      <c r="A1485" t="s">
        <v>9320</v>
      </c>
      <c r="B1485" t="s">
        <v>1567</v>
      </c>
      <c r="C1485" t="s">
        <v>6958</v>
      </c>
    </row>
    <row r="1486" spans="1:3" hidden="1" x14ac:dyDescent="0.25">
      <c r="A1486" t="s">
        <v>9321</v>
      </c>
      <c r="B1486" t="s">
        <v>1255</v>
      </c>
      <c r="C1486" t="s">
        <v>6958</v>
      </c>
    </row>
    <row r="1487" spans="1:3" hidden="1" x14ac:dyDescent="0.25">
      <c r="A1487" t="s">
        <v>9322</v>
      </c>
      <c r="B1487" t="s">
        <v>2976</v>
      </c>
      <c r="C1487" t="s">
        <v>9323</v>
      </c>
    </row>
    <row r="1488" spans="1:3" hidden="1" x14ac:dyDescent="0.25">
      <c r="A1488" t="s">
        <v>9324</v>
      </c>
      <c r="B1488" t="s">
        <v>1586</v>
      </c>
      <c r="C1488" t="s">
        <v>9325</v>
      </c>
    </row>
    <row r="1489" spans="1:3" hidden="1" x14ac:dyDescent="0.25">
      <c r="A1489" t="s">
        <v>9326</v>
      </c>
      <c r="B1489" t="s">
        <v>5088</v>
      </c>
      <c r="C1489" t="s">
        <v>9327</v>
      </c>
    </row>
    <row r="1490" spans="1:3" hidden="1" x14ac:dyDescent="0.25">
      <c r="A1490" t="s">
        <v>9328</v>
      </c>
      <c r="B1490" t="s">
        <v>4359</v>
      </c>
      <c r="C1490" t="s">
        <v>6958</v>
      </c>
    </row>
    <row r="1491" spans="1:3" hidden="1" x14ac:dyDescent="0.25">
      <c r="A1491" t="s">
        <v>9329</v>
      </c>
      <c r="B1491" t="s">
        <v>2199</v>
      </c>
      <c r="C1491" t="s">
        <v>9330</v>
      </c>
    </row>
    <row r="1492" spans="1:3" hidden="1" x14ac:dyDescent="0.25">
      <c r="A1492" t="s">
        <v>9331</v>
      </c>
      <c r="B1492" t="s">
        <v>2606</v>
      </c>
      <c r="C1492" t="s">
        <v>9332</v>
      </c>
    </row>
    <row r="1493" spans="1:3" hidden="1" x14ac:dyDescent="0.25">
      <c r="A1493" t="s">
        <v>9333</v>
      </c>
      <c r="B1493" t="s">
        <v>3784</v>
      </c>
      <c r="C1493" t="s">
        <v>9334</v>
      </c>
    </row>
    <row r="1494" spans="1:3" hidden="1" x14ac:dyDescent="0.25">
      <c r="A1494" t="s">
        <v>9335</v>
      </c>
      <c r="B1494" t="s">
        <v>5041</v>
      </c>
      <c r="C1494" t="s">
        <v>6958</v>
      </c>
    </row>
    <row r="1495" spans="1:3" hidden="1" x14ac:dyDescent="0.25">
      <c r="A1495" t="s">
        <v>9336</v>
      </c>
      <c r="B1495" t="s">
        <v>2405</v>
      </c>
      <c r="C1495" t="s">
        <v>6958</v>
      </c>
    </row>
    <row r="1496" spans="1:3" hidden="1" x14ac:dyDescent="0.25">
      <c r="A1496" t="s">
        <v>9337</v>
      </c>
      <c r="B1496" t="s">
        <v>936</v>
      </c>
      <c r="C1496" t="s">
        <v>9338</v>
      </c>
    </row>
    <row r="1497" spans="1:3" hidden="1" x14ac:dyDescent="0.25">
      <c r="A1497" t="s">
        <v>9339</v>
      </c>
      <c r="B1497" t="s">
        <v>3997</v>
      </c>
      <c r="C1497" t="s">
        <v>9340</v>
      </c>
    </row>
    <row r="1498" spans="1:3" hidden="1" x14ac:dyDescent="0.25">
      <c r="A1498" t="s">
        <v>9341</v>
      </c>
      <c r="B1498" t="s">
        <v>1386</v>
      </c>
      <c r="C1498" t="s">
        <v>6958</v>
      </c>
    </row>
    <row r="1499" spans="1:3" hidden="1" x14ac:dyDescent="0.25">
      <c r="A1499" t="s">
        <v>9342</v>
      </c>
      <c r="B1499" t="s">
        <v>1071</v>
      </c>
      <c r="C1499" t="s">
        <v>9343</v>
      </c>
    </row>
    <row r="1500" spans="1:3" hidden="1" x14ac:dyDescent="0.25">
      <c r="A1500" t="s">
        <v>9344</v>
      </c>
      <c r="B1500" t="s">
        <v>9345</v>
      </c>
      <c r="C1500" t="s">
        <v>9346</v>
      </c>
    </row>
    <row r="1501" spans="1:3" hidden="1" x14ac:dyDescent="0.25">
      <c r="A1501" t="s">
        <v>9347</v>
      </c>
      <c r="B1501" t="s">
        <v>4926</v>
      </c>
      <c r="C1501" t="s">
        <v>6958</v>
      </c>
    </row>
    <row r="1502" spans="1:3" hidden="1" x14ac:dyDescent="0.25">
      <c r="A1502" t="s">
        <v>9348</v>
      </c>
      <c r="B1502" t="s">
        <v>2379</v>
      </c>
      <c r="C1502" t="s">
        <v>9349</v>
      </c>
    </row>
    <row r="1503" spans="1:3" hidden="1" x14ac:dyDescent="0.25">
      <c r="A1503" t="s">
        <v>9350</v>
      </c>
      <c r="B1503" t="s">
        <v>2987</v>
      </c>
      <c r="C1503" t="s">
        <v>9351</v>
      </c>
    </row>
    <row r="1504" spans="1:3" hidden="1" x14ac:dyDescent="0.25">
      <c r="A1504" t="s">
        <v>9352</v>
      </c>
      <c r="B1504" t="s">
        <v>2499</v>
      </c>
      <c r="C1504" t="s">
        <v>6958</v>
      </c>
    </row>
    <row r="1505" spans="1:3" hidden="1" x14ac:dyDescent="0.25">
      <c r="A1505" t="s">
        <v>9353</v>
      </c>
      <c r="B1505" t="s">
        <v>926</v>
      </c>
      <c r="C1505" t="s">
        <v>9354</v>
      </c>
    </row>
    <row r="1506" spans="1:3" hidden="1" x14ac:dyDescent="0.25">
      <c r="A1506" t="s">
        <v>9355</v>
      </c>
      <c r="B1506" t="s">
        <v>5529</v>
      </c>
      <c r="C1506" t="s">
        <v>6958</v>
      </c>
    </row>
    <row r="1507" spans="1:3" hidden="1" x14ac:dyDescent="0.25">
      <c r="A1507" t="s">
        <v>9356</v>
      </c>
      <c r="B1507" t="s">
        <v>1683</v>
      </c>
      <c r="C1507" t="s">
        <v>9357</v>
      </c>
    </row>
    <row r="1508" spans="1:3" hidden="1" x14ac:dyDescent="0.25">
      <c r="A1508" t="s">
        <v>9358</v>
      </c>
      <c r="B1508" t="s">
        <v>141</v>
      </c>
      <c r="C1508" t="s">
        <v>6958</v>
      </c>
    </row>
    <row r="1509" spans="1:3" hidden="1" x14ac:dyDescent="0.25">
      <c r="A1509" t="s">
        <v>9359</v>
      </c>
      <c r="B1509" t="s">
        <v>4752</v>
      </c>
      <c r="C1509" t="s">
        <v>6958</v>
      </c>
    </row>
    <row r="1510" spans="1:3" hidden="1" x14ac:dyDescent="0.25">
      <c r="A1510" t="s">
        <v>9360</v>
      </c>
      <c r="B1510" t="s">
        <v>3884</v>
      </c>
      <c r="C1510" t="s">
        <v>9361</v>
      </c>
    </row>
    <row r="1511" spans="1:3" hidden="1" x14ac:dyDescent="0.25">
      <c r="A1511" t="s">
        <v>9362</v>
      </c>
      <c r="B1511" t="s">
        <v>268</v>
      </c>
      <c r="C1511" t="s">
        <v>9363</v>
      </c>
    </row>
    <row r="1512" spans="1:3" hidden="1" x14ac:dyDescent="0.25">
      <c r="A1512" t="s">
        <v>9364</v>
      </c>
      <c r="B1512" t="s">
        <v>3498</v>
      </c>
      <c r="C1512" t="s">
        <v>6958</v>
      </c>
    </row>
    <row r="1513" spans="1:3" hidden="1" x14ac:dyDescent="0.25">
      <c r="A1513" t="s">
        <v>9365</v>
      </c>
      <c r="B1513" t="s">
        <v>5288</v>
      </c>
      <c r="C1513" t="s">
        <v>6958</v>
      </c>
    </row>
    <row r="1514" spans="1:3" hidden="1" x14ac:dyDescent="0.25">
      <c r="A1514" t="s">
        <v>9366</v>
      </c>
      <c r="B1514" t="s">
        <v>1820</v>
      </c>
      <c r="C1514" t="s">
        <v>9367</v>
      </c>
    </row>
    <row r="1515" spans="1:3" hidden="1" x14ac:dyDescent="0.25">
      <c r="A1515" t="s">
        <v>9368</v>
      </c>
      <c r="B1515" t="s">
        <v>373</v>
      </c>
      <c r="C1515" t="s">
        <v>6958</v>
      </c>
    </row>
    <row r="1516" spans="1:3" hidden="1" x14ac:dyDescent="0.25">
      <c r="A1516" t="s">
        <v>9369</v>
      </c>
      <c r="B1516" t="s">
        <v>4945</v>
      </c>
      <c r="C1516" t="s">
        <v>9370</v>
      </c>
    </row>
    <row r="1517" spans="1:3" hidden="1" x14ac:dyDescent="0.25">
      <c r="A1517" t="s">
        <v>9371</v>
      </c>
      <c r="B1517" t="s">
        <v>3975</v>
      </c>
      <c r="C1517" t="s">
        <v>9372</v>
      </c>
    </row>
    <row r="1518" spans="1:3" x14ac:dyDescent="0.25">
      <c r="A1518" t="s">
        <v>9373</v>
      </c>
      <c r="B1518" t="s">
        <v>64</v>
      </c>
      <c r="C1518" t="s">
        <v>7271</v>
      </c>
    </row>
    <row r="1519" spans="1:3" x14ac:dyDescent="0.25">
      <c r="A1519" t="s">
        <v>9374</v>
      </c>
      <c r="B1519" t="s">
        <v>154</v>
      </c>
      <c r="C1519" t="s">
        <v>7271</v>
      </c>
    </row>
    <row r="1520" spans="1:3" hidden="1" x14ac:dyDescent="0.25">
      <c r="A1520" t="s">
        <v>9375</v>
      </c>
      <c r="B1520" t="s">
        <v>30</v>
      </c>
      <c r="C1520" t="s">
        <v>6958</v>
      </c>
    </row>
    <row r="1521" spans="1:3" hidden="1" x14ac:dyDescent="0.25">
      <c r="A1521" t="s">
        <v>9376</v>
      </c>
      <c r="B1521" t="s">
        <v>9377</v>
      </c>
      <c r="C1521" t="s">
        <v>9378</v>
      </c>
    </row>
    <row r="1522" spans="1:3" hidden="1" x14ac:dyDescent="0.25">
      <c r="A1522" t="s">
        <v>9379</v>
      </c>
      <c r="B1522" t="s">
        <v>1051</v>
      </c>
      <c r="C1522" t="s">
        <v>9380</v>
      </c>
    </row>
    <row r="1523" spans="1:3" hidden="1" x14ac:dyDescent="0.25">
      <c r="A1523" t="s">
        <v>9381</v>
      </c>
      <c r="B1523" t="s">
        <v>616</v>
      </c>
      <c r="C1523" t="s">
        <v>6958</v>
      </c>
    </row>
    <row r="1524" spans="1:3" hidden="1" x14ac:dyDescent="0.25">
      <c r="A1524" t="s">
        <v>9382</v>
      </c>
      <c r="B1524" t="s">
        <v>3148</v>
      </c>
      <c r="C1524" t="s">
        <v>9383</v>
      </c>
    </row>
    <row r="1525" spans="1:3" hidden="1" x14ac:dyDescent="0.25">
      <c r="A1525" t="s">
        <v>9384</v>
      </c>
      <c r="B1525" t="s">
        <v>4555</v>
      </c>
      <c r="C1525" t="s">
        <v>9385</v>
      </c>
    </row>
    <row r="1526" spans="1:3" hidden="1" x14ac:dyDescent="0.25">
      <c r="A1526" t="s">
        <v>9386</v>
      </c>
      <c r="B1526" t="s">
        <v>4388</v>
      </c>
      <c r="C1526" t="s">
        <v>6958</v>
      </c>
    </row>
    <row r="1527" spans="1:3" hidden="1" x14ac:dyDescent="0.25">
      <c r="A1527" t="s">
        <v>9387</v>
      </c>
      <c r="B1527" t="s">
        <v>45</v>
      </c>
      <c r="C1527" t="s">
        <v>9388</v>
      </c>
    </row>
    <row r="1528" spans="1:3" hidden="1" x14ac:dyDescent="0.25">
      <c r="A1528" t="s">
        <v>9389</v>
      </c>
      <c r="B1528" t="s">
        <v>5563</v>
      </c>
      <c r="C1528" t="s">
        <v>9390</v>
      </c>
    </row>
    <row r="1529" spans="1:3" hidden="1" x14ac:dyDescent="0.25">
      <c r="A1529" t="s">
        <v>9391</v>
      </c>
      <c r="B1529" t="s">
        <v>2357</v>
      </c>
      <c r="C1529" t="s">
        <v>9392</v>
      </c>
    </row>
    <row r="1530" spans="1:3" hidden="1" x14ac:dyDescent="0.25">
      <c r="A1530" t="s">
        <v>9393</v>
      </c>
      <c r="B1530" t="s">
        <v>1505</v>
      </c>
      <c r="C1530" t="s">
        <v>9394</v>
      </c>
    </row>
    <row r="1531" spans="1:3" hidden="1" x14ac:dyDescent="0.25">
      <c r="A1531" t="s">
        <v>9395</v>
      </c>
      <c r="B1531" t="s">
        <v>4749</v>
      </c>
      <c r="C1531" t="s">
        <v>9396</v>
      </c>
    </row>
    <row r="1532" spans="1:3" hidden="1" x14ac:dyDescent="0.25">
      <c r="A1532" t="s">
        <v>9397</v>
      </c>
      <c r="B1532" t="s">
        <v>2000</v>
      </c>
      <c r="C1532" t="s">
        <v>9398</v>
      </c>
    </row>
    <row r="1533" spans="1:3" hidden="1" x14ac:dyDescent="0.25">
      <c r="A1533" t="s">
        <v>9399</v>
      </c>
      <c r="B1533" t="s">
        <v>1217</v>
      </c>
      <c r="C1533" t="s">
        <v>9400</v>
      </c>
    </row>
    <row r="1534" spans="1:3" hidden="1" x14ac:dyDescent="0.25">
      <c r="A1534" t="s">
        <v>9401</v>
      </c>
      <c r="B1534" t="s">
        <v>4180</v>
      </c>
      <c r="C1534" t="s">
        <v>6958</v>
      </c>
    </row>
    <row r="1535" spans="1:3" hidden="1" x14ac:dyDescent="0.25">
      <c r="A1535" t="s">
        <v>9402</v>
      </c>
      <c r="B1535" t="s">
        <v>1679</v>
      </c>
      <c r="C1535" t="s">
        <v>9403</v>
      </c>
    </row>
    <row r="1536" spans="1:3" hidden="1" x14ac:dyDescent="0.25">
      <c r="A1536" t="s">
        <v>9404</v>
      </c>
      <c r="B1536" t="s">
        <v>1170</v>
      </c>
      <c r="C1536" t="s">
        <v>6958</v>
      </c>
    </row>
    <row r="1537" spans="1:3" hidden="1" x14ac:dyDescent="0.25">
      <c r="A1537" t="s">
        <v>9405</v>
      </c>
      <c r="B1537" t="s">
        <v>4244</v>
      </c>
      <c r="C1537" t="s">
        <v>9406</v>
      </c>
    </row>
    <row r="1538" spans="1:3" hidden="1" x14ac:dyDescent="0.25">
      <c r="A1538" t="s">
        <v>9407</v>
      </c>
      <c r="B1538" t="s">
        <v>2198</v>
      </c>
      <c r="C1538" t="s">
        <v>6958</v>
      </c>
    </row>
    <row r="1539" spans="1:3" hidden="1" x14ac:dyDescent="0.25">
      <c r="A1539" t="s">
        <v>9408</v>
      </c>
      <c r="B1539" t="s">
        <v>4395</v>
      </c>
      <c r="C1539" t="s">
        <v>9409</v>
      </c>
    </row>
    <row r="1540" spans="1:3" hidden="1" x14ac:dyDescent="0.25">
      <c r="A1540" t="s">
        <v>9410</v>
      </c>
      <c r="B1540" t="s">
        <v>4317</v>
      </c>
      <c r="C1540" t="s">
        <v>9411</v>
      </c>
    </row>
    <row r="1541" spans="1:3" hidden="1" x14ac:dyDescent="0.25">
      <c r="A1541" t="s">
        <v>9412</v>
      </c>
      <c r="B1541" t="s">
        <v>5008</v>
      </c>
      <c r="C1541" t="s">
        <v>9413</v>
      </c>
    </row>
    <row r="1542" spans="1:3" hidden="1" x14ac:dyDescent="0.25">
      <c r="A1542" t="s">
        <v>9414</v>
      </c>
      <c r="B1542" t="s">
        <v>472</v>
      </c>
      <c r="C1542" t="s">
        <v>9415</v>
      </c>
    </row>
    <row r="1543" spans="1:3" hidden="1" x14ac:dyDescent="0.25">
      <c r="A1543" t="s">
        <v>9416</v>
      </c>
      <c r="B1543" t="s">
        <v>4800</v>
      </c>
      <c r="C1543" t="s">
        <v>6958</v>
      </c>
    </row>
    <row r="1544" spans="1:3" hidden="1" x14ac:dyDescent="0.25">
      <c r="A1544" t="s">
        <v>9417</v>
      </c>
      <c r="B1544" t="s">
        <v>4025</v>
      </c>
      <c r="C1544" t="s">
        <v>6958</v>
      </c>
    </row>
    <row r="1545" spans="1:3" hidden="1" x14ac:dyDescent="0.25">
      <c r="A1545" t="s">
        <v>9418</v>
      </c>
      <c r="B1545" t="s">
        <v>1769</v>
      </c>
      <c r="C1545" t="s">
        <v>6958</v>
      </c>
    </row>
    <row r="1546" spans="1:3" hidden="1" x14ac:dyDescent="0.25">
      <c r="A1546" t="s">
        <v>9419</v>
      </c>
      <c r="B1546" t="s">
        <v>1076</v>
      </c>
      <c r="C1546" t="s">
        <v>9420</v>
      </c>
    </row>
    <row r="1547" spans="1:3" hidden="1" x14ac:dyDescent="0.25">
      <c r="A1547" t="s">
        <v>9421</v>
      </c>
      <c r="B1547" t="s">
        <v>638</v>
      </c>
      <c r="C1547" t="s">
        <v>9422</v>
      </c>
    </row>
    <row r="1548" spans="1:3" hidden="1" x14ac:dyDescent="0.25">
      <c r="A1548" t="s">
        <v>9423</v>
      </c>
      <c r="B1548" t="s">
        <v>931</v>
      </c>
      <c r="C1548" t="s">
        <v>9424</v>
      </c>
    </row>
    <row r="1549" spans="1:3" hidden="1" x14ac:dyDescent="0.25">
      <c r="A1549" t="s">
        <v>9425</v>
      </c>
      <c r="B1549" t="s">
        <v>2168</v>
      </c>
      <c r="C1549" t="s">
        <v>9426</v>
      </c>
    </row>
    <row r="1550" spans="1:3" hidden="1" x14ac:dyDescent="0.25">
      <c r="A1550" t="s">
        <v>9427</v>
      </c>
      <c r="B1550" t="s">
        <v>1618</v>
      </c>
      <c r="C1550" t="s">
        <v>6958</v>
      </c>
    </row>
    <row r="1551" spans="1:3" hidden="1" x14ac:dyDescent="0.25">
      <c r="A1551" t="s">
        <v>9428</v>
      </c>
      <c r="B1551" t="s">
        <v>65</v>
      </c>
      <c r="C1551" t="s">
        <v>9429</v>
      </c>
    </row>
    <row r="1552" spans="1:3" hidden="1" x14ac:dyDescent="0.25">
      <c r="A1552" t="s">
        <v>9430</v>
      </c>
      <c r="B1552" t="s">
        <v>2676</v>
      </c>
      <c r="C1552" t="s">
        <v>9431</v>
      </c>
    </row>
    <row r="1553" spans="1:3" hidden="1" x14ac:dyDescent="0.25">
      <c r="A1553" t="s">
        <v>9432</v>
      </c>
      <c r="B1553" t="s">
        <v>5608</v>
      </c>
      <c r="C1553" t="s">
        <v>9433</v>
      </c>
    </row>
    <row r="1554" spans="1:3" hidden="1" x14ac:dyDescent="0.25">
      <c r="A1554" t="s">
        <v>9434</v>
      </c>
      <c r="B1554" t="s">
        <v>4040</v>
      </c>
      <c r="C1554" t="s">
        <v>9435</v>
      </c>
    </row>
    <row r="1555" spans="1:3" hidden="1" x14ac:dyDescent="0.25">
      <c r="A1555" t="s">
        <v>9436</v>
      </c>
      <c r="B1555" t="s">
        <v>4255</v>
      </c>
      <c r="C1555" t="s">
        <v>6958</v>
      </c>
    </row>
    <row r="1556" spans="1:3" hidden="1" x14ac:dyDescent="0.25">
      <c r="A1556" t="s">
        <v>9437</v>
      </c>
      <c r="B1556" t="s">
        <v>1050</v>
      </c>
      <c r="C1556" t="s">
        <v>9438</v>
      </c>
    </row>
    <row r="1557" spans="1:3" hidden="1" x14ac:dyDescent="0.25">
      <c r="A1557" t="s">
        <v>9439</v>
      </c>
      <c r="B1557" t="s">
        <v>1355</v>
      </c>
      <c r="C1557" t="s">
        <v>9440</v>
      </c>
    </row>
    <row r="1558" spans="1:3" hidden="1" x14ac:dyDescent="0.25">
      <c r="A1558" t="s">
        <v>9441</v>
      </c>
      <c r="B1558" t="s">
        <v>3949</v>
      </c>
      <c r="C1558" t="s">
        <v>9442</v>
      </c>
    </row>
    <row r="1559" spans="1:3" hidden="1" x14ac:dyDescent="0.25">
      <c r="A1559" t="s">
        <v>9443</v>
      </c>
      <c r="B1559" t="s">
        <v>9444</v>
      </c>
      <c r="C1559" t="s">
        <v>9445</v>
      </c>
    </row>
    <row r="1560" spans="1:3" hidden="1" x14ac:dyDescent="0.25">
      <c r="A1560" t="s">
        <v>9446</v>
      </c>
      <c r="B1560" t="s">
        <v>2598</v>
      </c>
      <c r="C1560" t="s">
        <v>6958</v>
      </c>
    </row>
    <row r="1561" spans="1:3" hidden="1" x14ac:dyDescent="0.25">
      <c r="A1561" t="s">
        <v>9447</v>
      </c>
      <c r="B1561" t="s">
        <v>4783</v>
      </c>
      <c r="C1561" t="s">
        <v>6958</v>
      </c>
    </row>
    <row r="1562" spans="1:3" hidden="1" x14ac:dyDescent="0.25">
      <c r="A1562" t="s">
        <v>9448</v>
      </c>
      <c r="B1562" t="s">
        <v>1906</v>
      </c>
      <c r="C1562" t="s">
        <v>6958</v>
      </c>
    </row>
    <row r="1563" spans="1:3" hidden="1" x14ac:dyDescent="0.25">
      <c r="A1563" t="s">
        <v>9449</v>
      </c>
      <c r="B1563" t="s">
        <v>2120</v>
      </c>
      <c r="C1563" t="s">
        <v>9450</v>
      </c>
    </row>
    <row r="1564" spans="1:3" hidden="1" x14ac:dyDescent="0.25">
      <c r="A1564" t="s">
        <v>9451</v>
      </c>
      <c r="B1564" t="s">
        <v>670</v>
      </c>
      <c r="C1564" t="s">
        <v>6958</v>
      </c>
    </row>
    <row r="1565" spans="1:3" hidden="1" x14ac:dyDescent="0.25">
      <c r="A1565" t="s">
        <v>9452</v>
      </c>
      <c r="B1565" t="s">
        <v>2950</v>
      </c>
      <c r="C1565" t="s">
        <v>9453</v>
      </c>
    </row>
    <row r="1566" spans="1:3" hidden="1" x14ac:dyDescent="0.25">
      <c r="A1566" t="s">
        <v>9454</v>
      </c>
      <c r="B1566" t="s">
        <v>4904</v>
      </c>
      <c r="C1566" t="s">
        <v>9455</v>
      </c>
    </row>
    <row r="1567" spans="1:3" hidden="1" x14ac:dyDescent="0.25">
      <c r="A1567" t="s">
        <v>9456</v>
      </c>
      <c r="B1567" t="s">
        <v>607</v>
      </c>
      <c r="C1567" t="s">
        <v>9457</v>
      </c>
    </row>
    <row r="1568" spans="1:3" hidden="1" x14ac:dyDescent="0.25">
      <c r="A1568" t="s">
        <v>9458</v>
      </c>
      <c r="B1568" t="s">
        <v>5087</v>
      </c>
      <c r="C1568" t="s">
        <v>9459</v>
      </c>
    </row>
    <row r="1569" spans="1:3" hidden="1" x14ac:dyDescent="0.25">
      <c r="A1569" t="s">
        <v>9460</v>
      </c>
      <c r="B1569" t="s">
        <v>5004</v>
      </c>
      <c r="C1569" t="s">
        <v>9461</v>
      </c>
    </row>
    <row r="1570" spans="1:3" hidden="1" x14ac:dyDescent="0.25">
      <c r="A1570" t="s">
        <v>9462</v>
      </c>
      <c r="B1570" t="s">
        <v>3379</v>
      </c>
      <c r="C1570" t="s">
        <v>6958</v>
      </c>
    </row>
    <row r="1571" spans="1:3" hidden="1" x14ac:dyDescent="0.25">
      <c r="A1571" t="s">
        <v>9463</v>
      </c>
      <c r="B1571" t="s">
        <v>157</v>
      </c>
      <c r="C1571" t="s">
        <v>9464</v>
      </c>
    </row>
    <row r="1572" spans="1:3" hidden="1" x14ac:dyDescent="0.25">
      <c r="A1572" t="s">
        <v>9465</v>
      </c>
      <c r="B1572" t="s">
        <v>4017</v>
      </c>
      <c r="C1572" t="s">
        <v>9466</v>
      </c>
    </row>
    <row r="1573" spans="1:3" hidden="1" x14ac:dyDescent="0.25">
      <c r="A1573" t="s">
        <v>9467</v>
      </c>
      <c r="B1573" t="s">
        <v>2467</v>
      </c>
      <c r="C1573" t="s">
        <v>9468</v>
      </c>
    </row>
    <row r="1574" spans="1:3" hidden="1" x14ac:dyDescent="0.25">
      <c r="A1574" t="s">
        <v>9469</v>
      </c>
      <c r="B1574" t="s">
        <v>4542</v>
      </c>
      <c r="C1574" t="s">
        <v>9470</v>
      </c>
    </row>
    <row r="1575" spans="1:3" hidden="1" x14ac:dyDescent="0.25">
      <c r="A1575" t="s">
        <v>9471</v>
      </c>
      <c r="B1575" t="s">
        <v>2145</v>
      </c>
      <c r="C1575" t="s">
        <v>9472</v>
      </c>
    </row>
    <row r="1576" spans="1:3" hidden="1" x14ac:dyDescent="0.25">
      <c r="A1576" t="s">
        <v>9473</v>
      </c>
      <c r="B1576" t="s">
        <v>3468</v>
      </c>
      <c r="C1576" t="s">
        <v>9474</v>
      </c>
    </row>
    <row r="1577" spans="1:3" hidden="1" x14ac:dyDescent="0.25">
      <c r="A1577" t="s">
        <v>9475</v>
      </c>
      <c r="B1577" t="s">
        <v>2190</v>
      </c>
      <c r="C1577" t="s">
        <v>6958</v>
      </c>
    </row>
    <row r="1578" spans="1:3" hidden="1" x14ac:dyDescent="0.25">
      <c r="A1578" t="s">
        <v>9476</v>
      </c>
      <c r="B1578" t="s">
        <v>945</v>
      </c>
      <c r="C1578" t="s">
        <v>9477</v>
      </c>
    </row>
    <row r="1579" spans="1:3" hidden="1" x14ac:dyDescent="0.25">
      <c r="A1579" t="s">
        <v>9478</v>
      </c>
      <c r="B1579" t="s">
        <v>2015</v>
      </c>
      <c r="C1579" t="s">
        <v>9479</v>
      </c>
    </row>
    <row r="1580" spans="1:3" hidden="1" x14ac:dyDescent="0.25">
      <c r="A1580" t="s">
        <v>9480</v>
      </c>
      <c r="B1580" t="s">
        <v>2077</v>
      </c>
      <c r="C1580" t="s">
        <v>9481</v>
      </c>
    </row>
    <row r="1581" spans="1:3" hidden="1" x14ac:dyDescent="0.25">
      <c r="A1581" t="s">
        <v>9482</v>
      </c>
      <c r="B1581" t="s">
        <v>1269</v>
      </c>
      <c r="C1581" t="s">
        <v>9483</v>
      </c>
    </row>
    <row r="1582" spans="1:3" hidden="1" x14ac:dyDescent="0.25">
      <c r="A1582" t="s">
        <v>9484</v>
      </c>
      <c r="B1582" t="s">
        <v>2050</v>
      </c>
      <c r="C1582" t="s">
        <v>9485</v>
      </c>
    </row>
    <row r="1583" spans="1:3" hidden="1" x14ac:dyDescent="0.25">
      <c r="A1583" t="s">
        <v>9486</v>
      </c>
      <c r="B1583" t="s">
        <v>1814</v>
      </c>
      <c r="C1583" t="s">
        <v>9487</v>
      </c>
    </row>
    <row r="1584" spans="1:3" hidden="1" x14ac:dyDescent="0.25">
      <c r="A1584" t="s">
        <v>9488</v>
      </c>
      <c r="B1584" t="s">
        <v>329</v>
      </c>
      <c r="C1584" t="s">
        <v>9489</v>
      </c>
    </row>
    <row r="1585" spans="1:3" hidden="1" x14ac:dyDescent="0.25">
      <c r="A1585" t="s">
        <v>9490</v>
      </c>
      <c r="B1585" t="s">
        <v>42</v>
      </c>
      <c r="C1585" t="s">
        <v>6958</v>
      </c>
    </row>
    <row r="1586" spans="1:3" hidden="1" x14ac:dyDescent="0.25">
      <c r="A1586" t="s">
        <v>9491</v>
      </c>
      <c r="B1586" t="s">
        <v>5658</v>
      </c>
      <c r="C1586" t="s">
        <v>9492</v>
      </c>
    </row>
    <row r="1587" spans="1:3" hidden="1" x14ac:dyDescent="0.25">
      <c r="A1587" t="s">
        <v>9493</v>
      </c>
      <c r="B1587" t="s">
        <v>3911</v>
      </c>
      <c r="C1587" t="s">
        <v>9494</v>
      </c>
    </row>
    <row r="1588" spans="1:3" hidden="1" x14ac:dyDescent="0.25">
      <c r="A1588" t="s">
        <v>9495</v>
      </c>
      <c r="B1588" t="s">
        <v>919</v>
      </c>
      <c r="C1588" t="s">
        <v>9496</v>
      </c>
    </row>
    <row r="1589" spans="1:3" hidden="1" x14ac:dyDescent="0.25">
      <c r="A1589" t="s">
        <v>9497</v>
      </c>
      <c r="B1589" t="s">
        <v>1466</v>
      </c>
      <c r="C1589" t="s">
        <v>9498</v>
      </c>
    </row>
    <row r="1590" spans="1:3" hidden="1" x14ac:dyDescent="0.25">
      <c r="A1590" t="s">
        <v>9499</v>
      </c>
      <c r="B1590" t="s">
        <v>683</v>
      </c>
      <c r="C1590" t="s">
        <v>6958</v>
      </c>
    </row>
    <row r="1591" spans="1:3" hidden="1" x14ac:dyDescent="0.25">
      <c r="A1591" t="s">
        <v>9500</v>
      </c>
      <c r="B1591" t="s">
        <v>3154</v>
      </c>
      <c r="C1591" t="s">
        <v>9501</v>
      </c>
    </row>
    <row r="1592" spans="1:3" hidden="1" x14ac:dyDescent="0.25">
      <c r="A1592" t="s">
        <v>9502</v>
      </c>
      <c r="B1592" t="s">
        <v>1437</v>
      </c>
      <c r="C1592" t="s">
        <v>9503</v>
      </c>
    </row>
    <row r="1593" spans="1:3" hidden="1" x14ac:dyDescent="0.25">
      <c r="A1593" t="s">
        <v>9504</v>
      </c>
      <c r="B1593" t="s">
        <v>4738</v>
      </c>
      <c r="C1593" t="s">
        <v>9505</v>
      </c>
    </row>
    <row r="1594" spans="1:3" hidden="1" x14ac:dyDescent="0.25">
      <c r="A1594" t="s">
        <v>9506</v>
      </c>
      <c r="B1594" t="s">
        <v>811</v>
      </c>
      <c r="C1594" t="s">
        <v>6958</v>
      </c>
    </row>
    <row r="1595" spans="1:3" hidden="1" x14ac:dyDescent="0.25">
      <c r="A1595" t="s">
        <v>9507</v>
      </c>
      <c r="B1595" t="s">
        <v>3877</v>
      </c>
      <c r="C1595" t="s">
        <v>9508</v>
      </c>
    </row>
    <row r="1596" spans="1:3" hidden="1" x14ac:dyDescent="0.25">
      <c r="A1596" t="s">
        <v>9509</v>
      </c>
      <c r="B1596" t="s">
        <v>2203</v>
      </c>
      <c r="C1596" t="s">
        <v>9510</v>
      </c>
    </row>
    <row r="1597" spans="1:3" hidden="1" x14ac:dyDescent="0.25">
      <c r="A1597" t="s">
        <v>9511</v>
      </c>
      <c r="B1597" t="s">
        <v>2706</v>
      </c>
      <c r="C1597" t="s">
        <v>6958</v>
      </c>
    </row>
    <row r="1598" spans="1:3" hidden="1" x14ac:dyDescent="0.25">
      <c r="A1598" t="s">
        <v>9512</v>
      </c>
      <c r="B1598" t="s">
        <v>5155</v>
      </c>
      <c r="C1598" t="s">
        <v>6958</v>
      </c>
    </row>
    <row r="1599" spans="1:3" hidden="1" x14ac:dyDescent="0.25">
      <c r="A1599" t="s">
        <v>9513</v>
      </c>
      <c r="B1599" t="s">
        <v>3562</v>
      </c>
      <c r="C1599" t="s">
        <v>9514</v>
      </c>
    </row>
    <row r="1600" spans="1:3" hidden="1" x14ac:dyDescent="0.25">
      <c r="A1600" t="s">
        <v>9515</v>
      </c>
      <c r="B1600" t="s">
        <v>3979</v>
      </c>
      <c r="C1600" t="s">
        <v>9516</v>
      </c>
    </row>
    <row r="1601" spans="1:3" hidden="1" x14ac:dyDescent="0.25">
      <c r="A1601" t="s">
        <v>9517</v>
      </c>
      <c r="B1601" t="s">
        <v>5314</v>
      </c>
      <c r="C1601" t="s">
        <v>8848</v>
      </c>
    </row>
    <row r="1602" spans="1:3" hidden="1" x14ac:dyDescent="0.25">
      <c r="A1602" t="s">
        <v>9518</v>
      </c>
      <c r="B1602" t="s">
        <v>3128</v>
      </c>
      <c r="C1602" t="s">
        <v>9519</v>
      </c>
    </row>
    <row r="1603" spans="1:3" hidden="1" x14ac:dyDescent="0.25">
      <c r="A1603" t="s">
        <v>9520</v>
      </c>
      <c r="B1603" t="s">
        <v>4052</v>
      </c>
      <c r="C1603" t="s">
        <v>9521</v>
      </c>
    </row>
    <row r="1604" spans="1:3" hidden="1" x14ac:dyDescent="0.25">
      <c r="A1604" t="s">
        <v>9522</v>
      </c>
      <c r="B1604" t="s">
        <v>1212</v>
      </c>
      <c r="C1604" t="s">
        <v>9523</v>
      </c>
    </row>
    <row r="1605" spans="1:3" hidden="1" x14ac:dyDescent="0.25">
      <c r="A1605" t="s">
        <v>9524</v>
      </c>
      <c r="B1605" t="s">
        <v>3827</v>
      </c>
      <c r="C1605" t="s">
        <v>9525</v>
      </c>
    </row>
    <row r="1606" spans="1:3" hidden="1" x14ac:dyDescent="0.25">
      <c r="A1606" t="s">
        <v>9526</v>
      </c>
      <c r="B1606" t="s">
        <v>3361</v>
      </c>
      <c r="C1606" t="s">
        <v>9527</v>
      </c>
    </row>
    <row r="1607" spans="1:3" hidden="1" x14ac:dyDescent="0.25">
      <c r="A1607" t="s">
        <v>9528</v>
      </c>
      <c r="B1607" t="s">
        <v>2568</v>
      </c>
      <c r="C1607" t="s">
        <v>9529</v>
      </c>
    </row>
    <row r="1608" spans="1:3" hidden="1" x14ac:dyDescent="0.25">
      <c r="A1608" t="s">
        <v>9530</v>
      </c>
      <c r="B1608" t="s">
        <v>717</v>
      </c>
      <c r="C1608" t="s">
        <v>9531</v>
      </c>
    </row>
    <row r="1609" spans="1:3" hidden="1" x14ac:dyDescent="0.25">
      <c r="A1609" t="s">
        <v>9532</v>
      </c>
      <c r="B1609" t="s">
        <v>1685</v>
      </c>
      <c r="C1609" t="s">
        <v>6958</v>
      </c>
    </row>
    <row r="1610" spans="1:3" hidden="1" x14ac:dyDescent="0.25">
      <c r="A1610" t="s">
        <v>9533</v>
      </c>
      <c r="B1610" t="s">
        <v>5018</v>
      </c>
      <c r="C1610" t="s">
        <v>9534</v>
      </c>
    </row>
    <row r="1611" spans="1:3" hidden="1" x14ac:dyDescent="0.25">
      <c r="A1611" t="s">
        <v>9535</v>
      </c>
      <c r="B1611" t="s">
        <v>4155</v>
      </c>
      <c r="C1611" t="s">
        <v>9536</v>
      </c>
    </row>
    <row r="1612" spans="1:3" hidden="1" x14ac:dyDescent="0.25">
      <c r="A1612" t="s">
        <v>9537</v>
      </c>
      <c r="B1612" t="s">
        <v>2997</v>
      </c>
      <c r="C1612" t="s">
        <v>6958</v>
      </c>
    </row>
    <row r="1613" spans="1:3" hidden="1" x14ac:dyDescent="0.25">
      <c r="A1613" t="s">
        <v>9538</v>
      </c>
      <c r="B1613" t="s">
        <v>2968</v>
      </c>
      <c r="C1613" t="s">
        <v>9539</v>
      </c>
    </row>
    <row r="1614" spans="1:3" hidden="1" x14ac:dyDescent="0.25">
      <c r="A1614" t="s">
        <v>9540</v>
      </c>
      <c r="B1614" t="s">
        <v>2066</v>
      </c>
      <c r="C1614" t="s">
        <v>9541</v>
      </c>
    </row>
    <row r="1615" spans="1:3" hidden="1" x14ac:dyDescent="0.25">
      <c r="A1615" t="s">
        <v>9542</v>
      </c>
      <c r="B1615" t="s">
        <v>1904</v>
      </c>
      <c r="C1615" t="s">
        <v>9543</v>
      </c>
    </row>
    <row r="1616" spans="1:3" hidden="1" x14ac:dyDescent="0.25">
      <c r="A1616" t="s">
        <v>9544</v>
      </c>
      <c r="B1616" t="s">
        <v>5568</v>
      </c>
      <c r="C1616" t="s">
        <v>9545</v>
      </c>
    </row>
    <row r="1617" spans="1:3" hidden="1" x14ac:dyDescent="0.25">
      <c r="A1617" t="s">
        <v>9546</v>
      </c>
      <c r="B1617" t="s">
        <v>3638</v>
      </c>
      <c r="C1617" t="s">
        <v>6958</v>
      </c>
    </row>
    <row r="1618" spans="1:3" hidden="1" x14ac:dyDescent="0.25">
      <c r="A1618" t="s">
        <v>9547</v>
      </c>
      <c r="B1618" t="s">
        <v>2670</v>
      </c>
      <c r="C1618" t="s">
        <v>6958</v>
      </c>
    </row>
    <row r="1619" spans="1:3" hidden="1" x14ac:dyDescent="0.25">
      <c r="A1619" t="s">
        <v>9548</v>
      </c>
      <c r="B1619" t="s">
        <v>1442</v>
      </c>
      <c r="C1619" t="s">
        <v>9549</v>
      </c>
    </row>
    <row r="1620" spans="1:3" hidden="1" x14ac:dyDescent="0.25">
      <c r="A1620" t="s">
        <v>9550</v>
      </c>
      <c r="B1620" t="s">
        <v>5121</v>
      </c>
      <c r="C1620" t="s">
        <v>9551</v>
      </c>
    </row>
    <row r="1621" spans="1:3" hidden="1" x14ac:dyDescent="0.25">
      <c r="A1621" t="s">
        <v>9552</v>
      </c>
      <c r="B1621" t="s">
        <v>4074</v>
      </c>
      <c r="C1621" t="s">
        <v>9553</v>
      </c>
    </row>
    <row r="1622" spans="1:3" hidden="1" x14ac:dyDescent="0.25">
      <c r="A1622" t="s">
        <v>9554</v>
      </c>
      <c r="B1622" t="s">
        <v>1291</v>
      </c>
      <c r="C1622" t="s">
        <v>9555</v>
      </c>
    </row>
    <row r="1623" spans="1:3" hidden="1" x14ac:dyDescent="0.25">
      <c r="A1623" t="s">
        <v>9556</v>
      </c>
      <c r="B1623" t="s">
        <v>1927</v>
      </c>
      <c r="C1623" t="s">
        <v>9557</v>
      </c>
    </row>
    <row r="1624" spans="1:3" hidden="1" x14ac:dyDescent="0.25">
      <c r="A1624" t="s">
        <v>9558</v>
      </c>
      <c r="B1624" t="s">
        <v>3787</v>
      </c>
      <c r="C1624" t="s">
        <v>9559</v>
      </c>
    </row>
    <row r="1625" spans="1:3" hidden="1" x14ac:dyDescent="0.25">
      <c r="A1625" t="s">
        <v>9560</v>
      </c>
      <c r="B1625" t="s">
        <v>1325</v>
      </c>
      <c r="C1625" t="s">
        <v>9561</v>
      </c>
    </row>
    <row r="1626" spans="1:3" hidden="1" x14ac:dyDescent="0.25">
      <c r="A1626" t="s">
        <v>9562</v>
      </c>
      <c r="B1626" t="s">
        <v>2934</v>
      </c>
      <c r="C1626" t="s">
        <v>6958</v>
      </c>
    </row>
    <row r="1627" spans="1:3" hidden="1" x14ac:dyDescent="0.25">
      <c r="A1627" t="s">
        <v>9563</v>
      </c>
      <c r="B1627" t="s">
        <v>2914</v>
      </c>
      <c r="C1627" t="s">
        <v>6958</v>
      </c>
    </row>
    <row r="1628" spans="1:3" hidden="1" x14ac:dyDescent="0.25">
      <c r="A1628" t="s">
        <v>9564</v>
      </c>
      <c r="B1628" t="s">
        <v>1589</v>
      </c>
      <c r="C1628" t="s">
        <v>9565</v>
      </c>
    </row>
    <row r="1629" spans="1:3" hidden="1" x14ac:dyDescent="0.25">
      <c r="A1629" t="s">
        <v>9566</v>
      </c>
      <c r="B1629" t="s">
        <v>1178</v>
      </c>
      <c r="C1629" t="s">
        <v>6958</v>
      </c>
    </row>
    <row r="1630" spans="1:3" hidden="1" x14ac:dyDescent="0.25">
      <c r="A1630" t="s">
        <v>9567</v>
      </c>
      <c r="B1630" t="s">
        <v>4032</v>
      </c>
      <c r="C1630" t="s">
        <v>9568</v>
      </c>
    </row>
    <row r="1631" spans="1:3" hidden="1" x14ac:dyDescent="0.25">
      <c r="A1631" t="s">
        <v>9569</v>
      </c>
      <c r="B1631" t="s">
        <v>2927</v>
      </c>
      <c r="C1631" t="s">
        <v>6958</v>
      </c>
    </row>
    <row r="1632" spans="1:3" hidden="1" x14ac:dyDescent="0.25">
      <c r="A1632" t="s">
        <v>9570</v>
      </c>
      <c r="B1632" t="s">
        <v>3615</v>
      </c>
      <c r="C1632" t="s">
        <v>6958</v>
      </c>
    </row>
    <row r="1633" spans="1:3" hidden="1" x14ac:dyDescent="0.25">
      <c r="A1633" t="s">
        <v>9571</v>
      </c>
      <c r="B1633" t="s">
        <v>2045</v>
      </c>
      <c r="C1633" t="s">
        <v>6958</v>
      </c>
    </row>
    <row r="1634" spans="1:3" hidden="1" x14ac:dyDescent="0.25">
      <c r="A1634" t="s">
        <v>9572</v>
      </c>
      <c r="B1634" t="s">
        <v>2362</v>
      </c>
      <c r="C1634" t="s">
        <v>6958</v>
      </c>
    </row>
    <row r="1635" spans="1:3" hidden="1" x14ac:dyDescent="0.25">
      <c r="A1635" t="s">
        <v>9573</v>
      </c>
      <c r="B1635" t="s">
        <v>5380</v>
      </c>
      <c r="C1635" t="s">
        <v>6958</v>
      </c>
    </row>
    <row r="1636" spans="1:3" hidden="1" x14ac:dyDescent="0.25">
      <c r="A1636" t="s">
        <v>9574</v>
      </c>
      <c r="B1636" t="s">
        <v>2879</v>
      </c>
      <c r="C1636" t="s">
        <v>6958</v>
      </c>
    </row>
    <row r="1637" spans="1:3" hidden="1" x14ac:dyDescent="0.25">
      <c r="A1637" t="s">
        <v>9575</v>
      </c>
      <c r="B1637" t="s">
        <v>1632</v>
      </c>
      <c r="C1637" t="s">
        <v>8848</v>
      </c>
    </row>
    <row r="1638" spans="1:3" hidden="1" x14ac:dyDescent="0.25">
      <c r="A1638" t="s">
        <v>9576</v>
      </c>
      <c r="B1638" t="s">
        <v>1518</v>
      </c>
      <c r="C1638" t="s">
        <v>9577</v>
      </c>
    </row>
    <row r="1639" spans="1:3" hidden="1" x14ac:dyDescent="0.25">
      <c r="A1639" t="s">
        <v>9578</v>
      </c>
      <c r="B1639" t="s">
        <v>1243</v>
      </c>
      <c r="C1639" t="s">
        <v>9579</v>
      </c>
    </row>
    <row r="1640" spans="1:3" hidden="1" x14ac:dyDescent="0.25">
      <c r="A1640" t="s">
        <v>9580</v>
      </c>
      <c r="B1640" t="s">
        <v>3436</v>
      </c>
      <c r="C1640" t="s">
        <v>9581</v>
      </c>
    </row>
    <row r="1641" spans="1:3" hidden="1" x14ac:dyDescent="0.25">
      <c r="A1641" t="s">
        <v>9582</v>
      </c>
      <c r="B1641" t="s">
        <v>1959</v>
      </c>
      <c r="C1641" t="s">
        <v>9583</v>
      </c>
    </row>
    <row r="1642" spans="1:3" hidden="1" x14ac:dyDescent="0.25">
      <c r="A1642" t="s">
        <v>9584</v>
      </c>
      <c r="B1642" t="s">
        <v>1625</v>
      </c>
      <c r="C1642" t="s">
        <v>6958</v>
      </c>
    </row>
    <row r="1643" spans="1:3" hidden="1" x14ac:dyDescent="0.25">
      <c r="A1643" t="s">
        <v>9585</v>
      </c>
      <c r="B1643" t="s">
        <v>2252</v>
      </c>
      <c r="C1643" t="s">
        <v>6958</v>
      </c>
    </row>
    <row r="1644" spans="1:3" hidden="1" x14ac:dyDescent="0.25">
      <c r="A1644" t="s">
        <v>9586</v>
      </c>
      <c r="B1644" t="s">
        <v>2612</v>
      </c>
      <c r="C1644" t="s">
        <v>6958</v>
      </c>
    </row>
    <row r="1645" spans="1:3" hidden="1" x14ac:dyDescent="0.25">
      <c r="A1645" t="s">
        <v>9587</v>
      </c>
      <c r="B1645" t="s">
        <v>675</v>
      </c>
      <c r="C1645" t="s">
        <v>9588</v>
      </c>
    </row>
    <row r="1646" spans="1:3" hidden="1" x14ac:dyDescent="0.25">
      <c r="A1646" t="s">
        <v>9589</v>
      </c>
      <c r="B1646" t="s">
        <v>158</v>
      </c>
      <c r="C1646" t="s">
        <v>9590</v>
      </c>
    </row>
    <row r="1647" spans="1:3" hidden="1" x14ac:dyDescent="0.25">
      <c r="A1647" t="s">
        <v>9591</v>
      </c>
      <c r="B1647" t="s">
        <v>3522</v>
      </c>
      <c r="C1647" t="s">
        <v>9592</v>
      </c>
    </row>
    <row r="1648" spans="1:3" hidden="1" x14ac:dyDescent="0.25">
      <c r="A1648" t="s">
        <v>9593</v>
      </c>
      <c r="B1648" t="s">
        <v>3182</v>
      </c>
      <c r="C1648" t="s">
        <v>9594</v>
      </c>
    </row>
    <row r="1649" spans="1:3" hidden="1" x14ac:dyDescent="0.25">
      <c r="A1649" t="s">
        <v>9595</v>
      </c>
      <c r="B1649" t="s">
        <v>1528</v>
      </c>
      <c r="C1649" t="s">
        <v>6958</v>
      </c>
    </row>
    <row r="1650" spans="1:3" hidden="1" x14ac:dyDescent="0.25">
      <c r="A1650" t="s">
        <v>9596</v>
      </c>
      <c r="B1650" t="s">
        <v>647</v>
      </c>
      <c r="C1650" t="s">
        <v>9597</v>
      </c>
    </row>
    <row r="1651" spans="1:3" hidden="1" x14ac:dyDescent="0.25">
      <c r="A1651" t="s">
        <v>9598</v>
      </c>
      <c r="B1651" t="s">
        <v>79</v>
      </c>
      <c r="C1651" t="s">
        <v>9599</v>
      </c>
    </row>
    <row r="1652" spans="1:3" hidden="1" x14ac:dyDescent="0.25">
      <c r="A1652" t="s">
        <v>9600</v>
      </c>
      <c r="B1652" t="s">
        <v>3119</v>
      </c>
      <c r="C1652" t="s">
        <v>9601</v>
      </c>
    </row>
    <row r="1653" spans="1:3" hidden="1" x14ac:dyDescent="0.25">
      <c r="A1653" t="s">
        <v>9602</v>
      </c>
      <c r="B1653" t="s">
        <v>3499</v>
      </c>
      <c r="C1653" t="s">
        <v>6958</v>
      </c>
    </row>
    <row r="1654" spans="1:3" hidden="1" x14ac:dyDescent="0.25">
      <c r="A1654" t="s">
        <v>9603</v>
      </c>
      <c r="B1654" t="s">
        <v>4712</v>
      </c>
      <c r="C1654" t="s">
        <v>9604</v>
      </c>
    </row>
    <row r="1655" spans="1:3" hidden="1" x14ac:dyDescent="0.25">
      <c r="A1655" t="s">
        <v>9605</v>
      </c>
      <c r="B1655" t="s">
        <v>2244</v>
      </c>
      <c r="C1655" t="s">
        <v>9606</v>
      </c>
    </row>
    <row r="1656" spans="1:3" hidden="1" x14ac:dyDescent="0.25">
      <c r="A1656" t="s">
        <v>9607</v>
      </c>
      <c r="B1656" t="s">
        <v>5445</v>
      </c>
      <c r="C1656" t="s">
        <v>9608</v>
      </c>
    </row>
    <row r="1657" spans="1:3" hidden="1" x14ac:dyDescent="0.25">
      <c r="A1657" t="s">
        <v>9609</v>
      </c>
      <c r="B1657" t="s">
        <v>3688</v>
      </c>
      <c r="C1657" t="s">
        <v>9610</v>
      </c>
    </row>
    <row r="1658" spans="1:3" hidden="1" x14ac:dyDescent="0.25">
      <c r="A1658" t="s">
        <v>9611</v>
      </c>
      <c r="B1658" t="s">
        <v>1234</v>
      </c>
      <c r="C1658" t="s">
        <v>6958</v>
      </c>
    </row>
    <row r="1659" spans="1:3" hidden="1" x14ac:dyDescent="0.25">
      <c r="A1659" t="s">
        <v>9612</v>
      </c>
      <c r="B1659" t="s">
        <v>3397</v>
      </c>
      <c r="C1659" t="s">
        <v>6958</v>
      </c>
    </row>
    <row r="1660" spans="1:3" hidden="1" x14ac:dyDescent="0.25">
      <c r="A1660" t="s">
        <v>9613</v>
      </c>
      <c r="B1660" t="s">
        <v>4507</v>
      </c>
      <c r="C1660" t="s">
        <v>6958</v>
      </c>
    </row>
    <row r="1661" spans="1:3" hidden="1" x14ac:dyDescent="0.25">
      <c r="A1661" t="s">
        <v>9614</v>
      </c>
      <c r="B1661" t="s">
        <v>1853</v>
      </c>
      <c r="C1661" t="s">
        <v>6958</v>
      </c>
    </row>
    <row r="1662" spans="1:3" hidden="1" x14ac:dyDescent="0.25">
      <c r="A1662" t="s">
        <v>9615</v>
      </c>
      <c r="B1662" t="s">
        <v>3745</v>
      </c>
      <c r="C1662" t="s">
        <v>6958</v>
      </c>
    </row>
    <row r="1663" spans="1:3" hidden="1" x14ac:dyDescent="0.25">
      <c r="A1663" t="s">
        <v>9616</v>
      </c>
      <c r="B1663" t="s">
        <v>2634</v>
      </c>
      <c r="C1663" t="s">
        <v>9617</v>
      </c>
    </row>
    <row r="1664" spans="1:3" hidden="1" x14ac:dyDescent="0.25">
      <c r="A1664" t="s">
        <v>9618</v>
      </c>
      <c r="B1664" t="s">
        <v>3197</v>
      </c>
      <c r="C1664" t="s">
        <v>9619</v>
      </c>
    </row>
    <row r="1665" spans="1:3" hidden="1" x14ac:dyDescent="0.25">
      <c r="A1665" t="s">
        <v>9620</v>
      </c>
      <c r="B1665" t="s">
        <v>4064</v>
      </c>
      <c r="C1665" t="s">
        <v>9621</v>
      </c>
    </row>
    <row r="1666" spans="1:3" hidden="1" x14ac:dyDescent="0.25">
      <c r="A1666" t="s">
        <v>9622</v>
      </c>
      <c r="B1666" t="s">
        <v>2067</v>
      </c>
      <c r="C1666" t="s">
        <v>9623</v>
      </c>
    </row>
    <row r="1667" spans="1:3" hidden="1" x14ac:dyDescent="0.25">
      <c r="A1667" t="s">
        <v>9624</v>
      </c>
      <c r="B1667" t="s">
        <v>4090</v>
      </c>
      <c r="C1667" t="s">
        <v>9625</v>
      </c>
    </row>
    <row r="1668" spans="1:3" hidden="1" x14ac:dyDescent="0.25">
      <c r="A1668" t="s">
        <v>9626</v>
      </c>
      <c r="B1668" t="s">
        <v>2892</v>
      </c>
      <c r="C1668" t="s">
        <v>9627</v>
      </c>
    </row>
    <row r="1669" spans="1:3" hidden="1" x14ac:dyDescent="0.25">
      <c r="A1669" t="s">
        <v>9628</v>
      </c>
      <c r="B1669" t="s">
        <v>4193</v>
      </c>
      <c r="C1669" t="s">
        <v>9629</v>
      </c>
    </row>
    <row r="1670" spans="1:3" hidden="1" x14ac:dyDescent="0.25">
      <c r="A1670" t="s">
        <v>9630</v>
      </c>
      <c r="B1670" t="s">
        <v>1037</v>
      </c>
      <c r="C1670" t="s">
        <v>6958</v>
      </c>
    </row>
    <row r="1671" spans="1:3" hidden="1" x14ac:dyDescent="0.25">
      <c r="A1671" t="s">
        <v>9631</v>
      </c>
      <c r="B1671" t="s">
        <v>4081</v>
      </c>
      <c r="C1671" t="s">
        <v>9632</v>
      </c>
    </row>
    <row r="1672" spans="1:3" hidden="1" x14ac:dyDescent="0.25">
      <c r="A1672" t="s">
        <v>9633</v>
      </c>
      <c r="B1672" t="s">
        <v>88</v>
      </c>
      <c r="C1672" t="s">
        <v>9634</v>
      </c>
    </row>
    <row r="1673" spans="1:3" hidden="1" x14ac:dyDescent="0.25">
      <c r="A1673" t="s">
        <v>9635</v>
      </c>
      <c r="B1673" t="s">
        <v>689</v>
      </c>
      <c r="C1673" t="s">
        <v>9636</v>
      </c>
    </row>
    <row r="1674" spans="1:3" hidden="1" x14ac:dyDescent="0.25">
      <c r="A1674" t="s">
        <v>9637</v>
      </c>
      <c r="B1674" t="s">
        <v>3170</v>
      </c>
      <c r="C1674" t="s">
        <v>9638</v>
      </c>
    </row>
    <row r="1675" spans="1:3" hidden="1" x14ac:dyDescent="0.25">
      <c r="A1675" t="s">
        <v>9639</v>
      </c>
      <c r="B1675" t="s">
        <v>5286</v>
      </c>
      <c r="C1675" t="s">
        <v>6958</v>
      </c>
    </row>
    <row r="1676" spans="1:3" hidden="1" x14ac:dyDescent="0.25">
      <c r="A1676" t="s">
        <v>9640</v>
      </c>
      <c r="B1676" t="s">
        <v>3184</v>
      </c>
      <c r="C1676" t="s">
        <v>6958</v>
      </c>
    </row>
    <row r="1677" spans="1:3" hidden="1" x14ac:dyDescent="0.25">
      <c r="A1677" t="s">
        <v>9641</v>
      </c>
      <c r="B1677" t="s">
        <v>5496</v>
      </c>
      <c r="C1677" t="s">
        <v>6958</v>
      </c>
    </row>
    <row r="1678" spans="1:3" hidden="1" x14ac:dyDescent="0.25">
      <c r="A1678" t="s">
        <v>9642</v>
      </c>
      <c r="B1678" t="s">
        <v>2385</v>
      </c>
      <c r="C1678" t="s">
        <v>9643</v>
      </c>
    </row>
    <row r="1679" spans="1:3" hidden="1" x14ac:dyDescent="0.25">
      <c r="A1679" t="s">
        <v>9644</v>
      </c>
      <c r="B1679" t="s">
        <v>841</v>
      </c>
      <c r="C1679" t="s">
        <v>9645</v>
      </c>
    </row>
    <row r="1680" spans="1:3" hidden="1" x14ac:dyDescent="0.25">
      <c r="A1680" t="s">
        <v>9646</v>
      </c>
      <c r="B1680" t="s">
        <v>108</v>
      </c>
      <c r="C1680" t="s">
        <v>9647</v>
      </c>
    </row>
    <row r="1681" spans="1:3" hidden="1" x14ac:dyDescent="0.25">
      <c r="A1681" t="s">
        <v>9648</v>
      </c>
      <c r="B1681" t="s">
        <v>2279</v>
      </c>
      <c r="C1681" t="s">
        <v>6958</v>
      </c>
    </row>
    <row r="1682" spans="1:3" hidden="1" x14ac:dyDescent="0.25">
      <c r="A1682" t="s">
        <v>9649</v>
      </c>
      <c r="B1682" t="s">
        <v>5650</v>
      </c>
      <c r="C1682" t="s">
        <v>9650</v>
      </c>
    </row>
    <row r="1683" spans="1:3" hidden="1" x14ac:dyDescent="0.25">
      <c r="A1683" t="s">
        <v>9651</v>
      </c>
      <c r="B1683" t="s">
        <v>3094</v>
      </c>
      <c r="C1683" t="s">
        <v>9652</v>
      </c>
    </row>
    <row r="1684" spans="1:3" hidden="1" x14ac:dyDescent="0.25">
      <c r="A1684" t="s">
        <v>9653</v>
      </c>
      <c r="B1684" t="s">
        <v>2290</v>
      </c>
      <c r="C1684" t="s">
        <v>6958</v>
      </c>
    </row>
    <row r="1685" spans="1:3" hidden="1" x14ac:dyDescent="0.25">
      <c r="A1685" t="s">
        <v>9654</v>
      </c>
      <c r="B1685" t="s">
        <v>2738</v>
      </c>
      <c r="C1685" t="s">
        <v>6958</v>
      </c>
    </row>
    <row r="1686" spans="1:3" hidden="1" x14ac:dyDescent="0.25">
      <c r="A1686" t="s">
        <v>9655</v>
      </c>
      <c r="B1686" t="s">
        <v>1211</v>
      </c>
      <c r="C1686" t="s">
        <v>9656</v>
      </c>
    </row>
    <row r="1687" spans="1:3" hidden="1" x14ac:dyDescent="0.25">
      <c r="A1687" t="s">
        <v>9657</v>
      </c>
      <c r="B1687" t="s">
        <v>1817</v>
      </c>
      <c r="C1687" t="s">
        <v>9658</v>
      </c>
    </row>
    <row r="1688" spans="1:3" hidden="1" x14ac:dyDescent="0.25">
      <c r="A1688" t="s">
        <v>9659</v>
      </c>
      <c r="B1688" t="s">
        <v>2701</v>
      </c>
      <c r="C1688" t="s">
        <v>6958</v>
      </c>
    </row>
    <row r="1689" spans="1:3" hidden="1" x14ac:dyDescent="0.25">
      <c r="A1689" t="s">
        <v>9660</v>
      </c>
      <c r="B1689" t="s">
        <v>1447</v>
      </c>
      <c r="C1689" t="s">
        <v>6958</v>
      </c>
    </row>
    <row r="1690" spans="1:3" hidden="1" x14ac:dyDescent="0.25">
      <c r="A1690" t="s">
        <v>9661</v>
      </c>
      <c r="B1690" t="s">
        <v>4877</v>
      </c>
      <c r="C1690" t="s">
        <v>6958</v>
      </c>
    </row>
    <row r="1691" spans="1:3" hidden="1" x14ac:dyDescent="0.25">
      <c r="A1691" t="s">
        <v>9662</v>
      </c>
      <c r="B1691" t="s">
        <v>3390</v>
      </c>
      <c r="C1691" t="s">
        <v>9663</v>
      </c>
    </row>
    <row r="1692" spans="1:3" hidden="1" x14ac:dyDescent="0.25">
      <c r="A1692" t="s">
        <v>9664</v>
      </c>
      <c r="B1692" t="s">
        <v>3393</v>
      </c>
      <c r="C1692" t="s">
        <v>9665</v>
      </c>
    </row>
    <row r="1693" spans="1:3" hidden="1" x14ac:dyDescent="0.25">
      <c r="A1693" t="s">
        <v>9666</v>
      </c>
      <c r="B1693" t="s">
        <v>5448</v>
      </c>
      <c r="C1693" t="s">
        <v>9667</v>
      </c>
    </row>
    <row r="1694" spans="1:3" hidden="1" x14ac:dyDescent="0.25">
      <c r="A1694" t="s">
        <v>9668</v>
      </c>
      <c r="B1694" t="s">
        <v>4526</v>
      </c>
      <c r="C1694" t="s">
        <v>9669</v>
      </c>
    </row>
    <row r="1695" spans="1:3" hidden="1" x14ac:dyDescent="0.25">
      <c r="A1695" t="s">
        <v>9670</v>
      </c>
      <c r="B1695" t="s">
        <v>2458</v>
      </c>
      <c r="C1695" t="s">
        <v>6958</v>
      </c>
    </row>
    <row r="1696" spans="1:3" hidden="1" x14ac:dyDescent="0.25">
      <c r="A1696" t="s">
        <v>9671</v>
      </c>
      <c r="B1696" t="s">
        <v>5447</v>
      </c>
      <c r="C1696" t="s">
        <v>9672</v>
      </c>
    </row>
    <row r="1697" spans="1:3" hidden="1" x14ac:dyDescent="0.25">
      <c r="A1697" t="s">
        <v>9673</v>
      </c>
      <c r="B1697" t="s">
        <v>3284</v>
      </c>
      <c r="C1697" t="s">
        <v>6958</v>
      </c>
    </row>
    <row r="1698" spans="1:3" hidden="1" x14ac:dyDescent="0.25">
      <c r="A1698" t="s">
        <v>9674</v>
      </c>
      <c r="B1698" t="s">
        <v>3378</v>
      </c>
      <c r="C1698" t="s">
        <v>9675</v>
      </c>
    </row>
    <row r="1699" spans="1:3" hidden="1" x14ac:dyDescent="0.25">
      <c r="A1699" t="s">
        <v>9676</v>
      </c>
      <c r="B1699" t="s">
        <v>5166</v>
      </c>
      <c r="C1699" t="s">
        <v>9677</v>
      </c>
    </row>
    <row r="1700" spans="1:3" hidden="1" x14ac:dyDescent="0.25">
      <c r="A1700" t="s">
        <v>9678</v>
      </c>
      <c r="B1700" t="s">
        <v>3810</v>
      </c>
      <c r="C1700" t="s">
        <v>9679</v>
      </c>
    </row>
    <row r="1701" spans="1:3" hidden="1" x14ac:dyDescent="0.25">
      <c r="A1701" t="s">
        <v>9680</v>
      </c>
      <c r="B1701" t="s">
        <v>4832</v>
      </c>
      <c r="C1701" t="s">
        <v>9681</v>
      </c>
    </row>
    <row r="1702" spans="1:3" hidden="1" x14ac:dyDescent="0.25">
      <c r="A1702" t="s">
        <v>9682</v>
      </c>
      <c r="B1702" t="s">
        <v>4169</v>
      </c>
      <c r="C1702" t="s">
        <v>9683</v>
      </c>
    </row>
    <row r="1703" spans="1:3" hidden="1" x14ac:dyDescent="0.25">
      <c r="A1703" t="s">
        <v>9684</v>
      </c>
      <c r="B1703" t="s">
        <v>2945</v>
      </c>
      <c r="C1703" t="s">
        <v>9685</v>
      </c>
    </row>
    <row r="1704" spans="1:3" hidden="1" x14ac:dyDescent="0.25">
      <c r="A1704" t="s">
        <v>9686</v>
      </c>
      <c r="B1704" t="s">
        <v>4230</v>
      </c>
      <c r="C1704" t="s">
        <v>9687</v>
      </c>
    </row>
    <row r="1705" spans="1:3" hidden="1" x14ac:dyDescent="0.25">
      <c r="A1705" t="s">
        <v>9688</v>
      </c>
      <c r="B1705" t="s">
        <v>2258</v>
      </c>
      <c r="C1705" t="s">
        <v>6958</v>
      </c>
    </row>
    <row r="1706" spans="1:3" hidden="1" x14ac:dyDescent="0.25">
      <c r="A1706" t="s">
        <v>9689</v>
      </c>
      <c r="B1706" t="s">
        <v>110</v>
      </c>
      <c r="C1706" t="s">
        <v>9690</v>
      </c>
    </row>
    <row r="1707" spans="1:3" hidden="1" x14ac:dyDescent="0.25">
      <c r="A1707" t="s">
        <v>9691</v>
      </c>
      <c r="B1707" t="s">
        <v>4638</v>
      </c>
      <c r="C1707" t="s">
        <v>6958</v>
      </c>
    </row>
    <row r="1708" spans="1:3" hidden="1" x14ac:dyDescent="0.25">
      <c r="A1708" t="s">
        <v>9692</v>
      </c>
      <c r="B1708" t="s">
        <v>2214</v>
      </c>
      <c r="C1708" t="s">
        <v>6958</v>
      </c>
    </row>
    <row r="1709" spans="1:3" hidden="1" x14ac:dyDescent="0.25">
      <c r="A1709" t="s">
        <v>9693</v>
      </c>
      <c r="B1709" t="s">
        <v>433</v>
      </c>
      <c r="C1709" t="s">
        <v>9694</v>
      </c>
    </row>
    <row r="1710" spans="1:3" hidden="1" x14ac:dyDescent="0.25">
      <c r="A1710" t="s">
        <v>9695</v>
      </c>
      <c r="B1710" t="s">
        <v>1984</v>
      </c>
      <c r="C1710" t="s">
        <v>6958</v>
      </c>
    </row>
    <row r="1711" spans="1:3" hidden="1" x14ac:dyDescent="0.25">
      <c r="A1711" t="s">
        <v>9696</v>
      </c>
      <c r="B1711" t="s">
        <v>5597</v>
      </c>
      <c r="C1711" t="s">
        <v>6958</v>
      </c>
    </row>
    <row r="1712" spans="1:3" hidden="1" x14ac:dyDescent="0.25">
      <c r="A1712" t="s">
        <v>9697</v>
      </c>
      <c r="B1712" t="s">
        <v>236</v>
      </c>
      <c r="C1712" t="s">
        <v>9698</v>
      </c>
    </row>
    <row r="1713" spans="1:3" hidden="1" x14ac:dyDescent="0.25">
      <c r="A1713" t="s">
        <v>9699</v>
      </c>
      <c r="B1713" t="s">
        <v>3786</v>
      </c>
      <c r="C1713" t="s">
        <v>6958</v>
      </c>
    </row>
    <row r="1714" spans="1:3" hidden="1" x14ac:dyDescent="0.25">
      <c r="A1714" t="s">
        <v>9700</v>
      </c>
      <c r="B1714" t="s">
        <v>1450</v>
      </c>
      <c r="C1714" t="s">
        <v>6958</v>
      </c>
    </row>
    <row r="1715" spans="1:3" hidden="1" x14ac:dyDescent="0.25">
      <c r="A1715" t="s">
        <v>9701</v>
      </c>
      <c r="B1715" t="s">
        <v>2807</v>
      </c>
      <c r="C1715" t="s">
        <v>9702</v>
      </c>
    </row>
    <row r="1716" spans="1:3" hidden="1" x14ac:dyDescent="0.25">
      <c r="A1716" t="s">
        <v>9703</v>
      </c>
      <c r="B1716" t="s">
        <v>3881</v>
      </c>
      <c r="C1716" t="s">
        <v>6958</v>
      </c>
    </row>
    <row r="1717" spans="1:3" hidden="1" x14ac:dyDescent="0.25">
      <c r="A1717" t="s">
        <v>9704</v>
      </c>
      <c r="B1717" t="s">
        <v>499</v>
      </c>
      <c r="C1717" t="s">
        <v>6958</v>
      </c>
    </row>
    <row r="1718" spans="1:3" hidden="1" x14ac:dyDescent="0.25">
      <c r="A1718" t="s">
        <v>9705</v>
      </c>
      <c r="B1718" t="s">
        <v>449</v>
      </c>
      <c r="C1718" t="s">
        <v>6958</v>
      </c>
    </row>
    <row r="1719" spans="1:3" hidden="1" x14ac:dyDescent="0.25">
      <c r="A1719" t="s">
        <v>9706</v>
      </c>
      <c r="B1719" t="s">
        <v>547</v>
      </c>
      <c r="C1719" t="s">
        <v>9707</v>
      </c>
    </row>
    <row r="1720" spans="1:3" hidden="1" x14ac:dyDescent="0.25">
      <c r="A1720" t="s">
        <v>9708</v>
      </c>
      <c r="B1720" t="s">
        <v>22</v>
      </c>
      <c r="C1720" t="s">
        <v>6958</v>
      </c>
    </row>
    <row r="1721" spans="1:3" hidden="1" x14ac:dyDescent="0.25">
      <c r="A1721" t="s">
        <v>9709</v>
      </c>
      <c r="B1721" t="s">
        <v>624</v>
      </c>
      <c r="C1721" t="s">
        <v>9710</v>
      </c>
    </row>
    <row r="1722" spans="1:3" hidden="1" x14ac:dyDescent="0.25">
      <c r="A1722" t="s">
        <v>9711</v>
      </c>
      <c r="B1722" t="s">
        <v>2716</v>
      </c>
      <c r="C1722" t="s">
        <v>9712</v>
      </c>
    </row>
    <row r="1723" spans="1:3" hidden="1" x14ac:dyDescent="0.25">
      <c r="A1723" t="s">
        <v>9713</v>
      </c>
      <c r="B1723" t="s">
        <v>1134</v>
      </c>
      <c r="C1723" t="s">
        <v>6958</v>
      </c>
    </row>
    <row r="1724" spans="1:3" hidden="1" x14ac:dyDescent="0.25">
      <c r="A1724" t="s">
        <v>9714</v>
      </c>
      <c r="B1724" t="s">
        <v>1675</v>
      </c>
      <c r="C1724" t="s">
        <v>9715</v>
      </c>
    </row>
    <row r="1725" spans="1:3" hidden="1" x14ac:dyDescent="0.25">
      <c r="A1725" t="s">
        <v>9716</v>
      </c>
      <c r="B1725" t="s">
        <v>3016</v>
      </c>
      <c r="C1725" t="s">
        <v>9717</v>
      </c>
    </row>
    <row r="1726" spans="1:3" hidden="1" x14ac:dyDescent="0.25">
      <c r="A1726" t="s">
        <v>9718</v>
      </c>
      <c r="B1726" t="s">
        <v>1819</v>
      </c>
      <c r="C1726" t="s">
        <v>9719</v>
      </c>
    </row>
    <row r="1727" spans="1:3" hidden="1" x14ac:dyDescent="0.25">
      <c r="A1727" t="s">
        <v>9720</v>
      </c>
      <c r="B1727" t="s">
        <v>4113</v>
      </c>
      <c r="C1727" t="s">
        <v>6958</v>
      </c>
    </row>
    <row r="1728" spans="1:3" hidden="1" x14ac:dyDescent="0.25">
      <c r="A1728" t="s">
        <v>9721</v>
      </c>
      <c r="B1728" t="s">
        <v>2957</v>
      </c>
      <c r="C1728" t="s">
        <v>6958</v>
      </c>
    </row>
    <row r="1729" spans="1:3" hidden="1" x14ac:dyDescent="0.25">
      <c r="A1729" t="s">
        <v>9722</v>
      </c>
      <c r="B1729" t="s">
        <v>4819</v>
      </c>
      <c r="C1729" t="s">
        <v>9723</v>
      </c>
    </row>
    <row r="1730" spans="1:3" hidden="1" x14ac:dyDescent="0.25">
      <c r="A1730" t="s">
        <v>9724</v>
      </c>
      <c r="B1730" t="s">
        <v>3674</v>
      </c>
      <c r="C1730" t="s">
        <v>6958</v>
      </c>
    </row>
    <row r="1731" spans="1:3" hidden="1" x14ac:dyDescent="0.25">
      <c r="A1731" t="s">
        <v>9725</v>
      </c>
      <c r="B1731" t="s">
        <v>2202</v>
      </c>
      <c r="C1731" t="s">
        <v>9726</v>
      </c>
    </row>
    <row r="1732" spans="1:3" hidden="1" x14ac:dyDescent="0.25">
      <c r="A1732" t="s">
        <v>9727</v>
      </c>
      <c r="B1732" t="s">
        <v>3549</v>
      </c>
      <c r="C1732" t="s">
        <v>6958</v>
      </c>
    </row>
    <row r="1733" spans="1:3" hidden="1" x14ac:dyDescent="0.25">
      <c r="A1733" t="s">
        <v>9728</v>
      </c>
      <c r="B1733" t="s">
        <v>4941</v>
      </c>
      <c r="C1733" t="s">
        <v>9729</v>
      </c>
    </row>
    <row r="1734" spans="1:3" hidden="1" x14ac:dyDescent="0.25">
      <c r="A1734" t="s">
        <v>9730</v>
      </c>
      <c r="B1734" t="s">
        <v>4099</v>
      </c>
      <c r="C1734" t="s">
        <v>9731</v>
      </c>
    </row>
    <row r="1735" spans="1:3" hidden="1" x14ac:dyDescent="0.25">
      <c r="A1735" t="s">
        <v>9732</v>
      </c>
      <c r="B1735" t="s">
        <v>2586</v>
      </c>
      <c r="C1735" t="s">
        <v>9733</v>
      </c>
    </row>
    <row r="1736" spans="1:3" hidden="1" x14ac:dyDescent="0.25">
      <c r="A1736" t="s">
        <v>9734</v>
      </c>
      <c r="B1736" t="s">
        <v>2743</v>
      </c>
      <c r="C1736" t="s">
        <v>9735</v>
      </c>
    </row>
    <row r="1737" spans="1:3" hidden="1" x14ac:dyDescent="0.25">
      <c r="A1737" t="s">
        <v>9736</v>
      </c>
      <c r="B1737" t="s">
        <v>5397</v>
      </c>
      <c r="C1737" t="s">
        <v>6958</v>
      </c>
    </row>
    <row r="1738" spans="1:3" hidden="1" x14ac:dyDescent="0.25">
      <c r="A1738" t="s">
        <v>9737</v>
      </c>
      <c r="B1738" t="s">
        <v>1744</v>
      </c>
      <c r="C1738" t="s">
        <v>9738</v>
      </c>
    </row>
    <row r="1739" spans="1:3" hidden="1" x14ac:dyDescent="0.25">
      <c r="A1739" t="s">
        <v>9739</v>
      </c>
      <c r="B1739" t="s">
        <v>1626</v>
      </c>
      <c r="C1739" t="s">
        <v>9740</v>
      </c>
    </row>
    <row r="1740" spans="1:3" hidden="1" x14ac:dyDescent="0.25">
      <c r="A1740" t="s">
        <v>9741</v>
      </c>
      <c r="B1740" t="s">
        <v>4377</v>
      </c>
      <c r="C1740" t="s">
        <v>9742</v>
      </c>
    </row>
    <row r="1741" spans="1:3" hidden="1" x14ac:dyDescent="0.25">
      <c r="A1741" t="s">
        <v>9743</v>
      </c>
      <c r="B1741" t="s">
        <v>5055</v>
      </c>
      <c r="C1741" t="s">
        <v>6958</v>
      </c>
    </row>
    <row r="1742" spans="1:3" hidden="1" x14ac:dyDescent="0.25">
      <c r="A1742" t="s">
        <v>9744</v>
      </c>
      <c r="B1742" t="s">
        <v>114</v>
      </c>
      <c r="C1742" t="s">
        <v>9745</v>
      </c>
    </row>
    <row r="1743" spans="1:3" hidden="1" x14ac:dyDescent="0.25">
      <c r="A1743" t="s">
        <v>9746</v>
      </c>
      <c r="B1743" t="s">
        <v>3004</v>
      </c>
      <c r="C1743" t="s">
        <v>9747</v>
      </c>
    </row>
    <row r="1744" spans="1:3" hidden="1" x14ac:dyDescent="0.25">
      <c r="A1744" t="s">
        <v>9748</v>
      </c>
      <c r="B1744" t="s">
        <v>2519</v>
      </c>
      <c r="C1744" t="s">
        <v>9749</v>
      </c>
    </row>
    <row r="1745" spans="1:3" hidden="1" x14ac:dyDescent="0.25">
      <c r="A1745" t="s">
        <v>9750</v>
      </c>
      <c r="B1745" t="s">
        <v>5230</v>
      </c>
      <c r="C1745" t="s">
        <v>9751</v>
      </c>
    </row>
    <row r="1746" spans="1:3" hidden="1" x14ac:dyDescent="0.25">
      <c r="A1746" t="s">
        <v>9752</v>
      </c>
      <c r="B1746" t="s">
        <v>471</v>
      </c>
      <c r="C1746" t="s">
        <v>9753</v>
      </c>
    </row>
    <row r="1747" spans="1:3" hidden="1" x14ac:dyDescent="0.25">
      <c r="A1747" t="s">
        <v>9754</v>
      </c>
      <c r="B1747" t="s">
        <v>3374</v>
      </c>
      <c r="C1747" t="s">
        <v>9755</v>
      </c>
    </row>
    <row r="1748" spans="1:3" hidden="1" x14ac:dyDescent="0.25">
      <c r="A1748" t="s">
        <v>9756</v>
      </c>
      <c r="B1748" t="s">
        <v>3729</v>
      </c>
      <c r="C1748" t="s">
        <v>9757</v>
      </c>
    </row>
    <row r="1749" spans="1:3" hidden="1" x14ac:dyDescent="0.25">
      <c r="A1749" t="s">
        <v>9758</v>
      </c>
      <c r="B1749" t="s">
        <v>3631</v>
      </c>
      <c r="C1749" t="s">
        <v>6958</v>
      </c>
    </row>
    <row r="1750" spans="1:3" hidden="1" x14ac:dyDescent="0.25">
      <c r="A1750" t="s">
        <v>9759</v>
      </c>
      <c r="B1750" t="s">
        <v>5043</v>
      </c>
      <c r="C1750" t="s">
        <v>9760</v>
      </c>
    </row>
    <row r="1751" spans="1:3" hidden="1" x14ac:dyDescent="0.25">
      <c r="A1751" t="s">
        <v>9761</v>
      </c>
      <c r="B1751" t="s">
        <v>4212</v>
      </c>
      <c r="C1751" t="s">
        <v>9762</v>
      </c>
    </row>
    <row r="1752" spans="1:3" hidden="1" x14ac:dyDescent="0.25">
      <c r="A1752" t="s">
        <v>9763</v>
      </c>
      <c r="B1752" t="s">
        <v>5307</v>
      </c>
      <c r="C1752" t="s">
        <v>9764</v>
      </c>
    </row>
    <row r="1753" spans="1:3" hidden="1" x14ac:dyDescent="0.25">
      <c r="A1753" t="s">
        <v>9765</v>
      </c>
      <c r="B1753" t="s">
        <v>3123</v>
      </c>
      <c r="C1753" t="s">
        <v>9766</v>
      </c>
    </row>
    <row r="1754" spans="1:3" hidden="1" x14ac:dyDescent="0.25">
      <c r="A1754" t="s">
        <v>9767</v>
      </c>
      <c r="B1754" t="s">
        <v>5100</v>
      </c>
      <c r="C1754" t="s">
        <v>6958</v>
      </c>
    </row>
    <row r="1755" spans="1:3" hidden="1" x14ac:dyDescent="0.25">
      <c r="A1755" t="s">
        <v>9768</v>
      </c>
      <c r="B1755" t="s">
        <v>4972</v>
      </c>
      <c r="C1755" t="s">
        <v>6958</v>
      </c>
    </row>
    <row r="1756" spans="1:3" hidden="1" x14ac:dyDescent="0.25">
      <c r="A1756" t="s">
        <v>9769</v>
      </c>
      <c r="B1756" t="s">
        <v>4137</v>
      </c>
      <c r="C1756" t="s">
        <v>6958</v>
      </c>
    </row>
    <row r="1757" spans="1:3" hidden="1" x14ac:dyDescent="0.25">
      <c r="A1757" t="s">
        <v>9770</v>
      </c>
      <c r="B1757" t="s">
        <v>2941</v>
      </c>
      <c r="C1757" t="s">
        <v>6958</v>
      </c>
    </row>
    <row r="1758" spans="1:3" hidden="1" x14ac:dyDescent="0.25">
      <c r="A1758" t="s">
        <v>9771</v>
      </c>
      <c r="B1758" t="s">
        <v>622</v>
      </c>
      <c r="C1758" t="s">
        <v>9772</v>
      </c>
    </row>
    <row r="1759" spans="1:3" hidden="1" x14ac:dyDescent="0.25">
      <c r="A1759" t="s">
        <v>9773</v>
      </c>
      <c r="B1759" t="s">
        <v>1633</v>
      </c>
      <c r="C1759" t="s">
        <v>9774</v>
      </c>
    </row>
    <row r="1760" spans="1:3" hidden="1" x14ac:dyDescent="0.25">
      <c r="A1760" t="s">
        <v>9775</v>
      </c>
      <c r="B1760" t="s">
        <v>2508</v>
      </c>
      <c r="C1760" t="s">
        <v>9776</v>
      </c>
    </row>
    <row r="1761" spans="1:3" hidden="1" x14ac:dyDescent="0.25">
      <c r="A1761" t="s">
        <v>9777</v>
      </c>
      <c r="B1761" t="s">
        <v>5605</v>
      </c>
      <c r="C1761" t="s">
        <v>6958</v>
      </c>
    </row>
    <row r="1762" spans="1:3" hidden="1" x14ac:dyDescent="0.25">
      <c r="A1762" t="s">
        <v>9778</v>
      </c>
      <c r="B1762" t="s">
        <v>3567</v>
      </c>
      <c r="C1762" t="s">
        <v>6958</v>
      </c>
    </row>
    <row r="1763" spans="1:3" hidden="1" x14ac:dyDescent="0.25">
      <c r="A1763" t="s">
        <v>9779</v>
      </c>
      <c r="B1763" t="s">
        <v>4436</v>
      </c>
      <c r="C1763" t="s">
        <v>9780</v>
      </c>
    </row>
    <row r="1764" spans="1:3" hidden="1" x14ac:dyDescent="0.25">
      <c r="A1764" t="s">
        <v>9781</v>
      </c>
      <c r="B1764" t="s">
        <v>3730</v>
      </c>
      <c r="C1764" t="s">
        <v>9782</v>
      </c>
    </row>
    <row r="1765" spans="1:3" hidden="1" x14ac:dyDescent="0.25">
      <c r="A1765" t="s">
        <v>9783</v>
      </c>
      <c r="B1765" t="s">
        <v>9784</v>
      </c>
      <c r="C1765" t="s">
        <v>9785</v>
      </c>
    </row>
    <row r="1766" spans="1:3" hidden="1" x14ac:dyDescent="0.25">
      <c r="A1766" t="s">
        <v>9786</v>
      </c>
      <c r="B1766" t="s">
        <v>4998</v>
      </c>
      <c r="C1766" t="s">
        <v>6958</v>
      </c>
    </row>
    <row r="1767" spans="1:3" hidden="1" x14ac:dyDescent="0.25">
      <c r="A1767" t="s">
        <v>9787</v>
      </c>
      <c r="B1767" t="s">
        <v>3962</v>
      </c>
      <c r="C1767" t="s">
        <v>6958</v>
      </c>
    </row>
    <row r="1768" spans="1:3" hidden="1" x14ac:dyDescent="0.25">
      <c r="A1768" t="s">
        <v>9788</v>
      </c>
      <c r="B1768" t="s">
        <v>3556</v>
      </c>
      <c r="C1768" t="s">
        <v>9789</v>
      </c>
    </row>
    <row r="1769" spans="1:3" hidden="1" x14ac:dyDescent="0.25">
      <c r="A1769" t="s">
        <v>9790</v>
      </c>
      <c r="B1769" t="s">
        <v>4231</v>
      </c>
      <c r="C1769" t="s">
        <v>6958</v>
      </c>
    </row>
    <row r="1770" spans="1:3" hidden="1" x14ac:dyDescent="0.25">
      <c r="A1770" t="s">
        <v>9791</v>
      </c>
      <c r="B1770" t="s">
        <v>4281</v>
      </c>
      <c r="C1770" t="s">
        <v>6958</v>
      </c>
    </row>
    <row r="1771" spans="1:3" hidden="1" x14ac:dyDescent="0.25">
      <c r="A1771" t="s">
        <v>9792</v>
      </c>
      <c r="B1771" t="s">
        <v>4481</v>
      </c>
      <c r="C1771" t="s">
        <v>6958</v>
      </c>
    </row>
    <row r="1772" spans="1:3" hidden="1" x14ac:dyDescent="0.25">
      <c r="A1772" t="s">
        <v>9793</v>
      </c>
      <c r="B1772" t="s">
        <v>1563</v>
      </c>
      <c r="C1772" t="s">
        <v>6958</v>
      </c>
    </row>
    <row r="1773" spans="1:3" hidden="1" x14ac:dyDescent="0.25">
      <c r="A1773" t="s">
        <v>9794</v>
      </c>
      <c r="B1773" t="s">
        <v>5180</v>
      </c>
      <c r="C1773" t="s">
        <v>6958</v>
      </c>
    </row>
    <row r="1774" spans="1:3" hidden="1" x14ac:dyDescent="0.25">
      <c r="A1774" t="s">
        <v>9795</v>
      </c>
      <c r="B1774" t="s">
        <v>3673</v>
      </c>
      <c r="C1774" t="s">
        <v>6958</v>
      </c>
    </row>
    <row r="1775" spans="1:3" hidden="1" x14ac:dyDescent="0.25">
      <c r="A1775" t="s">
        <v>9796</v>
      </c>
      <c r="B1775" t="s">
        <v>1542</v>
      </c>
      <c r="C1775" t="s">
        <v>9797</v>
      </c>
    </row>
    <row r="1776" spans="1:3" hidden="1" x14ac:dyDescent="0.25">
      <c r="A1776" t="s">
        <v>9798</v>
      </c>
      <c r="B1776" t="s">
        <v>2275</v>
      </c>
      <c r="C1776" t="s">
        <v>9799</v>
      </c>
    </row>
    <row r="1777" spans="1:3" hidden="1" x14ac:dyDescent="0.25">
      <c r="A1777" t="s">
        <v>9800</v>
      </c>
      <c r="B1777" t="s">
        <v>3806</v>
      </c>
      <c r="C1777" t="s">
        <v>6958</v>
      </c>
    </row>
    <row r="1778" spans="1:3" hidden="1" x14ac:dyDescent="0.25">
      <c r="A1778" t="s">
        <v>9801</v>
      </c>
      <c r="B1778" t="s">
        <v>443</v>
      </c>
      <c r="C1778" t="s">
        <v>9802</v>
      </c>
    </row>
    <row r="1779" spans="1:3" hidden="1" x14ac:dyDescent="0.25">
      <c r="A1779" t="s">
        <v>9803</v>
      </c>
      <c r="B1779" t="s">
        <v>2974</v>
      </c>
      <c r="C1779" t="s">
        <v>6958</v>
      </c>
    </row>
    <row r="1780" spans="1:3" hidden="1" x14ac:dyDescent="0.25">
      <c r="A1780" t="s">
        <v>9804</v>
      </c>
      <c r="B1780" t="s">
        <v>4559</v>
      </c>
      <c r="C1780" t="s">
        <v>9805</v>
      </c>
    </row>
    <row r="1781" spans="1:3" hidden="1" x14ac:dyDescent="0.25">
      <c r="A1781" t="s">
        <v>9806</v>
      </c>
      <c r="B1781" t="s">
        <v>2888</v>
      </c>
      <c r="C1781" t="s">
        <v>6958</v>
      </c>
    </row>
    <row r="1782" spans="1:3" hidden="1" x14ac:dyDescent="0.25">
      <c r="A1782" t="s">
        <v>9807</v>
      </c>
      <c r="B1782" t="s">
        <v>5261</v>
      </c>
      <c r="C1782" t="s">
        <v>6958</v>
      </c>
    </row>
    <row r="1783" spans="1:3" hidden="1" x14ac:dyDescent="0.25">
      <c r="A1783" t="s">
        <v>9808</v>
      </c>
      <c r="B1783" t="s">
        <v>3865</v>
      </c>
      <c r="C1783" t="s">
        <v>9809</v>
      </c>
    </row>
    <row r="1784" spans="1:3" hidden="1" x14ac:dyDescent="0.25">
      <c r="A1784" t="s">
        <v>9810</v>
      </c>
      <c r="B1784" t="s">
        <v>400</v>
      </c>
      <c r="C1784" t="s">
        <v>9811</v>
      </c>
    </row>
    <row r="1785" spans="1:3" hidden="1" x14ac:dyDescent="0.25">
      <c r="A1785" t="s">
        <v>9812</v>
      </c>
      <c r="B1785" t="s">
        <v>4079</v>
      </c>
      <c r="C1785" t="s">
        <v>9813</v>
      </c>
    </row>
    <row r="1786" spans="1:3" hidden="1" x14ac:dyDescent="0.25">
      <c r="A1786" t="s">
        <v>9814</v>
      </c>
      <c r="B1786" t="s">
        <v>4332</v>
      </c>
      <c r="C1786" t="s">
        <v>6958</v>
      </c>
    </row>
    <row r="1787" spans="1:3" hidden="1" x14ac:dyDescent="0.25">
      <c r="A1787" t="s">
        <v>9815</v>
      </c>
      <c r="B1787" t="s">
        <v>5011</v>
      </c>
      <c r="C1787" t="s">
        <v>9816</v>
      </c>
    </row>
    <row r="1788" spans="1:3" hidden="1" x14ac:dyDescent="0.25">
      <c r="A1788" t="s">
        <v>9817</v>
      </c>
      <c r="B1788" t="s">
        <v>415</v>
      </c>
      <c r="C1788" t="s">
        <v>9818</v>
      </c>
    </row>
    <row r="1789" spans="1:3" hidden="1" x14ac:dyDescent="0.25">
      <c r="A1789" t="s">
        <v>9819</v>
      </c>
      <c r="B1789" t="s">
        <v>4918</v>
      </c>
      <c r="C1789" t="s">
        <v>9820</v>
      </c>
    </row>
    <row r="1790" spans="1:3" hidden="1" x14ac:dyDescent="0.25">
      <c r="A1790" t="s">
        <v>9821</v>
      </c>
      <c r="B1790" t="s">
        <v>911</v>
      </c>
      <c r="C1790" t="s">
        <v>9822</v>
      </c>
    </row>
    <row r="1791" spans="1:3" hidden="1" x14ac:dyDescent="0.25">
      <c r="A1791" t="s">
        <v>9823</v>
      </c>
      <c r="B1791" t="s">
        <v>39</v>
      </c>
      <c r="C1791" t="s">
        <v>9824</v>
      </c>
    </row>
    <row r="1792" spans="1:3" hidden="1" x14ac:dyDescent="0.25">
      <c r="A1792" t="s">
        <v>9825</v>
      </c>
      <c r="B1792" t="s">
        <v>5537</v>
      </c>
      <c r="C1792" t="s">
        <v>9826</v>
      </c>
    </row>
    <row r="1793" spans="1:3" hidden="1" x14ac:dyDescent="0.25">
      <c r="A1793" t="s">
        <v>9827</v>
      </c>
      <c r="B1793" t="s">
        <v>4804</v>
      </c>
      <c r="C1793" t="s">
        <v>6958</v>
      </c>
    </row>
    <row r="1794" spans="1:3" hidden="1" x14ac:dyDescent="0.25">
      <c r="A1794" t="s">
        <v>9828</v>
      </c>
      <c r="B1794" t="s">
        <v>1671</v>
      </c>
      <c r="C1794" t="s">
        <v>9829</v>
      </c>
    </row>
    <row r="1795" spans="1:3" hidden="1" x14ac:dyDescent="0.25">
      <c r="A1795" t="s">
        <v>9830</v>
      </c>
      <c r="B1795" t="s">
        <v>1021</v>
      </c>
      <c r="C1795" t="s">
        <v>9831</v>
      </c>
    </row>
    <row r="1796" spans="1:3" hidden="1" x14ac:dyDescent="0.25">
      <c r="A1796" t="s">
        <v>9832</v>
      </c>
      <c r="B1796" t="s">
        <v>2209</v>
      </c>
      <c r="C1796" t="s">
        <v>9833</v>
      </c>
    </row>
    <row r="1797" spans="1:3" hidden="1" x14ac:dyDescent="0.25">
      <c r="A1797" t="s">
        <v>9834</v>
      </c>
      <c r="B1797" t="s">
        <v>473</v>
      </c>
      <c r="C1797" t="s">
        <v>6958</v>
      </c>
    </row>
    <row r="1798" spans="1:3" hidden="1" x14ac:dyDescent="0.25">
      <c r="A1798" t="s">
        <v>9835</v>
      </c>
      <c r="B1798" t="s">
        <v>2536</v>
      </c>
      <c r="C1798" t="s">
        <v>9836</v>
      </c>
    </row>
    <row r="1799" spans="1:3" hidden="1" x14ac:dyDescent="0.25">
      <c r="A1799" t="s">
        <v>9837</v>
      </c>
      <c r="B1799" t="s">
        <v>1220</v>
      </c>
      <c r="C1799" t="s">
        <v>7040</v>
      </c>
    </row>
    <row r="1800" spans="1:3" hidden="1" x14ac:dyDescent="0.25">
      <c r="A1800" t="s">
        <v>9838</v>
      </c>
      <c r="B1800" t="s">
        <v>2551</v>
      </c>
      <c r="C1800" t="s">
        <v>9839</v>
      </c>
    </row>
    <row r="1801" spans="1:3" hidden="1" x14ac:dyDescent="0.25">
      <c r="A1801" t="s">
        <v>9840</v>
      </c>
      <c r="B1801" t="s">
        <v>3400</v>
      </c>
      <c r="C1801" t="s">
        <v>9841</v>
      </c>
    </row>
    <row r="1802" spans="1:3" hidden="1" x14ac:dyDescent="0.25">
      <c r="A1802" t="s">
        <v>9842</v>
      </c>
      <c r="B1802" t="s">
        <v>4358</v>
      </c>
      <c r="C1802" t="s">
        <v>9843</v>
      </c>
    </row>
    <row r="1803" spans="1:3" hidden="1" x14ac:dyDescent="0.25">
      <c r="A1803" t="s">
        <v>9844</v>
      </c>
      <c r="B1803" t="s">
        <v>171</v>
      </c>
      <c r="C1803" t="s">
        <v>9845</v>
      </c>
    </row>
    <row r="1804" spans="1:3" hidden="1" x14ac:dyDescent="0.25">
      <c r="A1804" t="s">
        <v>9846</v>
      </c>
      <c r="B1804" t="s">
        <v>2018</v>
      </c>
      <c r="C1804" t="s">
        <v>9847</v>
      </c>
    </row>
    <row r="1805" spans="1:3" hidden="1" x14ac:dyDescent="0.25">
      <c r="A1805" t="s">
        <v>9848</v>
      </c>
      <c r="B1805" t="s">
        <v>2949</v>
      </c>
      <c r="C1805" t="s">
        <v>9849</v>
      </c>
    </row>
    <row r="1806" spans="1:3" hidden="1" x14ac:dyDescent="0.25">
      <c r="A1806" t="s">
        <v>9850</v>
      </c>
      <c r="B1806" t="s">
        <v>3924</v>
      </c>
      <c r="C1806" t="s">
        <v>6958</v>
      </c>
    </row>
    <row r="1807" spans="1:3" hidden="1" x14ac:dyDescent="0.25">
      <c r="A1807" t="s">
        <v>9851</v>
      </c>
      <c r="B1807" t="s">
        <v>1743</v>
      </c>
      <c r="C1807" t="s">
        <v>6958</v>
      </c>
    </row>
    <row r="1808" spans="1:3" hidden="1" x14ac:dyDescent="0.25">
      <c r="A1808" t="s">
        <v>9852</v>
      </c>
      <c r="B1808" t="s">
        <v>354</v>
      </c>
      <c r="C1808" t="s">
        <v>7807</v>
      </c>
    </row>
    <row r="1809" spans="1:3" hidden="1" x14ac:dyDescent="0.25">
      <c r="A1809" t="s">
        <v>9853</v>
      </c>
      <c r="B1809" t="s">
        <v>824</v>
      </c>
      <c r="C1809" t="s">
        <v>9854</v>
      </c>
    </row>
    <row r="1810" spans="1:3" hidden="1" x14ac:dyDescent="0.25">
      <c r="A1810" t="s">
        <v>9855</v>
      </c>
      <c r="B1810" t="s">
        <v>2333</v>
      </c>
      <c r="C1810" t="s">
        <v>9856</v>
      </c>
    </row>
    <row r="1811" spans="1:3" hidden="1" x14ac:dyDescent="0.25">
      <c r="A1811" t="s">
        <v>9857</v>
      </c>
      <c r="B1811" t="s">
        <v>4454</v>
      </c>
      <c r="C1811" t="s">
        <v>9858</v>
      </c>
    </row>
    <row r="1812" spans="1:3" hidden="1" x14ac:dyDescent="0.25">
      <c r="A1812" t="s">
        <v>9859</v>
      </c>
      <c r="B1812" t="s">
        <v>1851</v>
      </c>
      <c r="C1812" t="s">
        <v>9860</v>
      </c>
    </row>
    <row r="1813" spans="1:3" hidden="1" x14ac:dyDescent="0.25">
      <c r="A1813" t="s">
        <v>9861</v>
      </c>
      <c r="B1813" t="s">
        <v>5149</v>
      </c>
      <c r="C1813" t="s">
        <v>6958</v>
      </c>
    </row>
    <row r="1814" spans="1:3" hidden="1" x14ac:dyDescent="0.25">
      <c r="A1814" t="s">
        <v>9862</v>
      </c>
      <c r="B1814" t="s">
        <v>4014</v>
      </c>
      <c r="C1814" t="s">
        <v>9863</v>
      </c>
    </row>
    <row r="1815" spans="1:3" hidden="1" x14ac:dyDescent="0.25">
      <c r="A1815" t="s">
        <v>9864</v>
      </c>
      <c r="B1815" t="s">
        <v>1165</v>
      </c>
      <c r="C1815" t="s">
        <v>6958</v>
      </c>
    </row>
    <row r="1816" spans="1:3" hidden="1" x14ac:dyDescent="0.25">
      <c r="A1816" t="s">
        <v>9865</v>
      </c>
      <c r="B1816" t="s">
        <v>1471</v>
      </c>
      <c r="C1816" t="s">
        <v>9866</v>
      </c>
    </row>
    <row r="1817" spans="1:3" hidden="1" x14ac:dyDescent="0.25">
      <c r="A1817" t="s">
        <v>9867</v>
      </c>
      <c r="B1817" t="s">
        <v>3214</v>
      </c>
      <c r="C1817" t="s">
        <v>6958</v>
      </c>
    </row>
    <row r="1818" spans="1:3" hidden="1" x14ac:dyDescent="0.25">
      <c r="A1818" t="s">
        <v>9868</v>
      </c>
      <c r="B1818" t="s">
        <v>459</v>
      </c>
      <c r="C1818" t="s">
        <v>9869</v>
      </c>
    </row>
    <row r="1819" spans="1:3" hidden="1" x14ac:dyDescent="0.25">
      <c r="A1819" t="s">
        <v>9870</v>
      </c>
      <c r="B1819" t="s">
        <v>3794</v>
      </c>
      <c r="C1819" t="s">
        <v>6958</v>
      </c>
    </row>
    <row r="1820" spans="1:3" hidden="1" x14ac:dyDescent="0.25">
      <c r="A1820" t="s">
        <v>9871</v>
      </c>
      <c r="B1820" t="s">
        <v>645</v>
      </c>
      <c r="C1820" t="s">
        <v>6958</v>
      </c>
    </row>
    <row r="1821" spans="1:3" hidden="1" x14ac:dyDescent="0.25">
      <c r="A1821" t="s">
        <v>9872</v>
      </c>
      <c r="B1821" t="s">
        <v>3322</v>
      </c>
      <c r="C1821" t="s">
        <v>9873</v>
      </c>
    </row>
    <row r="1822" spans="1:3" hidden="1" x14ac:dyDescent="0.25">
      <c r="A1822" t="s">
        <v>9874</v>
      </c>
      <c r="B1822" t="s">
        <v>3118</v>
      </c>
      <c r="C1822" t="s">
        <v>6958</v>
      </c>
    </row>
    <row r="1823" spans="1:3" hidden="1" x14ac:dyDescent="0.25">
      <c r="A1823" t="s">
        <v>9875</v>
      </c>
      <c r="B1823" t="s">
        <v>3455</v>
      </c>
      <c r="C1823" t="s">
        <v>6958</v>
      </c>
    </row>
    <row r="1824" spans="1:3" hidden="1" x14ac:dyDescent="0.25">
      <c r="A1824" t="s">
        <v>9876</v>
      </c>
      <c r="B1824" t="s">
        <v>4309</v>
      </c>
      <c r="C1824" t="s">
        <v>6958</v>
      </c>
    </row>
    <row r="1825" spans="1:3" hidden="1" x14ac:dyDescent="0.25">
      <c r="A1825" t="s">
        <v>9877</v>
      </c>
      <c r="B1825" t="s">
        <v>2868</v>
      </c>
      <c r="C1825" t="s">
        <v>6958</v>
      </c>
    </row>
    <row r="1826" spans="1:3" hidden="1" x14ac:dyDescent="0.25">
      <c r="A1826" t="s">
        <v>9878</v>
      </c>
      <c r="B1826" t="s">
        <v>5393</v>
      </c>
      <c r="C1826" t="s">
        <v>9879</v>
      </c>
    </row>
    <row r="1827" spans="1:3" hidden="1" x14ac:dyDescent="0.25">
      <c r="A1827" t="s">
        <v>9880</v>
      </c>
      <c r="B1827" t="s">
        <v>3751</v>
      </c>
      <c r="C1827" t="s">
        <v>6958</v>
      </c>
    </row>
    <row r="1828" spans="1:3" hidden="1" x14ac:dyDescent="0.25">
      <c r="A1828" t="s">
        <v>9881</v>
      </c>
      <c r="B1828" t="s">
        <v>5698</v>
      </c>
      <c r="C1828" t="s">
        <v>6958</v>
      </c>
    </row>
    <row r="1829" spans="1:3" hidden="1" x14ac:dyDescent="0.25">
      <c r="A1829" t="s">
        <v>9882</v>
      </c>
      <c r="B1829" t="s">
        <v>3705</v>
      </c>
      <c r="C1829" t="s">
        <v>9883</v>
      </c>
    </row>
    <row r="1830" spans="1:3" hidden="1" x14ac:dyDescent="0.25">
      <c r="A1830" t="s">
        <v>9884</v>
      </c>
      <c r="B1830" t="s">
        <v>199</v>
      </c>
      <c r="C1830" t="s">
        <v>9885</v>
      </c>
    </row>
    <row r="1831" spans="1:3" hidden="1" x14ac:dyDescent="0.25">
      <c r="A1831" t="s">
        <v>9886</v>
      </c>
      <c r="B1831" t="s">
        <v>2635</v>
      </c>
      <c r="C1831" t="s">
        <v>9887</v>
      </c>
    </row>
    <row r="1832" spans="1:3" hidden="1" x14ac:dyDescent="0.25">
      <c r="A1832" t="s">
        <v>9888</v>
      </c>
      <c r="B1832" t="s">
        <v>9889</v>
      </c>
      <c r="C1832" t="s">
        <v>6958</v>
      </c>
    </row>
    <row r="1833" spans="1:3" hidden="1" x14ac:dyDescent="0.25">
      <c r="A1833" t="s">
        <v>9890</v>
      </c>
      <c r="B1833" t="s">
        <v>1289</v>
      </c>
      <c r="C1833" t="s">
        <v>6958</v>
      </c>
    </row>
    <row r="1834" spans="1:3" hidden="1" x14ac:dyDescent="0.25">
      <c r="A1834" t="s">
        <v>9891</v>
      </c>
      <c r="B1834" t="s">
        <v>649</v>
      </c>
      <c r="C1834" t="s">
        <v>9892</v>
      </c>
    </row>
    <row r="1835" spans="1:3" hidden="1" x14ac:dyDescent="0.25">
      <c r="A1835" t="s">
        <v>9893</v>
      </c>
      <c r="B1835" t="s">
        <v>4566</v>
      </c>
      <c r="C1835" t="s">
        <v>6958</v>
      </c>
    </row>
    <row r="1836" spans="1:3" hidden="1" x14ac:dyDescent="0.25">
      <c r="A1836" t="s">
        <v>9894</v>
      </c>
      <c r="B1836" t="s">
        <v>4838</v>
      </c>
      <c r="C1836" t="s">
        <v>9895</v>
      </c>
    </row>
    <row r="1837" spans="1:3" hidden="1" x14ac:dyDescent="0.25">
      <c r="A1837" t="s">
        <v>9896</v>
      </c>
      <c r="B1837" t="s">
        <v>706</v>
      </c>
      <c r="C1837" t="s">
        <v>9897</v>
      </c>
    </row>
    <row r="1838" spans="1:3" hidden="1" x14ac:dyDescent="0.25">
      <c r="A1838" t="s">
        <v>9898</v>
      </c>
      <c r="B1838" t="s">
        <v>873</v>
      </c>
      <c r="C1838" t="s">
        <v>9899</v>
      </c>
    </row>
    <row r="1839" spans="1:3" hidden="1" x14ac:dyDescent="0.25">
      <c r="A1839" t="s">
        <v>9900</v>
      </c>
      <c r="B1839" t="s">
        <v>968</v>
      </c>
      <c r="C1839" t="s">
        <v>9901</v>
      </c>
    </row>
    <row r="1840" spans="1:3" hidden="1" x14ac:dyDescent="0.25">
      <c r="A1840" t="s">
        <v>9902</v>
      </c>
      <c r="B1840" t="s">
        <v>224</v>
      </c>
      <c r="C1840" t="s">
        <v>9903</v>
      </c>
    </row>
    <row r="1841" spans="1:3" hidden="1" x14ac:dyDescent="0.25">
      <c r="A1841" t="s">
        <v>9904</v>
      </c>
      <c r="B1841" t="s">
        <v>4204</v>
      </c>
      <c r="C1841" t="s">
        <v>6958</v>
      </c>
    </row>
    <row r="1842" spans="1:3" hidden="1" x14ac:dyDescent="0.25">
      <c r="A1842" t="s">
        <v>9905</v>
      </c>
      <c r="B1842" t="s">
        <v>3132</v>
      </c>
      <c r="C1842" t="s">
        <v>9906</v>
      </c>
    </row>
    <row r="1843" spans="1:3" hidden="1" x14ac:dyDescent="0.25">
      <c r="A1843" t="s">
        <v>9907</v>
      </c>
      <c r="B1843" t="s">
        <v>1441</v>
      </c>
      <c r="C1843" t="s">
        <v>9908</v>
      </c>
    </row>
    <row r="1844" spans="1:3" hidden="1" x14ac:dyDescent="0.25">
      <c r="A1844" t="s">
        <v>9909</v>
      </c>
      <c r="B1844" t="s">
        <v>4091</v>
      </c>
      <c r="C1844" t="s">
        <v>9910</v>
      </c>
    </row>
    <row r="1845" spans="1:3" hidden="1" x14ac:dyDescent="0.25">
      <c r="A1845" t="s">
        <v>9911</v>
      </c>
      <c r="B1845" t="s">
        <v>1569</v>
      </c>
      <c r="C1845" t="s">
        <v>9912</v>
      </c>
    </row>
    <row r="1846" spans="1:3" hidden="1" x14ac:dyDescent="0.25">
      <c r="A1846" t="s">
        <v>9913</v>
      </c>
      <c r="B1846" t="s">
        <v>2556</v>
      </c>
      <c r="C1846" t="s">
        <v>9914</v>
      </c>
    </row>
    <row r="1847" spans="1:3" hidden="1" x14ac:dyDescent="0.25">
      <c r="A1847" t="s">
        <v>9915</v>
      </c>
      <c r="B1847" t="s">
        <v>4693</v>
      </c>
      <c r="C1847" t="s">
        <v>9916</v>
      </c>
    </row>
    <row r="1848" spans="1:3" hidden="1" x14ac:dyDescent="0.25">
      <c r="A1848" t="s">
        <v>9917</v>
      </c>
      <c r="B1848" t="s">
        <v>561</v>
      </c>
      <c r="C1848" t="s">
        <v>9918</v>
      </c>
    </row>
    <row r="1849" spans="1:3" hidden="1" x14ac:dyDescent="0.25">
      <c r="A1849" t="s">
        <v>9919</v>
      </c>
      <c r="B1849" t="s">
        <v>3029</v>
      </c>
      <c r="C1849" t="s">
        <v>9920</v>
      </c>
    </row>
    <row r="1850" spans="1:3" hidden="1" x14ac:dyDescent="0.25">
      <c r="A1850" t="s">
        <v>9921</v>
      </c>
      <c r="B1850" t="s">
        <v>5390</v>
      </c>
      <c r="C1850" t="s">
        <v>9922</v>
      </c>
    </row>
    <row r="1851" spans="1:3" hidden="1" x14ac:dyDescent="0.25">
      <c r="A1851" t="s">
        <v>9923</v>
      </c>
      <c r="B1851" t="s">
        <v>864</v>
      </c>
      <c r="C1851" t="s">
        <v>6958</v>
      </c>
    </row>
    <row r="1852" spans="1:3" hidden="1" x14ac:dyDescent="0.25">
      <c r="A1852" t="s">
        <v>9924</v>
      </c>
      <c r="B1852" t="s">
        <v>3309</v>
      </c>
      <c r="C1852" t="s">
        <v>9925</v>
      </c>
    </row>
    <row r="1853" spans="1:3" hidden="1" x14ac:dyDescent="0.25">
      <c r="A1853" t="s">
        <v>9926</v>
      </c>
      <c r="B1853" t="s">
        <v>4533</v>
      </c>
      <c r="C1853" t="s">
        <v>9927</v>
      </c>
    </row>
    <row r="1854" spans="1:3" hidden="1" x14ac:dyDescent="0.25">
      <c r="A1854" t="s">
        <v>9928</v>
      </c>
      <c r="B1854" t="s">
        <v>1027</v>
      </c>
      <c r="C1854" t="s">
        <v>9929</v>
      </c>
    </row>
    <row r="1855" spans="1:3" hidden="1" x14ac:dyDescent="0.25">
      <c r="A1855" t="s">
        <v>9930</v>
      </c>
      <c r="B1855" t="s">
        <v>1350</v>
      </c>
      <c r="C1855" t="s">
        <v>9931</v>
      </c>
    </row>
    <row r="1856" spans="1:3" hidden="1" x14ac:dyDescent="0.25">
      <c r="A1856" t="s">
        <v>9932</v>
      </c>
      <c r="B1856" t="s">
        <v>2594</v>
      </c>
      <c r="C1856" t="s">
        <v>9933</v>
      </c>
    </row>
    <row r="1857" spans="1:3" hidden="1" x14ac:dyDescent="0.25">
      <c r="A1857" t="s">
        <v>9934</v>
      </c>
      <c r="B1857" t="s">
        <v>3577</v>
      </c>
      <c r="C1857" t="s">
        <v>9935</v>
      </c>
    </row>
    <row r="1858" spans="1:3" hidden="1" x14ac:dyDescent="0.25">
      <c r="A1858" t="s">
        <v>9936</v>
      </c>
      <c r="B1858" t="s">
        <v>3255</v>
      </c>
      <c r="C1858" t="s">
        <v>9937</v>
      </c>
    </row>
    <row r="1859" spans="1:3" hidden="1" x14ac:dyDescent="0.25">
      <c r="A1859" t="s">
        <v>9938</v>
      </c>
      <c r="B1859" t="s">
        <v>376</v>
      </c>
      <c r="C1859" t="s">
        <v>9939</v>
      </c>
    </row>
    <row r="1860" spans="1:3" hidden="1" x14ac:dyDescent="0.25">
      <c r="A1860" t="s">
        <v>9940</v>
      </c>
      <c r="B1860" t="s">
        <v>2705</v>
      </c>
      <c r="C1860" t="s">
        <v>9941</v>
      </c>
    </row>
    <row r="1861" spans="1:3" hidden="1" x14ac:dyDescent="0.25">
      <c r="A1861" t="s">
        <v>9942</v>
      </c>
      <c r="B1861" t="s">
        <v>47</v>
      </c>
      <c r="C1861" t="s">
        <v>9943</v>
      </c>
    </row>
    <row r="1862" spans="1:3" hidden="1" x14ac:dyDescent="0.25">
      <c r="A1862" t="s">
        <v>9944</v>
      </c>
      <c r="B1862" t="s">
        <v>4001</v>
      </c>
      <c r="C1862" t="s">
        <v>9945</v>
      </c>
    </row>
    <row r="1863" spans="1:3" hidden="1" x14ac:dyDescent="0.25">
      <c r="A1863" t="s">
        <v>9946</v>
      </c>
      <c r="B1863" t="s">
        <v>719</v>
      </c>
      <c r="C1863" t="s">
        <v>9947</v>
      </c>
    </row>
    <row r="1864" spans="1:3" hidden="1" x14ac:dyDescent="0.25">
      <c r="A1864" t="s">
        <v>9948</v>
      </c>
      <c r="B1864" t="s">
        <v>2918</v>
      </c>
      <c r="C1864" t="s">
        <v>6958</v>
      </c>
    </row>
    <row r="1865" spans="1:3" hidden="1" x14ac:dyDescent="0.25">
      <c r="A1865" t="s">
        <v>9949</v>
      </c>
      <c r="B1865" t="s">
        <v>2799</v>
      </c>
      <c r="C1865" t="s">
        <v>9950</v>
      </c>
    </row>
    <row r="1866" spans="1:3" hidden="1" x14ac:dyDescent="0.25">
      <c r="A1866" t="s">
        <v>9951</v>
      </c>
      <c r="B1866" t="s">
        <v>756</v>
      </c>
      <c r="C1866" t="s">
        <v>9952</v>
      </c>
    </row>
    <row r="1867" spans="1:3" hidden="1" x14ac:dyDescent="0.25">
      <c r="A1867" t="s">
        <v>9953</v>
      </c>
      <c r="B1867" t="s">
        <v>5539</v>
      </c>
      <c r="C1867" t="s">
        <v>9954</v>
      </c>
    </row>
    <row r="1868" spans="1:3" hidden="1" x14ac:dyDescent="0.25">
      <c r="A1868" t="s">
        <v>9955</v>
      </c>
      <c r="B1868" t="s">
        <v>5493</v>
      </c>
      <c r="C1868" t="s">
        <v>9956</v>
      </c>
    </row>
    <row r="1869" spans="1:3" hidden="1" x14ac:dyDescent="0.25">
      <c r="A1869" t="s">
        <v>9957</v>
      </c>
      <c r="B1869" t="s">
        <v>3534</v>
      </c>
      <c r="C1869" t="s">
        <v>9958</v>
      </c>
    </row>
    <row r="1870" spans="1:3" hidden="1" x14ac:dyDescent="0.25">
      <c r="A1870" t="s">
        <v>9959</v>
      </c>
      <c r="B1870" t="s">
        <v>3404</v>
      </c>
      <c r="C1870" t="s">
        <v>9960</v>
      </c>
    </row>
    <row r="1871" spans="1:3" hidden="1" x14ac:dyDescent="0.25">
      <c r="A1871" t="s">
        <v>9961</v>
      </c>
      <c r="B1871" t="s">
        <v>1396</v>
      </c>
      <c r="C1871" t="s">
        <v>9962</v>
      </c>
    </row>
    <row r="1872" spans="1:3" hidden="1" x14ac:dyDescent="0.25">
      <c r="A1872" t="s">
        <v>9963</v>
      </c>
      <c r="B1872" t="s">
        <v>3185</v>
      </c>
      <c r="C1872" t="s">
        <v>9964</v>
      </c>
    </row>
    <row r="1873" spans="1:3" hidden="1" x14ac:dyDescent="0.25">
      <c r="A1873" t="s">
        <v>9965</v>
      </c>
      <c r="B1873" t="s">
        <v>138</v>
      </c>
      <c r="C1873" t="s">
        <v>9966</v>
      </c>
    </row>
    <row r="1874" spans="1:3" hidden="1" x14ac:dyDescent="0.25">
      <c r="A1874" t="s">
        <v>9967</v>
      </c>
      <c r="B1874" t="s">
        <v>3748</v>
      </c>
      <c r="C1874" t="s">
        <v>9968</v>
      </c>
    </row>
    <row r="1875" spans="1:3" hidden="1" x14ac:dyDescent="0.25">
      <c r="A1875" t="s">
        <v>9969</v>
      </c>
      <c r="B1875" t="s">
        <v>1557</v>
      </c>
      <c r="C1875" t="s">
        <v>9970</v>
      </c>
    </row>
    <row r="1876" spans="1:3" hidden="1" x14ac:dyDescent="0.25">
      <c r="A1876" t="s">
        <v>9971</v>
      </c>
      <c r="B1876" t="s">
        <v>4478</v>
      </c>
      <c r="C1876" t="s">
        <v>9972</v>
      </c>
    </row>
    <row r="1877" spans="1:3" hidden="1" x14ac:dyDescent="0.25">
      <c r="A1877" t="s">
        <v>9973</v>
      </c>
      <c r="B1877" t="s">
        <v>4829</v>
      </c>
      <c r="C1877" t="s">
        <v>9974</v>
      </c>
    </row>
    <row r="1878" spans="1:3" hidden="1" x14ac:dyDescent="0.25">
      <c r="A1878" t="s">
        <v>9975</v>
      </c>
      <c r="B1878" t="s">
        <v>5471</v>
      </c>
      <c r="C1878" t="s">
        <v>9976</v>
      </c>
    </row>
    <row r="1879" spans="1:3" hidden="1" x14ac:dyDescent="0.25">
      <c r="A1879" t="s">
        <v>9977</v>
      </c>
      <c r="B1879" t="s">
        <v>1207</v>
      </c>
      <c r="C1879" t="s">
        <v>9978</v>
      </c>
    </row>
    <row r="1880" spans="1:3" hidden="1" x14ac:dyDescent="0.25">
      <c r="A1880" t="s">
        <v>9979</v>
      </c>
      <c r="B1880" t="s">
        <v>4303</v>
      </c>
      <c r="C1880" t="s">
        <v>9980</v>
      </c>
    </row>
    <row r="1881" spans="1:3" hidden="1" x14ac:dyDescent="0.25">
      <c r="A1881" t="s">
        <v>9981</v>
      </c>
      <c r="B1881" t="s">
        <v>2147</v>
      </c>
      <c r="C1881" t="s">
        <v>6958</v>
      </c>
    </row>
    <row r="1882" spans="1:3" hidden="1" x14ac:dyDescent="0.25">
      <c r="A1882" t="s">
        <v>9982</v>
      </c>
      <c r="B1882" t="s">
        <v>2116</v>
      </c>
      <c r="C1882" t="s">
        <v>9983</v>
      </c>
    </row>
    <row r="1883" spans="1:3" hidden="1" x14ac:dyDescent="0.25">
      <c r="A1883" t="s">
        <v>9984</v>
      </c>
      <c r="B1883" t="s">
        <v>3265</v>
      </c>
      <c r="C1883" t="s">
        <v>9985</v>
      </c>
    </row>
    <row r="1884" spans="1:3" hidden="1" x14ac:dyDescent="0.25">
      <c r="A1884" t="s">
        <v>9986</v>
      </c>
      <c r="B1884" t="s">
        <v>3015</v>
      </c>
      <c r="C1884" t="s">
        <v>9987</v>
      </c>
    </row>
    <row r="1885" spans="1:3" hidden="1" x14ac:dyDescent="0.25">
      <c r="A1885" t="s">
        <v>9988</v>
      </c>
      <c r="B1885" t="s">
        <v>661</v>
      </c>
      <c r="C1885" t="s">
        <v>6958</v>
      </c>
    </row>
    <row r="1886" spans="1:3" hidden="1" x14ac:dyDescent="0.25">
      <c r="A1886" t="s">
        <v>9989</v>
      </c>
      <c r="B1886" t="s">
        <v>1412</v>
      </c>
      <c r="C1886" t="s">
        <v>6958</v>
      </c>
    </row>
    <row r="1887" spans="1:3" hidden="1" x14ac:dyDescent="0.25">
      <c r="A1887" t="s">
        <v>9990</v>
      </c>
      <c r="B1887" t="s">
        <v>4240</v>
      </c>
      <c r="C1887" t="s">
        <v>9991</v>
      </c>
    </row>
    <row r="1888" spans="1:3" hidden="1" x14ac:dyDescent="0.25">
      <c r="A1888" t="s">
        <v>9992</v>
      </c>
      <c r="B1888" t="s">
        <v>3010</v>
      </c>
      <c r="C1888" t="s">
        <v>6958</v>
      </c>
    </row>
    <row r="1889" spans="1:3" hidden="1" x14ac:dyDescent="0.25">
      <c r="A1889" t="s">
        <v>9993</v>
      </c>
      <c r="B1889" t="s">
        <v>4864</v>
      </c>
      <c r="C1889" t="s">
        <v>9994</v>
      </c>
    </row>
    <row r="1890" spans="1:3" hidden="1" x14ac:dyDescent="0.25">
      <c r="A1890" t="s">
        <v>9995</v>
      </c>
      <c r="B1890" t="s">
        <v>151</v>
      </c>
      <c r="C1890" t="s">
        <v>7933</v>
      </c>
    </row>
    <row r="1891" spans="1:3" hidden="1" x14ac:dyDescent="0.25">
      <c r="A1891" t="s">
        <v>9996</v>
      </c>
      <c r="B1891" t="s">
        <v>3710</v>
      </c>
      <c r="C1891" t="s">
        <v>6958</v>
      </c>
    </row>
    <row r="1892" spans="1:3" hidden="1" x14ac:dyDescent="0.25">
      <c r="A1892" t="s">
        <v>9997</v>
      </c>
      <c r="B1892" t="s">
        <v>1391</v>
      </c>
      <c r="C1892" t="s">
        <v>9998</v>
      </c>
    </row>
    <row r="1893" spans="1:3" hidden="1" x14ac:dyDescent="0.25">
      <c r="A1893" t="s">
        <v>9999</v>
      </c>
      <c r="B1893" t="s">
        <v>1407</v>
      </c>
      <c r="C1893" t="s">
        <v>6958</v>
      </c>
    </row>
    <row r="1894" spans="1:3" hidden="1" x14ac:dyDescent="0.25">
      <c r="A1894" t="s">
        <v>10000</v>
      </c>
      <c r="B1894" t="s">
        <v>2525</v>
      </c>
      <c r="C1894" t="s">
        <v>10001</v>
      </c>
    </row>
    <row r="1895" spans="1:3" hidden="1" x14ac:dyDescent="0.25">
      <c r="A1895" t="s">
        <v>10002</v>
      </c>
      <c r="B1895" t="s">
        <v>3199</v>
      </c>
      <c r="C1895" t="s">
        <v>6958</v>
      </c>
    </row>
    <row r="1896" spans="1:3" hidden="1" x14ac:dyDescent="0.25">
      <c r="A1896" t="s">
        <v>10003</v>
      </c>
      <c r="B1896" t="s">
        <v>3687</v>
      </c>
      <c r="C1896" t="s">
        <v>6958</v>
      </c>
    </row>
    <row r="1897" spans="1:3" hidden="1" x14ac:dyDescent="0.25">
      <c r="A1897" t="s">
        <v>10004</v>
      </c>
      <c r="B1897" t="s">
        <v>2161</v>
      </c>
      <c r="C1897" t="s">
        <v>10005</v>
      </c>
    </row>
    <row r="1898" spans="1:3" hidden="1" x14ac:dyDescent="0.25">
      <c r="A1898" t="s">
        <v>10006</v>
      </c>
      <c r="B1898" t="s">
        <v>1214</v>
      </c>
      <c r="C1898" t="s">
        <v>6958</v>
      </c>
    </row>
    <row r="1899" spans="1:3" hidden="1" x14ac:dyDescent="0.25">
      <c r="A1899" t="s">
        <v>10007</v>
      </c>
      <c r="B1899" t="s">
        <v>2774</v>
      </c>
      <c r="C1899" t="s">
        <v>10008</v>
      </c>
    </row>
    <row r="1900" spans="1:3" hidden="1" x14ac:dyDescent="0.25">
      <c r="A1900" t="s">
        <v>10009</v>
      </c>
      <c r="B1900" t="s">
        <v>1912</v>
      </c>
      <c r="C1900" t="s">
        <v>10010</v>
      </c>
    </row>
    <row r="1901" spans="1:3" hidden="1" x14ac:dyDescent="0.25">
      <c r="A1901" t="s">
        <v>10011</v>
      </c>
      <c r="B1901" t="s">
        <v>3863</v>
      </c>
      <c r="C1901" t="s">
        <v>6958</v>
      </c>
    </row>
    <row r="1902" spans="1:3" hidden="1" x14ac:dyDescent="0.25">
      <c r="A1902" t="s">
        <v>10012</v>
      </c>
      <c r="B1902" t="s">
        <v>1581</v>
      </c>
      <c r="C1902" t="s">
        <v>10013</v>
      </c>
    </row>
    <row r="1903" spans="1:3" hidden="1" x14ac:dyDescent="0.25">
      <c r="A1903" t="s">
        <v>10014</v>
      </c>
      <c r="B1903" t="s">
        <v>5312</v>
      </c>
      <c r="C1903" t="s">
        <v>10015</v>
      </c>
    </row>
    <row r="1904" spans="1:3" hidden="1" x14ac:dyDescent="0.25">
      <c r="A1904" t="s">
        <v>10016</v>
      </c>
      <c r="B1904" t="s">
        <v>434</v>
      </c>
      <c r="C1904" t="s">
        <v>10017</v>
      </c>
    </row>
    <row r="1905" spans="1:3" hidden="1" x14ac:dyDescent="0.25">
      <c r="A1905" t="s">
        <v>10018</v>
      </c>
      <c r="B1905" t="s">
        <v>4411</v>
      </c>
      <c r="C1905" t="s">
        <v>10019</v>
      </c>
    </row>
    <row r="1906" spans="1:3" hidden="1" x14ac:dyDescent="0.25">
      <c r="A1906" t="s">
        <v>10020</v>
      </c>
      <c r="B1906" t="s">
        <v>1356</v>
      </c>
      <c r="C1906" t="s">
        <v>10021</v>
      </c>
    </row>
    <row r="1907" spans="1:3" hidden="1" x14ac:dyDescent="0.25">
      <c r="A1907" t="s">
        <v>10022</v>
      </c>
      <c r="B1907" t="s">
        <v>2423</v>
      </c>
      <c r="C1907" t="s">
        <v>10023</v>
      </c>
    </row>
    <row r="1908" spans="1:3" hidden="1" x14ac:dyDescent="0.25">
      <c r="A1908" t="s">
        <v>10024</v>
      </c>
      <c r="B1908" t="s">
        <v>3542</v>
      </c>
      <c r="C1908" t="s">
        <v>10025</v>
      </c>
    </row>
    <row r="1909" spans="1:3" hidden="1" x14ac:dyDescent="0.25">
      <c r="A1909" t="s">
        <v>10026</v>
      </c>
      <c r="B1909" t="s">
        <v>2058</v>
      </c>
      <c r="C1909" t="s">
        <v>10027</v>
      </c>
    </row>
    <row r="1910" spans="1:3" hidden="1" x14ac:dyDescent="0.25">
      <c r="A1910" t="s">
        <v>10028</v>
      </c>
      <c r="B1910" t="s">
        <v>3028</v>
      </c>
      <c r="C1910" t="s">
        <v>10029</v>
      </c>
    </row>
    <row r="1911" spans="1:3" hidden="1" x14ac:dyDescent="0.25">
      <c r="A1911" t="s">
        <v>10030</v>
      </c>
      <c r="B1911" t="s">
        <v>1374</v>
      </c>
      <c r="C1911" t="s">
        <v>10031</v>
      </c>
    </row>
    <row r="1912" spans="1:3" hidden="1" x14ac:dyDescent="0.25">
      <c r="A1912" t="s">
        <v>10032</v>
      </c>
      <c r="B1912" t="s">
        <v>1922</v>
      </c>
      <c r="C1912" t="s">
        <v>10033</v>
      </c>
    </row>
    <row r="1913" spans="1:3" hidden="1" x14ac:dyDescent="0.25">
      <c r="A1913" t="s">
        <v>10034</v>
      </c>
      <c r="B1913" t="s">
        <v>3478</v>
      </c>
      <c r="C1913" t="s">
        <v>10035</v>
      </c>
    </row>
    <row r="1914" spans="1:3" hidden="1" x14ac:dyDescent="0.25">
      <c r="A1914" t="s">
        <v>10036</v>
      </c>
      <c r="B1914" t="s">
        <v>4451</v>
      </c>
      <c r="C1914" t="s">
        <v>6958</v>
      </c>
    </row>
    <row r="1915" spans="1:3" hidden="1" x14ac:dyDescent="0.25">
      <c r="A1915" t="s">
        <v>10037</v>
      </c>
      <c r="B1915" t="s">
        <v>2566</v>
      </c>
      <c r="C1915" t="s">
        <v>6958</v>
      </c>
    </row>
    <row r="1916" spans="1:3" hidden="1" x14ac:dyDescent="0.25">
      <c r="A1916" t="s">
        <v>10038</v>
      </c>
      <c r="B1916" t="s">
        <v>5642</v>
      </c>
      <c r="C1916" t="s">
        <v>10039</v>
      </c>
    </row>
    <row r="1917" spans="1:3" hidden="1" x14ac:dyDescent="0.25">
      <c r="A1917" t="s">
        <v>10040</v>
      </c>
      <c r="B1917" t="s">
        <v>2413</v>
      </c>
      <c r="C1917" t="s">
        <v>6958</v>
      </c>
    </row>
    <row r="1918" spans="1:3" hidden="1" x14ac:dyDescent="0.25">
      <c r="A1918" t="s">
        <v>10041</v>
      </c>
      <c r="B1918" t="s">
        <v>3763</v>
      </c>
      <c r="C1918" t="s">
        <v>10042</v>
      </c>
    </row>
    <row r="1919" spans="1:3" hidden="1" x14ac:dyDescent="0.25">
      <c r="A1919" t="s">
        <v>10043</v>
      </c>
      <c r="B1919" t="s">
        <v>4051</v>
      </c>
      <c r="C1919" t="s">
        <v>10044</v>
      </c>
    </row>
    <row r="1920" spans="1:3" hidden="1" x14ac:dyDescent="0.25">
      <c r="A1920" t="s">
        <v>10045</v>
      </c>
      <c r="B1920" t="s">
        <v>5260</v>
      </c>
      <c r="C1920" t="s">
        <v>10046</v>
      </c>
    </row>
    <row r="1921" spans="1:3" hidden="1" x14ac:dyDescent="0.25">
      <c r="A1921" t="s">
        <v>10047</v>
      </c>
      <c r="B1921" t="s">
        <v>728</v>
      </c>
      <c r="C1921" t="s">
        <v>10048</v>
      </c>
    </row>
    <row r="1922" spans="1:3" hidden="1" x14ac:dyDescent="0.25">
      <c r="A1922" t="s">
        <v>10049</v>
      </c>
      <c r="B1922" t="s">
        <v>3789</v>
      </c>
      <c r="C1922" t="s">
        <v>6958</v>
      </c>
    </row>
    <row r="1923" spans="1:3" hidden="1" x14ac:dyDescent="0.25">
      <c r="A1923" t="s">
        <v>10050</v>
      </c>
      <c r="B1923" t="s">
        <v>4501</v>
      </c>
      <c r="C1923" t="s">
        <v>6958</v>
      </c>
    </row>
    <row r="1924" spans="1:3" hidden="1" x14ac:dyDescent="0.25">
      <c r="A1924" t="s">
        <v>10051</v>
      </c>
      <c r="B1924" t="s">
        <v>1478</v>
      </c>
      <c r="C1924" t="s">
        <v>10052</v>
      </c>
    </row>
    <row r="1925" spans="1:3" hidden="1" x14ac:dyDescent="0.25">
      <c r="A1925" t="s">
        <v>10053</v>
      </c>
      <c r="B1925" t="s">
        <v>2170</v>
      </c>
      <c r="C1925" t="s">
        <v>10054</v>
      </c>
    </row>
    <row r="1926" spans="1:3" hidden="1" x14ac:dyDescent="0.25">
      <c r="A1926" t="s">
        <v>10055</v>
      </c>
      <c r="B1926" t="s">
        <v>830</v>
      </c>
      <c r="C1926" t="s">
        <v>10056</v>
      </c>
    </row>
    <row r="1927" spans="1:3" hidden="1" x14ac:dyDescent="0.25">
      <c r="A1927" t="s">
        <v>10057</v>
      </c>
      <c r="B1927" t="s">
        <v>3768</v>
      </c>
      <c r="C1927" t="s">
        <v>10058</v>
      </c>
    </row>
    <row r="1928" spans="1:3" hidden="1" x14ac:dyDescent="0.25">
      <c r="A1928" t="s">
        <v>10059</v>
      </c>
      <c r="B1928" t="s">
        <v>602</v>
      </c>
      <c r="C1928" t="s">
        <v>10060</v>
      </c>
    </row>
    <row r="1929" spans="1:3" hidden="1" x14ac:dyDescent="0.25">
      <c r="A1929" t="s">
        <v>10061</v>
      </c>
      <c r="B1929" t="s">
        <v>1575</v>
      </c>
      <c r="C1929" t="s">
        <v>10062</v>
      </c>
    </row>
    <row r="1930" spans="1:3" hidden="1" x14ac:dyDescent="0.25">
      <c r="A1930" t="s">
        <v>10063</v>
      </c>
      <c r="B1930" t="s">
        <v>628</v>
      </c>
      <c r="C1930" t="s">
        <v>10064</v>
      </c>
    </row>
    <row r="1931" spans="1:3" hidden="1" x14ac:dyDescent="0.25">
      <c r="A1931" t="s">
        <v>10065</v>
      </c>
      <c r="B1931" t="s">
        <v>1472</v>
      </c>
      <c r="C1931" t="s">
        <v>10066</v>
      </c>
    </row>
    <row r="1932" spans="1:3" hidden="1" x14ac:dyDescent="0.25">
      <c r="A1932" t="s">
        <v>10067</v>
      </c>
      <c r="B1932" t="s">
        <v>4109</v>
      </c>
      <c r="C1932" t="s">
        <v>10068</v>
      </c>
    </row>
    <row r="1933" spans="1:3" hidden="1" x14ac:dyDescent="0.25">
      <c r="A1933" t="s">
        <v>10069</v>
      </c>
      <c r="B1933" t="s">
        <v>1405</v>
      </c>
      <c r="C1933" t="s">
        <v>10070</v>
      </c>
    </row>
    <row r="1934" spans="1:3" hidden="1" x14ac:dyDescent="0.25">
      <c r="A1934" t="s">
        <v>10071</v>
      </c>
      <c r="B1934" t="s">
        <v>1621</v>
      </c>
      <c r="C1934" t="s">
        <v>10072</v>
      </c>
    </row>
    <row r="1935" spans="1:3" hidden="1" x14ac:dyDescent="0.25">
      <c r="A1935" t="s">
        <v>10073</v>
      </c>
      <c r="B1935" t="s">
        <v>5580</v>
      </c>
      <c r="C1935" t="s">
        <v>6958</v>
      </c>
    </row>
    <row r="1936" spans="1:3" hidden="1" x14ac:dyDescent="0.25">
      <c r="A1936" t="s">
        <v>10074</v>
      </c>
      <c r="B1936" t="s">
        <v>3994</v>
      </c>
      <c r="C1936" t="s">
        <v>6958</v>
      </c>
    </row>
    <row r="1937" spans="1:3" hidden="1" x14ac:dyDescent="0.25">
      <c r="A1937" t="s">
        <v>10075</v>
      </c>
      <c r="B1937" t="s">
        <v>4321</v>
      </c>
      <c r="C1937" t="s">
        <v>6958</v>
      </c>
    </row>
    <row r="1938" spans="1:3" hidden="1" x14ac:dyDescent="0.25">
      <c r="A1938" t="s">
        <v>10076</v>
      </c>
      <c r="B1938" t="s">
        <v>3672</v>
      </c>
      <c r="C1938" t="s">
        <v>6958</v>
      </c>
    </row>
    <row r="1939" spans="1:3" hidden="1" x14ac:dyDescent="0.25">
      <c r="A1939" t="s">
        <v>10077</v>
      </c>
      <c r="B1939" t="s">
        <v>3509</v>
      </c>
      <c r="C1939" t="s">
        <v>6958</v>
      </c>
    </row>
    <row r="1940" spans="1:3" hidden="1" x14ac:dyDescent="0.25">
      <c r="A1940" t="s">
        <v>10078</v>
      </c>
      <c r="B1940" t="s">
        <v>264</v>
      </c>
      <c r="C1940" t="s">
        <v>10079</v>
      </c>
    </row>
    <row r="1941" spans="1:3" hidden="1" x14ac:dyDescent="0.25">
      <c r="A1941" t="s">
        <v>10080</v>
      </c>
      <c r="B1941" t="s">
        <v>3022</v>
      </c>
      <c r="C1941" t="s">
        <v>10081</v>
      </c>
    </row>
    <row r="1942" spans="1:3" hidden="1" x14ac:dyDescent="0.25">
      <c r="A1942" t="s">
        <v>10082</v>
      </c>
      <c r="B1942" t="s">
        <v>3051</v>
      </c>
      <c r="C1942" t="s">
        <v>10083</v>
      </c>
    </row>
    <row r="1943" spans="1:3" hidden="1" x14ac:dyDescent="0.25">
      <c r="A1943" t="s">
        <v>10084</v>
      </c>
      <c r="B1943" t="s">
        <v>2174</v>
      </c>
      <c r="C1943" t="s">
        <v>6958</v>
      </c>
    </row>
    <row r="1944" spans="1:3" hidden="1" x14ac:dyDescent="0.25">
      <c r="A1944" t="s">
        <v>10085</v>
      </c>
      <c r="B1944" t="s">
        <v>285</v>
      </c>
      <c r="C1944" t="s">
        <v>10086</v>
      </c>
    </row>
    <row r="1945" spans="1:3" hidden="1" x14ac:dyDescent="0.25">
      <c r="A1945" t="s">
        <v>10087</v>
      </c>
      <c r="B1945" t="s">
        <v>709</v>
      </c>
      <c r="C1945" t="s">
        <v>10088</v>
      </c>
    </row>
    <row r="1946" spans="1:3" hidden="1" x14ac:dyDescent="0.25">
      <c r="A1946" t="s">
        <v>10089</v>
      </c>
      <c r="B1946" t="s">
        <v>1858</v>
      </c>
      <c r="C1946" t="s">
        <v>10090</v>
      </c>
    </row>
    <row r="1947" spans="1:3" hidden="1" x14ac:dyDescent="0.25">
      <c r="A1947" t="s">
        <v>10091</v>
      </c>
      <c r="B1947" t="s">
        <v>5413</v>
      </c>
      <c r="C1947" t="s">
        <v>6958</v>
      </c>
    </row>
    <row r="1948" spans="1:3" hidden="1" x14ac:dyDescent="0.25">
      <c r="A1948" t="s">
        <v>10092</v>
      </c>
      <c r="B1948" t="s">
        <v>1951</v>
      </c>
      <c r="C1948" t="s">
        <v>10093</v>
      </c>
    </row>
    <row r="1949" spans="1:3" hidden="1" x14ac:dyDescent="0.25">
      <c r="A1949" t="s">
        <v>10094</v>
      </c>
      <c r="B1949" t="s">
        <v>2628</v>
      </c>
      <c r="C1949" t="s">
        <v>6958</v>
      </c>
    </row>
    <row r="1950" spans="1:3" hidden="1" x14ac:dyDescent="0.25">
      <c r="A1950" t="s">
        <v>10095</v>
      </c>
      <c r="B1950" t="s">
        <v>2254</v>
      </c>
      <c r="C1950" t="s">
        <v>7036</v>
      </c>
    </row>
    <row r="1951" spans="1:3" hidden="1" x14ac:dyDescent="0.25">
      <c r="A1951" t="s">
        <v>10096</v>
      </c>
      <c r="B1951" t="s">
        <v>4142</v>
      </c>
      <c r="C1951" t="s">
        <v>10097</v>
      </c>
    </row>
    <row r="1952" spans="1:3" hidden="1" x14ac:dyDescent="0.25">
      <c r="A1952" t="s">
        <v>10098</v>
      </c>
      <c r="B1952" t="s">
        <v>3588</v>
      </c>
      <c r="C1952" t="s">
        <v>6958</v>
      </c>
    </row>
    <row r="1953" spans="1:3" hidden="1" x14ac:dyDescent="0.25">
      <c r="A1953" t="s">
        <v>10099</v>
      </c>
      <c r="B1953" t="s">
        <v>2428</v>
      </c>
      <c r="C1953" t="s">
        <v>10100</v>
      </c>
    </row>
    <row r="1954" spans="1:3" hidden="1" x14ac:dyDescent="0.25">
      <c r="A1954" t="s">
        <v>10101</v>
      </c>
      <c r="B1954" t="s">
        <v>2098</v>
      </c>
      <c r="C1954" t="s">
        <v>10102</v>
      </c>
    </row>
    <row r="1955" spans="1:3" hidden="1" x14ac:dyDescent="0.25">
      <c r="A1955" t="s">
        <v>10103</v>
      </c>
      <c r="B1955" t="s">
        <v>3560</v>
      </c>
      <c r="C1955" t="s">
        <v>6958</v>
      </c>
    </row>
    <row r="1956" spans="1:3" hidden="1" x14ac:dyDescent="0.25">
      <c r="A1956" t="s">
        <v>10104</v>
      </c>
      <c r="B1956" t="s">
        <v>5065</v>
      </c>
      <c r="C1956" t="s">
        <v>10105</v>
      </c>
    </row>
    <row r="1957" spans="1:3" hidden="1" x14ac:dyDescent="0.25">
      <c r="A1957" t="s">
        <v>10106</v>
      </c>
      <c r="B1957" t="s">
        <v>5535</v>
      </c>
      <c r="C1957" t="s">
        <v>10107</v>
      </c>
    </row>
    <row r="1958" spans="1:3" hidden="1" x14ac:dyDescent="0.25">
      <c r="A1958" t="s">
        <v>10108</v>
      </c>
      <c r="B1958" t="s">
        <v>3018</v>
      </c>
      <c r="C1958" t="s">
        <v>10109</v>
      </c>
    </row>
    <row r="1959" spans="1:3" hidden="1" x14ac:dyDescent="0.25">
      <c r="A1959" t="s">
        <v>10110</v>
      </c>
      <c r="B1959" t="s">
        <v>1052</v>
      </c>
      <c r="C1959" t="s">
        <v>10111</v>
      </c>
    </row>
    <row r="1960" spans="1:3" hidden="1" x14ac:dyDescent="0.25">
      <c r="A1960" t="s">
        <v>10112</v>
      </c>
      <c r="B1960" t="s">
        <v>2573</v>
      </c>
      <c r="C1960" t="s">
        <v>10113</v>
      </c>
    </row>
    <row r="1961" spans="1:3" hidden="1" x14ac:dyDescent="0.25">
      <c r="A1961" t="s">
        <v>10114</v>
      </c>
      <c r="B1961" t="s">
        <v>3087</v>
      </c>
      <c r="C1961" t="s">
        <v>6958</v>
      </c>
    </row>
    <row r="1962" spans="1:3" hidden="1" x14ac:dyDescent="0.25">
      <c r="A1962" t="s">
        <v>10115</v>
      </c>
      <c r="B1962" t="s">
        <v>1727</v>
      </c>
      <c r="C1962" t="s">
        <v>10116</v>
      </c>
    </row>
    <row r="1963" spans="1:3" hidden="1" x14ac:dyDescent="0.25">
      <c r="A1963" t="s">
        <v>10117</v>
      </c>
      <c r="B1963" t="s">
        <v>5031</v>
      </c>
      <c r="C1963" t="s">
        <v>10118</v>
      </c>
    </row>
    <row r="1964" spans="1:3" hidden="1" x14ac:dyDescent="0.25">
      <c r="A1964" t="s">
        <v>10119</v>
      </c>
      <c r="B1964" t="s">
        <v>5049</v>
      </c>
      <c r="C1964" t="s">
        <v>6958</v>
      </c>
    </row>
    <row r="1965" spans="1:3" hidden="1" x14ac:dyDescent="0.25">
      <c r="A1965" t="s">
        <v>10120</v>
      </c>
      <c r="B1965" t="s">
        <v>4787</v>
      </c>
      <c r="C1965" t="s">
        <v>10121</v>
      </c>
    </row>
    <row r="1966" spans="1:3" hidden="1" x14ac:dyDescent="0.25">
      <c r="A1966" t="s">
        <v>10122</v>
      </c>
      <c r="B1966" t="s">
        <v>1499</v>
      </c>
      <c r="C1966" t="s">
        <v>10123</v>
      </c>
    </row>
    <row r="1967" spans="1:3" hidden="1" x14ac:dyDescent="0.25">
      <c r="A1967" t="s">
        <v>10124</v>
      </c>
      <c r="B1967" t="s">
        <v>1643</v>
      </c>
      <c r="C1967" t="s">
        <v>6958</v>
      </c>
    </row>
    <row r="1968" spans="1:3" hidden="1" x14ac:dyDescent="0.25">
      <c r="A1968" t="s">
        <v>10125</v>
      </c>
      <c r="B1968" t="s">
        <v>1379</v>
      </c>
      <c r="C1968" t="s">
        <v>10126</v>
      </c>
    </row>
    <row r="1969" spans="1:3" hidden="1" x14ac:dyDescent="0.25">
      <c r="A1969" t="s">
        <v>10127</v>
      </c>
      <c r="B1969" t="s">
        <v>3417</v>
      </c>
      <c r="C1969" t="s">
        <v>10128</v>
      </c>
    </row>
    <row r="1970" spans="1:3" hidden="1" x14ac:dyDescent="0.25">
      <c r="A1970" t="s">
        <v>10129</v>
      </c>
      <c r="B1970" t="s">
        <v>295</v>
      </c>
      <c r="C1970" t="s">
        <v>10130</v>
      </c>
    </row>
    <row r="1971" spans="1:3" hidden="1" x14ac:dyDescent="0.25">
      <c r="A1971" t="s">
        <v>10131</v>
      </c>
      <c r="B1971" t="s">
        <v>593</v>
      </c>
      <c r="C1971" t="s">
        <v>10132</v>
      </c>
    </row>
    <row r="1972" spans="1:3" hidden="1" x14ac:dyDescent="0.25">
      <c r="A1972" t="s">
        <v>10133</v>
      </c>
      <c r="B1972" t="s">
        <v>3294</v>
      </c>
      <c r="C1972" t="s">
        <v>10134</v>
      </c>
    </row>
    <row r="1973" spans="1:3" hidden="1" x14ac:dyDescent="0.25">
      <c r="A1973" t="s">
        <v>10135</v>
      </c>
      <c r="B1973" t="s">
        <v>1739</v>
      </c>
      <c r="C1973" t="s">
        <v>10136</v>
      </c>
    </row>
    <row r="1974" spans="1:3" hidden="1" x14ac:dyDescent="0.25">
      <c r="A1974" t="s">
        <v>10137</v>
      </c>
      <c r="B1974" t="s">
        <v>104</v>
      </c>
      <c r="C1974" t="s">
        <v>10138</v>
      </c>
    </row>
    <row r="1975" spans="1:3" hidden="1" x14ac:dyDescent="0.25">
      <c r="A1975" t="s">
        <v>10139</v>
      </c>
      <c r="B1975" t="s">
        <v>4694</v>
      </c>
      <c r="C1975" t="s">
        <v>10140</v>
      </c>
    </row>
    <row r="1976" spans="1:3" hidden="1" x14ac:dyDescent="0.25">
      <c r="A1976" t="s">
        <v>10141</v>
      </c>
      <c r="B1976" t="s">
        <v>2372</v>
      </c>
      <c r="C1976" t="s">
        <v>10142</v>
      </c>
    </row>
    <row r="1977" spans="1:3" hidden="1" x14ac:dyDescent="0.25">
      <c r="A1977" t="s">
        <v>10143</v>
      </c>
      <c r="B1977" t="s">
        <v>2422</v>
      </c>
      <c r="C1977" t="s">
        <v>10144</v>
      </c>
    </row>
    <row r="1978" spans="1:3" hidden="1" x14ac:dyDescent="0.25">
      <c r="A1978" t="s">
        <v>10145</v>
      </c>
      <c r="B1978" t="s">
        <v>2874</v>
      </c>
      <c r="C1978" t="s">
        <v>10146</v>
      </c>
    </row>
    <row r="1979" spans="1:3" hidden="1" x14ac:dyDescent="0.25">
      <c r="A1979" t="s">
        <v>10147</v>
      </c>
      <c r="B1979" t="s">
        <v>3569</v>
      </c>
      <c r="C1979" t="s">
        <v>10148</v>
      </c>
    </row>
    <row r="1980" spans="1:3" hidden="1" x14ac:dyDescent="0.25">
      <c r="A1980" t="s">
        <v>10149</v>
      </c>
      <c r="B1980" t="s">
        <v>5365</v>
      </c>
      <c r="C1980" t="s">
        <v>10150</v>
      </c>
    </row>
    <row r="1981" spans="1:3" hidden="1" x14ac:dyDescent="0.25">
      <c r="A1981" t="s">
        <v>10151</v>
      </c>
      <c r="B1981" t="s">
        <v>1066</v>
      </c>
      <c r="C1981" t="s">
        <v>6958</v>
      </c>
    </row>
    <row r="1982" spans="1:3" hidden="1" x14ac:dyDescent="0.25">
      <c r="A1982" t="s">
        <v>10152</v>
      </c>
      <c r="B1982" t="s">
        <v>4627</v>
      </c>
      <c r="C1982" t="s">
        <v>10153</v>
      </c>
    </row>
    <row r="1983" spans="1:3" hidden="1" x14ac:dyDescent="0.25">
      <c r="A1983" t="s">
        <v>10154</v>
      </c>
      <c r="B1983" t="s">
        <v>985</v>
      </c>
      <c r="C1983" t="s">
        <v>10155</v>
      </c>
    </row>
    <row r="1984" spans="1:3" hidden="1" x14ac:dyDescent="0.25">
      <c r="A1984" t="s">
        <v>10156</v>
      </c>
      <c r="B1984" t="s">
        <v>4301</v>
      </c>
      <c r="C1984" t="s">
        <v>6958</v>
      </c>
    </row>
    <row r="1985" spans="1:3" hidden="1" x14ac:dyDescent="0.25">
      <c r="A1985" t="s">
        <v>10157</v>
      </c>
      <c r="B1985" t="s">
        <v>3125</v>
      </c>
      <c r="C1985" t="s">
        <v>10158</v>
      </c>
    </row>
    <row r="1986" spans="1:3" hidden="1" x14ac:dyDescent="0.25">
      <c r="A1986" t="s">
        <v>10159</v>
      </c>
      <c r="B1986" t="s">
        <v>558</v>
      </c>
      <c r="C1986" t="s">
        <v>10160</v>
      </c>
    </row>
    <row r="1987" spans="1:3" hidden="1" x14ac:dyDescent="0.25">
      <c r="A1987" t="s">
        <v>10161</v>
      </c>
      <c r="B1987" t="s">
        <v>4932</v>
      </c>
      <c r="C1987" t="s">
        <v>10162</v>
      </c>
    </row>
    <row r="1988" spans="1:3" hidden="1" x14ac:dyDescent="0.25">
      <c r="A1988" t="s">
        <v>10163</v>
      </c>
      <c r="B1988" t="s">
        <v>2027</v>
      </c>
      <c r="C1988" t="s">
        <v>10164</v>
      </c>
    </row>
    <row r="1989" spans="1:3" hidden="1" x14ac:dyDescent="0.25">
      <c r="A1989" t="s">
        <v>10165</v>
      </c>
      <c r="B1989" t="s">
        <v>2801</v>
      </c>
      <c r="C1989" t="s">
        <v>10166</v>
      </c>
    </row>
    <row r="1990" spans="1:3" hidden="1" x14ac:dyDescent="0.25">
      <c r="A1990" t="s">
        <v>10167</v>
      </c>
      <c r="B1990" t="s">
        <v>2208</v>
      </c>
      <c r="C1990" t="s">
        <v>10168</v>
      </c>
    </row>
    <row r="1991" spans="1:3" hidden="1" x14ac:dyDescent="0.25">
      <c r="A1991" t="s">
        <v>10169</v>
      </c>
      <c r="B1991" t="s">
        <v>1436</v>
      </c>
      <c r="C1991" t="s">
        <v>10170</v>
      </c>
    </row>
    <row r="1992" spans="1:3" hidden="1" x14ac:dyDescent="0.25">
      <c r="A1992" t="s">
        <v>10171</v>
      </c>
      <c r="B1992" t="s">
        <v>3910</v>
      </c>
      <c r="C1992" t="s">
        <v>10172</v>
      </c>
    </row>
    <row r="1993" spans="1:3" hidden="1" x14ac:dyDescent="0.25">
      <c r="A1993" t="s">
        <v>10173</v>
      </c>
      <c r="B1993" t="s">
        <v>1899</v>
      </c>
      <c r="C1993" t="s">
        <v>10174</v>
      </c>
    </row>
    <row r="1994" spans="1:3" hidden="1" x14ac:dyDescent="0.25">
      <c r="A1994" t="s">
        <v>10175</v>
      </c>
      <c r="B1994" t="s">
        <v>653</v>
      </c>
      <c r="C1994" t="s">
        <v>6958</v>
      </c>
    </row>
    <row r="1995" spans="1:3" hidden="1" x14ac:dyDescent="0.25">
      <c r="A1995" t="s">
        <v>10176</v>
      </c>
      <c r="B1995" t="s">
        <v>2593</v>
      </c>
      <c r="C1995" t="s">
        <v>10177</v>
      </c>
    </row>
    <row r="1996" spans="1:3" hidden="1" x14ac:dyDescent="0.25">
      <c r="A1996" t="s">
        <v>10178</v>
      </c>
      <c r="B1996" t="s">
        <v>4220</v>
      </c>
      <c r="C1996" t="s">
        <v>10179</v>
      </c>
    </row>
    <row r="1997" spans="1:3" hidden="1" x14ac:dyDescent="0.25">
      <c r="A1997" t="s">
        <v>10180</v>
      </c>
      <c r="B1997" t="s">
        <v>748</v>
      </c>
      <c r="C1997" t="s">
        <v>6958</v>
      </c>
    </row>
    <row r="1998" spans="1:3" hidden="1" x14ac:dyDescent="0.25">
      <c r="A1998" t="s">
        <v>10181</v>
      </c>
      <c r="B1998" t="s">
        <v>5546</v>
      </c>
      <c r="C1998" t="s">
        <v>10182</v>
      </c>
    </row>
    <row r="1999" spans="1:3" hidden="1" x14ac:dyDescent="0.25">
      <c r="A1999" t="s">
        <v>10183</v>
      </c>
      <c r="B1999" t="s">
        <v>2512</v>
      </c>
      <c r="C1999" t="s">
        <v>6958</v>
      </c>
    </row>
    <row r="2000" spans="1:3" hidden="1" x14ac:dyDescent="0.25">
      <c r="A2000" t="s">
        <v>10184</v>
      </c>
      <c r="B2000" t="s">
        <v>5612</v>
      </c>
      <c r="C2000" t="s">
        <v>10185</v>
      </c>
    </row>
    <row r="2001" spans="1:3" hidden="1" x14ac:dyDescent="0.25">
      <c r="A2001" t="s">
        <v>10186</v>
      </c>
      <c r="B2001" t="s">
        <v>2789</v>
      </c>
      <c r="C2001" t="s">
        <v>10187</v>
      </c>
    </row>
    <row r="2002" spans="1:3" hidden="1" x14ac:dyDescent="0.25">
      <c r="A2002" t="s">
        <v>10188</v>
      </c>
      <c r="B2002" t="s">
        <v>5256</v>
      </c>
      <c r="C2002" t="s">
        <v>10189</v>
      </c>
    </row>
    <row r="2003" spans="1:3" hidden="1" x14ac:dyDescent="0.25">
      <c r="A2003" t="s">
        <v>10190</v>
      </c>
      <c r="B2003" t="s">
        <v>1024</v>
      </c>
      <c r="C2003" t="s">
        <v>6958</v>
      </c>
    </row>
    <row r="2004" spans="1:3" hidden="1" x14ac:dyDescent="0.25">
      <c r="A2004" t="s">
        <v>10191</v>
      </c>
      <c r="B2004" t="s">
        <v>1371</v>
      </c>
      <c r="C2004" t="s">
        <v>10192</v>
      </c>
    </row>
    <row r="2005" spans="1:3" hidden="1" x14ac:dyDescent="0.25">
      <c r="A2005" t="s">
        <v>10193</v>
      </c>
      <c r="B2005" t="s">
        <v>1622</v>
      </c>
      <c r="C2005" t="s">
        <v>6958</v>
      </c>
    </row>
    <row r="2006" spans="1:3" hidden="1" x14ac:dyDescent="0.25">
      <c r="A2006" t="s">
        <v>10194</v>
      </c>
      <c r="B2006" t="s">
        <v>3097</v>
      </c>
      <c r="C2006" t="s">
        <v>6958</v>
      </c>
    </row>
    <row r="2007" spans="1:3" hidden="1" x14ac:dyDescent="0.25">
      <c r="A2007" t="s">
        <v>10195</v>
      </c>
      <c r="B2007" t="s">
        <v>978</v>
      </c>
      <c r="C2007" t="s">
        <v>10196</v>
      </c>
    </row>
    <row r="2008" spans="1:3" hidden="1" x14ac:dyDescent="0.25">
      <c r="A2008" t="s">
        <v>10197</v>
      </c>
      <c r="B2008" t="s">
        <v>1173</v>
      </c>
      <c r="C2008" t="s">
        <v>10198</v>
      </c>
    </row>
    <row r="2009" spans="1:3" hidden="1" x14ac:dyDescent="0.25">
      <c r="A2009" t="s">
        <v>10199</v>
      </c>
      <c r="B2009" t="s">
        <v>2554</v>
      </c>
      <c r="C2009" t="s">
        <v>10200</v>
      </c>
    </row>
    <row r="2010" spans="1:3" hidden="1" x14ac:dyDescent="0.25">
      <c r="A2010" t="s">
        <v>10201</v>
      </c>
      <c r="B2010" t="s">
        <v>3849</v>
      </c>
      <c r="C2010" t="s">
        <v>6958</v>
      </c>
    </row>
    <row r="2011" spans="1:3" hidden="1" x14ac:dyDescent="0.25">
      <c r="A2011" t="s">
        <v>10202</v>
      </c>
      <c r="B2011" t="s">
        <v>4718</v>
      </c>
      <c r="C2011" t="s">
        <v>10203</v>
      </c>
    </row>
    <row r="2012" spans="1:3" hidden="1" x14ac:dyDescent="0.25">
      <c r="A2012" t="s">
        <v>10204</v>
      </c>
      <c r="B2012" t="s">
        <v>1490</v>
      </c>
      <c r="C2012" t="s">
        <v>10205</v>
      </c>
    </row>
    <row r="2013" spans="1:3" hidden="1" x14ac:dyDescent="0.25">
      <c r="A2013" t="s">
        <v>10206</v>
      </c>
      <c r="B2013" t="s">
        <v>2561</v>
      </c>
      <c r="C2013" t="s">
        <v>10207</v>
      </c>
    </row>
    <row r="2014" spans="1:3" hidden="1" x14ac:dyDescent="0.25">
      <c r="A2014" t="s">
        <v>10208</v>
      </c>
      <c r="B2014" t="s">
        <v>291</v>
      </c>
      <c r="C2014" t="s">
        <v>10209</v>
      </c>
    </row>
    <row r="2015" spans="1:3" hidden="1" x14ac:dyDescent="0.25">
      <c r="A2015" t="s">
        <v>10210</v>
      </c>
      <c r="B2015" t="s">
        <v>232</v>
      </c>
      <c r="C2015" t="s">
        <v>10209</v>
      </c>
    </row>
    <row r="2016" spans="1:3" hidden="1" x14ac:dyDescent="0.25">
      <c r="A2016" t="s">
        <v>10211</v>
      </c>
      <c r="B2016" t="s">
        <v>2580</v>
      </c>
      <c r="C2016" t="s">
        <v>10212</v>
      </c>
    </row>
    <row r="2017" spans="1:3" hidden="1" x14ac:dyDescent="0.25">
      <c r="A2017" t="s">
        <v>10213</v>
      </c>
      <c r="B2017" t="s">
        <v>4373</v>
      </c>
      <c r="C2017" t="s">
        <v>6958</v>
      </c>
    </row>
    <row r="2018" spans="1:3" hidden="1" x14ac:dyDescent="0.25">
      <c r="A2018" t="s">
        <v>10214</v>
      </c>
      <c r="B2018" t="s">
        <v>2193</v>
      </c>
      <c r="C2018" t="s">
        <v>6958</v>
      </c>
    </row>
    <row r="2019" spans="1:3" hidden="1" x14ac:dyDescent="0.25">
      <c r="A2019" t="s">
        <v>10215</v>
      </c>
      <c r="B2019" t="s">
        <v>496</v>
      </c>
      <c r="C2019" t="s">
        <v>10216</v>
      </c>
    </row>
    <row r="2020" spans="1:3" hidden="1" x14ac:dyDescent="0.25">
      <c r="A2020" t="s">
        <v>10217</v>
      </c>
      <c r="B2020" t="s">
        <v>1901</v>
      </c>
      <c r="C2020" t="s">
        <v>10218</v>
      </c>
    </row>
    <row r="2021" spans="1:3" hidden="1" x14ac:dyDescent="0.25">
      <c r="A2021" t="s">
        <v>10219</v>
      </c>
      <c r="B2021" t="s">
        <v>5414</v>
      </c>
      <c r="C2021" t="s">
        <v>10220</v>
      </c>
    </row>
    <row r="2022" spans="1:3" hidden="1" x14ac:dyDescent="0.25">
      <c r="A2022" t="s">
        <v>10221</v>
      </c>
      <c r="B2022" t="s">
        <v>3793</v>
      </c>
      <c r="C2022" t="s">
        <v>10222</v>
      </c>
    </row>
    <row r="2023" spans="1:3" hidden="1" x14ac:dyDescent="0.25">
      <c r="A2023" t="s">
        <v>10223</v>
      </c>
      <c r="B2023" t="s">
        <v>837</v>
      </c>
      <c r="C2023" t="s">
        <v>10224</v>
      </c>
    </row>
    <row r="2024" spans="1:3" hidden="1" x14ac:dyDescent="0.25">
      <c r="A2024" t="s">
        <v>10225</v>
      </c>
      <c r="B2024" t="s">
        <v>2380</v>
      </c>
      <c r="C2024" t="s">
        <v>10226</v>
      </c>
    </row>
    <row r="2025" spans="1:3" hidden="1" x14ac:dyDescent="0.25">
      <c r="A2025" t="s">
        <v>10227</v>
      </c>
      <c r="B2025" t="s">
        <v>5159</v>
      </c>
      <c r="C2025" t="s">
        <v>6958</v>
      </c>
    </row>
    <row r="2026" spans="1:3" hidden="1" x14ac:dyDescent="0.25">
      <c r="A2026" t="s">
        <v>10228</v>
      </c>
      <c r="B2026" t="s">
        <v>1842</v>
      </c>
      <c r="C2026" t="s">
        <v>10229</v>
      </c>
    </row>
    <row r="2027" spans="1:3" hidden="1" x14ac:dyDescent="0.25">
      <c r="A2027" t="s">
        <v>10230</v>
      </c>
      <c r="B2027" t="s">
        <v>3689</v>
      </c>
      <c r="C2027" t="s">
        <v>6958</v>
      </c>
    </row>
    <row r="2028" spans="1:3" hidden="1" x14ac:dyDescent="0.25">
      <c r="A2028" t="s">
        <v>10231</v>
      </c>
      <c r="B2028" t="s">
        <v>5181</v>
      </c>
      <c r="C2028" t="s">
        <v>10232</v>
      </c>
    </row>
    <row r="2029" spans="1:3" hidden="1" x14ac:dyDescent="0.25">
      <c r="A2029" t="s">
        <v>10233</v>
      </c>
      <c r="B2029" t="s">
        <v>4757</v>
      </c>
      <c r="C2029" t="s">
        <v>10234</v>
      </c>
    </row>
    <row r="2030" spans="1:3" hidden="1" x14ac:dyDescent="0.25">
      <c r="A2030" t="s">
        <v>10235</v>
      </c>
      <c r="B2030" t="s">
        <v>1865</v>
      </c>
      <c r="C2030" t="s">
        <v>6958</v>
      </c>
    </row>
    <row r="2031" spans="1:3" hidden="1" x14ac:dyDescent="0.25">
      <c r="A2031" t="s">
        <v>10236</v>
      </c>
      <c r="B2031" t="s">
        <v>1260</v>
      </c>
      <c r="C2031" t="s">
        <v>10237</v>
      </c>
    </row>
    <row r="2032" spans="1:3" hidden="1" x14ac:dyDescent="0.25">
      <c r="A2032" t="s">
        <v>10238</v>
      </c>
      <c r="B2032" t="s">
        <v>2994</v>
      </c>
      <c r="C2032" t="s">
        <v>6958</v>
      </c>
    </row>
    <row r="2033" spans="1:3" hidden="1" x14ac:dyDescent="0.25">
      <c r="A2033" t="s">
        <v>10239</v>
      </c>
      <c r="B2033" t="s">
        <v>1950</v>
      </c>
      <c r="C2033" t="s">
        <v>6958</v>
      </c>
    </row>
    <row r="2034" spans="1:3" hidden="1" x14ac:dyDescent="0.25">
      <c r="A2034" t="s">
        <v>10240</v>
      </c>
      <c r="B2034" t="s">
        <v>1947</v>
      </c>
      <c r="C2034" t="s">
        <v>10241</v>
      </c>
    </row>
    <row r="2035" spans="1:3" hidden="1" x14ac:dyDescent="0.25">
      <c r="A2035" t="s">
        <v>10242</v>
      </c>
      <c r="B2035" t="s">
        <v>2236</v>
      </c>
      <c r="C2035" t="s">
        <v>6958</v>
      </c>
    </row>
    <row r="2036" spans="1:3" hidden="1" x14ac:dyDescent="0.25">
      <c r="A2036" t="s">
        <v>10243</v>
      </c>
      <c r="B2036" t="s">
        <v>2937</v>
      </c>
      <c r="C2036" t="s">
        <v>10244</v>
      </c>
    </row>
    <row r="2037" spans="1:3" hidden="1" x14ac:dyDescent="0.25">
      <c r="A2037" t="s">
        <v>10245</v>
      </c>
      <c r="B2037" t="s">
        <v>4929</v>
      </c>
      <c r="C2037" t="s">
        <v>6958</v>
      </c>
    </row>
    <row r="2038" spans="1:3" hidden="1" x14ac:dyDescent="0.25">
      <c r="A2038" t="s">
        <v>10246</v>
      </c>
      <c r="B2038" t="s">
        <v>38</v>
      </c>
      <c r="C2038" t="s">
        <v>10247</v>
      </c>
    </row>
    <row r="2039" spans="1:3" hidden="1" x14ac:dyDescent="0.25">
      <c r="A2039" t="s">
        <v>10248</v>
      </c>
      <c r="B2039" t="s">
        <v>3731</v>
      </c>
      <c r="C2039" t="s">
        <v>6958</v>
      </c>
    </row>
    <row r="2040" spans="1:3" hidden="1" x14ac:dyDescent="0.25">
      <c r="A2040" t="s">
        <v>10249</v>
      </c>
      <c r="B2040" t="s">
        <v>4429</v>
      </c>
      <c r="C2040" t="s">
        <v>6958</v>
      </c>
    </row>
    <row r="2041" spans="1:3" hidden="1" x14ac:dyDescent="0.25">
      <c r="A2041" t="s">
        <v>10250</v>
      </c>
      <c r="B2041" t="s">
        <v>5119</v>
      </c>
      <c r="C2041" t="s">
        <v>10251</v>
      </c>
    </row>
    <row r="2042" spans="1:3" hidden="1" x14ac:dyDescent="0.25">
      <c r="A2042" t="s">
        <v>10252</v>
      </c>
      <c r="B2042" t="s">
        <v>3925</v>
      </c>
      <c r="C2042" t="s">
        <v>10253</v>
      </c>
    </row>
    <row r="2043" spans="1:3" hidden="1" x14ac:dyDescent="0.25">
      <c r="A2043" t="s">
        <v>10254</v>
      </c>
      <c r="B2043" t="s">
        <v>2280</v>
      </c>
      <c r="C2043" t="s">
        <v>6958</v>
      </c>
    </row>
    <row r="2044" spans="1:3" hidden="1" x14ac:dyDescent="0.25">
      <c r="A2044" t="s">
        <v>10255</v>
      </c>
      <c r="B2044" t="s">
        <v>5680</v>
      </c>
      <c r="C2044" t="s">
        <v>10256</v>
      </c>
    </row>
    <row r="2045" spans="1:3" hidden="1" x14ac:dyDescent="0.25">
      <c r="A2045" t="s">
        <v>10257</v>
      </c>
      <c r="B2045" t="s">
        <v>5115</v>
      </c>
      <c r="C2045" t="s">
        <v>6958</v>
      </c>
    </row>
    <row r="2046" spans="1:3" hidden="1" x14ac:dyDescent="0.25">
      <c r="A2046" t="s">
        <v>10258</v>
      </c>
      <c r="B2046" t="s">
        <v>1337</v>
      </c>
      <c r="C2046" t="s">
        <v>10259</v>
      </c>
    </row>
    <row r="2047" spans="1:3" hidden="1" x14ac:dyDescent="0.25">
      <c r="A2047" t="s">
        <v>10260</v>
      </c>
      <c r="B2047" t="s">
        <v>1931</v>
      </c>
      <c r="C2047" t="s">
        <v>10261</v>
      </c>
    </row>
    <row r="2048" spans="1:3" hidden="1" x14ac:dyDescent="0.25">
      <c r="A2048" t="s">
        <v>10262</v>
      </c>
      <c r="B2048" t="s">
        <v>3254</v>
      </c>
      <c r="C2048" t="s">
        <v>10263</v>
      </c>
    </row>
    <row r="2049" spans="1:3" hidden="1" x14ac:dyDescent="0.25">
      <c r="A2049" t="s">
        <v>10264</v>
      </c>
      <c r="B2049" t="s">
        <v>4482</v>
      </c>
      <c r="C2049" t="s">
        <v>6958</v>
      </c>
    </row>
    <row r="2050" spans="1:3" hidden="1" x14ac:dyDescent="0.25">
      <c r="A2050" t="s">
        <v>10265</v>
      </c>
      <c r="B2050" t="s">
        <v>715</v>
      </c>
      <c r="C2050" t="s">
        <v>6958</v>
      </c>
    </row>
    <row r="2051" spans="1:3" hidden="1" x14ac:dyDescent="0.25">
      <c r="A2051" t="s">
        <v>10266</v>
      </c>
      <c r="B2051" t="s">
        <v>1043</v>
      </c>
      <c r="C2051" t="s">
        <v>10267</v>
      </c>
    </row>
    <row r="2052" spans="1:3" hidden="1" x14ac:dyDescent="0.25">
      <c r="A2052" t="s">
        <v>10268</v>
      </c>
      <c r="B2052" t="s">
        <v>1318</v>
      </c>
      <c r="C2052" t="s">
        <v>10269</v>
      </c>
    </row>
    <row r="2053" spans="1:3" hidden="1" x14ac:dyDescent="0.25">
      <c r="A2053" t="s">
        <v>10270</v>
      </c>
      <c r="B2053" t="s">
        <v>3572</v>
      </c>
      <c r="C2053" t="s">
        <v>6958</v>
      </c>
    </row>
    <row r="2054" spans="1:3" hidden="1" x14ac:dyDescent="0.25">
      <c r="A2054" t="s">
        <v>10271</v>
      </c>
      <c r="B2054" t="s">
        <v>1302</v>
      </c>
      <c r="C2054" t="s">
        <v>10272</v>
      </c>
    </row>
    <row r="2055" spans="1:3" hidden="1" x14ac:dyDescent="0.25">
      <c r="A2055" t="s">
        <v>10273</v>
      </c>
      <c r="B2055" t="s">
        <v>5628</v>
      </c>
      <c r="C2055" t="s">
        <v>10274</v>
      </c>
    </row>
    <row r="2056" spans="1:3" hidden="1" x14ac:dyDescent="0.25">
      <c r="A2056" t="s">
        <v>10275</v>
      </c>
      <c r="B2056" t="s">
        <v>562</v>
      </c>
      <c r="C2056" t="s">
        <v>6958</v>
      </c>
    </row>
    <row r="2057" spans="1:3" hidden="1" x14ac:dyDescent="0.25">
      <c r="A2057" t="s">
        <v>10276</v>
      </c>
      <c r="B2057" t="s">
        <v>4616</v>
      </c>
      <c r="C2057" t="s">
        <v>10277</v>
      </c>
    </row>
    <row r="2058" spans="1:3" hidden="1" x14ac:dyDescent="0.25">
      <c r="A2058" t="s">
        <v>10278</v>
      </c>
      <c r="B2058" t="s">
        <v>2245</v>
      </c>
      <c r="C2058" t="s">
        <v>6958</v>
      </c>
    </row>
    <row r="2059" spans="1:3" hidden="1" x14ac:dyDescent="0.25">
      <c r="A2059" t="s">
        <v>10279</v>
      </c>
      <c r="B2059" t="s">
        <v>2753</v>
      </c>
      <c r="C2059" t="s">
        <v>6958</v>
      </c>
    </row>
    <row r="2060" spans="1:3" hidden="1" x14ac:dyDescent="0.25">
      <c r="A2060" t="s">
        <v>10280</v>
      </c>
      <c r="B2060" t="s">
        <v>5245</v>
      </c>
      <c r="C2060" t="s">
        <v>10281</v>
      </c>
    </row>
    <row r="2061" spans="1:3" hidden="1" x14ac:dyDescent="0.25">
      <c r="A2061" t="s">
        <v>10282</v>
      </c>
      <c r="B2061" t="s">
        <v>5492</v>
      </c>
      <c r="C2061" t="s">
        <v>10283</v>
      </c>
    </row>
    <row r="2062" spans="1:3" hidden="1" x14ac:dyDescent="0.25">
      <c r="A2062" t="s">
        <v>10284</v>
      </c>
      <c r="B2062" t="s">
        <v>2201</v>
      </c>
      <c r="C2062" t="s">
        <v>10285</v>
      </c>
    </row>
    <row r="2063" spans="1:3" hidden="1" x14ac:dyDescent="0.25">
      <c r="A2063" t="s">
        <v>10286</v>
      </c>
      <c r="B2063" t="s">
        <v>595</v>
      </c>
      <c r="C2063" t="s">
        <v>10287</v>
      </c>
    </row>
    <row r="2064" spans="1:3" hidden="1" x14ac:dyDescent="0.25">
      <c r="A2064" t="s">
        <v>10288</v>
      </c>
      <c r="B2064" t="s">
        <v>10289</v>
      </c>
      <c r="C2064" t="s">
        <v>10290</v>
      </c>
    </row>
    <row r="2065" spans="1:3" hidden="1" x14ac:dyDescent="0.25">
      <c r="A2065" t="s">
        <v>10291</v>
      </c>
      <c r="B2065" t="s">
        <v>769</v>
      </c>
      <c r="C2065" t="s">
        <v>6958</v>
      </c>
    </row>
    <row r="2066" spans="1:3" hidden="1" x14ac:dyDescent="0.25">
      <c r="A2066" t="s">
        <v>10292</v>
      </c>
      <c r="B2066" t="s">
        <v>5330</v>
      </c>
      <c r="C2066" t="s">
        <v>10293</v>
      </c>
    </row>
    <row r="2067" spans="1:3" hidden="1" x14ac:dyDescent="0.25">
      <c r="A2067" t="s">
        <v>10294</v>
      </c>
      <c r="B2067" t="s">
        <v>5617</v>
      </c>
      <c r="C2067" t="s">
        <v>6958</v>
      </c>
    </row>
    <row r="2068" spans="1:3" hidden="1" x14ac:dyDescent="0.25">
      <c r="A2068" t="s">
        <v>10295</v>
      </c>
      <c r="B2068" t="s">
        <v>3461</v>
      </c>
      <c r="C2068" t="s">
        <v>10296</v>
      </c>
    </row>
    <row r="2069" spans="1:3" hidden="1" x14ac:dyDescent="0.25">
      <c r="A2069" t="s">
        <v>10297</v>
      </c>
      <c r="B2069" t="s">
        <v>1059</v>
      </c>
      <c r="C2069" t="s">
        <v>6958</v>
      </c>
    </row>
    <row r="2070" spans="1:3" hidden="1" x14ac:dyDescent="0.25">
      <c r="A2070" t="s">
        <v>10298</v>
      </c>
      <c r="B2070" t="s">
        <v>2691</v>
      </c>
      <c r="C2070" t="s">
        <v>10299</v>
      </c>
    </row>
    <row r="2071" spans="1:3" hidden="1" x14ac:dyDescent="0.25">
      <c r="A2071" t="s">
        <v>10300</v>
      </c>
      <c r="B2071" t="s">
        <v>665</v>
      </c>
      <c r="C2071" t="s">
        <v>6958</v>
      </c>
    </row>
    <row r="2072" spans="1:3" hidden="1" x14ac:dyDescent="0.25">
      <c r="A2072" t="s">
        <v>10301</v>
      </c>
      <c r="B2072" t="s">
        <v>1285</v>
      </c>
      <c r="C2072" t="s">
        <v>10302</v>
      </c>
    </row>
    <row r="2073" spans="1:3" hidden="1" x14ac:dyDescent="0.25">
      <c r="A2073" t="s">
        <v>10303</v>
      </c>
      <c r="B2073" t="s">
        <v>2386</v>
      </c>
      <c r="C2073" t="s">
        <v>10304</v>
      </c>
    </row>
    <row r="2074" spans="1:3" hidden="1" x14ac:dyDescent="0.25">
      <c r="A2074" t="s">
        <v>10305</v>
      </c>
      <c r="B2074" t="s">
        <v>601</v>
      </c>
      <c r="C2074" t="s">
        <v>6958</v>
      </c>
    </row>
    <row r="2075" spans="1:3" hidden="1" x14ac:dyDescent="0.25">
      <c r="A2075" t="s">
        <v>10306</v>
      </c>
      <c r="B2075" t="s">
        <v>2881</v>
      </c>
      <c r="C2075" t="s">
        <v>6958</v>
      </c>
    </row>
    <row r="2076" spans="1:3" hidden="1" x14ac:dyDescent="0.25">
      <c r="A2076" t="s">
        <v>10307</v>
      </c>
      <c r="B2076" t="s">
        <v>5246</v>
      </c>
      <c r="C2076" t="s">
        <v>6958</v>
      </c>
    </row>
    <row r="2077" spans="1:3" hidden="1" x14ac:dyDescent="0.25">
      <c r="A2077" t="s">
        <v>10308</v>
      </c>
      <c r="B2077" t="s">
        <v>3533</v>
      </c>
      <c r="C2077" t="s">
        <v>6958</v>
      </c>
    </row>
    <row r="2078" spans="1:3" hidden="1" x14ac:dyDescent="0.25">
      <c r="A2078" t="s">
        <v>10309</v>
      </c>
      <c r="B2078" t="s">
        <v>3829</v>
      </c>
      <c r="C2078" t="s">
        <v>6958</v>
      </c>
    </row>
    <row r="2079" spans="1:3" hidden="1" x14ac:dyDescent="0.25">
      <c r="A2079" t="s">
        <v>10310</v>
      </c>
      <c r="B2079" t="s">
        <v>3958</v>
      </c>
      <c r="C2079" t="s">
        <v>10311</v>
      </c>
    </row>
    <row r="2080" spans="1:3" hidden="1" x14ac:dyDescent="0.25">
      <c r="A2080" t="s">
        <v>10312</v>
      </c>
      <c r="B2080" t="s">
        <v>3144</v>
      </c>
      <c r="C2080" t="s">
        <v>10313</v>
      </c>
    </row>
    <row r="2081" spans="1:3" hidden="1" x14ac:dyDescent="0.25">
      <c r="A2081" t="s">
        <v>10314</v>
      </c>
      <c r="B2081" t="s">
        <v>4487</v>
      </c>
      <c r="C2081" t="s">
        <v>6958</v>
      </c>
    </row>
    <row r="2082" spans="1:3" hidden="1" x14ac:dyDescent="0.25">
      <c r="A2082" t="s">
        <v>10315</v>
      </c>
      <c r="B2082" t="s">
        <v>3193</v>
      </c>
      <c r="C2082" t="s">
        <v>6958</v>
      </c>
    </row>
    <row r="2083" spans="1:3" hidden="1" x14ac:dyDescent="0.25">
      <c r="A2083" t="s">
        <v>10316</v>
      </c>
      <c r="B2083" t="s">
        <v>4292</v>
      </c>
      <c r="C2083" t="s">
        <v>10317</v>
      </c>
    </row>
    <row r="2084" spans="1:3" hidden="1" x14ac:dyDescent="0.25">
      <c r="A2084" t="s">
        <v>10318</v>
      </c>
      <c r="B2084" t="s">
        <v>4702</v>
      </c>
      <c r="C2084" t="s">
        <v>10319</v>
      </c>
    </row>
    <row r="2085" spans="1:3" hidden="1" x14ac:dyDescent="0.25">
      <c r="A2085" t="s">
        <v>10320</v>
      </c>
      <c r="B2085" t="s">
        <v>1465</v>
      </c>
      <c r="C2085" t="s">
        <v>10321</v>
      </c>
    </row>
    <row r="2086" spans="1:3" hidden="1" x14ac:dyDescent="0.25">
      <c r="A2086" t="s">
        <v>10322</v>
      </c>
      <c r="B2086" t="s">
        <v>1579</v>
      </c>
      <c r="C2086" t="s">
        <v>6958</v>
      </c>
    </row>
    <row r="2087" spans="1:3" hidden="1" x14ac:dyDescent="0.25">
      <c r="A2087" t="s">
        <v>10323</v>
      </c>
      <c r="B2087" t="s">
        <v>2321</v>
      </c>
      <c r="C2087" t="s">
        <v>10324</v>
      </c>
    </row>
    <row r="2088" spans="1:3" hidden="1" x14ac:dyDescent="0.25">
      <c r="A2088" t="s">
        <v>10325</v>
      </c>
      <c r="B2088" t="s">
        <v>5490</v>
      </c>
      <c r="C2088" t="s">
        <v>10326</v>
      </c>
    </row>
    <row r="2089" spans="1:3" hidden="1" x14ac:dyDescent="0.25">
      <c r="A2089" t="s">
        <v>10327</v>
      </c>
      <c r="B2089" t="s">
        <v>4360</v>
      </c>
      <c r="C2089" t="s">
        <v>6958</v>
      </c>
    </row>
    <row r="2090" spans="1:3" hidden="1" x14ac:dyDescent="0.25">
      <c r="A2090" t="s">
        <v>10328</v>
      </c>
      <c r="B2090" t="s">
        <v>5525</v>
      </c>
      <c r="C2090" t="s">
        <v>6958</v>
      </c>
    </row>
    <row r="2091" spans="1:3" hidden="1" x14ac:dyDescent="0.25">
      <c r="A2091" t="s">
        <v>10329</v>
      </c>
      <c r="B2091" t="s">
        <v>1215</v>
      </c>
      <c r="C2091" t="s">
        <v>10330</v>
      </c>
    </row>
    <row r="2092" spans="1:3" hidden="1" x14ac:dyDescent="0.25">
      <c r="A2092" t="s">
        <v>10331</v>
      </c>
      <c r="B2092" t="s">
        <v>4131</v>
      </c>
      <c r="C2092" t="s">
        <v>6958</v>
      </c>
    </row>
    <row r="2093" spans="1:3" hidden="1" x14ac:dyDescent="0.25">
      <c r="A2093" t="s">
        <v>10332</v>
      </c>
      <c r="B2093" t="s">
        <v>5616</v>
      </c>
      <c r="C2093" t="s">
        <v>6958</v>
      </c>
    </row>
    <row r="2094" spans="1:3" hidden="1" x14ac:dyDescent="0.25">
      <c r="A2094" t="s">
        <v>10333</v>
      </c>
      <c r="B2094" t="s">
        <v>3868</v>
      </c>
      <c r="C2094" t="s">
        <v>10334</v>
      </c>
    </row>
    <row r="2095" spans="1:3" hidden="1" x14ac:dyDescent="0.25">
      <c r="A2095" t="s">
        <v>10335</v>
      </c>
      <c r="B2095" t="s">
        <v>4633</v>
      </c>
      <c r="C2095" t="s">
        <v>10336</v>
      </c>
    </row>
    <row r="2096" spans="1:3" hidden="1" x14ac:dyDescent="0.25">
      <c r="A2096" t="s">
        <v>10337</v>
      </c>
      <c r="B2096" t="s">
        <v>5410</v>
      </c>
      <c r="C2096" t="s">
        <v>10338</v>
      </c>
    </row>
    <row r="2097" spans="1:3" hidden="1" x14ac:dyDescent="0.25">
      <c r="A2097" t="s">
        <v>10339</v>
      </c>
      <c r="B2097" t="s">
        <v>637</v>
      </c>
      <c r="C2097" t="s">
        <v>6958</v>
      </c>
    </row>
    <row r="2098" spans="1:3" hidden="1" x14ac:dyDescent="0.25">
      <c r="A2098" t="s">
        <v>10340</v>
      </c>
      <c r="B2098" t="s">
        <v>2461</v>
      </c>
      <c r="C2098" t="s">
        <v>6958</v>
      </c>
    </row>
    <row r="2099" spans="1:3" hidden="1" x14ac:dyDescent="0.25">
      <c r="A2099" t="s">
        <v>10341</v>
      </c>
      <c r="B2099" t="s">
        <v>4132</v>
      </c>
      <c r="C2099" t="s">
        <v>10342</v>
      </c>
    </row>
    <row r="2100" spans="1:3" hidden="1" x14ac:dyDescent="0.25">
      <c r="A2100" t="s">
        <v>10343</v>
      </c>
      <c r="B2100" t="s">
        <v>4158</v>
      </c>
      <c r="C2100" t="s">
        <v>10344</v>
      </c>
    </row>
    <row r="2101" spans="1:3" hidden="1" x14ac:dyDescent="0.25">
      <c r="A2101" t="s">
        <v>10345</v>
      </c>
      <c r="B2101" t="s">
        <v>657</v>
      </c>
      <c r="C2101" t="s">
        <v>10346</v>
      </c>
    </row>
    <row r="2102" spans="1:3" hidden="1" x14ac:dyDescent="0.25">
      <c r="A2102" t="s">
        <v>10347</v>
      </c>
      <c r="B2102" t="s">
        <v>4704</v>
      </c>
      <c r="C2102" t="s">
        <v>6958</v>
      </c>
    </row>
    <row r="2103" spans="1:3" hidden="1" x14ac:dyDescent="0.25">
      <c r="A2103" t="s">
        <v>10348</v>
      </c>
      <c r="B2103" t="s">
        <v>2436</v>
      </c>
      <c r="C2103" t="s">
        <v>6958</v>
      </c>
    </row>
    <row r="2104" spans="1:3" hidden="1" x14ac:dyDescent="0.25">
      <c r="A2104" t="s">
        <v>10349</v>
      </c>
      <c r="B2104" t="s">
        <v>910</v>
      </c>
      <c r="C2104" t="s">
        <v>10350</v>
      </c>
    </row>
    <row r="2105" spans="1:3" hidden="1" x14ac:dyDescent="0.25">
      <c r="A2105" t="s">
        <v>10351</v>
      </c>
      <c r="B2105" t="s">
        <v>418</v>
      </c>
      <c r="C2105" t="s">
        <v>10352</v>
      </c>
    </row>
    <row r="2106" spans="1:3" hidden="1" x14ac:dyDescent="0.25">
      <c r="A2106" t="s">
        <v>10353</v>
      </c>
      <c r="B2106" t="s">
        <v>1866</v>
      </c>
      <c r="C2106" t="s">
        <v>6958</v>
      </c>
    </row>
    <row r="2107" spans="1:3" hidden="1" x14ac:dyDescent="0.25">
      <c r="A2107" t="s">
        <v>10354</v>
      </c>
      <c r="B2107" t="s">
        <v>3936</v>
      </c>
      <c r="C2107" t="s">
        <v>6958</v>
      </c>
    </row>
    <row r="2108" spans="1:3" hidden="1" x14ac:dyDescent="0.25">
      <c r="A2108" t="s">
        <v>10355</v>
      </c>
      <c r="B2108" t="s">
        <v>1054</v>
      </c>
      <c r="C2108" t="s">
        <v>10356</v>
      </c>
    </row>
    <row r="2109" spans="1:3" hidden="1" x14ac:dyDescent="0.25">
      <c r="A2109" t="s">
        <v>10357</v>
      </c>
      <c r="B2109" t="s">
        <v>4992</v>
      </c>
      <c r="C2109" t="s">
        <v>10358</v>
      </c>
    </row>
    <row r="2110" spans="1:3" hidden="1" x14ac:dyDescent="0.25">
      <c r="A2110" t="s">
        <v>10359</v>
      </c>
      <c r="B2110" t="s">
        <v>914</v>
      </c>
      <c r="C2110" t="s">
        <v>6958</v>
      </c>
    </row>
    <row r="2111" spans="1:3" hidden="1" x14ac:dyDescent="0.25">
      <c r="A2111" t="s">
        <v>10360</v>
      </c>
      <c r="B2111" t="s">
        <v>3579</v>
      </c>
      <c r="C2111" t="s">
        <v>10361</v>
      </c>
    </row>
    <row r="2112" spans="1:3" hidden="1" x14ac:dyDescent="0.25">
      <c r="A2112" t="s">
        <v>10362</v>
      </c>
      <c r="B2112" t="s">
        <v>3941</v>
      </c>
      <c r="C2112" t="s">
        <v>10363</v>
      </c>
    </row>
    <row r="2113" spans="1:3" hidden="1" x14ac:dyDescent="0.25">
      <c r="A2113" t="s">
        <v>10364</v>
      </c>
      <c r="B2113" t="s">
        <v>3321</v>
      </c>
      <c r="C2113" t="s">
        <v>6958</v>
      </c>
    </row>
    <row r="2114" spans="1:3" hidden="1" x14ac:dyDescent="0.25">
      <c r="A2114" t="s">
        <v>10365</v>
      </c>
      <c r="B2114" t="s">
        <v>3811</v>
      </c>
      <c r="C2114" t="s">
        <v>6958</v>
      </c>
    </row>
    <row r="2115" spans="1:3" hidden="1" x14ac:dyDescent="0.25">
      <c r="A2115" t="s">
        <v>10366</v>
      </c>
      <c r="B2115" t="s">
        <v>1142</v>
      </c>
      <c r="C2115" t="s">
        <v>10367</v>
      </c>
    </row>
    <row r="2116" spans="1:3" hidden="1" x14ac:dyDescent="0.25">
      <c r="A2116" t="s">
        <v>10368</v>
      </c>
      <c r="B2116" t="s">
        <v>1393</v>
      </c>
      <c r="C2116" t="s">
        <v>10369</v>
      </c>
    </row>
    <row r="2117" spans="1:3" hidden="1" x14ac:dyDescent="0.25">
      <c r="A2117" t="s">
        <v>10370</v>
      </c>
      <c r="B2117" t="s">
        <v>2370</v>
      </c>
      <c r="C2117" t="s">
        <v>10371</v>
      </c>
    </row>
    <row r="2118" spans="1:3" hidden="1" x14ac:dyDescent="0.25">
      <c r="A2118" t="s">
        <v>10372</v>
      </c>
      <c r="B2118" t="s">
        <v>4567</v>
      </c>
      <c r="C2118" t="s">
        <v>6958</v>
      </c>
    </row>
    <row r="2119" spans="1:3" hidden="1" x14ac:dyDescent="0.25">
      <c r="A2119" t="s">
        <v>10373</v>
      </c>
      <c r="B2119" t="s">
        <v>2915</v>
      </c>
      <c r="C2119" t="s">
        <v>6958</v>
      </c>
    </row>
    <row r="2120" spans="1:3" hidden="1" x14ac:dyDescent="0.25">
      <c r="A2120" t="s">
        <v>10374</v>
      </c>
      <c r="B2120" t="s">
        <v>1011</v>
      </c>
      <c r="C2120" t="s">
        <v>6958</v>
      </c>
    </row>
    <row r="2121" spans="1:3" hidden="1" x14ac:dyDescent="0.25">
      <c r="A2121" t="s">
        <v>10375</v>
      </c>
      <c r="B2121" t="s">
        <v>5689</v>
      </c>
      <c r="C2121" t="s">
        <v>10376</v>
      </c>
    </row>
    <row r="2122" spans="1:3" hidden="1" x14ac:dyDescent="0.25">
      <c r="A2122" t="s">
        <v>10377</v>
      </c>
      <c r="B2122" t="s">
        <v>1430</v>
      </c>
      <c r="C2122" t="s">
        <v>6958</v>
      </c>
    </row>
    <row r="2123" spans="1:3" hidden="1" x14ac:dyDescent="0.25">
      <c r="A2123" t="s">
        <v>10378</v>
      </c>
      <c r="B2123" t="s">
        <v>3559</v>
      </c>
      <c r="C2123" t="s">
        <v>6958</v>
      </c>
    </row>
    <row r="2124" spans="1:3" hidden="1" x14ac:dyDescent="0.25">
      <c r="A2124" t="s">
        <v>10379</v>
      </c>
      <c r="B2124" t="s">
        <v>2389</v>
      </c>
      <c r="C2124" t="s">
        <v>10380</v>
      </c>
    </row>
    <row r="2125" spans="1:3" hidden="1" x14ac:dyDescent="0.25">
      <c r="A2125" t="s">
        <v>10381</v>
      </c>
      <c r="B2125" t="s">
        <v>509</v>
      </c>
      <c r="C2125" t="s">
        <v>6958</v>
      </c>
    </row>
    <row r="2126" spans="1:3" hidden="1" x14ac:dyDescent="0.25">
      <c r="A2126" t="s">
        <v>10382</v>
      </c>
      <c r="B2126" t="s">
        <v>2904</v>
      </c>
      <c r="C2126" t="s">
        <v>10383</v>
      </c>
    </row>
    <row r="2127" spans="1:3" hidden="1" x14ac:dyDescent="0.25">
      <c r="A2127" t="s">
        <v>10384</v>
      </c>
      <c r="B2127" t="s">
        <v>4672</v>
      </c>
      <c r="C2127" t="s">
        <v>10385</v>
      </c>
    </row>
    <row r="2128" spans="1:3" hidden="1" x14ac:dyDescent="0.25">
      <c r="A2128" t="s">
        <v>10386</v>
      </c>
      <c r="B2128" t="s">
        <v>309</v>
      </c>
      <c r="C2128" t="s">
        <v>10387</v>
      </c>
    </row>
    <row r="2129" spans="1:3" hidden="1" x14ac:dyDescent="0.25">
      <c r="A2129" t="s">
        <v>10388</v>
      </c>
      <c r="B2129" t="s">
        <v>3044</v>
      </c>
      <c r="C2129" t="s">
        <v>6958</v>
      </c>
    </row>
    <row r="2130" spans="1:3" hidden="1" x14ac:dyDescent="0.25">
      <c r="A2130" t="s">
        <v>10389</v>
      </c>
      <c r="B2130" t="s">
        <v>4190</v>
      </c>
      <c r="C2130" t="s">
        <v>10390</v>
      </c>
    </row>
    <row r="2131" spans="1:3" hidden="1" x14ac:dyDescent="0.25">
      <c r="A2131" t="s">
        <v>10391</v>
      </c>
      <c r="B2131" t="s">
        <v>1225</v>
      </c>
      <c r="C2131" t="s">
        <v>10392</v>
      </c>
    </row>
    <row r="2132" spans="1:3" hidden="1" x14ac:dyDescent="0.25">
      <c r="A2132" t="s">
        <v>10393</v>
      </c>
      <c r="B2132" t="s">
        <v>401</v>
      </c>
      <c r="C2132" t="s">
        <v>6958</v>
      </c>
    </row>
    <row r="2133" spans="1:3" hidden="1" x14ac:dyDescent="0.25">
      <c r="A2133" t="s">
        <v>10394</v>
      </c>
      <c r="B2133" t="s">
        <v>5096</v>
      </c>
      <c r="C2133" t="s">
        <v>6958</v>
      </c>
    </row>
    <row r="2134" spans="1:3" hidden="1" x14ac:dyDescent="0.25">
      <c r="A2134" t="s">
        <v>10395</v>
      </c>
      <c r="B2134" t="s">
        <v>4986</v>
      </c>
      <c r="C2134" t="s">
        <v>10396</v>
      </c>
    </row>
    <row r="2135" spans="1:3" hidden="1" x14ac:dyDescent="0.25">
      <c r="A2135" t="s">
        <v>10397</v>
      </c>
      <c r="B2135" t="s">
        <v>4063</v>
      </c>
      <c r="C2135" t="s">
        <v>6958</v>
      </c>
    </row>
    <row r="2136" spans="1:3" hidden="1" x14ac:dyDescent="0.25">
      <c r="A2136" t="s">
        <v>10398</v>
      </c>
      <c r="B2136" t="s">
        <v>3093</v>
      </c>
      <c r="C2136" t="s">
        <v>6958</v>
      </c>
    </row>
    <row r="2137" spans="1:3" hidden="1" x14ac:dyDescent="0.25">
      <c r="A2137" t="s">
        <v>10399</v>
      </c>
      <c r="B2137" t="s">
        <v>2330</v>
      </c>
      <c r="C2137" t="s">
        <v>10400</v>
      </c>
    </row>
    <row r="2138" spans="1:3" hidden="1" x14ac:dyDescent="0.25">
      <c r="A2138" t="s">
        <v>10401</v>
      </c>
      <c r="B2138" t="s">
        <v>192</v>
      </c>
      <c r="C2138" t="s">
        <v>10402</v>
      </c>
    </row>
    <row r="2139" spans="1:3" hidden="1" x14ac:dyDescent="0.25">
      <c r="A2139" t="s">
        <v>10403</v>
      </c>
      <c r="B2139" t="s">
        <v>878</v>
      </c>
      <c r="C2139" t="s">
        <v>6958</v>
      </c>
    </row>
    <row r="2140" spans="1:3" hidden="1" x14ac:dyDescent="0.25">
      <c r="A2140" t="s">
        <v>10404</v>
      </c>
      <c r="B2140" t="s">
        <v>2368</v>
      </c>
      <c r="C2140" t="s">
        <v>10405</v>
      </c>
    </row>
    <row r="2141" spans="1:3" hidden="1" x14ac:dyDescent="0.25">
      <c r="A2141" t="s">
        <v>10406</v>
      </c>
      <c r="B2141" t="s">
        <v>2567</v>
      </c>
      <c r="C2141" t="s">
        <v>6958</v>
      </c>
    </row>
    <row r="2142" spans="1:3" hidden="1" x14ac:dyDescent="0.25">
      <c r="A2142" t="s">
        <v>10407</v>
      </c>
      <c r="B2142" t="s">
        <v>3895</v>
      </c>
      <c r="C2142" t="s">
        <v>10408</v>
      </c>
    </row>
    <row r="2143" spans="1:3" hidden="1" x14ac:dyDescent="0.25">
      <c r="A2143" t="s">
        <v>10409</v>
      </c>
      <c r="B2143" t="s">
        <v>4058</v>
      </c>
      <c r="C2143" t="s">
        <v>10410</v>
      </c>
    </row>
    <row r="2144" spans="1:3" hidden="1" x14ac:dyDescent="0.25">
      <c r="A2144" t="s">
        <v>10411</v>
      </c>
      <c r="B2144" t="s">
        <v>2907</v>
      </c>
      <c r="C2144" t="s">
        <v>10412</v>
      </c>
    </row>
    <row r="2145" spans="1:3" hidden="1" x14ac:dyDescent="0.25">
      <c r="A2145" t="s">
        <v>10413</v>
      </c>
      <c r="B2145" t="s">
        <v>1218</v>
      </c>
      <c r="C2145" t="s">
        <v>6958</v>
      </c>
    </row>
    <row r="2146" spans="1:3" hidden="1" x14ac:dyDescent="0.25">
      <c r="A2146" t="s">
        <v>10414</v>
      </c>
      <c r="B2146" t="s">
        <v>3472</v>
      </c>
      <c r="C2146" t="s">
        <v>10415</v>
      </c>
    </row>
    <row r="2147" spans="1:3" hidden="1" x14ac:dyDescent="0.25">
      <c r="A2147" t="s">
        <v>10416</v>
      </c>
      <c r="B2147" t="s">
        <v>37</v>
      </c>
      <c r="C2147" t="s">
        <v>10417</v>
      </c>
    </row>
    <row r="2148" spans="1:3" hidden="1" x14ac:dyDescent="0.25">
      <c r="A2148" t="s">
        <v>10418</v>
      </c>
      <c r="B2148" t="s">
        <v>5513</v>
      </c>
      <c r="C2148" t="s">
        <v>6958</v>
      </c>
    </row>
    <row r="2149" spans="1:3" hidden="1" x14ac:dyDescent="0.25">
      <c r="A2149" t="s">
        <v>10419</v>
      </c>
      <c r="B2149" t="s">
        <v>627</v>
      </c>
      <c r="C2149" t="s">
        <v>10420</v>
      </c>
    </row>
    <row r="2150" spans="1:3" hidden="1" x14ac:dyDescent="0.25">
      <c r="A2150" t="s">
        <v>10421</v>
      </c>
      <c r="B2150" t="s">
        <v>5338</v>
      </c>
      <c r="C2150" t="s">
        <v>10422</v>
      </c>
    </row>
    <row r="2151" spans="1:3" hidden="1" x14ac:dyDescent="0.25">
      <c r="A2151" t="s">
        <v>10423</v>
      </c>
      <c r="B2151" t="s">
        <v>5505</v>
      </c>
      <c r="C2151" t="s">
        <v>6958</v>
      </c>
    </row>
    <row r="2152" spans="1:3" hidden="1" x14ac:dyDescent="0.25">
      <c r="A2152" t="s">
        <v>10424</v>
      </c>
      <c r="B2152" t="s">
        <v>4229</v>
      </c>
      <c r="C2152" t="s">
        <v>10425</v>
      </c>
    </row>
    <row r="2153" spans="1:3" hidden="1" x14ac:dyDescent="0.25">
      <c r="A2153" t="s">
        <v>10426</v>
      </c>
      <c r="B2153" t="s">
        <v>2141</v>
      </c>
      <c r="C2153" t="s">
        <v>10427</v>
      </c>
    </row>
    <row r="2154" spans="1:3" hidden="1" x14ac:dyDescent="0.25">
      <c r="A2154" t="s">
        <v>10428</v>
      </c>
      <c r="B2154" t="s">
        <v>4948</v>
      </c>
      <c r="C2154" t="s">
        <v>10429</v>
      </c>
    </row>
    <row r="2155" spans="1:3" hidden="1" x14ac:dyDescent="0.25">
      <c r="A2155" t="s">
        <v>10430</v>
      </c>
      <c r="B2155" t="s">
        <v>2748</v>
      </c>
      <c r="C2155" t="s">
        <v>10431</v>
      </c>
    </row>
    <row r="2156" spans="1:3" hidden="1" x14ac:dyDescent="0.25">
      <c r="A2156" t="s">
        <v>10432</v>
      </c>
      <c r="B2156" t="s">
        <v>321</v>
      </c>
      <c r="C2156" t="s">
        <v>9204</v>
      </c>
    </row>
    <row r="2157" spans="1:3" hidden="1" x14ac:dyDescent="0.25">
      <c r="A2157" t="s">
        <v>10433</v>
      </c>
      <c r="B2157" t="s">
        <v>3770</v>
      </c>
      <c r="C2157" t="s">
        <v>10434</v>
      </c>
    </row>
    <row r="2158" spans="1:3" hidden="1" x14ac:dyDescent="0.25">
      <c r="A2158" t="s">
        <v>10435</v>
      </c>
      <c r="B2158" t="s">
        <v>3564</v>
      </c>
      <c r="C2158" t="s">
        <v>10436</v>
      </c>
    </row>
    <row r="2159" spans="1:3" hidden="1" x14ac:dyDescent="0.25">
      <c r="A2159" t="s">
        <v>10437</v>
      </c>
      <c r="B2159" t="s">
        <v>2590</v>
      </c>
      <c r="C2159" t="s">
        <v>10438</v>
      </c>
    </row>
    <row r="2160" spans="1:3" hidden="1" x14ac:dyDescent="0.25">
      <c r="A2160" t="s">
        <v>10439</v>
      </c>
      <c r="B2160" t="s">
        <v>1275</v>
      </c>
      <c r="C2160" t="s">
        <v>10440</v>
      </c>
    </row>
    <row r="2161" spans="1:3" hidden="1" x14ac:dyDescent="0.25">
      <c r="A2161" t="s">
        <v>10441</v>
      </c>
      <c r="B2161" t="s">
        <v>1974</v>
      </c>
      <c r="C2161" t="s">
        <v>10442</v>
      </c>
    </row>
    <row r="2162" spans="1:3" hidden="1" x14ac:dyDescent="0.25">
      <c r="A2162" t="s">
        <v>10443</v>
      </c>
      <c r="B2162" t="s">
        <v>5296</v>
      </c>
      <c r="C2162" t="s">
        <v>10444</v>
      </c>
    </row>
    <row r="2163" spans="1:3" hidden="1" x14ac:dyDescent="0.25">
      <c r="A2163" t="s">
        <v>10445</v>
      </c>
      <c r="B2163" t="s">
        <v>3550</v>
      </c>
      <c r="C2163" t="s">
        <v>10446</v>
      </c>
    </row>
    <row r="2164" spans="1:3" hidden="1" x14ac:dyDescent="0.25">
      <c r="A2164" t="s">
        <v>10447</v>
      </c>
      <c r="B2164" t="s">
        <v>2105</v>
      </c>
      <c r="C2164" t="s">
        <v>10448</v>
      </c>
    </row>
    <row r="2165" spans="1:3" hidden="1" x14ac:dyDescent="0.25">
      <c r="A2165" t="s">
        <v>10449</v>
      </c>
      <c r="B2165" t="s">
        <v>5315</v>
      </c>
      <c r="C2165" t="s">
        <v>10450</v>
      </c>
    </row>
    <row r="2166" spans="1:3" hidden="1" x14ac:dyDescent="0.25">
      <c r="A2166" t="s">
        <v>10451</v>
      </c>
      <c r="B2166" t="s">
        <v>995</v>
      </c>
      <c r="C2166" t="s">
        <v>6958</v>
      </c>
    </row>
    <row r="2167" spans="1:3" hidden="1" x14ac:dyDescent="0.25">
      <c r="A2167" t="s">
        <v>10452</v>
      </c>
      <c r="B2167" t="s">
        <v>801</v>
      </c>
      <c r="C2167" t="s">
        <v>6958</v>
      </c>
    </row>
    <row r="2168" spans="1:3" hidden="1" x14ac:dyDescent="0.25">
      <c r="A2168" t="s">
        <v>10453</v>
      </c>
      <c r="B2168" t="s">
        <v>5419</v>
      </c>
      <c r="C2168" t="s">
        <v>6958</v>
      </c>
    </row>
    <row r="2169" spans="1:3" hidden="1" x14ac:dyDescent="0.25">
      <c r="A2169" t="s">
        <v>10454</v>
      </c>
      <c r="B2169" t="s">
        <v>2948</v>
      </c>
      <c r="C2169" t="s">
        <v>10455</v>
      </c>
    </row>
    <row r="2170" spans="1:3" hidden="1" x14ac:dyDescent="0.25">
      <c r="A2170" t="s">
        <v>10456</v>
      </c>
      <c r="B2170" t="s">
        <v>921</v>
      </c>
      <c r="C2170" t="s">
        <v>6958</v>
      </c>
    </row>
    <row r="2171" spans="1:3" hidden="1" x14ac:dyDescent="0.25">
      <c r="A2171" t="s">
        <v>10457</v>
      </c>
      <c r="B2171" t="s">
        <v>3814</v>
      </c>
      <c r="C2171" t="s">
        <v>10458</v>
      </c>
    </row>
    <row r="2172" spans="1:3" hidden="1" x14ac:dyDescent="0.25">
      <c r="A2172" t="s">
        <v>10459</v>
      </c>
      <c r="B2172" t="s">
        <v>3892</v>
      </c>
      <c r="C2172" t="s">
        <v>6958</v>
      </c>
    </row>
    <row r="2173" spans="1:3" hidden="1" x14ac:dyDescent="0.25">
      <c r="A2173" t="s">
        <v>10460</v>
      </c>
      <c r="B2173" t="s">
        <v>2237</v>
      </c>
      <c r="C2173" t="s">
        <v>6958</v>
      </c>
    </row>
    <row r="2174" spans="1:3" hidden="1" x14ac:dyDescent="0.25">
      <c r="A2174" t="s">
        <v>10461</v>
      </c>
      <c r="B2174" t="s">
        <v>5266</v>
      </c>
      <c r="C2174" t="s">
        <v>10462</v>
      </c>
    </row>
    <row r="2175" spans="1:3" hidden="1" x14ac:dyDescent="0.25">
      <c r="A2175" t="s">
        <v>10463</v>
      </c>
      <c r="B2175" t="s">
        <v>3212</v>
      </c>
      <c r="C2175" t="s">
        <v>10464</v>
      </c>
    </row>
    <row r="2176" spans="1:3" hidden="1" x14ac:dyDescent="0.25">
      <c r="A2176" t="s">
        <v>10465</v>
      </c>
      <c r="B2176" t="s">
        <v>3457</v>
      </c>
      <c r="C2176" t="s">
        <v>6958</v>
      </c>
    </row>
    <row r="2177" spans="1:3" hidden="1" x14ac:dyDescent="0.25">
      <c r="A2177" t="s">
        <v>10466</v>
      </c>
      <c r="B2177" t="s">
        <v>2982</v>
      </c>
      <c r="C2177" t="s">
        <v>6958</v>
      </c>
    </row>
    <row r="2178" spans="1:3" hidden="1" x14ac:dyDescent="0.25">
      <c r="A2178" t="s">
        <v>10467</v>
      </c>
      <c r="B2178" t="s">
        <v>4270</v>
      </c>
      <c r="C2178" t="s">
        <v>10468</v>
      </c>
    </row>
    <row r="2179" spans="1:3" hidden="1" x14ac:dyDescent="0.25">
      <c r="A2179" t="s">
        <v>10469</v>
      </c>
      <c r="B2179" t="s">
        <v>3173</v>
      </c>
      <c r="C2179" t="s">
        <v>6958</v>
      </c>
    </row>
    <row r="2180" spans="1:3" hidden="1" x14ac:dyDescent="0.25">
      <c r="A2180" t="s">
        <v>10470</v>
      </c>
      <c r="B2180" t="s">
        <v>4257</v>
      </c>
      <c r="C2180" t="s">
        <v>10471</v>
      </c>
    </row>
    <row r="2181" spans="1:3" hidden="1" x14ac:dyDescent="0.25">
      <c r="A2181" t="s">
        <v>10472</v>
      </c>
      <c r="B2181" t="s">
        <v>394</v>
      </c>
      <c r="C2181" t="s">
        <v>6958</v>
      </c>
    </row>
    <row r="2182" spans="1:3" hidden="1" x14ac:dyDescent="0.25">
      <c r="A2182" t="s">
        <v>10473</v>
      </c>
      <c r="B2182" t="s">
        <v>5201</v>
      </c>
      <c r="C2182" t="s">
        <v>6958</v>
      </c>
    </row>
    <row r="2183" spans="1:3" hidden="1" x14ac:dyDescent="0.25">
      <c r="A2183" t="s">
        <v>10474</v>
      </c>
      <c r="B2183" t="s">
        <v>61</v>
      </c>
      <c r="C2183" t="s">
        <v>10475</v>
      </c>
    </row>
    <row r="2184" spans="1:3" hidden="1" x14ac:dyDescent="0.25">
      <c r="A2184" t="s">
        <v>10476</v>
      </c>
      <c r="B2184" t="s">
        <v>3678</v>
      </c>
      <c r="C2184" t="s">
        <v>10477</v>
      </c>
    </row>
    <row r="2185" spans="1:3" hidden="1" x14ac:dyDescent="0.25">
      <c r="A2185" t="s">
        <v>10478</v>
      </c>
      <c r="B2185" t="s">
        <v>5280</v>
      </c>
      <c r="C2185" t="s">
        <v>10479</v>
      </c>
    </row>
    <row r="2186" spans="1:3" hidden="1" x14ac:dyDescent="0.25">
      <c r="A2186" t="s">
        <v>10480</v>
      </c>
      <c r="B2186" t="s">
        <v>3649</v>
      </c>
      <c r="C2186" t="s">
        <v>6958</v>
      </c>
    </row>
    <row r="2187" spans="1:3" hidden="1" x14ac:dyDescent="0.25">
      <c r="A2187" t="s">
        <v>10481</v>
      </c>
      <c r="B2187" t="s">
        <v>3175</v>
      </c>
      <c r="C2187" t="s">
        <v>10482</v>
      </c>
    </row>
    <row r="2188" spans="1:3" hidden="1" x14ac:dyDescent="0.25">
      <c r="A2188" t="s">
        <v>10483</v>
      </c>
      <c r="B2188" t="s">
        <v>997</v>
      </c>
      <c r="C2188" t="s">
        <v>10484</v>
      </c>
    </row>
    <row r="2189" spans="1:3" hidden="1" x14ac:dyDescent="0.25">
      <c r="A2189" t="s">
        <v>10485</v>
      </c>
      <c r="B2189" t="s">
        <v>3715</v>
      </c>
      <c r="C2189" t="s">
        <v>10486</v>
      </c>
    </row>
    <row r="2190" spans="1:3" hidden="1" x14ac:dyDescent="0.25">
      <c r="A2190" t="s">
        <v>10487</v>
      </c>
      <c r="B2190" t="s">
        <v>2473</v>
      </c>
      <c r="C2190" t="s">
        <v>6958</v>
      </c>
    </row>
    <row r="2191" spans="1:3" hidden="1" x14ac:dyDescent="0.25">
      <c r="A2191" t="s">
        <v>10488</v>
      </c>
      <c r="B2191" t="s">
        <v>604</v>
      </c>
      <c r="C2191" t="s">
        <v>6958</v>
      </c>
    </row>
    <row r="2192" spans="1:3" hidden="1" x14ac:dyDescent="0.25">
      <c r="A2192" t="s">
        <v>10489</v>
      </c>
      <c r="B2192" t="s">
        <v>5210</v>
      </c>
      <c r="C2192" t="s">
        <v>10490</v>
      </c>
    </row>
    <row r="2193" spans="1:3" hidden="1" x14ac:dyDescent="0.25">
      <c r="A2193" t="s">
        <v>10491</v>
      </c>
      <c r="B2193" t="s">
        <v>1911</v>
      </c>
      <c r="C2193" t="s">
        <v>6958</v>
      </c>
    </row>
    <row r="2194" spans="1:3" hidden="1" x14ac:dyDescent="0.25">
      <c r="A2194" t="s">
        <v>10492</v>
      </c>
      <c r="B2194" t="s">
        <v>1664</v>
      </c>
      <c r="C2194" t="s">
        <v>6958</v>
      </c>
    </row>
    <row r="2195" spans="1:3" hidden="1" x14ac:dyDescent="0.25">
      <c r="A2195" t="s">
        <v>10493</v>
      </c>
      <c r="B2195" t="s">
        <v>1981</v>
      </c>
      <c r="C2195" t="s">
        <v>10494</v>
      </c>
    </row>
    <row r="2196" spans="1:3" hidden="1" x14ac:dyDescent="0.25">
      <c r="A2196" t="s">
        <v>10495</v>
      </c>
      <c r="B2196" t="s">
        <v>1184</v>
      </c>
      <c r="C2196" t="s">
        <v>10496</v>
      </c>
    </row>
    <row r="2197" spans="1:3" hidden="1" x14ac:dyDescent="0.25">
      <c r="A2197" t="s">
        <v>10497</v>
      </c>
      <c r="B2197" t="s">
        <v>625</v>
      </c>
      <c r="C2197" t="s">
        <v>6958</v>
      </c>
    </row>
    <row r="2198" spans="1:3" hidden="1" x14ac:dyDescent="0.25">
      <c r="A2198" t="s">
        <v>10498</v>
      </c>
      <c r="B2198" t="s">
        <v>5366</v>
      </c>
      <c r="C2198" t="s">
        <v>6958</v>
      </c>
    </row>
    <row r="2199" spans="1:3" hidden="1" x14ac:dyDescent="0.25">
      <c r="A2199" t="s">
        <v>10499</v>
      </c>
      <c r="B2199" t="s">
        <v>3993</v>
      </c>
      <c r="C2199" t="s">
        <v>10500</v>
      </c>
    </row>
    <row r="2200" spans="1:3" hidden="1" x14ac:dyDescent="0.25">
      <c r="A2200" t="s">
        <v>10501</v>
      </c>
      <c r="B2200" t="s">
        <v>3724</v>
      </c>
      <c r="C2200" t="s">
        <v>10502</v>
      </c>
    </row>
    <row r="2201" spans="1:3" hidden="1" x14ac:dyDescent="0.25">
      <c r="A2201" t="s">
        <v>10503</v>
      </c>
      <c r="B2201" t="s">
        <v>3518</v>
      </c>
      <c r="C2201" t="s">
        <v>10504</v>
      </c>
    </row>
    <row r="2202" spans="1:3" hidden="1" x14ac:dyDescent="0.25">
      <c r="A2202" t="s">
        <v>10505</v>
      </c>
      <c r="B2202" t="s">
        <v>2496</v>
      </c>
      <c r="C2202" t="s">
        <v>10506</v>
      </c>
    </row>
    <row r="2203" spans="1:3" hidden="1" x14ac:dyDescent="0.25">
      <c r="A2203" t="s">
        <v>10507</v>
      </c>
      <c r="B2203" t="s">
        <v>3736</v>
      </c>
      <c r="C2203" t="s">
        <v>6958</v>
      </c>
    </row>
    <row r="2204" spans="1:3" hidden="1" x14ac:dyDescent="0.25">
      <c r="A2204" t="s">
        <v>10508</v>
      </c>
      <c r="B2204" t="s">
        <v>3279</v>
      </c>
      <c r="C2204" t="s">
        <v>10509</v>
      </c>
    </row>
    <row r="2205" spans="1:3" hidden="1" x14ac:dyDescent="0.25">
      <c r="A2205" t="s">
        <v>10510</v>
      </c>
      <c r="B2205" t="s">
        <v>1767</v>
      </c>
      <c r="C2205" t="s">
        <v>10511</v>
      </c>
    </row>
    <row r="2206" spans="1:3" hidden="1" x14ac:dyDescent="0.25">
      <c r="A2206" t="s">
        <v>10512</v>
      </c>
      <c r="B2206" t="s">
        <v>5179</v>
      </c>
      <c r="C2206" t="s">
        <v>10513</v>
      </c>
    </row>
    <row r="2207" spans="1:3" hidden="1" x14ac:dyDescent="0.25">
      <c r="A2207" t="s">
        <v>10514</v>
      </c>
      <c r="B2207" t="s">
        <v>10515</v>
      </c>
      <c r="C2207" t="s">
        <v>10516</v>
      </c>
    </row>
    <row r="2208" spans="1:3" hidden="1" x14ac:dyDescent="0.25">
      <c r="A2208" t="s">
        <v>10517</v>
      </c>
      <c r="B2208" t="s">
        <v>3245</v>
      </c>
      <c r="C2208" t="s">
        <v>6958</v>
      </c>
    </row>
    <row r="2209" spans="1:3" hidden="1" x14ac:dyDescent="0.25">
      <c r="A2209" t="s">
        <v>10518</v>
      </c>
      <c r="B2209" t="s">
        <v>5409</v>
      </c>
      <c r="C2209" t="s">
        <v>10519</v>
      </c>
    </row>
    <row r="2210" spans="1:3" hidden="1" x14ac:dyDescent="0.25">
      <c r="A2210" t="s">
        <v>10520</v>
      </c>
      <c r="B2210" t="s">
        <v>5215</v>
      </c>
      <c r="C2210" t="s">
        <v>10521</v>
      </c>
    </row>
    <row r="2211" spans="1:3" hidden="1" x14ac:dyDescent="0.25">
      <c r="A2211" t="s">
        <v>10522</v>
      </c>
      <c r="B2211" t="s">
        <v>3399</v>
      </c>
      <c r="C2211" t="s">
        <v>10523</v>
      </c>
    </row>
    <row r="2212" spans="1:3" hidden="1" x14ac:dyDescent="0.25">
      <c r="A2212" t="s">
        <v>10524</v>
      </c>
      <c r="B2212" t="s">
        <v>589</v>
      </c>
      <c r="C2212" t="s">
        <v>6958</v>
      </c>
    </row>
    <row r="2213" spans="1:3" hidden="1" x14ac:dyDescent="0.25">
      <c r="A2213" t="s">
        <v>10525</v>
      </c>
      <c r="B2213" t="s">
        <v>2619</v>
      </c>
      <c r="C2213" t="s">
        <v>10526</v>
      </c>
    </row>
    <row r="2214" spans="1:3" hidden="1" x14ac:dyDescent="0.25">
      <c r="A2214" t="s">
        <v>10527</v>
      </c>
      <c r="B2214" t="s">
        <v>307</v>
      </c>
      <c r="C2214" t="s">
        <v>10528</v>
      </c>
    </row>
    <row r="2215" spans="1:3" hidden="1" x14ac:dyDescent="0.25">
      <c r="A2215" t="s">
        <v>10529</v>
      </c>
      <c r="B2215" t="s">
        <v>1299</v>
      </c>
      <c r="C2215" t="s">
        <v>10530</v>
      </c>
    </row>
    <row r="2216" spans="1:3" hidden="1" x14ac:dyDescent="0.25">
      <c r="A2216" t="s">
        <v>10531</v>
      </c>
      <c r="B2216" t="s">
        <v>345</v>
      </c>
      <c r="C2216" t="s">
        <v>10532</v>
      </c>
    </row>
    <row r="2217" spans="1:3" hidden="1" x14ac:dyDescent="0.25">
      <c r="A2217" t="s">
        <v>10533</v>
      </c>
      <c r="B2217" t="s">
        <v>1346</v>
      </c>
      <c r="C2217" t="s">
        <v>6958</v>
      </c>
    </row>
    <row r="2218" spans="1:3" hidden="1" x14ac:dyDescent="0.25">
      <c r="A2218" t="s">
        <v>10534</v>
      </c>
      <c r="B2218" t="s">
        <v>5165</v>
      </c>
      <c r="C2218" t="s">
        <v>10535</v>
      </c>
    </row>
    <row r="2219" spans="1:3" hidden="1" x14ac:dyDescent="0.25">
      <c r="A2219" t="s">
        <v>10536</v>
      </c>
      <c r="B2219" t="s">
        <v>2243</v>
      </c>
      <c r="C2219" t="s">
        <v>6958</v>
      </c>
    </row>
    <row r="2220" spans="1:3" hidden="1" x14ac:dyDescent="0.25">
      <c r="A2220" t="s">
        <v>10537</v>
      </c>
      <c r="B2220" t="s">
        <v>2207</v>
      </c>
      <c r="C2220" t="s">
        <v>10538</v>
      </c>
    </row>
    <row r="2221" spans="1:3" hidden="1" x14ac:dyDescent="0.25">
      <c r="A2221" t="s">
        <v>10539</v>
      </c>
      <c r="B2221" t="s">
        <v>10540</v>
      </c>
      <c r="C2221" t="s">
        <v>10541</v>
      </c>
    </row>
    <row r="2222" spans="1:3" hidden="1" x14ac:dyDescent="0.25">
      <c r="A2222" t="s">
        <v>10542</v>
      </c>
      <c r="B2222" t="s">
        <v>5157</v>
      </c>
      <c r="C2222" t="s">
        <v>10543</v>
      </c>
    </row>
    <row r="2223" spans="1:3" hidden="1" x14ac:dyDescent="0.25">
      <c r="A2223" t="s">
        <v>10544</v>
      </c>
      <c r="B2223" t="s">
        <v>2993</v>
      </c>
      <c r="C2223" t="s">
        <v>6958</v>
      </c>
    </row>
    <row r="2224" spans="1:3" hidden="1" x14ac:dyDescent="0.25">
      <c r="A2224" t="s">
        <v>10545</v>
      </c>
      <c r="B2224" t="s">
        <v>5085</v>
      </c>
      <c r="C2224" t="s">
        <v>10546</v>
      </c>
    </row>
    <row r="2225" spans="1:3" hidden="1" x14ac:dyDescent="0.25">
      <c r="A2225" t="s">
        <v>10547</v>
      </c>
      <c r="B2225" t="s">
        <v>3607</v>
      </c>
      <c r="C2225" t="s">
        <v>10548</v>
      </c>
    </row>
    <row r="2226" spans="1:3" hidden="1" x14ac:dyDescent="0.25">
      <c r="A2226" t="s">
        <v>10549</v>
      </c>
      <c r="B2226" t="s">
        <v>3063</v>
      </c>
      <c r="C2226" t="s">
        <v>10550</v>
      </c>
    </row>
    <row r="2227" spans="1:3" hidden="1" x14ac:dyDescent="0.25">
      <c r="A2227" t="s">
        <v>10551</v>
      </c>
      <c r="B2227" t="s">
        <v>4863</v>
      </c>
      <c r="C2227" t="s">
        <v>10552</v>
      </c>
    </row>
    <row r="2228" spans="1:3" hidden="1" x14ac:dyDescent="0.25">
      <c r="A2228" t="s">
        <v>10553</v>
      </c>
      <c r="B2228" t="s">
        <v>1701</v>
      </c>
      <c r="C2228" t="s">
        <v>10554</v>
      </c>
    </row>
    <row r="2229" spans="1:3" hidden="1" x14ac:dyDescent="0.25">
      <c r="A2229" t="s">
        <v>10555</v>
      </c>
      <c r="B2229" t="s">
        <v>777</v>
      </c>
      <c r="C2229" t="s">
        <v>10556</v>
      </c>
    </row>
    <row r="2230" spans="1:3" hidden="1" x14ac:dyDescent="0.25">
      <c r="A2230" t="s">
        <v>10557</v>
      </c>
      <c r="B2230" t="s">
        <v>3299</v>
      </c>
      <c r="C2230" t="s">
        <v>10558</v>
      </c>
    </row>
    <row r="2231" spans="1:3" hidden="1" x14ac:dyDescent="0.25">
      <c r="A2231" t="s">
        <v>10559</v>
      </c>
      <c r="B2231" t="s">
        <v>1957</v>
      </c>
      <c r="C2231" t="s">
        <v>10560</v>
      </c>
    </row>
    <row r="2232" spans="1:3" hidden="1" x14ac:dyDescent="0.25">
      <c r="A2232" t="s">
        <v>10561</v>
      </c>
      <c r="B2232" t="s">
        <v>2985</v>
      </c>
      <c r="C2232" t="s">
        <v>10562</v>
      </c>
    </row>
    <row r="2233" spans="1:3" hidden="1" x14ac:dyDescent="0.25">
      <c r="A2233" t="s">
        <v>10563</v>
      </c>
      <c r="B2233" t="s">
        <v>5544</v>
      </c>
      <c r="C2233" t="s">
        <v>10564</v>
      </c>
    </row>
    <row r="2234" spans="1:3" hidden="1" x14ac:dyDescent="0.25">
      <c r="A2234" t="s">
        <v>10565</v>
      </c>
      <c r="B2234" t="s">
        <v>1171</v>
      </c>
      <c r="C2234" t="s">
        <v>10566</v>
      </c>
    </row>
    <row r="2235" spans="1:3" hidden="1" x14ac:dyDescent="0.25">
      <c r="A2235" t="s">
        <v>10567</v>
      </c>
      <c r="B2235" t="s">
        <v>3747</v>
      </c>
      <c r="C2235" t="s">
        <v>6958</v>
      </c>
    </row>
    <row r="2236" spans="1:3" hidden="1" x14ac:dyDescent="0.25">
      <c r="A2236" t="s">
        <v>10568</v>
      </c>
      <c r="B2236" t="s">
        <v>2535</v>
      </c>
      <c r="C2236" t="s">
        <v>6958</v>
      </c>
    </row>
    <row r="2237" spans="1:3" hidden="1" x14ac:dyDescent="0.25">
      <c r="A2237" t="s">
        <v>10569</v>
      </c>
      <c r="B2237" t="s">
        <v>3449</v>
      </c>
      <c r="C2237" t="s">
        <v>10570</v>
      </c>
    </row>
    <row r="2238" spans="1:3" hidden="1" x14ac:dyDescent="0.25">
      <c r="A2238" t="s">
        <v>10571</v>
      </c>
      <c r="B2238" t="s">
        <v>2613</v>
      </c>
      <c r="C2238" t="s">
        <v>6958</v>
      </c>
    </row>
    <row r="2239" spans="1:3" hidden="1" x14ac:dyDescent="0.25">
      <c r="A2239" t="s">
        <v>10572</v>
      </c>
      <c r="B2239" t="s">
        <v>4315</v>
      </c>
      <c r="C2239" t="s">
        <v>6958</v>
      </c>
    </row>
    <row r="2240" spans="1:3" hidden="1" x14ac:dyDescent="0.25">
      <c r="A2240" t="s">
        <v>10573</v>
      </c>
      <c r="B2240" t="s">
        <v>2273</v>
      </c>
      <c r="C2240" t="s">
        <v>6958</v>
      </c>
    </row>
    <row r="2241" spans="1:3" hidden="1" x14ac:dyDescent="0.25">
      <c r="A2241" t="s">
        <v>10574</v>
      </c>
      <c r="B2241" t="s">
        <v>4760</v>
      </c>
      <c r="C2241" t="s">
        <v>6958</v>
      </c>
    </row>
    <row r="2242" spans="1:3" hidden="1" x14ac:dyDescent="0.25">
      <c r="A2242" t="s">
        <v>10575</v>
      </c>
      <c r="B2242" t="s">
        <v>5270</v>
      </c>
      <c r="C2242" t="s">
        <v>6958</v>
      </c>
    </row>
    <row r="2243" spans="1:3" hidden="1" x14ac:dyDescent="0.25">
      <c r="A2243" t="s">
        <v>10576</v>
      </c>
      <c r="B2243" t="s">
        <v>3540</v>
      </c>
      <c r="C2243" t="s">
        <v>6958</v>
      </c>
    </row>
    <row r="2244" spans="1:3" hidden="1" x14ac:dyDescent="0.25">
      <c r="A2244" t="s">
        <v>10577</v>
      </c>
      <c r="B2244" t="s">
        <v>2760</v>
      </c>
      <c r="C2244" t="s">
        <v>6958</v>
      </c>
    </row>
    <row r="2245" spans="1:3" hidden="1" x14ac:dyDescent="0.25">
      <c r="A2245" t="s">
        <v>10578</v>
      </c>
      <c r="B2245" t="s">
        <v>1760</v>
      </c>
      <c r="C2245" t="s">
        <v>10579</v>
      </c>
    </row>
    <row r="2246" spans="1:3" hidden="1" x14ac:dyDescent="0.25">
      <c r="A2246" t="s">
        <v>10580</v>
      </c>
      <c r="B2246" t="s">
        <v>5420</v>
      </c>
      <c r="C2246" t="s">
        <v>10581</v>
      </c>
    </row>
    <row r="2247" spans="1:3" hidden="1" x14ac:dyDescent="0.25">
      <c r="A2247" t="s">
        <v>10582</v>
      </c>
      <c r="B2247" t="s">
        <v>3140</v>
      </c>
      <c r="C2247" t="s">
        <v>10583</v>
      </c>
    </row>
    <row r="2248" spans="1:3" hidden="1" x14ac:dyDescent="0.25">
      <c r="A2248" t="s">
        <v>10584</v>
      </c>
      <c r="B2248" t="s">
        <v>384</v>
      </c>
      <c r="C2248" t="s">
        <v>10585</v>
      </c>
    </row>
    <row r="2249" spans="1:3" hidden="1" x14ac:dyDescent="0.25">
      <c r="A2249" t="s">
        <v>10586</v>
      </c>
      <c r="B2249" t="s">
        <v>1913</v>
      </c>
      <c r="C2249" t="s">
        <v>6958</v>
      </c>
    </row>
    <row r="2250" spans="1:3" hidden="1" x14ac:dyDescent="0.25">
      <c r="A2250" t="s">
        <v>10587</v>
      </c>
      <c r="B2250" t="s">
        <v>92</v>
      </c>
      <c r="C2250" t="s">
        <v>10588</v>
      </c>
    </row>
    <row r="2251" spans="1:3" hidden="1" x14ac:dyDescent="0.25">
      <c r="A2251" t="s">
        <v>10589</v>
      </c>
      <c r="B2251" t="s">
        <v>4748</v>
      </c>
      <c r="C2251" t="s">
        <v>10590</v>
      </c>
    </row>
    <row r="2252" spans="1:3" hidden="1" x14ac:dyDescent="0.25">
      <c r="A2252" t="s">
        <v>10591</v>
      </c>
      <c r="B2252" t="s">
        <v>4971</v>
      </c>
      <c r="C2252" t="s">
        <v>6958</v>
      </c>
    </row>
    <row r="2253" spans="1:3" hidden="1" x14ac:dyDescent="0.25">
      <c r="A2253" t="s">
        <v>10592</v>
      </c>
      <c r="B2253" t="s">
        <v>935</v>
      </c>
      <c r="C2253" t="s">
        <v>10593</v>
      </c>
    </row>
    <row r="2254" spans="1:3" hidden="1" x14ac:dyDescent="0.25">
      <c r="A2254" t="s">
        <v>10594</v>
      </c>
      <c r="B2254" t="s">
        <v>3382</v>
      </c>
      <c r="C2254" t="s">
        <v>10595</v>
      </c>
    </row>
    <row r="2255" spans="1:3" hidden="1" x14ac:dyDescent="0.25">
      <c r="A2255" t="s">
        <v>10596</v>
      </c>
      <c r="B2255" t="s">
        <v>2644</v>
      </c>
      <c r="C2255" t="s">
        <v>10597</v>
      </c>
    </row>
    <row r="2256" spans="1:3" hidden="1" x14ac:dyDescent="0.25">
      <c r="A2256" t="s">
        <v>10598</v>
      </c>
      <c r="B2256" t="s">
        <v>3268</v>
      </c>
      <c r="C2256" t="s">
        <v>10599</v>
      </c>
    </row>
    <row r="2257" spans="1:3" hidden="1" x14ac:dyDescent="0.25">
      <c r="A2257" t="s">
        <v>10600</v>
      </c>
      <c r="B2257" t="s">
        <v>4393</v>
      </c>
      <c r="C2257" t="s">
        <v>10601</v>
      </c>
    </row>
    <row r="2258" spans="1:3" hidden="1" x14ac:dyDescent="0.25">
      <c r="A2258" t="s">
        <v>10602</v>
      </c>
      <c r="B2258" t="s">
        <v>393</v>
      </c>
      <c r="C2258" t="s">
        <v>6958</v>
      </c>
    </row>
    <row r="2259" spans="1:3" hidden="1" x14ac:dyDescent="0.25">
      <c r="A2259" t="s">
        <v>10603</v>
      </c>
      <c r="B2259" t="s">
        <v>2909</v>
      </c>
      <c r="C2259" t="s">
        <v>6958</v>
      </c>
    </row>
    <row r="2260" spans="1:3" hidden="1" x14ac:dyDescent="0.25">
      <c r="A2260" t="s">
        <v>10604</v>
      </c>
      <c r="B2260" t="s">
        <v>853</v>
      </c>
      <c r="C2260" t="s">
        <v>10605</v>
      </c>
    </row>
    <row r="2261" spans="1:3" hidden="1" x14ac:dyDescent="0.25">
      <c r="A2261" t="s">
        <v>10606</v>
      </c>
      <c r="B2261" t="s">
        <v>381</v>
      </c>
      <c r="C2261" t="s">
        <v>10607</v>
      </c>
    </row>
    <row r="2262" spans="1:3" hidden="1" x14ac:dyDescent="0.25">
      <c r="A2262" t="s">
        <v>10608</v>
      </c>
      <c r="B2262" t="s">
        <v>4150</v>
      </c>
      <c r="C2262" t="s">
        <v>10609</v>
      </c>
    </row>
    <row r="2263" spans="1:3" hidden="1" x14ac:dyDescent="0.25">
      <c r="A2263" t="s">
        <v>10610</v>
      </c>
      <c r="B2263" t="s">
        <v>2022</v>
      </c>
      <c r="C2263" t="s">
        <v>10611</v>
      </c>
    </row>
    <row r="2264" spans="1:3" hidden="1" x14ac:dyDescent="0.25">
      <c r="A2264" t="s">
        <v>10612</v>
      </c>
      <c r="B2264" t="s">
        <v>2121</v>
      </c>
      <c r="C2264" t="s">
        <v>10613</v>
      </c>
    </row>
    <row r="2265" spans="1:3" hidden="1" x14ac:dyDescent="0.25">
      <c r="A2265" t="s">
        <v>10614</v>
      </c>
      <c r="B2265" t="s">
        <v>165</v>
      </c>
      <c r="C2265" t="s">
        <v>10615</v>
      </c>
    </row>
    <row r="2266" spans="1:3" hidden="1" x14ac:dyDescent="0.25">
      <c r="A2266" t="s">
        <v>10616</v>
      </c>
      <c r="B2266" t="s">
        <v>1522</v>
      </c>
      <c r="C2266" t="s">
        <v>10617</v>
      </c>
    </row>
    <row r="2267" spans="1:3" hidden="1" x14ac:dyDescent="0.25">
      <c r="A2267" t="s">
        <v>10618</v>
      </c>
      <c r="B2267" t="s">
        <v>1774</v>
      </c>
      <c r="C2267" t="s">
        <v>10619</v>
      </c>
    </row>
    <row r="2268" spans="1:3" hidden="1" x14ac:dyDescent="0.25">
      <c r="A2268" t="s">
        <v>10620</v>
      </c>
      <c r="B2268" t="s">
        <v>2697</v>
      </c>
      <c r="C2268" t="s">
        <v>10621</v>
      </c>
    </row>
    <row r="2269" spans="1:3" hidden="1" x14ac:dyDescent="0.25">
      <c r="A2269" t="s">
        <v>10622</v>
      </c>
      <c r="B2269" t="s">
        <v>99</v>
      </c>
      <c r="C2269" t="s">
        <v>10623</v>
      </c>
    </row>
    <row r="2270" spans="1:3" hidden="1" x14ac:dyDescent="0.25">
      <c r="A2270" t="s">
        <v>10624</v>
      </c>
      <c r="B2270" t="s">
        <v>234</v>
      </c>
      <c r="C2270" t="s">
        <v>10625</v>
      </c>
    </row>
    <row r="2271" spans="1:3" hidden="1" x14ac:dyDescent="0.25">
      <c r="A2271" t="s">
        <v>10626</v>
      </c>
      <c r="B2271" t="s">
        <v>3105</v>
      </c>
      <c r="C2271" t="s">
        <v>10627</v>
      </c>
    </row>
    <row r="2272" spans="1:3" hidden="1" x14ac:dyDescent="0.25">
      <c r="A2272" t="s">
        <v>10628</v>
      </c>
      <c r="B2272" t="s">
        <v>4782</v>
      </c>
      <c r="C2272" t="s">
        <v>10629</v>
      </c>
    </row>
    <row r="2273" spans="1:3" hidden="1" x14ac:dyDescent="0.25">
      <c r="A2273" t="s">
        <v>10630</v>
      </c>
      <c r="B2273" t="s">
        <v>1892</v>
      </c>
      <c r="C2273" t="s">
        <v>10631</v>
      </c>
    </row>
    <row r="2274" spans="1:3" hidden="1" x14ac:dyDescent="0.25">
      <c r="A2274" t="s">
        <v>10632</v>
      </c>
      <c r="B2274" t="s">
        <v>4954</v>
      </c>
      <c r="C2274" t="s">
        <v>10633</v>
      </c>
    </row>
    <row r="2275" spans="1:3" hidden="1" x14ac:dyDescent="0.25">
      <c r="A2275" t="s">
        <v>10634</v>
      </c>
      <c r="B2275" t="s">
        <v>5381</v>
      </c>
      <c r="C2275" t="s">
        <v>10635</v>
      </c>
    </row>
    <row r="2276" spans="1:3" hidden="1" x14ac:dyDescent="0.25">
      <c r="A2276" t="s">
        <v>10636</v>
      </c>
      <c r="B2276" t="s">
        <v>5446</v>
      </c>
      <c r="C2276" t="s">
        <v>10637</v>
      </c>
    </row>
    <row r="2277" spans="1:3" hidden="1" x14ac:dyDescent="0.25">
      <c r="A2277" t="s">
        <v>10638</v>
      </c>
      <c r="B2277" t="s">
        <v>2339</v>
      </c>
      <c r="C2277" t="s">
        <v>10639</v>
      </c>
    </row>
    <row r="2278" spans="1:3" hidden="1" x14ac:dyDescent="0.25">
      <c r="A2278" t="s">
        <v>10640</v>
      </c>
      <c r="B2278" t="s">
        <v>1934</v>
      </c>
      <c r="C2278" t="s">
        <v>6958</v>
      </c>
    </row>
    <row r="2279" spans="1:3" hidden="1" x14ac:dyDescent="0.25">
      <c r="A2279" t="s">
        <v>10641</v>
      </c>
      <c r="B2279" t="s">
        <v>2526</v>
      </c>
      <c r="C2279" t="s">
        <v>6958</v>
      </c>
    </row>
    <row r="2280" spans="1:3" hidden="1" x14ac:dyDescent="0.25">
      <c r="A2280" t="s">
        <v>10642</v>
      </c>
      <c r="B2280" t="s">
        <v>3116</v>
      </c>
      <c r="C2280" t="s">
        <v>10643</v>
      </c>
    </row>
    <row r="2281" spans="1:3" hidden="1" x14ac:dyDescent="0.25">
      <c r="A2281" t="s">
        <v>10644</v>
      </c>
      <c r="B2281" t="s">
        <v>3072</v>
      </c>
      <c r="C2281" t="s">
        <v>10645</v>
      </c>
    </row>
    <row r="2282" spans="1:3" hidden="1" x14ac:dyDescent="0.25">
      <c r="A2282" t="s">
        <v>10646</v>
      </c>
      <c r="B2282" t="s">
        <v>903</v>
      </c>
      <c r="C2282" t="s">
        <v>6958</v>
      </c>
    </row>
    <row r="2283" spans="1:3" hidden="1" x14ac:dyDescent="0.25">
      <c r="A2283" t="s">
        <v>10647</v>
      </c>
      <c r="B2283" t="s">
        <v>3045</v>
      </c>
      <c r="C2283" t="s">
        <v>6958</v>
      </c>
    </row>
    <row r="2284" spans="1:3" hidden="1" x14ac:dyDescent="0.25">
      <c r="A2284" t="s">
        <v>10648</v>
      </c>
      <c r="B2284" t="s">
        <v>1127</v>
      </c>
      <c r="C2284" t="s">
        <v>10649</v>
      </c>
    </row>
    <row r="2285" spans="1:3" hidden="1" x14ac:dyDescent="0.25">
      <c r="A2285" t="s">
        <v>10650</v>
      </c>
      <c r="B2285" t="s">
        <v>2128</v>
      </c>
      <c r="C2285" t="s">
        <v>10651</v>
      </c>
    </row>
    <row r="2286" spans="1:3" hidden="1" x14ac:dyDescent="0.25">
      <c r="A2286" t="s">
        <v>10652</v>
      </c>
      <c r="B2286" t="s">
        <v>4353</v>
      </c>
      <c r="C2286" t="s">
        <v>6958</v>
      </c>
    </row>
    <row r="2287" spans="1:3" hidden="1" x14ac:dyDescent="0.25">
      <c r="A2287" t="s">
        <v>10653</v>
      </c>
      <c r="B2287" t="s">
        <v>1188</v>
      </c>
      <c r="C2287" t="s">
        <v>10654</v>
      </c>
    </row>
    <row r="2288" spans="1:3" hidden="1" x14ac:dyDescent="0.25">
      <c r="A2288" t="s">
        <v>10655</v>
      </c>
      <c r="B2288" t="s">
        <v>1747</v>
      </c>
      <c r="C2288" t="s">
        <v>6958</v>
      </c>
    </row>
    <row r="2289" spans="1:3" hidden="1" x14ac:dyDescent="0.25">
      <c r="A2289" t="s">
        <v>10656</v>
      </c>
      <c r="B2289" t="s">
        <v>984</v>
      </c>
      <c r="C2289" t="s">
        <v>6958</v>
      </c>
    </row>
    <row r="2290" spans="1:3" hidden="1" x14ac:dyDescent="0.25">
      <c r="A2290" t="s">
        <v>10657</v>
      </c>
      <c r="B2290" t="s">
        <v>2238</v>
      </c>
      <c r="C2290" t="s">
        <v>6958</v>
      </c>
    </row>
    <row r="2291" spans="1:3" hidden="1" x14ac:dyDescent="0.25">
      <c r="A2291" t="s">
        <v>10658</v>
      </c>
      <c r="B2291" t="s">
        <v>5602</v>
      </c>
      <c r="C2291" t="s">
        <v>6958</v>
      </c>
    </row>
    <row r="2292" spans="1:3" hidden="1" x14ac:dyDescent="0.25">
      <c r="A2292" t="s">
        <v>10659</v>
      </c>
      <c r="B2292" t="s">
        <v>1087</v>
      </c>
      <c r="C2292" t="s">
        <v>10660</v>
      </c>
    </row>
    <row r="2293" spans="1:3" hidden="1" x14ac:dyDescent="0.25">
      <c r="A2293" t="s">
        <v>10661</v>
      </c>
      <c r="B2293" t="s">
        <v>4496</v>
      </c>
      <c r="C2293" t="s">
        <v>10662</v>
      </c>
    </row>
    <row r="2294" spans="1:3" hidden="1" x14ac:dyDescent="0.25">
      <c r="A2294" t="s">
        <v>10663</v>
      </c>
      <c r="B2294" t="s">
        <v>1092</v>
      </c>
      <c r="C2294" t="s">
        <v>6958</v>
      </c>
    </row>
    <row r="2295" spans="1:3" hidden="1" x14ac:dyDescent="0.25">
      <c r="A2295" t="s">
        <v>10664</v>
      </c>
      <c r="B2295" t="s">
        <v>2028</v>
      </c>
      <c r="C2295" t="s">
        <v>10665</v>
      </c>
    </row>
    <row r="2296" spans="1:3" hidden="1" x14ac:dyDescent="0.25">
      <c r="A2296" t="s">
        <v>10666</v>
      </c>
      <c r="B2296" t="s">
        <v>1520</v>
      </c>
      <c r="C2296" t="s">
        <v>10667</v>
      </c>
    </row>
    <row r="2297" spans="1:3" hidden="1" x14ac:dyDescent="0.25">
      <c r="A2297" t="s">
        <v>10668</v>
      </c>
      <c r="B2297" t="s">
        <v>2165</v>
      </c>
      <c r="C2297" t="s">
        <v>10669</v>
      </c>
    </row>
    <row r="2298" spans="1:3" hidden="1" x14ac:dyDescent="0.25">
      <c r="A2298" t="s">
        <v>10670</v>
      </c>
      <c r="B2298" t="s">
        <v>2249</v>
      </c>
      <c r="C2298" t="s">
        <v>10671</v>
      </c>
    </row>
    <row r="2299" spans="1:3" hidden="1" x14ac:dyDescent="0.25">
      <c r="A2299" t="s">
        <v>10672</v>
      </c>
      <c r="B2299" t="s">
        <v>5586</v>
      </c>
      <c r="C2299" t="s">
        <v>10673</v>
      </c>
    </row>
    <row r="2300" spans="1:3" hidden="1" x14ac:dyDescent="0.25">
      <c r="A2300" t="s">
        <v>10674</v>
      </c>
      <c r="B2300" t="s">
        <v>2332</v>
      </c>
      <c r="C2300" t="s">
        <v>10675</v>
      </c>
    </row>
    <row r="2301" spans="1:3" hidden="1" x14ac:dyDescent="0.25">
      <c r="A2301" t="s">
        <v>10676</v>
      </c>
      <c r="B2301" t="s">
        <v>2742</v>
      </c>
      <c r="C2301" t="s">
        <v>10677</v>
      </c>
    </row>
    <row r="2302" spans="1:3" hidden="1" x14ac:dyDescent="0.25">
      <c r="A2302" t="s">
        <v>10678</v>
      </c>
      <c r="B2302" t="s">
        <v>3327</v>
      </c>
      <c r="C2302" t="s">
        <v>10679</v>
      </c>
    </row>
    <row r="2303" spans="1:3" hidden="1" x14ac:dyDescent="0.25">
      <c r="A2303" t="s">
        <v>10680</v>
      </c>
      <c r="B2303" t="s">
        <v>1333</v>
      </c>
      <c r="C2303" t="s">
        <v>10681</v>
      </c>
    </row>
    <row r="2304" spans="1:3" hidden="1" x14ac:dyDescent="0.25">
      <c r="A2304" t="s">
        <v>10682</v>
      </c>
      <c r="B2304" t="s">
        <v>3476</v>
      </c>
      <c r="C2304" t="s">
        <v>10683</v>
      </c>
    </row>
    <row r="2305" spans="1:3" hidden="1" x14ac:dyDescent="0.25">
      <c r="A2305" t="s">
        <v>10684</v>
      </c>
      <c r="B2305" t="s">
        <v>2849</v>
      </c>
      <c r="C2305" t="s">
        <v>6958</v>
      </c>
    </row>
    <row r="2306" spans="1:3" hidden="1" x14ac:dyDescent="0.25">
      <c r="A2306" t="s">
        <v>10685</v>
      </c>
      <c r="B2306" t="s">
        <v>5073</v>
      </c>
      <c r="C2306" t="s">
        <v>10686</v>
      </c>
    </row>
    <row r="2307" spans="1:3" hidden="1" x14ac:dyDescent="0.25">
      <c r="A2307" t="s">
        <v>10687</v>
      </c>
      <c r="B2307" t="s">
        <v>944</v>
      </c>
      <c r="C2307" t="s">
        <v>6958</v>
      </c>
    </row>
    <row r="2308" spans="1:3" hidden="1" x14ac:dyDescent="0.25">
      <c r="A2308" t="s">
        <v>10688</v>
      </c>
      <c r="B2308" t="s">
        <v>3955</v>
      </c>
      <c r="C2308" t="s">
        <v>10689</v>
      </c>
    </row>
    <row r="2309" spans="1:3" hidden="1" x14ac:dyDescent="0.25">
      <c r="A2309" t="s">
        <v>10690</v>
      </c>
      <c r="B2309" t="s">
        <v>7</v>
      </c>
      <c r="C2309" t="s">
        <v>10691</v>
      </c>
    </row>
    <row r="2310" spans="1:3" hidden="1" x14ac:dyDescent="0.25">
      <c r="A2310" t="s">
        <v>10692</v>
      </c>
      <c r="B2310" t="s">
        <v>3380</v>
      </c>
      <c r="C2310" t="s">
        <v>10693</v>
      </c>
    </row>
    <row r="2311" spans="1:3" hidden="1" x14ac:dyDescent="0.25">
      <c r="A2311" t="s">
        <v>10694</v>
      </c>
      <c r="B2311" t="s">
        <v>4882</v>
      </c>
      <c r="C2311" t="s">
        <v>6958</v>
      </c>
    </row>
    <row r="2312" spans="1:3" hidden="1" x14ac:dyDescent="0.25">
      <c r="A2312" t="s">
        <v>10695</v>
      </c>
      <c r="B2312" t="s">
        <v>1335</v>
      </c>
      <c r="C2312" t="s">
        <v>10696</v>
      </c>
    </row>
    <row r="2313" spans="1:3" hidden="1" x14ac:dyDescent="0.25">
      <c r="A2313" t="s">
        <v>10697</v>
      </c>
      <c r="B2313" t="s">
        <v>3416</v>
      </c>
      <c r="C2313" t="s">
        <v>6958</v>
      </c>
    </row>
    <row r="2314" spans="1:3" hidden="1" x14ac:dyDescent="0.25">
      <c r="A2314" t="s">
        <v>10698</v>
      </c>
      <c r="B2314" t="s">
        <v>2085</v>
      </c>
      <c r="C2314" t="s">
        <v>6958</v>
      </c>
    </row>
    <row r="2315" spans="1:3" hidden="1" x14ac:dyDescent="0.25">
      <c r="A2315" t="s">
        <v>10699</v>
      </c>
      <c r="B2315" t="s">
        <v>1058</v>
      </c>
      <c r="C2315" t="s">
        <v>6958</v>
      </c>
    </row>
    <row r="2316" spans="1:3" hidden="1" x14ac:dyDescent="0.25">
      <c r="A2316" t="s">
        <v>10700</v>
      </c>
      <c r="B2316" t="s">
        <v>352</v>
      </c>
      <c r="C2316" t="s">
        <v>10701</v>
      </c>
    </row>
    <row r="2317" spans="1:3" hidden="1" x14ac:dyDescent="0.25">
      <c r="A2317" t="s">
        <v>10702</v>
      </c>
      <c r="B2317" t="s">
        <v>3330</v>
      </c>
      <c r="C2317" t="s">
        <v>6958</v>
      </c>
    </row>
    <row r="2318" spans="1:3" hidden="1" x14ac:dyDescent="0.25">
      <c r="A2318" t="s">
        <v>10703</v>
      </c>
      <c r="B2318" t="s">
        <v>5436</v>
      </c>
      <c r="C2318" t="s">
        <v>10704</v>
      </c>
    </row>
    <row r="2319" spans="1:3" hidden="1" x14ac:dyDescent="0.25">
      <c r="A2319" t="s">
        <v>10705</v>
      </c>
      <c r="B2319" t="s">
        <v>498</v>
      </c>
      <c r="C2319" t="s">
        <v>10706</v>
      </c>
    </row>
    <row r="2320" spans="1:3" hidden="1" x14ac:dyDescent="0.25">
      <c r="A2320" t="s">
        <v>10707</v>
      </c>
      <c r="B2320" t="s">
        <v>3470</v>
      </c>
      <c r="C2320" t="s">
        <v>10708</v>
      </c>
    </row>
    <row r="2321" spans="1:3" hidden="1" x14ac:dyDescent="0.25">
      <c r="A2321" t="s">
        <v>10709</v>
      </c>
      <c r="B2321" t="s">
        <v>2250</v>
      </c>
      <c r="C2321" t="s">
        <v>10710</v>
      </c>
    </row>
    <row r="2322" spans="1:3" hidden="1" x14ac:dyDescent="0.25">
      <c r="A2322" t="s">
        <v>10711</v>
      </c>
      <c r="B2322" t="s">
        <v>1973</v>
      </c>
      <c r="C2322" t="s">
        <v>6958</v>
      </c>
    </row>
    <row r="2323" spans="1:3" hidden="1" x14ac:dyDescent="0.25">
      <c r="A2323" t="s">
        <v>10712</v>
      </c>
      <c r="B2323" t="s">
        <v>2392</v>
      </c>
      <c r="C2323" t="s">
        <v>10713</v>
      </c>
    </row>
    <row r="2324" spans="1:3" hidden="1" x14ac:dyDescent="0.25">
      <c r="A2324" t="s">
        <v>10714</v>
      </c>
      <c r="B2324" t="s">
        <v>5192</v>
      </c>
      <c r="C2324" t="s">
        <v>10715</v>
      </c>
    </row>
    <row r="2325" spans="1:3" hidden="1" x14ac:dyDescent="0.25">
      <c r="A2325" t="s">
        <v>10716</v>
      </c>
      <c r="B2325" t="s">
        <v>5454</v>
      </c>
      <c r="C2325" t="s">
        <v>10717</v>
      </c>
    </row>
    <row r="2326" spans="1:3" hidden="1" x14ac:dyDescent="0.25">
      <c r="A2326" t="s">
        <v>10718</v>
      </c>
      <c r="B2326" t="s">
        <v>2155</v>
      </c>
      <c r="C2326" t="s">
        <v>10719</v>
      </c>
    </row>
    <row r="2327" spans="1:3" hidden="1" x14ac:dyDescent="0.25">
      <c r="A2327" t="s">
        <v>10720</v>
      </c>
      <c r="B2327" t="s">
        <v>2100</v>
      </c>
      <c r="C2327" t="s">
        <v>10721</v>
      </c>
    </row>
    <row r="2328" spans="1:3" hidden="1" x14ac:dyDescent="0.25">
      <c r="A2328" t="s">
        <v>10722</v>
      </c>
      <c r="B2328" t="s">
        <v>1367</v>
      </c>
      <c r="C2328" t="s">
        <v>6958</v>
      </c>
    </row>
    <row r="2329" spans="1:3" hidden="1" x14ac:dyDescent="0.25">
      <c r="A2329" t="s">
        <v>10723</v>
      </c>
      <c r="B2329" t="s">
        <v>3137</v>
      </c>
      <c r="C2329" t="s">
        <v>6958</v>
      </c>
    </row>
    <row r="2330" spans="1:3" hidden="1" x14ac:dyDescent="0.25">
      <c r="A2330" t="s">
        <v>10724</v>
      </c>
      <c r="B2330" t="s">
        <v>1707</v>
      </c>
      <c r="C2330" t="s">
        <v>10725</v>
      </c>
    </row>
    <row r="2331" spans="1:3" hidden="1" x14ac:dyDescent="0.25">
      <c r="A2331" t="s">
        <v>10726</v>
      </c>
      <c r="B2331" t="s">
        <v>323</v>
      </c>
      <c r="C2331" t="s">
        <v>10727</v>
      </c>
    </row>
    <row r="2332" spans="1:3" hidden="1" x14ac:dyDescent="0.25">
      <c r="A2332" t="s">
        <v>10728</v>
      </c>
      <c r="B2332" t="s">
        <v>3506</v>
      </c>
      <c r="C2332" t="s">
        <v>10729</v>
      </c>
    </row>
    <row r="2333" spans="1:3" hidden="1" x14ac:dyDescent="0.25">
      <c r="A2333" t="s">
        <v>10730</v>
      </c>
      <c r="B2333" t="s">
        <v>4661</v>
      </c>
      <c r="C2333" t="s">
        <v>6958</v>
      </c>
    </row>
    <row r="2334" spans="1:3" hidden="1" x14ac:dyDescent="0.25">
      <c r="A2334" t="s">
        <v>10731</v>
      </c>
      <c r="B2334" t="s">
        <v>4770</v>
      </c>
      <c r="C2334" t="s">
        <v>10732</v>
      </c>
    </row>
    <row r="2335" spans="1:3" hidden="1" x14ac:dyDescent="0.25">
      <c r="A2335" t="s">
        <v>10733</v>
      </c>
      <c r="B2335" t="s">
        <v>2894</v>
      </c>
      <c r="C2335" t="s">
        <v>10734</v>
      </c>
    </row>
    <row r="2336" spans="1:3" hidden="1" x14ac:dyDescent="0.25">
      <c r="A2336" t="s">
        <v>10735</v>
      </c>
      <c r="B2336" t="s">
        <v>4604</v>
      </c>
      <c r="C2336" t="s">
        <v>6958</v>
      </c>
    </row>
    <row r="2337" spans="1:3" hidden="1" x14ac:dyDescent="0.25">
      <c r="A2337" t="s">
        <v>10736</v>
      </c>
      <c r="B2337" t="s">
        <v>4466</v>
      </c>
      <c r="C2337" t="s">
        <v>10737</v>
      </c>
    </row>
    <row r="2338" spans="1:3" hidden="1" x14ac:dyDescent="0.25">
      <c r="A2338" t="s">
        <v>10738</v>
      </c>
      <c r="B2338" t="s">
        <v>3883</v>
      </c>
      <c r="C2338" t="s">
        <v>6958</v>
      </c>
    </row>
    <row r="2339" spans="1:3" hidden="1" x14ac:dyDescent="0.25">
      <c r="A2339" t="s">
        <v>10739</v>
      </c>
      <c r="B2339" t="s">
        <v>983</v>
      </c>
      <c r="C2339" t="s">
        <v>10740</v>
      </c>
    </row>
    <row r="2340" spans="1:3" hidden="1" x14ac:dyDescent="0.25">
      <c r="A2340" t="s">
        <v>10741</v>
      </c>
      <c r="B2340" t="s">
        <v>3790</v>
      </c>
      <c r="C2340" t="s">
        <v>10742</v>
      </c>
    </row>
    <row r="2341" spans="1:3" hidden="1" x14ac:dyDescent="0.25">
      <c r="A2341" t="s">
        <v>10743</v>
      </c>
      <c r="B2341" t="s">
        <v>4802</v>
      </c>
      <c r="C2341" t="s">
        <v>10744</v>
      </c>
    </row>
    <row r="2342" spans="1:3" hidden="1" x14ac:dyDescent="0.25">
      <c r="A2342" t="s">
        <v>10745</v>
      </c>
      <c r="B2342" t="s">
        <v>5677</v>
      </c>
      <c r="C2342" t="s">
        <v>6958</v>
      </c>
    </row>
    <row r="2343" spans="1:3" hidden="1" x14ac:dyDescent="0.25">
      <c r="A2343" t="s">
        <v>10746</v>
      </c>
      <c r="B2343" t="s">
        <v>10747</v>
      </c>
      <c r="C2343" t="s">
        <v>10748</v>
      </c>
    </row>
    <row r="2344" spans="1:3" hidden="1" x14ac:dyDescent="0.25">
      <c r="A2344" t="s">
        <v>10749</v>
      </c>
      <c r="B2344" t="s">
        <v>3147</v>
      </c>
      <c r="C2344" t="s">
        <v>10750</v>
      </c>
    </row>
    <row r="2345" spans="1:3" hidden="1" x14ac:dyDescent="0.25">
      <c r="A2345" t="s">
        <v>10751</v>
      </c>
      <c r="B2345" t="s">
        <v>11</v>
      </c>
      <c r="C2345" t="s">
        <v>10752</v>
      </c>
    </row>
    <row r="2346" spans="1:3" hidden="1" x14ac:dyDescent="0.25">
      <c r="A2346" t="s">
        <v>10753</v>
      </c>
      <c r="B2346" t="s">
        <v>4280</v>
      </c>
      <c r="C2346" t="s">
        <v>10754</v>
      </c>
    </row>
    <row r="2347" spans="1:3" hidden="1" x14ac:dyDescent="0.25">
      <c r="A2347" t="s">
        <v>10755</v>
      </c>
      <c r="B2347" t="s">
        <v>4136</v>
      </c>
      <c r="C2347" t="s">
        <v>6958</v>
      </c>
    </row>
    <row r="2348" spans="1:3" hidden="1" x14ac:dyDescent="0.25">
      <c r="A2348" t="s">
        <v>10756</v>
      </c>
      <c r="B2348" t="s">
        <v>2029</v>
      </c>
      <c r="C2348" t="s">
        <v>10757</v>
      </c>
    </row>
    <row r="2349" spans="1:3" hidden="1" x14ac:dyDescent="0.25">
      <c r="A2349" t="s">
        <v>10758</v>
      </c>
      <c r="B2349" t="s">
        <v>4249</v>
      </c>
      <c r="C2349" t="s">
        <v>6958</v>
      </c>
    </row>
    <row r="2350" spans="1:3" hidden="1" x14ac:dyDescent="0.25">
      <c r="A2350" t="s">
        <v>10759</v>
      </c>
      <c r="B2350" t="s">
        <v>3907</v>
      </c>
      <c r="C2350" t="s">
        <v>10760</v>
      </c>
    </row>
    <row r="2351" spans="1:3" hidden="1" x14ac:dyDescent="0.25">
      <c r="A2351" t="s">
        <v>10761</v>
      </c>
      <c r="B2351" t="s">
        <v>10762</v>
      </c>
      <c r="C2351" t="s">
        <v>6958</v>
      </c>
    </row>
    <row r="2352" spans="1:3" hidden="1" x14ac:dyDescent="0.25">
      <c r="A2352" t="s">
        <v>10763</v>
      </c>
      <c r="B2352" t="s">
        <v>2265</v>
      </c>
      <c r="C2352" t="s">
        <v>10764</v>
      </c>
    </row>
    <row r="2353" spans="1:3" hidden="1" x14ac:dyDescent="0.25">
      <c r="A2353" t="s">
        <v>10765</v>
      </c>
      <c r="B2353" t="s">
        <v>1682</v>
      </c>
      <c r="C2353" t="s">
        <v>6958</v>
      </c>
    </row>
    <row r="2354" spans="1:3" hidden="1" x14ac:dyDescent="0.25">
      <c r="A2354" t="s">
        <v>10766</v>
      </c>
      <c r="B2354" t="s">
        <v>3202</v>
      </c>
      <c r="C2354" t="s">
        <v>10767</v>
      </c>
    </row>
    <row r="2355" spans="1:3" hidden="1" x14ac:dyDescent="0.25">
      <c r="A2355" t="s">
        <v>10768</v>
      </c>
      <c r="B2355" t="s">
        <v>4537</v>
      </c>
      <c r="C2355" t="s">
        <v>10769</v>
      </c>
    </row>
    <row r="2356" spans="1:3" hidden="1" x14ac:dyDescent="0.25">
      <c r="A2356" t="s">
        <v>10770</v>
      </c>
      <c r="B2356" t="s">
        <v>4847</v>
      </c>
      <c r="C2356" t="s">
        <v>6958</v>
      </c>
    </row>
    <row r="2357" spans="1:3" hidden="1" x14ac:dyDescent="0.25">
      <c r="A2357" t="s">
        <v>10771</v>
      </c>
      <c r="B2357" t="s">
        <v>762</v>
      </c>
      <c r="C2357" t="s">
        <v>6958</v>
      </c>
    </row>
    <row r="2358" spans="1:3" hidden="1" x14ac:dyDescent="0.25">
      <c r="A2358" t="s">
        <v>10772</v>
      </c>
      <c r="B2358" t="s">
        <v>3904</v>
      </c>
      <c r="C2358" t="s">
        <v>6958</v>
      </c>
    </row>
    <row r="2359" spans="1:3" hidden="1" x14ac:dyDescent="0.25">
      <c r="A2359" t="s">
        <v>10773</v>
      </c>
      <c r="B2359" t="s">
        <v>3244</v>
      </c>
      <c r="C2359" t="s">
        <v>10774</v>
      </c>
    </row>
    <row r="2360" spans="1:3" hidden="1" x14ac:dyDescent="0.25">
      <c r="A2360" t="s">
        <v>10775</v>
      </c>
      <c r="B2360" t="s">
        <v>4138</v>
      </c>
      <c r="C2360" t="s">
        <v>10776</v>
      </c>
    </row>
    <row r="2361" spans="1:3" hidden="1" x14ac:dyDescent="0.25">
      <c r="A2361" t="s">
        <v>10777</v>
      </c>
      <c r="B2361" t="s">
        <v>915</v>
      </c>
      <c r="C2361" t="s">
        <v>10778</v>
      </c>
    </row>
    <row r="2362" spans="1:3" hidden="1" x14ac:dyDescent="0.25">
      <c r="A2362" t="s">
        <v>10779</v>
      </c>
      <c r="B2362" t="s">
        <v>5122</v>
      </c>
      <c r="C2362" t="s">
        <v>10780</v>
      </c>
    </row>
    <row r="2363" spans="1:3" hidden="1" x14ac:dyDescent="0.25">
      <c r="A2363" t="s">
        <v>10781</v>
      </c>
      <c r="B2363" t="s">
        <v>2122</v>
      </c>
      <c r="C2363" t="s">
        <v>6958</v>
      </c>
    </row>
    <row r="2364" spans="1:3" hidden="1" x14ac:dyDescent="0.25">
      <c r="A2364" t="s">
        <v>10782</v>
      </c>
      <c r="B2364" t="s">
        <v>1833</v>
      </c>
      <c r="C2364" t="s">
        <v>10783</v>
      </c>
    </row>
    <row r="2365" spans="1:3" hidden="1" x14ac:dyDescent="0.25">
      <c r="A2365" t="s">
        <v>10784</v>
      </c>
      <c r="B2365" t="s">
        <v>1930</v>
      </c>
      <c r="C2365" t="s">
        <v>10785</v>
      </c>
    </row>
    <row r="2366" spans="1:3" hidden="1" x14ac:dyDescent="0.25">
      <c r="A2366" t="s">
        <v>10786</v>
      </c>
      <c r="B2366" t="s">
        <v>3584</v>
      </c>
      <c r="C2366" t="s">
        <v>10787</v>
      </c>
    </row>
    <row r="2367" spans="1:3" hidden="1" x14ac:dyDescent="0.25">
      <c r="A2367" t="s">
        <v>10788</v>
      </c>
      <c r="B2367" t="s">
        <v>298</v>
      </c>
      <c r="C2367" t="s">
        <v>10789</v>
      </c>
    </row>
    <row r="2368" spans="1:3" hidden="1" x14ac:dyDescent="0.25">
      <c r="A2368" t="s">
        <v>10790</v>
      </c>
      <c r="B2368" t="s">
        <v>688</v>
      </c>
      <c r="C2368" t="s">
        <v>6958</v>
      </c>
    </row>
    <row r="2369" spans="1:3" hidden="1" x14ac:dyDescent="0.25">
      <c r="A2369" t="s">
        <v>10791</v>
      </c>
      <c r="B2369" t="s">
        <v>2733</v>
      </c>
      <c r="C2369" t="s">
        <v>10792</v>
      </c>
    </row>
    <row r="2370" spans="1:3" hidden="1" x14ac:dyDescent="0.25">
      <c r="A2370" t="s">
        <v>10793</v>
      </c>
      <c r="B2370" t="s">
        <v>1414</v>
      </c>
      <c r="C2370" t="s">
        <v>6958</v>
      </c>
    </row>
    <row r="2371" spans="1:3" hidden="1" x14ac:dyDescent="0.25">
      <c r="A2371" t="s">
        <v>10794</v>
      </c>
      <c r="B2371" t="s">
        <v>152</v>
      </c>
      <c r="C2371" t="s">
        <v>9204</v>
      </c>
    </row>
    <row r="2372" spans="1:3" hidden="1" x14ac:dyDescent="0.25">
      <c r="A2372" t="s">
        <v>10795</v>
      </c>
      <c r="B2372" t="s">
        <v>1332</v>
      </c>
      <c r="C2372" t="s">
        <v>10796</v>
      </c>
    </row>
    <row r="2373" spans="1:3" hidden="1" x14ac:dyDescent="0.25">
      <c r="A2373" t="s">
        <v>10797</v>
      </c>
      <c r="B2373" t="s">
        <v>3293</v>
      </c>
      <c r="C2373" t="s">
        <v>6958</v>
      </c>
    </row>
    <row r="2374" spans="1:3" hidden="1" x14ac:dyDescent="0.25">
      <c r="A2374" t="s">
        <v>10798</v>
      </c>
      <c r="B2374" t="s">
        <v>5663</v>
      </c>
      <c r="C2374" t="s">
        <v>10799</v>
      </c>
    </row>
    <row r="2375" spans="1:3" hidden="1" x14ac:dyDescent="0.25">
      <c r="A2375" t="s">
        <v>10800</v>
      </c>
      <c r="B2375" t="s">
        <v>2191</v>
      </c>
      <c r="C2375" t="s">
        <v>6958</v>
      </c>
    </row>
    <row r="2376" spans="1:3" hidden="1" x14ac:dyDescent="0.25">
      <c r="A2376" t="s">
        <v>10801</v>
      </c>
      <c r="B2376" t="s">
        <v>2631</v>
      </c>
      <c r="C2376" t="s">
        <v>10802</v>
      </c>
    </row>
    <row r="2377" spans="1:3" hidden="1" x14ac:dyDescent="0.25">
      <c r="A2377" t="s">
        <v>10803</v>
      </c>
      <c r="B2377" t="s">
        <v>4376</v>
      </c>
      <c r="C2377" t="s">
        <v>6958</v>
      </c>
    </row>
    <row r="2378" spans="1:3" hidden="1" x14ac:dyDescent="0.25">
      <c r="A2378" t="s">
        <v>10804</v>
      </c>
      <c r="B2378" t="s">
        <v>4120</v>
      </c>
      <c r="C2378" t="s">
        <v>6958</v>
      </c>
    </row>
    <row r="2379" spans="1:3" hidden="1" x14ac:dyDescent="0.25">
      <c r="A2379" t="s">
        <v>10805</v>
      </c>
      <c r="B2379" t="s">
        <v>4059</v>
      </c>
      <c r="C2379" t="s">
        <v>10806</v>
      </c>
    </row>
    <row r="2380" spans="1:3" hidden="1" x14ac:dyDescent="0.25">
      <c r="A2380" t="s">
        <v>10807</v>
      </c>
      <c r="B2380" t="s">
        <v>1432</v>
      </c>
      <c r="C2380" t="s">
        <v>10808</v>
      </c>
    </row>
    <row r="2381" spans="1:3" hidden="1" x14ac:dyDescent="0.25">
      <c r="A2381" t="s">
        <v>10809</v>
      </c>
      <c r="B2381" t="s">
        <v>5014</v>
      </c>
      <c r="C2381" t="s">
        <v>6958</v>
      </c>
    </row>
    <row r="2382" spans="1:3" hidden="1" x14ac:dyDescent="0.25">
      <c r="A2382" t="s">
        <v>10810</v>
      </c>
      <c r="B2382" t="s">
        <v>4514</v>
      </c>
      <c r="C2382" t="s">
        <v>10811</v>
      </c>
    </row>
    <row r="2383" spans="1:3" hidden="1" x14ac:dyDescent="0.25">
      <c r="A2383" t="s">
        <v>10812</v>
      </c>
      <c r="B2383" t="s">
        <v>2772</v>
      </c>
      <c r="C2383" t="s">
        <v>6958</v>
      </c>
    </row>
    <row r="2384" spans="1:3" hidden="1" x14ac:dyDescent="0.25">
      <c r="A2384" t="s">
        <v>10813</v>
      </c>
      <c r="B2384" t="s">
        <v>10814</v>
      </c>
      <c r="C2384" t="s">
        <v>10815</v>
      </c>
    </row>
    <row r="2385" spans="1:3" hidden="1" x14ac:dyDescent="0.25">
      <c r="A2385" t="s">
        <v>10816</v>
      </c>
      <c r="B2385" t="s">
        <v>5555</v>
      </c>
      <c r="C2385" t="s">
        <v>10817</v>
      </c>
    </row>
    <row r="2386" spans="1:3" hidden="1" x14ac:dyDescent="0.25">
      <c r="A2386" t="s">
        <v>10818</v>
      </c>
      <c r="B2386" t="s">
        <v>2539</v>
      </c>
      <c r="C2386" t="s">
        <v>10819</v>
      </c>
    </row>
    <row r="2387" spans="1:3" hidden="1" x14ac:dyDescent="0.25">
      <c r="A2387" t="s">
        <v>10820</v>
      </c>
      <c r="B2387" t="s">
        <v>4581</v>
      </c>
      <c r="C2387" t="s">
        <v>6958</v>
      </c>
    </row>
    <row r="2388" spans="1:3" hidden="1" x14ac:dyDescent="0.25">
      <c r="A2388" t="s">
        <v>10821</v>
      </c>
      <c r="B2388" t="s">
        <v>349</v>
      </c>
      <c r="C2388" t="s">
        <v>10822</v>
      </c>
    </row>
    <row r="2389" spans="1:3" hidden="1" x14ac:dyDescent="0.25">
      <c r="A2389" t="s">
        <v>10823</v>
      </c>
      <c r="B2389" t="s">
        <v>5615</v>
      </c>
      <c r="C2389" t="s">
        <v>10824</v>
      </c>
    </row>
    <row r="2390" spans="1:3" hidden="1" x14ac:dyDescent="0.25">
      <c r="A2390" t="s">
        <v>10825</v>
      </c>
      <c r="B2390" t="s">
        <v>4441</v>
      </c>
      <c r="C2390" t="s">
        <v>10826</v>
      </c>
    </row>
    <row r="2391" spans="1:3" hidden="1" x14ac:dyDescent="0.25">
      <c r="A2391" t="s">
        <v>10827</v>
      </c>
      <c r="B2391" t="s">
        <v>1227</v>
      </c>
      <c r="C2391" t="s">
        <v>10828</v>
      </c>
    </row>
    <row r="2392" spans="1:3" hidden="1" x14ac:dyDescent="0.25">
      <c r="A2392" t="s">
        <v>10829</v>
      </c>
      <c r="B2392" t="s">
        <v>4111</v>
      </c>
      <c r="C2392" t="s">
        <v>10830</v>
      </c>
    </row>
    <row r="2393" spans="1:3" hidden="1" x14ac:dyDescent="0.25">
      <c r="A2393" t="s">
        <v>10831</v>
      </c>
      <c r="B2393" t="s">
        <v>3733</v>
      </c>
      <c r="C2393" t="s">
        <v>10832</v>
      </c>
    </row>
    <row r="2394" spans="1:3" hidden="1" x14ac:dyDescent="0.25">
      <c r="A2394" t="s">
        <v>10833</v>
      </c>
      <c r="B2394" t="s">
        <v>204</v>
      </c>
      <c r="C2394" t="s">
        <v>10834</v>
      </c>
    </row>
    <row r="2395" spans="1:3" hidden="1" x14ac:dyDescent="0.25">
      <c r="A2395" t="s">
        <v>10835</v>
      </c>
      <c r="B2395" t="s">
        <v>5116</v>
      </c>
      <c r="C2395" t="s">
        <v>10836</v>
      </c>
    </row>
    <row r="2396" spans="1:3" hidden="1" x14ac:dyDescent="0.25">
      <c r="A2396" t="s">
        <v>10837</v>
      </c>
      <c r="B2396" t="s">
        <v>4328</v>
      </c>
      <c r="C2396" t="s">
        <v>10838</v>
      </c>
    </row>
    <row r="2397" spans="1:3" hidden="1" x14ac:dyDescent="0.25">
      <c r="A2397" t="s">
        <v>10839</v>
      </c>
      <c r="B2397" t="s">
        <v>4228</v>
      </c>
      <c r="C2397" t="s">
        <v>10840</v>
      </c>
    </row>
    <row r="2398" spans="1:3" hidden="1" x14ac:dyDescent="0.25">
      <c r="A2398" t="s">
        <v>10841</v>
      </c>
      <c r="B2398" t="s">
        <v>3464</v>
      </c>
      <c r="C2398" t="s">
        <v>6958</v>
      </c>
    </row>
    <row r="2399" spans="1:3" hidden="1" x14ac:dyDescent="0.25">
      <c r="A2399" t="s">
        <v>10842</v>
      </c>
      <c r="B2399" t="s">
        <v>2713</v>
      </c>
      <c r="C2399" t="s">
        <v>10843</v>
      </c>
    </row>
    <row r="2400" spans="1:3" hidden="1" x14ac:dyDescent="0.25">
      <c r="A2400" t="s">
        <v>10844</v>
      </c>
      <c r="B2400" t="s">
        <v>248</v>
      </c>
      <c r="C2400" t="s">
        <v>10845</v>
      </c>
    </row>
    <row r="2401" spans="1:3" hidden="1" x14ac:dyDescent="0.25">
      <c r="A2401" t="s">
        <v>10846</v>
      </c>
      <c r="B2401" t="s">
        <v>3136</v>
      </c>
      <c r="C2401" t="s">
        <v>6958</v>
      </c>
    </row>
    <row r="2402" spans="1:3" hidden="1" x14ac:dyDescent="0.25">
      <c r="A2402" t="s">
        <v>10847</v>
      </c>
      <c r="B2402" t="s">
        <v>4119</v>
      </c>
      <c r="C2402" t="s">
        <v>6958</v>
      </c>
    </row>
    <row r="2403" spans="1:3" hidden="1" x14ac:dyDescent="0.25">
      <c r="A2403" t="s">
        <v>10848</v>
      </c>
      <c r="B2403" t="s">
        <v>1676</v>
      </c>
      <c r="C2403" t="s">
        <v>10849</v>
      </c>
    </row>
    <row r="2404" spans="1:3" hidden="1" x14ac:dyDescent="0.25">
      <c r="A2404" t="s">
        <v>10850</v>
      </c>
      <c r="B2404" t="s">
        <v>4595</v>
      </c>
      <c r="C2404" t="s">
        <v>10851</v>
      </c>
    </row>
    <row r="2405" spans="1:3" hidden="1" x14ac:dyDescent="0.25">
      <c r="A2405" t="s">
        <v>10852</v>
      </c>
      <c r="B2405" t="s">
        <v>2296</v>
      </c>
      <c r="C2405" t="s">
        <v>10853</v>
      </c>
    </row>
    <row r="2406" spans="1:3" hidden="1" x14ac:dyDescent="0.25">
      <c r="A2406" t="s">
        <v>10854</v>
      </c>
      <c r="B2406" t="s">
        <v>1670</v>
      </c>
      <c r="C2406" t="s">
        <v>10855</v>
      </c>
    </row>
    <row r="2407" spans="1:3" hidden="1" x14ac:dyDescent="0.25">
      <c r="A2407" t="s">
        <v>10856</v>
      </c>
      <c r="B2407" t="s">
        <v>14</v>
      </c>
      <c r="C2407" t="s">
        <v>6958</v>
      </c>
    </row>
    <row r="2408" spans="1:3" hidden="1" x14ac:dyDescent="0.25">
      <c r="A2408" t="s">
        <v>10857</v>
      </c>
      <c r="B2408" t="s">
        <v>1811</v>
      </c>
      <c r="C2408" t="s">
        <v>10858</v>
      </c>
    </row>
    <row r="2409" spans="1:3" hidden="1" x14ac:dyDescent="0.25">
      <c r="A2409" t="s">
        <v>10859</v>
      </c>
      <c r="B2409" t="s">
        <v>5375</v>
      </c>
      <c r="C2409" t="s">
        <v>10860</v>
      </c>
    </row>
    <row r="2410" spans="1:3" hidden="1" x14ac:dyDescent="0.25">
      <c r="A2410" t="s">
        <v>10861</v>
      </c>
      <c r="B2410" t="s">
        <v>5511</v>
      </c>
      <c r="C2410" t="s">
        <v>10862</v>
      </c>
    </row>
    <row r="2411" spans="1:3" hidden="1" x14ac:dyDescent="0.25">
      <c r="A2411" t="s">
        <v>10863</v>
      </c>
      <c r="B2411" t="s">
        <v>2637</v>
      </c>
      <c r="C2411" t="s">
        <v>6958</v>
      </c>
    </row>
    <row r="2412" spans="1:3" hidden="1" x14ac:dyDescent="0.25">
      <c r="A2412" t="s">
        <v>10864</v>
      </c>
      <c r="B2412" t="s">
        <v>1429</v>
      </c>
      <c r="C2412" t="s">
        <v>10865</v>
      </c>
    </row>
    <row r="2413" spans="1:3" hidden="1" x14ac:dyDescent="0.25">
      <c r="A2413" t="s">
        <v>10866</v>
      </c>
      <c r="B2413" t="s">
        <v>1879</v>
      </c>
      <c r="C2413" t="s">
        <v>10867</v>
      </c>
    </row>
    <row r="2414" spans="1:3" hidden="1" x14ac:dyDescent="0.25">
      <c r="A2414" t="s">
        <v>10868</v>
      </c>
      <c r="B2414" t="s">
        <v>3676</v>
      </c>
      <c r="C2414" t="s">
        <v>10869</v>
      </c>
    </row>
    <row r="2415" spans="1:3" hidden="1" x14ac:dyDescent="0.25">
      <c r="A2415" t="s">
        <v>10870</v>
      </c>
      <c r="B2415" t="s">
        <v>102</v>
      </c>
      <c r="C2415" t="s">
        <v>10871</v>
      </c>
    </row>
    <row r="2416" spans="1:3" hidden="1" x14ac:dyDescent="0.25">
      <c r="A2416" t="s">
        <v>10872</v>
      </c>
      <c r="B2416" t="s">
        <v>1841</v>
      </c>
      <c r="C2416" t="s">
        <v>6958</v>
      </c>
    </row>
    <row r="2417" spans="1:3" hidden="1" x14ac:dyDescent="0.25">
      <c r="A2417" t="s">
        <v>10873</v>
      </c>
      <c r="B2417" t="s">
        <v>1150</v>
      </c>
      <c r="C2417" t="s">
        <v>10874</v>
      </c>
    </row>
    <row r="2418" spans="1:3" hidden="1" x14ac:dyDescent="0.25">
      <c r="A2418" t="s">
        <v>10875</v>
      </c>
      <c r="B2418" t="s">
        <v>4497</v>
      </c>
      <c r="C2418" t="s">
        <v>10876</v>
      </c>
    </row>
    <row r="2419" spans="1:3" hidden="1" x14ac:dyDescent="0.25">
      <c r="A2419" t="s">
        <v>10877</v>
      </c>
      <c r="B2419" t="s">
        <v>330</v>
      </c>
      <c r="C2419" t="s">
        <v>10878</v>
      </c>
    </row>
    <row r="2420" spans="1:3" hidden="1" x14ac:dyDescent="0.25">
      <c r="A2420" t="s">
        <v>10879</v>
      </c>
      <c r="B2420" t="s">
        <v>1891</v>
      </c>
      <c r="C2420" t="s">
        <v>10880</v>
      </c>
    </row>
    <row r="2421" spans="1:3" hidden="1" x14ac:dyDescent="0.25">
      <c r="A2421" t="s">
        <v>10881</v>
      </c>
      <c r="B2421" t="s">
        <v>3485</v>
      </c>
      <c r="C2421" t="s">
        <v>10882</v>
      </c>
    </row>
    <row r="2422" spans="1:3" hidden="1" x14ac:dyDescent="0.25">
      <c r="A2422" t="s">
        <v>10883</v>
      </c>
      <c r="B2422" t="s">
        <v>372</v>
      </c>
      <c r="C2422" t="s">
        <v>10884</v>
      </c>
    </row>
    <row r="2423" spans="1:3" hidden="1" x14ac:dyDescent="0.25">
      <c r="A2423" t="s">
        <v>10885</v>
      </c>
      <c r="B2423" t="s">
        <v>4304</v>
      </c>
      <c r="C2423" t="s">
        <v>10886</v>
      </c>
    </row>
    <row r="2424" spans="1:3" hidden="1" x14ac:dyDescent="0.25">
      <c r="A2424" t="s">
        <v>10887</v>
      </c>
      <c r="B2424" t="s">
        <v>3218</v>
      </c>
      <c r="C2424" t="s">
        <v>10888</v>
      </c>
    </row>
    <row r="2425" spans="1:3" hidden="1" x14ac:dyDescent="0.25">
      <c r="A2425" t="s">
        <v>10889</v>
      </c>
      <c r="B2425" t="s">
        <v>754</v>
      </c>
      <c r="C2425" t="s">
        <v>6958</v>
      </c>
    </row>
    <row r="2426" spans="1:3" hidden="1" x14ac:dyDescent="0.25">
      <c r="A2426" t="s">
        <v>10890</v>
      </c>
      <c r="B2426" t="s">
        <v>5554</v>
      </c>
      <c r="C2426" t="s">
        <v>6958</v>
      </c>
    </row>
    <row r="2427" spans="1:3" hidden="1" x14ac:dyDescent="0.25">
      <c r="A2427" t="s">
        <v>10891</v>
      </c>
      <c r="B2427" t="s">
        <v>3213</v>
      </c>
      <c r="C2427" t="s">
        <v>6958</v>
      </c>
    </row>
    <row r="2428" spans="1:3" hidden="1" x14ac:dyDescent="0.25">
      <c r="A2428" t="s">
        <v>10892</v>
      </c>
      <c r="B2428" t="s">
        <v>2550</v>
      </c>
      <c r="C2428" t="s">
        <v>10893</v>
      </c>
    </row>
    <row r="2429" spans="1:3" hidden="1" x14ac:dyDescent="0.25">
      <c r="A2429" t="s">
        <v>10894</v>
      </c>
      <c r="B2429" t="s">
        <v>1607</v>
      </c>
      <c r="C2429" t="s">
        <v>10895</v>
      </c>
    </row>
    <row r="2430" spans="1:3" hidden="1" x14ac:dyDescent="0.25">
      <c r="A2430" t="s">
        <v>10896</v>
      </c>
      <c r="B2430" t="s">
        <v>1440</v>
      </c>
      <c r="C2430" t="s">
        <v>6958</v>
      </c>
    </row>
    <row r="2431" spans="1:3" hidden="1" x14ac:dyDescent="0.25">
      <c r="A2431" t="s">
        <v>10897</v>
      </c>
      <c r="B2431" t="s">
        <v>2990</v>
      </c>
      <c r="C2431" t="s">
        <v>6958</v>
      </c>
    </row>
    <row r="2432" spans="1:3" hidden="1" x14ac:dyDescent="0.25">
      <c r="A2432" t="s">
        <v>10898</v>
      </c>
      <c r="B2432" t="s">
        <v>5143</v>
      </c>
      <c r="C2432" t="s">
        <v>10899</v>
      </c>
    </row>
    <row r="2433" spans="1:3" hidden="1" x14ac:dyDescent="0.25">
      <c r="A2433" t="s">
        <v>10900</v>
      </c>
      <c r="B2433" t="s">
        <v>2584</v>
      </c>
      <c r="C2433" t="s">
        <v>10901</v>
      </c>
    </row>
    <row r="2434" spans="1:3" hidden="1" x14ac:dyDescent="0.25">
      <c r="A2434" t="s">
        <v>10902</v>
      </c>
      <c r="B2434" t="s">
        <v>4658</v>
      </c>
      <c r="C2434" t="s">
        <v>10903</v>
      </c>
    </row>
    <row r="2435" spans="1:3" hidden="1" x14ac:dyDescent="0.25">
      <c r="A2435" t="s">
        <v>10904</v>
      </c>
      <c r="B2435" t="s">
        <v>2654</v>
      </c>
      <c r="C2435" t="s">
        <v>10905</v>
      </c>
    </row>
    <row r="2436" spans="1:3" hidden="1" x14ac:dyDescent="0.25">
      <c r="A2436" t="s">
        <v>10906</v>
      </c>
      <c r="B2436" t="s">
        <v>1060</v>
      </c>
      <c r="C2436" t="s">
        <v>10907</v>
      </c>
    </row>
    <row r="2437" spans="1:3" hidden="1" x14ac:dyDescent="0.25">
      <c r="A2437" t="s">
        <v>10908</v>
      </c>
      <c r="B2437" t="s">
        <v>591</v>
      </c>
      <c r="C2437" t="s">
        <v>10909</v>
      </c>
    </row>
    <row r="2438" spans="1:3" hidden="1" x14ac:dyDescent="0.25">
      <c r="A2438" t="s">
        <v>10910</v>
      </c>
      <c r="B2438" t="s">
        <v>605</v>
      </c>
      <c r="C2438" t="s">
        <v>10911</v>
      </c>
    </row>
    <row r="2439" spans="1:3" hidden="1" x14ac:dyDescent="0.25">
      <c r="A2439" t="s">
        <v>10912</v>
      </c>
      <c r="B2439" t="s">
        <v>543</v>
      </c>
      <c r="C2439" t="s">
        <v>6958</v>
      </c>
    </row>
    <row r="2440" spans="1:3" hidden="1" x14ac:dyDescent="0.25">
      <c r="A2440" t="s">
        <v>10913</v>
      </c>
      <c r="B2440" t="s">
        <v>492</v>
      </c>
      <c r="C2440" t="s">
        <v>10914</v>
      </c>
    </row>
    <row r="2441" spans="1:3" hidden="1" x14ac:dyDescent="0.25">
      <c r="A2441" t="s">
        <v>10915</v>
      </c>
      <c r="B2441" t="s">
        <v>643</v>
      </c>
      <c r="C2441" t="s">
        <v>10916</v>
      </c>
    </row>
    <row r="2442" spans="1:3" hidden="1" x14ac:dyDescent="0.25">
      <c r="A2442" t="s">
        <v>10917</v>
      </c>
      <c r="B2442" t="s">
        <v>662</v>
      </c>
      <c r="C2442" t="s">
        <v>6958</v>
      </c>
    </row>
    <row r="2443" spans="1:3" hidden="1" x14ac:dyDescent="0.25">
      <c r="A2443" t="s">
        <v>10918</v>
      </c>
      <c r="B2443" t="s">
        <v>1823</v>
      </c>
      <c r="C2443" t="s">
        <v>10919</v>
      </c>
    </row>
    <row r="2444" spans="1:3" hidden="1" x14ac:dyDescent="0.25">
      <c r="A2444" t="s">
        <v>10920</v>
      </c>
      <c r="B2444" t="s">
        <v>5248</v>
      </c>
      <c r="C2444" t="s">
        <v>10921</v>
      </c>
    </row>
    <row r="2445" spans="1:3" hidden="1" x14ac:dyDescent="0.25">
      <c r="A2445" t="s">
        <v>10922</v>
      </c>
      <c r="B2445" t="s">
        <v>1650</v>
      </c>
      <c r="C2445" t="s">
        <v>6958</v>
      </c>
    </row>
    <row r="2446" spans="1:3" hidden="1" x14ac:dyDescent="0.25">
      <c r="A2446" t="s">
        <v>10923</v>
      </c>
      <c r="B2446" t="s">
        <v>1003</v>
      </c>
      <c r="C2446" t="s">
        <v>6958</v>
      </c>
    </row>
    <row r="2447" spans="1:3" hidden="1" x14ac:dyDescent="0.25">
      <c r="A2447" t="s">
        <v>10924</v>
      </c>
      <c r="B2447" t="s">
        <v>2395</v>
      </c>
      <c r="C2447" t="s">
        <v>10925</v>
      </c>
    </row>
    <row r="2448" spans="1:3" hidden="1" x14ac:dyDescent="0.25">
      <c r="A2448" t="s">
        <v>10926</v>
      </c>
      <c r="B2448" t="s">
        <v>4184</v>
      </c>
      <c r="C2448" t="s">
        <v>10927</v>
      </c>
    </row>
    <row r="2449" spans="1:3" hidden="1" x14ac:dyDescent="0.25">
      <c r="A2449" t="s">
        <v>10928</v>
      </c>
      <c r="B2449" t="s">
        <v>1963</v>
      </c>
      <c r="C2449" t="s">
        <v>10929</v>
      </c>
    </row>
    <row r="2450" spans="1:3" hidden="1" x14ac:dyDescent="0.25">
      <c r="A2450" t="s">
        <v>10930</v>
      </c>
      <c r="B2450" t="s">
        <v>1796</v>
      </c>
      <c r="C2450" t="s">
        <v>6958</v>
      </c>
    </row>
    <row r="2451" spans="1:3" hidden="1" x14ac:dyDescent="0.25">
      <c r="A2451" t="s">
        <v>10931</v>
      </c>
      <c r="B2451" t="s">
        <v>5556</v>
      </c>
      <c r="C2451" t="s">
        <v>10932</v>
      </c>
    </row>
    <row r="2452" spans="1:3" hidden="1" x14ac:dyDescent="0.25">
      <c r="A2452" t="s">
        <v>10933</v>
      </c>
      <c r="B2452" t="s">
        <v>257</v>
      </c>
      <c r="C2452" t="s">
        <v>10934</v>
      </c>
    </row>
    <row r="2453" spans="1:3" hidden="1" x14ac:dyDescent="0.25">
      <c r="A2453" t="s">
        <v>10935</v>
      </c>
      <c r="B2453" t="s">
        <v>2821</v>
      </c>
      <c r="C2453" t="s">
        <v>10936</v>
      </c>
    </row>
    <row r="2454" spans="1:3" hidden="1" x14ac:dyDescent="0.25">
      <c r="A2454" t="s">
        <v>10937</v>
      </c>
      <c r="B2454" t="s">
        <v>5277</v>
      </c>
      <c r="C2454" t="s">
        <v>6958</v>
      </c>
    </row>
    <row r="2455" spans="1:3" hidden="1" x14ac:dyDescent="0.25">
      <c r="A2455" t="s">
        <v>10938</v>
      </c>
      <c r="B2455" t="s">
        <v>4241</v>
      </c>
      <c r="C2455" t="s">
        <v>10939</v>
      </c>
    </row>
    <row r="2456" spans="1:3" hidden="1" x14ac:dyDescent="0.25">
      <c r="A2456" t="s">
        <v>10940</v>
      </c>
      <c r="B2456" t="s">
        <v>4019</v>
      </c>
      <c r="C2456" t="s">
        <v>10941</v>
      </c>
    </row>
    <row r="2457" spans="1:3" hidden="1" x14ac:dyDescent="0.25">
      <c r="A2457" t="s">
        <v>10942</v>
      </c>
      <c r="B2457" t="s">
        <v>4073</v>
      </c>
      <c r="C2457" t="s">
        <v>10943</v>
      </c>
    </row>
    <row r="2458" spans="1:3" hidden="1" x14ac:dyDescent="0.25">
      <c r="A2458" t="s">
        <v>10944</v>
      </c>
      <c r="B2458" t="s">
        <v>2410</v>
      </c>
      <c r="C2458" t="s">
        <v>6958</v>
      </c>
    </row>
    <row r="2459" spans="1:3" hidden="1" x14ac:dyDescent="0.25">
      <c r="A2459" t="s">
        <v>10945</v>
      </c>
      <c r="B2459" t="s">
        <v>3250</v>
      </c>
      <c r="C2459" t="s">
        <v>10946</v>
      </c>
    </row>
    <row r="2460" spans="1:3" hidden="1" x14ac:dyDescent="0.25">
      <c r="A2460" t="s">
        <v>10947</v>
      </c>
      <c r="B2460" t="s">
        <v>768</v>
      </c>
      <c r="C2460" t="s">
        <v>10948</v>
      </c>
    </row>
    <row r="2461" spans="1:3" hidden="1" x14ac:dyDescent="0.25">
      <c r="A2461" t="s">
        <v>10949</v>
      </c>
      <c r="B2461" t="s">
        <v>1614</v>
      </c>
      <c r="C2461" t="s">
        <v>10950</v>
      </c>
    </row>
    <row r="2462" spans="1:3" hidden="1" x14ac:dyDescent="0.25">
      <c r="A2462" t="s">
        <v>10951</v>
      </c>
      <c r="B2462" t="s">
        <v>2867</v>
      </c>
      <c r="C2462" t="s">
        <v>10952</v>
      </c>
    </row>
    <row r="2463" spans="1:3" hidden="1" x14ac:dyDescent="0.25">
      <c r="A2463" t="s">
        <v>10953</v>
      </c>
      <c r="B2463" t="s">
        <v>3956</v>
      </c>
      <c r="C2463" t="s">
        <v>10954</v>
      </c>
    </row>
    <row r="2464" spans="1:3" hidden="1" x14ac:dyDescent="0.25">
      <c r="A2464" t="s">
        <v>10955</v>
      </c>
      <c r="B2464" t="s">
        <v>3996</v>
      </c>
      <c r="C2464" t="s">
        <v>6958</v>
      </c>
    </row>
    <row r="2465" spans="1:3" hidden="1" x14ac:dyDescent="0.25">
      <c r="A2465" t="s">
        <v>10956</v>
      </c>
      <c r="B2465" t="s">
        <v>4188</v>
      </c>
      <c r="C2465" t="s">
        <v>10957</v>
      </c>
    </row>
    <row r="2466" spans="1:3" hidden="1" x14ac:dyDescent="0.25">
      <c r="A2466" t="s">
        <v>10958</v>
      </c>
      <c r="B2466" t="s">
        <v>5235</v>
      </c>
      <c r="C2466" t="s">
        <v>10959</v>
      </c>
    </row>
    <row r="2467" spans="1:3" hidden="1" x14ac:dyDescent="0.25">
      <c r="A2467" t="s">
        <v>10960</v>
      </c>
      <c r="B2467" t="s">
        <v>565</v>
      </c>
      <c r="C2467" t="s">
        <v>10961</v>
      </c>
    </row>
    <row r="2468" spans="1:3" hidden="1" x14ac:dyDescent="0.25">
      <c r="A2468" t="s">
        <v>10962</v>
      </c>
      <c r="B2468" t="s">
        <v>3661</v>
      </c>
      <c r="C2468" t="s">
        <v>10963</v>
      </c>
    </row>
    <row r="2469" spans="1:3" hidden="1" x14ac:dyDescent="0.25">
      <c r="A2469" t="s">
        <v>10964</v>
      </c>
      <c r="B2469" t="s">
        <v>932</v>
      </c>
      <c r="C2469" t="s">
        <v>6958</v>
      </c>
    </row>
    <row r="2470" spans="1:3" hidden="1" x14ac:dyDescent="0.25">
      <c r="A2470" t="s">
        <v>10965</v>
      </c>
      <c r="B2470" t="s">
        <v>2571</v>
      </c>
      <c r="C2470" t="s">
        <v>10966</v>
      </c>
    </row>
    <row r="2471" spans="1:3" hidden="1" x14ac:dyDescent="0.25">
      <c r="A2471" t="s">
        <v>10967</v>
      </c>
      <c r="B2471" t="s">
        <v>3603</v>
      </c>
      <c r="C2471" t="s">
        <v>10968</v>
      </c>
    </row>
    <row r="2472" spans="1:3" hidden="1" x14ac:dyDescent="0.25">
      <c r="A2472" t="s">
        <v>10969</v>
      </c>
      <c r="B2472" t="s">
        <v>1694</v>
      </c>
      <c r="C2472" t="s">
        <v>6958</v>
      </c>
    </row>
    <row r="2473" spans="1:3" hidden="1" x14ac:dyDescent="0.25">
      <c r="A2473" t="s">
        <v>10970</v>
      </c>
      <c r="B2473" t="s">
        <v>3139</v>
      </c>
      <c r="C2473" t="s">
        <v>6958</v>
      </c>
    </row>
    <row r="2474" spans="1:3" hidden="1" x14ac:dyDescent="0.25">
      <c r="A2474" t="s">
        <v>10971</v>
      </c>
      <c r="B2474" t="s">
        <v>2935</v>
      </c>
      <c r="C2474" t="s">
        <v>10972</v>
      </c>
    </row>
    <row r="2475" spans="1:3" hidden="1" x14ac:dyDescent="0.25">
      <c r="A2475" t="s">
        <v>10973</v>
      </c>
      <c r="B2475" t="s">
        <v>2829</v>
      </c>
      <c r="C2475" t="s">
        <v>6958</v>
      </c>
    </row>
    <row r="2476" spans="1:3" hidden="1" x14ac:dyDescent="0.25">
      <c r="A2476" t="s">
        <v>10974</v>
      </c>
      <c r="B2476" t="s">
        <v>3138</v>
      </c>
      <c r="C2476" t="s">
        <v>10975</v>
      </c>
    </row>
    <row r="2477" spans="1:3" hidden="1" x14ac:dyDescent="0.25">
      <c r="A2477" t="s">
        <v>10976</v>
      </c>
      <c r="B2477" t="s">
        <v>3161</v>
      </c>
      <c r="C2477" t="s">
        <v>6958</v>
      </c>
    </row>
    <row r="2478" spans="1:3" hidden="1" x14ac:dyDescent="0.25">
      <c r="A2478" t="s">
        <v>10977</v>
      </c>
      <c r="B2478" t="s">
        <v>5038</v>
      </c>
      <c r="C2478" t="s">
        <v>10978</v>
      </c>
    </row>
    <row r="2479" spans="1:3" hidden="1" x14ac:dyDescent="0.25">
      <c r="A2479" t="s">
        <v>10979</v>
      </c>
      <c r="B2479" t="s">
        <v>2298</v>
      </c>
      <c r="C2479" t="s">
        <v>10980</v>
      </c>
    </row>
    <row r="2480" spans="1:3" hidden="1" x14ac:dyDescent="0.25">
      <c r="A2480" t="s">
        <v>10981</v>
      </c>
      <c r="B2480" t="s">
        <v>3861</v>
      </c>
      <c r="C2480" t="s">
        <v>10982</v>
      </c>
    </row>
    <row r="2481" spans="1:3" hidden="1" x14ac:dyDescent="0.25">
      <c r="A2481" t="s">
        <v>10983</v>
      </c>
      <c r="B2481" t="s">
        <v>4795</v>
      </c>
      <c r="C2481" t="s">
        <v>6958</v>
      </c>
    </row>
    <row r="2482" spans="1:3" hidden="1" x14ac:dyDescent="0.25">
      <c r="A2482" t="s">
        <v>10984</v>
      </c>
      <c r="B2482" t="s">
        <v>2082</v>
      </c>
      <c r="C2482" t="s">
        <v>10985</v>
      </c>
    </row>
    <row r="2483" spans="1:3" hidden="1" x14ac:dyDescent="0.25">
      <c r="A2483" t="s">
        <v>10986</v>
      </c>
      <c r="B2483" t="s">
        <v>2529</v>
      </c>
      <c r="C2483" t="s">
        <v>6958</v>
      </c>
    </row>
    <row r="2484" spans="1:3" hidden="1" x14ac:dyDescent="0.25">
      <c r="A2484" t="s">
        <v>10987</v>
      </c>
      <c r="B2484" t="s">
        <v>5208</v>
      </c>
      <c r="C2484" t="s">
        <v>10988</v>
      </c>
    </row>
    <row r="2485" spans="1:3" hidden="1" x14ac:dyDescent="0.25">
      <c r="A2485" t="s">
        <v>10989</v>
      </c>
      <c r="B2485" t="s">
        <v>1341</v>
      </c>
      <c r="C2485" t="s">
        <v>10990</v>
      </c>
    </row>
    <row r="2486" spans="1:3" hidden="1" x14ac:dyDescent="0.25">
      <c r="A2486" t="s">
        <v>10991</v>
      </c>
      <c r="B2486" t="s">
        <v>2021</v>
      </c>
      <c r="C2486" t="s">
        <v>10992</v>
      </c>
    </row>
    <row r="2487" spans="1:3" hidden="1" x14ac:dyDescent="0.25">
      <c r="A2487" t="s">
        <v>10993</v>
      </c>
      <c r="B2487" t="s">
        <v>1531</v>
      </c>
      <c r="C2487" t="s">
        <v>10994</v>
      </c>
    </row>
    <row r="2488" spans="1:3" hidden="1" x14ac:dyDescent="0.25">
      <c r="A2488" t="s">
        <v>10995</v>
      </c>
      <c r="B2488" t="s">
        <v>989</v>
      </c>
      <c r="C2488" t="s">
        <v>7186</v>
      </c>
    </row>
    <row r="2489" spans="1:3" hidden="1" x14ac:dyDescent="0.25">
      <c r="A2489" t="s">
        <v>10996</v>
      </c>
      <c r="B2489" t="s">
        <v>1415</v>
      </c>
      <c r="C2489" t="s">
        <v>7186</v>
      </c>
    </row>
    <row r="2490" spans="1:3" hidden="1" x14ac:dyDescent="0.25">
      <c r="A2490" t="s">
        <v>10997</v>
      </c>
      <c r="B2490" t="s">
        <v>2732</v>
      </c>
      <c r="C2490" t="s">
        <v>6958</v>
      </c>
    </row>
    <row r="2491" spans="1:3" hidden="1" x14ac:dyDescent="0.25">
      <c r="A2491" t="s">
        <v>10998</v>
      </c>
      <c r="B2491" t="s">
        <v>429</v>
      </c>
      <c r="C2491" t="s">
        <v>10999</v>
      </c>
    </row>
    <row r="2492" spans="1:3" hidden="1" x14ac:dyDescent="0.25">
      <c r="A2492" t="s">
        <v>11000</v>
      </c>
      <c r="B2492" t="s">
        <v>5400</v>
      </c>
      <c r="C2492" t="s">
        <v>11001</v>
      </c>
    </row>
    <row r="2493" spans="1:3" hidden="1" x14ac:dyDescent="0.25">
      <c r="A2493" t="s">
        <v>11002</v>
      </c>
      <c r="B2493" t="s">
        <v>3011</v>
      </c>
      <c r="C2493" t="s">
        <v>11003</v>
      </c>
    </row>
    <row r="2494" spans="1:3" hidden="1" x14ac:dyDescent="0.25">
      <c r="A2494" t="s">
        <v>11004</v>
      </c>
      <c r="B2494" t="s">
        <v>4201</v>
      </c>
      <c r="C2494" t="s">
        <v>11005</v>
      </c>
    </row>
    <row r="2495" spans="1:3" hidden="1" x14ac:dyDescent="0.25">
      <c r="A2495" t="s">
        <v>11006</v>
      </c>
      <c r="B2495" t="s">
        <v>1473</v>
      </c>
      <c r="C2495" t="s">
        <v>11007</v>
      </c>
    </row>
    <row r="2496" spans="1:3" hidden="1" x14ac:dyDescent="0.25">
      <c r="A2496" t="s">
        <v>11008</v>
      </c>
      <c r="B2496" t="s">
        <v>857</v>
      </c>
      <c r="C2496" t="s">
        <v>6958</v>
      </c>
    </row>
    <row r="2497" spans="1:3" hidden="1" x14ac:dyDescent="0.25">
      <c r="A2497" t="s">
        <v>11009</v>
      </c>
      <c r="B2497" t="s">
        <v>5440</v>
      </c>
      <c r="C2497" t="s">
        <v>6958</v>
      </c>
    </row>
    <row r="2498" spans="1:3" hidden="1" x14ac:dyDescent="0.25">
      <c r="A2498" t="s">
        <v>11010</v>
      </c>
      <c r="B2498" t="s">
        <v>4278</v>
      </c>
      <c r="C2498" t="s">
        <v>11011</v>
      </c>
    </row>
    <row r="2499" spans="1:3" hidden="1" x14ac:dyDescent="0.25">
      <c r="A2499" t="s">
        <v>11012</v>
      </c>
      <c r="B2499" t="s">
        <v>3465</v>
      </c>
      <c r="C2499" t="s">
        <v>6958</v>
      </c>
    </row>
    <row r="2500" spans="1:3" hidden="1" x14ac:dyDescent="0.25">
      <c r="A2500" t="s">
        <v>11013</v>
      </c>
      <c r="B2500" t="s">
        <v>4453</v>
      </c>
      <c r="C2500" t="s">
        <v>11014</v>
      </c>
    </row>
    <row r="2501" spans="1:3" hidden="1" x14ac:dyDescent="0.25">
      <c r="A2501" t="s">
        <v>11015</v>
      </c>
      <c r="B2501" t="s">
        <v>4541</v>
      </c>
      <c r="C2501" t="s">
        <v>11016</v>
      </c>
    </row>
    <row r="2502" spans="1:3" hidden="1" x14ac:dyDescent="0.25">
      <c r="A2502" t="s">
        <v>11017</v>
      </c>
      <c r="B2502" t="s">
        <v>2645</v>
      </c>
      <c r="C2502" t="s">
        <v>11018</v>
      </c>
    </row>
    <row r="2503" spans="1:3" hidden="1" x14ac:dyDescent="0.25">
      <c r="A2503" t="s">
        <v>11019</v>
      </c>
      <c r="B2503" t="s">
        <v>3822</v>
      </c>
      <c r="C2503" t="s">
        <v>11020</v>
      </c>
    </row>
    <row r="2504" spans="1:3" hidden="1" x14ac:dyDescent="0.25">
      <c r="A2504" t="s">
        <v>11021</v>
      </c>
      <c r="B2504" t="s">
        <v>3043</v>
      </c>
      <c r="C2504" t="s">
        <v>11022</v>
      </c>
    </row>
    <row r="2505" spans="1:3" hidden="1" x14ac:dyDescent="0.25">
      <c r="A2505" t="s">
        <v>11023</v>
      </c>
      <c r="B2505" t="s">
        <v>1627</v>
      </c>
      <c r="C2505" t="s">
        <v>11024</v>
      </c>
    </row>
    <row r="2506" spans="1:3" hidden="1" x14ac:dyDescent="0.25">
      <c r="A2506" t="s">
        <v>11025</v>
      </c>
      <c r="B2506" t="s">
        <v>5582</v>
      </c>
      <c r="C2506" t="s">
        <v>6958</v>
      </c>
    </row>
    <row r="2507" spans="1:3" hidden="1" x14ac:dyDescent="0.25">
      <c r="A2507" t="s">
        <v>11026</v>
      </c>
      <c r="B2507" t="s">
        <v>4397</v>
      </c>
      <c r="C2507" t="s">
        <v>6958</v>
      </c>
    </row>
    <row r="2508" spans="1:3" hidden="1" x14ac:dyDescent="0.25">
      <c r="A2508" t="s">
        <v>11027</v>
      </c>
      <c r="B2508" t="s">
        <v>877</v>
      </c>
      <c r="C2508" t="s">
        <v>11028</v>
      </c>
    </row>
    <row r="2509" spans="1:3" hidden="1" x14ac:dyDescent="0.25">
      <c r="A2509" t="s">
        <v>11029</v>
      </c>
      <c r="B2509" t="s">
        <v>1343</v>
      </c>
      <c r="C2509" t="s">
        <v>11030</v>
      </c>
    </row>
    <row r="2510" spans="1:3" hidden="1" x14ac:dyDescent="0.25">
      <c r="A2510" t="s">
        <v>11031</v>
      </c>
      <c r="B2510" t="s">
        <v>1086</v>
      </c>
      <c r="C2510" t="s">
        <v>6958</v>
      </c>
    </row>
    <row r="2511" spans="1:3" hidden="1" x14ac:dyDescent="0.25">
      <c r="A2511" t="s">
        <v>11032</v>
      </c>
      <c r="B2511" t="s">
        <v>1667</v>
      </c>
      <c r="C2511" t="s">
        <v>6958</v>
      </c>
    </row>
    <row r="2512" spans="1:3" hidden="1" x14ac:dyDescent="0.25">
      <c r="A2512" t="s">
        <v>11033</v>
      </c>
      <c r="B2512" t="s">
        <v>4647</v>
      </c>
      <c r="C2512" t="s">
        <v>6958</v>
      </c>
    </row>
    <row r="2513" spans="1:3" hidden="1" x14ac:dyDescent="0.25">
      <c r="A2513" t="s">
        <v>11034</v>
      </c>
      <c r="B2513" t="s">
        <v>626</v>
      </c>
      <c r="C2513" t="s">
        <v>6958</v>
      </c>
    </row>
    <row r="2514" spans="1:3" hidden="1" x14ac:dyDescent="0.25">
      <c r="A2514" t="s">
        <v>11035</v>
      </c>
      <c r="B2514" t="s">
        <v>959</v>
      </c>
      <c r="C2514" t="s">
        <v>11036</v>
      </c>
    </row>
    <row r="2515" spans="1:3" hidden="1" x14ac:dyDescent="0.25">
      <c r="A2515" t="s">
        <v>11037</v>
      </c>
      <c r="B2515" t="s">
        <v>1862</v>
      </c>
      <c r="C2515" t="s">
        <v>6958</v>
      </c>
    </row>
    <row r="2516" spans="1:3" hidden="1" x14ac:dyDescent="0.25">
      <c r="A2516" t="s">
        <v>11038</v>
      </c>
      <c r="B2516" t="s">
        <v>1002</v>
      </c>
      <c r="C2516" t="s">
        <v>6958</v>
      </c>
    </row>
    <row r="2517" spans="1:3" hidden="1" x14ac:dyDescent="0.25">
      <c r="A2517" t="s">
        <v>11039</v>
      </c>
      <c r="B2517" t="s">
        <v>11040</v>
      </c>
      <c r="C2517" t="s">
        <v>11041</v>
      </c>
    </row>
    <row r="2518" spans="1:3" hidden="1" x14ac:dyDescent="0.25">
      <c r="A2518" t="s">
        <v>11042</v>
      </c>
      <c r="B2518" t="s">
        <v>2455</v>
      </c>
      <c r="C2518" t="s">
        <v>11043</v>
      </c>
    </row>
    <row r="2519" spans="1:3" hidden="1" x14ac:dyDescent="0.25">
      <c r="A2519" t="s">
        <v>11044</v>
      </c>
      <c r="B2519" t="s">
        <v>4157</v>
      </c>
      <c r="C2519" t="s">
        <v>6958</v>
      </c>
    </row>
    <row r="2520" spans="1:3" hidden="1" x14ac:dyDescent="0.25">
      <c r="A2520" t="s">
        <v>11045</v>
      </c>
      <c r="B2520" t="s">
        <v>1439</v>
      </c>
      <c r="C2520" t="s">
        <v>6958</v>
      </c>
    </row>
    <row r="2521" spans="1:3" hidden="1" x14ac:dyDescent="0.25">
      <c r="A2521" t="s">
        <v>11046</v>
      </c>
      <c r="B2521" t="s">
        <v>1368</v>
      </c>
      <c r="C2521" t="s">
        <v>11047</v>
      </c>
    </row>
    <row r="2522" spans="1:3" hidden="1" x14ac:dyDescent="0.25">
      <c r="A2522" t="s">
        <v>11048</v>
      </c>
      <c r="B2522" t="s">
        <v>1960</v>
      </c>
      <c r="C2522" t="s">
        <v>11049</v>
      </c>
    </row>
    <row r="2523" spans="1:3" hidden="1" x14ac:dyDescent="0.25">
      <c r="A2523" t="s">
        <v>11050</v>
      </c>
      <c r="B2523" t="s">
        <v>1979</v>
      </c>
      <c r="C2523" t="s">
        <v>11051</v>
      </c>
    </row>
    <row r="2524" spans="1:3" hidden="1" x14ac:dyDescent="0.25">
      <c r="A2524" t="s">
        <v>11052</v>
      </c>
      <c r="B2524" t="s">
        <v>2893</v>
      </c>
      <c r="C2524" t="s">
        <v>6958</v>
      </c>
    </row>
    <row r="2525" spans="1:3" hidden="1" x14ac:dyDescent="0.25">
      <c r="A2525" t="s">
        <v>11053</v>
      </c>
      <c r="B2525" t="s">
        <v>850</v>
      </c>
      <c r="C2525" t="s">
        <v>11054</v>
      </c>
    </row>
    <row r="2526" spans="1:3" hidden="1" x14ac:dyDescent="0.25">
      <c r="A2526" t="s">
        <v>11055</v>
      </c>
      <c r="B2526" t="s">
        <v>497</v>
      </c>
      <c r="C2526" t="s">
        <v>11056</v>
      </c>
    </row>
    <row r="2527" spans="1:3" hidden="1" x14ac:dyDescent="0.25">
      <c r="A2527" t="s">
        <v>11057</v>
      </c>
      <c r="B2527" t="s">
        <v>5603</v>
      </c>
      <c r="C2527" t="s">
        <v>6958</v>
      </c>
    </row>
    <row r="2528" spans="1:3" hidden="1" x14ac:dyDescent="0.25">
      <c r="A2528" t="s">
        <v>11058</v>
      </c>
      <c r="B2528" t="s">
        <v>761</v>
      </c>
      <c r="C2528" t="s">
        <v>6958</v>
      </c>
    </row>
    <row r="2529" spans="1:3" hidden="1" x14ac:dyDescent="0.25">
      <c r="A2529" t="s">
        <v>11059</v>
      </c>
      <c r="B2529" t="s">
        <v>3776</v>
      </c>
      <c r="C2529" t="s">
        <v>6958</v>
      </c>
    </row>
    <row r="2530" spans="1:3" hidden="1" x14ac:dyDescent="0.25">
      <c r="A2530" t="s">
        <v>11060</v>
      </c>
      <c r="B2530" t="s">
        <v>897</v>
      </c>
      <c r="C2530" t="s">
        <v>6958</v>
      </c>
    </row>
    <row r="2531" spans="1:3" hidden="1" x14ac:dyDescent="0.25">
      <c r="A2531" t="s">
        <v>11061</v>
      </c>
      <c r="B2531" t="s">
        <v>11062</v>
      </c>
      <c r="C2531" t="s">
        <v>11063</v>
      </c>
    </row>
    <row r="2532" spans="1:3" hidden="1" x14ac:dyDescent="0.25">
      <c r="A2532" t="s">
        <v>11064</v>
      </c>
      <c r="B2532" t="s">
        <v>2544</v>
      </c>
      <c r="C2532" t="s">
        <v>6958</v>
      </c>
    </row>
    <row r="2533" spans="1:3" hidden="1" x14ac:dyDescent="0.25">
      <c r="A2533" t="s">
        <v>11065</v>
      </c>
      <c r="B2533" t="s">
        <v>2971</v>
      </c>
      <c r="C2533" t="s">
        <v>6958</v>
      </c>
    </row>
    <row r="2534" spans="1:3" hidden="1" x14ac:dyDescent="0.25">
      <c r="A2534" t="s">
        <v>11066</v>
      </c>
      <c r="B2534" t="s">
        <v>1310</v>
      </c>
      <c r="C2534" t="s">
        <v>11067</v>
      </c>
    </row>
    <row r="2535" spans="1:3" hidden="1" x14ac:dyDescent="0.25">
      <c r="A2535" t="s">
        <v>11068</v>
      </c>
      <c r="B2535" t="s">
        <v>2931</v>
      </c>
      <c r="C2535" t="s">
        <v>6958</v>
      </c>
    </row>
    <row r="2536" spans="1:3" hidden="1" x14ac:dyDescent="0.25">
      <c r="A2536" t="s">
        <v>11069</v>
      </c>
      <c r="B2536" t="s">
        <v>5146</v>
      </c>
      <c r="C2536" t="s">
        <v>6958</v>
      </c>
    </row>
    <row r="2537" spans="1:3" hidden="1" x14ac:dyDescent="0.25">
      <c r="A2537" t="s">
        <v>11070</v>
      </c>
      <c r="B2537" t="s">
        <v>11071</v>
      </c>
      <c r="C2537" t="s">
        <v>6958</v>
      </c>
    </row>
    <row r="2538" spans="1:3" hidden="1" x14ac:dyDescent="0.25">
      <c r="A2538" t="s">
        <v>11072</v>
      </c>
      <c r="B2538" t="s">
        <v>4545</v>
      </c>
      <c r="C2538" t="s">
        <v>6958</v>
      </c>
    </row>
    <row r="2539" spans="1:3" hidden="1" x14ac:dyDescent="0.25">
      <c r="A2539" t="s">
        <v>11073</v>
      </c>
      <c r="B2539" t="s">
        <v>3538</v>
      </c>
      <c r="C2539" t="s">
        <v>6958</v>
      </c>
    </row>
    <row r="2540" spans="1:3" hidden="1" x14ac:dyDescent="0.25">
      <c r="A2540" t="s">
        <v>11074</v>
      </c>
      <c r="B2540" t="s">
        <v>5625</v>
      </c>
      <c r="C2540" t="s">
        <v>11075</v>
      </c>
    </row>
    <row r="2541" spans="1:3" hidden="1" x14ac:dyDescent="0.25">
      <c r="A2541" t="s">
        <v>11076</v>
      </c>
      <c r="B2541" t="s">
        <v>3930</v>
      </c>
      <c r="C2541" t="s">
        <v>11077</v>
      </c>
    </row>
    <row r="2542" spans="1:3" hidden="1" x14ac:dyDescent="0.25">
      <c r="A2542" t="s">
        <v>11078</v>
      </c>
      <c r="B2542" t="s">
        <v>1249</v>
      </c>
      <c r="C2542" t="s">
        <v>11079</v>
      </c>
    </row>
    <row r="2543" spans="1:3" hidden="1" x14ac:dyDescent="0.25">
      <c r="A2543" t="s">
        <v>11080</v>
      </c>
      <c r="B2543" t="s">
        <v>2576</v>
      </c>
      <c r="C2543" t="s">
        <v>6958</v>
      </c>
    </row>
    <row r="2544" spans="1:3" hidden="1" x14ac:dyDescent="0.25">
      <c r="A2544" t="s">
        <v>11081</v>
      </c>
      <c r="B2544" t="s">
        <v>1718</v>
      </c>
      <c r="C2544" t="s">
        <v>6958</v>
      </c>
    </row>
    <row r="2545" spans="1:3" hidden="1" x14ac:dyDescent="0.25">
      <c r="A2545" t="s">
        <v>11082</v>
      </c>
      <c r="B2545" t="s">
        <v>920</v>
      </c>
      <c r="C2545" t="s">
        <v>6958</v>
      </c>
    </row>
    <row r="2546" spans="1:3" hidden="1" x14ac:dyDescent="0.25">
      <c r="A2546" t="s">
        <v>11083</v>
      </c>
      <c r="B2546" t="s">
        <v>669</v>
      </c>
      <c r="C2546" t="s">
        <v>11084</v>
      </c>
    </row>
    <row r="2547" spans="1:3" hidden="1" x14ac:dyDescent="0.25">
      <c r="A2547" t="s">
        <v>11085</v>
      </c>
      <c r="B2547" t="s">
        <v>3987</v>
      </c>
      <c r="C2547" t="s">
        <v>11086</v>
      </c>
    </row>
    <row r="2548" spans="1:3" hidden="1" x14ac:dyDescent="0.25">
      <c r="A2548" t="s">
        <v>11087</v>
      </c>
      <c r="B2548" t="s">
        <v>4855</v>
      </c>
      <c r="C2548" t="s">
        <v>11088</v>
      </c>
    </row>
    <row r="2549" spans="1:3" hidden="1" x14ac:dyDescent="0.25">
      <c r="A2549" t="s">
        <v>11089</v>
      </c>
      <c r="B2549" t="s">
        <v>2759</v>
      </c>
      <c r="C2549" t="s">
        <v>6958</v>
      </c>
    </row>
    <row r="2550" spans="1:3" hidden="1" x14ac:dyDescent="0.25">
      <c r="A2550" t="s">
        <v>11090</v>
      </c>
      <c r="B2550" t="s">
        <v>1818</v>
      </c>
      <c r="C2550" t="s">
        <v>11091</v>
      </c>
    </row>
    <row r="2551" spans="1:3" hidden="1" x14ac:dyDescent="0.25">
      <c r="A2551" t="s">
        <v>11092</v>
      </c>
      <c r="B2551" t="s">
        <v>3781</v>
      </c>
      <c r="C2551" t="s">
        <v>6958</v>
      </c>
    </row>
    <row r="2552" spans="1:3" hidden="1" x14ac:dyDescent="0.25">
      <c r="A2552" t="s">
        <v>11093</v>
      </c>
      <c r="B2552" t="s">
        <v>764</v>
      </c>
      <c r="C2552" t="s">
        <v>6958</v>
      </c>
    </row>
    <row r="2553" spans="1:3" hidden="1" x14ac:dyDescent="0.25">
      <c r="A2553" t="s">
        <v>11094</v>
      </c>
      <c r="B2553" t="s">
        <v>676</v>
      </c>
      <c r="C2553" t="s">
        <v>11095</v>
      </c>
    </row>
    <row r="2554" spans="1:3" hidden="1" x14ac:dyDescent="0.25">
      <c r="A2554" t="s">
        <v>11096</v>
      </c>
      <c r="B2554" t="s">
        <v>2563</v>
      </c>
      <c r="C2554" t="s">
        <v>6958</v>
      </c>
    </row>
    <row r="2555" spans="1:3" hidden="1" x14ac:dyDescent="0.25">
      <c r="A2555" t="s">
        <v>11097</v>
      </c>
      <c r="B2555" t="s">
        <v>83</v>
      </c>
      <c r="C2555" t="s">
        <v>11098</v>
      </c>
    </row>
    <row r="2556" spans="1:3" hidden="1" x14ac:dyDescent="0.25">
      <c r="A2556" t="s">
        <v>11099</v>
      </c>
      <c r="B2556" t="s">
        <v>3012</v>
      </c>
      <c r="C2556" t="s">
        <v>6958</v>
      </c>
    </row>
    <row r="2557" spans="1:3" hidden="1" x14ac:dyDescent="0.25">
      <c r="A2557" t="s">
        <v>11100</v>
      </c>
      <c r="B2557" t="s">
        <v>548</v>
      </c>
      <c r="C2557" t="s">
        <v>6958</v>
      </c>
    </row>
    <row r="2558" spans="1:3" hidden="1" x14ac:dyDescent="0.25">
      <c r="A2558" t="s">
        <v>11101</v>
      </c>
      <c r="B2558" t="s">
        <v>2232</v>
      </c>
      <c r="C2558" t="s">
        <v>6958</v>
      </c>
    </row>
    <row r="2559" spans="1:3" hidden="1" x14ac:dyDescent="0.25">
      <c r="A2559" t="s">
        <v>11102</v>
      </c>
      <c r="B2559" t="s">
        <v>402</v>
      </c>
      <c r="C2559" t="s">
        <v>6958</v>
      </c>
    </row>
    <row r="2560" spans="1:3" hidden="1" x14ac:dyDescent="0.25">
      <c r="A2560" t="s">
        <v>11103</v>
      </c>
      <c r="B2560" t="s">
        <v>546</v>
      </c>
      <c r="C2560" t="s">
        <v>11104</v>
      </c>
    </row>
    <row r="2561" spans="1:3" hidden="1" x14ac:dyDescent="0.25">
      <c r="A2561" t="s">
        <v>11105</v>
      </c>
      <c r="B2561" t="s">
        <v>3563</v>
      </c>
      <c r="C2561" t="s">
        <v>11106</v>
      </c>
    </row>
    <row r="2562" spans="1:3" hidden="1" x14ac:dyDescent="0.25">
      <c r="A2562" t="s">
        <v>11107</v>
      </c>
      <c r="B2562" t="s">
        <v>2390</v>
      </c>
      <c r="C2562" t="s">
        <v>11108</v>
      </c>
    </row>
    <row r="2563" spans="1:3" hidden="1" x14ac:dyDescent="0.25">
      <c r="A2563" t="s">
        <v>11109</v>
      </c>
      <c r="B2563" t="s">
        <v>2998</v>
      </c>
      <c r="C2563" t="s">
        <v>11110</v>
      </c>
    </row>
    <row r="2564" spans="1:3" hidden="1" x14ac:dyDescent="0.25">
      <c r="A2564" t="s">
        <v>11111</v>
      </c>
      <c r="B2564" t="s">
        <v>333</v>
      </c>
      <c r="C2564" t="s">
        <v>11112</v>
      </c>
    </row>
    <row r="2565" spans="1:3" hidden="1" x14ac:dyDescent="0.25">
      <c r="A2565" t="s">
        <v>11113</v>
      </c>
      <c r="B2565" t="s">
        <v>5120</v>
      </c>
      <c r="C2565" t="s">
        <v>6958</v>
      </c>
    </row>
    <row r="2566" spans="1:3" hidden="1" x14ac:dyDescent="0.25">
      <c r="A2566" t="s">
        <v>11114</v>
      </c>
      <c r="B2566" t="s">
        <v>1462</v>
      </c>
      <c r="C2566" t="s">
        <v>11115</v>
      </c>
    </row>
    <row r="2567" spans="1:3" hidden="1" x14ac:dyDescent="0.25">
      <c r="A2567" t="s">
        <v>11116</v>
      </c>
      <c r="B2567" t="s">
        <v>3381</v>
      </c>
      <c r="C2567" t="s">
        <v>6958</v>
      </c>
    </row>
    <row r="2568" spans="1:3" hidden="1" x14ac:dyDescent="0.25">
      <c r="A2568" t="s">
        <v>11117</v>
      </c>
      <c r="B2568" t="s">
        <v>1033</v>
      </c>
      <c r="C2568" t="s">
        <v>11118</v>
      </c>
    </row>
    <row r="2569" spans="1:3" hidden="1" x14ac:dyDescent="0.25">
      <c r="A2569" t="s">
        <v>11119</v>
      </c>
      <c r="B2569" t="s">
        <v>1519</v>
      </c>
      <c r="C2569" t="s">
        <v>11120</v>
      </c>
    </row>
    <row r="2570" spans="1:3" hidden="1" x14ac:dyDescent="0.25">
      <c r="A2570" t="s">
        <v>11121</v>
      </c>
      <c r="B2570" t="s">
        <v>975</v>
      </c>
      <c r="C2570" t="s">
        <v>6958</v>
      </c>
    </row>
    <row r="2571" spans="1:3" hidden="1" x14ac:dyDescent="0.25">
      <c r="A2571" t="s">
        <v>11122</v>
      </c>
      <c r="B2571" t="s">
        <v>5593</v>
      </c>
      <c r="C2571" t="s">
        <v>11123</v>
      </c>
    </row>
    <row r="2572" spans="1:3" hidden="1" x14ac:dyDescent="0.25">
      <c r="A2572" t="s">
        <v>11124</v>
      </c>
      <c r="B2572" t="s">
        <v>3033</v>
      </c>
      <c r="C2572" t="s">
        <v>11125</v>
      </c>
    </row>
    <row r="2573" spans="1:3" hidden="1" x14ac:dyDescent="0.25">
      <c r="A2573" t="s">
        <v>11126</v>
      </c>
      <c r="B2573" t="s">
        <v>1956</v>
      </c>
      <c r="C2573" t="s">
        <v>11127</v>
      </c>
    </row>
    <row r="2574" spans="1:3" hidden="1" x14ac:dyDescent="0.25">
      <c r="A2574" t="s">
        <v>11128</v>
      </c>
      <c r="B2574" t="s">
        <v>4724</v>
      </c>
      <c r="C2574" t="s">
        <v>6958</v>
      </c>
    </row>
    <row r="2575" spans="1:3" hidden="1" x14ac:dyDescent="0.25">
      <c r="A2575" t="s">
        <v>11129</v>
      </c>
      <c r="B2575" t="s">
        <v>4027</v>
      </c>
      <c r="C2575" t="s">
        <v>11130</v>
      </c>
    </row>
    <row r="2576" spans="1:3" hidden="1" x14ac:dyDescent="0.25">
      <c r="A2576" t="s">
        <v>11131</v>
      </c>
      <c r="B2576" t="s">
        <v>3893</v>
      </c>
      <c r="C2576" t="s">
        <v>11132</v>
      </c>
    </row>
    <row r="2577" spans="1:3" hidden="1" x14ac:dyDescent="0.25">
      <c r="A2577" t="s">
        <v>11133</v>
      </c>
      <c r="B2577" t="s">
        <v>3738</v>
      </c>
      <c r="C2577" t="s">
        <v>11134</v>
      </c>
    </row>
    <row r="2578" spans="1:3" hidden="1" x14ac:dyDescent="0.25">
      <c r="A2578" t="s">
        <v>11135</v>
      </c>
      <c r="B2578" t="s">
        <v>2640</v>
      </c>
      <c r="C2578" t="s">
        <v>11136</v>
      </c>
    </row>
    <row r="2579" spans="1:3" hidden="1" x14ac:dyDescent="0.25">
      <c r="A2579" t="s">
        <v>11137</v>
      </c>
      <c r="B2579" t="s">
        <v>3306</v>
      </c>
      <c r="C2579" t="s">
        <v>6958</v>
      </c>
    </row>
    <row r="2580" spans="1:3" hidden="1" x14ac:dyDescent="0.25">
      <c r="A2580" t="s">
        <v>11138</v>
      </c>
      <c r="B2580" t="s">
        <v>3186</v>
      </c>
      <c r="C2580" t="s">
        <v>6958</v>
      </c>
    </row>
    <row r="2581" spans="1:3" hidden="1" x14ac:dyDescent="0.25">
      <c r="A2581" t="s">
        <v>11139</v>
      </c>
      <c r="B2581" t="s">
        <v>2005</v>
      </c>
      <c r="C2581" t="s">
        <v>6958</v>
      </c>
    </row>
    <row r="2582" spans="1:3" hidden="1" x14ac:dyDescent="0.25">
      <c r="A2582" t="s">
        <v>11140</v>
      </c>
      <c r="B2582" t="s">
        <v>4938</v>
      </c>
      <c r="C2582" t="s">
        <v>11141</v>
      </c>
    </row>
    <row r="2583" spans="1:3" hidden="1" x14ac:dyDescent="0.25">
      <c r="A2583" t="s">
        <v>11142</v>
      </c>
      <c r="B2583" t="s">
        <v>1321</v>
      </c>
      <c r="C2583" t="s">
        <v>11143</v>
      </c>
    </row>
    <row r="2584" spans="1:3" hidden="1" x14ac:dyDescent="0.25">
      <c r="A2584" t="s">
        <v>11144</v>
      </c>
      <c r="B2584" t="s">
        <v>4077</v>
      </c>
      <c r="C2584" t="s">
        <v>11143</v>
      </c>
    </row>
    <row r="2585" spans="1:3" hidden="1" x14ac:dyDescent="0.25">
      <c r="A2585" t="s">
        <v>11145</v>
      </c>
      <c r="B2585" t="s">
        <v>4098</v>
      </c>
      <c r="C2585" t="s">
        <v>11146</v>
      </c>
    </row>
    <row r="2586" spans="1:3" hidden="1" x14ac:dyDescent="0.25">
      <c r="A2586" t="s">
        <v>11147</v>
      </c>
      <c r="B2586" t="s">
        <v>3888</v>
      </c>
      <c r="C2586" t="s">
        <v>6958</v>
      </c>
    </row>
    <row r="2587" spans="1:3" hidden="1" x14ac:dyDescent="0.25">
      <c r="A2587" t="s">
        <v>11148</v>
      </c>
      <c r="B2587" t="s">
        <v>4776</v>
      </c>
      <c r="C2587" t="s">
        <v>11149</v>
      </c>
    </row>
    <row r="2588" spans="1:3" hidden="1" x14ac:dyDescent="0.25">
      <c r="A2588" t="s">
        <v>11150</v>
      </c>
      <c r="B2588" t="s">
        <v>4159</v>
      </c>
      <c r="C2588" t="s">
        <v>6958</v>
      </c>
    </row>
    <row r="2589" spans="1:3" hidden="1" x14ac:dyDescent="0.25">
      <c r="A2589" t="s">
        <v>11151</v>
      </c>
      <c r="B2589" t="s">
        <v>5058</v>
      </c>
      <c r="C2589" t="s">
        <v>11152</v>
      </c>
    </row>
    <row r="2590" spans="1:3" hidden="1" x14ac:dyDescent="0.25">
      <c r="A2590" t="s">
        <v>11153</v>
      </c>
      <c r="B2590" t="s">
        <v>4233</v>
      </c>
      <c r="C2590" t="s">
        <v>11154</v>
      </c>
    </row>
    <row r="2591" spans="1:3" hidden="1" x14ac:dyDescent="0.25">
      <c r="A2591" t="s">
        <v>11155</v>
      </c>
      <c r="B2591" t="s">
        <v>1972</v>
      </c>
      <c r="C2591" t="s">
        <v>11156</v>
      </c>
    </row>
    <row r="2592" spans="1:3" hidden="1" x14ac:dyDescent="0.25">
      <c r="A2592" t="s">
        <v>11157</v>
      </c>
      <c r="B2592" t="s">
        <v>3946</v>
      </c>
      <c r="C2592" t="s">
        <v>6958</v>
      </c>
    </row>
    <row r="2593" spans="1:3" hidden="1" x14ac:dyDescent="0.25">
      <c r="A2593" t="s">
        <v>11158</v>
      </c>
      <c r="B2593" t="s">
        <v>5012</v>
      </c>
      <c r="C2593" t="s">
        <v>6958</v>
      </c>
    </row>
    <row r="2594" spans="1:3" hidden="1" x14ac:dyDescent="0.25">
      <c r="A2594" t="s">
        <v>11159</v>
      </c>
      <c r="B2594" t="s">
        <v>4766</v>
      </c>
      <c r="C2594" t="s">
        <v>6958</v>
      </c>
    </row>
    <row r="2595" spans="1:3" hidden="1" x14ac:dyDescent="0.25">
      <c r="A2595" t="s">
        <v>11160</v>
      </c>
      <c r="B2595" t="s">
        <v>4108</v>
      </c>
      <c r="C2595" t="s">
        <v>11161</v>
      </c>
    </row>
    <row r="2596" spans="1:3" hidden="1" x14ac:dyDescent="0.25">
      <c r="A2596" t="s">
        <v>11162</v>
      </c>
      <c r="B2596" t="s">
        <v>2780</v>
      </c>
      <c r="C2596" t="s">
        <v>11163</v>
      </c>
    </row>
    <row r="2597" spans="1:3" hidden="1" x14ac:dyDescent="0.25">
      <c r="A2597" t="s">
        <v>11164</v>
      </c>
      <c r="B2597" t="s">
        <v>1591</v>
      </c>
      <c r="C2597" t="s">
        <v>11165</v>
      </c>
    </row>
    <row r="2598" spans="1:3" hidden="1" x14ac:dyDescent="0.25">
      <c r="A2598" t="s">
        <v>11166</v>
      </c>
      <c r="B2598" t="s">
        <v>4590</v>
      </c>
      <c r="C2598" t="s">
        <v>11167</v>
      </c>
    </row>
    <row r="2599" spans="1:3" hidden="1" x14ac:dyDescent="0.25">
      <c r="A2599" t="s">
        <v>11168</v>
      </c>
      <c r="B2599" t="s">
        <v>2595</v>
      </c>
      <c r="C2599" t="s">
        <v>11169</v>
      </c>
    </row>
    <row r="2600" spans="1:3" hidden="1" x14ac:dyDescent="0.25">
      <c r="A2600" t="s">
        <v>11170</v>
      </c>
      <c r="B2600" t="s">
        <v>789</v>
      </c>
      <c r="C2600" t="s">
        <v>6958</v>
      </c>
    </row>
    <row r="2601" spans="1:3" hidden="1" x14ac:dyDescent="0.25">
      <c r="A2601" t="s">
        <v>11171</v>
      </c>
      <c r="B2601" t="s">
        <v>3337</v>
      </c>
      <c r="C2601" t="s">
        <v>11172</v>
      </c>
    </row>
    <row r="2602" spans="1:3" hidden="1" x14ac:dyDescent="0.25">
      <c r="A2602" t="s">
        <v>11173</v>
      </c>
      <c r="B2602" t="s">
        <v>2225</v>
      </c>
      <c r="C2602" t="s">
        <v>11174</v>
      </c>
    </row>
    <row r="2603" spans="1:3" hidden="1" x14ac:dyDescent="0.25">
      <c r="A2603" t="s">
        <v>11175</v>
      </c>
      <c r="B2603" t="s">
        <v>5024</v>
      </c>
      <c r="C2603" t="s">
        <v>7628</v>
      </c>
    </row>
    <row r="2604" spans="1:3" hidden="1" x14ac:dyDescent="0.25">
      <c r="A2604" t="s">
        <v>11176</v>
      </c>
      <c r="B2604" t="s">
        <v>5309</v>
      </c>
      <c r="C2604" t="s">
        <v>11177</v>
      </c>
    </row>
    <row r="2605" spans="1:3" hidden="1" x14ac:dyDescent="0.25">
      <c r="A2605" t="s">
        <v>11178</v>
      </c>
      <c r="B2605" t="s">
        <v>1251</v>
      </c>
      <c r="C2605" t="s">
        <v>6958</v>
      </c>
    </row>
    <row r="2606" spans="1:3" hidden="1" x14ac:dyDescent="0.25">
      <c r="A2606" t="s">
        <v>11179</v>
      </c>
      <c r="B2606" t="s">
        <v>1895</v>
      </c>
      <c r="C2606" t="s">
        <v>11180</v>
      </c>
    </row>
    <row r="2607" spans="1:3" hidden="1" x14ac:dyDescent="0.25">
      <c r="A2607" t="s">
        <v>11181</v>
      </c>
      <c r="B2607" t="s">
        <v>1525</v>
      </c>
      <c r="C2607" t="s">
        <v>6958</v>
      </c>
    </row>
    <row r="2608" spans="1:3" hidden="1" x14ac:dyDescent="0.25">
      <c r="A2608" t="s">
        <v>11182</v>
      </c>
      <c r="B2608" t="s">
        <v>4885</v>
      </c>
      <c r="C2608" t="s">
        <v>6958</v>
      </c>
    </row>
    <row r="2609" spans="1:3" hidden="1" x14ac:dyDescent="0.25">
      <c r="A2609" t="s">
        <v>11183</v>
      </c>
      <c r="B2609" t="s">
        <v>3336</v>
      </c>
      <c r="C2609" t="s">
        <v>11184</v>
      </c>
    </row>
    <row r="2610" spans="1:3" hidden="1" x14ac:dyDescent="0.25">
      <c r="A2610" t="s">
        <v>11185</v>
      </c>
      <c r="B2610" t="s">
        <v>2744</v>
      </c>
      <c r="C2610" t="s">
        <v>11186</v>
      </c>
    </row>
    <row r="2611" spans="1:3" hidden="1" x14ac:dyDescent="0.25">
      <c r="A2611" t="s">
        <v>11187</v>
      </c>
      <c r="B2611" t="s">
        <v>5466</v>
      </c>
      <c r="C2611" t="s">
        <v>11188</v>
      </c>
    </row>
    <row r="2612" spans="1:3" hidden="1" x14ac:dyDescent="0.25">
      <c r="A2612" t="s">
        <v>11189</v>
      </c>
      <c r="B2612" t="s">
        <v>5196</v>
      </c>
      <c r="C2612" t="s">
        <v>11190</v>
      </c>
    </row>
    <row r="2613" spans="1:3" hidden="1" x14ac:dyDescent="0.25">
      <c r="A2613" t="s">
        <v>11191</v>
      </c>
      <c r="B2613" t="s">
        <v>4144</v>
      </c>
      <c r="C2613" t="s">
        <v>11192</v>
      </c>
    </row>
    <row r="2614" spans="1:3" hidden="1" x14ac:dyDescent="0.25">
      <c r="A2614" t="s">
        <v>11193</v>
      </c>
      <c r="B2614" t="s">
        <v>4758</v>
      </c>
      <c r="C2614" t="s">
        <v>11194</v>
      </c>
    </row>
    <row r="2615" spans="1:3" hidden="1" x14ac:dyDescent="0.25">
      <c r="A2615" t="s">
        <v>11195</v>
      </c>
      <c r="B2615" t="s">
        <v>191</v>
      </c>
      <c r="C2615" t="s">
        <v>11196</v>
      </c>
    </row>
    <row r="2616" spans="1:3" hidden="1" x14ac:dyDescent="0.25">
      <c r="A2616" t="s">
        <v>11197</v>
      </c>
      <c r="B2616" t="s">
        <v>11198</v>
      </c>
      <c r="C2616" t="s">
        <v>11199</v>
      </c>
    </row>
    <row r="2617" spans="1:3" hidden="1" x14ac:dyDescent="0.25">
      <c r="A2617" t="s">
        <v>11200</v>
      </c>
      <c r="B2617" t="s">
        <v>4666</v>
      </c>
      <c r="C2617" t="s">
        <v>11201</v>
      </c>
    </row>
    <row r="2618" spans="1:3" hidden="1" x14ac:dyDescent="0.25">
      <c r="A2618" t="s">
        <v>11202</v>
      </c>
      <c r="B2618" t="s">
        <v>4799</v>
      </c>
      <c r="C2618" t="s">
        <v>11203</v>
      </c>
    </row>
    <row r="2619" spans="1:3" hidden="1" x14ac:dyDescent="0.25">
      <c r="A2619" t="s">
        <v>11204</v>
      </c>
      <c r="B2619" t="s">
        <v>574</v>
      </c>
      <c r="C2619" t="s">
        <v>11205</v>
      </c>
    </row>
    <row r="2620" spans="1:3" hidden="1" x14ac:dyDescent="0.25">
      <c r="A2620" t="s">
        <v>11206</v>
      </c>
      <c r="B2620" t="s">
        <v>3531</v>
      </c>
      <c r="C2620" t="s">
        <v>11207</v>
      </c>
    </row>
    <row r="2621" spans="1:3" hidden="1" x14ac:dyDescent="0.25">
      <c r="A2621" t="s">
        <v>11208</v>
      </c>
      <c r="B2621" t="s">
        <v>3055</v>
      </c>
      <c r="C2621" t="s">
        <v>6958</v>
      </c>
    </row>
    <row r="2622" spans="1:3" hidden="1" x14ac:dyDescent="0.25">
      <c r="A2622" t="s">
        <v>11209</v>
      </c>
      <c r="B2622" t="s">
        <v>4564</v>
      </c>
      <c r="C2622" t="s">
        <v>11210</v>
      </c>
    </row>
    <row r="2623" spans="1:3" hidden="1" x14ac:dyDescent="0.25">
      <c r="A2623" t="s">
        <v>11211</v>
      </c>
      <c r="B2623" t="s">
        <v>1022</v>
      </c>
      <c r="C2623" t="s">
        <v>6958</v>
      </c>
    </row>
    <row r="2624" spans="1:3" hidden="1" x14ac:dyDescent="0.25">
      <c r="A2624" t="s">
        <v>11212</v>
      </c>
      <c r="B2624" t="s">
        <v>1016</v>
      </c>
      <c r="C2624" t="s">
        <v>6958</v>
      </c>
    </row>
    <row r="2625" spans="1:3" hidden="1" x14ac:dyDescent="0.25">
      <c r="A2625" t="s">
        <v>11213</v>
      </c>
      <c r="B2625" t="s">
        <v>2615</v>
      </c>
      <c r="C2625" t="s">
        <v>11214</v>
      </c>
    </row>
    <row r="2626" spans="1:3" hidden="1" x14ac:dyDescent="0.25">
      <c r="A2626" t="s">
        <v>11215</v>
      </c>
      <c r="B2626" t="s">
        <v>979</v>
      </c>
      <c r="C2626" t="s">
        <v>6958</v>
      </c>
    </row>
    <row r="2627" spans="1:3" hidden="1" x14ac:dyDescent="0.25">
      <c r="A2627" t="s">
        <v>11216</v>
      </c>
      <c r="B2627" t="s">
        <v>3409</v>
      </c>
      <c r="C2627" t="s">
        <v>11217</v>
      </c>
    </row>
    <row r="2628" spans="1:3" hidden="1" x14ac:dyDescent="0.25">
      <c r="A2628" t="s">
        <v>11218</v>
      </c>
      <c r="B2628" t="s">
        <v>2538</v>
      </c>
      <c r="C2628" t="s">
        <v>11219</v>
      </c>
    </row>
    <row r="2629" spans="1:3" hidden="1" x14ac:dyDescent="0.25">
      <c r="A2629" t="s">
        <v>11220</v>
      </c>
      <c r="B2629" t="s">
        <v>1423</v>
      </c>
      <c r="C2629" t="s">
        <v>11221</v>
      </c>
    </row>
    <row r="2630" spans="1:3" hidden="1" x14ac:dyDescent="0.25">
      <c r="A2630" t="s">
        <v>11222</v>
      </c>
      <c r="B2630" t="s">
        <v>3230</v>
      </c>
      <c r="C2630" t="s">
        <v>11223</v>
      </c>
    </row>
    <row r="2631" spans="1:3" hidden="1" x14ac:dyDescent="0.25">
      <c r="A2631" t="s">
        <v>11224</v>
      </c>
      <c r="B2631" t="s">
        <v>1705</v>
      </c>
      <c r="C2631" t="s">
        <v>6958</v>
      </c>
    </row>
    <row r="2632" spans="1:3" hidden="1" x14ac:dyDescent="0.25">
      <c r="A2632" t="s">
        <v>11225</v>
      </c>
      <c r="B2632" t="s">
        <v>5151</v>
      </c>
      <c r="C2632" t="s">
        <v>6958</v>
      </c>
    </row>
    <row r="2633" spans="1:3" hidden="1" x14ac:dyDescent="0.25">
      <c r="A2633" t="s">
        <v>11226</v>
      </c>
      <c r="B2633" t="s">
        <v>5575</v>
      </c>
      <c r="C2633" t="s">
        <v>6958</v>
      </c>
    </row>
    <row r="2634" spans="1:3" hidden="1" x14ac:dyDescent="0.25">
      <c r="A2634" t="s">
        <v>11227</v>
      </c>
      <c r="B2634" t="s">
        <v>4741</v>
      </c>
      <c r="C2634" t="s">
        <v>11228</v>
      </c>
    </row>
    <row r="2635" spans="1:3" hidden="1" x14ac:dyDescent="0.25">
      <c r="A2635" t="s">
        <v>11229</v>
      </c>
      <c r="B2635" t="s">
        <v>3434</v>
      </c>
      <c r="C2635" t="s">
        <v>11230</v>
      </c>
    </row>
    <row r="2636" spans="1:3" hidden="1" x14ac:dyDescent="0.25">
      <c r="A2636" t="s">
        <v>11231</v>
      </c>
      <c r="B2636" t="s">
        <v>431</v>
      </c>
      <c r="C2636" t="s">
        <v>11232</v>
      </c>
    </row>
    <row r="2637" spans="1:3" hidden="1" x14ac:dyDescent="0.25">
      <c r="A2637" t="s">
        <v>11233</v>
      </c>
      <c r="B2637" t="s">
        <v>1754</v>
      </c>
      <c r="C2637" t="s">
        <v>11234</v>
      </c>
    </row>
    <row r="2638" spans="1:3" hidden="1" x14ac:dyDescent="0.25">
      <c r="A2638" t="s">
        <v>11235</v>
      </c>
      <c r="B2638" t="s">
        <v>3599</v>
      </c>
      <c r="C2638" t="s">
        <v>11236</v>
      </c>
    </row>
    <row r="2639" spans="1:3" hidden="1" x14ac:dyDescent="0.25">
      <c r="A2639" t="s">
        <v>11237</v>
      </c>
      <c r="B2639" t="s">
        <v>2230</v>
      </c>
      <c r="C2639" t="s">
        <v>11238</v>
      </c>
    </row>
    <row r="2640" spans="1:3" hidden="1" x14ac:dyDescent="0.25">
      <c r="A2640" t="s">
        <v>11239</v>
      </c>
      <c r="B2640" t="s">
        <v>4621</v>
      </c>
      <c r="C2640" t="s">
        <v>11240</v>
      </c>
    </row>
    <row r="2641" spans="1:3" hidden="1" x14ac:dyDescent="0.25">
      <c r="A2641" t="s">
        <v>11241</v>
      </c>
      <c r="B2641" t="s">
        <v>11242</v>
      </c>
      <c r="C2641" t="s">
        <v>11243</v>
      </c>
    </row>
    <row r="2642" spans="1:3" hidden="1" x14ac:dyDescent="0.25">
      <c r="A2642" t="s">
        <v>11244</v>
      </c>
      <c r="B2642" t="s">
        <v>5622</v>
      </c>
      <c r="C2642" t="s">
        <v>11245</v>
      </c>
    </row>
    <row r="2643" spans="1:3" hidden="1" x14ac:dyDescent="0.25">
      <c r="A2643" t="s">
        <v>11246</v>
      </c>
      <c r="B2643" t="s">
        <v>3077</v>
      </c>
      <c r="C2643" t="s">
        <v>11247</v>
      </c>
    </row>
    <row r="2644" spans="1:3" hidden="1" x14ac:dyDescent="0.25">
      <c r="A2644" t="s">
        <v>11248</v>
      </c>
      <c r="B2644" t="s">
        <v>2761</v>
      </c>
      <c r="C2644" t="s">
        <v>11249</v>
      </c>
    </row>
    <row r="2645" spans="1:3" hidden="1" x14ac:dyDescent="0.25">
      <c r="A2645" t="s">
        <v>11250</v>
      </c>
      <c r="B2645" t="s">
        <v>3981</v>
      </c>
      <c r="C2645" t="s">
        <v>6958</v>
      </c>
    </row>
    <row r="2646" spans="1:3" hidden="1" x14ac:dyDescent="0.25">
      <c r="A2646" t="s">
        <v>11251</v>
      </c>
      <c r="B2646" t="s">
        <v>1768</v>
      </c>
      <c r="C2646" t="s">
        <v>11252</v>
      </c>
    </row>
    <row r="2647" spans="1:3" hidden="1" x14ac:dyDescent="0.25">
      <c r="A2647" t="s">
        <v>11253</v>
      </c>
      <c r="B2647" t="s">
        <v>1770</v>
      </c>
      <c r="C2647" t="s">
        <v>6958</v>
      </c>
    </row>
    <row r="2648" spans="1:3" hidden="1" x14ac:dyDescent="0.25">
      <c r="A2648" t="s">
        <v>11254</v>
      </c>
      <c r="B2648" t="s">
        <v>600</v>
      </c>
      <c r="C2648" t="s">
        <v>11255</v>
      </c>
    </row>
    <row r="2649" spans="1:3" hidden="1" x14ac:dyDescent="0.25">
      <c r="A2649" t="s">
        <v>11256</v>
      </c>
      <c r="B2649" t="s">
        <v>3628</v>
      </c>
      <c r="C2649" t="s">
        <v>6958</v>
      </c>
    </row>
    <row r="2650" spans="1:3" hidden="1" x14ac:dyDescent="0.25">
      <c r="A2650" t="s">
        <v>11257</v>
      </c>
      <c r="B2650" t="s">
        <v>4022</v>
      </c>
      <c r="C2650" t="s">
        <v>11258</v>
      </c>
    </row>
    <row r="2651" spans="1:3" hidden="1" x14ac:dyDescent="0.25">
      <c r="A2651" t="s">
        <v>11259</v>
      </c>
      <c r="B2651" t="s">
        <v>3314</v>
      </c>
      <c r="C2651" t="s">
        <v>6958</v>
      </c>
    </row>
    <row r="2652" spans="1:3" hidden="1" x14ac:dyDescent="0.25">
      <c r="A2652" t="s">
        <v>11260</v>
      </c>
      <c r="B2652" t="s">
        <v>2485</v>
      </c>
      <c r="C2652" t="s">
        <v>11261</v>
      </c>
    </row>
    <row r="2653" spans="1:3" hidden="1" x14ac:dyDescent="0.25">
      <c r="A2653" t="s">
        <v>11262</v>
      </c>
      <c r="B2653" t="s">
        <v>1827</v>
      </c>
      <c r="C2653" t="s">
        <v>11263</v>
      </c>
    </row>
    <row r="2654" spans="1:3" hidden="1" x14ac:dyDescent="0.25">
      <c r="A2654" t="s">
        <v>11264</v>
      </c>
      <c r="B2654" t="s">
        <v>5316</v>
      </c>
      <c r="C2654" t="s">
        <v>6958</v>
      </c>
    </row>
    <row r="2655" spans="1:3" hidden="1" x14ac:dyDescent="0.25">
      <c r="A2655" t="s">
        <v>11265</v>
      </c>
      <c r="B2655" t="s">
        <v>1438</v>
      </c>
      <c r="C2655" t="s">
        <v>11266</v>
      </c>
    </row>
    <row r="2656" spans="1:3" hidden="1" x14ac:dyDescent="0.25">
      <c r="A2656" t="s">
        <v>11267</v>
      </c>
      <c r="B2656" t="s">
        <v>1616</v>
      </c>
      <c r="C2656" t="s">
        <v>11268</v>
      </c>
    </row>
    <row r="2657" spans="1:3" hidden="1" x14ac:dyDescent="0.25">
      <c r="A2657" t="s">
        <v>11269</v>
      </c>
      <c r="B2657" t="s">
        <v>4425</v>
      </c>
      <c r="C2657" t="s">
        <v>6958</v>
      </c>
    </row>
    <row r="2658" spans="1:3" hidden="1" x14ac:dyDescent="0.25">
      <c r="A2658" t="s">
        <v>11270</v>
      </c>
      <c r="B2658" t="s">
        <v>4871</v>
      </c>
      <c r="C2658" t="s">
        <v>6958</v>
      </c>
    </row>
    <row r="2659" spans="1:3" hidden="1" x14ac:dyDescent="0.25">
      <c r="A2659" t="s">
        <v>11271</v>
      </c>
      <c r="B2659" t="s">
        <v>5129</v>
      </c>
      <c r="C2659" t="s">
        <v>6958</v>
      </c>
    </row>
    <row r="2660" spans="1:3" hidden="1" x14ac:dyDescent="0.25">
      <c r="A2660" t="s">
        <v>11272</v>
      </c>
      <c r="B2660" t="s">
        <v>1256</v>
      </c>
      <c r="C2660" t="s">
        <v>6958</v>
      </c>
    </row>
    <row r="2661" spans="1:3" hidden="1" x14ac:dyDescent="0.25">
      <c r="A2661" t="s">
        <v>11273</v>
      </c>
      <c r="B2661" t="s">
        <v>3945</v>
      </c>
      <c r="C2661" t="s">
        <v>11274</v>
      </c>
    </row>
    <row r="2662" spans="1:3" hidden="1" x14ac:dyDescent="0.25">
      <c r="A2662" t="s">
        <v>11275</v>
      </c>
      <c r="B2662" t="s">
        <v>1202</v>
      </c>
      <c r="C2662" t="s">
        <v>6958</v>
      </c>
    </row>
    <row r="2663" spans="1:3" hidden="1" x14ac:dyDescent="0.25">
      <c r="A2663" t="s">
        <v>11276</v>
      </c>
      <c r="B2663" t="s">
        <v>3771</v>
      </c>
      <c r="C2663" t="s">
        <v>11277</v>
      </c>
    </row>
    <row r="2664" spans="1:3" hidden="1" x14ac:dyDescent="0.25">
      <c r="A2664" t="s">
        <v>11278</v>
      </c>
      <c r="B2664" t="s">
        <v>1031</v>
      </c>
      <c r="C2664" t="s">
        <v>11279</v>
      </c>
    </row>
    <row r="2665" spans="1:3" hidden="1" x14ac:dyDescent="0.25">
      <c r="A2665" t="s">
        <v>11280</v>
      </c>
      <c r="B2665" t="s">
        <v>3452</v>
      </c>
      <c r="C2665" t="s">
        <v>11281</v>
      </c>
    </row>
    <row r="2666" spans="1:3" hidden="1" x14ac:dyDescent="0.25">
      <c r="A2666" t="s">
        <v>11282</v>
      </c>
      <c r="B2666" t="s">
        <v>2253</v>
      </c>
      <c r="C2666" t="s">
        <v>11283</v>
      </c>
    </row>
    <row r="2667" spans="1:3" hidden="1" x14ac:dyDescent="0.25">
      <c r="A2667" t="s">
        <v>11284</v>
      </c>
      <c r="B2667" t="s">
        <v>2479</v>
      </c>
      <c r="C2667" t="s">
        <v>11285</v>
      </c>
    </row>
    <row r="2668" spans="1:3" hidden="1" x14ac:dyDescent="0.25">
      <c r="A2668" t="s">
        <v>11286</v>
      </c>
      <c r="B2668" t="s">
        <v>3263</v>
      </c>
      <c r="C2668" t="s">
        <v>6958</v>
      </c>
    </row>
    <row r="2669" spans="1:3" hidden="1" x14ac:dyDescent="0.25">
      <c r="A2669" t="s">
        <v>11287</v>
      </c>
      <c r="B2669" t="s">
        <v>2103</v>
      </c>
      <c r="C2669" t="s">
        <v>11288</v>
      </c>
    </row>
    <row r="2670" spans="1:3" hidden="1" x14ac:dyDescent="0.25">
      <c r="A2670" t="s">
        <v>11289</v>
      </c>
      <c r="B2670" t="s">
        <v>3410</v>
      </c>
      <c r="C2670" t="s">
        <v>11290</v>
      </c>
    </row>
    <row r="2671" spans="1:3" hidden="1" x14ac:dyDescent="0.25">
      <c r="A2671" t="s">
        <v>11291</v>
      </c>
      <c r="B2671" t="s">
        <v>1807</v>
      </c>
      <c r="C2671" t="s">
        <v>11292</v>
      </c>
    </row>
    <row r="2672" spans="1:3" hidden="1" x14ac:dyDescent="0.25">
      <c r="A2672" t="s">
        <v>11293</v>
      </c>
      <c r="B2672" t="s">
        <v>1330</v>
      </c>
      <c r="C2672" t="s">
        <v>11294</v>
      </c>
    </row>
    <row r="2673" spans="1:3" hidden="1" x14ac:dyDescent="0.25">
      <c r="A2673" t="s">
        <v>11295</v>
      </c>
      <c r="B2673" t="s">
        <v>4655</v>
      </c>
      <c r="C2673" t="s">
        <v>11296</v>
      </c>
    </row>
    <row r="2674" spans="1:3" hidden="1" x14ac:dyDescent="0.25">
      <c r="A2674" t="s">
        <v>11297</v>
      </c>
      <c r="B2674" t="s">
        <v>5686</v>
      </c>
      <c r="C2674" t="s">
        <v>11298</v>
      </c>
    </row>
    <row r="2675" spans="1:3" hidden="1" x14ac:dyDescent="0.25">
      <c r="A2675" t="s">
        <v>11299</v>
      </c>
      <c r="B2675" t="s">
        <v>4779</v>
      </c>
      <c r="C2675" t="s">
        <v>11300</v>
      </c>
    </row>
    <row r="2676" spans="1:3" hidden="1" x14ac:dyDescent="0.25">
      <c r="A2676" t="s">
        <v>11301</v>
      </c>
      <c r="B2676" t="s">
        <v>2857</v>
      </c>
      <c r="C2676" t="s">
        <v>11302</v>
      </c>
    </row>
    <row r="2677" spans="1:3" hidden="1" x14ac:dyDescent="0.25">
      <c r="A2677" t="s">
        <v>11303</v>
      </c>
      <c r="B2677" t="s">
        <v>2255</v>
      </c>
      <c r="C2677" t="s">
        <v>6958</v>
      </c>
    </row>
    <row r="2678" spans="1:3" hidden="1" x14ac:dyDescent="0.25">
      <c r="A2678" t="s">
        <v>11304</v>
      </c>
      <c r="B2678" t="s">
        <v>3187</v>
      </c>
      <c r="C2678" t="s">
        <v>11305</v>
      </c>
    </row>
    <row r="2679" spans="1:3" hidden="1" x14ac:dyDescent="0.25">
      <c r="A2679" t="s">
        <v>11306</v>
      </c>
      <c r="B2679" t="s">
        <v>2032</v>
      </c>
      <c r="C2679" t="s">
        <v>11307</v>
      </c>
    </row>
    <row r="2680" spans="1:3" hidden="1" x14ac:dyDescent="0.25">
      <c r="A2680" t="s">
        <v>11308</v>
      </c>
      <c r="B2680" t="s">
        <v>2375</v>
      </c>
      <c r="C2680" t="s">
        <v>11309</v>
      </c>
    </row>
    <row r="2681" spans="1:3" hidden="1" x14ac:dyDescent="0.25">
      <c r="A2681" t="s">
        <v>11310</v>
      </c>
      <c r="B2681" t="s">
        <v>1319</v>
      </c>
      <c r="C2681" t="s">
        <v>11311</v>
      </c>
    </row>
    <row r="2682" spans="1:3" hidden="1" x14ac:dyDescent="0.25">
      <c r="A2682" t="s">
        <v>11312</v>
      </c>
      <c r="B2682" t="s">
        <v>1556</v>
      </c>
      <c r="C2682" t="s">
        <v>11313</v>
      </c>
    </row>
    <row r="2683" spans="1:3" hidden="1" x14ac:dyDescent="0.25">
      <c r="A2683" t="s">
        <v>11314</v>
      </c>
      <c r="B2683" t="s">
        <v>3742</v>
      </c>
      <c r="C2683" t="s">
        <v>6958</v>
      </c>
    </row>
    <row r="2684" spans="1:3" hidden="1" x14ac:dyDescent="0.25">
      <c r="A2684" t="s">
        <v>11315</v>
      </c>
      <c r="B2684" t="s">
        <v>3156</v>
      </c>
      <c r="C2684" t="s">
        <v>11316</v>
      </c>
    </row>
    <row r="2685" spans="1:3" hidden="1" x14ac:dyDescent="0.25">
      <c r="A2685" t="s">
        <v>11317</v>
      </c>
      <c r="B2685" t="s">
        <v>2565</v>
      </c>
      <c r="C2685" t="s">
        <v>11318</v>
      </c>
    </row>
    <row r="2686" spans="1:3" hidden="1" x14ac:dyDescent="0.25">
      <c r="A2686" t="s">
        <v>11319</v>
      </c>
      <c r="B2686" t="s">
        <v>4213</v>
      </c>
      <c r="C2686" t="s">
        <v>11320</v>
      </c>
    </row>
    <row r="2687" spans="1:3" hidden="1" x14ac:dyDescent="0.25">
      <c r="A2687" t="s">
        <v>11321</v>
      </c>
      <c r="B2687" t="s">
        <v>2781</v>
      </c>
      <c r="C2687" t="s">
        <v>11322</v>
      </c>
    </row>
    <row r="2688" spans="1:3" hidden="1" x14ac:dyDescent="0.25">
      <c r="A2688" t="s">
        <v>11323</v>
      </c>
      <c r="B2688" t="s">
        <v>5623</v>
      </c>
      <c r="C2688" t="s">
        <v>6958</v>
      </c>
    </row>
    <row r="2689" spans="1:3" hidden="1" x14ac:dyDescent="0.25">
      <c r="A2689" t="s">
        <v>11324</v>
      </c>
      <c r="B2689" t="s">
        <v>3332</v>
      </c>
      <c r="C2689" t="s">
        <v>11325</v>
      </c>
    </row>
    <row r="2690" spans="1:3" hidden="1" x14ac:dyDescent="0.25">
      <c r="A2690" t="s">
        <v>11326</v>
      </c>
      <c r="B2690" t="s">
        <v>2492</v>
      </c>
      <c r="C2690" t="s">
        <v>6958</v>
      </c>
    </row>
    <row r="2691" spans="1:3" hidden="1" x14ac:dyDescent="0.25">
      <c r="A2691" t="s">
        <v>11327</v>
      </c>
      <c r="B2691" t="s">
        <v>5452</v>
      </c>
      <c r="C2691" t="s">
        <v>11328</v>
      </c>
    </row>
    <row r="2692" spans="1:3" hidden="1" x14ac:dyDescent="0.25">
      <c r="A2692" t="s">
        <v>11329</v>
      </c>
      <c r="B2692" t="s">
        <v>5403</v>
      </c>
      <c r="C2692" t="s">
        <v>6958</v>
      </c>
    </row>
    <row r="2693" spans="1:3" hidden="1" x14ac:dyDescent="0.25">
      <c r="A2693" t="s">
        <v>11330</v>
      </c>
      <c r="B2693" t="s">
        <v>4290</v>
      </c>
      <c r="C2693" t="s">
        <v>11331</v>
      </c>
    </row>
    <row r="2694" spans="1:3" hidden="1" x14ac:dyDescent="0.25">
      <c r="A2694" t="s">
        <v>11332</v>
      </c>
      <c r="B2694" t="s">
        <v>3271</v>
      </c>
      <c r="C2694" t="s">
        <v>11333</v>
      </c>
    </row>
    <row r="2695" spans="1:3" hidden="1" x14ac:dyDescent="0.25">
      <c r="A2695" t="s">
        <v>11334</v>
      </c>
      <c r="B2695" t="s">
        <v>5032</v>
      </c>
      <c r="C2695" t="s">
        <v>11335</v>
      </c>
    </row>
    <row r="2696" spans="1:3" hidden="1" x14ac:dyDescent="0.25">
      <c r="A2696" t="s">
        <v>11336</v>
      </c>
      <c r="B2696" t="s">
        <v>355</v>
      </c>
      <c r="C2696" t="s">
        <v>11337</v>
      </c>
    </row>
    <row r="2697" spans="1:3" hidden="1" x14ac:dyDescent="0.25">
      <c r="A2697" t="s">
        <v>11338</v>
      </c>
      <c r="B2697" t="s">
        <v>3650</v>
      </c>
      <c r="C2697" t="s">
        <v>11339</v>
      </c>
    </row>
    <row r="2698" spans="1:3" hidden="1" x14ac:dyDescent="0.25">
      <c r="A2698" t="s">
        <v>11340</v>
      </c>
      <c r="B2698" t="s">
        <v>2388</v>
      </c>
      <c r="C2698" t="s">
        <v>11341</v>
      </c>
    </row>
    <row r="2699" spans="1:3" hidden="1" x14ac:dyDescent="0.25">
      <c r="A2699" t="s">
        <v>11342</v>
      </c>
      <c r="B2699" t="s">
        <v>3529</v>
      </c>
      <c r="C2699" t="s">
        <v>11343</v>
      </c>
    </row>
    <row r="2700" spans="1:3" hidden="1" x14ac:dyDescent="0.25">
      <c r="A2700" t="s">
        <v>11344</v>
      </c>
      <c r="B2700" t="s">
        <v>861</v>
      </c>
      <c r="C2700" t="s">
        <v>11345</v>
      </c>
    </row>
    <row r="2701" spans="1:3" hidden="1" x14ac:dyDescent="0.25">
      <c r="A2701" t="s">
        <v>11346</v>
      </c>
      <c r="B2701" t="s">
        <v>3504</v>
      </c>
      <c r="C2701" t="s">
        <v>11347</v>
      </c>
    </row>
    <row r="2702" spans="1:3" hidden="1" x14ac:dyDescent="0.25">
      <c r="A2702" t="s">
        <v>11348</v>
      </c>
      <c r="B2702" t="s">
        <v>3365</v>
      </c>
      <c r="C2702" t="s">
        <v>11349</v>
      </c>
    </row>
    <row r="2703" spans="1:3" hidden="1" x14ac:dyDescent="0.25">
      <c r="A2703" t="s">
        <v>11350</v>
      </c>
      <c r="B2703" t="s">
        <v>3038</v>
      </c>
      <c r="C2703" t="s">
        <v>11351</v>
      </c>
    </row>
    <row r="2704" spans="1:3" hidden="1" x14ac:dyDescent="0.25">
      <c r="A2704" t="s">
        <v>11352</v>
      </c>
      <c r="B2704" t="s">
        <v>4579</v>
      </c>
      <c r="C2704" t="s">
        <v>11353</v>
      </c>
    </row>
    <row r="2705" spans="1:3" hidden="1" x14ac:dyDescent="0.25">
      <c r="A2705" t="s">
        <v>11354</v>
      </c>
      <c r="B2705" t="s">
        <v>2711</v>
      </c>
      <c r="C2705" t="s">
        <v>11355</v>
      </c>
    </row>
    <row r="2706" spans="1:3" hidden="1" x14ac:dyDescent="0.25">
      <c r="A2706" t="s">
        <v>11356</v>
      </c>
      <c r="B2706" t="s">
        <v>3967</v>
      </c>
      <c r="C2706" t="s">
        <v>11357</v>
      </c>
    </row>
    <row r="2707" spans="1:3" hidden="1" x14ac:dyDescent="0.25">
      <c r="A2707" t="s">
        <v>11358</v>
      </c>
      <c r="B2707" t="s">
        <v>2233</v>
      </c>
      <c r="C2707" t="s">
        <v>6958</v>
      </c>
    </row>
    <row r="2708" spans="1:3" hidden="1" x14ac:dyDescent="0.25">
      <c r="A2708" t="s">
        <v>11359</v>
      </c>
      <c r="B2708" t="s">
        <v>2962</v>
      </c>
      <c r="C2708" t="s">
        <v>6958</v>
      </c>
    </row>
    <row r="2709" spans="1:3" hidden="1" x14ac:dyDescent="0.25">
      <c r="A2709" t="s">
        <v>11360</v>
      </c>
      <c r="B2709" t="s">
        <v>4236</v>
      </c>
      <c r="C2709" t="s">
        <v>11361</v>
      </c>
    </row>
    <row r="2710" spans="1:3" hidden="1" x14ac:dyDescent="0.25">
      <c r="A2710" t="s">
        <v>11362</v>
      </c>
      <c r="B2710" t="s">
        <v>4003</v>
      </c>
      <c r="C2710" t="s">
        <v>11363</v>
      </c>
    </row>
    <row r="2711" spans="1:3" hidden="1" x14ac:dyDescent="0.25">
      <c r="A2711" t="s">
        <v>11364</v>
      </c>
      <c r="B2711" t="s">
        <v>1297</v>
      </c>
      <c r="C2711" t="s">
        <v>11365</v>
      </c>
    </row>
    <row r="2712" spans="1:3" hidden="1" x14ac:dyDescent="0.25">
      <c r="A2712" t="s">
        <v>11366</v>
      </c>
      <c r="B2712" t="s">
        <v>3677</v>
      </c>
      <c r="C2712" t="s">
        <v>6958</v>
      </c>
    </row>
    <row r="2713" spans="1:3" hidden="1" x14ac:dyDescent="0.25">
      <c r="A2713" t="s">
        <v>11367</v>
      </c>
      <c r="B2713" t="s">
        <v>4498</v>
      </c>
      <c r="C2713" t="s">
        <v>11368</v>
      </c>
    </row>
    <row r="2714" spans="1:3" hidden="1" x14ac:dyDescent="0.25">
      <c r="A2714" t="s">
        <v>11369</v>
      </c>
      <c r="B2714" t="s">
        <v>2175</v>
      </c>
      <c r="C2714" t="s">
        <v>6958</v>
      </c>
    </row>
    <row r="2715" spans="1:3" hidden="1" x14ac:dyDescent="0.25">
      <c r="A2715" t="s">
        <v>11370</v>
      </c>
      <c r="B2715" t="s">
        <v>4456</v>
      </c>
      <c r="C2715" t="s">
        <v>11371</v>
      </c>
    </row>
    <row r="2716" spans="1:3" hidden="1" x14ac:dyDescent="0.25">
      <c r="A2716" t="s">
        <v>11372</v>
      </c>
      <c r="B2716" t="s">
        <v>2703</v>
      </c>
      <c r="C2716" t="s">
        <v>6958</v>
      </c>
    </row>
    <row r="2717" spans="1:3" x14ac:dyDescent="0.25">
      <c r="A2717" t="s">
        <v>11373</v>
      </c>
      <c r="B2717" t="s">
        <v>316</v>
      </c>
      <c r="C2717" t="s">
        <v>7271</v>
      </c>
    </row>
    <row r="2718" spans="1:3" hidden="1" x14ac:dyDescent="0.25">
      <c r="A2718" t="s">
        <v>11374</v>
      </c>
      <c r="B2718" t="s">
        <v>579</v>
      </c>
      <c r="C2718" t="s">
        <v>11375</v>
      </c>
    </row>
    <row r="2719" spans="1:3" hidden="1" x14ac:dyDescent="0.25">
      <c r="A2719" t="s">
        <v>11376</v>
      </c>
      <c r="B2719" t="s">
        <v>1351</v>
      </c>
      <c r="C2719" t="s">
        <v>6958</v>
      </c>
    </row>
    <row r="2720" spans="1:3" hidden="1" x14ac:dyDescent="0.25">
      <c r="A2720" t="s">
        <v>11377</v>
      </c>
      <c r="B2720" t="s">
        <v>447</v>
      </c>
      <c r="C2720" t="s">
        <v>6958</v>
      </c>
    </row>
    <row r="2721" spans="1:3" hidden="1" x14ac:dyDescent="0.25">
      <c r="A2721" t="s">
        <v>11378</v>
      </c>
      <c r="B2721" t="s">
        <v>1593</v>
      </c>
      <c r="C2721" t="s">
        <v>6958</v>
      </c>
    </row>
    <row r="2722" spans="1:3" hidden="1" x14ac:dyDescent="0.25">
      <c r="A2722" t="s">
        <v>11379</v>
      </c>
      <c r="B2722" t="s">
        <v>11380</v>
      </c>
      <c r="C2722" t="s">
        <v>6958</v>
      </c>
    </row>
    <row r="2723" spans="1:3" hidden="1" x14ac:dyDescent="0.25">
      <c r="A2723" t="s">
        <v>11381</v>
      </c>
      <c r="B2723" t="s">
        <v>3864</v>
      </c>
      <c r="C2723" t="s">
        <v>11382</v>
      </c>
    </row>
    <row r="2724" spans="1:3" hidden="1" x14ac:dyDescent="0.25">
      <c r="A2724" t="s">
        <v>11383</v>
      </c>
      <c r="B2724" t="s">
        <v>1070</v>
      </c>
      <c r="C2724" t="s">
        <v>6958</v>
      </c>
    </row>
    <row r="2725" spans="1:3" hidden="1" x14ac:dyDescent="0.25">
      <c r="A2725" t="s">
        <v>11384</v>
      </c>
      <c r="B2725" t="s">
        <v>648</v>
      </c>
      <c r="C2725" t="s">
        <v>11385</v>
      </c>
    </row>
    <row r="2726" spans="1:3" hidden="1" x14ac:dyDescent="0.25">
      <c r="A2726" t="s">
        <v>11386</v>
      </c>
      <c r="B2726" t="s">
        <v>4682</v>
      </c>
      <c r="C2726" t="s">
        <v>11387</v>
      </c>
    </row>
    <row r="2727" spans="1:3" hidden="1" x14ac:dyDescent="0.25">
      <c r="A2727" t="s">
        <v>11388</v>
      </c>
      <c r="B2727" t="s">
        <v>3928</v>
      </c>
      <c r="C2727" t="s">
        <v>11389</v>
      </c>
    </row>
    <row r="2728" spans="1:3" hidden="1" x14ac:dyDescent="0.25">
      <c r="A2728" t="s">
        <v>11390</v>
      </c>
      <c r="B2728" t="s">
        <v>4588</v>
      </c>
      <c r="C2728" t="s">
        <v>11391</v>
      </c>
    </row>
    <row r="2729" spans="1:3" hidden="1" x14ac:dyDescent="0.25">
      <c r="A2729" t="s">
        <v>11392</v>
      </c>
      <c r="B2729" t="s">
        <v>3708</v>
      </c>
      <c r="C2729" t="s">
        <v>6958</v>
      </c>
    </row>
    <row r="2730" spans="1:3" hidden="1" x14ac:dyDescent="0.25">
      <c r="A2730" t="s">
        <v>11393</v>
      </c>
      <c r="B2730" t="s">
        <v>3507</v>
      </c>
      <c r="C2730" t="s">
        <v>6958</v>
      </c>
    </row>
    <row r="2731" spans="1:3" hidden="1" x14ac:dyDescent="0.25">
      <c r="A2731" t="s">
        <v>11394</v>
      </c>
      <c r="B2731" t="s">
        <v>2946</v>
      </c>
      <c r="C2731" t="s">
        <v>11395</v>
      </c>
    </row>
    <row r="2732" spans="1:3" hidden="1" x14ac:dyDescent="0.25">
      <c r="A2732" t="s">
        <v>11396</v>
      </c>
      <c r="B2732" t="s">
        <v>1160</v>
      </c>
      <c r="C2732" t="s">
        <v>11397</v>
      </c>
    </row>
    <row r="2733" spans="1:3" hidden="1" x14ac:dyDescent="0.25">
      <c r="A2733" t="s">
        <v>11398</v>
      </c>
      <c r="B2733" t="s">
        <v>1402</v>
      </c>
      <c r="C2733" t="s">
        <v>6958</v>
      </c>
    </row>
    <row r="2734" spans="1:3" hidden="1" x14ac:dyDescent="0.25">
      <c r="A2734" t="s">
        <v>11399</v>
      </c>
      <c r="B2734" t="s">
        <v>3694</v>
      </c>
      <c r="C2734" t="s">
        <v>11400</v>
      </c>
    </row>
    <row r="2735" spans="1:3" hidden="1" x14ac:dyDescent="0.25">
      <c r="A2735" t="s">
        <v>11401</v>
      </c>
      <c r="B2735" t="s">
        <v>2376</v>
      </c>
      <c r="C2735" t="s">
        <v>11402</v>
      </c>
    </row>
    <row r="2736" spans="1:3" hidden="1" x14ac:dyDescent="0.25">
      <c r="A2736" t="s">
        <v>11403</v>
      </c>
      <c r="B2736" t="s">
        <v>1185</v>
      </c>
      <c r="C2736" t="s">
        <v>11404</v>
      </c>
    </row>
    <row r="2737" spans="1:3" hidden="1" x14ac:dyDescent="0.25">
      <c r="A2737" t="s">
        <v>11405</v>
      </c>
      <c r="B2737" t="s">
        <v>2181</v>
      </c>
      <c r="C2737" t="s">
        <v>11406</v>
      </c>
    </row>
    <row r="2738" spans="1:3" hidden="1" x14ac:dyDescent="0.25">
      <c r="A2738" t="s">
        <v>11407</v>
      </c>
      <c r="B2738" t="s">
        <v>4643</v>
      </c>
      <c r="C2738" t="s">
        <v>6958</v>
      </c>
    </row>
    <row r="2739" spans="1:3" hidden="1" x14ac:dyDescent="0.25">
      <c r="A2739" t="s">
        <v>11408</v>
      </c>
      <c r="B2739" t="s">
        <v>75</v>
      </c>
      <c r="C2739" t="s">
        <v>11409</v>
      </c>
    </row>
    <row r="2740" spans="1:3" hidden="1" x14ac:dyDescent="0.25">
      <c r="A2740" t="s">
        <v>11410</v>
      </c>
      <c r="B2740" t="s">
        <v>2427</v>
      </c>
      <c r="C2740" t="s">
        <v>11411</v>
      </c>
    </row>
    <row r="2741" spans="1:3" hidden="1" x14ac:dyDescent="0.25">
      <c r="A2741" t="s">
        <v>11412</v>
      </c>
      <c r="B2741" t="s">
        <v>5263</v>
      </c>
      <c r="C2741" t="s">
        <v>11413</v>
      </c>
    </row>
    <row r="2742" spans="1:3" hidden="1" x14ac:dyDescent="0.25">
      <c r="A2742" t="s">
        <v>11414</v>
      </c>
      <c r="B2742" t="s">
        <v>4916</v>
      </c>
      <c r="C2742" t="s">
        <v>11415</v>
      </c>
    </row>
    <row r="2743" spans="1:3" hidden="1" x14ac:dyDescent="0.25">
      <c r="A2743" t="s">
        <v>11416</v>
      </c>
      <c r="B2743" t="s">
        <v>267</v>
      </c>
      <c r="C2743" t="s">
        <v>11417</v>
      </c>
    </row>
    <row r="2744" spans="1:3" hidden="1" x14ac:dyDescent="0.25">
      <c r="A2744" t="s">
        <v>11418</v>
      </c>
      <c r="B2744" t="s">
        <v>1517</v>
      </c>
      <c r="C2744" t="s">
        <v>11419</v>
      </c>
    </row>
    <row r="2745" spans="1:3" hidden="1" x14ac:dyDescent="0.25">
      <c r="A2745" t="s">
        <v>11420</v>
      </c>
      <c r="B2745" t="s">
        <v>5327</v>
      </c>
      <c r="C2745" t="s">
        <v>11421</v>
      </c>
    </row>
    <row r="2746" spans="1:3" hidden="1" x14ac:dyDescent="0.25">
      <c r="A2746" t="s">
        <v>11422</v>
      </c>
      <c r="B2746" t="s">
        <v>303</v>
      </c>
      <c r="C2746" t="s">
        <v>11423</v>
      </c>
    </row>
    <row r="2747" spans="1:3" hidden="1" x14ac:dyDescent="0.25">
      <c r="A2747" t="s">
        <v>11424</v>
      </c>
      <c r="B2747" t="s">
        <v>5442</v>
      </c>
      <c r="C2747" t="s">
        <v>11425</v>
      </c>
    </row>
    <row r="2748" spans="1:3" hidden="1" x14ac:dyDescent="0.25">
      <c r="A2748" t="s">
        <v>11426</v>
      </c>
      <c r="B2748" t="s">
        <v>5571</v>
      </c>
      <c r="C2748" t="s">
        <v>11427</v>
      </c>
    </row>
    <row r="2749" spans="1:3" hidden="1" x14ac:dyDescent="0.25">
      <c r="A2749" t="s">
        <v>11428</v>
      </c>
      <c r="B2749" t="s">
        <v>1548</v>
      </c>
      <c r="C2749" t="s">
        <v>11429</v>
      </c>
    </row>
    <row r="2750" spans="1:3" hidden="1" x14ac:dyDescent="0.25">
      <c r="A2750" t="s">
        <v>11430</v>
      </c>
      <c r="B2750" t="s">
        <v>5301</v>
      </c>
      <c r="C2750" t="s">
        <v>6958</v>
      </c>
    </row>
    <row r="2751" spans="1:3" hidden="1" x14ac:dyDescent="0.25">
      <c r="A2751" t="s">
        <v>11431</v>
      </c>
      <c r="B2751" t="s">
        <v>5247</v>
      </c>
      <c r="C2751" t="s">
        <v>11432</v>
      </c>
    </row>
    <row r="2752" spans="1:3" hidden="1" x14ac:dyDescent="0.25">
      <c r="A2752" t="s">
        <v>11433</v>
      </c>
      <c r="B2752" t="s">
        <v>1693</v>
      </c>
      <c r="C2752" t="s">
        <v>11434</v>
      </c>
    </row>
    <row r="2753" spans="1:3" hidden="1" x14ac:dyDescent="0.25">
      <c r="A2753" t="s">
        <v>11435</v>
      </c>
      <c r="B2753" t="s">
        <v>4050</v>
      </c>
      <c r="C2753" t="s">
        <v>11436</v>
      </c>
    </row>
    <row r="2754" spans="1:3" hidden="1" x14ac:dyDescent="0.25">
      <c r="A2754" t="s">
        <v>11437</v>
      </c>
      <c r="B2754" t="s">
        <v>3440</v>
      </c>
      <c r="C2754" t="s">
        <v>11438</v>
      </c>
    </row>
    <row r="2755" spans="1:3" hidden="1" x14ac:dyDescent="0.25">
      <c r="A2755" t="s">
        <v>11439</v>
      </c>
      <c r="B2755" t="s">
        <v>4299</v>
      </c>
      <c r="C2755" t="s">
        <v>6958</v>
      </c>
    </row>
    <row r="2756" spans="1:3" hidden="1" x14ac:dyDescent="0.25">
      <c r="A2756" t="s">
        <v>11440</v>
      </c>
      <c r="B2756" t="s">
        <v>2095</v>
      </c>
      <c r="C2756" t="s">
        <v>11441</v>
      </c>
    </row>
    <row r="2757" spans="1:3" hidden="1" x14ac:dyDescent="0.25">
      <c r="A2757" t="s">
        <v>11442</v>
      </c>
      <c r="B2757" t="s">
        <v>770</v>
      </c>
      <c r="C2757" t="s">
        <v>11443</v>
      </c>
    </row>
    <row r="2758" spans="1:3" hidden="1" x14ac:dyDescent="0.25">
      <c r="A2758" t="s">
        <v>11444</v>
      </c>
      <c r="B2758" t="s">
        <v>2755</v>
      </c>
      <c r="C2758" t="s">
        <v>6958</v>
      </c>
    </row>
    <row r="2759" spans="1:3" hidden="1" x14ac:dyDescent="0.25">
      <c r="A2759" t="s">
        <v>11445</v>
      </c>
      <c r="B2759" t="s">
        <v>1795</v>
      </c>
      <c r="C2759" t="s">
        <v>11446</v>
      </c>
    </row>
    <row r="2760" spans="1:3" hidden="1" x14ac:dyDescent="0.25">
      <c r="A2760" t="s">
        <v>11447</v>
      </c>
      <c r="B2760" t="s">
        <v>1708</v>
      </c>
      <c r="C2760" t="s">
        <v>11448</v>
      </c>
    </row>
    <row r="2761" spans="1:3" hidden="1" x14ac:dyDescent="0.25">
      <c r="A2761" t="s">
        <v>11449</v>
      </c>
      <c r="B2761" t="s">
        <v>5325</v>
      </c>
      <c r="C2761" t="s">
        <v>11450</v>
      </c>
    </row>
    <row r="2762" spans="1:3" hidden="1" x14ac:dyDescent="0.25">
      <c r="A2762" t="s">
        <v>11451</v>
      </c>
      <c r="B2762" t="s">
        <v>787</v>
      </c>
      <c r="C2762" t="s">
        <v>11452</v>
      </c>
    </row>
    <row r="2763" spans="1:3" hidden="1" x14ac:dyDescent="0.25">
      <c r="A2763" t="s">
        <v>11453</v>
      </c>
      <c r="B2763" t="s">
        <v>4219</v>
      </c>
      <c r="C2763" t="s">
        <v>6958</v>
      </c>
    </row>
    <row r="2764" spans="1:3" hidden="1" x14ac:dyDescent="0.25">
      <c r="A2764" t="s">
        <v>11454</v>
      </c>
      <c r="B2764" t="s">
        <v>5494</v>
      </c>
      <c r="C2764" t="s">
        <v>11455</v>
      </c>
    </row>
    <row r="2765" spans="1:3" hidden="1" x14ac:dyDescent="0.25">
      <c r="A2765" t="s">
        <v>11456</v>
      </c>
      <c r="B2765" t="s">
        <v>1596</v>
      </c>
      <c r="C2765" t="s">
        <v>11457</v>
      </c>
    </row>
    <row r="2766" spans="1:3" hidden="1" x14ac:dyDescent="0.25">
      <c r="A2766" t="s">
        <v>11458</v>
      </c>
      <c r="B2766" t="s">
        <v>2545</v>
      </c>
      <c r="C2766" t="s">
        <v>11459</v>
      </c>
    </row>
    <row r="2767" spans="1:3" hidden="1" x14ac:dyDescent="0.25">
      <c r="A2767" t="s">
        <v>11460</v>
      </c>
      <c r="B2767" t="s">
        <v>4072</v>
      </c>
      <c r="C2767" t="s">
        <v>11461</v>
      </c>
    </row>
    <row r="2768" spans="1:3" hidden="1" x14ac:dyDescent="0.25">
      <c r="A2768" t="s">
        <v>11462</v>
      </c>
      <c r="B2768" t="s">
        <v>4134</v>
      </c>
      <c r="C2768" t="s">
        <v>6958</v>
      </c>
    </row>
    <row r="2769" spans="1:3" hidden="1" x14ac:dyDescent="0.25">
      <c r="A2769" t="s">
        <v>11463</v>
      </c>
      <c r="B2769" t="s">
        <v>4165</v>
      </c>
      <c r="C2769" t="s">
        <v>6958</v>
      </c>
    </row>
    <row r="2770" spans="1:3" hidden="1" x14ac:dyDescent="0.25">
      <c r="A2770" t="s">
        <v>11464</v>
      </c>
      <c r="B2770" t="s">
        <v>4792</v>
      </c>
      <c r="C2770" t="s">
        <v>6958</v>
      </c>
    </row>
    <row r="2771" spans="1:3" hidden="1" x14ac:dyDescent="0.25">
      <c r="A2771" t="s">
        <v>11465</v>
      </c>
      <c r="B2771" t="s">
        <v>3422</v>
      </c>
      <c r="C2771" t="s">
        <v>6958</v>
      </c>
    </row>
    <row r="2772" spans="1:3" hidden="1" x14ac:dyDescent="0.25">
      <c r="A2772" t="s">
        <v>11466</v>
      </c>
      <c r="B2772" t="s">
        <v>4069</v>
      </c>
      <c r="C2772" t="s">
        <v>6958</v>
      </c>
    </row>
    <row r="2773" spans="1:3" hidden="1" x14ac:dyDescent="0.25">
      <c r="A2773" t="s">
        <v>11467</v>
      </c>
      <c r="B2773" t="s">
        <v>4189</v>
      </c>
      <c r="C2773" t="s">
        <v>11468</v>
      </c>
    </row>
    <row r="2774" spans="1:3" hidden="1" x14ac:dyDescent="0.25">
      <c r="A2774" t="s">
        <v>11469</v>
      </c>
      <c r="B2774" t="s">
        <v>2810</v>
      </c>
      <c r="C2774" t="s">
        <v>11470</v>
      </c>
    </row>
    <row r="2775" spans="1:3" hidden="1" x14ac:dyDescent="0.25">
      <c r="A2775" t="s">
        <v>11471</v>
      </c>
      <c r="B2775" t="s">
        <v>1313</v>
      </c>
      <c r="C2775" t="s">
        <v>11472</v>
      </c>
    </row>
    <row r="2776" spans="1:3" hidden="1" x14ac:dyDescent="0.25">
      <c r="A2776" t="s">
        <v>11473</v>
      </c>
      <c r="B2776" t="s">
        <v>734</v>
      </c>
      <c r="C2776" t="s">
        <v>6958</v>
      </c>
    </row>
    <row r="2777" spans="1:3" hidden="1" x14ac:dyDescent="0.25">
      <c r="A2777" t="s">
        <v>11474</v>
      </c>
      <c r="B2777" t="s">
        <v>1916</v>
      </c>
      <c r="C2777" t="s">
        <v>6958</v>
      </c>
    </row>
    <row r="2778" spans="1:3" hidden="1" x14ac:dyDescent="0.25">
      <c r="A2778" t="s">
        <v>11475</v>
      </c>
      <c r="B2778" t="s">
        <v>4887</v>
      </c>
      <c r="C2778" t="s">
        <v>11476</v>
      </c>
    </row>
    <row r="2779" spans="1:3" hidden="1" x14ac:dyDescent="0.25">
      <c r="A2779" t="s">
        <v>11477</v>
      </c>
      <c r="B2779" t="s">
        <v>825</v>
      </c>
      <c r="C2779" t="s">
        <v>11478</v>
      </c>
    </row>
    <row r="2780" spans="1:3" hidden="1" x14ac:dyDescent="0.25">
      <c r="A2780" t="s">
        <v>11479</v>
      </c>
      <c r="B2780" t="s">
        <v>457</v>
      </c>
      <c r="C2780" t="s">
        <v>11480</v>
      </c>
    </row>
    <row r="2781" spans="1:3" hidden="1" x14ac:dyDescent="0.25">
      <c r="A2781" t="s">
        <v>11481</v>
      </c>
      <c r="B2781" t="s">
        <v>5242</v>
      </c>
      <c r="C2781" t="s">
        <v>11482</v>
      </c>
    </row>
    <row r="2782" spans="1:3" hidden="1" x14ac:dyDescent="0.25">
      <c r="A2782" t="s">
        <v>11483</v>
      </c>
      <c r="B2782" t="s">
        <v>4907</v>
      </c>
      <c r="C2782" t="s">
        <v>11484</v>
      </c>
    </row>
    <row r="2783" spans="1:3" hidden="1" x14ac:dyDescent="0.25">
      <c r="A2783" t="s">
        <v>11485</v>
      </c>
      <c r="B2783" t="s">
        <v>4571</v>
      </c>
      <c r="C2783" t="s">
        <v>11486</v>
      </c>
    </row>
    <row r="2784" spans="1:3" hidden="1" x14ac:dyDescent="0.25">
      <c r="A2784" t="s">
        <v>11487</v>
      </c>
      <c r="B2784" t="s">
        <v>56</v>
      </c>
      <c r="C2784" t="s">
        <v>11488</v>
      </c>
    </row>
    <row r="2785" spans="1:3" hidden="1" x14ac:dyDescent="0.25">
      <c r="A2785" t="s">
        <v>11489</v>
      </c>
      <c r="B2785" t="s">
        <v>723</v>
      </c>
      <c r="C2785" t="s">
        <v>11490</v>
      </c>
    </row>
    <row r="2786" spans="1:3" hidden="1" x14ac:dyDescent="0.25">
      <c r="A2786" t="s">
        <v>11491</v>
      </c>
      <c r="B2786" t="s">
        <v>5501</v>
      </c>
      <c r="C2786" t="s">
        <v>6958</v>
      </c>
    </row>
    <row r="2787" spans="1:3" hidden="1" x14ac:dyDescent="0.25">
      <c r="A2787" t="s">
        <v>11492</v>
      </c>
      <c r="B2787" t="s">
        <v>1620</v>
      </c>
      <c r="C2787" t="s">
        <v>6958</v>
      </c>
    </row>
    <row r="2788" spans="1:3" hidden="1" x14ac:dyDescent="0.25">
      <c r="A2788" t="s">
        <v>11493</v>
      </c>
      <c r="B2788" t="s">
        <v>810</v>
      </c>
      <c r="C2788" t="s">
        <v>11494</v>
      </c>
    </row>
    <row r="2789" spans="1:3" hidden="1" x14ac:dyDescent="0.25">
      <c r="A2789" t="s">
        <v>11495</v>
      </c>
      <c r="B2789" t="s">
        <v>1418</v>
      </c>
      <c r="C2789" t="s">
        <v>11496</v>
      </c>
    </row>
    <row r="2790" spans="1:3" hidden="1" x14ac:dyDescent="0.25">
      <c r="A2790" t="s">
        <v>11497</v>
      </c>
      <c r="B2790" t="s">
        <v>2575</v>
      </c>
      <c r="C2790" t="s">
        <v>11498</v>
      </c>
    </row>
    <row r="2791" spans="1:3" hidden="1" x14ac:dyDescent="0.25">
      <c r="A2791" t="s">
        <v>11499</v>
      </c>
      <c r="B2791" t="s">
        <v>11500</v>
      </c>
      <c r="C2791" t="s">
        <v>11501</v>
      </c>
    </row>
    <row r="2792" spans="1:3" hidden="1" x14ac:dyDescent="0.25">
      <c r="A2792" t="s">
        <v>11502</v>
      </c>
      <c r="B2792" t="s">
        <v>357</v>
      </c>
      <c r="C2792" t="s">
        <v>11503</v>
      </c>
    </row>
    <row r="2793" spans="1:3" hidden="1" x14ac:dyDescent="0.25">
      <c r="A2793" t="s">
        <v>11504</v>
      </c>
      <c r="B2793" t="s">
        <v>2144</v>
      </c>
      <c r="C2793" t="s">
        <v>11505</v>
      </c>
    </row>
    <row r="2794" spans="1:3" hidden="1" x14ac:dyDescent="0.25">
      <c r="A2794" t="s">
        <v>11506</v>
      </c>
      <c r="B2794" t="s">
        <v>3992</v>
      </c>
      <c r="C2794" t="s">
        <v>11507</v>
      </c>
    </row>
    <row r="2795" spans="1:3" hidden="1" x14ac:dyDescent="0.25">
      <c r="A2795" t="s">
        <v>11508</v>
      </c>
      <c r="B2795" t="s">
        <v>3242</v>
      </c>
      <c r="C2795" t="s">
        <v>6958</v>
      </c>
    </row>
    <row r="2796" spans="1:3" hidden="1" x14ac:dyDescent="0.25">
      <c r="A2796" t="s">
        <v>11509</v>
      </c>
      <c r="B2796" t="s">
        <v>783</v>
      </c>
      <c r="C2796" t="s">
        <v>11510</v>
      </c>
    </row>
    <row r="2797" spans="1:3" hidden="1" x14ac:dyDescent="0.25">
      <c r="A2797" t="s">
        <v>11511</v>
      </c>
      <c r="B2797" t="s">
        <v>5665</v>
      </c>
      <c r="C2797" t="s">
        <v>11512</v>
      </c>
    </row>
    <row r="2798" spans="1:3" hidden="1" x14ac:dyDescent="0.25">
      <c r="A2798" t="s">
        <v>11513</v>
      </c>
      <c r="B2798" t="s">
        <v>2162</v>
      </c>
      <c r="C2798" t="s">
        <v>6958</v>
      </c>
    </row>
    <row r="2799" spans="1:3" hidden="1" x14ac:dyDescent="0.25">
      <c r="A2799" t="s">
        <v>11514</v>
      </c>
      <c r="B2799" t="s">
        <v>3585</v>
      </c>
      <c r="C2799" t="s">
        <v>11515</v>
      </c>
    </row>
    <row r="2800" spans="1:3" hidden="1" x14ac:dyDescent="0.25">
      <c r="A2800" t="s">
        <v>11516</v>
      </c>
      <c r="B2800" t="s">
        <v>2600</v>
      </c>
      <c r="C2800" t="s">
        <v>11517</v>
      </c>
    </row>
    <row r="2801" spans="1:3" hidden="1" x14ac:dyDescent="0.25">
      <c r="A2801" t="s">
        <v>11518</v>
      </c>
      <c r="B2801" t="s">
        <v>3041</v>
      </c>
      <c r="C2801" t="s">
        <v>11519</v>
      </c>
    </row>
    <row r="2802" spans="1:3" hidden="1" x14ac:dyDescent="0.25">
      <c r="A2802" t="s">
        <v>11520</v>
      </c>
      <c r="B2802" t="s">
        <v>5150</v>
      </c>
      <c r="C2802" t="s">
        <v>6958</v>
      </c>
    </row>
    <row r="2803" spans="1:3" hidden="1" x14ac:dyDescent="0.25">
      <c r="A2803" t="s">
        <v>11521</v>
      </c>
      <c r="B2803" t="s">
        <v>1162</v>
      </c>
      <c r="C2803" t="s">
        <v>11522</v>
      </c>
    </row>
    <row r="2804" spans="1:3" hidden="1" x14ac:dyDescent="0.25">
      <c r="A2804" t="s">
        <v>11523</v>
      </c>
      <c r="B2804" t="s">
        <v>4093</v>
      </c>
      <c r="C2804" t="s">
        <v>11524</v>
      </c>
    </row>
    <row r="2805" spans="1:3" hidden="1" x14ac:dyDescent="0.25">
      <c r="A2805" t="s">
        <v>11525</v>
      </c>
      <c r="B2805" t="s">
        <v>3310</v>
      </c>
      <c r="C2805" t="s">
        <v>11526</v>
      </c>
    </row>
    <row r="2806" spans="1:3" hidden="1" x14ac:dyDescent="0.25">
      <c r="A2806" t="s">
        <v>11527</v>
      </c>
      <c r="B2806" t="s">
        <v>3342</v>
      </c>
      <c r="C2806" t="s">
        <v>11528</v>
      </c>
    </row>
    <row r="2807" spans="1:3" hidden="1" x14ac:dyDescent="0.25">
      <c r="A2807" t="s">
        <v>11529</v>
      </c>
      <c r="B2807" t="s">
        <v>1952</v>
      </c>
      <c r="C2807" t="s">
        <v>6958</v>
      </c>
    </row>
    <row r="2808" spans="1:3" hidden="1" x14ac:dyDescent="0.25">
      <c r="A2808" t="s">
        <v>11530</v>
      </c>
      <c r="B2808" t="s">
        <v>640</v>
      </c>
      <c r="C2808" t="s">
        <v>11531</v>
      </c>
    </row>
    <row r="2809" spans="1:3" hidden="1" x14ac:dyDescent="0.25">
      <c r="A2809" t="s">
        <v>11532</v>
      </c>
      <c r="B2809" t="s">
        <v>3991</v>
      </c>
      <c r="C2809" t="s">
        <v>11533</v>
      </c>
    </row>
    <row r="2810" spans="1:3" hidden="1" x14ac:dyDescent="0.25">
      <c r="A2810" t="s">
        <v>11534</v>
      </c>
      <c r="B2810" t="s">
        <v>1454</v>
      </c>
      <c r="C2810" t="s">
        <v>11535</v>
      </c>
    </row>
    <row r="2811" spans="1:3" hidden="1" x14ac:dyDescent="0.25">
      <c r="A2811" t="s">
        <v>11536</v>
      </c>
      <c r="B2811" t="s">
        <v>5363</v>
      </c>
      <c r="C2811" t="s">
        <v>6958</v>
      </c>
    </row>
    <row r="2812" spans="1:3" hidden="1" x14ac:dyDescent="0.25">
      <c r="A2812" t="s">
        <v>11537</v>
      </c>
      <c r="B2812" t="s">
        <v>4840</v>
      </c>
      <c r="C2812" t="s">
        <v>11538</v>
      </c>
    </row>
    <row r="2813" spans="1:3" hidden="1" x14ac:dyDescent="0.25">
      <c r="A2813" t="s">
        <v>11539</v>
      </c>
      <c r="B2813" t="s">
        <v>1141</v>
      </c>
      <c r="C2813" t="s">
        <v>11540</v>
      </c>
    </row>
    <row r="2814" spans="1:3" hidden="1" x14ac:dyDescent="0.25">
      <c r="A2814" t="s">
        <v>11541</v>
      </c>
      <c r="B2814" t="s">
        <v>5281</v>
      </c>
      <c r="C2814" t="s">
        <v>6958</v>
      </c>
    </row>
    <row r="2815" spans="1:3" hidden="1" x14ac:dyDescent="0.25">
      <c r="A2815" t="s">
        <v>11542</v>
      </c>
      <c r="B2815" t="s">
        <v>3023</v>
      </c>
      <c r="C2815" t="s">
        <v>6958</v>
      </c>
    </row>
    <row r="2816" spans="1:3" hidden="1" x14ac:dyDescent="0.25">
      <c r="A2816" t="s">
        <v>11543</v>
      </c>
      <c r="B2816" t="s">
        <v>1074</v>
      </c>
      <c r="C2816" t="s">
        <v>11544</v>
      </c>
    </row>
    <row r="2817" spans="1:3" hidden="1" x14ac:dyDescent="0.25">
      <c r="A2817" t="s">
        <v>11545</v>
      </c>
      <c r="B2817" t="s">
        <v>4443</v>
      </c>
      <c r="C2817" t="s">
        <v>11546</v>
      </c>
    </row>
    <row r="2818" spans="1:3" hidden="1" x14ac:dyDescent="0.25">
      <c r="A2818" t="s">
        <v>11547</v>
      </c>
      <c r="B2818" t="s">
        <v>2277</v>
      </c>
      <c r="C2818" t="s">
        <v>6958</v>
      </c>
    </row>
    <row r="2819" spans="1:3" hidden="1" x14ac:dyDescent="0.25">
      <c r="A2819" t="s">
        <v>11548</v>
      </c>
      <c r="B2819" t="s">
        <v>3524</v>
      </c>
      <c r="C2819" t="s">
        <v>11549</v>
      </c>
    </row>
    <row r="2820" spans="1:3" hidden="1" x14ac:dyDescent="0.25">
      <c r="A2820" t="s">
        <v>11550</v>
      </c>
      <c r="B2820" t="s">
        <v>5635</v>
      </c>
      <c r="C2820" t="s">
        <v>6958</v>
      </c>
    </row>
    <row r="2821" spans="1:3" hidden="1" x14ac:dyDescent="0.25">
      <c r="A2821" t="s">
        <v>11551</v>
      </c>
      <c r="B2821" t="s">
        <v>5618</v>
      </c>
      <c r="C2821" t="s">
        <v>11552</v>
      </c>
    </row>
    <row r="2822" spans="1:3" hidden="1" x14ac:dyDescent="0.25">
      <c r="A2822" t="s">
        <v>11553</v>
      </c>
      <c r="B2822" t="s">
        <v>2270</v>
      </c>
      <c r="C2822" t="s">
        <v>11554</v>
      </c>
    </row>
    <row r="2823" spans="1:3" hidden="1" x14ac:dyDescent="0.25">
      <c r="A2823" t="s">
        <v>11555</v>
      </c>
      <c r="B2823" t="s">
        <v>4409</v>
      </c>
      <c r="C2823" t="s">
        <v>11556</v>
      </c>
    </row>
    <row r="2824" spans="1:3" hidden="1" x14ac:dyDescent="0.25">
      <c r="A2824" t="s">
        <v>11557</v>
      </c>
      <c r="B2824" t="s">
        <v>1262</v>
      </c>
      <c r="C2824" t="s">
        <v>11558</v>
      </c>
    </row>
    <row r="2825" spans="1:3" hidden="1" x14ac:dyDescent="0.25">
      <c r="A2825" t="s">
        <v>11559</v>
      </c>
      <c r="B2825" t="s">
        <v>4511</v>
      </c>
      <c r="C2825" t="s">
        <v>6958</v>
      </c>
    </row>
    <row r="2826" spans="1:3" hidden="1" x14ac:dyDescent="0.25">
      <c r="A2826" t="s">
        <v>11560</v>
      </c>
      <c r="B2826" t="s">
        <v>3127</v>
      </c>
      <c r="C2826" t="s">
        <v>6958</v>
      </c>
    </row>
    <row r="2827" spans="1:3" hidden="1" x14ac:dyDescent="0.25">
      <c r="A2827" t="s">
        <v>11561</v>
      </c>
      <c r="B2827" t="s">
        <v>3489</v>
      </c>
      <c r="C2827" t="s">
        <v>11562</v>
      </c>
    </row>
    <row r="2828" spans="1:3" hidden="1" x14ac:dyDescent="0.25">
      <c r="A2828" t="s">
        <v>11563</v>
      </c>
      <c r="B2828" t="s">
        <v>1800</v>
      </c>
      <c r="C2828" t="s">
        <v>6958</v>
      </c>
    </row>
    <row r="2829" spans="1:3" hidden="1" x14ac:dyDescent="0.25">
      <c r="A2829" t="s">
        <v>11564</v>
      </c>
      <c r="B2829" t="s">
        <v>3947</v>
      </c>
      <c r="C2829" t="s">
        <v>6958</v>
      </c>
    </row>
    <row r="2830" spans="1:3" hidden="1" x14ac:dyDescent="0.25">
      <c r="A2830" t="s">
        <v>11565</v>
      </c>
      <c r="B2830" t="s">
        <v>796</v>
      </c>
      <c r="C2830" t="s">
        <v>11566</v>
      </c>
    </row>
    <row r="2831" spans="1:3" hidden="1" x14ac:dyDescent="0.25">
      <c r="A2831" t="s">
        <v>11567</v>
      </c>
      <c r="B2831" t="s">
        <v>2081</v>
      </c>
      <c r="C2831" t="s">
        <v>11568</v>
      </c>
    </row>
    <row r="2832" spans="1:3" hidden="1" x14ac:dyDescent="0.25">
      <c r="A2832" t="s">
        <v>11569</v>
      </c>
      <c r="B2832" t="s">
        <v>358</v>
      </c>
      <c r="C2832" t="s">
        <v>11570</v>
      </c>
    </row>
    <row r="2833" spans="1:3" hidden="1" x14ac:dyDescent="0.25">
      <c r="A2833" t="s">
        <v>11571</v>
      </c>
      <c r="B2833" t="s">
        <v>107</v>
      </c>
      <c r="C2833" t="s">
        <v>11572</v>
      </c>
    </row>
    <row r="2834" spans="1:3" hidden="1" x14ac:dyDescent="0.25">
      <c r="A2834" t="s">
        <v>11573</v>
      </c>
      <c r="B2834" t="s">
        <v>4296</v>
      </c>
      <c r="C2834" t="s">
        <v>11574</v>
      </c>
    </row>
    <row r="2835" spans="1:3" hidden="1" x14ac:dyDescent="0.25">
      <c r="A2835" t="s">
        <v>11575</v>
      </c>
      <c r="B2835" t="s">
        <v>2730</v>
      </c>
      <c r="C2835" t="s">
        <v>7669</v>
      </c>
    </row>
    <row r="2836" spans="1:3" hidden="1" x14ac:dyDescent="0.25">
      <c r="A2836" t="s">
        <v>11576</v>
      </c>
      <c r="B2836" t="s">
        <v>3047</v>
      </c>
      <c r="C2836" t="s">
        <v>6958</v>
      </c>
    </row>
    <row r="2837" spans="1:3" hidden="1" x14ac:dyDescent="0.25">
      <c r="A2837" t="s">
        <v>11577</v>
      </c>
      <c r="B2837" t="s">
        <v>3075</v>
      </c>
      <c r="C2837" t="s">
        <v>11578</v>
      </c>
    </row>
    <row r="2838" spans="1:3" hidden="1" x14ac:dyDescent="0.25">
      <c r="A2838" t="s">
        <v>11579</v>
      </c>
      <c r="B2838" t="s">
        <v>3812</v>
      </c>
      <c r="C2838" t="s">
        <v>11580</v>
      </c>
    </row>
    <row r="2839" spans="1:3" hidden="1" x14ac:dyDescent="0.25">
      <c r="A2839" t="s">
        <v>11581</v>
      </c>
      <c r="B2839" t="s">
        <v>4791</v>
      </c>
      <c r="C2839" t="s">
        <v>11582</v>
      </c>
    </row>
    <row r="2840" spans="1:3" hidden="1" x14ac:dyDescent="0.25">
      <c r="A2840" t="s">
        <v>11583</v>
      </c>
      <c r="B2840" t="s">
        <v>470</v>
      </c>
      <c r="C2840" t="s">
        <v>6958</v>
      </c>
    </row>
    <row r="2841" spans="1:3" hidden="1" x14ac:dyDescent="0.25">
      <c r="A2841" t="s">
        <v>11584</v>
      </c>
      <c r="B2841" t="s">
        <v>4815</v>
      </c>
      <c r="C2841" t="s">
        <v>11585</v>
      </c>
    </row>
    <row r="2842" spans="1:3" hidden="1" x14ac:dyDescent="0.25">
      <c r="A2842" t="s">
        <v>11586</v>
      </c>
      <c r="B2842" t="s">
        <v>1540</v>
      </c>
      <c r="C2842" t="s">
        <v>6958</v>
      </c>
    </row>
    <row r="2843" spans="1:3" hidden="1" x14ac:dyDescent="0.25">
      <c r="A2843" t="s">
        <v>11587</v>
      </c>
      <c r="B2843" t="s">
        <v>4520</v>
      </c>
      <c r="C2843" t="s">
        <v>11588</v>
      </c>
    </row>
    <row r="2844" spans="1:3" hidden="1" x14ac:dyDescent="0.25">
      <c r="A2844" t="s">
        <v>11589</v>
      </c>
      <c r="B2844" t="s">
        <v>1182</v>
      </c>
      <c r="C2844" t="s">
        <v>11590</v>
      </c>
    </row>
    <row r="2845" spans="1:3" hidden="1" x14ac:dyDescent="0.25">
      <c r="A2845" t="s">
        <v>11591</v>
      </c>
      <c r="B2845" t="s">
        <v>3720</v>
      </c>
      <c r="C2845" t="s">
        <v>6958</v>
      </c>
    </row>
    <row r="2846" spans="1:3" hidden="1" x14ac:dyDescent="0.25">
      <c r="A2846" t="s">
        <v>11592</v>
      </c>
      <c r="B2846" t="s">
        <v>772</v>
      </c>
      <c r="C2846" t="s">
        <v>11593</v>
      </c>
    </row>
    <row r="2847" spans="1:3" hidden="1" x14ac:dyDescent="0.25">
      <c r="A2847" t="s">
        <v>11594</v>
      </c>
      <c r="B2847" t="s">
        <v>2172</v>
      </c>
      <c r="C2847" t="s">
        <v>11595</v>
      </c>
    </row>
    <row r="2848" spans="1:3" hidden="1" x14ac:dyDescent="0.25">
      <c r="A2848" t="s">
        <v>11596</v>
      </c>
      <c r="B2848" t="s">
        <v>1036</v>
      </c>
      <c r="C2848" t="s">
        <v>11597</v>
      </c>
    </row>
    <row r="2849" spans="1:3" hidden="1" x14ac:dyDescent="0.25">
      <c r="A2849" t="s">
        <v>11598</v>
      </c>
      <c r="B2849" t="s">
        <v>4082</v>
      </c>
      <c r="C2849" t="s">
        <v>6958</v>
      </c>
    </row>
    <row r="2850" spans="1:3" hidden="1" x14ac:dyDescent="0.25">
      <c r="A2850" t="s">
        <v>11599</v>
      </c>
      <c r="B2850" t="s">
        <v>320</v>
      </c>
      <c r="C2850" t="s">
        <v>11600</v>
      </c>
    </row>
    <row r="2851" spans="1:3" hidden="1" x14ac:dyDescent="0.25">
      <c r="A2851" t="s">
        <v>11601</v>
      </c>
      <c r="B2851" t="s">
        <v>5371</v>
      </c>
      <c r="C2851" t="s">
        <v>11602</v>
      </c>
    </row>
    <row r="2852" spans="1:3" hidden="1" x14ac:dyDescent="0.25">
      <c r="A2852" t="s">
        <v>11603</v>
      </c>
      <c r="B2852" t="s">
        <v>5439</v>
      </c>
      <c r="C2852" t="s">
        <v>6958</v>
      </c>
    </row>
    <row r="2853" spans="1:3" hidden="1" x14ac:dyDescent="0.25">
      <c r="A2853" t="s">
        <v>11604</v>
      </c>
      <c r="B2853" t="s">
        <v>3000</v>
      </c>
      <c r="C2853" t="s">
        <v>6958</v>
      </c>
    </row>
    <row r="2854" spans="1:3" hidden="1" x14ac:dyDescent="0.25">
      <c r="A2854" t="s">
        <v>11605</v>
      </c>
      <c r="B2854" t="s">
        <v>4103</v>
      </c>
      <c r="C2854" t="s">
        <v>11606</v>
      </c>
    </row>
    <row r="2855" spans="1:3" hidden="1" x14ac:dyDescent="0.25">
      <c r="A2855" t="s">
        <v>11607</v>
      </c>
      <c r="B2855" t="s">
        <v>5302</v>
      </c>
      <c r="C2855" t="s">
        <v>11608</v>
      </c>
    </row>
    <row r="2856" spans="1:3" hidden="1" x14ac:dyDescent="0.25">
      <c r="A2856" t="s">
        <v>11609</v>
      </c>
      <c r="B2856" t="s">
        <v>5345</v>
      </c>
      <c r="C2856" t="s">
        <v>6958</v>
      </c>
    </row>
    <row r="2857" spans="1:3" hidden="1" x14ac:dyDescent="0.25">
      <c r="A2857" t="s">
        <v>11610</v>
      </c>
      <c r="B2857" t="s">
        <v>4768</v>
      </c>
      <c r="C2857" t="s">
        <v>11611</v>
      </c>
    </row>
    <row r="2858" spans="1:3" hidden="1" x14ac:dyDescent="0.25">
      <c r="A2858" t="s">
        <v>11612</v>
      </c>
      <c r="B2858" t="s">
        <v>1822</v>
      </c>
      <c r="C2858" t="s">
        <v>6958</v>
      </c>
    </row>
    <row r="2859" spans="1:3" hidden="1" x14ac:dyDescent="0.25">
      <c r="A2859" t="s">
        <v>11613</v>
      </c>
      <c r="B2859" t="s">
        <v>475</v>
      </c>
      <c r="C2859" t="s">
        <v>6958</v>
      </c>
    </row>
    <row r="2860" spans="1:3" hidden="1" x14ac:dyDescent="0.25">
      <c r="A2860" t="s">
        <v>11614</v>
      </c>
      <c r="B2860" t="s">
        <v>3126</v>
      </c>
      <c r="C2860" t="s">
        <v>11615</v>
      </c>
    </row>
    <row r="2861" spans="1:3" hidden="1" x14ac:dyDescent="0.25">
      <c r="A2861" t="s">
        <v>11616</v>
      </c>
      <c r="B2861" t="s">
        <v>4827</v>
      </c>
      <c r="C2861" t="s">
        <v>6958</v>
      </c>
    </row>
    <row r="2862" spans="1:3" hidden="1" x14ac:dyDescent="0.25">
      <c r="A2862" t="s">
        <v>11617</v>
      </c>
      <c r="B2862" t="s">
        <v>2698</v>
      </c>
      <c r="C2862" t="s">
        <v>6958</v>
      </c>
    </row>
    <row r="2863" spans="1:3" hidden="1" x14ac:dyDescent="0.25">
      <c r="A2863" t="s">
        <v>11618</v>
      </c>
      <c r="B2863" t="s">
        <v>1966</v>
      </c>
      <c r="C2863" t="s">
        <v>11619</v>
      </c>
    </row>
    <row r="2864" spans="1:3" hidden="1" x14ac:dyDescent="0.25">
      <c r="A2864" t="s">
        <v>11620</v>
      </c>
      <c r="B2864" t="s">
        <v>3447</v>
      </c>
      <c r="C2864" t="s">
        <v>11621</v>
      </c>
    </row>
    <row r="2865" spans="1:3" hidden="1" x14ac:dyDescent="0.25">
      <c r="A2865" t="s">
        <v>11622</v>
      </c>
      <c r="B2865" t="s">
        <v>1597</v>
      </c>
      <c r="C2865" t="s">
        <v>11623</v>
      </c>
    </row>
    <row r="2866" spans="1:3" hidden="1" x14ac:dyDescent="0.25">
      <c r="A2866" t="s">
        <v>11624</v>
      </c>
      <c r="B2866" t="s">
        <v>5594</v>
      </c>
      <c r="C2866" t="s">
        <v>6958</v>
      </c>
    </row>
    <row r="2867" spans="1:3" hidden="1" x14ac:dyDescent="0.25">
      <c r="A2867" t="s">
        <v>11625</v>
      </c>
      <c r="B2867" t="s">
        <v>275</v>
      </c>
      <c r="C2867" t="s">
        <v>11626</v>
      </c>
    </row>
    <row r="2868" spans="1:3" hidden="1" x14ac:dyDescent="0.25">
      <c r="A2868" t="s">
        <v>11627</v>
      </c>
      <c r="B2868" t="s">
        <v>16</v>
      </c>
      <c r="C2868" t="s">
        <v>11628</v>
      </c>
    </row>
    <row r="2869" spans="1:3" hidden="1" x14ac:dyDescent="0.25">
      <c r="A2869" t="s">
        <v>11629</v>
      </c>
      <c r="B2869" t="s">
        <v>277</v>
      </c>
      <c r="C2869" t="s">
        <v>11630</v>
      </c>
    </row>
    <row r="2870" spans="1:3" hidden="1" x14ac:dyDescent="0.25">
      <c r="A2870" t="s">
        <v>11631</v>
      </c>
      <c r="B2870" t="s">
        <v>11632</v>
      </c>
      <c r="C2870" t="s">
        <v>6958</v>
      </c>
    </row>
    <row r="2871" spans="1:3" hidden="1" x14ac:dyDescent="0.25">
      <c r="A2871" t="s">
        <v>11633</v>
      </c>
      <c r="B2871" t="s">
        <v>11634</v>
      </c>
      <c r="C2871" t="s">
        <v>11635</v>
      </c>
    </row>
    <row r="2872" spans="1:3" hidden="1" x14ac:dyDescent="0.25">
      <c r="A2872" t="s">
        <v>11636</v>
      </c>
      <c r="B2872" t="s">
        <v>3606</v>
      </c>
      <c r="C2872" t="s">
        <v>6958</v>
      </c>
    </row>
    <row r="2873" spans="1:3" hidden="1" x14ac:dyDescent="0.25">
      <c r="A2873" t="s">
        <v>11637</v>
      </c>
      <c r="B2873" t="s">
        <v>11638</v>
      </c>
      <c r="C2873" t="s">
        <v>6958</v>
      </c>
    </row>
    <row r="2874" spans="1:3" hidden="1" x14ac:dyDescent="0.25">
      <c r="A2874" t="s">
        <v>11639</v>
      </c>
      <c r="B2874" t="s">
        <v>11640</v>
      </c>
      <c r="C2874" t="s">
        <v>6958</v>
      </c>
    </row>
    <row r="2875" spans="1:3" hidden="1" x14ac:dyDescent="0.25">
      <c r="A2875" t="s">
        <v>11641</v>
      </c>
      <c r="B2875" t="s">
        <v>2699</v>
      </c>
      <c r="C2875" t="s">
        <v>11642</v>
      </c>
    </row>
    <row r="2876" spans="1:3" hidden="1" x14ac:dyDescent="0.25">
      <c r="A2876" t="s">
        <v>11643</v>
      </c>
      <c r="B2876" t="s">
        <v>4775</v>
      </c>
      <c r="C2876" t="s">
        <v>6958</v>
      </c>
    </row>
    <row r="2877" spans="1:3" hidden="1" x14ac:dyDescent="0.25">
      <c r="A2877" t="s">
        <v>11644</v>
      </c>
      <c r="B2877" t="s">
        <v>3496</v>
      </c>
      <c r="C2877" t="s">
        <v>6958</v>
      </c>
    </row>
    <row r="2878" spans="1:3" hidden="1" x14ac:dyDescent="0.25">
      <c r="A2878" t="s">
        <v>11645</v>
      </c>
      <c r="B2878" t="s">
        <v>3183</v>
      </c>
      <c r="C2878" t="s">
        <v>11646</v>
      </c>
    </row>
    <row r="2879" spans="1:3" hidden="1" x14ac:dyDescent="0.25">
      <c r="A2879" t="s">
        <v>11647</v>
      </c>
      <c r="B2879" t="s">
        <v>1745</v>
      </c>
      <c r="C2879" t="s">
        <v>11648</v>
      </c>
    </row>
    <row r="2880" spans="1:3" hidden="1" x14ac:dyDescent="0.25">
      <c r="A2880" t="s">
        <v>11649</v>
      </c>
      <c r="B2880" t="s">
        <v>2219</v>
      </c>
      <c r="C2880" t="s">
        <v>6958</v>
      </c>
    </row>
    <row r="2881" spans="1:3" hidden="1" x14ac:dyDescent="0.25">
      <c r="A2881" t="s">
        <v>11650</v>
      </c>
      <c r="B2881" t="s">
        <v>235</v>
      </c>
      <c r="C2881" t="s">
        <v>11651</v>
      </c>
    </row>
    <row r="2882" spans="1:3" hidden="1" x14ac:dyDescent="0.25">
      <c r="A2882" t="s">
        <v>11652</v>
      </c>
      <c r="B2882" t="s">
        <v>3589</v>
      </c>
      <c r="C2882" t="s">
        <v>6958</v>
      </c>
    </row>
    <row r="2883" spans="1:3" hidden="1" x14ac:dyDescent="0.25">
      <c r="A2883" t="s">
        <v>11653</v>
      </c>
      <c r="B2883" t="s">
        <v>2839</v>
      </c>
      <c r="C2883" t="s">
        <v>11654</v>
      </c>
    </row>
    <row r="2884" spans="1:3" hidden="1" x14ac:dyDescent="0.25">
      <c r="A2884" t="s">
        <v>11655</v>
      </c>
      <c r="B2884" t="s">
        <v>3367</v>
      </c>
      <c r="C2884" t="s">
        <v>11656</v>
      </c>
    </row>
    <row r="2885" spans="1:3" hidden="1" x14ac:dyDescent="0.25">
      <c r="A2885" t="s">
        <v>11657</v>
      </c>
      <c r="B2885" t="s">
        <v>3795</v>
      </c>
      <c r="C2885" t="s">
        <v>6958</v>
      </c>
    </row>
    <row r="2886" spans="1:3" hidden="1" x14ac:dyDescent="0.25">
      <c r="A2886" t="s">
        <v>11658</v>
      </c>
      <c r="B2886" t="s">
        <v>4767</v>
      </c>
      <c r="C2886" t="s">
        <v>11659</v>
      </c>
    </row>
    <row r="2887" spans="1:3" hidden="1" x14ac:dyDescent="0.25">
      <c r="A2887" t="s">
        <v>11660</v>
      </c>
      <c r="B2887" t="s">
        <v>724</v>
      </c>
      <c r="C2887" t="s">
        <v>6958</v>
      </c>
    </row>
    <row r="2888" spans="1:3" hidden="1" x14ac:dyDescent="0.25">
      <c r="A2888" t="s">
        <v>11661</v>
      </c>
      <c r="B2888" t="s">
        <v>11662</v>
      </c>
      <c r="C2888" t="s">
        <v>6958</v>
      </c>
    </row>
    <row r="2889" spans="1:3" hidden="1" x14ac:dyDescent="0.25">
      <c r="A2889" t="s">
        <v>11663</v>
      </c>
      <c r="B2889" t="s">
        <v>1221</v>
      </c>
      <c r="C2889" t="s">
        <v>11664</v>
      </c>
    </row>
    <row r="2890" spans="1:3" hidden="1" x14ac:dyDescent="0.25">
      <c r="A2890" t="s">
        <v>11665</v>
      </c>
      <c r="B2890" t="s">
        <v>2129</v>
      </c>
      <c r="C2890" t="s">
        <v>11666</v>
      </c>
    </row>
    <row r="2891" spans="1:3" hidden="1" x14ac:dyDescent="0.25">
      <c r="A2891" t="s">
        <v>11667</v>
      </c>
      <c r="B2891" t="s">
        <v>582</v>
      </c>
      <c r="C2891" t="s">
        <v>6958</v>
      </c>
    </row>
    <row r="2892" spans="1:3" hidden="1" x14ac:dyDescent="0.25">
      <c r="A2892" t="s">
        <v>11668</v>
      </c>
      <c r="B2892" t="s">
        <v>3684</v>
      </c>
      <c r="C2892" t="s">
        <v>6958</v>
      </c>
    </row>
    <row r="2893" spans="1:3" hidden="1" x14ac:dyDescent="0.25">
      <c r="A2893" t="s">
        <v>11669</v>
      </c>
      <c r="B2893" t="s">
        <v>3642</v>
      </c>
      <c r="C2893" t="s">
        <v>11670</v>
      </c>
    </row>
    <row r="2894" spans="1:3" hidden="1" x14ac:dyDescent="0.25">
      <c r="A2894" t="s">
        <v>11671</v>
      </c>
      <c r="B2894" t="s">
        <v>1250</v>
      </c>
      <c r="C2894" t="s">
        <v>6958</v>
      </c>
    </row>
    <row r="2895" spans="1:3" hidden="1" x14ac:dyDescent="0.25">
      <c r="A2895" t="s">
        <v>11672</v>
      </c>
      <c r="B2895" t="s">
        <v>2901</v>
      </c>
      <c r="C2895" t="s">
        <v>11673</v>
      </c>
    </row>
    <row r="2896" spans="1:3" hidden="1" x14ac:dyDescent="0.25">
      <c r="A2896" t="s">
        <v>11674</v>
      </c>
      <c r="B2896" t="s">
        <v>937</v>
      </c>
      <c r="C2896" t="s">
        <v>11675</v>
      </c>
    </row>
    <row r="2897" spans="1:3" hidden="1" x14ac:dyDescent="0.25">
      <c r="A2897" t="s">
        <v>11676</v>
      </c>
      <c r="B2897" t="s">
        <v>469</v>
      </c>
      <c r="C2897" t="s">
        <v>6958</v>
      </c>
    </row>
    <row r="2898" spans="1:3" hidden="1" x14ac:dyDescent="0.25">
      <c r="A2898" t="s">
        <v>11677</v>
      </c>
      <c r="B2898" t="s">
        <v>5637</v>
      </c>
      <c r="C2898" t="s">
        <v>11678</v>
      </c>
    </row>
    <row r="2899" spans="1:3" hidden="1" x14ac:dyDescent="0.25">
      <c r="A2899" t="s">
        <v>11679</v>
      </c>
      <c r="B2899" t="s">
        <v>451</v>
      </c>
      <c r="C2899" t="s">
        <v>8245</v>
      </c>
    </row>
    <row r="2900" spans="1:3" hidden="1" x14ac:dyDescent="0.25">
      <c r="A2900" t="s">
        <v>11680</v>
      </c>
      <c r="B2900" t="s">
        <v>1577</v>
      </c>
      <c r="C2900" t="s">
        <v>6958</v>
      </c>
    </row>
    <row r="2901" spans="1:3" hidden="1" x14ac:dyDescent="0.25">
      <c r="A2901" t="s">
        <v>11681</v>
      </c>
      <c r="B2901" t="s">
        <v>2097</v>
      </c>
      <c r="C2901" t="s">
        <v>11682</v>
      </c>
    </row>
    <row r="2902" spans="1:3" hidden="1" x14ac:dyDescent="0.25">
      <c r="A2902" t="s">
        <v>11683</v>
      </c>
      <c r="B2902" t="s">
        <v>5558</v>
      </c>
      <c r="C2902" t="s">
        <v>6958</v>
      </c>
    </row>
    <row r="2903" spans="1:3" hidden="1" x14ac:dyDescent="0.25">
      <c r="A2903" t="s">
        <v>11684</v>
      </c>
      <c r="B2903" t="s">
        <v>2876</v>
      </c>
      <c r="C2903" t="s">
        <v>6958</v>
      </c>
    </row>
    <row r="2904" spans="1:3" hidden="1" x14ac:dyDescent="0.25">
      <c r="A2904" t="s">
        <v>11685</v>
      </c>
      <c r="B2904" t="s">
        <v>1417</v>
      </c>
      <c r="C2904" t="s">
        <v>11686</v>
      </c>
    </row>
    <row r="2905" spans="1:3" hidden="1" x14ac:dyDescent="0.25">
      <c r="A2905" t="s">
        <v>11687</v>
      </c>
      <c r="B2905" t="s">
        <v>3414</v>
      </c>
      <c r="C2905" t="s">
        <v>11688</v>
      </c>
    </row>
    <row r="2906" spans="1:3" hidden="1" x14ac:dyDescent="0.25">
      <c r="A2906" t="s">
        <v>11689</v>
      </c>
      <c r="B2906" t="s">
        <v>328</v>
      </c>
      <c r="C2906" t="s">
        <v>11690</v>
      </c>
    </row>
    <row r="2907" spans="1:3" hidden="1" x14ac:dyDescent="0.25">
      <c r="A2907" t="s">
        <v>11691</v>
      </c>
      <c r="B2907" t="s">
        <v>1681</v>
      </c>
      <c r="C2907" t="s">
        <v>6958</v>
      </c>
    </row>
    <row r="2908" spans="1:3" hidden="1" x14ac:dyDescent="0.25">
      <c r="A2908" t="s">
        <v>11692</v>
      </c>
      <c r="B2908" t="s">
        <v>1728</v>
      </c>
      <c r="C2908" t="s">
        <v>6958</v>
      </c>
    </row>
    <row r="2909" spans="1:3" hidden="1" x14ac:dyDescent="0.25">
      <c r="A2909" t="s">
        <v>11693</v>
      </c>
      <c r="B2909" t="s">
        <v>650</v>
      </c>
      <c r="C2909" t="s">
        <v>11694</v>
      </c>
    </row>
    <row r="2910" spans="1:3" hidden="1" x14ac:dyDescent="0.25">
      <c r="A2910" t="s">
        <v>11695</v>
      </c>
      <c r="B2910" t="s">
        <v>2981</v>
      </c>
      <c r="C2910" t="s">
        <v>6958</v>
      </c>
    </row>
    <row r="2911" spans="1:3" hidden="1" x14ac:dyDescent="0.25">
      <c r="A2911" t="s">
        <v>11696</v>
      </c>
      <c r="B2911" t="s">
        <v>3355</v>
      </c>
      <c r="C2911" t="s">
        <v>11697</v>
      </c>
    </row>
    <row r="2912" spans="1:3" hidden="1" x14ac:dyDescent="0.25">
      <c r="A2912" t="s">
        <v>11698</v>
      </c>
      <c r="B2912" t="s">
        <v>2325</v>
      </c>
      <c r="C2912" t="s">
        <v>11699</v>
      </c>
    </row>
    <row r="2913" spans="1:3" hidden="1" x14ac:dyDescent="0.25">
      <c r="A2913" t="s">
        <v>11700</v>
      </c>
      <c r="B2913" t="s">
        <v>4733</v>
      </c>
      <c r="C2913" t="s">
        <v>11701</v>
      </c>
    </row>
    <row r="2914" spans="1:3" hidden="1" x14ac:dyDescent="0.25">
      <c r="A2914" t="s">
        <v>11702</v>
      </c>
      <c r="B2914" t="s">
        <v>3942</v>
      </c>
      <c r="C2914" t="s">
        <v>11703</v>
      </c>
    </row>
    <row r="2915" spans="1:3" hidden="1" x14ac:dyDescent="0.25">
      <c r="A2915" t="s">
        <v>11704</v>
      </c>
      <c r="B2915" t="s">
        <v>3934</v>
      </c>
      <c r="C2915" t="s">
        <v>11705</v>
      </c>
    </row>
    <row r="2916" spans="1:3" hidden="1" x14ac:dyDescent="0.25">
      <c r="A2916" t="s">
        <v>11706</v>
      </c>
      <c r="B2916" t="s">
        <v>3639</v>
      </c>
      <c r="C2916" t="s">
        <v>6958</v>
      </c>
    </row>
    <row r="2917" spans="1:3" hidden="1" x14ac:dyDescent="0.25">
      <c r="A2917" t="s">
        <v>11707</v>
      </c>
      <c r="B2917" t="s">
        <v>170</v>
      </c>
      <c r="C2917" t="s">
        <v>11708</v>
      </c>
    </row>
    <row r="2918" spans="1:3" hidden="1" x14ac:dyDescent="0.25">
      <c r="A2918" t="s">
        <v>11709</v>
      </c>
      <c r="B2918" t="s">
        <v>4987</v>
      </c>
      <c r="C2918" t="s">
        <v>11710</v>
      </c>
    </row>
    <row r="2919" spans="1:3" hidden="1" x14ac:dyDescent="0.25">
      <c r="A2919" t="s">
        <v>11711</v>
      </c>
      <c r="B2919" t="s">
        <v>551</v>
      </c>
      <c r="C2919" t="s">
        <v>6958</v>
      </c>
    </row>
    <row r="2920" spans="1:3" hidden="1" x14ac:dyDescent="0.25">
      <c r="A2920" t="s">
        <v>11712</v>
      </c>
      <c r="B2920" t="s">
        <v>4116</v>
      </c>
      <c r="C2920" t="s">
        <v>11713</v>
      </c>
    </row>
    <row r="2921" spans="1:3" hidden="1" x14ac:dyDescent="0.25">
      <c r="A2921" t="s">
        <v>11714</v>
      </c>
      <c r="B2921" t="s">
        <v>1072</v>
      </c>
      <c r="C2921" t="s">
        <v>11715</v>
      </c>
    </row>
    <row r="2922" spans="1:3" hidden="1" x14ac:dyDescent="0.25">
      <c r="A2922" t="s">
        <v>11716</v>
      </c>
      <c r="B2922" t="s">
        <v>3287</v>
      </c>
      <c r="C2922" t="s">
        <v>11717</v>
      </c>
    </row>
    <row r="2923" spans="1:3" hidden="1" x14ac:dyDescent="0.25">
      <c r="A2923" t="s">
        <v>11718</v>
      </c>
      <c r="B2923" t="s">
        <v>4730</v>
      </c>
      <c r="C2923" t="s">
        <v>11719</v>
      </c>
    </row>
    <row r="2924" spans="1:3" hidden="1" x14ac:dyDescent="0.25">
      <c r="A2924" t="s">
        <v>11720</v>
      </c>
      <c r="B2924" t="s">
        <v>3816</v>
      </c>
      <c r="C2924" t="s">
        <v>6958</v>
      </c>
    </row>
    <row r="2925" spans="1:3" hidden="1" x14ac:dyDescent="0.25">
      <c r="A2925" t="s">
        <v>11721</v>
      </c>
      <c r="B2925" t="s">
        <v>5433</v>
      </c>
      <c r="C2925" t="s">
        <v>11722</v>
      </c>
    </row>
    <row r="2926" spans="1:3" hidden="1" x14ac:dyDescent="0.25">
      <c r="A2926" t="s">
        <v>11723</v>
      </c>
      <c r="B2926" t="s">
        <v>5318</v>
      </c>
      <c r="C2926" t="s">
        <v>6958</v>
      </c>
    </row>
    <row r="2927" spans="1:3" hidden="1" x14ac:dyDescent="0.25">
      <c r="A2927" t="s">
        <v>11724</v>
      </c>
      <c r="B2927" t="s">
        <v>3145</v>
      </c>
      <c r="C2927" t="s">
        <v>11725</v>
      </c>
    </row>
    <row r="2928" spans="1:3" hidden="1" x14ac:dyDescent="0.25">
      <c r="A2928" t="s">
        <v>11726</v>
      </c>
      <c r="B2928" t="s">
        <v>2815</v>
      </c>
      <c r="C2928" t="s">
        <v>6958</v>
      </c>
    </row>
    <row r="2929" spans="1:3" hidden="1" x14ac:dyDescent="0.25">
      <c r="A2929" t="s">
        <v>11727</v>
      </c>
      <c r="B2929" t="s">
        <v>1883</v>
      </c>
      <c r="C2929" t="s">
        <v>6958</v>
      </c>
    </row>
    <row r="2930" spans="1:3" hidden="1" x14ac:dyDescent="0.25">
      <c r="A2930" t="s">
        <v>11728</v>
      </c>
      <c r="B2930" t="s">
        <v>2905</v>
      </c>
      <c r="C2930" t="s">
        <v>11729</v>
      </c>
    </row>
    <row r="2931" spans="1:3" hidden="1" x14ac:dyDescent="0.25">
      <c r="A2931" t="s">
        <v>11730</v>
      </c>
      <c r="B2931" t="s">
        <v>3338</v>
      </c>
      <c r="C2931" t="s">
        <v>6958</v>
      </c>
    </row>
    <row r="2932" spans="1:3" hidden="1" x14ac:dyDescent="0.25">
      <c r="A2932" t="s">
        <v>11731</v>
      </c>
      <c r="B2932" t="s">
        <v>2629</v>
      </c>
      <c r="C2932" t="s">
        <v>6958</v>
      </c>
    </row>
    <row r="2933" spans="1:3" hidden="1" x14ac:dyDescent="0.25">
      <c r="A2933" t="s">
        <v>11732</v>
      </c>
      <c r="B2933" t="s">
        <v>1419</v>
      </c>
      <c r="C2933" t="s">
        <v>11733</v>
      </c>
    </row>
    <row r="2934" spans="1:3" hidden="1" x14ac:dyDescent="0.25">
      <c r="A2934" t="s">
        <v>11734</v>
      </c>
      <c r="B2934" t="s">
        <v>5519</v>
      </c>
      <c r="C2934" t="s">
        <v>11735</v>
      </c>
    </row>
    <row r="2935" spans="1:3" hidden="1" x14ac:dyDescent="0.25">
      <c r="A2935" t="s">
        <v>11736</v>
      </c>
      <c r="B2935" t="s">
        <v>992</v>
      </c>
      <c r="C2935" t="s">
        <v>6958</v>
      </c>
    </row>
    <row r="2936" spans="1:3" hidden="1" x14ac:dyDescent="0.25">
      <c r="A2936" t="s">
        <v>11737</v>
      </c>
      <c r="B2936" t="s">
        <v>3360</v>
      </c>
      <c r="C2936" t="s">
        <v>11738</v>
      </c>
    </row>
    <row r="2937" spans="1:3" hidden="1" x14ac:dyDescent="0.25">
      <c r="A2937" t="s">
        <v>11739</v>
      </c>
      <c r="B2937" t="s">
        <v>4626</v>
      </c>
      <c r="C2937" t="s">
        <v>6958</v>
      </c>
    </row>
    <row r="2938" spans="1:3" hidden="1" x14ac:dyDescent="0.25">
      <c r="A2938" t="s">
        <v>11740</v>
      </c>
      <c r="B2938" t="s">
        <v>871</v>
      </c>
      <c r="C2938" t="s">
        <v>6958</v>
      </c>
    </row>
    <row r="2939" spans="1:3" hidden="1" x14ac:dyDescent="0.25">
      <c r="A2939" t="s">
        <v>11741</v>
      </c>
      <c r="B2939" t="s">
        <v>5279</v>
      </c>
      <c r="C2939" t="s">
        <v>6958</v>
      </c>
    </row>
    <row r="2940" spans="1:3" hidden="1" x14ac:dyDescent="0.25">
      <c r="A2940" t="s">
        <v>11742</v>
      </c>
      <c r="B2940" t="s">
        <v>3326</v>
      </c>
      <c r="C2940" t="s">
        <v>6958</v>
      </c>
    </row>
    <row r="2941" spans="1:3" hidden="1" x14ac:dyDescent="0.25">
      <c r="A2941" t="s">
        <v>11743</v>
      </c>
      <c r="B2941" t="s">
        <v>1647</v>
      </c>
      <c r="C2941" t="s">
        <v>11744</v>
      </c>
    </row>
    <row r="2942" spans="1:3" hidden="1" x14ac:dyDescent="0.25">
      <c r="A2942" t="s">
        <v>11745</v>
      </c>
      <c r="B2942" t="s">
        <v>2627</v>
      </c>
      <c r="C2942" t="s">
        <v>11746</v>
      </c>
    </row>
    <row r="2943" spans="1:3" hidden="1" x14ac:dyDescent="0.25">
      <c r="A2943" t="s">
        <v>11747</v>
      </c>
      <c r="B2943" t="s">
        <v>3666</v>
      </c>
      <c r="C2943" t="s">
        <v>6958</v>
      </c>
    </row>
    <row r="2944" spans="1:3" hidden="1" x14ac:dyDescent="0.25">
      <c r="A2944" t="s">
        <v>11748</v>
      </c>
      <c r="B2944" t="s">
        <v>1453</v>
      </c>
      <c r="C2944" t="s">
        <v>11749</v>
      </c>
    </row>
    <row r="2945" spans="1:3" hidden="1" x14ac:dyDescent="0.25">
      <c r="A2945" t="s">
        <v>11750</v>
      </c>
      <c r="B2945" t="s">
        <v>4803</v>
      </c>
      <c r="C2945" t="s">
        <v>6958</v>
      </c>
    </row>
    <row r="2946" spans="1:3" hidden="1" x14ac:dyDescent="0.25">
      <c r="A2946" t="s">
        <v>11751</v>
      </c>
      <c r="B2946" t="s">
        <v>5469</v>
      </c>
      <c r="C2946" t="s">
        <v>11752</v>
      </c>
    </row>
    <row r="2947" spans="1:3" hidden="1" x14ac:dyDescent="0.25">
      <c r="A2947" t="s">
        <v>11753</v>
      </c>
      <c r="B2947" t="s">
        <v>4951</v>
      </c>
      <c r="C2947" t="s">
        <v>11754</v>
      </c>
    </row>
    <row r="2948" spans="1:3" hidden="1" x14ac:dyDescent="0.25">
      <c r="A2948" t="s">
        <v>11755</v>
      </c>
      <c r="B2948" t="s">
        <v>340</v>
      </c>
      <c r="C2948" t="s">
        <v>11756</v>
      </c>
    </row>
    <row r="2949" spans="1:3" hidden="1" x14ac:dyDescent="0.25">
      <c r="A2949" t="s">
        <v>11757</v>
      </c>
      <c r="B2949" t="s">
        <v>2399</v>
      </c>
      <c r="C2949" t="s">
        <v>6958</v>
      </c>
    </row>
    <row r="2950" spans="1:3" hidden="1" x14ac:dyDescent="0.25">
      <c r="A2950" t="s">
        <v>11758</v>
      </c>
      <c r="B2950" t="s">
        <v>862</v>
      </c>
      <c r="C2950" t="s">
        <v>11759</v>
      </c>
    </row>
    <row r="2951" spans="1:3" hidden="1" x14ac:dyDescent="0.25">
      <c r="A2951" t="s">
        <v>11760</v>
      </c>
      <c r="B2951" t="s">
        <v>2895</v>
      </c>
      <c r="C2951" t="s">
        <v>6958</v>
      </c>
    </row>
    <row r="2952" spans="1:3" hidden="1" x14ac:dyDescent="0.25">
      <c r="A2952" t="s">
        <v>11761</v>
      </c>
      <c r="B2952" t="s">
        <v>2424</v>
      </c>
      <c r="C2952" t="s">
        <v>6958</v>
      </c>
    </row>
    <row r="2953" spans="1:3" hidden="1" x14ac:dyDescent="0.25">
      <c r="A2953" t="s">
        <v>11762</v>
      </c>
      <c r="B2953" t="s">
        <v>3239</v>
      </c>
      <c r="C2953" t="s">
        <v>11763</v>
      </c>
    </row>
    <row r="2954" spans="1:3" hidden="1" x14ac:dyDescent="0.25">
      <c r="A2954" t="s">
        <v>11764</v>
      </c>
      <c r="B2954" t="s">
        <v>2745</v>
      </c>
      <c r="C2954" t="s">
        <v>6958</v>
      </c>
    </row>
    <row r="2955" spans="1:3" hidden="1" x14ac:dyDescent="0.25">
      <c r="A2955" t="s">
        <v>11765</v>
      </c>
      <c r="B2955" t="s">
        <v>3880</v>
      </c>
      <c r="C2955" t="s">
        <v>11766</v>
      </c>
    </row>
    <row r="2956" spans="1:3" hidden="1" x14ac:dyDescent="0.25">
      <c r="A2956" t="s">
        <v>11767</v>
      </c>
      <c r="B2956" t="s">
        <v>5158</v>
      </c>
      <c r="C2956" t="s">
        <v>6958</v>
      </c>
    </row>
    <row r="2957" spans="1:3" hidden="1" x14ac:dyDescent="0.25">
      <c r="A2957" t="s">
        <v>11768</v>
      </c>
      <c r="B2957" t="s">
        <v>1726</v>
      </c>
      <c r="C2957" t="s">
        <v>11769</v>
      </c>
    </row>
    <row r="2958" spans="1:3" hidden="1" x14ac:dyDescent="0.25">
      <c r="A2958" t="s">
        <v>11770</v>
      </c>
      <c r="B2958" t="s">
        <v>3142</v>
      </c>
      <c r="C2958" t="s">
        <v>6958</v>
      </c>
    </row>
    <row r="2959" spans="1:3" hidden="1" x14ac:dyDescent="0.25">
      <c r="A2959" t="s">
        <v>11771</v>
      </c>
      <c r="B2959" t="s">
        <v>174</v>
      </c>
      <c r="C2959" t="s">
        <v>11772</v>
      </c>
    </row>
    <row r="2960" spans="1:3" hidden="1" x14ac:dyDescent="0.25">
      <c r="A2960" t="s">
        <v>11773</v>
      </c>
      <c r="B2960" t="s">
        <v>3792</v>
      </c>
      <c r="C2960" t="s">
        <v>11774</v>
      </c>
    </row>
    <row r="2961" spans="1:3" hidden="1" x14ac:dyDescent="0.25">
      <c r="A2961" t="s">
        <v>11775</v>
      </c>
      <c r="B2961" t="s">
        <v>2001</v>
      </c>
      <c r="C2961" t="s">
        <v>11776</v>
      </c>
    </row>
    <row r="2962" spans="1:3" hidden="1" x14ac:dyDescent="0.25">
      <c r="A2962" t="s">
        <v>11777</v>
      </c>
      <c r="B2962" t="s">
        <v>2788</v>
      </c>
      <c r="C2962" t="s">
        <v>6958</v>
      </c>
    </row>
    <row r="2963" spans="1:3" hidden="1" x14ac:dyDescent="0.25">
      <c r="A2963" t="s">
        <v>11778</v>
      </c>
      <c r="B2963" t="s">
        <v>3261</v>
      </c>
      <c r="C2963" t="s">
        <v>6958</v>
      </c>
    </row>
    <row r="2964" spans="1:3" hidden="1" x14ac:dyDescent="0.25">
      <c r="A2964" t="s">
        <v>11779</v>
      </c>
      <c r="B2964" t="s">
        <v>4868</v>
      </c>
      <c r="C2964" t="s">
        <v>11780</v>
      </c>
    </row>
    <row r="2965" spans="1:3" hidden="1" x14ac:dyDescent="0.25">
      <c r="A2965" t="s">
        <v>11781</v>
      </c>
      <c r="B2965" t="s">
        <v>2782</v>
      </c>
      <c r="C2965" t="s">
        <v>11782</v>
      </c>
    </row>
    <row r="2966" spans="1:3" hidden="1" x14ac:dyDescent="0.25">
      <c r="A2966" t="s">
        <v>11783</v>
      </c>
      <c r="B2966" t="s">
        <v>4262</v>
      </c>
      <c r="C2966" t="s">
        <v>11784</v>
      </c>
    </row>
    <row r="2967" spans="1:3" hidden="1" x14ac:dyDescent="0.25">
      <c r="A2967" t="s">
        <v>11785</v>
      </c>
      <c r="B2967" t="s">
        <v>5336</v>
      </c>
      <c r="C2967" t="s">
        <v>6958</v>
      </c>
    </row>
    <row r="2968" spans="1:3" hidden="1" x14ac:dyDescent="0.25">
      <c r="A2968" t="s">
        <v>11786</v>
      </c>
      <c r="B2968" t="s">
        <v>1242</v>
      </c>
      <c r="C2968" t="s">
        <v>6958</v>
      </c>
    </row>
    <row r="2969" spans="1:3" hidden="1" x14ac:dyDescent="0.25">
      <c r="A2969" t="s">
        <v>11787</v>
      </c>
      <c r="B2969" t="s">
        <v>2412</v>
      </c>
      <c r="C2969" t="s">
        <v>11788</v>
      </c>
    </row>
    <row r="2970" spans="1:3" hidden="1" x14ac:dyDescent="0.25">
      <c r="A2970" t="s">
        <v>11789</v>
      </c>
      <c r="B2970" t="s">
        <v>3552</v>
      </c>
      <c r="C2970" t="s">
        <v>6958</v>
      </c>
    </row>
    <row r="2971" spans="1:3" hidden="1" x14ac:dyDescent="0.25">
      <c r="A2971" t="s">
        <v>11790</v>
      </c>
      <c r="B2971" t="s">
        <v>1339</v>
      </c>
      <c r="C2971" t="s">
        <v>6958</v>
      </c>
    </row>
    <row r="2972" spans="1:3" hidden="1" x14ac:dyDescent="0.25">
      <c r="A2972" t="s">
        <v>11791</v>
      </c>
      <c r="B2972" t="s">
        <v>1793</v>
      </c>
      <c r="C2972" t="s">
        <v>11792</v>
      </c>
    </row>
    <row r="2973" spans="1:3" hidden="1" x14ac:dyDescent="0.25">
      <c r="A2973" t="s">
        <v>11793</v>
      </c>
      <c r="B2973" t="s">
        <v>2318</v>
      </c>
      <c r="C2973" t="s">
        <v>11794</v>
      </c>
    </row>
    <row r="2974" spans="1:3" hidden="1" x14ac:dyDescent="0.25">
      <c r="A2974" t="s">
        <v>11795</v>
      </c>
      <c r="B2974" t="s">
        <v>5690</v>
      </c>
      <c r="C2974" t="s">
        <v>11796</v>
      </c>
    </row>
    <row r="2975" spans="1:3" hidden="1" x14ac:dyDescent="0.25">
      <c r="A2975" t="s">
        <v>11797</v>
      </c>
      <c r="B2975" t="s">
        <v>5219</v>
      </c>
      <c r="C2975" t="s">
        <v>6958</v>
      </c>
    </row>
    <row r="2976" spans="1:3" hidden="1" x14ac:dyDescent="0.25">
      <c r="A2976" t="s">
        <v>11798</v>
      </c>
      <c r="B2976" t="s">
        <v>3856</v>
      </c>
      <c r="C2976" t="s">
        <v>11799</v>
      </c>
    </row>
    <row r="2977" spans="1:3" hidden="1" x14ac:dyDescent="0.25">
      <c r="A2977" t="s">
        <v>11800</v>
      </c>
      <c r="B2977" t="s">
        <v>5627</v>
      </c>
      <c r="C2977" t="s">
        <v>11801</v>
      </c>
    </row>
    <row r="2978" spans="1:3" hidden="1" x14ac:dyDescent="0.25">
      <c r="A2978" t="s">
        <v>11802</v>
      </c>
      <c r="B2978" t="s">
        <v>4023</v>
      </c>
      <c r="C2978" t="s">
        <v>11803</v>
      </c>
    </row>
    <row r="2979" spans="1:3" hidden="1" x14ac:dyDescent="0.25">
      <c r="A2979" t="s">
        <v>11804</v>
      </c>
      <c r="B2979" t="s">
        <v>71</v>
      </c>
      <c r="C2979" t="s">
        <v>11805</v>
      </c>
    </row>
    <row r="2980" spans="1:3" hidden="1" x14ac:dyDescent="0.25">
      <c r="A2980" t="s">
        <v>11806</v>
      </c>
      <c r="B2980" t="s">
        <v>371</v>
      </c>
      <c r="C2980" t="s">
        <v>6958</v>
      </c>
    </row>
    <row r="2981" spans="1:3" hidden="1" x14ac:dyDescent="0.25">
      <c r="A2981" t="s">
        <v>11807</v>
      </c>
      <c r="B2981" t="s">
        <v>11808</v>
      </c>
      <c r="C2981" t="s">
        <v>11809</v>
      </c>
    </row>
    <row r="2982" spans="1:3" hidden="1" x14ac:dyDescent="0.25">
      <c r="A2982" t="s">
        <v>11810</v>
      </c>
      <c r="B2982" t="s">
        <v>5611</v>
      </c>
      <c r="C2982" t="s">
        <v>6958</v>
      </c>
    </row>
    <row r="2983" spans="1:3" hidden="1" x14ac:dyDescent="0.25">
      <c r="A2983" t="s">
        <v>11811</v>
      </c>
      <c r="B2983" t="s">
        <v>4445</v>
      </c>
      <c r="C2983" t="s">
        <v>11812</v>
      </c>
    </row>
    <row r="2984" spans="1:3" hidden="1" x14ac:dyDescent="0.25">
      <c r="A2984" t="s">
        <v>11813</v>
      </c>
      <c r="B2984" t="s">
        <v>4637</v>
      </c>
      <c r="C2984" t="s">
        <v>11814</v>
      </c>
    </row>
    <row r="2985" spans="1:3" hidden="1" x14ac:dyDescent="0.25">
      <c r="A2985" t="s">
        <v>11815</v>
      </c>
      <c r="B2985" t="s">
        <v>2986</v>
      </c>
      <c r="C2985" t="s">
        <v>11816</v>
      </c>
    </row>
    <row r="2986" spans="1:3" hidden="1" x14ac:dyDescent="0.25">
      <c r="A2986" t="s">
        <v>11817</v>
      </c>
      <c r="B2986" t="s">
        <v>3205</v>
      </c>
      <c r="C2986" t="s">
        <v>11818</v>
      </c>
    </row>
    <row r="2987" spans="1:3" hidden="1" x14ac:dyDescent="0.25">
      <c r="A2987" t="s">
        <v>11819</v>
      </c>
      <c r="B2987" t="s">
        <v>2549</v>
      </c>
      <c r="C2987" t="s">
        <v>11820</v>
      </c>
    </row>
    <row r="2988" spans="1:3" hidden="1" x14ac:dyDescent="0.25">
      <c r="A2988" t="s">
        <v>11821</v>
      </c>
      <c r="B2988" t="s">
        <v>2486</v>
      </c>
      <c r="C2988" t="s">
        <v>11822</v>
      </c>
    </row>
    <row r="2989" spans="1:3" hidden="1" x14ac:dyDescent="0.25">
      <c r="A2989" t="s">
        <v>11823</v>
      </c>
      <c r="B2989" t="s">
        <v>4663</v>
      </c>
      <c r="C2989" t="s">
        <v>6958</v>
      </c>
    </row>
    <row r="2990" spans="1:3" hidden="1" x14ac:dyDescent="0.25">
      <c r="A2990" t="s">
        <v>11824</v>
      </c>
      <c r="B2990" t="s">
        <v>1731</v>
      </c>
      <c r="C2990" t="s">
        <v>6958</v>
      </c>
    </row>
    <row r="2991" spans="1:3" hidden="1" x14ac:dyDescent="0.25">
      <c r="A2991" t="s">
        <v>11825</v>
      </c>
      <c r="B2991" t="s">
        <v>5656</v>
      </c>
      <c r="C2991" t="s">
        <v>11826</v>
      </c>
    </row>
    <row r="2992" spans="1:3" hidden="1" x14ac:dyDescent="0.25">
      <c r="A2992" t="s">
        <v>11827</v>
      </c>
      <c r="B2992" t="s">
        <v>322</v>
      </c>
      <c r="C2992" t="s">
        <v>11828</v>
      </c>
    </row>
    <row r="2993" spans="1:3" hidden="1" x14ac:dyDescent="0.25">
      <c r="A2993" t="s">
        <v>11829</v>
      </c>
      <c r="B2993" t="s">
        <v>4307</v>
      </c>
      <c r="C2993" t="s">
        <v>6958</v>
      </c>
    </row>
    <row r="2994" spans="1:3" hidden="1" x14ac:dyDescent="0.25">
      <c r="A2994" t="s">
        <v>11830</v>
      </c>
      <c r="B2994" t="s">
        <v>2123</v>
      </c>
      <c r="C2994" t="s">
        <v>11831</v>
      </c>
    </row>
    <row r="2995" spans="1:3" hidden="1" x14ac:dyDescent="0.25">
      <c r="A2995" t="s">
        <v>11832</v>
      </c>
      <c r="B2995" t="s">
        <v>1459</v>
      </c>
      <c r="C2995" t="s">
        <v>11833</v>
      </c>
    </row>
    <row r="2996" spans="1:3" hidden="1" x14ac:dyDescent="0.25">
      <c r="A2996" t="s">
        <v>11834</v>
      </c>
      <c r="B2996" t="s">
        <v>1758</v>
      </c>
      <c r="C2996" t="s">
        <v>6958</v>
      </c>
    </row>
    <row r="2997" spans="1:3" hidden="1" x14ac:dyDescent="0.25">
      <c r="A2997" t="s">
        <v>11835</v>
      </c>
      <c r="B2997" t="s">
        <v>1026</v>
      </c>
      <c r="C2997" t="s">
        <v>11836</v>
      </c>
    </row>
    <row r="2998" spans="1:3" hidden="1" x14ac:dyDescent="0.25">
      <c r="A2998" t="s">
        <v>11837</v>
      </c>
      <c r="B2998" t="s">
        <v>3371</v>
      </c>
      <c r="C2998" t="s">
        <v>11838</v>
      </c>
    </row>
    <row r="2999" spans="1:3" hidden="1" x14ac:dyDescent="0.25">
      <c r="A2999" t="s">
        <v>11839</v>
      </c>
      <c r="B2999" t="s">
        <v>5344</v>
      </c>
      <c r="C2999" t="s">
        <v>11840</v>
      </c>
    </row>
    <row r="3000" spans="1:3" hidden="1" x14ac:dyDescent="0.25">
      <c r="A3000" t="s">
        <v>11841</v>
      </c>
      <c r="B3000" t="s">
        <v>731</v>
      </c>
      <c r="C3000" t="s">
        <v>11842</v>
      </c>
    </row>
    <row r="3001" spans="1:3" hidden="1" x14ac:dyDescent="0.25">
      <c r="A3001" t="s">
        <v>11843</v>
      </c>
      <c r="B3001" t="s">
        <v>4601</v>
      </c>
      <c r="C3001" t="s">
        <v>11844</v>
      </c>
    </row>
    <row r="3002" spans="1:3" hidden="1" x14ac:dyDescent="0.25">
      <c r="A3002" t="s">
        <v>11845</v>
      </c>
      <c r="B3002" t="s">
        <v>3426</v>
      </c>
      <c r="C3002" t="s">
        <v>11846</v>
      </c>
    </row>
    <row r="3003" spans="1:3" hidden="1" x14ac:dyDescent="0.25">
      <c r="A3003" t="s">
        <v>11847</v>
      </c>
      <c r="B3003" t="s">
        <v>1872</v>
      </c>
      <c r="C3003" t="s">
        <v>6958</v>
      </c>
    </row>
    <row r="3004" spans="1:3" hidden="1" x14ac:dyDescent="0.25">
      <c r="A3004" t="s">
        <v>11848</v>
      </c>
      <c r="B3004" t="s">
        <v>2579</v>
      </c>
      <c r="C3004" t="s">
        <v>11849</v>
      </c>
    </row>
    <row r="3005" spans="1:3" hidden="1" x14ac:dyDescent="0.25">
      <c r="A3005" t="s">
        <v>11850</v>
      </c>
      <c r="B3005" t="s">
        <v>1312</v>
      </c>
      <c r="C3005" t="s">
        <v>11851</v>
      </c>
    </row>
    <row r="3006" spans="1:3" hidden="1" x14ac:dyDescent="0.25">
      <c r="A3006" t="s">
        <v>11852</v>
      </c>
      <c r="B3006" t="s">
        <v>4041</v>
      </c>
      <c r="C3006" t="s">
        <v>11853</v>
      </c>
    </row>
    <row r="3007" spans="1:3" hidden="1" x14ac:dyDescent="0.25">
      <c r="A3007" t="s">
        <v>11854</v>
      </c>
      <c r="B3007" t="s">
        <v>4177</v>
      </c>
      <c r="C3007" t="s">
        <v>10824</v>
      </c>
    </row>
    <row r="3008" spans="1:3" hidden="1" x14ac:dyDescent="0.25">
      <c r="A3008" t="s">
        <v>11855</v>
      </c>
      <c r="B3008" t="s">
        <v>4403</v>
      </c>
      <c r="C3008" t="s">
        <v>6958</v>
      </c>
    </row>
    <row r="3009" spans="1:3" hidden="1" x14ac:dyDescent="0.25">
      <c r="A3009" t="s">
        <v>11856</v>
      </c>
      <c r="B3009" t="s">
        <v>2515</v>
      </c>
      <c r="C3009" t="s">
        <v>11857</v>
      </c>
    </row>
    <row r="3010" spans="1:3" hidden="1" x14ac:dyDescent="0.25">
      <c r="A3010" t="s">
        <v>11858</v>
      </c>
      <c r="B3010" t="s">
        <v>3555</v>
      </c>
      <c r="C3010" t="s">
        <v>6958</v>
      </c>
    </row>
    <row r="3011" spans="1:3" hidden="1" x14ac:dyDescent="0.25">
      <c r="A3011" t="s">
        <v>11859</v>
      </c>
      <c r="B3011" t="s">
        <v>892</v>
      </c>
      <c r="C3011" t="s">
        <v>11860</v>
      </c>
    </row>
    <row r="3012" spans="1:3" hidden="1" x14ac:dyDescent="0.25">
      <c r="A3012" t="s">
        <v>11861</v>
      </c>
      <c r="B3012" t="s">
        <v>2514</v>
      </c>
      <c r="C3012" t="s">
        <v>11862</v>
      </c>
    </row>
    <row r="3013" spans="1:3" hidden="1" x14ac:dyDescent="0.25">
      <c r="A3013" t="s">
        <v>11863</v>
      </c>
      <c r="B3013" t="s">
        <v>4319</v>
      </c>
      <c r="C3013" t="s">
        <v>11864</v>
      </c>
    </row>
    <row r="3014" spans="1:3" hidden="1" x14ac:dyDescent="0.25">
      <c r="A3014" t="s">
        <v>11865</v>
      </c>
      <c r="B3014" t="s">
        <v>3122</v>
      </c>
      <c r="C3014" t="s">
        <v>6958</v>
      </c>
    </row>
    <row r="3015" spans="1:3" hidden="1" x14ac:dyDescent="0.25">
      <c r="A3015" t="s">
        <v>11866</v>
      </c>
      <c r="B3015" t="s">
        <v>5199</v>
      </c>
      <c r="C3015" t="s">
        <v>11867</v>
      </c>
    </row>
    <row r="3016" spans="1:3" hidden="1" x14ac:dyDescent="0.25">
      <c r="A3016" t="s">
        <v>11868</v>
      </c>
      <c r="B3016" t="s">
        <v>5204</v>
      </c>
      <c r="C3016" t="s">
        <v>6958</v>
      </c>
    </row>
    <row r="3017" spans="1:3" hidden="1" x14ac:dyDescent="0.25">
      <c r="A3017" t="s">
        <v>11869</v>
      </c>
      <c r="B3017" t="s">
        <v>4106</v>
      </c>
      <c r="C3017" t="s">
        <v>6958</v>
      </c>
    </row>
    <row r="3018" spans="1:3" hidden="1" x14ac:dyDescent="0.25">
      <c r="A3018" t="s">
        <v>11870</v>
      </c>
      <c r="B3018" t="s">
        <v>4413</v>
      </c>
      <c r="C3018" t="s">
        <v>6958</v>
      </c>
    </row>
    <row r="3019" spans="1:3" hidden="1" x14ac:dyDescent="0.25">
      <c r="A3019" t="s">
        <v>11871</v>
      </c>
      <c r="B3019" t="s">
        <v>1789</v>
      </c>
      <c r="C3019" t="s">
        <v>11872</v>
      </c>
    </row>
    <row r="3020" spans="1:3" hidden="1" x14ac:dyDescent="0.25">
      <c r="A3020" t="s">
        <v>11873</v>
      </c>
      <c r="B3020" t="s">
        <v>4215</v>
      </c>
      <c r="C3020" t="s">
        <v>6958</v>
      </c>
    </row>
    <row r="3021" spans="1:3" hidden="1" x14ac:dyDescent="0.25">
      <c r="A3021" t="s">
        <v>11874</v>
      </c>
      <c r="B3021" t="s">
        <v>155</v>
      </c>
      <c r="C3021" t="s">
        <v>11875</v>
      </c>
    </row>
    <row r="3022" spans="1:3" hidden="1" x14ac:dyDescent="0.25">
      <c r="A3022" t="s">
        <v>11876</v>
      </c>
      <c r="B3022" t="s">
        <v>3219</v>
      </c>
      <c r="C3022" t="s">
        <v>11877</v>
      </c>
    </row>
    <row r="3023" spans="1:3" hidden="1" x14ac:dyDescent="0.25">
      <c r="A3023" t="s">
        <v>11878</v>
      </c>
      <c r="B3023" t="s">
        <v>4744</v>
      </c>
      <c r="C3023" t="s">
        <v>11879</v>
      </c>
    </row>
    <row r="3024" spans="1:3" hidden="1" x14ac:dyDescent="0.25">
      <c r="A3024" t="s">
        <v>11880</v>
      </c>
      <c r="B3024" t="s">
        <v>3405</v>
      </c>
      <c r="C3024" t="s">
        <v>6958</v>
      </c>
    </row>
    <row r="3025" spans="1:3" hidden="1" x14ac:dyDescent="0.25">
      <c r="A3025" t="s">
        <v>11881</v>
      </c>
      <c r="B3025" t="s">
        <v>4736</v>
      </c>
      <c r="C3025" t="s">
        <v>11882</v>
      </c>
    </row>
    <row r="3026" spans="1:3" hidden="1" x14ac:dyDescent="0.25">
      <c r="A3026" t="s">
        <v>11883</v>
      </c>
      <c r="B3026" t="s">
        <v>2853</v>
      </c>
      <c r="C3026" t="s">
        <v>11884</v>
      </c>
    </row>
    <row r="3027" spans="1:3" hidden="1" x14ac:dyDescent="0.25">
      <c r="A3027" t="s">
        <v>11885</v>
      </c>
      <c r="B3027" t="s">
        <v>1976</v>
      </c>
      <c r="C3027" t="s">
        <v>6958</v>
      </c>
    </row>
    <row r="3028" spans="1:3" hidden="1" x14ac:dyDescent="0.25">
      <c r="A3028" t="s">
        <v>11886</v>
      </c>
      <c r="B3028" t="s">
        <v>3065</v>
      </c>
      <c r="C3028" t="s">
        <v>11887</v>
      </c>
    </row>
    <row r="3029" spans="1:3" hidden="1" x14ac:dyDescent="0.25">
      <c r="A3029" t="s">
        <v>11888</v>
      </c>
      <c r="B3029" t="s">
        <v>5497</v>
      </c>
      <c r="C3029" t="s">
        <v>6958</v>
      </c>
    </row>
    <row r="3030" spans="1:3" hidden="1" x14ac:dyDescent="0.25">
      <c r="A3030" t="s">
        <v>11889</v>
      </c>
      <c r="B3030" t="s">
        <v>5323</v>
      </c>
      <c r="C3030" t="s">
        <v>11890</v>
      </c>
    </row>
    <row r="3031" spans="1:3" hidden="1" x14ac:dyDescent="0.25">
      <c r="A3031" t="s">
        <v>11891</v>
      </c>
      <c r="B3031" t="s">
        <v>5376</v>
      </c>
      <c r="C3031" t="s">
        <v>11892</v>
      </c>
    </row>
    <row r="3032" spans="1:3" hidden="1" x14ac:dyDescent="0.25">
      <c r="A3032" t="s">
        <v>11893</v>
      </c>
      <c r="B3032" t="s">
        <v>106</v>
      </c>
      <c r="C3032" t="s">
        <v>6958</v>
      </c>
    </row>
    <row r="3033" spans="1:3" hidden="1" x14ac:dyDescent="0.25">
      <c r="A3033" t="s">
        <v>11894</v>
      </c>
      <c r="B3033" t="s">
        <v>5653</v>
      </c>
      <c r="C3033" t="s">
        <v>11895</v>
      </c>
    </row>
    <row r="3034" spans="1:3" hidden="1" x14ac:dyDescent="0.25">
      <c r="A3034" t="s">
        <v>11896</v>
      </c>
      <c r="B3034" t="s">
        <v>1935</v>
      </c>
      <c r="C3034" t="s">
        <v>11897</v>
      </c>
    </row>
    <row r="3035" spans="1:3" hidden="1" x14ac:dyDescent="0.25">
      <c r="A3035" t="s">
        <v>11898</v>
      </c>
      <c r="B3035" t="s">
        <v>1248</v>
      </c>
      <c r="C3035" t="s">
        <v>11899</v>
      </c>
    </row>
    <row r="3036" spans="1:3" hidden="1" x14ac:dyDescent="0.25">
      <c r="A3036" t="s">
        <v>11900</v>
      </c>
      <c r="B3036" t="s">
        <v>3466</v>
      </c>
      <c r="C3036" t="s">
        <v>6958</v>
      </c>
    </row>
    <row r="3037" spans="1:3" hidden="1" x14ac:dyDescent="0.25">
      <c r="A3037" t="s">
        <v>11901</v>
      </c>
      <c r="B3037" t="s">
        <v>5140</v>
      </c>
      <c r="C3037" t="s">
        <v>11902</v>
      </c>
    </row>
    <row r="3038" spans="1:3" hidden="1" x14ac:dyDescent="0.25">
      <c r="A3038" t="s">
        <v>11903</v>
      </c>
      <c r="B3038" t="s">
        <v>5504</v>
      </c>
      <c r="C3038" t="s">
        <v>11904</v>
      </c>
    </row>
    <row r="3039" spans="1:3" hidden="1" x14ac:dyDescent="0.25">
      <c r="A3039" t="s">
        <v>11905</v>
      </c>
      <c r="B3039" t="s">
        <v>1610</v>
      </c>
      <c r="C3039" t="s">
        <v>11906</v>
      </c>
    </row>
    <row r="3040" spans="1:3" hidden="1" x14ac:dyDescent="0.25">
      <c r="A3040" t="s">
        <v>11907</v>
      </c>
      <c r="B3040" t="s">
        <v>1662</v>
      </c>
      <c r="C3040" t="s">
        <v>11908</v>
      </c>
    </row>
    <row r="3041" spans="1:3" hidden="1" x14ac:dyDescent="0.25">
      <c r="A3041" t="s">
        <v>11909</v>
      </c>
      <c r="B3041" t="s">
        <v>5391</v>
      </c>
      <c r="C3041" t="s">
        <v>11910</v>
      </c>
    </row>
    <row r="3042" spans="1:3" hidden="1" x14ac:dyDescent="0.25">
      <c r="A3042" t="s">
        <v>11911</v>
      </c>
      <c r="B3042" t="s">
        <v>2942</v>
      </c>
      <c r="C3042" t="s">
        <v>11912</v>
      </c>
    </row>
    <row r="3043" spans="1:3" hidden="1" x14ac:dyDescent="0.25">
      <c r="A3043" t="s">
        <v>11913</v>
      </c>
      <c r="B3043" t="s">
        <v>2090</v>
      </c>
      <c r="C3043" t="s">
        <v>6958</v>
      </c>
    </row>
    <row r="3044" spans="1:3" hidden="1" x14ac:dyDescent="0.25">
      <c r="A3044" t="s">
        <v>11914</v>
      </c>
      <c r="B3044" t="s">
        <v>4276</v>
      </c>
      <c r="C3044" t="s">
        <v>6958</v>
      </c>
    </row>
    <row r="3045" spans="1:3" hidden="1" x14ac:dyDescent="0.25">
      <c r="A3045" t="s">
        <v>11915</v>
      </c>
      <c r="B3045" t="s">
        <v>4563</v>
      </c>
      <c r="C3045" t="s">
        <v>6958</v>
      </c>
    </row>
    <row r="3046" spans="1:3" hidden="1" x14ac:dyDescent="0.25">
      <c r="A3046" t="s">
        <v>11916</v>
      </c>
      <c r="B3046" t="s">
        <v>677</v>
      </c>
      <c r="C3046" t="s">
        <v>6958</v>
      </c>
    </row>
    <row r="3047" spans="1:3" hidden="1" x14ac:dyDescent="0.25">
      <c r="A3047" t="s">
        <v>11917</v>
      </c>
      <c r="B3047" t="s">
        <v>1085</v>
      </c>
      <c r="C3047" t="s">
        <v>6958</v>
      </c>
    </row>
    <row r="3048" spans="1:3" hidden="1" x14ac:dyDescent="0.25">
      <c r="A3048" t="s">
        <v>11918</v>
      </c>
      <c r="B3048" t="s">
        <v>2731</v>
      </c>
      <c r="C3048" t="s">
        <v>11919</v>
      </c>
    </row>
    <row r="3049" spans="1:3" hidden="1" x14ac:dyDescent="0.25">
      <c r="A3049" t="s">
        <v>11920</v>
      </c>
      <c r="B3049" t="s">
        <v>3133</v>
      </c>
      <c r="C3049" t="s">
        <v>6958</v>
      </c>
    </row>
    <row r="3050" spans="1:3" hidden="1" x14ac:dyDescent="0.25">
      <c r="A3050" t="s">
        <v>11921</v>
      </c>
      <c r="B3050" t="s">
        <v>2659</v>
      </c>
      <c r="C3050" t="s">
        <v>11922</v>
      </c>
    </row>
    <row r="3051" spans="1:3" hidden="1" x14ac:dyDescent="0.25">
      <c r="A3051" t="s">
        <v>11923</v>
      </c>
      <c r="B3051" t="s">
        <v>1741</v>
      </c>
      <c r="C3051" t="s">
        <v>6958</v>
      </c>
    </row>
    <row r="3052" spans="1:3" hidden="1" x14ac:dyDescent="0.25">
      <c r="A3052" t="s">
        <v>11924</v>
      </c>
      <c r="B3052" t="s">
        <v>1049</v>
      </c>
      <c r="C3052" t="s">
        <v>6958</v>
      </c>
    </row>
    <row r="3053" spans="1:3" hidden="1" x14ac:dyDescent="0.25">
      <c r="A3053" t="s">
        <v>11925</v>
      </c>
      <c r="B3053" t="s">
        <v>4312</v>
      </c>
      <c r="C3053" t="s">
        <v>6958</v>
      </c>
    </row>
    <row r="3054" spans="1:3" hidden="1" x14ac:dyDescent="0.25">
      <c r="A3054" t="s">
        <v>11926</v>
      </c>
      <c r="B3054" t="s">
        <v>5217</v>
      </c>
      <c r="C3054" t="s">
        <v>6958</v>
      </c>
    </row>
    <row r="3055" spans="1:3" hidden="1" x14ac:dyDescent="0.25">
      <c r="A3055" t="s">
        <v>11927</v>
      </c>
      <c r="B3055" t="s">
        <v>3433</v>
      </c>
      <c r="C3055" t="s">
        <v>6958</v>
      </c>
    </row>
    <row r="3056" spans="1:3" hidden="1" x14ac:dyDescent="0.25">
      <c r="A3056" t="s">
        <v>11928</v>
      </c>
      <c r="B3056" t="s">
        <v>3295</v>
      </c>
      <c r="C3056" t="s">
        <v>6958</v>
      </c>
    </row>
    <row r="3057" spans="1:3" hidden="1" x14ac:dyDescent="0.25">
      <c r="A3057" t="s">
        <v>11929</v>
      </c>
      <c r="B3057" t="s">
        <v>3922</v>
      </c>
      <c r="C3057" t="s">
        <v>11930</v>
      </c>
    </row>
    <row r="3058" spans="1:3" hidden="1" x14ac:dyDescent="0.25">
      <c r="A3058" t="s">
        <v>11931</v>
      </c>
      <c r="B3058" t="s">
        <v>1689</v>
      </c>
      <c r="C3058" t="s">
        <v>11932</v>
      </c>
    </row>
    <row r="3059" spans="1:3" hidden="1" x14ac:dyDescent="0.25">
      <c r="A3059" t="s">
        <v>11933</v>
      </c>
      <c r="B3059" t="s">
        <v>2384</v>
      </c>
      <c r="C3059" t="s">
        <v>11934</v>
      </c>
    </row>
    <row r="3060" spans="1:3" hidden="1" x14ac:dyDescent="0.25">
      <c r="A3060" t="s">
        <v>11935</v>
      </c>
      <c r="B3060" t="s">
        <v>3547</v>
      </c>
      <c r="C3060" t="s">
        <v>6958</v>
      </c>
    </row>
    <row r="3061" spans="1:3" hidden="1" x14ac:dyDescent="0.25">
      <c r="A3061" t="s">
        <v>11936</v>
      </c>
      <c r="B3061" t="s">
        <v>4345</v>
      </c>
      <c r="C3061" t="s">
        <v>11937</v>
      </c>
    </row>
    <row r="3062" spans="1:3" hidden="1" x14ac:dyDescent="0.25">
      <c r="A3062" t="s">
        <v>11938</v>
      </c>
      <c r="B3062" t="s">
        <v>1279</v>
      </c>
      <c r="C3062" t="s">
        <v>7040</v>
      </c>
    </row>
    <row r="3063" spans="1:3" hidden="1" x14ac:dyDescent="0.25">
      <c r="A3063" t="s">
        <v>11939</v>
      </c>
      <c r="B3063" t="s">
        <v>1481</v>
      </c>
      <c r="C3063" t="s">
        <v>11940</v>
      </c>
    </row>
    <row r="3064" spans="1:3" hidden="1" x14ac:dyDescent="0.25">
      <c r="A3064" t="s">
        <v>11941</v>
      </c>
      <c r="B3064" t="s">
        <v>2548</v>
      </c>
      <c r="C3064" t="s">
        <v>6958</v>
      </c>
    </row>
    <row r="3065" spans="1:3" hidden="1" x14ac:dyDescent="0.25">
      <c r="A3065" t="s">
        <v>11942</v>
      </c>
      <c r="B3065" t="s">
        <v>2319</v>
      </c>
      <c r="C3065" t="s">
        <v>11943</v>
      </c>
    </row>
    <row r="3066" spans="1:3" hidden="1" x14ac:dyDescent="0.25">
      <c r="A3066" t="s">
        <v>11944</v>
      </c>
      <c r="B3066" t="s">
        <v>2248</v>
      </c>
      <c r="C3066" t="s">
        <v>6958</v>
      </c>
    </row>
    <row r="3067" spans="1:3" hidden="1" x14ac:dyDescent="0.25">
      <c r="A3067" t="s">
        <v>11945</v>
      </c>
      <c r="B3067" t="s">
        <v>5669</v>
      </c>
      <c r="C3067" t="s">
        <v>11946</v>
      </c>
    </row>
    <row r="3068" spans="1:3" hidden="1" x14ac:dyDescent="0.25">
      <c r="A3068" t="s">
        <v>11947</v>
      </c>
      <c r="B3068" t="s">
        <v>2068</v>
      </c>
      <c r="C3068" t="s">
        <v>6958</v>
      </c>
    </row>
    <row r="3069" spans="1:3" hidden="1" x14ac:dyDescent="0.25">
      <c r="A3069" t="s">
        <v>11948</v>
      </c>
      <c r="B3069" t="s">
        <v>3669</v>
      </c>
      <c r="C3069" t="s">
        <v>11949</v>
      </c>
    </row>
    <row r="3070" spans="1:3" hidden="1" x14ac:dyDescent="0.25">
      <c r="A3070" t="s">
        <v>11950</v>
      </c>
      <c r="B3070" t="s">
        <v>3066</v>
      </c>
      <c r="C3070" t="s">
        <v>6958</v>
      </c>
    </row>
    <row r="3071" spans="1:3" hidden="1" x14ac:dyDescent="0.25">
      <c r="A3071" t="s">
        <v>11951</v>
      </c>
      <c r="B3071" t="s">
        <v>4805</v>
      </c>
      <c r="C3071" t="s">
        <v>6958</v>
      </c>
    </row>
    <row r="3072" spans="1:3" hidden="1" x14ac:dyDescent="0.25">
      <c r="A3072" t="s">
        <v>11952</v>
      </c>
      <c r="B3072" t="s">
        <v>4716</v>
      </c>
      <c r="C3072" t="s">
        <v>11953</v>
      </c>
    </row>
    <row r="3073" spans="1:3" hidden="1" x14ac:dyDescent="0.25">
      <c r="A3073" t="s">
        <v>11954</v>
      </c>
      <c r="B3073" t="s">
        <v>1988</v>
      </c>
      <c r="C3073" t="s">
        <v>11955</v>
      </c>
    </row>
    <row r="3074" spans="1:3" hidden="1" x14ac:dyDescent="0.25">
      <c r="A3074" t="s">
        <v>11956</v>
      </c>
      <c r="B3074" t="s">
        <v>1401</v>
      </c>
      <c r="C3074" t="s">
        <v>11957</v>
      </c>
    </row>
    <row r="3075" spans="1:3" hidden="1" x14ac:dyDescent="0.25">
      <c r="A3075" t="s">
        <v>11958</v>
      </c>
      <c r="B3075" t="s">
        <v>5030</v>
      </c>
      <c r="C3075" t="s">
        <v>6958</v>
      </c>
    </row>
    <row r="3076" spans="1:3" hidden="1" x14ac:dyDescent="0.25">
      <c r="A3076" t="s">
        <v>11959</v>
      </c>
      <c r="B3076" t="s">
        <v>5388</v>
      </c>
      <c r="C3076" t="s">
        <v>6958</v>
      </c>
    </row>
    <row r="3077" spans="1:3" hidden="1" x14ac:dyDescent="0.25">
      <c r="A3077" t="s">
        <v>11960</v>
      </c>
      <c r="B3077" t="s">
        <v>1488</v>
      </c>
      <c r="C3077" t="s">
        <v>11961</v>
      </c>
    </row>
    <row r="3078" spans="1:3" hidden="1" x14ac:dyDescent="0.25">
      <c r="A3078" t="s">
        <v>11962</v>
      </c>
      <c r="B3078" t="s">
        <v>1749</v>
      </c>
      <c r="C3078" t="s">
        <v>6958</v>
      </c>
    </row>
    <row r="3079" spans="1:3" hidden="1" x14ac:dyDescent="0.25">
      <c r="A3079" t="s">
        <v>11963</v>
      </c>
      <c r="B3079" t="s">
        <v>1699</v>
      </c>
      <c r="C3079" t="s">
        <v>11964</v>
      </c>
    </row>
    <row r="3080" spans="1:3" hidden="1" x14ac:dyDescent="0.25">
      <c r="A3080" t="s">
        <v>11965</v>
      </c>
      <c r="B3080" t="s">
        <v>1515</v>
      </c>
      <c r="C3080" t="s">
        <v>6958</v>
      </c>
    </row>
    <row r="3081" spans="1:3" hidden="1" x14ac:dyDescent="0.25">
      <c r="A3081" t="s">
        <v>11966</v>
      </c>
      <c r="B3081" t="s">
        <v>3644</v>
      </c>
      <c r="C3081" t="s">
        <v>11967</v>
      </c>
    </row>
    <row r="3082" spans="1:3" hidden="1" x14ac:dyDescent="0.25">
      <c r="A3082" t="s">
        <v>11968</v>
      </c>
      <c r="B3082" t="s">
        <v>2132</v>
      </c>
      <c r="C3082" t="s">
        <v>6958</v>
      </c>
    </row>
    <row r="3083" spans="1:3" hidden="1" x14ac:dyDescent="0.25">
      <c r="A3083" t="s">
        <v>11969</v>
      </c>
      <c r="B3083" t="s">
        <v>1354</v>
      </c>
      <c r="C3083" t="s">
        <v>6958</v>
      </c>
    </row>
    <row r="3084" spans="1:3" hidden="1" x14ac:dyDescent="0.25">
      <c r="A3084" t="s">
        <v>11970</v>
      </c>
      <c r="B3084" t="s">
        <v>2630</v>
      </c>
      <c r="C3084" t="s">
        <v>11971</v>
      </c>
    </row>
    <row r="3085" spans="1:3" hidden="1" x14ac:dyDescent="0.25">
      <c r="A3085" t="s">
        <v>11972</v>
      </c>
      <c r="B3085" t="s">
        <v>795</v>
      </c>
      <c r="C3085" t="s">
        <v>11973</v>
      </c>
    </row>
    <row r="3086" spans="1:3" hidden="1" x14ac:dyDescent="0.25">
      <c r="A3086" t="s">
        <v>11974</v>
      </c>
      <c r="B3086" t="s">
        <v>3026</v>
      </c>
      <c r="C3086" t="s">
        <v>6958</v>
      </c>
    </row>
    <row r="3087" spans="1:3" hidden="1" x14ac:dyDescent="0.25">
      <c r="A3087" t="s">
        <v>11975</v>
      </c>
      <c r="B3087" t="s">
        <v>4681</v>
      </c>
      <c r="C3087" t="s">
        <v>11976</v>
      </c>
    </row>
    <row r="3088" spans="1:3" hidden="1" x14ac:dyDescent="0.25">
      <c r="A3088" t="s">
        <v>11977</v>
      </c>
      <c r="B3088" t="s">
        <v>5321</v>
      </c>
      <c r="C3088" t="s">
        <v>11978</v>
      </c>
    </row>
    <row r="3089" spans="1:3" hidden="1" x14ac:dyDescent="0.25">
      <c r="A3089" t="s">
        <v>11979</v>
      </c>
      <c r="B3089" t="s">
        <v>3783</v>
      </c>
      <c r="C3089" t="s">
        <v>11980</v>
      </c>
    </row>
    <row r="3090" spans="1:3" hidden="1" x14ac:dyDescent="0.25">
      <c r="A3090" t="s">
        <v>11981</v>
      </c>
      <c r="B3090" t="s">
        <v>4967</v>
      </c>
      <c r="C3090" t="s">
        <v>11982</v>
      </c>
    </row>
    <row r="3091" spans="1:3" hidden="1" x14ac:dyDescent="0.25">
      <c r="A3091" t="s">
        <v>11983</v>
      </c>
      <c r="B3091" t="s">
        <v>1109</v>
      </c>
      <c r="C3091" t="s">
        <v>11984</v>
      </c>
    </row>
    <row r="3092" spans="1:3" hidden="1" x14ac:dyDescent="0.25">
      <c r="A3092" t="s">
        <v>11985</v>
      </c>
      <c r="B3092" t="s">
        <v>2391</v>
      </c>
      <c r="C3092" t="s">
        <v>6958</v>
      </c>
    </row>
    <row r="3093" spans="1:3" hidden="1" x14ac:dyDescent="0.25">
      <c r="A3093" t="s">
        <v>11986</v>
      </c>
      <c r="B3093" t="s">
        <v>1698</v>
      </c>
      <c r="C3093" t="s">
        <v>11987</v>
      </c>
    </row>
    <row r="3094" spans="1:3" hidden="1" x14ac:dyDescent="0.25">
      <c r="A3094" t="s">
        <v>11988</v>
      </c>
      <c r="B3094" t="s">
        <v>938</v>
      </c>
      <c r="C3094" t="s">
        <v>6958</v>
      </c>
    </row>
    <row r="3095" spans="1:3" hidden="1" x14ac:dyDescent="0.25">
      <c r="A3095" t="s">
        <v>11989</v>
      </c>
      <c r="B3095" t="s">
        <v>2776</v>
      </c>
      <c r="C3095" t="s">
        <v>11990</v>
      </c>
    </row>
    <row r="3096" spans="1:3" hidden="1" x14ac:dyDescent="0.25">
      <c r="A3096" t="s">
        <v>11991</v>
      </c>
      <c r="B3096" t="s">
        <v>209</v>
      </c>
      <c r="C3096" t="s">
        <v>11992</v>
      </c>
    </row>
    <row r="3097" spans="1:3" hidden="1" x14ac:dyDescent="0.25">
      <c r="A3097" t="s">
        <v>11993</v>
      </c>
      <c r="B3097" t="s">
        <v>2673</v>
      </c>
      <c r="C3097" t="s">
        <v>11994</v>
      </c>
    </row>
    <row r="3098" spans="1:3" hidden="1" x14ac:dyDescent="0.25">
      <c r="A3098" t="s">
        <v>11995</v>
      </c>
      <c r="B3098" t="s">
        <v>4722</v>
      </c>
      <c r="C3098" t="s">
        <v>6958</v>
      </c>
    </row>
    <row r="3099" spans="1:3" hidden="1" x14ac:dyDescent="0.25">
      <c r="A3099" t="s">
        <v>11996</v>
      </c>
      <c r="B3099" t="s">
        <v>1568</v>
      </c>
      <c r="C3099" t="s">
        <v>11997</v>
      </c>
    </row>
    <row r="3100" spans="1:3" hidden="1" x14ac:dyDescent="0.25">
      <c r="A3100" t="s">
        <v>11998</v>
      </c>
      <c r="B3100" t="s">
        <v>3778</v>
      </c>
      <c r="C3100" t="s">
        <v>6958</v>
      </c>
    </row>
    <row r="3101" spans="1:3" hidden="1" x14ac:dyDescent="0.25">
      <c r="A3101" t="s">
        <v>11999</v>
      </c>
      <c r="B3101" t="s">
        <v>5128</v>
      </c>
      <c r="C3101" t="s">
        <v>12000</v>
      </c>
    </row>
    <row r="3102" spans="1:3" hidden="1" x14ac:dyDescent="0.25">
      <c r="A3102" t="s">
        <v>12001</v>
      </c>
      <c r="B3102" t="s">
        <v>1411</v>
      </c>
      <c r="C3102" t="s">
        <v>6958</v>
      </c>
    </row>
    <row r="3103" spans="1:3" hidden="1" x14ac:dyDescent="0.25">
      <c r="A3103" t="s">
        <v>12002</v>
      </c>
      <c r="B3103" t="s">
        <v>455</v>
      </c>
      <c r="C3103" t="s">
        <v>12003</v>
      </c>
    </row>
    <row r="3104" spans="1:3" hidden="1" x14ac:dyDescent="0.25">
      <c r="A3104" t="s">
        <v>12004</v>
      </c>
      <c r="B3104" t="s">
        <v>1897</v>
      </c>
      <c r="C3104" t="s">
        <v>12005</v>
      </c>
    </row>
    <row r="3105" spans="1:3" hidden="1" x14ac:dyDescent="0.25">
      <c r="A3105" t="s">
        <v>12006</v>
      </c>
      <c r="B3105" t="s">
        <v>12007</v>
      </c>
      <c r="C3105" t="s">
        <v>12008</v>
      </c>
    </row>
    <row r="3106" spans="1:3" hidden="1" x14ac:dyDescent="0.25">
      <c r="A3106" t="s">
        <v>12009</v>
      </c>
      <c r="B3106" t="s">
        <v>423</v>
      </c>
      <c r="C3106" t="s">
        <v>6958</v>
      </c>
    </row>
    <row r="3107" spans="1:3" hidden="1" x14ac:dyDescent="0.25">
      <c r="A3107" t="s">
        <v>12010</v>
      </c>
      <c r="B3107" t="s">
        <v>4183</v>
      </c>
      <c r="C3107" t="s">
        <v>6958</v>
      </c>
    </row>
    <row r="3108" spans="1:3" hidden="1" x14ac:dyDescent="0.25">
      <c r="A3108" t="s">
        <v>12011</v>
      </c>
      <c r="B3108" t="s">
        <v>2398</v>
      </c>
      <c r="C3108" t="s">
        <v>12012</v>
      </c>
    </row>
    <row r="3109" spans="1:3" hidden="1" x14ac:dyDescent="0.25">
      <c r="A3109" t="s">
        <v>12013</v>
      </c>
      <c r="B3109" t="s">
        <v>445</v>
      </c>
      <c r="C3109" t="s">
        <v>6958</v>
      </c>
    </row>
    <row r="3110" spans="1:3" hidden="1" x14ac:dyDescent="0.25">
      <c r="A3110" t="s">
        <v>12014</v>
      </c>
      <c r="B3110" t="s">
        <v>3984</v>
      </c>
      <c r="C3110" t="s">
        <v>12015</v>
      </c>
    </row>
    <row r="3111" spans="1:3" hidden="1" x14ac:dyDescent="0.25">
      <c r="A3111" t="s">
        <v>12016</v>
      </c>
      <c r="B3111" t="s">
        <v>97</v>
      </c>
      <c r="C3111" t="s">
        <v>12017</v>
      </c>
    </row>
    <row r="3112" spans="1:3" hidden="1" x14ac:dyDescent="0.25">
      <c r="A3112" t="s">
        <v>12018</v>
      </c>
      <c r="B3112" t="s">
        <v>12019</v>
      </c>
      <c r="C3112" t="s">
        <v>6958</v>
      </c>
    </row>
    <row r="3113" spans="1:3" hidden="1" x14ac:dyDescent="0.25">
      <c r="A3113" t="s">
        <v>12020</v>
      </c>
      <c r="B3113" t="s">
        <v>3346</v>
      </c>
      <c r="C3113" t="s">
        <v>6958</v>
      </c>
    </row>
    <row r="3114" spans="1:3" hidden="1" x14ac:dyDescent="0.25">
      <c r="A3114" t="s">
        <v>12021</v>
      </c>
      <c r="B3114" t="s">
        <v>1547</v>
      </c>
      <c r="C3114" t="s">
        <v>6958</v>
      </c>
    </row>
    <row r="3115" spans="1:3" hidden="1" x14ac:dyDescent="0.25">
      <c r="A3115" t="s">
        <v>12022</v>
      </c>
      <c r="B3115" t="s">
        <v>3617</v>
      </c>
      <c r="C3115" t="s">
        <v>6958</v>
      </c>
    </row>
    <row r="3116" spans="1:3" hidden="1" x14ac:dyDescent="0.25">
      <c r="A3116" t="s">
        <v>12023</v>
      </c>
      <c r="B3116" t="s">
        <v>2038</v>
      </c>
      <c r="C3116" t="s">
        <v>6958</v>
      </c>
    </row>
    <row r="3117" spans="1:3" hidden="1" x14ac:dyDescent="0.25">
      <c r="A3117" t="s">
        <v>12024</v>
      </c>
      <c r="B3117" t="s">
        <v>3441</v>
      </c>
      <c r="C3117" t="s">
        <v>6958</v>
      </c>
    </row>
    <row r="3118" spans="1:3" hidden="1" x14ac:dyDescent="0.25">
      <c r="A3118" t="s">
        <v>12025</v>
      </c>
      <c r="B3118" t="s">
        <v>12026</v>
      </c>
      <c r="C3118" t="s">
        <v>6958</v>
      </c>
    </row>
    <row r="3119" spans="1:3" hidden="1" x14ac:dyDescent="0.25">
      <c r="A3119" t="s">
        <v>12027</v>
      </c>
      <c r="B3119" t="s">
        <v>12028</v>
      </c>
      <c r="C3119" t="s">
        <v>6958</v>
      </c>
    </row>
    <row r="3120" spans="1:3" hidden="1" x14ac:dyDescent="0.25">
      <c r="A3120" t="s">
        <v>12029</v>
      </c>
      <c r="B3120" t="s">
        <v>721</v>
      </c>
      <c r="C3120" t="s">
        <v>12030</v>
      </c>
    </row>
    <row r="3121" spans="1:3" hidden="1" x14ac:dyDescent="0.25">
      <c r="A3121" t="s">
        <v>12031</v>
      </c>
      <c r="B3121" t="s">
        <v>4742</v>
      </c>
      <c r="C3121" t="s">
        <v>12032</v>
      </c>
    </row>
    <row r="3122" spans="1:3" hidden="1" x14ac:dyDescent="0.25">
      <c r="A3122" t="s">
        <v>12033</v>
      </c>
      <c r="B3122" t="s">
        <v>5176</v>
      </c>
      <c r="C3122" t="s">
        <v>12034</v>
      </c>
    </row>
    <row r="3123" spans="1:3" hidden="1" x14ac:dyDescent="0.25">
      <c r="A3123" t="s">
        <v>12035</v>
      </c>
      <c r="B3123" t="s">
        <v>5057</v>
      </c>
      <c r="C3123" t="s">
        <v>12036</v>
      </c>
    </row>
    <row r="3124" spans="1:3" hidden="1" x14ac:dyDescent="0.25">
      <c r="A3124" t="s">
        <v>12037</v>
      </c>
      <c r="B3124" t="s">
        <v>5524</v>
      </c>
      <c r="C3124" t="s">
        <v>12038</v>
      </c>
    </row>
    <row r="3125" spans="1:3" hidden="1" x14ac:dyDescent="0.25">
      <c r="A3125" t="s">
        <v>12039</v>
      </c>
      <c r="B3125" t="s">
        <v>1181</v>
      </c>
      <c r="C3125" t="s">
        <v>12040</v>
      </c>
    </row>
    <row r="3126" spans="1:3" hidden="1" x14ac:dyDescent="0.25">
      <c r="A3126" t="s">
        <v>12041</v>
      </c>
      <c r="B3126" t="s">
        <v>5456</v>
      </c>
      <c r="C3126" t="s">
        <v>6958</v>
      </c>
    </row>
    <row r="3127" spans="1:3" hidden="1" x14ac:dyDescent="0.25">
      <c r="A3127" t="s">
        <v>12042</v>
      </c>
      <c r="B3127" t="s">
        <v>3413</v>
      </c>
      <c r="C3127" t="s">
        <v>12043</v>
      </c>
    </row>
    <row r="3128" spans="1:3" hidden="1" x14ac:dyDescent="0.25">
      <c r="A3128" t="s">
        <v>12044</v>
      </c>
      <c r="B3128" t="s">
        <v>1553</v>
      </c>
      <c r="C3128" t="s">
        <v>6958</v>
      </c>
    </row>
    <row r="3129" spans="1:3" hidden="1" x14ac:dyDescent="0.25">
      <c r="A3129" t="s">
        <v>12045</v>
      </c>
      <c r="B3129" t="s">
        <v>2146</v>
      </c>
      <c r="C3129" t="s">
        <v>12046</v>
      </c>
    </row>
    <row r="3130" spans="1:3" hidden="1" x14ac:dyDescent="0.25">
      <c r="A3130" t="s">
        <v>12047</v>
      </c>
      <c r="B3130" t="s">
        <v>1296</v>
      </c>
      <c r="C3130" t="s">
        <v>12048</v>
      </c>
    </row>
    <row r="3131" spans="1:3" hidden="1" x14ac:dyDescent="0.25">
      <c r="A3131" t="s">
        <v>12049</v>
      </c>
      <c r="B3131" t="s">
        <v>1999</v>
      </c>
      <c r="C3131" t="s">
        <v>12050</v>
      </c>
    </row>
    <row r="3132" spans="1:3" hidden="1" x14ac:dyDescent="0.25">
      <c r="A3132" t="s">
        <v>12051</v>
      </c>
      <c r="B3132" t="s">
        <v>1771</v>
      </c>
      <c r="C3132" t="s">
        <v>12052</v>
      </c>
    </row>
    <row r="3133" spans="1:3" hidden="1" x14ac:dyDescent="0.25">
      <c r="A3133" t="s">
        <v>12053</v>
      </c>
      <c r="B3133" t="s">
        <v>1544</v>
      </c>
      <c r="C3133" t="s">
        <v>12054</v>
      </c>
    </row>
    <row r="3134" spans="1:3" hidden="1" x14ac:dyDescent="0.25">
      <c r="A3134" t="s">
        <v>12055</v>
      </c>
      <c r="B3134" t="s">
        <v>4115</v>
      </c>
      <c r="C3134" t="s">
        <v>12056</v>
      </c>
    </row>
    <row r="3135" spans="1:3" hidden="1" x14ac:dyDescent="0.25">
      <c r="A3135" t="s">
        <v>12057</v>
      </c>
      <c r="B3135" t="s">
        <v>839</v>
      </c>
      <c r="C3135" t="s">
        <v>6958</v>
      </c>
    </row>
    <row r="3136" spans="1:3" hidden="1" x14ac:dyDescent="0.25">
      <c r="A3136" t="s">
        <v>12058</v>
      </c>
      <c r="B3136" t="s">
        <v>1046</v>
      </c>
      <c r="C3136" t="s">
        <v>6958</v>
      </c>
    </row>
    <row r="3137" spans="1:3" hidden="1" x14ac:dyDescent="0.25">
      <c r="A3137" t="s">
        <v>12059</v>
      </c>
      <c r="B3137" t="s">
        <v>5368</v>
      </c>
      <c r="C3137" t="s">
        <v>6958</v>
      </c>
    </row>
    <row r="3138" spans="1:3" hidden="1" x14ac:dyDescent="0.25">
      <c r="A3138" t="s">
        <v>12060</v>
      </c>
      <c r="B3138" t="s">
        <v>684</v>
      </c>
      <c r="C3138" t="s">
        <v>6958</v>
      </c>
    </row>
    <row r="3139" spans="1:3" hidden="1" x14ac:dyDescent="0.25">
      <c r="A3139" t="s">
        <v>12061</v>
      </c>
      <c r="B3139" t="s">
        <v>2307</v>
      </c>
      <c r="C3139" t="s">
        <v>6958</v>
      </c>
    </row>
    <row r="3140" spans="1:3" hidden="1" x14ac:dyDescent="0.25">
      <c r="A3140" t="s">
        <v>12062</v>
      </c>
      <c r="B3140" t="s">
        <v>5361</v>
      </c>
      <c r="C3140" t="s">
        <v>12063</v>
      </c>
    </row>
    <row r="3141" spans="1:3" hidden="1" x14ac:dyDescent="0.25">
      <c r="A3141" t="s">
        <v>12064</v>
      </c>
      <c r="B3141" t="s">
        <v>808</v>
      </c>
      <c r="C3141" t="s">
        <v>12065</v>
      </c>
    </row>
    <row r="3142" spans="1:3" hidden="1" x14ac:dyDescent="0.25">
      <c r="A3142" t="s">
        <v>12066</v>
      </c>
      <c r="B3142" t="s">
        <v>5148</v>
      </c>
      <c r="C3142" t="s">
        <v>12067</v>
      </c>
    </row>
    <row r="3143" spans="1:3" hidden="1" x14ac:dyDescent="0.25">
      <c r="A3143" t="s">
        <v>12068</v>
      </c>
      <c r="B3143" t="s">
        <v>1264</v>
      </c>
      <c r="C3143" t="s">
        <v>12069</v>
      </c>
    </row>
    <row r="3144" spans="1:3" hidden="1" x14ac:dyDescent="0.25">
      <c r="A3144" t="s">
        <v>12070</v>
      </c>
      <c r="B3144" t="s">
        <v>4386</v>
      </c>
      <c r="C3144" t="s">
        <v>6958</v>
      </c>
    </row>
    <row r="3145" spans="1:3" hidden="1" x14ac:dyDescent="0.25">
      <c r="A3145" t="s">
        <v>12071</v>
      </c>
      <c r="B3145" t="s">
        <v>2557</v>
      </c>
      <c r="C3145" t="s">
        <v>12072</v>
      </c>
    </row>
    <row r="3146" spans="1:3" hidden="1" x14ac:dyDescent="0.25">
      <c r="A3146" t="s">
        <v>12073</v>
      </c>
      <c r="B3146" t="s">
        <v>4622</v>
      </c>
      <c r="C3146" t="s">
        <v>12074</v>
      </c>
    </row>
    <row r="3147" spans="1:3" hidden="1" x14ac:dyDescent="0.25">
      <c r="A3147" t="s">
        <v>12075</v>
      </c>
      <c r="B3147" t="s">
        <v>2859</v>
      </c>
      <c r="C3147" t="s">
        <v>6958</v>
      </c>
    </row>
    <row r="3148" spans="1:3" hidden="1" x14ac:dyDescent="0.25">
      <c r="A3148" t="s">
        <v>12076</v>
      </c>
      <c r="B3148" t="s">
        <v>644</v>
      </c>
      <c r="C3148" t="s">
        <v>12077</v>
      </c>
    </row>
    <row r="3149" spans="1:3" hidden="1" x14ac:dyDescent="0.25">
      <c r="A3149" t="s">
        <v>12078</v>
      </c>
      <c r="B3149" t="s">
        <v>1448</v>
      </c>
      <c r="C3149" t="s">
        <v>12079</v>
      </c>
    </row>
    <row r="3150" spans="1:3" hidden="1" x14ac:dyDescent="0.25">
      <c r="A3150" t="s">
        <v>12080</v>
      </c>
      <c r="B3150" t="s">
        <v>1228</v>
      </c>
      <c r="C3150" t="s">
        <v>12079</v>
      </c>
    </row>
    <row r="3151" spans="1:3" hidden="1" x14ac:dyDescent="0.25">
      <c r="A3151" t="s">
        <v>12081</v>
      </c>
      <c r="B3151" t="s">
        <v>2057</v>
      </c>
      <c r="C3151" t="s">
        <v>6958</v>
      </c>
    </row>
    <row r="3152" spans="1:3" hidden="1" x14ac:dyDescent="0.25">
      <c r="A3152" t="s">
        <v>12082</v>
      </c>
      <c r="B3152" t="s">
        <v>3824</v>
      </c>
      <c r="C3152" t="s">
        <v>12083</v>
      </c>
    </row>
    <row r="3153" spans="1:3" hidden="1" x14ac:dyDescent="0.25">
      <c r="A3153" t="s">
        <v>12084</v>
      </c>
      <c r="B3153" t="s">
        <v>3351</v>
      </c>
      <c r="C3153" t="s">
        <v>12085</v>
      </c>
    </row>
    <row r="3154" spans="1:3" hidden="1" x14ac:dyDescent="0.25">
      <c r="A3154" t="s">
        <v>12086</v>
      </c>
      <c r="B3154" t="s">
        <v>3129</v>
      </c>
      <c r="C3154" t="s">
        <v>12087</v>
      </c>
    </row>
    <row r="3155" spans="1:3" hidden="1" x14ac:dyDescent="0.25">
      <c r="A3155" t="s">
        <v>12088</v>
      </c>
      <c r="B3155" t="s">
        <v>697</v>
      </c>
      <c r="C3155" t="s">
        <v>12089</v>
      </c>
    </row>
    <row r="3156" spans="1:3" hidden="1" x14ac:dyDescent="0.25">
      <c r="A3156" t="s">
        <v>12090</v>
      </c>
      <c r="B3156" t="s">
        <v>3049</v>
      </c>
      <c r="C3156" t="s">
        <v>6958</v>
      </c>
    </row>
    <row r="3157" spans="1:3" hidden="1" x14ac:dyDescent="0.25">
      <c r="A3157" t="s">
        <v>12091</v>
      </c>
      <c r="B3157" t="s">
        <v>1434</v>
      </c>
      <c r="C3157" t="s">
        <v>6958</v>
      </c>
    </row>
    <row r="3158" spans="1:3" hidden="1" x14ac:dyDescent="0.25">
      <c r="A3158" t="s">
        <v>12092</v>
      </c>
      <c r="B3158" t="s">
        <v>3697</v>
      </c>
      <c r="C3158" t="s">
        <v>6958</v>
      </c>
    </row>
    <row r="3159" spans="1:3" hidden="1" x14ac:dyDescent="0.25">
      <c r="A3159" t="s">
        <v>12093</v>
      </c>
      <c r="B3159" t="s">
        <v>2813</v>
      </c>
      <c r="C3159" t="s">
        <v>6958</v>
      </c>
    </row>
    <row r="3160" spans="1:3" hidden="1" x14ac:dyDescent="0.25">
      <c r="A3160" t="s">
        <v>12094</v>
      </c>
      <c r="B3160" t="s">
        <v>1443</v>
      </c>
      <c r="C3160" t="s">
        <v>12095</v>
      </c>
    </row>
    <row r="3161" spans="1:3" hidden="1" x14ac:dyDescent="0.25">
      <c r="A3161" t="s">
        <v>12096</v>
      </c>
      <c r="B3161" t="s">
        <v>1232</v>
      </c>
      <c r="C3161" t="s">
        <v>12097</v>
      </c>
    </row>
    <row r="3162" spans="1:3" hidden="1" x14ac:dyDescent="0.25">
      <c r="A3162" t="s">
        <v>12098</v>
      </c>
      <c r="B3162" t="s">
        <v>3896</v>
      </c>
      <c r="C3162" t="s">
        <v>12099</v>
      </c>
    </row>
    <row r="3163" spans="1:3" hidden="1" x14ac:dyDescent="0.25">
      <c r="A3163" t="s">
        <v>12100</v>
      </c>
      <c r="B3163" t="s">
        <v>58</v>
      </c>
      <c r="C3163" t="s">
        <v>12101</v>
      </c>
    </row>
    <row r="3164" spans="1:3" hidden="1" x14ac:dyDescent="0.25">
      <c r="A3164" t="s">
        <v>12102</v>
      </c>
      <c r="B3164" t="s">
        <v>4457</v>
      </c>
      <c r="C3164" t="s">
        <v>12103</v>
      </c>
    </row>
    <row r="3165" spans="1:3" hidden="1" x14ac:dyDescent="0.25">
      <c r="A3165" t="s">
        <v>12104</v>
      </c>
      <c r="B3165" t="s">
        <v>1606</v>
      </c>
      <c r="C3165" t="s">
        <v>12105</v>
      </c>
    </row>
    <row r="3166" spans="1:3" hidden="1" x14ac:dyDescent="0.25">
      <c r="A3166" t="s">
        <v>12106</v>
      </c>
      <c r="B3166" t="s">
        <v>4535</v>
      </c>
      <c r="C3166" t="s">
        <v>12107</v>
      </c>
    </row>
    <row r="3167" spans="1:3" hidden="1" x14ac:dyDescent="0.25">
      <c r="A3167" t="s">
        <v>12108</v>
      </c>
      <c r="B3167" t="s">
        <v>3561</v>
      </c>
      <c r="C3167" t="s">
        <v>6958</v>
      </c>
    </row>
    <row r="3168" spans="1:3" hidden="1" x14ac:dyDescent="0.25">
      <c r="A3168" t="s">
        <v>12109</v>
      </c>
      <c r="B3168" t="s">
        <v>4024</v>
      </c>
      <c r="C3168" t="s">
        <v>6958</v>
      </c>
    </row>
    <row r="3169" spans="1:3" hidden="1" x14ac:dyDescent="0.25">
      <c r="A3169" t="s">
        <v>12110</v>
      </c>
      <c r="B3169" t="s">
        <v>656</v>
      </c>
      <c r="C3169" t="s">
        <v>12111</v>
      </c>
    </row>
    <row r="3170" spans="1:3" hidden="1" x14ac:dyDescent="0.25">
      <c r="A3170" t="s">
        <v>12112</v>
      </c>
      <c r="B3170" t="s">
        <v>265</v>
      </c>
      <c r="C3170" t="s">
        <v>12113</v>
      </c>
    </row>
    <row r="3171" spans="1:3" hidden="1" x14ac:dyDescent="0.25">
      <c r="A3171" t="s">
        <v>12114</v>
      </c>
      <c r="B3171" t="s">
        <v>3701</v>
      </c>
      <c r="C3171" t="s">
        <v>12115</v>
      </c>
    </row>
    <row r="3172" spans="1:3" hidden="1" x14ac:dyDescent="0.25">
      <c r="A3172" t="s">
        <v>12116</v>
      </c>
      <c r="B3172" t="s">
        <v>2658</v>
      </c>
      <c r="C3172" t="s">
        <v>6958</v>
      </c>
    </row>
    <row r="3173" spans="1:3" hidden="1" x14ac:dyDescent="0.25">
      <c r="A3173" t="s">
        <v>12117</v>
      </c>
      <c r="B3173" t="s">
        <v>1655</v>
      </c>
      <c r="C3173" t="s">
        <v>6958</v>
      </c>
    </row>
    <row r="3174" spans="1:3" hidden="1" x14ac:dyDescent="0.25">
      <c r="A3174" t="s">
        <v>12118</v>
      </c>
      <c r="B3174" t="s">
        <v>5477</v>
      </c>
      <c r="C3174" t="s">
        <v>6958</v>
      </c>
    </row>
    <row r="3175" spans="1:3" hidden="1" x14ac:dyDescent="0.25">
      <c r="A3175" t="s">
        <v>12119</v>
      </c>
      <c r="B3175" t="s">
        <v>105</v>
      </c>
      <c r="C3175" t="s">
        <v>12120</v>
      </c>
    </row>
    <row r="3176" spans="1:3" hidden="1" x14ac:dyDescent="0.25">
      <c r="A3176" t="s">
        <v>12121</v>
      </c>
      <c r="B3176" t="s">
        <v>2046</v>
      </c>
      <c r="C3176" t="s">
        <v>6958</v>
      </c>
    </row>
    <row r="3177" spans="1:3" hidden="1" x14ac:dyDescent="0.25">
      <c r="A3177" t="s">
        <v>12122</v>
      </c>
      <c r="B3177" t="s">
        <v>631</v>
      </c>
      <c r="C3177" t="s">
        <v>12123</v>
      </c>
    </row>
    <row r="3178" spans="1:3" hidden="1" x14ac:dyDescent="0.25">
      <c r="A3178" t="s">
        <v>12124</v>
      </c>
      <c r="B3178" t="s">
        <v>508</v>
      </c>
      <c r="C3178" t="s">
        <v>12125</v>
      </c>
    </row>
    <row r="3179" spans="1:3" hidden="1" x14ac:dyDescent="0.25">
      <c r="A3179" t="s">
        <v>12126</v>
      </c>
      <c r="B3179" t="s">
        <v>5383</v>
      </c>
      <c r="C3179" t="s">
        <v>12127</v>
      </c>
    </row>
    <row r="3180" spans="1:3" hidden="1" x14ac:dyDescent="0.25">
      <c r="A3180" t="s">
        <v>12128</v>
      </c>
      <c r="B3180" t="s">
        <v>2010</v>
      </c>
      <c r="C3180" t="s">
        <v>12129</v>
      </c>
    </row>
    <row r="3181" spans="1:3" hidden="1" x14ac:dyDescent="0.25">
      <c r="A3181" t="s">
        <v>12130</v>
      </c>
      <c r="B3181" t="s">
        <v>89</v>
      </c>
      <c r="C3181" t="s">
        <v>12131</v>
      </c>
    </row>
    <row r="3182" spans="1:3" hidden="1" x14ac:dyDescent="0.25">
      <c r="A3182" t="s">
        <v>12132</v>
      </c>
      <c r="B3182" t="s">
        <v>1073</v>
      </c>
      <c r="C3182" t="s">
        <v>12133</v>
      </c>
    </row>
    <row r="3183" spans="1:3" hidden="1" x14ac:dyDescent="0.25">
      <c r="A3183" t="s">
        <v>12134</v>
      </c>
      <c r="B3183" t="s">
        <v>4375</v>
      </c>
      <c r="C3183" t="s">
        <v>6958</v>
      </c>
    </row>
    <row r="3184" spans="1:3" hidden="1" x14ac:dyDescent="0.25">
      <c r="A3184" t="s">
        <v>12135</v>
      </c>
      <c r="B3184" t="s">
        <v>1091</v>
      </c>
      <c r="C3184" t="s">
        <v>12136</v>
      </c>
    </row>
    <row r="3185" spans="1:3" hidden="1" x14ac:dyDescent="0.25">
      <c r="A3185" t="s">
        <v>12137</v>
      </c>
      <c r="B3185" t="s">
        <v>3234</v>
      </c>
      <c r="C3185" t="s">
        <v>12138</v>
      </c>
    </row>
    <row r="3186" spans="1:3" hidden="1" x14ac:dyDescent="0.25">
      <c r="A3186" t="s">
        <v>12139</v>
      </c>
      <c r="B3186" t="s">
        <v>2585</v>
      </c>
      <c r="C3186" t="s">
        <v>6958</v>
      </c>
    </row>
    <row r="3187" spans="1:3" hidden="1" x14ac:dyDescent="0.25">
      <c r="A3187" t="s">
        <v>12140</v>
      </c>
      <c r="B3187" t="s">
        <v>1909</v>
      </c>
      <c r="C3187" t="s">
        <v>6958</v>
      </c>
    </row>
    <row r="3188" spans="1:3" hidden="1" x14ac:dyDescent="0.25">
      <c r="A3188" t="s">
        <v>12141</v>
      </c>
      <c r="B3188" t="s">
        <v>797</v>
      </c>
      <c r="C3188" t="s">
        <v>6958</v>
      </c>
    </row>
    <row r="3189" spans="1:3" hidden="1" x14ac:dyDescent="0.25">
      <c r="A3189" t="s">
        <v>12142</v>
      </c>
      <c r="B3189" t="s">
        <v>1192</v>
      </c>
      <c r="C3189" t="s">
        <v>6958</v>
      </c>
    </row>
    <row r="3190" spans="1:3" hidden="1" x14ac:dyDescent="0.25">
      <c r="A3190" t="s">
        <v>12143</v>
      </c>
      <c r="B3190" t="s">
        <v>57</v>
      </c>
      <c r="C3190" t="s">
        <v>12144</v>
      </c>
    </row>
    <row r="3191" spans="1:3" hidden="1" x14ac:dyDescent="0.25">
      <c r="A3191" t="s">
        <v>12145</v>
      </c>
      <c r="B3191" t="s">
        <v>1397</v>
      </c>
      <c r="C3191" t="s">
        <v>12146</v>
      </c>
    </row>
    <row r="3192" spans="1:3" hidden="1" x14ac:dyDescent="0.25">
      <c r="A3192" t="s">
        <v>12147</v>
      </c>
      <c r="B3192" t="s">
        <v>1210</v>
      </c>
      <c r="C3192" t="s">
        <v>12148</v>
      </c>
    </row>
    <row r="3193" spans="1:3" hidden="1" x14ac:dyDescent="0.25">
      <c r="A3193" t="s">
        <v>12149</v>
      </c>
      <c r="B3193" t="s">
        <v>198</v>
      </c>
      <c r="C3193" t="s">
        <v>12150</v>
      </c>
    </row>
    <row r="3194" spans="1:3" hidden="1" x14ac:dyDescent="0.25">
      <c r="A3194" t="s">
        <v>12151</v>
      </c>
      <c r="B3194" t="s">
        <v>1491</v>
      </c>
      <c r="C3194" t="s">
        <v>7036</v>
      </c>
    </row>
    <row r="3195" spans="1:3" hidden="1" x14ac:dyDescent="0.25">
      <c r="A3195" t="s">
        <v>12152</v>
      </c>
      <c r="B3195" t="s">
        <v>1079</v>
      </c>
      <c r="C3195" t="s">
        <v>12153</v>
      </c>
    </row>
    <row r="3196" spans="1:3" hidden="1" x14ac:dyDescent="0.25">
      <c r="A3196" t="s">
        <v>12154</v>
      </c>
      <c r="B3196" t="s">
        <v>389</v>
      </c>
      <c r="C3196" t="s">
        <v>12155</v>
      </c>
    </row>
    <row r="3197" spans="1:3" hidden="1" x14ac:dyDescent="0.25">
      <c r="A3197" t="s">
        <v>12156</v>
      </c>
      <c r="B3197" t="s">
        <v>1084</v>
      </c>
      <c r="C3197" t="s">
        <v>12157</v>
      </c>
    </row>
    <row r="3198" spans="1:3" hidden="1" x14ac:dyDescent="0.25">
      <c r="A3198" t="s">
        <v>12158</v>
      </c>
      <c r="B3198" t="s">
        <v>3953</v>
      </c>
      <c r="C3198" t="s">
        <v>6958</v>
      </c>
    </row>
    <row r="3199" spans="1:3" hidden="1" x14ac:dyDescent="0.25">
      <c r="A3199" t="s">
        <v>12159</v>
      </c>
      <c r="B3199" t="s">
        <v>4484</v>
      </c>
      <c r="C3199" t="s">
        <v>12160</v>
      </c>
    </row>
    <row r="3200" spans="1:3" hidden="1" x14ac:dyDescent="0.25">
      <c r="A3200" t="s">
        <v>12161</v>
      </c>
      <c r="B3200" t="s">
        <v>2739</v>
      </c>
      <c r="C3200" t="s">
        <v>12162</v>
      </c>
    </row>
    <row r="3201" spans="1:3" hidden="1" x14ac:dyDescent="0.25">
      <c r="A3201" t="s">
        <v>12163</v>
      </c>
      <c r="B3201" t="s">
        <v>17</v>
      </c>
      <c r="C3201" t="s">
        <v>12164</v>
      </c>
    </row>
    <row r="3202" spans="1:3" hidden="1" x14ac:dyDescent="0.25">
      <c r="A3202" t="s">
        <v>12165</v>
      </c>
      <c r="B3202" t="s">
        <v>1077</v>
      </c>
      <c r="C3202" t="s">
        <v>12166</v>
      </c>
    </row>
    <row r="3203" spans="1:3" hidden="1" x14ac:dyDescent="0.25">
      <c r="A3203" t="s">
        <v>12167</v>
      </c>
      <c r="B3203" t="s">
        <v>3769</v>
      </c>
      <c r="C3203" t="s">
        <v>6958</v>
      </c>
    </row>
    <row r="3204" spans="1:3" hidden="1" x14ac:dyDescent="0.25">
      <c r="A3204" t="s">
        <v>12168</v>
      </c>
      <c r="B3204" t="s">
        <v>5010</v>
      </c>
      <c r="C3204" t="s">
        <v>12169</v>
      </c>
    </row>
    <row r="3205" spans="1:3" hidden="1" x14ac:dyDescent="0.25">
      <c r="A3205" t="s">
        <v>12170</v>
      </c>
      <c r="B3205" t="s">
        <v>4232</v>
      </c>
      <c r="C3205" t="s">
        <v>12171</v>
      </c>
    </row>
    <row r="3206" spans="1:3" hidden="1" x14ac:dyDescent="0.25">
      <c r="A3206" t="s">
        <v>12172</v>
      </c>
      <c r="B3206" t="s">
        <v>4378</v>
      </c>
      <c r="C3206" t="s">
        <v>12173</v>
      </c>
    </row>
    <row r="3207" spans="1:3" hidden="1" x14ac:dyDescent="0.25">
      <c r="A3207" t="s">
        <v>12174</v>
      </c>
      <c r="B3207" t="s">
        <v>3923</v>
      </c>
      <c r="C3207" t="s">
        <v>12175</v>
      </c>
    </row>
    <row r="3208" spans="1:3" hidden="1" x14ac:dyDescent="0.25">
      <c r="A3208" t="s">
        <v>12176</v>
      </c>
      <c r="B3208" t="s">
        <v>1208</v>
      </c>
      <c r="C3208" t="s">
        <v>12177</v>
      </c>
    </row>
    <row r="3209" spans="1:3" hidden="1" x14ac:dyDescent="0.25">
      <c r="A3209" t="s">
        <v>12178</v>
      </c>
      <c r="B3209" t="s">
        <v>4648</v>
      </c>
      <c r="C3209" t="s">
        <v>6958</v>
      </c>
    </row>
    <row r="3210" spans="1:3" hidden="1" x14ac:dyDescent="0.25">
      <c r="A3210" t="s">
        <v>12179</v>
      </c>
      <c r="B3210" t="s">
        <v>10</v>
      </c>
      <c r="C3210" t="s">
        <v>12180</v>
      </c>
    </row>
    <row r="3211" spans="1:3" hidden="1" x14ac:dyDescent="0.25">
      <c r="A3211" t="s">
        <v>12181</v>
      </c>
      <c r="B3211" t="s">
        <v>1340</v>
      </c>
      <c r="C3211" t="s">
        <v>12182</v>
      </c>
    </row>
    <row r="3212" spans="1:3" hidden="1" x14ac:dyDescent="0.25">
      <c r="A3212" t="s">
        <v>12183</v>
      </c>
      <c r="B3212" t="s">
        <v>5521</v>
      </c>
      <c r="C3212" t="s">
        <v>12184</v>
      </c>
    </row>
    <row r="3213" spans="1:3" hidden="1" x14ac:dyDescent="0.25">
      <c r="A3213" t="s">
        <v>12185</v>
      </c>
      <c r="B3213" t="s">
        <v>339</v>
      </c>
      <c r="C3213" t="s">
        <v>12186</v>
      </c>
    </row>
    <row r="3214" spans="1:3" hidden="1" x14ac:dyDescent="0.25">
      <c r="A3214" t="s">
        <v>12187</v>
      </c>
      <c r="B3214" t="s">
        <v>1863</v>
      </c>
      <c r="C3214" t="s">
        <v>6958</v>
      </c>
    </row>
    <row r="3215" spans="1:3" hidden="1" x14ac:dyDescent="0.25">
      <c r="A3215" t="s">
        <v>12188</v>
      </c>
      <c r="B3215" t="s">
        <v>2886</v>
      </c>
      <c r="C3215" t="s">
        <v>12079</v>
      </c>
    </row>
    <row r="3216" spans="1:3" hidden="1" x14ac:dyDescent="0.25">
      <c r="A3216" t="s">
        <v>12189</v>
      </c>
      <c r="B3216" t="s">
        <v>2510</v>
      </c>
      <c r="C3216" t="s">
        <v>12190</v>
      </c>
    </row>
    <row r="3217" spans="1:3" hidden="1" x14ac:dyDescent="0.25">
      <c r="A3217" t="s">
        <v>12191</v>
      </c>
      <c r="B3217" t="s">
        <v>3706</v>
      </c>
      <c r="C3217" t="s">
        <v>12192</v>
      </c>
    </row>
    <row r="3218" spans="1:3" hidden="1" x14ac:dyDescent="0.25">
      <c r="A3218" t="s">
        <v>12193</v>
      </c>
      <c r="B3218" t="s">
        <v>2013</v>
      </c>
      <c r="C3218" t="s">
        <v>12194</v>
      </c>
    </row>
    <row r="3219" spans="1:3" hidden="1" x14ac:dyDescent="0.25">
      <c r="A3219" t="s">
        <v>12195</v>
      </c>
      <c r="B3219" t="s">
        <v>2359</v>
      </c>
      <c r="C3219" t="s">
        <v>12196</v>
      </c>
    </row>
    <row r="3220" spans="1:3" hidden="1" x14ac:dyDescent="0.25">
      <c r="A3220" t="s">
        <v>12197</v>
      </c>
      <c r="B3220" t="s">
        <v>1276</v>
      </c>
      <c r="C3220" t="s">
        <v>6958</v>
      </c>
    </row>
    <row r="3221" spans="1:3" hidden="1" x14ac:dyDescent="0.25">
      <c r="A3221" t="s">
        <v>12198</v>
      </c>
      <c r="B3221" t="s">
        <v>1042</v>
      </c>
      <c r="C3221" t="s">
        <v>12166</v>
      </c>
    </row>
    <row r="3222" spans="1:3" hidden="1" x14ac:dyDescent="0.25">
      <c r="A3222" t="s">
        <v>12199</v>
      </c>
      <c r="B3222" t="s">
        <v>5273</v>
      </c>
      <c r="C3222" t="s">
        <v>6958</v>
      </c>
    </row>
    <row r="3223" spans="1:3" hidden="1" x14ac:dyDescent="0.25">
      <c r="A3223" t="s">
        <v>12200</v>
      </c>
      <c r="B3223" t="s">
        <v>732</v>
      </c>
      <c r="C3223" t="s">
        <v>12201</v>
      </c>
    </row>
    <row r="3224" spans="1:3" hidden="1" x14ac:dyDescent="0.25">
      <c r="A3224" t="s">
        <v>12202</v>
      </c>
      <c r="B3224" t="s">
        <v>3032</v>
      </c>
      <c r="C3224" t="s">
        <v>6958</v>
      </c>
    </row>
    <row r="3225" spans="1:3" hidden="1" x14ac:dyDescent="0.25">
      <c r="A3225" t="s">
        <v>12203</v>
      </c>
      <c r="B3225" t="s">
        <v>412</v>
      </c>
      <c r="C3225" t="s">
        <v>12204</v>
      </c>
    </row>
    <row r="3226" spans="1:3" hidden="1" x14ac:dyDescent="0.25">
      <c r="A3226" t="s">
        <v>12205</v>
      </c>
      <c r="B3226" t="s">
        <v>5395</v>
      </c>
      <c r="C3226" t="s">
        <v>6958</v>
      </c>
    </row>
    <row r="3227" spans="1:3" hidden="1" x14ac:dyDescent="0.25">
      <c r="A3227" t="s">
        <v>12206</v>
      </c>
      <c r="B3227" t="s">
        <v>2555</v>
      </c>
      <c r="C3227" t="s">
        <v>12207</v>
      </c>
    </row>
    <row r="3228" spans="1:3" hidden="1" x14ac:dyDescent="0.25">
      <c r="A3228" t="s">
        <v>12208</v>
      </c>
      <c r="B3228" t="s">
        <v>1924</v>
      </c>
      <c r="C3228" t="s">
        <v>12209</v>
      </c>
    </row>
    <row r="3229" spans="1:3" hidden="1" x14ac:dyDescent="0.25">
      <c r="A3229" t="s">
        <v>12210</v>
      </c>
      <c r="B3229" t="s">
        <v>2501</v>
      </c>
      <c r="C3229" t="s">
        <v>12211</v>
      </c>
    </row>
    <row r="3230" spans="1:3" hidden="1" x14ac:dyDescent="0.25">
      <c r="A3230" t="s">
        <v>12212</v>
      </c>
      <c r="B3230" t="s">
        <v>1717</v>
      </c>
      <c r="C3230" t="s">
        <v>6958</v>
      </c>
    </row>
    <row r="3231" spans="1:3" hidden="1" x14ac:dyDescent="0.25">
      <c r="A3231" t="s">
        <v>12213</v>
      </c>
      <c r="B3231" t="s">
        <v>2452</v>
      </c>
      <c r="C3231" t="s">
        <v>6958</v>
      </c>
    </row>
    <row r="3232" spans="1:3" hidden="1" x14ac:dyDescent="0.25">
      <c r="A3232" t="s">
        <v>12214</v>
      </c>
      <c r="B3232" t="s">
        <v>2961</v>
      </c>
      <c r="C3232" t="s">
        <v>6958</v>
      </c>
    </row>
    <row r="3233" spans="1:3" hidden="1" x14ac:dyDescent="0.25">
      <c r="A3233" t="s">
        <v>12215</v>
      </c>
      <c r="B3233" t="s">
        <v>2080</v>
      </c>
      <c r="C3233" t="s">
        <v>12216</v>
      </c>
    </row>
    <row r="3234" spans="1:3" hidden="1" x14ac:dyDescent="0.25">
      <c r="A3234" t="s">
        <v>12217</v>
      </c>
      <c r="B3234" t="s">
        <v>1721</v>
      </c>
      <c r="C3234" t="s">
        <v>12218</v>
      </c>
    </row>
    <row r="3235" spans="1:3" hidden="1" x14ac:dyDescent="0.25">
      <c r="A3235" t="s">
        <v>12219</v>
      </c>
      <c r="B3235" t="s">
        <v>646</v>
      </c>
      <c r="C3235" t="s">
        <v>12220</v>
      </c>
    </row>
    <row r="3236" spans="1:3" hidden="1" x14ac:dyDescent="0.25">
      <c r="A3236" t="s">
        <v>12221</v>
      </c>
      <c r="B3236" t="s">
        <v>4944</v>
      </c>
      <c r="C3236" t="s">
        <v>12222</v>
      </c>
    </row>
    <row r="3237" spans="1:3" hidden="1" x14ac:dyDescent="0.25">
      <c r="A3237" t="s">
        <v>12223</v>
      </c>
      <c r="B3237" t="s">
        <v>1716</v>
      </c>
      <c r="C3237" t="s">
        <v>12224</v>
      </c>
    </row>
    <row r="3238" spans="1:3" hidden="1" x14ac:dyDescent="0.25">
      <c r="A3238" t="s">
        <v>12225</v>
      </c>
      <c r="B3238" t="s">
        <v>379</v>
      </c>
      <c r="C3238" t="s">
        <v>12226</v>
      </c>
    </row>
    <row r="3239" spans="1:3" hidden="1" x14ac:dyDescent="0.25">
      <c r="A3239" t="s">
        <v>12227</v>
      </c>
      <c r="B3239" t="s">
        <v>4362</v>
      </c>
      <c r="C3239" t="s">
        <v>12228</v>
      </c>
    </row>
    <row r="3240" spans="1:3" hidden="1" x14ac:dyDescent="0.25">
      <c r="A3240" t="s">
        <v>12229</v>
      </c>
      <c r="B3240" t="s">
        <v>3278</v>
      </c>
      <c r="C3240" t="s">
        <v>6958</v>
      </c>
    </row>
    <row r="3241" spans="1:3" hidden="1" x14ac:dyDescent="0.25">
      <c r="A3241" t="s">
        <v>12230</v>
      </c>
      <c r="B3241" t="s">
        <v>3755</v>
      </c>
      <c r="C3241" t="s">
        <v>12231</v>
      </c>
    </row>
    <row r="3242" spans="1:3" hidden="1" x14ac:dyDescent="0.25">
      <c r="A3242" t="s">
        <v>12232</v>
      </c>
      <c r="B3242" t="s">
        <v>1306</v>
      </c>
      <c r="C3242" t="s">
        <v>11558</v>
      </c>
    </row>
    <row r="3243" spans="1:3" hidden="1" x14ac:dyDescent="0.25">
      <c r="A3243" t="s">
        <v>12233</v>
      </c>
      <c r="B3243" t="s">
        <v>727</v>
      </c>
      <c r="C3243" t="s">
        <v>12234</v>
      </c>
    </row>
    <row r="3244" spans="1:3" hidden="1" x14ac:dyDescent="0.25">
      <c r="A3244" t="s">
        <v>12235</v>
      </c>
      <c r="B3244" t="s">
        <v>5013</v>
      </c>
      <c r="C3244" t="s">
        <v>12236</v>
      </c>
    </row>
    <row r="3245" spans="1:3" hidden="1" x14ac:dyDescent="0.25">
      <c r="A3245" t="s">
        <v>12237</v>
      </c>
      <c r="B3245" t="s">
        <v>1845</v>
      </c>
      <c r="C3245" t="s">
        <v>12238</v>
      </c>
    </row>
    <row r="3246" spans="1:3" hidden="1" x14ac:dyDescent="0.25">
      <c r="A3246" t="s">
        <v>12239</v>
      </c>
      <c r="B3246" t="s">
        <v>4530</v>
      </c>
      <c r="C3246" t="s">
        <v>12240</v>
      </c>
    </row>
    <row r="3247" spans="1:3" hidden="1" x14ac:dyDescent="0.25">
      <c r="A3247" t="s">
        <v>12241</v>
      </c>
      <c r="B3247" t="s">
        <v>569</v>
      </c>
      <c r="C3247" t="s">
        <v>12242</v>
      </c>
    </row>
    <row r="3248" spans="1:3" hidden="1" x14ac:dyDescent="0.25">
      <c r="A3248" t="s">
        <v>12243</v>
      </c>
      <c r="B3248" t="s">
        <v>1263</v>
      </c>
      <c r="C3248" t="s">
        <v>6958</v>
      </c>
    </row>
    <row r="3249" spans="1:3" hidden="1" x14ac:dyDescent="0.25">
      <c r="A3249" t="s">
        <v>12244</v>
      </c>
      <c r="B3249" t="s">
        <v>2806</v>
      </c>
      <c r="C3249" t="s">
        <v>12245</v>
      </c>
    </row>
    <row r="3250" spans="1:3" hidden="1" x14ac:dyDescent="0.25">
      <c r="A3250" t="s">
        <v>12246</v>
      </c>
      <c r="B3250" t="s">
        <v>3517</v>
      </c>
      <c r="C3250" t="s">
        <v>12247</v>
      </c>
    </row>
    <row r="3251" spans="1:3" hidden="1" x14ac:dyDescent="0.25">
      <c r="A3251" t="s">
        <v>12248</v>
      </c>
      <c r="B3251" t="s">
        <v>12249</v>
      </c>
      <c r="C3251" t="s">
        <v>12250</v>
      </c>
    </row>
    <row r="3252" spans="1:3" hidden="1" x14ac:dyDescent="0.25">
      <c r="A3252" t="s">
        <v>12251</v>
      </c>
      <c r="B3252" t="s">
        <v>658</v>
      </c>
      <c r="C3252" t="s">
        <v>12252</v>
      </c>
    </row>
    <row r="3253" spans="1:3" hidden="1" x14ac:dyDescent="0.25">
      <c r="A3253" t="s">
        <v>12253</v>
      </c>
      <c r="B3253" t="s">
        <v>2655</v>
      </c>
      <c r="C3253" t="s">
        <v>12254</v>
      </c>
    </row>
    <row r="3254" spans="1:3" hidden="1" x14ac:dyDescent="0.25">
      <c r="A3254" t="s">
        <v>12255</v>
      </c>
      <c r="B3254" t="s">
        <v>1975</v>
      </c>
      <c r="C3254" t="s">
        <v>12256</v>
      </c>
    </row>
    <row r="3255" spans="1:3" hidden="1" x14ac:dyDescent="0.25">
      <c r="A3255" t="s">
        <v>12257</v>
      </c>
      <c r="B3255" t="s">
        <v>2775</v>
      </c>
      <c r="C3255" t="s">
        <v>12258</v>
      </c>
    </row>
    <row r="3256" spans="1:3" hidden="1" x14ac:dyDescent="0.25">
      <c r="A3256" t="s">
        <v>12259</v>
      </c>
      <c r="B3256" t="s">
        <v>1392</v>
      </c>
      <c r="C3256" t="s">
        <v>12260</v>
      </c>
    </row>
    <row r="3257" spans="1:3" hidden="1" x14ac:dyDescent="0.25">
      <c r="A3257" t="s">
        <v>12261</v>
      </c>
      <c r="B3257" t="s">
        <v>3614</v>
      </c>
      <c r="C3257" t="s">
        <v>6958</v>
      </c>
    </row>
    <row r="3258" spans="1:3" hidden="1" x14ac:dyDescent="0.25">
      <c r="A3258" t="s">
        <v>12262</v>
      </c>
      <c r="B3258" t="s">
        <v>1408</v>
      </c>
      <c r="C3258" t="s">
        <v>6958</v>
      </c>
    </row>
    <row r="3259" spans="1:3" hidden="1" x14ac:dyDescent="0.25">
      <c r="A3259" t="s">
        <v>12263</v>
      </c>
      <c r="B3259" t="s">
        <v>1116</v>
      </c>
      <c r="C3259" t="s">
        <v>12264</v>
      </c>
    </row>
    <row r="3260" spans="1:3" hidden="1" x14ac:dyDescent="0.25">
      <c r="A3260" t="s">
        <v>12265</v>
      </c>
      <c r="B3260" t="s">
        <v>4576</v>
      </c>
      <c r="C3260" t="s">
        <v>12266</v>
      </c>
    </row>
    <row r="3261" spans="1:3" hidden="1" x14ac:dyDescent="0.25">
      <c r="A3261" t="s">
        <v>12267</v>
      </c>
      <c r="B3261" t="s">
        <v>4452</v>
      </c>
      <c r="C3261" t="s">
        <v>6958</v>
      </c>
    </row>
    <row r="3262" spans="1:3" hidden="1" x14ac:dyDescent="0.25">
      <c r="A3262" t="s">
        <v>12268</v>
      </c>
      <c r="B3262" t="s">
        <v>5374</v>
      </c>
      <c r="C3262" t="s">
        <v>12269</v>
      </c>
    </row>
    <row r="3263" spans="1:3" hidden="1" x14ac:dyDescent="0.25">
      <c r="A3263" t="s">
        <v>12270</v>
      </c>
      <c r="B3263" t="s">
        <v>2205</v>
      </c>
      <c r="C3263" t="s">
        <v>12271</v>
      </c>
    </row>
    <row r="3264" spans="1:3" hidden="1" x14ac:dyDescent="0.25">
      <c r="A3264" t="s">
        <v>12272</v>
      </c>
      <c r="B3264" t="s">
        <v>4327</v>
      </c>
      <c r="C3264" t="s">
        <v>12273</v>
      </c>
    </row>
    <row r="3265" spans="1:3" hidden="1" x14ac:dyDescent="0.25">
      <c r="A3265" t="s">
        <v>12274</v>
      </c>
      <c r="B3265" t="s">
        <v>516</v>
      </c>
      <c r="C3265" t="s">
        <v>6958</v>
      </c>
    </row>
    <row r="3266" spans="1:3" hidden="1" x14ac:dyDescent="0.25">
      <c r="A3266" t="s">
        <v>12275</v>
      </c>
      <c r="B3266" t="s">
        <v>955</v>
      </c>
      <c r="C3266" t="s">
        <v>12276</v>
      </c>
    </row>
    <row r="3267" spans="1:3" hidden="1" x14ac:dyDescent="0.25">
      <c r="A3267" t="s">
        <v>12277</v>
      </c>
      <c r="B3267" t="s">
        <v>3804</v>
      </c>
      <c r="C3267" t="s">
        <v>12278</v>
      </c>
    </row>
    <row r="3268" spans="1:3" hidden="1" x14ac:dyDescent="0.25">
      <c r="A3268" t="s">
        <v>12279</v>
      </c>
      <c r="B3268" t="s">
        <v>1874</v>
      </c>
      <c r="C3268" t="s">
        <v>12280</v>
      </c>
    </row>
    <row r="3269" spans="1:3" hidden="1" x14ac:dyDescent="0.25">
      <c r="A3269" t="s">
        <v>12281</v>
      </c>
      <c r="B3269" t="s">
        <v>5423</v>
      </c>
      <c r="C3269" t="s">
        <v>6958</v>
      </c>
    </row>
    <row r="3270" spans="1:3" hidden="1" x14ac:dyDescent="0.25">
      <c r="A3270" t="s">
        <v>12282</v>
      </c>
      <c r="B3270" t="s">
        <v>2970</v>
      </c>
      <c r="C3270" t="s">
        <v>12283</v>
      </c>
    </row>
    <row r="3271" spans="1:3" hidden="1" x14ac:dyDescent="0.25">
      <c r="A3271" t="s">
        <v>12284</v>
      </c>
      <c r="B3271" t="s">
        <v>1844</v>
      </c>
      <c r="C3271" t="s">
        <v>6958</v>
      </c>
    </row>
    <row r="3272" spans="1:3" hidden="1" x14ac:dyDescent="0.25">
      <c r="A3272" t="s">
        <v>12285</v>
      </c>
      <c r="B3272" t="s">
        <v>5659</v>
      </c>
      <c r="C3272" t="s">
        <v>12286</v>
      </c>
    </row>
    <row r="3273" spans="1:3" hidden="1" x14ac:dyDescent="0.25">
      <c r="A3273" t="s">
        <v>12287</v>
      </c>
      <c r="B3273" t="s">
        <v>2344</v>
      </c>
      <c r="C3273" t="s">
        <v>12288</v>
      </c>
    </row>
    <row r="3274" spans="1:3" hidden="1" x14ac:dyDescent="0.25">
      <c r="A3274" t="s">
        <v>12289</v>
      </c>
      <c r="B3274" t="s">
        <v>3646</v>
      </c>
      <c r="C3274" t="s">
        <v>12290</v>
      </c>
    </row>
    <row r="3275" spans="1:3" hidden="1" x14ac:dyDescent="0.25">
      <c r="A3275" t="s">
        <v>12291</v>
      </c>
      <c r="B3275" t="s">
        <v>5068</v>
      </c>
      <c r="C3275" t="s">
        <v>6958</v>
      </c>
    </row>
    <row r="3276" spans="1:3" hidden="1" x14ac:dyDescent="0.25">
      <c r="A3276" t="s">
        <v>12292</v>
      </c>
      <c r="B3276" t="s">
        <v>2241</v>
      </c>
      <c r="C3276" t="s">
        <v>6958</v>
      </c>
    </row>
    <row r="3277" spans="1:3" hidden="1" x14ac:dyDescent="0.25">
      <c r="A3277" t="s">
        <v>12293</v>
      </c>
      <c r="B3277" t="s">
        <v>2872</v>
      </c>
      <c r="C3277" t="s">
        <v>12294</v>
      </c>
    </row>
    <row r="3278" spans="1:3" hidden="1" x14ac:dyDescent="0.25">
      <c r="A3278" t="s">
        <v>12295</v>
      </c>
      <c r="B3278" t="s">
        <v>2099</v>
      </c>
      <c r="C3278" t="s">
        <v>6958</v>
      </c>
    </row>
    <row r="3279" spans="1:3" hidden="1" x14ac:dyDescent="0.25">
      <c r="A3279" t="s">
        <v>12296</v>
      </c>
      <c r="B3279" t="s">
        <v>3931</v>
      </c>
      <c r="C3279" t="s">
        <v>12297</v>
      </c>
    </row>
    <row r="3280" spans="1:3" hidden="1" x14ac:dyDescent="0.25">
      <c r="A3280" t="s">
        <v>12298</v>
      </c>
      <c r="B3280" t="s">
        <v>1266</v>
      </c>
      <c r="C3280" t="s">
        <v>12299</v>
      </c>
    </row>
    <row r="3281" spans="1:3" hidden="1" x14ac:dyDescent="0.25">
      <c r="A3281" t="s">
        <v>12300</v>
      </c>
      <c r="B3281" t="s">
        <v>1831</v>
      </c>
      <c r="C3281" t="s">
        <v>6958</v>
      </c>
    </row>
    <row r="3282" spans="1:3" hidden="1" x14ac:dyDescent="0.25">
      <c r="A3282" t="s">
        <v>12301</v>
      </c>
      <c r="B3282" t="s">
        <v>468</v>
      </c>
      <c r="C3282" t="s">
        <v>6958</v>
      </c>
    </row>
    <row r="3283" spans="1:3" hidden="1" x14ac:dyDescent="0.25">
      <c r="A3283" t="s">
        <v>12302</v>
      </c>
      <c r="B3283" t="s">
        <v>2906</v>
      </c>
      <c r="C3283" t="s">
        <v>6958</v>
      </c>
    </row>
    <row r="3284" spans="1:3" hidden="1" x14ac:dyDescent="0.25">
      <c r="A3284" t="s">
        <v>12303</v>
      </c>
      <c r="B3284" t="s">
        <v>5101</v>
      </c>
      <c r="C3284" t="s">
        <v>12304</v>
      </c>
    </row>
    <row r="3285" spans="1:3" hidden="1" x14ac:dyDescent="0.25">
      <c r="A3285" t="s">
        <v>12305</v>
      </c>
      <c r="B3285" t="s">
        <v>3634</v>
      </c>
      <c r="C3285" t="s">
        <v>6958</v>
      </c>
    </row>
    <row r="3286" spans="1:3" hidden="1" x14ac:dyDescent="0.25">
      <c r="A3286" t="s">
        <v>12306</v>
      </c>
      <c r="B3286" t="s">
        <v>193</v>
      </c>
      <c r="C3286" t="s">
        <v>6958</v>
      </c>
    </row>
    <row r="3287" spans="1:3" hidden="1" x14ac:dyDescent="0.25">
      <c r="A3287" t="s">
        <v>12307</v>
      </c>
      <c r="B3287" t="s">
        <v>2530</v>
      </c>
      <c r="C3287" t="s">
        <v>6958</v>
      </c>
    </row>
    <row r="3288" spans="1:3" hidden="1" x14ac:dyDescent="0.25">
      <c r="A3288" t="s">
        <v>12308</v>
      </c>
      <c r="B3288" t="s">
        <v>201</v>
      </c>
      <c r="C3288" t="s">
        <v>12309</v>
      </c>
    </row>
    <row r="3289" spans="1:3" hidden="1" x14ac:dyDescent="0.25">
      <c r="A3289" t="s">
        <v>12310</v>
      </c>
      <c r="B3289" t="s">
        <v>4763</v>
      </c>
      <c r="C3289" t="s">
        <v>12311</v>
      </c>
    </row>
    <row r="3290" spans="1:3" hidden="1" x14ac:dyDescent="0.25">
      <c r="A3290" t="s">
        <v>12312</v>
      </c>
      <c r="B3290" t="s">
        <v>3711</v>
      </c>
      <c r="C3290" t="s">
        <v>6958</v>
      </c>
    </row>
    <row r="3291" spans="1:3" hidden="1" x14ac:dyDescent="0.25">
      <c r="A3291" t="s">
        <v>12313</v>
      </c>
      <c r="B3291" t="s">
        <v>1761</v>
      </c>
      <c r="C3291" t="s">
        <v>12314</v>
      </c>
    </row>
    <row r="3292" spans="1:3" hidden="1" x14ac:dyDescent="0.25">
      <c r="A3292" t="s">
        <v>12315</v>
      </c>
      <c r="B3292" t="s">
        <v>4477</v>
      </c>
      <c r="C3292" t="s">
        <v>6958</v>
      </c>
    </row>
    <row r="3293" spans="1:3" hidden="1" x14ac:dyDescent="0.25">
      <c r="A3293" t="s">
        <v>12316</v>
      </c>
      <c r="B3293" t="s">
        <v>1361</v>
      </c>
      <c r="C3293" t="s">
        <v>12317</v>
      </c>
    </row>
    <row r="3294" spans="1:3" hidden="1" x14ac:dyDescent="0.25">
      <c r="A3294" t="s">
        <v>12318</v>
      </c>
      <c r="B3294" t="s">
        <v>4950</v>
      </c>
      <c r="C3294" t="s">
        <v>12319</v>
      </c>
    </row>
    <row r="3295" spans="1:3" hidden="1" x14ac:dyDescent="0.25">
      <c r="A3295" t="s">
        <v>12320</v>
      </c>
      <c r="B3295" t="s">
        <v>4384</v>
      </c>
      <c r="C3295" t="s">
        <v>12321</v>
      </c>
    </row>
    <row r="3296" spans="1:3" hidden="1" x14ac:dyDescent="0.25">
      <c r="A3296" t="s">
        <v>12322</v>
      </c>
      <c r="B3296" t="s">
        <v>1139</v>
      </c>
      <c r="C3296" t="s">
        <v>12323</v>
      </c>
    </row>
    <row r="3297" spans="1:3" hidden="1" x14ac:dyDescent="0.25">
      <c r="A3297" t="s">
        <v>12324</v>
      </c>
      <c r="B3297" t="s">
        <v>1145</v>
      </c>
      <c r="C3297" t="s">
        <v>12325</v>
      </c>
    </row>
    <row r="3298" spans="1:3" hidden="1" x14ac:dyDescent="0.25">
      <c r="A3298" t="s">
        <v>12326</v>
      </c>
      <c r="B3298" t="s">
        <v>5431</v>
      </c>
      <c r="C3298" t="s">
        <v>6958</v>
      </c>
    </row>
    <row r="3299" spans="1:3" hidden="1" x14ac:dyDescent="0.25">
      <c r="A3299" t="s">
        <v>12327</v>
      </c>
      <c r="B3299" t="s">
        <v>2231</v>
      </c>
      <c r="C3299" t="s">
        <v>12328</v>
      </c>
    </row>
    <row r="3300" spans="1:3" hidden="1" x14ac:dyDescent="0.25">
      <c r="A3300" t="s">
        <v>12329</v>
      </c>
      <c r="B3300" t="s">
        <v>396</v>
      </c>
      <c r="C3300" t="s">
        <v>12330</v>
      </c>
    </row>
    <row r="3301" spans="1:3" hidden="1" x14ac:dyDescent="0.25">
      <c r="A3301" t="s">
        <v>12331</v>
      </c>
      <c r="B3301" t="s">
        <v>2747</v>
      </c>
      <c r="C3301" t="s">
        <v>6958</v>
      </c>
    </row>
    <row r="3302" spans="1:3" hidden="1" x14ac:dyDescent="0.25">
      <c r="A3302" t="s">
        <v>12332</v>
      </c>
      <c r="B3302" t="s">
        <v>4614</v>
      </c>
      <c r="C3302" t="s">
        <v>6958</v>
      </c>
    </row>
    <row r="3303" spans="1:3" hidden="1" x14ac:dyDescent="0.25">
      <c r="A3303" t="s">
        <v>12333</v>
      </c>
      <c r="B3303" t="s">
        <v>1331</v>
      </c>
      <c r="C3303" t="s">
        <v>6958</v>
      </c>
    </row>
    <row r="3304" spans="1:3" hidden="1" x14ac:dyDescent="0.25">
      <c r="A3304" t="s">
        <v>12334</v>
      </c>
      <c r="B3304" t="s">
        <v>2309</v>
      </c>
      <c r="C3304" t="s">
        <v>12335</v>
      </c>
    </row>
    <row r="3305" spans="1:3" hidden="1" x14ac:dyDescent="0.25">
      <c r="A3305" t="s">
        <v>12336</v>
      </c>
      <c r="B3305" t="s">
        <v>5675</v>
      </c>
      <c r="C3305" t="s">
        <v>12337</v>
      </c>
    </row>
    <row r="3306" spans="1:3" hidden="1" x14ac:dyDescent="0.25">
      <c r="A3306" t="s">
        <v>12338</v>
      </c>
      <c r="B3306" t="s">
        <v>3194</v>
      </c>
      <c r="C3306" t="s">
        <v>12339</v>
      </c>
    </row>
    <row r="3307" spans="1:3" hidden="1" x14ac:dyDescent="0.25">
      <c r="A3307" t="s">
        <v>12340</v>
      </c>
      <c r="B3307" t="s">
        <v>3643</v>
      </c>
      <c r="C3307" t="s">
        <v>6958</v>
      </c>
    </row>
    <row r="3308" spans="1:3" hidden="1" x14ac:dyDescent="0.25">
      <c r="A3308" t="s">
        <v>12341</v>
      </c>
      <c r="B3308" t="s">
        <v>1458</v>
      </c>
      <c r="C3308" t="s">
        <v>6958</v>
      </c>
    </row>
    <row r="3309" spans="1:3" hidden="1" x14ac:dyDescent="0.25">
      <c r="A3309" t="s">
        <v>12342</v>
      </c>
      <c r="B3309" t="s">
        <v>1962</v>
      </c>
      <c r="C3309" t="s">
        <v>12343</v>
      </c>
    </row>
    <row r="3310" spans="1:3" hidden="1" x14ac:dyDescent="0.25">
      <c r="A3310" t="s">
        <v>12344</v>
      </c>
      <c r="B3310" t="s">
        <v>1483</v>
      </c>
      <c r="C3310" t="s">
        <v>12345</v>
      </c>
    </row>
    <row r="3311" spans="1:3" hidden="1" x14ac:dyDescent="0.25">
      <c r="A3311" t="s">
        <v>12346</v>
      </c>
      <c r="B3311" t="s">
        <v>3823</v>
      </c>
      <c r="C3311" t="s">
        <v>12347</v>
      </c>
    </row>
    <row r="3312" spans="1:3" hidden="1" x14ac:dyDescent="0.25">
      <c r="A3312" t="s">
        <v>12348</v>
      </c>
      <c r="B3312" t="s">
        <v>3497</v>
      </c>
      <c r="C3312" t="s">
        <v>12349</v>
      </c>
    </row>
    <row r="3313" spans="1:3" hidden="1" x14ac:dyDescent="0.25">
      <c r="A3313" t="s">
        <v>12350</v>
      </c>
      <c r="B3313" t="s">
        <v>4902</v>
      </c>
      <c r="C3313" t="s">
        <v>12351</v>
      </c>
    </row>
    <row r="3314" spans="1:3" hidden="1" x14ac:dyDescent="0.25">
      <c r="A3314" t="s">
        <v>12352</v>
      </c>
      <c r="B3314" t="s">
        <v>3593</v>
      </c>
      <c r="C3314" t="s">
        <v>6958</v>
      </c>
    </row>
    <row r="3315" spans="1:3" hidden="1" x14ac:dyDescent="0.25">
      <c r="A3315" t="s">
        <v>12353</v>
      </c>
      <c r="B3315" t="s">
        <v>4665</v>
      </c>
      <c r="C3315" t="s">
        <v>12354</v>
      </c>
    </row>
    <row r="3316" spans="1:3" hidden="1" x14ac:dyDescent="0.25">
      <c r="A3316" t="s">
        <v>12355</v>
      </c>
      <c r="B3316" t="s">
        <v>1653</v>
      </c>
      <c r="C3316" t="s">
        <v>12356</v>
      </c>
    </row>
    <row r="3317" spans="1:3" hidden="1" x14ac:dyDescent="0.25">
      <c r="A3317" t="s">
        <v>12357</v>
      </c>
      <c r="B3317" t="s">
        <v>5171</v>
      </c>
      <c r="C3317" t="s">
        <v>12358</v>
      </c>
    </row>
    <row r="3318" spans="1:3" hidden="1" x14ac:dyDescent="0.25">
      <c r="A3318" t="s">
        <v>12359</v>
      </c>
      <c r="B3318" t="s">
        <v>3283</v>
      </c>
      <c r="C3318" t="s">
        <v>12360</v>
      </c>
    </row>
    <row r="3319" spans="1:3" hidden="1" x14ac:dyDescent="0.25">
      <c r="A3319" t="s">
        <v>12361</v>
      </c>
      <c r="B3319" t="s">
        <v>4962</v>
      </c>
      <c r="C3319" t="s">
        <v>12362</v>
      </c>
    </row>
    <row r="3320" spans="1:3" hidden="1" x14ac:dyDescent="0.25">
      <c r="A3320" t="s">
        <v>12363</v>
      </c>
      <c r="B3320" t="s">
        <v>1719</v>
      </c>
      <c r="C3320" t="s">
        <v>12364</v>
      </c>
    </row>
    <row r="3321" spans="1:3" hidden="1" x14ac:dyDescent="0.25">
      <c r="A3321" t="s">
        <v>12365</v>
      </c>
      <c r="B3321" t="s">
        <v>2622</v>
      </c>
      <c r="C3321" t="s">
        <v>12366</v>
      </c>
    </row>
    <row r="3322" spans="1:3" hidden="1" x14ac:dyDescent="0.25">
      <c r="A3322" t="s">
        <v>12367</v>
      </c>
      <c r="B3322" t="s">
        <v>194</v>
      </c>
      <c r="C3322" t="s">
        <v>12368</v>
      </c>
    </row>
    <row r="3323" spans="1:3" hidden="1" x14ac:dyDescent="0.25">
      <c r="A3323" t="s">
        <v>12369</v>
      </c>
      <c r="B3323" t="s">
        <v>4293</v>
      </c>
      <c r="C3323" t="s">
        <v>12370</v>
      </c>
    </row>
    <row r="3324" spans="1:3" hidden="1" x14ac:dyDescent="0.25">
      <c r="A3324" t="s">
        <v>12371</v>
      </c>
      <c r="B3324" t="s">
        <v>5061</v>
      </c>
      <c r="C3324" t="s">
        <v>6958</v>
      </c>
    </row>
    <row r="3325" spans="1:3" hidden="1" x14ac:dyDescent="0.25">
      <c r="A3325" t="s">
        <v>12372</v>
      </c>
      <c r="B3325" t="s">
        <v>4774</v>
      </c>
      <c r="C3325" t="s">
        <v>6958</v>
      </c>
    </row>
    <row r="3326" spans="1:3" hidden="1" x14ac:dyDescent="0.25">
      <c r="A3326" t="s">
        <v>12373</v>
      </c>
      <c r="B3326" t="s">
        <v>5484</v>
      </c>
      <c r="C3326" t="s">
        <v>12374</v>
      </c>
    </row>
    <row r="3327" spans="1:3" hidden="1" x14ac:dyDescent="0.25">
      <c r="A3327" t="s">
        <v>12375</v>
      </c>
      <c r="B3327" t="s">
        <v>518</v>
      </c>
      <c r="C3327" t="s">
        <v>12376</v>
      </c>
    </row>
    <row r="3328" spans="1:3" hidden="1" x14ac:dyDescent="0.25">
      <c r="A3328" t="s">
        <v>12377</v>
      </c>
      <c r="B3328" t="s">
        <v>1469</v>
      </c>
      <c r="C3328" t="s">
        <v>12378</v>
      </c>
    </row>
    <row r="3329" spans="1:3" hidden="1" x14ac:dyDescent="0.25">
      <c r="A3329" t="s">
        <v>12379</v>
      </c>
      <c r="B3329" t="s">
        <v>902</v>
      </c>
      <c r="C3329" t="s">
        <v>6958</v>
      </c>
    </row>
    <row r="3330" spans="1:3" hidden="1" x14ac:dyDescent="0.25">
      <c r="A3330" t="s">
        <v>12380</v>
      </c>
      <c r="B3330" t="s">
        <v>5516</v>
      </c>
      <c r="C3330" t="s">
        <v>12381</v>
      </c>
    </row>
    <row r="3331" spans="1:3" hidden="1" x14ac:dyDescent="0.25">
      <c r="A3331" t="s">
        <v>12382</v>
      </c>
      <c r="B3331" t="s">
        <v>331</v>
      </c>
      <c r="C3331" t="s">
        <v>12383</v>
      </c>
    </row>
    <row r="3332" spans="1:3" hidden="1" x14ac:dyDescent="0.25">
      <c r="A3332" t="s">
        <v>12384</v>
      </c>
      <c r="B3332" t="s">
        <v>4282</v>
      </c>
      <c r="C3332" t="s">
        <v>12385</v>
      </c>
    </row>
    <row r="3333" spans="1:3" hidden="1" x14ac:dyDescent="0.25">
      <c r="A3333" t="s">
        <v>12386</v>
      </c>
      <c r="B3333" t="s">
        <v>3807</v>
      </c>
      <c r="C3333" t="s">
        <v>12387</v>
      </c>
    </row>
    <row r="3334" spans="1:3" hidden="1" x14ac:dyDescent="0.25">
      <c r="A3334" t="s">
        <v>12388</v>
      </c>
      <c r="B3334" t="s">
        <v>3291</v>
      </c>
      <c r="C3334" t="s">
        <v>12389</v>
      </c>
    </row>
    <row r="3335" spans="1:3" hidden="1" x14ac:dyDescent="0.25">
      <c r="A3335" t="s">
        <v>12390</v>
      </c>
      <c r="B3335" t="s">
        <v>3950</v>
      </c>
      <c r="C3335" t="s">
        <v>7669</v>
      </c>
    </row>
    <row r="3336" spans="1:3" hidden="1" x14ac:dyDescent="0.25">
      <c r="A3336" t="s">
        <v>12391</v>
      </c>
      <c r="B3336" t="s">
        <v>210</v>
      </c>
      <c r="C3336" t="s">
        <v>12392</v>
      </c>
    </row>
    <row r="3337" spans="1:3" hidden="1" x14ac:dyDescent="0.25">
      <c r="A3337" t="s">
        <v>12393</v>
      </c>
      <c r="B3337" t="s">
        <v>3237</v>
      </c>
      <c r="C3337" t="s">
        <v>12394</v>
      </c>
    </row>
    <row r="3338" spans="1:3" hidden="1" x14ac:dyDescent="0.25">
      <c r="A3338" t="s">
        <v>12395</v>
      </c>
      <c r="B3338" t="s">
        <v>1584</v>
      </c>
      <c r="C3338" t="s">
        <v>12396</v>
      </c>
    </row>
    <row r="3339" spans="1:3" hidden="1" x14ac:dyDescent="0.25">
      <c r="A3339" t="s">
        <v>12397</v>
      </c>
      <c r="B3339" t="s">
        <v>1751</v>
      </c>
      <c r="C3339" t="s">
        <v>6958</v>
      </c>
    </row>
    <row r="3340" spans="1:3" hidden="1" x14ac:dyDescent="0.25">
      <c r="A3340" t="s">
        <v>12398</v>
      </c>
      <c r="B3340" t="s">
        <v>4640</v>
      </c>
      <c r="C3340" t="s">
        <v>12399</v>
      </c>
    </row>
    <row r="3341" spans="1:3" hidden="1" x14ac:dyDescent="0.25">
      <c r="A3341" t="s">
        <v>12400</v>
      </c>
      <c r="B3341" t="s">
        <v>5308</v>
      </c>
      <c r="C3341" t="s">
        <v>12401</v>
      </c>
    </row>
    <row r="3342" spans="1:3" hidden="1" x14ac:dyDescent="0.25">
      <c r="A3342" t="s">
        <v>12402</v>
      </c>
      <c r="B3342" t="s">
        <v>2490</v>
      </c>
      <c r="C3342" t="s">
        <v>6958</v>
      </c>
    </row>
    <row r="3343" spans="1:3" hidden="1" x14ac:dyDescent="0.25">
      <c r="A3343" t="s">
        <v>12403</v>
      </c>
      <c r="B3343" t="s">
        <v>3721</v>
      </c>
      <c r="C3343" t="s">
        <v>12404</v>
      </c>
    </row>
    <row r="3344" spans="1:3" hidden="1" x14ac:dyDescent="0.25">
      <c r="A3344" t="s">
        <v>12405</v>
      </c>
      <c r="B3344" t="s">
        <v>3134</v>
      </c>
      <c r="C3344" t="s">
        <v>12406</v>
      </c>
    </row>
    <row r="3345" spans="1:3" hidden="1" x14ac:dyDescent="0.25">
      <c r="A3345" t="s">
        <v>12407</v>
      </c>
      <c r="B3345" t="s">
        <v>2588</v>
      </c>
      <c r="C3345" t="s">
        <v>12408</v>
      </c>
    </row>
    <row r="3346" spans="1:3" hidden="1" x14ac:dyDescent="0.25">
      <c r="A3346" t="s">
        <v>12409</v>
      </c>
      <c r="B3346" t="s">
        <v>5636</v>
      </c>
      <c r="C3346" t="s">
        <v>12410</v>
      </c>
    </row>
    <row r="3347" spans="1:3" hidden="1" x14ac:dyDescent="0.25">
      <c r="A3347" t="s">
        <v>12411</v>
      </c>
      <c r="B3347" t="s">
        <v>3940</v>
      </c>
      <c r="C3347" t="s">
        <v>6958</v>
      </c>
    </row>
    <row r="3348" spans="1:3" hidden="1" x14ac:dyDescent="0.25">
      <c r="A3348" t="s">
        <v>12412</v>
      </c>
      <c r="B3348" t="s">
        <v>5672</v>
      </c>
      <c r="C3348" t="s">
        <v>12413</v>
      </c>
    </row>
    <row r="3349" spans="1:3" hidden="1" x14ac:dyDescent="0.25">
      <c r="A3349" t="s">
        <v>12414</v>
      </c>
      <c r="B3349" t="s">
        <v>1582</v>
      </c>
      <c r="C3349" t="s">
        <v>12415</v>
      </c>
    </row>
    <row r="3350" spans="1:3" hidden="1" x14ac:dyDescent="0.25">
      <c r="A3350" t="s">
        <v>12416</v>
      </c>
      <c r="B3350" t="s">
        <v>63</v>
      </c>
      <c r="C3350" t="s">
        <v>12417</v>
      </c>
    </row>
    <row r="3351" spans="1:3" hidden="1" x14ac:dyDescent="0.25">
      <c r="A3351" t="s">
        <v>12418</v>
      </c>
      <c r="B3351" t="s">
        <v>344</v>
      </c>
      <c r="C3351" t="s">
        <v>12419</v>
      </c>
    </row>
    <row r="3352" spans="1:3" hidden="1" x14ac:dyDescent="0.25">
      <c r="A3352" t="s">
        <v>12420</v>
      </c>
      <c r="B3352" t="s">
        <v>1936</v>
      </c>
      <c r="C3352" t="s">
        <v>12421</v>
      </c>
    </row>
    <row r="3353" spans="1:3" hidden="1" x14ac:dyDescent="0.25">
      <c r="A3353" t="s">
        <v>12422</v>
      </c>
      <c r="B3353" t="s">
        <v>3124</v>
      </c>
      <c r="C3353" t="s">
        <v>6958</v>
      </c>
    </row>
    <row r="3354" spans="1:3" hidden="1" x14ac:dyDescent="0.25">
      <c r="A3354" t="s">
        <v>12423</v>
      </c>
      <c r="B3354" t="s">
        <v>1659</v>
      </c>
      <c r="C3354" t="s">
        <v>7669</v>
      </c>
    </row>
    <row r="3355" spans="1:3" hidden="1" x14ac:dyDescent="0.25">
      <c r="A3355" t="s">
        <v>12424</v>
      </c>
      <c r="B3355" t="s">
        <v>281</v>
      </c>
      <c r="C3355" t="s">
        <v>12425</v>
      </c>
    </row>
    <row r="3356" spans="1:3" hidden="1" x14ac:dyDescent="0.25">
      <c r="A3356" t="s">
        <v>12426</v>
      </c>
      <c r="B3356" t="s">
        <v>2626</v>
      </c>
      <c r="C3356" t="s">
        <v>12427</v>
      </c>
    </row>
    <row r="3357" spans="1:3" hidden="1" x14ac:dyDescent="0.25">
      <c r="A3357" t="s">
        <v>12428</v>
      </c>
      <c r="B3357" t="s">
        <v>2520</v>
      </c>
      <c r="C3357" t="s">
        <v>12429</v>
      </c>
    </row>
    <row r="3358" spans="1:3" hidden="1" x14ac:dyDescent="0.25">
      <c r="A3358" t="s">
        <v>12430</v>
      </c>
      <c r="B3358" t="s">
        <v>702</v>
      </c>
      <c r="C3358" t="s">
        <v>6958</v>
      </c>
    </row>
    <row r="3359" spans="1:3" hidden="1" x14ac:dyDescent="0.25">
      <c r="A3359" t="s">
        <v>12431</v>
      </c>
      <c r="B3359" t="s">
        <v>380</v>
      </c>
      <c r="C3359" t="s">
        <v>12432</v>
      </c>
    </row>
    <row r="3360" spans="1:3" hidden="1" x14ac:dyDescent="0.25">
      <c r="A3360" t="s">
        <v>12433</v>
      </c>
      <c r="B3360" t="s">
        <v>3890</v>
      </c>
      <c r="C3360" t="s">
        <v>6958</v>
      </c>
    </row>
    <row r="3361" spans="1:3" hidden="1" x14ac:dyDescent="0.25">
      <c r="A3361" t="s">
        <v>12434</v>
      </c>
      <c r="B3361" t="s">
        <v>1389</v>
      </c>
      <c r="C3361" t="s">
        <v>12435</v>
      </c>
    </row>
    <row r="3362" spans="1:3" hidden="1" x14ac:dyDescent="0.25">
      <c r="A3362" t="s">
        <v>12436</v>
      </c>
      <c r="B3362" t="s">
        <v>5538</v>
      </c>
      <c r="C3362" t="s">
        <v>6958</v>
      </c>
    </row>
    <row r="3363" spans="1:3" hidden="1" x14ac:dyDescent="0.25">
      <c r="A3363" t="s">
        <v>12437</v>
      </c>
      <c r="B3363" t="s">
        <v>2235</v>
      </c>
      <c r="C3363" t="s">
        <v>12438</v>
      </c>
    </row>
    <row r="3364" spans="1:3" hidden="1" x14ac:dyDescent="0.25">
      <c r="A3364" t="s">
        <v>12439</v>
      </c>
      <c r="B3364" t="s">
        <v>590</v>
      </c>
      <c r="C3364" t="s">
        <v>6958</v>
      </c>
    </row>
    <row r="3365" spans="1:3" hidden="1" x14ac:dyDescent="0.25">
      <c r="A3365" t="s">
        <v>12440</v>
      </c>
      <c r="B3365" t="s">
        <v>1295</v>
      </c>
      <c r="C3365" t="s">
        <v>6958</v>
      </c>
    </row>
    <row r="3366" spans="1:3" hidden="1" x14ac:dyDescent="0.25">
      <c r="A3366" t="s">
        <v>12441</v>
      </c>
      <c r="B3366" t="s">
        <v>4455</v>
      </c>
      <c r="C3366" t="s">
        <v>12442</v>
      </c>
    </row>
    <row r="3367" spans="1:3" hidden="1" x14ac:dyDescent="0.25">
      <c r="A3367" t="s">
        <v>12443</v>
      </c>
      <c r="B3367" t="s">
        <v>3835</v>
      </c>
      <c r="C3367" t="s">
        <v>6958</v>
      </c>
    </row>
    <row r="3368" spans="1:3" hidden="1" x14ac:dyDescent="0.25">
      <c r="A3368" t="s">
        <v>12444</v>
      </c>
      <c r="B3368" t="s">
        <v>2320</v>
      </c>
      <c r="C3368" t="s">
        <v>12445</v>
      </c>
    </row>
    <row r="3369" spans="1:3" hidden="1" x14ac:dyDescent="0.25">
      <c r="A3369" t="s">
        <v>12446</v>
      </c>
      <c r="B3369" t="s">
        <v>3269</v>
      </c>
      <c r="C3369" t="s">
        <v>6958</v>
      </c>
    </row>
    <row r="3370" spans="1:3" hidden="1" x14ac:dyDescent="0.25">
      <c r="A3370" t="s">
        <v>12447</v>
      </c>
      <c r="B3370" t="s">
        <v>1503</v>
      </c>
      <c r="C3370" t="s">
        <v>12448</v>
      </c>
    </row>
    <row r="3371" spans="1:3" hidden="1" x14ac:dyDescent="0.25">
      <c r="A3371" t="s">
        <v>12449</v>
      </c>
      <c r="B3371" t="s">
        <v>822</v>
      </c>
      <c r="C3371" t="s">
        <v>12450</v>
      </c>
    </row>
    <row r="3372" spans="1:3" hidden="1" x14ac:dyDescent="0.25">
      <c r="A3372" t="s">
        <v>12451</v>
      </c>
      <c r="B3372" t="s">
        <v>3444</v>
      </c>
      <c r="C3372" t="s">
        <v>6958</v>
      </c>
    </row>
    <row r="3373" spans="1:3" hidden="1" x14ac:dyDescent="0.25">
      <c r="A3373" t="s">
        <v>12452</v>
      </c>
      <c r="B3373" t="s">
        <v>2477</v>
      </c>
      <c r="C3373" t="s">
        <v>6958</v>
      </c>
    </row>
    <row r="3374" spans="1:3" hidden="1" x14ac:dyDescent="0.25">
      <c r="A3374" t="s">
        <v>12453</v>
      </c>
      <c r="B3374" t="s">
        <v>2352</v>
      </c>
      <c r="C3374" t="s">
        <v>12454</v>
      </c>
    </row>
    <row r="3375" spans="1:3" hidden="1" x14ac:dyDescent="0.25">
      <c r="A3375" t="s">
        <v>12455</v>
      </c>
      <c r="B3375" t="s">
        <v>5407</v>
      </c>
      <c r="C3375" t="s">
        <v>12456</v>
      </c>
    </row>
    <row r="3376" spans="1:3" hidden="1" x14ac:dyDescent="0.25">
      <c r="A3376" t="s">
        <v>12457</v>
      </c>
      <c r="B3376" t="s">
        <v>672</v>
      </c>
      <c r="C3376" t="s">
        <v>12458</v>
      </c>
    </row>
    <row r="3377" spans="1:3" hidden="1" x14ac:dyDescent="0.25">
      <c r="A3377" t="s">
        <v>12459</v>
      </c>
      <c r="B3377" t="s">
        <v>5021</v>
      </c>
      <c r="C3377" t="s">
        <v>12460</v>
      </c>
    </row>
    <row r="3378" spans="1:3" hidden="1" x14ac:dyDescent="0.25">
      <c r="A3378" t="s">
        <v>12461</v>
      </c>
      <c r="B3378" t="s">
        <v>2131</v>
      </c>
      <c r="C3378" t="s">
        <v>12462</v>
      </c>
    </row>
    <row r="3379" spans="1:3" hidden="1" x14ac:dyDescent="0.25">
      <c r="A3379" t="s">
        <v>12463</v>
      </c>
      <c r="B3379" t="s">
        <v>5520</v>
      </c>
      <c r="C3379" t="s">
        <v>12464</v>
      </c>
    </row>
    <row r="3380" spans="1:3" hidden="1" x14ac:dyDescent="0.25">
      <c r="A3380" t="s">
        <v>12465</v>
      </c>
      <c r="B3380" t="s">
        <v>113</v>
      </c>
      <c r="C3380" t="s">
        <v>12466</v>
      </c>
    </row>
    <row r="3381" spans="1:3" hidden="1" x14ac:dyDescent="0.25">
      <c r="A3381" t="s">
        <v>12467</v>
      </c>
      <c r="B3381" t="s">
        <v>1877</v>
      </c>
      <c r="C3381" t="s">
        <v>12468</v>
      </c>
    </row>
    <row r="3382" spans="1:3" hidden="1" x14ac:dyDescent="0.25">
      <c r="A3382" t="s">
        <v>12469</v>
      </c>
      <c r="B3382" t="s">
        <v>4878</v>
      </c>
      <c r="C3382" t="s">
        <v>12470</v>
      </c>
    </row>
    <row r="3383" spans="1:3" hidden="1" x14ac:dyDescent="0.25">
      <c r="A3383" t="s">
        <v>12471</v>
      </c>
      <c r="B3383" t="s">
        <v>4174</v>
      </c>
      <c r="C3383" t="s">
        <v>12472</v>
      </c>
    </row>
    <row r="3384" spans="1:3" hidden="1" x14ac:dyDescent="0.25">
      <c r="A3384" t="s">
        <v>12473</v>
      </c>
      <c r="B3384" t="s">
        <v>3746</v>
      </c>
      <c r="C3384" t="s">
        <v>6958</v>
      </c>
    </row>
    <row r="3385" spans="1:3" hidden="1" x14ac:dyDescent="0.25">
      <c r="A3385" t="s">
        <v>12474</v>
      </c>
      <c r="B3385" t="s">
        <v>2999</v>
      </c>
      <c r="C3385" t="s">
        <v>6958</v>
      </c>
    </row>
    <row r="3386" spans="1:3" hidden="1" x14ac:dyDescent="0.25">
      <c r="A3386" t="s">
        <v>12475</v>
      </c>
      <c r="B3386" t="s">
        <v>4167</v>
      </c>
      <c r="C3386" t="s">
        <v>6958</v>
      </c>
    </row>
    <row r="3387" spans="1:3" hidden="1" x14ac:dyDescent="0.25">
      <c r="A3387" t="s">
        <v>12476</v>
      </c>
      <c r="B3387" t="s">
        <v>3276</v>
      </c>
      <c r="C3387" t="s">
        <v>6958</v>
      </c>
    </row>
    <row r="3388" spans="1:3" hidden="1" x14ac:dyDescent="0.25">
      <c r="A3388" t="s">
        <v>12477</v>
      </c>
      <c r="B3388" t="s">
        <v>2187</v>
      </c>
      <c r="C3388" t="s">
        <v>12478</v>
      </c>
    </row>
    <row r="3389" spans="1:3" hidden="1" x14ac:dyDescent="0.25">
      <c r="A3389" t="s">
        <v>12479</v>
      </c>
      <c r="B3389" t="s">
        <v>4697</v>
      </c>
      <c r="C3389" t="s">
        <v>12480</v>
      </c>
    </row>
    <row r="3390" spans="1:3" hidden="1" x14ac:dyDescent="0.25">
      <c r="A3390" t="s">
        <v>12481</v>
      </c>
      <c r="B3390" t="s">
        <v>2803</v>
      </c>
      <c r="C3390" t="s">
        <v>6958</v>
      </c>
    </row>
    <row r="3391" spans="1:3" hidden="1" x14ac:dyDescent="0.25">
      <c r="A3391" t="s">
        <v>12482</v>
      </c>
      <c r="B3391" t="s">
        <v>139</v>
      </c>
      <c r="C3391" t="s">
        <v>12483</v>
      </c>
    </row>
    <row r="3392" spans="1:3" hidden="1" x14ac:dyDescent="0.25">
      <c r="A3392" t="s">
        <v>12484</v>
      </c>
      <c r="B3392" t="s">
        <v>3203</v>
      </c>
      <c r="C3392" t="s">
        <v>12485</v>
      </c>
    </row>
    <row r="3393" spans="1:3" hidden="1" x14ac:dyDescent="0.25">
      <c r="A3393" t="s">
        <v>12486</v>
      </c>
      <c r="B3393" t="s">
        <v>4873</v>
      </c>
      <c r="C3393" t="s">
        <v>6958</v>
      </c>
    </row>
    <row r="3394" spans="1:3" hidden="1" x14ac:dyDescent="0.25">
      <c r="A3394" t="s">
        <v>12487</v>
      </c>
      <c r="B3394" t="s">
        <v>2360</v>
      </c>
      <c r="C3394" t="s">
        <v>6958</v>
      </c>
    </row>
    <row r="3395" spans="1:3" hidden="1" x14ac:dyDescent="0.25">
      <c r="A3395" t="s">
        <v>12488</v>
      </c>
      <c r="B3395" t="s">
        <v>3513</v>
      </c>
      <c r="C3395" t="s">
        <v>12489</v>
      </c>
    </row>
    <row r="3396" spans="1:3" hidden="1" x14ac:dyDescent="0.25">
      <c r="A3396" t="s">
        <v>12490</v>
      </c>
      <c r="B3396" t="s">
        <v>1190</v>
      </c>
      <c r="C3396" t="s">
        <v>12491</v>
      </c>
    </row>
    <row r="3397" spans="1:3" hidden="1" x14ac:dyDescent="0.25">
      <c r="A3397" t="s">
        <v>12492</v>
      </c>
      <c r="B3397" t="s">
        <v>3968</v>
      </c>
      <c r="C3397" t="s">
        <v>12493</v>
      </c>
    </row>
    <row r="3398" spans="1:3" hidden="1" x14ac:dyDescent="0.25">
      <c r="A3398" t="s">
        <v>12494</v>
      </c>
      <c r="B3398" t="s">
        <v>5222</v>
      </c>
      <c r="C3398" t="s">
        <v>12495</v>
      </c>
    </row>
    <row r="3399" spans="1:3" hidden="1" x14ac:dyDescent="0.25">
      <c r="A3399" t="s">
        <v>12496</v>
      </c>
      <c r="B3399" t="s">
        <v>4141</v>
      </c>
      <c r="C3399" t="s">
        <v>6958</v>
      </c>
    </row>
    <row r="3400" spans="1:3" hidden="1" x14ac:dyDescent="0.25">
      <c r="A3400" t="s">
        <v>12497</v>
      </c>
      <c r="B3400" t="s">
        <v>4611</v>
      </c>
      <c r="C3400" t="s">
        <v>12498</v>
      </c>
    </row>
    <row r="3401" spans="1:3" hidden="1" x14ac:dyDescent="0.25">
      <c r="A3401" t="s">
        <v>12499</v>
      </c>
      <c r="B3401" t="s">
        <v>5355</v>
      </c>
      <c r="C3401" t="s">
        <v>12500</v>
      </c>
    </row>
    <row r="3402" spans="1:3" hidden="1" x14ac:dyDescent="0.25">
      <c r="A3402" t="s">
        <v>12501</v>
      </c>
      <c r="B3402" t="s">
        <v>2856</v>
      </c>
      <c r="C3402" t="s">
        <v>12502</v>
      </c>
    </row>
    <row r="3403" spans="1:3" hidden="1" x14ac:dyDescent="0.25">
      <c r="A3403" t="s">
        <v>12503</v>
      </c>
      <c r="B3403" t="s">
        <v>1604</v>
      </c>
      <c r="C3403" t="s">
        <v>6958</v>
      </c>
    </row>
    <row r="3404" spans="1:3" hidden="1" x14ac:dyDescent="0.25">
      <c r="A3404" t="s">
        <v>12504</v>
      </c>
      <c r="B3404" t="s">
        <v>5352</v>
      </c>
      <c r="C3404" t="s">
        <v>12505</v>
      </c>
    </row>
    <row r="3405" spans="1:3" hidden="1" x14ac:dyDescent="0.25">
      <c r="A3405" t="s">
        <v>12506</v>
      </c>
      <c r="B3405" t="s">
        <v>109</v>
      </c>
      <c r="C3405" t="s">
        <v>12507</v>
      </c>
    </row>
    <row r="3406" spans="1:3" hidden="1" x14ac:dyDescent="0.25">
      <c r="A3406" t="s">
        <v>12508</v>
      </c>
      <c r="B3406" t="s">
        <v>4160</v>
      </c>
      <c r="C3406" t="s">
        <v>12509</v>
      </c>
    </row>
    <row r="3407" spans="1:3" hidden="1" x14ac:dyDescent="0.25">
      <c r="A3407" t="s">
        <v>12510</v>
      </c>
      <c r="B3407" t="s">
        <v>5142</v>
      </c>
      <c r="C3407" t="s">
        <v>12511</v>
      </c>
    </row>
    <row r="3408" spans="1:3" hidden="1" x14ac:dyDescent="0.25">
      <c r="A3408" t="s">
        <v>12512</v>
      </c>
      <c r="B3408" t="s">
        <v>4330</v>
      </c>
      <c r="C3408" t="s">
        <v>12513</v>
      </c>
    </row>
    <row r="3409" spans="1:3" hidden="1" x14ac:dyDescent="0.25">
      <c r="A3409" t="s">
        <v>12514</v>
      </c>
      <c r="B3409" t="s">
        <v>3252</v>
      </c>
      <c r="C3409" t="s">
        <v>12515</v>
      </c>
    </row>
    <row r="3410" spans="1:3" hidden="1" x14ac:dyDescent="0.25">
      <c r="A3410" t="s">
        <v>12516</v>
      </c>
      <c r="B3410" t="s">
        <v>278</v>
      </c>
      <c r="C3410" t="s">
        <v>12517</v>
      </c>
    </row>
    <row r="3411" spans="1:3" hidden="1" x14ac:dyDescent="0.25">
      <c r="A3411" t="s">
        <v>12518</v>
      </c>
      <c r="B3411" t="s">
        <v>2734</v>
      </c>
      <c r="C3411" t="s">
        <v>6958</v>
      </c>
    </row>
    <row r="3412" spans="1:3" hidden="1" x14ac:dyDescent="0.25">
      <c r="A3412" t="s">
        <v>12519</v>
      </c>
      <c r="B3412" t="s">
        <v>2509</v>
      </c>
      <c r="C3412" t="s">
        <v>12520</v>
      </c>
    </row>
    <row r="3413" spans="1:3" hidden="1" x14ac:dyDescent="0.25">
      <c r="A3413" t="s">
        <v>12521</v>
      </c>
      <c r="B3413" t="s">
        <v>5017</v>
      </c>
      <c r="C3413" t="s">
        <v>12522</v>
      </c>
    </row>
    <row r="3414" spans="1:3" hidden="1" x14ac:dyDescent="0.25">
      <c r="A3414" t="s">
        <v>12523</v>
      </c>
      <c r="B3414" t="s">
        <v>1815</v>
      </c>
      <c r="C3414" t="s">
        <v>12524</v>
      </c>
    </row>
    <row r="3415" spans="1:3" hidden="1" x14ac:dyDescent="0.25">
      <c r="A3415" t="s">
        <v>12525</v>
      </c>
      <c r="B3415" t="s">
        <v>1566</v>
      </c>
      <c r="C3415" t="s">
        <v>12526</v>
      </c>
    </row>
    <row r="3416" spans="1:3" hidden="1" x14ac:dyDescent="0.25">
      <c r="A3416" t="s">
        <v>12527</v>
      </c>
      <c r="B3416" t="s">
        <v>4889</v>
      </c>
      <c r="C3416" t="s">
        <v>12528</v>
      </c>
    </row>
    <row r="3417" spans="1:3" hidden="1" x14ac:dyDescent="0.25">
      <c r="A3417" t="s">
        <v>12529</v>
      </c>
      <c r="B3417" t="s">
        <v>651</v>
      </c>
      <c r="C3417" t="s">
        <v>6958</v>
      </c>
    </row>
    <row r="3418" spans="1:3" hidden="1" x14ac:dyDescent="0.25">
      <c r="A3418" t="s">
        <v>12530</v>
      </c>
      <c r="B3418" t="s">
        <v>4185</v>
      </c>
      <c r="C3418" t="s">
        <v>12531</v>
      </c>
    </row>
    <row r="3419" spans="1:3" hidden="1" x14ac:dyDescent="0.25">
      <c r="A3419" t="s">
        <v>12532</v>
      </c>
      <c r="B3419" t="s">
        <v>1619</v>
      </c>
      <c r="C3419" t="s">
        <v>12533</v>
      </c>
    </row>
    <row r="3420" spans="1:3" hidden="1" x14ac:dyDescent="0.25">
      <c r="A3420" t="s">
        <v>12534</v>
      </c>
      <c r="B3420" t="s">
        <v>3488</v>
      </c>
      <c r="C3420" t="s">
        <v>6958</v>
      </c>
    </row>
    <row r="3421" spans="1:3" hidden="1" x14ac:dyDescent="0.25">
      <c r="A3421" t="s">
        <v>12535</v>
      </c>
      <c r="B3421" t="s">
        <v>2516</v>
      </c>
      <c r="C3421" t="s">
        <v>12536</v>
      </c>
    </row>
    <row r="3422" spans="1:3" hidden="1" x14ac:dyDescent="0.25">
      <c r="A3422" t="s">
        <v>12537</v>
      </c>
      <c r="B3422" t="s">
        <v>747</v>
      </c>
      <c r="C3422" t="s">
        <v>12538</v>
      </c>
    </row>
    <row r="3423" spans="1:3" x14ac:dyDescent="0.25">
      <c r="A3423" t="s">
        <v>12539</v>
      </c>
      <c r="B3423" t="s">
        <v>68</v>
      </c>
      <c r="C3423" t="s">
        <v>7271</v>
      </c>
    </row>
    <row r="3424" spans="1:3" hidden="1" x14ac:dyDescent="0.25">
      <c r="A3424" t="s">
        <v>12540</v>
      </c>
      <c r="B3424" t="s">
        <v>1826</v>
      </c>
      <c r="C3424" t="s">
        <v>12541</v>
      </c>
    </row>
    <row r="3425" spans="1:3" hidden="1" x14ac:dyDescent="0.25">
      <c r="A3425" t="s">
        <v>12542</v>
      </c>
      <c r="B3425" t="s">
        <v>3165</v>
      </c>
      <c r="C3425" t="s">
        <v>12543</v>
      </c>
    </row>
    <row r="3426" spans="1:3" hidden="1" x14ac:dyDescent="0.25">
      <c r="A3426" t="s">
        <v>12544</v>
      </c>
      <c r="B3426" t="s">
        <v>1053</v>
      </c>
      <c r="C3426" t="s">
        <v>12545</v>
      </c>
    </row>
    <row r="3427" spans="1:3" hidden="1" x14ac:dyDescent="0.25">
      <c r="A3427" t="s">
        <v>12546</v>
      </c>
      <c r="B3427" t="s">
        <v>4521</v>
      </c>
      <c r="C3427" t="s">
        <v>12547</v>
      </c>
    </row>
    <row r="3428" spans="1:3" hidden="1" x14ac:dyDescent="0.25">
      <c r="A3428" t="s">
        <v>12548</v>
      </c>
      <c r="B3428" t="s">
        <v>3216</v>
      </c>
      <c r="C3428" t="s">
        <v>12549</v>
      </c>
    </row>
    <row r="3429" spans="1:3" hidden="1" x14ac:dyDescent="0.25">
      <c r="A3429" t="s">
        <v>12550</v>
      </c>
      <c r="B3429" t="s">
        <v>1658</v>
      </c>
      <c r="C3429" t="s">
        <v>12551</v>
      </c>
    </row>
    <row r="3430" spans="1:3" hidden="1" x14ac:dyDescent="0.25">
      <c r="A3430" t="s">
        <v>12552</v>
      </c>
      <c r="B3430" t="s">
        <v>493</v>
      </c>
      <c r="C3430" t="s">
        <v>12553</v>
      </c>
    </row>
    <row r="3431" spans="1:3" hidden="1" x14ac:dyDescent="0.25">
      <c r="A3431" t="s">
        <v>12554</v>
      </c>
      <c r="B3431" t="s">
        <v>5478</v>
      </c>
      <c r="C3431" t="s">
        <v>12555</v>
      </c>
    </row>
    <row r="3432" spans="1:3" hidden="1" x14ac:dyDescent="0.25">
      <c r="A3432" t="s">
        <v>12556</v>
      </c>
      <c r="B3432" t="s">
        <v>1574</v>
      </c>
      <c r="C3432" t="s">
        <v>6958</v>
      </c>
    </row>
    <row r="3433" spans="1:3" hidden="1" x14ac:dyDescent="0.25">
      <c r="A3433" t="s">
        <v>12557</v>
      </c>
      <c r="B3433" t="s">
        <v>1917</v>
      </c>
      <c r="C3433" t="s">
        <v>6958</v>
      </c>
    </row>
    <row r="3434" spans="1:3" hidden="1" x14ac:dyDescent="0.25">
      <c r="A3434" t="s">
        <v>12558</v>
      </c>
      <c r="B3434" t="s">
        <v>5481</v>
      </c>
      <c r="C3434" t="s">
        <v>6958</v>
      </c>
    </row>
    <row r="3435" spans="1:3" hidden="1" x14ac:dyDescent="0.25">
      <c r="A3435" t="s">
        <v>12559</v>
      </c>
      <c r="B3435" t="s">
        <v>2301</v>
      </c>
      <c r="C3435" t="s">
        <v>12560</v>
      </c>
    </row>
    <row r="3436" spans="1:3" hidden="1" x14ac:dyDescent="0.25">
      <c r="A3436" t="s">
        <v>12561</v>
      </c>
      <c r="B3436" t="s">
        <v>12562</v>
      </c>
      <c r="C3436" t="s">
        <v>12563</v>
      </c>
    </row>
    <row r="3437" spans="1:3" hidden="1" x14ac:dyDescent="0.25">
      <c r="A3437" t="s">
        <v>12564</v>
      </c>
      <c r="B3437" t="s">
        <v>12565</v>
      </c>
      <c r="C3437" t="s">
        <v>6958</v>
      </c>
    </row>
    <row r="3438" spans="1:3" hidden="1" x14ac:dyDescent="0.25">
      <c r="A3438" t="s">
        <v>12566</v>
      </c>
      <c r="B3438" t="s">
        <v>5322</v>
      </c>
      <c r="C3438" t="s">
        <v>6958</v>
      </c>
    </row>
    <row r="3439" spans="1:3" hidden="1" x14ac:dyDescent="0.25">
      <c r="A3439" t="s">
        <v>12567</v>
      </c>
      <c r="B3439" t="s">
        <v>3894</v>
      </c>
      <c r="C3439" t="s">
        <v>12568</v>
      </c>
    </row>
    <row r="3440" spans="1:3" hidden="1" x14ac:dyDescent="0.25">
      <c r="A3440" t="s">
        <v>12569</v>
      </c>
      <c r="B3440" t="s">
        <v>467</v>
      </c>
      <c r="C3440" t="s">
        <v>12570</v>
      </c>
    </row>
    <row r="3441" spans="1:3" hidden="1" x14ac:dyDescent="0.25">
      <c r="A3441" t="s">
        <v>12571</v>
      </c>
      <c r="B3441" t="s">
        <v>1894</v>
      </c>
      <c r="C3441" t="s">
        <v>12572</v>
      </c>
    </row>
    <row r="3442" spans="1:3" hidden="1" x14ac:dyDescent="0.25">
      <c r="A3442" t="s">
        <v>12573</v>
      </c>
      <c r="B3442" t="s">
        <v>3914</v>
      </c>
      <c r="C3442" t="s">
        <v>12574</v>
      </c>
    </row>
    <row r="3443" spans="1:3" hidden="1" x14ac:dyDescent="0.25">
      <c r="A3443" t="s">
        <v>12575</v>
      </c>
      <c r="B3443" t="s">
        <v>1687</v>
      </c>
      <c r="C3443" t="s">
        <v>12576</v>
      </c>
    </row>
    <row r="3444" spans="1:3" hidden="1" x14ac:dyDescent="0.25">
      <c r="A3444" t="s">
        <v>12577</v>
      </c>
      <c r="B3444" t="s">
        <v>4927</v>
      </c>
      <c r="C3444" t="s">
        <v>6958</v>
      </c>
    </row>
    <row r="3445" spans="1:3" hidden="1" x14ac:dyDescent="0.25">
      <c r="A3445" t="s">
        <v>12578</v>
      </c>
      <c r="B3445" t="s">
        <v>1327</v>
      </c>
      <c r="C3445" t="s">
        <v>12579</v>
      </c>
    </row>
    <row r="3446" spans="1:3" hidden="1" x14ac:dyDescent="0.25">
      <c r="A3446" t="s">
        <v>12580</v>
      </c>
      <c r="B3446" t="s">
        <v>4110</v>
      </c>
      <c r="C3446" t="s">
        <v>12581</v>
      </c>
    </row>
    <row r="3447" spans="1:3" hidden="1" x14ac:dyDescent="0.25">
      <c r="A3447" t="s">
        <v>12582</v>
      </c>
      <c r="B3447" t="s">
        <v>922</v>
      </c>
      <c r="C3447" t="s">
        <v>12583</v>
      </c>
    </row>
    <row r="3448" spans="1:3" hidden="1" x14ac:dyDescent="0.25">
      <c r="A3448" t="s">
        <v>12584</v>
      </c>
      <c r="B3448" t="s">
        <v>377</v>
      </c>
      <c r="C3448" t="s">
        <v>6958</v>
      </c>
    </row>
    <row r="3449" spans="1:3" hidden="1" x14ac:dyDescent="0.25">
      <c r="A3449" t="s">
        <v>12585</v>
      </c>
      <c r="B3449" t="s">
        <v>1543</v>
      </c>
      <c r="C3449" t="s">
        <v>6958</v>
      </c>
    </row>
    <row r="3450" spans="1:3" hidden="1" x14ac:dyDescent="0.25">
      <c r="A3450" t="s">
        <v>12586</v>
      </c>
      <c r="B3450" t="s">
        <v>5062</v>
      </c>
      <c r="C3450" t="s">
        <v>6958</v>
      </c>
    </row>
    <row r="3451" spans="1:3" hidden="1" x14ac:dyDescent="0.25">
      <c r="A3451" t="s">
        <v>12587</v>
      </c>
      <c r="B3451" t="s">
        <v>4127</v>
      </c>
      <c r="C3451" t="s">
        <v>12588</v>
      </c>
    </row>
    <row r="3452" spans="1:3" hidden="1" x14ac:dyDescent="0.25">
      <c r="A3452" t="s">
        <v>12589</v>
      </c>
      <c r="B3452" t="s">
        <v>2393</v>
      </c>
      <c r="C3452" t="s">
        <v>6958</v>
      </c>
    </row>
    <row r="3453" spans="1:3" hidden="1" x14ac:dyDescent="0.25">
      <c r="A3453" t="s">
        <v>12590</v>
      </c>
      <c r="B3453" t="s">
        <v>1385</v>
      </c>
      <c r="C3453" t="s">
        <v>12591</v>
      </c>
    </row>
    <row r="3454" spans="1:3" hidden="1" x14ac:dyDescent="0.25">
      <c r="A3454" t="s">
        <v>12592</v>
      </c>
      <c r="B3454" t="s">
        <v>5198</v>
      </c>
      <c r="C3454" t="s">
        <v>12593</v>
      </c>
    </row>
    <row r="3455" spans="1:3" hidden="1" x14ac:dyDescent="0.25">
      <c r="A3455" t="s">
        <v>12594</v>
      </c>
      <c r="B3455" t="s">
        <v>5543</v>
      </c>
      <c r="C3455" t="s">
        <v>12595</v>
      </c>
    </row>
    <row r="3456" spans="1:3" hidden="1" x14ac:dyDescent="0.25">
      <c r="A3456" t="s">
        <v>12596</v>
      </c>
      <c r="B3456" t="s">
        <v>3446</v>
      </c>
      <c r="C3456" t="s">
        <v>12597</v>
      </c>
    </row>
    <row r="3457" spans="1:3" hidden="1" x14ac:dyDescent="0.25">
      <c r="A3457" t="s">
        <v>12598</v>
      </c>
      <c r="B3457" t="s">
        <v>5579</v>
      </c>
      <c r="C3457" t="s">
        <v>12599</v>
      </c>
    </row>
    <row r="3458" spans="1:3" hidden="1" x14ac:dyDescent="0.25">
      <c r="A3458" t="s">
        <v>12600</v>
      </c>
      <c r="B3458" t="s">
        <v>3838</v>
      </c>
      <c r="C3458" t="s">
        <v>12601</v>
      </c>
    </row>
    <row r="3459" spans="1:3" hidden="1" x14ac:dyDescent="0.25">
      <c r="A3459" t="s">
        <v>12602</v>
      </c>
      <c r="B3459" t="s">
        <v>230</v>
      </c>
      <c r="C3459" t="s">
        <v>12603</v>
      </c>
    </row>
    <row r="3460" spans="1:3" hidden="1" x14ac:dyDescent="0.25">
      <c r="A3460" t="s">
        <v>12604</v>
      </c>
      <c r="B3460" t="s">
        <v>1336</v>
      </c>
      <c r="C3460" t="s">
        <v>6958</v>
      </c>
    </row>
    <row r="3461" spans="1:3" hidden="1" x14ac:dyDescent="0.25">
      <c r="A3461" t="s">
        <v>12605</v>
      </c>
      <c r="B3461" t="s">
        <v>3491</v>
      </c>
      <c r="C3461" t="s">
        <v>12606</v>
      </c>
    </row>
    <row r="3462" spans="1:3" hidden="1" x14ac:dyDescent="0.25">
      <c r="A3462" t="s">
        <v>12607</v>
      </c>
      <c r="B3462" t="s">
        <v>4558</v>
      </c>
      <c r="C3462" t="s">
        <v>12608</v>
      </c>
    </row>
    <row r="3463" spans="1:3" hidden="1" x14ac:dyDescent="0.25">
      <c r="A3463" t="s">
        <v>12609</v>
      </c>
      <c r="B3463" t="s">
        <v>3115</v>
      </c>
      <c r="C3463" t="s">
        <v>6958</v>
      </c>
    </row>
    <row r="3464" spans="1:3" hidden="1" x14ac:dyDescent="0.25">
      <c r="A3464" t="s">
        <v>12610</v>
      </c>
      <c r="B3464" t="s">
        <v>2666</v>
      </c>
      <c r="C3464" t="s">
        <v>6958</v>
      </c>
    </row>
    <row r="3465" spans="1:3" hidden="1" x14ac:dyDescent="0.25">
      <c r="A3465" t="s">
        <v>12611</v>
      </c>
      <c r="B3465" t="s">
        <v>388</v>
      </c>
      <c r="C3465" t="s">
        <v>12612</v>
      </c>
    </row>
    <row r="3466" spans="1:3" hidden="1" x14ac:dyDescent="0.25">
      <c r="A3466" t="s">
        <v>12613</v>
      </c>
      <c r="B3466" t="s">
        <v>2679</v>
      </c>
      <c r="C3466" t="s">
        <v>12614</v>
      </c>
    </row>
    <row r="3467" spans="1:3" hidden="1" x14ac:dyDescent="0.25">
      <c r="A3467" t="s">
        <v>12615</v>
      </c>
      <c r="B3467" t="s">
        <v>2286</v>
      </c>
      <c r="C3467" t="s">
        <v>12616</v>
      </c>
    </row>
    <row r="3468" spans="1:3" hidden="1" x14ac:dyDescent="0.25">
      <c r="A3468" t="s">
        <v>12617</v>
      </c>
      <c r="B3468" t="s">
        <v>4866</v>
      </c>
      <c r="C3468" t="s">
        <v>12618</v>
      </c>
    </row>
    <row r="3469" spans="1:3" hidden="1" x14ac:dyDescent="0.25">
      <c r="A3469" t="s">
        <v>12619</v>
      </c>
      <c r="B3469" t="s">
        <v>5118</v>
      </c>
      <c r="C3469" t="s">
        <v>6958</v>
      </c>
    </row>
    <row r="3470" spans="1:3" hidden="1" x14ac:dyDescent="0.25">
      <c r="A3470" t="s">
        <v>12620</v>
      </c>
      <c r="B3470" t="s">
        <v>2493</v>
      </c>
      <c r="C3470" t="s">
        <v>12621</v>
      </c>
    </row>
    <row r="3471" spans="1:3" hidden="1" x14ac:dyDescent="0.25">
      <c r="A3471" t="s">
        <v>12622</v>
      </c>
      <c r="B3471" t="s">
        <v>3774</v>
      </c>
      <c r="C3471" t="s">
        <v>12623</v>
      </c>
    </row>
    <row r="3472" spans="1:3" hidden="1" x14ac:dyDescent="0.25">
      <c r="A3472" t="s">
        <v>12624</v>
      </c>
      <c r="B3472" t="s">
        <v>2462</v>
      </c>
      <c r="C3472" t="s">
        <v>12625</v>
      </c>
    </row>
    <row r="3473" spans="1:3" hidden="1" x14ac:dyDescent="0.25">
      <c r="A3473" t="s">
        <v>12626</v>
      </c>
      <c r="B3473" t="s">
        <v>4991</v>
      </c>
      <c r="C3473" t="s">
        <v>12627</v>
      </c>
    </row>
    <row r="3474" spans="1:3" hidden="1" x14ac:dyDescent="0.25">
      <c r="A3474" t="s">
        <v>12628</v>
      </c>
      <c r="B3474" t="s">
        <v>1929</v>
      </c>
      <c r="C3474" t="s">
        <v>12629</v>
      </c>
    </row>
    <row r="3475" spans="1:3" hidden="1" x14ac:dyDescent="0.25">
      <c r="A3475" t="s">
        <v>12630</v>
      </c>
      <c r="B3475" t="s">
        <v>133</v>
      </c>
      <c r="C3475" t="s">
        <v>12631</v>
      </c>
    </row>
    <row r="3476" spans="1:3" hidden="1" x14ac:dyDescent="0.25">
      <c r="A3476" t="s">
        <v>12632</v>
      </c>
      <c r="B3476" t="s">
        <v>2989</v>
      </c>
      <c r="C3476" t="s">
        <v>12633</v>
      </c>
    </row>
    <row r="3477" spans="1:3" hidden="1" x14ac:dyDescent="0.25">
      <c r="A3477" t="s">
        <v>12634</v>
      </c>
      <c r="B3477" t="s">
        <v>4584</v>
      </c>
      <c r="C3477" t="s">
        <v>6958</v>
      </c>
    </row>
    <row r="3478" spans="1:3" hidden="1" x14ac:dyDescent="0.25">
      <c r="A3478" t="s">
        <v>12635</v>
      </c>
      <c r="B3478" t="s">
        <v>2402</v>
      </c>
      <c r="C3478" t="s">
        <v>6958</v>
      </c>
    </row>
    <row r="3479" spans="1:3" hidden="1" x14ac:dyDescent="0.25">
      <c r="A3479" t="s">
        <v>12636</v>
      </c>
      <c r="B3479" t="s">
        <v>606</v>
      </c>
      <c r="C3479" t="s">
        <v>6958</v>
      </c>
    </row>
    <row r="3480" spans="1:3" hidden="1" x14ac:dyDescent="0.25">
      <c r="A3480" t="s">
        <v>12637</v>
      </c>
      <c r="B3480" t="s">
        <v>5360</v>
      </c>
      <c r="C3480" t="s">
        <v>12638</v>
      </c>
    </row>
    <row r="3481" spans="1:3" hidden="1" x14ac:dyDescent="0.25">
      <c r="A3481" t="s">
        <v>12639</v>
      </c>
      <c r="B3481" t="s">
        <v>4026</v>
      </c>
      <c r="C3481" t="s">
        <v>6958</v>
      </c>
    </row>
    <row r="3482" spans="1:3" hidden="1" x14ac:dyDescent="0.25">
      <c r="A3482" t="s">
        <v>12640</v>
      </c>
      <c r="B3482" t="s">
        <v>4731</v>
      </c>
      <c r="C3482" t="s">
        <v>12641</v>
      </c>
    </row>
    <row r="3483" spans="1:3" hidden="1" x14ac:dyDescent="0.25">
      <c r="A3483" t="s">
        <v>12642</v>
      </c>
      <c r="B3483" t="s">
        <v>5211</v>
      </c>
      <c r="C3483" t="s">
        <v>12643</v>
      </c>
    </row>
    <row r="3484" spans="1:3" hidden="1" x14ac:dyDescent="0.25">
      <c r="A3484" t="s">
        <v>12644</v>
      </c>
      <c r="B3484" t="s">
        <v>5334</v>
      </c>
      <c r="C3484" t="s">
        <v>12645</v>
      </c>
    </row>
    <row r="3485" spans="1:3" hidden="1" x14ac:dyDescent="0.25">
      <c r="A3485" t="s">
        <v>12646</v>
      </c>
      <c r="B3485" t="s">
        <v>2834</v>
      </c>
      <c r="C3485" t="s">
        <v>6958</v>
      </c>
    </row>
    <row r="3486" spans="1:3" hidden="1" x14ac:dyDescent="0.25">
      <c r="A3486" t="s">
        <v>12647</v>
      </c>
      <c r="B3486" t="s">
        <v>1965</v>
      </c>
      <c r="C3486" t="s">
        <v>12648</v>
      </c>
    </row>
    <row r="3487" spans="1:3" hidden="1" x14ac:dyDescent="0.25">
      <c r="A3487" t="s">
        <v>12649</v>
      </c>
      <c r="B3487" t="s">
        <v>1928</v>
      </c>
      <c r="C3487" t="s">
        <v>12650</v>
      </c>
    </row>
    <row r="3488" spans="1:3" hidden="1" x14ac:dyDescent="0.25">
      <c r="A3488" t="s">
        <v>12651</v>
      </c>
      <c r="B3488" t="s">
        <v>1464</v>
      </c>
      <c r="C3488" t="s">
        <v>12652</v>
      </c>
    </row>
    <row r="3489" spans="1:3" hidden="1" x14ac:dyDescent="0.25">
      <c r="A3489" t="s">
        <v>12653</v>
      </c>
      <c r="B3489" t="s">
        <v>1571</v>
      </c>
      <c r="C3489" t="s">
        <v>12654</v>
      </c>
    </row>
    <row r="3490" spans="1:3" hidden="1" x14ac:dyDescent="0.25">
      <c r="A3490" t="s">
        <v>12655</v>
      </c>
      <c r="B3490" t="s">
        <v>2078</v>
      </c>
      <c r="C3490" t="s">
        <v>12656</v>
      </c>
    </row>
    <row r="3491" spans="1:3" hidden="1" x14ac:dyDescent="0.25">
      <c r="A3491" t="s">
        <v>12657</v>
      </c>
      <c r="B3491" t="s">
        <v>3608</v>
      </c>
      <c r="C3491" t="s">
        <v>6958</v>
      </c>
    </row>
    <row r="3492" spans="1:3" hidden="1" x14ac:dyDescent="0.25">
      <c r="A3492" t="s">
        <v>12658</v>
      </c>
      <c r="B3492" t="s">
        <v>2009</v>
      </c>
      <c r="C3492" t="s">
        <v>6958</v>
      </c>
    </row>
    <row r="3493" spans="1:3" hidden="1" x14ac:dyDescent="0.25">
      <c r="A3493" t="s">
        <v>12659</v>
      </c>
      <c r="B3493" t="s">
        <v>1565</v>
      </c>
      <c r="C3493" t="s">
        <v>6958</v>
      </c>
    </row>
    <row r="3494" spans="1:3" hidden="1" x14ac:dyDescent="0.25">
      <c r="A3494" t="s">
        <v>12660</v>
      </c>
      <c r="B3494" t="s">
        <v>4175</v>
      </c>
      <c r="C3494" t="s">
        <v>12661</v>
      </c>
    </row>
    <row r="3495" spans="1:3" hidden="1" x14ac:dyDescent="0.25">
      <c r="A3495" t="s">
        <v>12662</v>
      </c>
      <c r="B3495" t="s">
        <v>5147</v>
      </c>
      <c r="C3495" t="s">
        <v>6958</v>
      </c>
    </row>
    <row r="3496" spans="1:3" hidden="1" x14ac:dyDescent="0.25">
      <c r="A3496" t="s">
        <v>12663</v>
      </c>
      <c r="B3496" t="s">
        <v>1005</v>
      </c>
      <c r="C3496" t="s">
        <v>6958</v>
      </c>
    </row>
    <row r="3497" spans="1:3" hidden="1" x14ac:dyDescent="0.25">
      <c r="A3497" t="s">
        <v>12664</v>
      </c>
      <c r="B3497" t="s">
        <v>4471</v>
      </c>
      <c r="C3497" t="s">
        <v>12665</v>
      </c>
    </row>
    <row r="3498" spans="1:3" hidden="1" x14ac:dyDescent="0.25">
      <c r="A3498" t="s">
        <v>12666</v>
      </c>
      <c r="B3498" t="s">
        <v>4888</v>
      </c>
      <c r="C3498" t="s">
        <v>12667</v>
      </c>
    </row>
    <row r="3499" spans="1:3" hidden="1" x14ac:dyDescent="0.25">
      <c r="A3499" t="s">
        <v>12668</v>
      </c>
      <c r="B3499" t="s">
        <v>4909</v>
      </c>
      <c r="C3499" t="s">
        <v>8712</v>
      </c>
    </row>
    <row r="3500" spans="1:3" hidden="1" x14ac:dyDescent="0.25">
      <c r="A3500" t="s">
        <v>12669</v>
      </c>
      <c r="B3500" t="s">
        <v>4547</v>
      </c>
      <c r="C3500" t="s">
        <v>12670</v>
      </c>
    </row>
    <row r="3501" spans="1:3" hidden="1" x14ac:dyDescent="0.25">
      <c r="A3501" t="s">
        <v>12671</v>
      </c>
      <c r="B3501" t="s">
        <v>4210</v>
      </c>
      <c r="C3501" t="s">
        <v>12672</v>
      </c>
    </row>
    <row r="3502" spans="1:3" hidden="1" x14ac:dyDescent="0.25">
      <c r="A3502" t="s">
        <v>12673</v>
      </c>
      <c r="B3502" t="s">
        <v>5189</v>
      </c>
      <c r="C3502" t="s">
        <v>12674</v>
      </c>
    </row>
    <row r="3503" spans="1:3" hidden="1" x14ac:dyDescent="0.25">
      <c r="A3503" t="s">
        <v>12675</v>
      </c>
      <c r="B3503" t="s">
        <v>4239</v>
      </c>
      <c r="C3503" t="s">
        <v>12676</v>
      </c>
    </row>
    <row r="3504" spans="1:3" hidden="1" x14ac:dyDescent="0.25">
      <c r="A3504" t="s">
        <v>12677</v>
      </c>
      <c r="B3504" t="s">
        <v>1349</v>
      </c>
      <c r="C3504" t="s">
        <v>12678</v>
      </c>
    </row>
    <row r="3505" spans="1:9" hidden="1" x14ac:dyDescent="0.25">
      <c r="A3505" t="s">
        <v>12679</v>
      </c>
      <c r="B3505" t="s">
        <v>4528</v>
      </c>
      <c r="C3505" t="s">
        <v>12680</v>
      </c>
    </row>
    <row r="3506" spans="1:9" hidden="1" x14ac:dyDescent="0.25">
      <c r="A3506" t="s">
        <v>12681</v>
      </c>
      <c r="B3506" t="s">
        <v>5356</v>
      </c>
      <c r="C3506" t="s">
        <v>12682</v>
      </c>
    </row>
    <row r="3516" spans="1:9" x14ac:dyDescent="0.25">
      <c r="G3516">
        <v>50</v>
      </c>
      <c r="H3516" s="21">
        <v>0.03</v>
      </c>
      <c r="I3516">
        <f>G3516*H3516</f>
        <v>1.5</v>
      </c>
    </row>
    <row r="3517" spans="1:9" x14ac:dyDescent="0.25">
      <c r="G3517">
        <v>50</v>
      </c>
      <c r="H3517" s="21">
        <v>0.02</v>
      </c>
      <c r="I3517">
        <f>G3517*H3517</f>
        <v>1</v>
      </c>
    </row>
    <row r="3518" spans="1:9" x14ac:dyDescent="0.25">
      <c r="I3518">
        <f>I3516+I3517</f>
        <v>2.5</v>
      </c>
    </row>
  </sheetData>
  <autoFilter ref="A1:K3506" xr:uid="{00000000-0009-0000-0000-000027000000}">
    <filterColumn colId="2">
      <filters>
        <filter val="https://www.hfmcwealth.com/"/>
      </filters>
    </filterColumn>
  </autoFilter>
  <pageMargins left="0.7" right="0.7" top="0.75" bottom="0.75" header="0.511811023622047" footer="0.511811023622047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XFB5694"/>
  <sheetViews>
    <sheetView tabSelected="1" topLeftCell="A2321" zoomScale="115" zoomScaleNormal="115" workbookViewId="0">
      <pane xSplit="2" topLeftCell="K1" activePane="topRight" state="frozen"/>
      <selection activeCell="A5658" sqref="A5658"/>
      <selection pane="topRight" activeCell="K5679" sqref="K5679"/>
    </sheetView>
  </sheetViews>
  <sheetFormatPr defaultColWidth="15" defaultRowHeight="15" x14ac:dyDescent="0.25"/>
  <cols>
    <col min="1" max="1" width="12" customWidth="1"/>
    <col min="2" max="2" width="31.5703125" customWidth="1"/>
    <col min="3" max="3" width="32.28515625" customWidth="1"/>
    <col min="4" max="4" width="23.7109375" customWidth="1"/>
    <col min="5" max="5" width="27.42578125" customWidth="1"/>
    <col min="6" max="6" width="15.7109375" customWidth="1"/>
    <col min="7" max="7" width="17.28515625" customWidth="1"/>
    <col min="8" max="8" width="12.28515625" customWidth="1"/>
    <col min="9" max="9" width="32.85546875" customWidth="1"/>
    <col min="10" max="10" width="17.42578125" customWidth="1"/>
    <col min="11" max="11" width="19" customWidth="1"/>
    <col min="12" max="12" width="11.7109375" customWidth="1"/>
    <col min="13" max="13" width="11.140625" customWidth="1"/>
    <col min="14" max="14" width="30.140625" customWidth="1"/>
    <col min="15" max="15" width="47" customWidth="1"/>
    <col min="16" max="16" width="47.5703125" style="22" customWidth="1"/>
    <col min="17" max="17" width="83.7109375" customWidth="1"/>
    <col min="18" max="21" width="23.5703125" customWidth="1"/>
    <col min="22" max="22" width="19.140625" customWidth="1"/>
    <col min="23" max="23" width="18.42578125" customWidth="1"/>
    <col min="24" max="24" width="17.7109375" style="10" bestFit="1" customWidth="1"/>
    <col min="25" max="25" width="25.28515625" customWidth="1"/>
    <col min="26" max="26" width="11.28515625" customWidth="1"/>
    <col min="27" max="27" width="66.42578125" customWidth="1"/>
    <col min="28" max="28" width="13.85546875" bestFit="1" customWidth="1"/>
    <col min="29" max="29" width="11.7109375" customWidth="1"/>
    <col min="30" max="30" width="15.28515625" customWidth="1"/>
    <col min="31" max="35" width="11.5703125" customWidth="1"/>
    <col min="36" max="125" width="12.7109375" customWidth="1"/>
    <col min="126" max="1025" width="13.85546875" customWidth="1"/>
    <col min="10026" max="16384" width="16.140625" customWidth="1"/>
  </cols>
  <sheetData>
    <row r="1" spans="1:16382" ht="69.75" customHeight="1" thickBot="1" x14ac:dyDescent="0.3">
      <c r="A1" s="23" t="s">
        <v>0</v>
      </c>
      <c r="B1" s="23" t="s">
        <v>1</v>
      </c>
      <c r="C1" s="23" t="s">
        <v>6946</v>
      </c>
      <c r="D1" s="23" t="s">
        <v>31759</v>
      </c>
      <c r="E1" s="23" t="s">
        <v>12683</v>
      </c>
      <c r="F1" s="23" t="s">
        <v>31758</v>
      </c>
      <c r="G1" s="23" t="s">
        <v>31757</v>
      </c>
      <c r="H1" s="24" t="s">
        <v>12684</v>
      </c>
      <c r="I1" s="24" t="s">
        <v>12685</v>
      </c>
      <c r="J1" s="24" t="s">
        <v>12686</v>
      </c>
      <c r="K1" s="24" t="s">
        <v>12687</v>
      </c>
      <c r="L1" s="24" t="s">
        <v>31756</v>
      </c>
      <c r="M1" s="24" t="s">
        <v>12688</v>
      </c>
      <c r="N1" s="24" t="s">
        <v>12689</v>
      </c>
      <c r="O1" s="24" t="s">
        <v>12690</v>
      </c>
      <c r="P1" s="24" t="s">
        <v>31760</v>
      </c>
      <c r="Q1" s="24" t="s">
        <v>31761</v>
      </c>
      <c r="R1" s="24" t="s">
        <v>31771</v>
      </c>
      <c r="S1" s="24" t="s">
        <v>31769</v>
      </c>
      <c r="T1" s="24" t="s">
        <v>31770</v>
      </c>
      <c r="U1" s="24" t="s">
        <v>31768</v>
      </c>
      <c r="V1" s="24" t="s">
        <v>31762</v>
      </c>
      <c r="W1" s="24" t="s">
        <v>29081</v>
      </c>
      <c r="X1" s="25" t="s">
        <v>31763</v>
      </c>
      <c r="Y1" s="24" t="s">
        <v>12691</v>
      </c>
      <c r="Z1" s="24" t="s">
        <v>12692</v>
      </c>
      <c r="AA1" s="24" t="s">
        <v>31764</v>
      </c>
      <c r="AB1" s="24" t="s">
        <v>12693</v>
      </c>
      <c r="AC1" s="24" t="s">
        <v>31765</v>
      </c>
      <c r="AD1" s="24" t="s">
        <v>31795</v>
      </c>
      <c r="AE1" s="24" t="s">
        <v>12694</v>
      </c>
      <c r="AF1" s="24" t="s">
        <v>12695</v>
      </c>
      <c r="AG1" s="24" t="s">
        <v>12696</v>
      </c>
      <c r="AH1" s="24" t="s">
        <v>12697</v>
      </c>
      <c r="AI1" s="24" t="s">
        <v>12698</v>
      </c>
      <c r="AJ1" s="24" t="s">
        <v>12699</v>
      </c>
      <c r="AK1" s="24" t="s">
        <v>12700</v>
      </c>
      <c r="AL1" s="24" t="s">
        <v>12701</v>
      </c>
      <c r="AM1" s="24" t="s">
        <v>12702</v>
      </c>
      <c r="AN1" s="24" t="s">
        <v>12703</v>
      </c>
      <c r="AO1" s="24" t="s">
        <v>12704</v>
      </c>
      <c r="AP1" s="24" t="s">
        <v>12705</v>
      </c>
      <c r="AQ1" s="24" t="s">
        <v>12706</v>
      </c>
      <c r="AR1" s="24" t="s">
        <v>12707</v>
      </c>
      <c r="AS1" s="24" t="s">
        <v>12708</v>
      </c>
      <c r="AT1" s="24" t="s">
        <v>12709</v>
      </c>
      <c r="AU1" s="24" t="s">
        <v>12710</v>
      </c>
      <c r="AV1" s="24" t="s">
        <v>12711</v>
      </c>
      <c r="AW1" s="24" t="s">
        <v>12712</v>
      </c>
      <c r="AX1" s="24" t="s">
        <v>12713</v>
      </c>
      <c r="AY1" s="24" t="s">
        <v>12714</v>
      </c>
      <c r="AZ1" s="24" t="s">
        <v>12715</v>
      </c>
      <c r="BA1" s="24" t="s">
        <v>12716</v>
      </c>
      <c r="BB1" s="24" t="s">
        <v>12717</v>
      </c>
      <c r="BC1" s="24" t="s">
        <v>12718</v>
      </c>
      <c r="BD1" s="24" t="s">
        <v>12719</v>
      </c>
      <c r="BE1" s="24" t="s">
        <v>12720</v>
      </c>
      <c r="BF1" s="24" t="s">
        <v>12721</v>
      </c>
      <c r="BG1" s="24" t="s">
        <v>12722</v>
      </c>
      <c r="BH1" s="24" t="s">
        <v>12723</v>
      </c>
      <c r="BI1" s="24" t="s">
        <v>12724</v>
      </c>
      <c r="BJ1" s="24" t="s">
        <v>12725</v>
      </c>
      <c r="BK1" s="24" t="s">
        <v>12726</v>
      </c>
      <c r="BL1" s="24" t="s">
        <v>12727</v>
      </c>
      <c r="BM1" s="24" t="s">
        <v>12728</v>
      </c>
      <c r="BN1" s="24" t="s">
        <v>12729</v>
      </c>
      <c r="BO1" s="24" t="s">
        <v>12730</v>
      </c>
      <c r="BP1" s="24" t="s">
        <v>12731</v>
      </c>
      <c r="BQ1" s="24" t="s">
        <v>12732</v>
      </c>
      <c r="BR1" s="24" t="s">
        <v>12733</v>
      </c>
      <c r="BS1" s="24" t="s">
        <v>12734</v>
      </c>
      <c r="BT1" s="24" t="s">
        <v>12735</v>
      </c>
      <c r="BU1" s="24" t="s">
        <v>12736</v>
      </c>
      <c r="BV1" s="24" t="s">
        <v>12737</v>
      </c>
      <c r="BW1" s="24" t="s">
        <v>12738</v>
      </c>
      <c r="BX1" s="24" t="s">
        <v>12739</v>
      </c>
      <c r="BY1" s="24" t="s">
        <v>12740</v>
      </c>
      <c r="BZ1" s="24" t="s">
        <v>12741</v>
      </c>
      <c r="CA1" s="24" t="s">
        <v>12742</v>
      </c>
      <c r="CB1" s="24" t="s">
        <v>12743</v>
      </c>
      <c r="CC1" s="24" t="s">
        <v>12744</v>
      </c>
      <c r="CD1" s="24" t="s">
        <v>12745</v>
      </c>
      <c r="CE1" s="24" t="s">
        <v>12746</v>
      </c>
      <c r="CF1" s="24" t="s">
        <v>12747</v>
      </c>
      <c r="CG1" s="24" t="s">
        <v>12748</v>
      </c>
      <c r="CH1" s="24" t="s">
        <v>12749</v>
      </c>
      <c r="CI1" s="24" t="s">
        <v>12750</v>
      </c>
      <c r="CJ1" s="24" t="s">
        <v>12751</v>
      </c>
      <c r="CK1" s="24" t="s">
        <v>12752</v>
      </c>
      <c r="CL1" s="24" t="s">
        <v>12753</v>
      </c>
      <c r="CM1" s="24" t="s">
        <v>12754</v>
      </c>
      <c r="CN1" s="24" t="s">
        <v>12755</v>
      </c>
      <c r="CO1" s="24" t="s">
        <v>12756</v>
      </c>
      <c r="CP1" s="24" t="s">
        <v>12757</v>
      </c>
      <c r="CQ1" s="24" t="s">
        <v>12758</v>
      </c>
      <c r="CR1" s="24" t="s">
        <v>12759</v>
      </c>
      <c r="CS1" s="24" t="s">
        <v>12760</v>
      </c>
      <c r="CT1" s="24" t="s">
        <v>12761</v>
      </c>
      <c r="CU1" s="24" t="s">
        <v>12762</v>
      </c>
      <c r="CV1" s="24" t="s">
        <v>12763</v>
      </c>
      <c r="CW1" s="24" t="s">
        <v>12764</v>
      </c>
      <c r="CX1" s="24" t="s">
        <v>12765</v>
      </c>
      <c r="CY1" s="24" t="s">
        <v>12766</v>
      </c>
      <c r="CZ1" s="24" t="s">
        <v>12767</v>
      </c>
      <c r="DA1" s="24" t="s">
        <v>12768</v>
      </c>
      <c r="DB1" s="24" t="s">
        <v>12769</v>
      </c>
      <c r="DC1" s="24" t="s">
        <v>12770</v>
      </c>
      <c r="DD1" s="24" t="s">
        <v>12771</v>
      </c>
      <c r="DE1" s="24" t="s">
        <v>12772</v>
      </c>
      <c r="DF1" s="24" t="s">
        <v>12773</v>
      </c>
      <c r="DG1" s="24" t="s">
        <v>12774</v>
      </c>
      <c r="DH1" s="24" t="s">
        <v>12775</v>
      </c>
      <c r="DI1" s="24" t="s">
        <v>12776</v>
      </c>
      <c r="DJ1" s="24" t="s">
        <v>12777</v>
      </c>
      <c r="DK1" s="24" t="s">
        <v>12778</v>
      </c>
      <c r="DL1" s="24" t="s">
        <v>12779</v>
      </c>
      <c r="DM1" s="24" t="s">
        <v>12780</v>
      </c>
      <c r="DN1" s="24" t="s">
        <v>12781</v>
      </c>
      <c r="DO1" s="24" t="s">
        <v>12782</v>
      </c>
      <c r="DP1" s="24" t="s">
        <v>12783</v>
      </c>
      <c r="DQ1" s="24" t="s">
        <v>12784</v>
      </c>
      <c r="DR1" s="24" t="s">
        <v>12785</v>
      </c>
      <c r="DS1" s="24" t="s">
        <v>12786</v>
      </c>
      <c r="DT1" s="24" t="s">
        <v>12787</v>
      </c>
      <c r="DU1" s="24" t="s">
        <v>12788</v>
      </c>
      <c r="DV1" s="24" t="s">
        <v>12789</v>
      </c>
      <c r="DW1" s="24" t="s">
        <v>12790</v>
      </c>
      <c r="DX1" s="24" t="s">
        <v>12791</v>
      </c>
      <c r="DY1" s="24" t="s">
        <v>12792</v>
      </c>
      <c r="DZ1" s="24" t="s">
        <v>12793</v>
      </c>
      <c r="EA1" s="24" t="s">
        <v>12794</v>
      </c>
      <c r="EB1" s="24" t="s">
        <v>12795</v>
      </c>
      <c r="EC1" s="24" t="s">
        <v>12796</v>
      </c>
      <c r="ED1" s="24" t="s">
        <v>12797</v>
      </c>
      <c r="EE1" s="24" t="s">
        <v>12798</v>
      </c>
      <c r="EF1" s="24" t="s">
        <v>12799</v>
      </c>
      <c r="EG1" s="24" t="s">
        <v>12800</v>
      </c>
      <c r="EH1" s="24" t="s">
        <v>12801</v>
      </c>
      <c r="EI1" s="24" t="s">
        <v>12802</v>
      </c>
      <c r="EJ1" s="24" t="s">
        <v>12803</v>
      </c>
      <c r="EK1" s="24" t="s">
        <v>12804</v>
      </c>
      <c r="EL1" s="24" t="s">
        <v>12805</v>
      </c>
      <c r="EM1" s="24" t="s">
        <v>12806</v>
      </c>
      <c r="EN1" s="24" t="s">
        <v>12807</v>
      </c>
      <c r="EO1" s="24" t="s">
        <v>12808</v>
      </c>
      <c r="EP1" s="24" t="s">
        <v>12809</v>
      </c>
      <c r="EQ1" s="24" t="s">
        <v>12810</v>
      </c>
      <c r="ER1" s="24" t="s">
        <v>12811</v>
      </c>
      <c r="ES1" s="24" t="s">
        <v>12812</v>
      </c>
      <c r="ET1" s="24" t="s">
        <v>12813</v>
      </c>
      <c r="EU1" s="24" t="s">
        <v>12814</v>
      </c>
      <c r="EV1" s="24" t="s">
        <v>12815</v>
      </c>
      <c r="EW1" s="24" t="s">
        <v>12816</v>
      </c>
      <c r="EX1" s="24" t="s">
        <v>12817</v>
      </c>
      <c r="EY1" s="24" t="s">
        <v>12818</v>
      </c>
      <c r="EZ1" s="24" t="s">
        <v>12819</v>
      </c>
      <c r="FA1" s="24" t="s">
        <v>12820</v>
      </c>
      <c r="FB1" s="24" t="s">
        <v>12821</v>
      </c>
      <c r="FC1" s="24" t="s">
        <v>12822</v>
      </c>
      <c r="FD1" s="24" t="s">
        <v>12823</v>
      </c>
      <c r="FE1" s="24" t="s">
        <v>12824</v>
      </c>
      <c r="FF1" s="24" t="s">
        <v>12825</v>
      </c>
      <c r="FG1" s="24" t="s">
        <v>12826</v>
      </c>
      <c r="FH1" s="24" t="s">
        <v>12827</v>
      </c>
      <c r="FI1" s="24" t="s">
        <v>12828</v>
      </c>
      <c r="FJ1" s="24" t="s">
        <v>12829</v>
      </c>
      <c r="FK1" s="24" t="s">
        <v>12830</v>
      </c>
      <c r="FL1" s="24" t="s">
        <v>12831</v>
      </c>
      <c r="FM1" s="24" t="s">
        <v>12832</v>
      </c>
      <c r="FN1" s="24" t="s">
        <v>12833</v>
      </c>
      <c r="FO1" s="24" t="s">
        <v>12834</v>
      </c>
      <c r="FP1" s="24" t="s">
        <v>12835</v>
      </c>
      <c r="FQ1" s="24" t="s">
        <v>12836</v>
      </c>
      <c r="FR1" s="24" t="s">
        <v>12837</v>
      </c>
      <c r="FS1" s="24" t="s">
        <v>12838</v>
      </c>
      <c r="FT1" s="24" t="s">
        <v>12839</v>
      </c>
      <c r="FU1" s="24" t="s">
        <v>12840</v>
      </c>
      <c r="FV1" s="24" t="s">
        <v>12841</v>
      </c>
      <c r="FW1" s="24" t="s">
        <v>12842</v>
      </c>
      <c r="FX1" s="24" t="s">
        <v>12843</v>
      </c>
      <c r="FY1" s="24" t="s">
        <v>12844</v>
      </c>
      <c r="FZ1" s="24" t="s">
        <v>12845</v>
      </c>
      <c r="GA1" s="24" t="s">
        <v>12846</v>
      </c>
      <c r="GB1" s="24" t="s">
        <v>12847</v>
      </c>
      <c r="GC1" s="24" t="s">
        <v>12848</v>
      </c>
      <c r="GD1" s="24" t="s">
        <v>12849</v>
      </c>
      <c r="GE1" s="24" t="s">
        <v>12850</v>
      </c>
      <c r="GF1" s="24" t="s">
        <v>12851</v>
      </c>
      <c r="GG1" s="24" t="s">
        <v>12852</v>
      </c>
      <c r="GH1" s="24" t="s">
        <v>12853</v>
      </c>
      <c r="GI1" s="24" t="s">
        <v>12854</v>
      </c>
      <c r="GJ1" s="24" t="s">
        <v>12855</v>
      </c>
      <c r="GK1" s="24" t="s">
        <v>12856</v>
      </c>
      <c r="GL1" s="24" t="s">
        <v>12857</v>
      </c>
      <c r="GM1" s="24" t="s">
        <v>12858</v>
      </c>
      <c r="GN1" s="24" t="s">
        <v>12859</v>
      </c>
      <c r="GO1" s="24" t="s">
        <v>12860</v>
      </c>
      <c r="GP1" s="24" t="s">
        <v>12861</v>
      </c>
      <c r="GQ1" s="24" t="s">
        <v>12862</v>
      </c>
      <c r="GR1" s="24" t="s">
        <v>12863</v>
      </c>
      <c r="GS1" s="24" t="s">
        <v>12864</v>
      </c>
      <c r="GT1" s="24" t="s">
        <v>12865</v>
      </c>
      <c r="GU1" s="24" t="s">
        <v>12866</v>
      </c>
      <c r="GV1" s="24" t="s">
        <v>12867</v>
      </c>
      <c r="GW1" s="24" t="s">
        <v>12868</v>
      </c>
      <c r="GX1" s="24" t="s">
        <v>12869</v>
      </c>
      <c r="GY1" s="24" t="s">
        <v>12870</v>
      </c>
      <c r="GZ1" s="24" t="s">
        <v>12871</v>
      </c>
      <c r="HA1" s="24" t="s">
        <v>12872</v>
      </c>
      <c r="HB1" s="24" t="s">
        <v>12873</v>
      </c>
      <c r="HC1" s="24" t="s">
        <v>12874</v>
      </c>
      <c r="HD1" s="24" t="s">
        <v>12875</v>
      </c>
      <c r="HE1" s="24" t="s">
        <v>12876</v>
      </c>
      <c r="HF1" s="24" t="s">
        <v>12877</v>
      </c>
      <c r="HG1" s="24" t="s">
        <v>12878</v>
      </c>
      <c r="HH1" s="24" t="s">
        <v>12879</v>
      </c>
      <c r="HI1" s="24" t="s">
        <v>12880</v>
      </c>
      <c r="HJ1" s="24" t="s">
        <v>12881</v>
      </c>
      <c r="HK1" s="24" t="s">
        <v>12882</v>
      </c>
      <c r="HL1" s="24" t="s">
        <v>12883</v>
      </c>
      <c r="HM1" s="24" t="s">
        <v>12884</v>
      </c>
      <c r="HN1" s="24" t="s">
        <v>12885</v>
      </c>
      <c r="HO1" s="24" t="s">
        <v>12886</v>
      </c>
      <c r="HP1" s="24" t="s">
        <v>12887</v>
      </c>
      <c r="HQ1" s="24" t="s">
        <v>12888</v>
      </c>
      <c r="HR1" s="24" t="s">
        <v>12889</v>
      </c>
      <c r="HS1" s="24" t="s">
        <v>12890</v>
      </c>
      <c r="HT1" s="24" t="s">
        <v>12891</v>
      </c>
      <c r="HU1" s="24" t="s">
        <v>12892</v>
      </c>
      <c r="HV1" s="24" t="s">
        <v>12893</v>
      </c>
      <c r="HW1" s="24" t="s">
        <v>12894</v>
      </c>
      <c r="HX1" s="24" t="s">
        <v>12895</v>
      </c>
      <c r="HY1" s="24" t="s">
        <v>12896</v>
      </c>
      <c r="HZ1" s="24" t="s">
        <v>12897</v>
      </c>
      <c r="IA1" s="24" t="s">
        <v>12898</v>
      </c>
      <c r="IB1" s="24" t="s">
        <v>12899</v>
      </c>
      <c r="IC1" s="24" t="s">
        <v>12900</v>
      </c>
      <c r="ID1" s="24" t="s">
        <v>12901</v>
      </c>
      <c r="IE1" s="24" t="s">
        <v>12902</v>
      </c>
      <c r="IF1" s="24" t="s">
        <v>12903</v>
      </c>
      <c r="IG1" s="24" t="s">
        <v>12904</v>
      </c>
      <c r="IH1" s="24" t="s">
        <v>12905</v>
      </c>
      <c r="II1" s="24" t="s">
        <v>12906</v>
      </c>
      <c r="IJ1" s="24" t="s">
        <v>12907</v>
      </c>
      <c r="IK1" s="24" t="s">
        <v>12908</v>
      </c>
      <c r="IL1" s="24" t="s">
        <v>12909</v>
      </c>
      <c r="IM1" s="24" t="s">
        <v>12910</v>
      </c>
      <c r="IN1" s="24" t="s">
        <v>12911</v>
      </c>
      <c r="IO1" s="24" t="s">
        <v>12912</v>
      </c>
      <c r="IP1" s="24" t="s">
        <v>12913</v>
      </c>
      <c r="IQ1" s="24" t="s">
        <v>12914</v>
      </c>
      <c r="IR1" s="24" t="s">
        <v>12915</v>
      </c>
      <c r="IS1" s="24" t="s">
        <v>12916</v>
      </c>
      <c r="IT1" s="24" t="s">
        <v>12917</v>
      </c>
      <c r="IU1" s="24" t="s">
        <v>12918</v>
      </c>
      <c r="IV1" s="24" t="s">
        <v>12919</v>
      </c>
      <c r="IW1" s="24" t="s">
        <v>12920</v>
      </c>
      <c r="IX1" s="24" t="s">
        <v>12921</v>
      </c>
      <c r="IY1" s="24" t="s">
        <v>12922</v>
      </c>
      <c r="IZ1" s="24" t="s">
        <v>12923</v>
      </c>
      <c r="JA1" s="24" t="s">
        <v>12924</v>
      </c>
      <c r="JB1" s="24" t="s">
        <v>12925</v>
      </c>
      <c r="JC1" s="24" t="s">
        <v>12926</v>
      </c>
      <c r="JD1" s="24" t="s">
        <v>12927</v>
      </c>
      <c r="JE1" s="24" t="s">
        <v>12928</v>
      </c>
      <c r="JF1" s="24" t="s">
        <v>12929</v>
      </c>
      <c r="JG1" s="24" t="s">
        <v>12930</v>
      </c>
      <c r="JH1" s="24" t="s">
        <v>12931</v>
      </c>
      <c r="JI1" s="24" t="s">
        <v>12932</v>
      </c>
      <c r="JJ1" s="24" t="s">
        <v>12933</v>
      </c>
      <c r="JK1" s="24" t="s">
        <v>12934</v>
      </c>
      <c r="JL1" s="24" t="s">
        <v>12935</v>
      </c>
      <c r="JM1" s="24" t="s">
        <v>12936</v>
      </c>
      <c r="JN1" s="24" t="s">
        <v>12937</v>
      </c>
      <c r="JO1" s="24" t="s">
        <v>12938</v>
      </c>
      <c r="JP1" s="24" t="s">
        <v>12939</v>
      </c>
      <c r="JQ1" s="24" t="s">
        <v>12940</v>
      </c>
      <c r="JR1" s="24" t="s">
        <v>12941</v>
      </c>
      <c r="JS1" s="24" t="s">
        <v>12942</v>
      </c>
      <c r="JT1" s="24" t="s">
        <v>12943</v>
      </c>
      <c r="JU1" s="24" t="s">
        <v>12944</v>
      </c>
      <c r="JV1" s="24" t="s">
        <v>12945</v>
      </c>
      <c r="JW1" s="24" t="s">
        <v>12946</v>
      </c>
      <c r="JX1" s="24" t="s">
        <v>12947</v>
      </c>
      <c r="JY1" s="24" t="s">
        <v>12948</v>
      </c>
      <c r="JZ1" s="24" t="s">
        <v>12949</v>
      </c>
      <c r="KA1" s="24" t="s">
        <v>12950</v>
      </c>
      <c r="KB1" s="24" t="s">
        <v>12951</v>
      </c>
      <c r="KC1" s="24" t="s">
        <v>12952</v>
      </c>
      <c r="KD1" s="24" t="s">
        <v>12953</v>
      </c>
      <c r="KE1" s="24" t="s">
        <v>12954</v>
      </c>
      <c r="KF1" s="24" t="s">
        <v>12955</v>
      </c>
      <c r="KG1" s="24" t="s">
        <v>12956</v>
      </c>
      <c r="KH1" s="24" t="s">
        <v>12957</v>
      </c>
      <c r="KI1" s="24" t="s">
        <v>12958</v>
      </c>
      <c r="KJ1" s="24" t="s">
        <v>12959</v>
      </c>
      <c r="KK1" s="24" t="s">
        <v>12960</v>
      </c>
      <c r="KL1" s="24" t="s">
        <v>12961</v>
      </c>
      <c r="KM1" s="24" t="s">
        <v>12962</v>
      </c>
      <c r="KN1" s="24" t="s">
        <v>12963</v>
      </c>
      <c r="KO1" s="24" t="s">
        <v>12964</v>
      </c>
      <c r="KP1" s="24" t="s">
        <v>12965</v>
      </c>
      <c r="KQ1" s="24" t="s">
        <v>12966</v>
      </c>
      <c r="KR1" s="24" t="s">
        <v>12967</v>
      </c>
      <c r="KS1" s="24" t="s">
        <v>12968</v>
      </c>
      <c r="KT1" s="24" t="s">
        <v>12969</v>
      </c>
      <c r="KU1" s="24" t="s">
        <v>12970</v>
      </c>
      <c r="KV1" s="24" t="s">
        <v>12971</v>
      </c>
      <c r="KW1" s="24" t="s">
        <v>12972</v>
      </c>
      <c r="KX1" s="24" t="s">
        <v>12973</v>
      </c>
      <c r="KY1" s="24" t="s">
        <v>12974</v>
      </c>
      <c r="KZ1" s="24" t="s">
        <v>12975</v>
      </c>
      <c r="LA1" s="24" t="s">
        <v>12976</v>
      </c>
      <c r="LB1" s="24" t="s">
        <v>12977</v>
      </c>
      <c r="LC1" s="24" t="s">
        <v>12978</v>
      </c>
      <c r="LD1" s="24" t="s">
        <v>12979</v>
      </c>
      <c r="LE1" s="24" t="s">
        <v>12980</v>
      </c>
      <c r="LF1" s="24" t="s">
        <v>12981</v>
      </c>
      <c r="LG1" s="24" t="s">
        <v>12982</v>
      </c>
      <c r="LH1" s="24" t="s">
        <v>12983</v>
      </c>
      <c r="LI1" s="24" t="s">
        <v>12984</v>
      </c>
      <c r="LJ1" s="24" t="s">
        <v>12985</v>
      </c>
      <c r="LK1" s="24" t="s">
        <v>12986</v>
      </c>
      <c r="LL1" s="24" t="s">
        <v>12987</v>
      </c>
      <c r="LM1" s="24" t="s">
        <v>12988</v>
      </c>
      <c r="LN1" s="24" t="s">
        <v>12989</v>
      </c>
      <c r="LO1" s="24" t="s">
        <v>12990</v>
      </c>
      <c r="LP1" s="24" t="s">
        <v>12991</v>
      </c>
      <c r="LQ1" s="24" t="s">
        <v>12992</v>
      </c>
      <c r="LR1" s="24" t="s">
        <v>12993</v>
      </c>
      <c r="LS1" s="24" t="s">
        <v>12994</v>
      </c>
      <c r="LT1" s="24" t="s">
        <v>12995</v>
      </c>
      <c r="LU1" s="24" t="s">
        <v>12996</v>
      </c>
      <c r="LV1" s="24" t="s">
        <v>12997</v>
      </c>
      <c r="LW1" s="24" t="s">
        <v>12998</v>
      </c>
      <c r="LX1" s="24" t="s">
        <v>12999</v>
      </c>
      <c r="LY1" s="24" t="s">
        <v>13000</v>
      </c>
      <c r="LZ1" s="24" t="s">
        <v>13001</v>
      </c>
      <c r="MA1" s="24" t="s">
        <v>13002</v>
      </c>
      <c r="MB1" s="24" t="s">
        <v>13003</v>
      </c>
      <c r="MC1" s="24" t="s">
        <v>13004</v>
      </c>
      <c r="MD1" s="24" t="s">
        <v>13005</v>
      </c>
      <c r="ME1" s="24" t="s">
        <v>13006</v>
      </c>
      <c r="MF1" s="24" t="s">
        <v>13007</v>
      </c>
      <c r="MG1" s="24" t="s">
        <v>13008</v>
      </c>
      <c r="MH1" s="24" t="s">
        <v>13009</v>
      </c>
      <c r="MI1" s="24" t="s">
        <v>13010</v>
      </c>
      <c r="MJ1" s="24" t="s">
        <v>13011</v>
      </c>
      <c r="MK1" s="24" t="s">
        <v>13012</v>
      </c>
      <c r="ML1" s="24" t="s">
        <v>13013</v>
      </c>
      <c r="MM1" s="24" t="s">
        <v>13014</v>
      </c>
      <c r="MN1" s="24" t="s">
        <v>13015</v>
      </c>
      <c r="MO1" s="24" t="s">
        <v>13016</v>
      </c>
      <c r="MP1" s="24" t="s">
        <v>13017</v>
      </c>
      <c r="MQ1" s="24" t="s">
        <v>13018</v>
      </c>
      <c r="MR1" s="24" t="s">
        <v>13019</v>
      </c>
      <c r="MS1" s="24" t="s">
        <v>13020</v>
      </c>
      <c r="MT1" s="24" t="s">
        <v>13021</v>
      </c>
      <c r="MU1" s="24" t="s">
        <v>13022</v>
      </c>
      <c r="MV1" s="24" t="s">
        <v>13023</v>
      </c>
      <c r="MW1" s="24" t="s">
        <v>13024</v>
      </c>
      <c r="MX1" s="24" t="s">
        <v>13025</v>
      </c>
      <c r="MY1" s="24" t="s">
        <v>13026</v>
      </c>
      <c r="MZ1" s="24" t="s">
        <v>13027</v>
      </c>
      <c r="NA1" s="24" t="s">
        <v>13028</v>
      </c>
      <c r="NB1" s="24" t="s">
        <v>13029</v>
      </c>
      <c r="NC1" s="24" t="s">
        <v>13030</v>
      </c>
      <c r="ND1" s="24" t="s">
        <v>13031</v>
      </c>
      <c r="NE1" s="24" t="s">
        <v>13032</v>
      </c>
      <c r="NF1" s="24" t="s">
        <v>13033</v>
      </c>
      <c r="NG1" s="24" t="s">
        <v>13034</v>
      </c>
      <c r="NH1" s="24" t="s">
        <v>13035</v>
      </c>
      <c r="NI1" s="24" t="s">
        <v>13036</v>
      </c>
      <c r="NJ1" s="24" t="s">
        <v>13037</v>
      </c>
      <c r="NK1" s="24" t="s">
        <v>13038</v>
      </c>
      <c r="NL1" s="24" t="s">
        <v>13039</v>
      </c>
      <c r="NM1" s="24" t="s">
        <v>13040</v>
      </c>
      <c r="NN1" s="24" t="s">
        <v>13041</v>
      </c>
      <c r="NO1" s="24" t="s">
        <v>13042</v>
      </c>
      <c r="NP1" s="24" t="s">
        <v>13043</v>
      </c>
      <c r="NQ1" s="24" t="s">
        <v>13044</v>
      </c>
      <c r="NR1" s="24" t="s">
        <v>13045</v>
      </c>
      <c r="NS1" s="24" t="s">
        <v>13046</v>
      </c>
      <c r="NT1" s="24" t="s">
        <v>13047</v>
      </c>
      <c r="NU1" s="24" t="s">
        <v>13048</v>
      </c>
      <c r="NV1" s="24" t="s">
        <v>13049</v>
      </c>
      <c r="NW1" s="24" t="s">
        <v>13050</v>
      </c>
      <c r="NX1" s="24" t="s">
        <v>13051</v>
      </c>
      <c r="NY1" s="24" t="s">
        <v>13052</v>
      </c>
      <c r="NZ1" s="24" t="s">
        <v>13053</v>
      </c>
      <c r="OA1" s="24" t="s">
        <v>13054</v>
      </c>
      <c r="OB1" s="24" t="s">
        <v>13055</v>
      </c>
      <c r="OC1" s="24" t="s">
        <v>13056</v>
      </c>
      <c r="OD1" s="24" t="s">
        <v>13057</v>
      </c>
      <c r="OE1" s="24" t="s">
        <v>13058</v>
      </c>
      <c r="OF1" s="24" t="s">
        <v>13059</v>
      </c>
      <c r="OG1" s="24" t="s">
        <v>13060</v>
      </c>
      <c r="OH1" s="24" t="s">
        <v>13061</v>
      </c>
      <c r="OI1" s="24" t="s">
        <v>13062</v>
      </c>
      <c r="OJ1" s="24" t="s">
        <v>13063</v>
      </c>
      <c r="OK1" s="24" t="s">
        <v>13064</v>
      </c>
      <c r="OL1" s="24" t="s">
        <v>13065</v>
      </c>
      <c r="OM1" s="24" t="s">
        <v>13066</v>
      </c>
      <c r="ON1" s="24" t="s">
        <v>13067</v>
      </c>
      <c r="OO1" s="24" t="s">
        <v>13068</v>
      </c>
      <c r="OP1" s="24" t="s">
        <v>13069</v>
      </c>
      <c r="OQ1" s="24" t="s">
        <v>13070</v>
      </c>
      <c r="OR1" s="24" t="s">
        <v>13071</v>
      </c>
      <c r="OS1" s="24" t="s">
        <v>13072</v>
      </c>
      <c r="OT1" s="24" t="s">
        <v>13073</v>
      </c>
      <c r="OU1" s="24" t="s">
        <v>13074</v>
      </c>
      <c r="OV1" s="24" t="s">
        <v>13075</v>
      </c>
      <c r="OW1" s="24" t="s">
        <v>13076</v>
      </c>
      <c r="OX1" s="24" t="s">
        <v>13077</v>
      </c>
      <c r="OY1" s="24" t="s">
        <v>13078</v>
      </c>
      <c r="OZ1" s="24" t="s">
        <v>13079</v>
      </c>
      <c r="PA1" s="24" t="s">
        <v>13080</v>
      </c>
      <c r="PB1" s="24" t="s">
        <v>13081</v>
      </c>
      <c r="PC1" s="24" t="s">
        <v>13082</v>
      </c>
      <c r="PD1" s="24" t="s">
        <v>13083</v>
      </c>
      <c r="PE1" s="24" t="s">
        <v>13084</v>
      </c>
      <c r="PF1" s="24" t="s">
        <v>13085</v>
      </c>
      <c r="PG1" s="24" t="s">
        <v>13086</v>
      </c>
      <c r="PH1" s="24" t="s">
        <v>13087</v>
      </c>
      <c r="PI1" s="24" t="s">
        <v>13088</v>
      </c>
      <c r="PJ1" s="24" t="s">
        <v>13089</v>
      </c>
      <c r="PK1" s="24" t="s">
        <v>13090</v>
      </c>
      <c r="PL1" s="24" t="s">
        <v>13091</v>
      </c>
      <c r="PM1" s="24" t="s">
        <v>13092</v>
      </c>
      <c r="PN1" s="24" t="s">
        <v>13093</v>
      </c>
      <c r="PO1" s="24" t="s">
        <v>13094</v>
      </c>
      <c r="PP1" s="24" t="s">
        <v>13095</v>
      </c>
      <c r="PQ1" s="24" t="s">
        <v>13096</v>
      </c>
      <c r="PR1" s="24" t="s">
        <v>13097</v>
      </c>
      <c r="PS1" s="24" t="s">
        <v>13098</v>
      </c>
      <c r="PT1" s="24" t="s">
        <v>13099</v>
      </c>
      <c r="PU1" s="24" t="s">
        <v>13100</v>
      </c>
      <c r="PV1" s="24" t="s">
        <v>13101</v>
      </c>
      <c r="PW1" s="24" t="s">
        <v>13102</v>
      </c>
      <c r="PX1" s="24" t="s">
        <v>13103</v>
      </c>
      <c r="PY1" s="24" t="s">
        <v>13104</v>
      </c>
      <c r="PZ1" s="24" t="s">
        <v>13105</v>
      </c>
      <c r="QA1" s="24" t="s">
        <v>13106</v>
      </c>
      <c r="QB1" s="24" t="s">
        <v>13107</v>
      </c>
      <c r="QC1" s="24" t="s">
        <v>13108</v>
      </c>
      <c r="QD1" s="24" t="s">
        <v>13109</v>
      </c>
      <c r="QE1" s="24" t="s">
        <v>13110</v>
      </c>
      <c r="QF1" s="24" t="s">
        <v>13111</v>
      </c>
      <c r="QG1" s="24" t="s">
        <v>13112</v>
      </c>
      <c r="QH1" s="24" t="s">
        <v>13113</v>
      </c>
      <c r="QI1" s="24" t="s">
        <v>13114</v>
      </c>
      <c r="QJ1" s="24" t="s">
        <v>13115</v>
      </c>
      <c r="QK1" s="24" t="s">
        <v>13116</v>
      </c>
      <c r="QL1" s="24" t="s">
        <v>13117</v>
      </c>
      <c r="QM1" s="24" t="s">
        <v>13118</v>
      </c>
      <c r="QN1" s="24" t="s">
        <v>13119</v>
      </c>
      <c r="QO1" s="24" t="s">
        <v>13120</v>
      </c>
      <c r="QP1" s="24" t="s">
        <v>13121</v>
      </c>
      <c r="QQ1" s="24" t="s">
        <v>13122</v>
      </c>
      <c r="QR1" s="24" t="s">
        <v>13123</v>
      </c>
      <c r="QS1" s="24" t="s">
        <v>13124</v>
      </c>
      <c r="QT1" s="24" t="s">
        <v>13125</v>
      </c>
      <c r="QU1" s="24" t="s">
        <v>13126</v>
      </c>
      <c r="QV1" s="24" t="s">
        <v>13127</v>
      </c>
      <c r="QW1" s="24" t="s">
        <v>13128</v>
      </c>
      <c r="QX1" s="24" t="s">
        <v>13129</v>
      </c>
      <c r="QY1" s="24" t="s">
        <v>13130</v>
      </c>
      <c r="QZ1" s="24" t="s">
        <v>13131</v>
      </c>
      <c r="RA1" s="24" t="s">
        <v>13132</v>
      </c>
      <c r="RB1" s="24" t="s">
        <v>13133</v>
      </c>
      <c r="RC1" s="24" t="s">
        <v>13134</v>
      </c>
      <c r="RD1" s="24" t="s">
        <v>13135</v>
      </c>
      <c r="RE1" s="24" t="s">
        <v>13136</v>
      </c>
      <c r="RF1" s="24" t="s">
        <v>13137</v>
      </c>
      <c r="RG1" s="24" t="s">
        <v>13138</v>
      </c>
      <c r="RH1" s="24" t="s">
        <v>13139</v>
      </c>
      <c r="RI1" s="24" t="s">
        <v>13140</v>
      </c>
      <c r="RJ1" s="24" t="s">
        <v>13141</v>
      </c>
      <c r="RK1" s="24" t="s">
        <v>13142</v>
      </c>
      <c r="RL1" s="24" t="s">
        <v>13143</v>
      </c>
      <c r="RM1" s="24" t="s">
        <v>13144</v>
      </c>
      <c r="RN1" s="24" t="s">
        <v>13145</v>
      </c>
      <c r="RO1" s="24" t="s">
        <v>13146</v>
      </c>
      <c r="RP1" s="24" t="s">
        <v>13147</v>
      </c>
      <c r="RQ1" s="24" t="s">
        <v>13148</v>
      </c>
      <c r="RR1" s="24" t="s">
        <v>13149</v>
      </c>
      <c r="RS1" s="24" t="s">
        <v>13150</v>
      </c>
      <c r="RT1" s="24" t="s">
        <v>13151</v>
      </c>
      <c r="RU1" s="24" t="s">
        <v>13152</v>
      </c>
      <c r="RV1" s="24" t="s">
        <v>13153</v>
      </c>
      <c r="RW1" s="24" t="s">
        <v>13154</v>
      </c>
      <c r="RX1" s="24" t="s">
        <v>13155</v>
      </c>
      <c r="RY1" s="24" t="s">
        <v>13156</v>
      </c>
      <c r="RZ1" s="24" t="s">
        <v>13157</v>
      </c>
      <c r="SA1" s="24" t="s">
        <v>13158</v>
      </c>
      <c r="SB1" s="24" t="s">
        <v>13159</v>
      </c>
      <c r="SC1" s="24" t="s">
        <v>13160</v>
      </c>
      <c r="SD1" s="24" t="s">
        <v>13161</v>
      </c>
      <c r="SE1" s="24" t="s">
        <v>13162</v>
      </c>
      <c r="SF1" s="24" t="s">
        <v>13163</v>
      </c>
      <c r="SG1" s="24" t="s">
        <v>13164</v>
      </c>
      <c r="SH1" s="24" t="s">
        <v>13165</v>
      </c>
      <c r="SI1" s="24" t="s">
        <v>13166</v>
      </c>
      <c r="SJ1" s="24" t="s">
        <v>13167</v>
      </c>
      <c r="SK1" s="24" t="s">
        <v>13168</v>
      </c>
      <c r="SL1" s="24" t="s">
        <v>13169</v>
      </c>
      <c r="SM1" s="24" t="s">
        <v>13170</v>
      </c>
      <c r="SN1" s="24" t="s">
        <v>13171</v>
      </c>
      <c r="SO1" s="24" t="s">
        <v>13172</v>
      </c>
      <c r="SP1" s="24" t="s">
        <v>13173</v>
      </c>
      <c r="SQ1" s="24" t="s">
        <v>13174</v>
      </c>
      <c r="SR1" s="24" t="s">
        <v>13175</v>
      </c>
      <c r="SS1" s="24" t="s">
        <v>13176</v>
      </c>
      <c r="ST1" s="24" t="s">
        <v>13177</v>
      </c>
      <c r="SU1" s="24" t="s">
        <v>13178</v>
      </c>
      <c r="SV1" s="24" t="s">
        <v>13179</v>
      </c>
      <c r="SW1" s="24" t="s">
        <v>13180</v>
      </c>
      <c r="SX1" s="24" t="s">
        <v>13181</v>
      </c>
      <c r="SY1" s="24" t="s">
        <v>13182</v>
      </c>
      <c r="SZ1" s="24" t="s">
        <v>13183</v>
      </c>
      <c r="TA1" s="24" t="s">
        <v>13184</v>
      </c>
      <c r="TB1" s="24" t="s">
        <v>13185</v>
      </c>
      <c r="TC1" s="24" t="s">
        <v>13186</v>
      </c>
      <c r="TD1" s="24" t="s">
        <v>13187</v>
      </c>
      <c r="TE1" s="24" t="s">
        <v>13188</v>
      </c>
      <c r="TF1" s="24" t="s">
        <v>13189</v>
      </c>
      <c r="TG1" s="24" t="s">
        <v>13190</v>
      </c>
      <c r="TH1" s="24" t="s">
        <v>13191</v>
      </c>
      <c r="TI1" s="24" t="s">
        <v>13192</v>
      </c>
      <c r="TJ1" s="24" t="s">
        <v>13193</v>
      </c>
      <c r="TK1" s="24" t="s">
        <v>13194</v>
      </c>
      <c r="TL1" s="24" t="s">
        <v>13195</v>
      </c>
      <c r="TM1" s="24" t="s">
        <v>13196</v>
      </c>
      <c r="TN1" s="24" t="s">
        <v>13197</v>
      </c>
      <c r="TO1" s="24" t="s">
        <v>13198</v>
      </c>
      <c r="TP1" s="24" t="s">
        <v>13199</v>
      </c>
      <c r="TQ1" s="24" t="s">
        <v>13200</v>
      </c>
      <c r="TR1" s="24" t="s">
        <v>13201</v>
      </c>
      <c r="TS1" s="24" t="s">
        <v>13202</v>
      </c>
      <c r="TT1" s="24" t="s">
        <v>13203</v>
      </c>
      <c r="TU1" s="24" t="s">
        <v>13204</v>
      </c>
      <c r="TV1" s="24" t="s">
        <v>13205</v>
      </c>
      <c r="TW1" s="24" t="s">
        <v>13206</v>
      </c>
      <c r="TX1" s="24" t="s">
        <v>13207</v>
      </c>
      <c r="TY1" s="24" t="s">
        <v>13208</v>
      </c>
      <c r="TZ1" s="24" t="s">
        <v>13209</v>
      </c>
      <c r="UA1" s="24" t="s">
        <v>13210</v>
      </c>
      <c r="UB1" s="24" t="s">
        <v>13211</v>
      </c>
      <c r="UC1" s="24" t="s">
        <v>13212</v>
      </c>
      <c r="UD1" s="24" t="s">
        <v>13213</v>
      </c>
      <c r="UE1" s="24" t="s">
        <v>13214</v>
      </c>
      <c r="UF1" s="24" t="s">
        <v>13215</v>
      </c>
      <c r="UG1" s="24" t="s">
        <v>13216</v>
      </c>
      <c r="UH1" s="24" t="s">
        <v>13217</v>
      </c>
      <c r="UI1" s="24" t="s">
        <v>13218</v>
      </c>
      <c r="UJ1" s="24" t="s">
        <v>13219</v>
      </c>
      <c r="UK1" s="24" t="s">
        <v>13220</v>
      </c>
      <c r="UL1" s="24" t="s">
        <v>13221</v>
      </c>
      <c r="UM1" s="24" t="s">
        <v>13222</v>
      </c>
      <c r="UN1" s="24" t="s">
        <v>13223</v>
      </c>
      <c r="UO1" s="24" t="s">
        <v>13224</v>
      </c>
      <c r="UP1" s="24" t="s">
        <v>13225</v>
      </c>
      <c r="UQ1" s="24" t="s">
        <v>13226</v>
      </c>
      <c r="UR1" s="24" t="s">
        <v>13227</v>
      </c>
      <c r="US1" s="24" t="s">
        <v>13228</v>
      </c>
      <c r="UT1" s="24" t="s">
        <v>13229</v>
      </c>
      <c r="UU1" s="24" t="s">
        <v>13230</v>
      </c>
      <c r="UV1" s="24" t="s">
        <v>13231</v>
      </c>
      <c r="UW1" s="24" t="s">
        <v>13232</v>
      </c>
      <c r="UX1" s="24" t="s">
        <v>13233</v>
      </c>
      <c r="UY1" s="24" t="s">
        <v>13234</v>
      </c>
      <c r="UZ1" s="24" t="s">
        <v>13235</v>
      </c>
      <c r="VA1" s="24" t="s">
        <v>13236</v>
      </c>
      <c r="VB1" s="24" t="s">
        <v>13237</v>
      </c>
      <c r="VC1" s="24" t="s">
        <v>13238</v>
      </c>
      <c r="VD1" s="24" t="s">
        <v>13239</v>
      </c>
      <c r="VE1" s="24" t="s">
        <v>13240</v>
      </c>
      <c r="VF1" s="24" t="s">
        <v>13241</v>
      </c>
      <c r="VG1" s="24" t="s">
        <v>13242</v>
      </c>
      <c r="VH1" s="24" t="s">
        <v>13243</v>
      </c>
      <c r="VI1" s="24" t="s">
        <v>13244</v>
      </c>
      <c r="VJ1" s="24" t="s">
        <v>13245</v>
      </c>
      <c r="VK1" s="24" t="s">
        <v>13246</v>
      </c>
      <c r="VL1" s="24" t="s">
        <v>13247</v>
      </c>
      <c r="VM1" s="24" t="s">
        <v>13248</v>
      </c>
      <c r="VN1" s="24" t="s">
        <v>13249</v>
      </c>
      <c r="VO1" s="24" t="s">
        <v>13250</v>
      </c>
      <c r="VP1" s="24" t="s">
        <v>13251</v>
      </c>
      <c r="VQ1" s="24" t="s">
        <v>13252</v>
      </c>
      <c r="VR1" s="24" t="s">
        <v>13253</v>
      </c>
      <c r="VS1" s="24" t="s">
        <v>13254</v>
      </c>
      <c r="VT1" s="24" t="s">
        <v>13255</v>
      </c>
      <c r="VU1" s="24" t="s">
        <v>13256</v>
      </c>
      <c r="VV1" s="24" t="s">
        <v>13257</v>
      </c>
      <c r="VW1" s="24" t="s">
        <v>13258</v>
      </c>
      <c r="VX1" s="24" t="s">
        <v>13259</v>
      </c>
      <c r="VY1" s="24" t="s">
        <v>13260</v>
      </c>
      <c r="VZ1" s="24" t="s">
        <v>13261</v>
      </c>
      <c r="WA1" s="24" t="s">
        <v>13262</v>
      </c>
      <c r="WB1" s="24" t="s">
        <v>13263</v>
      </c>
      <c r="WC1" s="24" t="s">
        <v>13264</v>
      </c>
      <c r="WD1" s="24" t="s">
        <v>13265</v>
      </c>
      <c r="WE1" s="24" t="s">
        <v>13266</v>
      </c>
      <c r="WF1" s="24" t="s">
        <v>13267</v>
      </c>
      <c r="WG1" s="24" t="s">
        <v>13268</v>
      </c>
      <c r="WH1" s="24" t="s">
        <v>13269</v>
      </c>
      <c r="WI1" s="24" t="s">
        <v>13270</v>
      </c>
      <c r="WJ1" s="24" t="s">
        <v>13271</v>
      </c>
      <c r="WK1" s="24" t="s">
        <v>13272</v>
      </c>
      <c r="WL1" s="24" t="s">
        <v>13273</v>
      </c>
      <c r="WM1" s="24" t="s">
        <v>13274</v>
      </c>
      <c r="WN1" s="24" t="s">
        <v>13275</v>
      </c>
      <c r="WO1" s="24" t="s">
        <v>13276</v>
      </c>
      <c r="WP1" s="24" t="s">
        <v>13277</v>
      </c>
      <c r="WQ1" s="24" t="s">
        <v>13278</v>
      </c>
      <c r="WR1" s="24" t="s">
        <v>13279</v>
      </c>
      <c r="WS1" s="24" t="s">
        <v>13280</v>
      </c>
      <c r="WT1" s="24" t="s">
        <v>13281</v>
      </c>
      <c r="WU1" s="24" t="s">
        <v>13282</v>
      </c>
      <c r="WV1" s="24" t="s">
        <v>13283</v>
      </c>
      <c r="WW1" s="24" t="s">
        <v>13284</v>
      </c>
      <c r="WX1" s="24" t="s">
        <v>13285</v>
      </c>
      <c r="WY1" s="24" t="s">
        <v>13286</v>
      </c>
      <c r="WZ1" s="24" t="s">
        <v>13287</v>
      </c>
      <c r="XA1" s="24" t="s">
        <v>13288</v>
      </c>
      <c r="XB1" s="24" t="s">
        <v>13289</v>
      </c>
      <c r="XC1" s="24" t="s">
        <v>13290</v>
      </c>
      <c r="XD1" s="24" t="s">
        <v>13291</v>
      </c>
      <c r="XE1" s="24" t="s">
        <v>13292</v>
      </c>
      <c r="XF1" s="24" t="s">
        <v>13293</v>
      </c>
      <c r="XG1" s="24" t="s">
        <v>13294</v>
      </c>
      <c r="XH1" s="24" t="s">
        <v>13295</v>
      </c>
      <c r="XI1" s="24" t="s">
        <v>13296</v>
      </c>
      <c r="XJ1" s="24" t="s">
        <v>13297</v>
      </c>
      <c r="XK1" s="24" t="s">
        <v>13298</v>
      </c>
      <c r="XL1" s="24" t="s">
        <v>13299</v>
      </c>
      <c r="XM1" s="24" t="s">
        <v>13300</v>
      </c>
      <c r="XN1" s="24" t="s">
        <v>13301</v>
      </c>
      <c r="XO1" s="24" t="s">
        <v>13302</v>
      </c>
      <c r="XP1" s="24" t="s">
        <v>13303</v>
      </c>
      <c r="XQ1" s="24" t="s">
        <v>13304</v>
      </c>
      <c r="XR1" s="24" t="s">
        <v>13305</v>
      </c>
      <c r="XS1" s="24" t="s">
        <v>13306</v>
      </c>
      <c r="XT1" s="24" t="s">
        <v>13307</v>
      </c>
      <c r="XU1" s="24" t="s">
        <v>13308</v>
      </c>
      <c r="XV1" s="24" t="s">
        <v>13309</v>
      </c>
      <c r="XW1" s="24" t="s">
        <v>13310</v>
      </c>
      <c r="XX1" s="24" t="s">
        <v>13311</v>
      </c>
      <c r="XY1" s="24" t="s">
        <v>13312</v>
      </c>
      <c r="XZ1" s="24" t="s">
        <v>13313</v>
      </c>
      <c r="YA1" s="24" t="s">
        <v>13314</v>
      </c>
      <c r="YB1" s="24" t="s">
        <v>13315</v>
      </c>
      <c r="YC1" s="24" t="s">
        <v>13316</v>
      </c>
      <c r="YD1" s="24" t="s">
        <v>13317</v>
      </c>
      <c r="YE1" s="24" t="s">
        <v>13318</v>
      </c>
      <c r="YF1" s="24" t="s">
        <v>13319</v>
      </c>
      <c r="YG1" s="24" t="s">
        <v>13320</v>
      </c>
      <c r="YH1" s="24" t="s">
        <v>13321</v>
      </c>
      <c r="YI1" s="24" t="s">
        <v>13322</v>
      </c>
      <c r="YJ1" s="24" t="s">
        <v>13323</v>
      </c>
      <c r="YK1" s="24" t="s">
        <v>13324</v>
      </c>
      <c r="YL1" s="24" t="s">
        <v>13325</v>
      </c>
      <c r="YM1" s="24" t="s">
        <v>13326</v>
      </c>
      <c r="YN1" s="24" t="s">
        <v>13327</v>
      </c>
      <c r="YO1" s="24" t="s">
        <v>13328</v>
      </c>
      <c r="YP1" s="24" t="s">
        <v>13329</v>
      </c>
      <c r="YQ1" s="24" t="s">
        <v>13330</v>
      </c>
      <c r="YR1" s="24" t="s">
        <v>13331</v>
      </c>
      <c r="YS1" s="24" t="s">
        <v>13332</v>
      </c>
      <c r="YT1" s="24" t="s">
        <v>13333</v>
      </c>
      <c r="YU1" s="24" t="s">
        <v>13334</v>
      </c>
      <c r="YV1" s="24" t="s">
        <v>13335</v>
      </c>
      <c r="YW1" s="24" t="s">
        <v>13336</v>
      </c>
      <c r="YX1" s="24" t="s">
        <v>13337</v>
      </c>
      <c r="YY1" s="24" t="s">
        <v>13338</v>
      </c>
      <c r="YZ1" s="24" t="s">
        <v>13339</v>
      </c>
      <c r="ZA1" s="24" t="s">
        <v>13340</v>
      </c>
      <c r="ZB1" s="24" t="s">
        <v>13341</v>
      </c>
      <c r="ZC1" s="24" t="s">
        <v>13342</v>
      </c>
      <c r="ZD1" s="24" t="s">
        <v>13343</v>
      </c>
      <c r="ZE1" s="24" t="s">
        <v>13344</v>
      </c>
      <c r="ZF1" s="24" t="s">
        <v>13345</v>
      </c>
      <c r="ZG1" s="24" t="s">
        <v>13346</v>
      </c>
      <c r="ZH1" s="24" t="s">
        <v>13347</v>
      </c>
      <c r="ZI1" s="24" t="s">
        <v>13348</v>
      </c>
      <c r="ZJ1" s="24" t="s">
        <v>13349</v>
      </c>
      <c r="ZK1" s="24" t="s">
        <v>13350</v>
      </c>
      <c r="ZL1" s="24" t="s">
        <v>13351</v>
      </c>
      <c r="ZM1" s="24" t="s">
        <v>13352</v>
      </c>
      <c r="ZN1" s="24" t="s">
        <v>13353</v>
      </c>
      <c r="ZO1" s="24" t="s">
        <v>13354</v>
      </c>
      <c r="ZP1" s="24" t="s">
        <v>13355</v>
      </c>
      <c r="ZQ1" s="24" t="s">
        <v>13356</v>
      </c>
      <c r="ZR1" s="24" t="s">
        <v>13357</v>
      </c>
      <c r="ZS1" s="24" t="s">
        <v>13358</v>
      </c>
      <c r="ZT1" s="24" t="s">
        <v>13359</v>
      </c>
      <c r="ZU1" s="24" t="s">
        <v>13360</v>
      </c>
      <c r="ZV1" s="24" t="s">
        <v>13361</v>
      </c>
      <c r="ZW1" s="24" t="s">
        <v>13362</v>
      </c>
      <c r="ZX1" s="24" t="s">
        <v>13363</v>
      </c>
      <c r="ZY1" s="24" t="s">
        <v>13364</v>
      </c>
      <c r="ZZ1" s="24" t="s">
        <v>13365</v>
      </c>
      <c r="AAA1" s="24" t="s">
        <v>13366</v>
      </c>
      <c r="AAB1" s="24" t="s">
        <v>13367</v>
      </c>
      <c r="AAC1" s="24" t="s">
        <v>13368</v>
      </c>
      <c r="AAD1" s="24" t="s">
        <v>13369</v>
      </c>
      <c r="AAE1" s="24" t="s">
        <v>13370</v>
      </c>
      <c r="AAF1" s="24" t="s">
        <v>13371</v>
      </c>
      <c r="AAG1" s="24" t="s">
        <v>13372</v>
      </c>
      <c r="AAH1" s="24" t="s">
        <v>13373</v>
      </c>
      <c r="AAI1" s="24" t="s">
        <v>13374</v>
      </c>
      <c r="AAJ1" s="24" t="s">
        <v>13375</v>
      </c>
      <c r="AAK1" s="24" t="s">
        <v>13376</v>
      </c>
      <c r="AAL1" s="24" t="s">
        <v>13377</v>
      </c>
      <c r="AAM1" s="24" t="s">
        <v>13378</v>
      </c>
      <c r="AAN1" s="24" t="s">
        <v>13379</v>
      </c>
      <c r="AAO1" s="24" t="s">
        <v>13380</v>
      </c>
      <c r="AAP1" s="24" t="s">
        <v>13381</v>
      </c>
      <c r="AAQ1" s="24" t="s">
        <v>13382</v>
      </c>
      <c r="AAR1" s="24" t="s">
        <v>13383</v>
      </c>
      <c r="AAS1" s="24" t="s">
        <v>13384</v>
      </c>
      <c r="AAT1" s="24" t="s">
        <v>13385</v>
      </c>
      <c r="AAU1" s="24" t="s">
        <v>13386</v>
      </c>
      <c r="AAV1" s="24" t="s">
        <v>13387</v>
      </c>
      <c r="AAW1" s="24" t="s">
        <v>13388</v>
      </c>
      <c r="AAX1" s="24" t="s">
        <v>13389</v>
      </c>
      <c r="AAY1" s="24" t="s">
        <v>13390</v>
      </c>
      <c r="AAZ1" s="24" t="s">
        <v>13391</v>
      </c>
      <c r="ABA1" s="24" t="s">
        <v>13392</v>
      </c>
      <c r="ABB1" s="24" t="s">
        <v>13393</v>
      </c>
      <c r="ABC1" s="24" t="s">
        <v>13394</v>
      </c>
      <c r="ABD1" s="24" t="s">
        <v>13395</v>
      </c>
      <c r="ABE1" s="24" t="s">
        <v>13396</v>
      </c>
      <c r="ABF1" s="24" t="s">
        <v>13397</v>
      </c>
      <c r="ABG1" s="24" t="s">
        <v>13398</v>
      </c>
      <c r="ABH1" s="24" t="s">
        <v>13399</v>
      </c>
      <c r="ABI1" s="24" t="s">
        <v>13400</v>
      </c>
      <c r="ABJ1" s="24" t="s">
        <v>13401</v>
      </c>
      <c r="ABK1" s="24" t="s">
        <v>13402</v>
      </c>
      <c r="ABL1" s="24" t="s">
        <v>13403</v>
      </c>
      <c r="ABM1" s="24" t="s">
        <v>13404</v>
      </c>
      <c r="ABN1" s="24" t="s">
        <v>13405</v>
      </c>
      <c r="ABO1" s="24" t="s">
        <v>13406</v>
      </c>
      <c r="ABP1" s="24" t="s">
        <v>13407</v>
      </c>
      <c r="ABQ1" s="24" t="s">
        <v>13408</v>
      </c>
      <c r="ABR1" s="24" t="s">
        <v>13409</v>
      </c>
      <c r="ABS1" s="24" t="s">
        <v>13410</v>
      </c>
      <c r="ABT1" s="24" t="s">
        <v>13411</v>
      </c>
      <c r="ABU1" s="24" t="s">
        <v>13412</v>
      </c>
      <c r="ABV1" s="24" t="s">
        <v>13413</v>
      </c>
      <c r="ABW1" s="24" t="s">
        <v>13414</v>
      </c>
      <c r="ABX1" s="24" t="s">
        <v>13415</v>
      </c>
      <c r="ABY1" s="24" t="s">
        <v>13416</v>
      </c>
      <c r="ABZ1" s="24" t="s">
        <v>13417</v>
      </c>
      <c r="ACA1" s="24" t="s">
        <v>13418</v>
      </c>
      <c r="ACB1" s="24" t="s">
        <v>13419</v>
      </c>
      <c r="ACC1" s="24" t="s">
        <v>13420</v>
      </c>
      <c r="ACD1" s="24" t="s">
        <v>13421</v>
      </c>
      <c r="ACE1" s="24" t="s">
        <v>13422</v>
      </c>
      <c r="ACF1" s="24" t="s">
        <v>13423</v>
      </c>
      <c r="ACG1" s="24" t="s">
        <v>13424</v>
      </c>
      <c r="ACH1" s="24" t="s">
        <v>13425</v>
      </c>
      <c r="ACI1" s="24" t="s">
        <v>13426</v>
      </c>
      <c r="ACJ1" s="24" t="s">
        <v>13427</v>
      </c>
      <c r="ACK1" s="24" t="s">
        <v>13428</v>
      </c>
      <c r="ACL1" s="24" t="s">
        <v>13429</v>
      </c>
      <c r="ACM1" s="24" t="s">
        <v>13430</v>
      </c>
      <c r="ACN1" s="24" t="s">
        <v>13431</v>
      </c>
      <c r="ACO1" s="24" t="s">
        <v>13432</v>
      </c>
      <c r="ACP1" s="24" t="s">
        <v>13433</v>
      </c>
      <c r="ACQ1" s="24" t="s">
        <v>13434</v>
      </c>
      <c r="ACR1" s="24" t="s">
        <v>13435</v>
      </c>
      <c r="ACS1" s="24" t="s">
        <v>13436</v>
      </c>
      <c r="ACT1" s="24" t="s">
        <v>13437</v>
      </c>
      <c r="ACU1" s="24" t="s">
        <v>13438</v>
      </c>
      <c r="ACV1" s="24" t="s">
        <v>13439</v>
      </c>
      <c r="ACW1" s="24" t="s">
        <v>13440</v>
      </c>
      <c r="ACX1" s="24" t="s">
        <v>13441</v>
      </c>
      <c r="ACY1" s="24" t="s">
        <v>13442</v>
      </c>
      <c r="ACZ1" s="24" t="s">
        <v>13443</v>
      </c>
      <c r="ADA1" s="24" t="s">
        <v>13444</v>
      </c>
      <c r="ADB1" s="24" t="s">
        <v>13445</v>
      </c>
      <c r="ADC1" s="24" t="s">
        <v>13446</v>
      </c>
      <c r="ADD1" s="24" t="s">
        <v>13447</v>
      </c>
      <c r="ADE1" s="24" t="s">
        <v>13448</v>
      </c>
      <c r="ADF1" s="24" t="s">
        <v>13449</v>
      </c>
      <c r="ADG1" s="24" t="s">
        <v>13450</v>
      </c>
      <c r="ADH1" s="24" t="s">
        <v>13451</v>
      </c>
      <c r="ADI1" s="24" t="s">
        <v>13452</v>
      </c>
      <c r="ADJ1" s="24" t="s">
        <v>13453</v>
      </c>
      <c r="ADK1" s="24" t="s">
        <v>13454</v>
      </c>
      <c r="ADL1" s="24" t="s">
        <v>13455</v>
      </c>
      <c r="ADM1" s="24" t="s">
        <v>13456</v>
      </c>
      <c r="ADN1" s="24" t="s">
        <v>13457</v>
      </c>
      <c r="ADO1" s="24" t="s">
        <v>13458</v>
      </c>
      <c r="ADP1" s="24" t="s">
        <v>13459</v>
      </c>
      <c r="ADQ1" s="24" t="s">
        <v>13460</v>
      </c>
      <c r="ADR1" s="24" t="s">
        <v>13461</v>
      </c>
      <c r="ADS1" s="24" t="s">
        <v>13462</v>
      </c>
      <c r="ADT1" s="24" t="s">
        <v>13463</v>
      </c>
      <c r="ADU1" s="24" t="s">
        <v>13464</v>
      </c>
      <c r="ADV1" s="24" t="s">
        <v>13465</v>
      </c>
      <c r="ADW1" s="24" t="s">
        <v>13466</v>
      </c>
      <c r="ADX1" s="24" t="s">
        <v>13467</v>
      </c>
      <c r="ADY1" s="24" t="s">
        <v>13468</v>
      </c>
      <c r="ADZ1" s="24" t="s">
        <v>13469</v>
      </c>
      <c r="AEA1" s="24" t="s">
        <v>13470</v>
      </c>
      <c r="AEB1" s="24" t="s">
        <v>13471</v>
      </c>
      <c r="AEC1" s="24" t="s">
        <v>13472</v>
      </c>
      <c r="AED1" s="24" t="s">
        <v>13473</v>
      </c>
      <c r="AEE1" s="24" t="s">
        <v>13474</v>
      </c>
      <c r="AEF1" s="24" t="s">
        <v>13475</v>
      </c>
      <c r="AEG1" s="24" t="s">
        <v>13476</v>
      </c>
      <c r="AEH1" s="24" t="s">
        <v>13477</v>
      </c>
      <c r="AEI1" s="24" t="s">
        <v>13478</v>
      </c>
      <c r="AEJ1" s="24" t="s">
        <v>13479</v>
      </c>
      <c r="AEK1" s="24" t="s">
        <v>13480</v>
      </c>
      <c r="AEL1" s="24" t="s">
        <v>13481</v>
      </c>
      <c r="AEM1" s="24" t="s">
        <v>13482</v>
      </c>
      <c r="AEN1" s="24" t="s">
        <v>13483</v>
      </c>
      <c r="AEO1" s="24" t="s">
        <v>13484</v>
      </c>
      <c r="AEP1" s="24" t="s">
        <v>13485</v>
      </c>
      <c r="AEQ1" s="24" t="s">
        <v>13486</v>
      </c>
      <c r="AER1" s="24" t="s">
        <v>13487</v>
      </c>
      <c r="AES1" s="24" t="s">
        <v>13488</v>
      </c>
      <c r="AET1" s="24" t="s">
        <v>13489</v>
      </c>
      <c r="AEU1" s="24" t="s">
        <v>13490</v>
      </c>
      <c r="AEV1" s="24" t="s">
        <v>13491</v>
      </c>
      <c r="AEW1" s="24" t="s">
        <v>13492</v>
      </c>
      <c r="AEX1" s="24" t="s">
        <v>13493</v>
      </c>
      <c r="AEY1" s="24" t="s">
        <v>13494</v>
      </c>
      <c r="AEZ1" s="24" t="s">
        <v>13495</v>
      </c>
      <c r="AFA1" s="24" t="s">
        <v>13496</v>
      </c>
      <c r="AFB1" s="24" t="s">
        <v>13497</v>
      </c>
      <c r="AFC1" s="24" t="s">
        <v>13498</v>
      </c>
      <c r="AFD1" s="24" t="s">
        <v>13499</v>
      </c>
      <c r="AFE1" s="24" t="s">
        <v>13500</v>
      </c>
      <c r="AFF1" s="24" t="s">
        <v>13501</v>
      </c>
      <c r="AFG1" s="24" t="s">
        <v>13502</v>
      </c>
      <c r="AFH1" s="24" t="s">
        <v>13503</v>
      </c>
      <c r="AFI1" s="24" t="s">
        <v>13504</v>
      </c>
      <c r="AFJ1" s="24" t="s">
        <v>13505</v>
      </c>
      <c r="AFK1" s="24" t="s">
        <v>13506</v>
      </c>
      <c r="AFL1" s="24" t="s">
        <v>13507</v>
      </c>
      <c r="AFM1" s="24" t="s">
        <v>13508</v>
      </c>
      <c r="AFN1" s="24" t="s">
        <v>13509</v>
      </c>
      <c r="AFO1" s="24" t="s">
        <v>13510</v>
      </c>
      <c r="AFP1" s="24" t="s">
        <v>13511</v>
      </c>
      <c r="AFQ1" s="24" t="s">
        <v>13512</v>
      </c>
      <c r="AFR1" s="24" t="s">
        <v>13513</v>
      </c>
      <c r="AFS1" s="24" t="s">
        <v>13514</v>
      </c>
      <c r="AFT1" s="24" t="s">
        <v>13515</v>
      </c>
      <c r="AFU1" s="24" t="s">
        <v>13516</v>
      </c>
      <c r="AFV1" s="24" t="s">
        <v>13517</v>
      </c>
      <c r="AFW1" s="24" t="s">
        <v>13518</v>
      </c>
      <c r="AFX1" s="24" t="s">
        <v>13519</v>
      </c>
      <c r="AFY1" s="24" t="s">
        <v>13520</v>
      </c>
      <c r="AFZ1" s="24" t="s">
        <v>13521</v>
      </c>
      <c r="AGA1" s="24" t="s">
        <v>13522</v>
      </c>
      <c r="AGB1" s="24" t="s">
        <v>13523</v>
      </c>
      <c r="AGC1" s="24" t="s">
        <v>13524</v>
      </c>
      <c r="AGD1" s="24" t="s">
        <v>13525</v>
      </c>
      <c r="AGE1" s="24" t="s">
        <v>13526</v>
      </c>
      <c r="AGF1" s="24" t="s">
        <v>13527</v>
      </c>
      <c r="AGG1" s="24" t="s">
        <v>13528</v>
      </c>
      <c r="AGH1" s="24" t="s">
        <v>13529</v>
      </c>
      <c r="AGI1" s="24" t="s">
        <v>13530</v>
      </c>
      <c r="AGJ1" s="24" t="s">
        <v>13531</v>
      </c>
      <c r="AGK1" s="24" t="s">
        <v>13532</v>
      </c>
      <c r="AGL1" s="24" t="s">
        <v>13533</v>
      </c>
      <c r="AGM1" s="24" t="s">
        <v>13534</v>
      </c>
      <c r="AGN1" s="24" t="s">
        <v>13535</v>
      </c>
      <c r="AGO1" s="24" t="s">
        <v>13536</v>
      </c>
      <c r="AGP1" s="24" t="s">
        <v>13537</v>
      </c>
      <c r="AGQ1" s="24" t="s">
        <v>13538</v>
      </c>
      <c r="AGR1" s="24" t="s">
        <v>13539</v>
      </c>
      <c r="AGS1" s="24" t="s">
        <v>13540</v>
      </c>
      <c r="AGT1" s="24" t="s">
        <v>13541</v>
      </c>
      <c r="AGU1" s="24" t="s">
        <v>13542</v>
      </c>
      <c r="AGV1" s="24" t="s">
        <v>13543</v>
      </c>
      <c r="AGW1" s="24" t="s">
        <v>13544</v>
      </c>
      <c r="AGX1" s="24" t="s">
        <v>13545</v>
      </c>
      <c r="AGY1" s="24" t="s">
        <v>13546</v>
      </c>
      <c r="AGZ1" s="24" t="s">
        <v>13547</v>
      </c>
      <c r="AHA1" s="24" t="s">
        <v>13548</v>
      </c>
      <c r="AHB1" s="24" t="s">
        <v>13549</v>
      </c>
      <c r="AHC1" s="24" t="s">
        <v>13550</v>
      </c>
      <c r="AHD1" s="24" t="s">
        <v>13551</v>
      </c>
      <c r="AHE1" s="24" t="s">
        <v>13552</v>
      </c>
      <c r="AHF1" s="24" t="s">
        <v>13553</v>
      </c>
      <c r="AHG1" s="24" t="s">
        <v>13554</v>
      </c>
      <c r="AHH1" s="24" t="s">
        <v>13555</v>
      </c>
      <c r="AHI1" s="24" t="s">
        <v>13556</v>
      </c>
      <c r="AHJ1" s="24" t="s">
        <v>13557</v>
      </c>
      <c r="AHK1" s="24" t="s">
        <v>13558</v>
      </c>
      <c r="AHL1" s="24" t="s">
        <v>13559</v>
      </c>
      <c r="AHM1" s="24" t="s">
        <v>13560</v>
      </c>
      <c r="AHN1" s="24" t="s">
        <v>13561</v>
      </c>
      <c r="AHO1" s="24" t="s">
        <v>13562</v>
      </c>
      <c r="AHP1" s="24" t="s">
        <v>13563</v>
      </c>
      <c r="AHQ1" s="24" t="s">
        <v>13564</v>
      </c>
      <c r="AHR1" s="24" t="s">
        <v>13565</v>
      </c>
      <c r="AHS1" s="24" t="s">
        <v>13566</v>
      </c>
      <c r="AHT1" s="24" t="s">
        <v>13567</v>
      </c>
      <c r="AHU1" s="24" t="s">
        <v>13568</v>
      </c>
      <c r="AHV1" s="24" t="s">
        <v>13569</v>
      </c>
      <c r="AHW1" s="24" t="s">
        <v>13570</v>
      </c>
      <c r="AHX1" s="24" t="s">
        <v>13571</v>
      </c>
      <c r="AHY1" s="24" t="s">
        <v>13572</v>
      </c>
      <c r="AHZ1" s="24" t="s">
        <v>13573</v>
      </c>
      <c r="AIA1" s="24" t="s">
        <v>13574</v>
      </c>
      <c r="AIB1" s="24" t="s">
        <v>13575</v>
      </c>
      <c r="AIC1" s="24" t="s">
        <v>13576</v>
      </c>
      <c r="AID1" s="24" t="s">
        <v>13577</v>
      </c>
      <c r="AIE1" s="24" t="s">
        <v>13578</v>
      </c>
      <c r="AIF1" s="24" t="s">
        <v>13579</v>
      </c>
      <c r="AIG1" s="24" t="s">
        <v>13580</v>
      </c>
      <c r="AIH1" s="24" t="s">
        <v>13581</v>
      </c>
      <c r="AII1" s="24" t="s">
        <v>13582</v>
      </c>
      <c r="AIJ1" s="24" t="s">
        <v>13583</v>
      </c>
      <c r="AIK1" s="24" t="s">
        <v>13584</v>
      </c>
      <c r="AIL1" s="24" t="s">
        <v>13585</v>
      </c>
      <c r="AIM1" s="24" t="s">
        <v>13586</v>
      </c>
      <c r="AIN1" s="24" t="s">
        <v>13587</v>
      </c>
      <c r="AIO1" s="24" t="s">
        <v>13588</v>
      </c>
      <c r="AIP1" s="24" t="s">
        <v>13589</v>
      </c>
      <c r="AIQ1" s="24" t="s">
        <v>13590</v>
      </c>
      <c r="AIR1" s="24" t="s">
        <v>13591</v>
      </c>
      <c r="AIS1" s="24" t="s">
        <v>13592</v>
      </c>
      <c r="AIT1" s="24" t="s">
        <v>13593</v>
      </c>
      <c r="AIU1" s="24" t="s">
        <v>13594</v>
      </c>
      <c r="AIV1" s="24" t="s">
        <v>13595</v>
      </c>
      <c r="AIW1" s="24" t="s">
        <v>13596</v>
      </c>
      <c r="AIX1" s="24" t="s">
        <v>13597</v>
      </c>
      <c r="AIY1" s="24" t="s">
        <v>13598</v>
      </c>
      <c r="AIZ1" s="24" t="s">
        <v>13599</v>
      </c>
      <c r="AJA1" s="24" t="s">
        <v>13600</v>
      </c>
      <c r="AJB1" s="24" t="s">
        <v>13601</v>
      </c>
      <c r="AJC1" s="24" t="s">
        <v>13602</v>
      </c>
      <c r="AJD1" s="24" t="s">
        <v>13603</v>
      </c>
      <c r="AJE1" s="24" t="s">
        <v>13604</v>
      </c>
      <c r="AJF1" s="24" t="s">
        <v>13605</v>
      </c>
      <c r="AJG1" s="24" t="s">
        <v>13606</v>
      </c>
      <c r="AJH1" s="24" t="s">
        <v>13607</v>
      </c>
      <c r="AJI1" s="24" t="s">
        <v>13608</v>
      </c>
      <c r="AJJ1" s="24" t="s">
        <v>13609</v>
      </c>
      <c r="AJK1" s="24" t="s">
        <v>13610</v>
      </c>
      <c r="AJL1" s="24" t="s">
        <v>13611</v>
      </c>
      <c r="AJM1" s="24" t="s">
        <v>13612</v>
      </c>
      <c r="AJN1" s="24" t="s">
        <v>13613</v>
      </c>
      <c r="AJO1" s="24" t="s">
        <v>13614</v>
      </c>
      <c r="AJP1" s="24" t="s">
        <v>13615</v>
      </c>
      <c r="AJQ1" s="24" t="s">
        <v>13616</v>
      </c>
      <c r="AJR1" s="24" t="s">
        <v>13617</v>
      </c>
      <c r="AJS1" s="24" t="s">
        <v>13618</v>
      </c>
      <c r="AJT1" s="24" t="s">
        <v>13619</v>
      </c>
      <c r="AJU1" s="24" t="s">
        <v>13620</v>
      </c>
      <c r="AJV1" s="24" t="s">
        <v>13621</v>
      </c>
      <c r="AJW1" s="24" t="s">
        <v>13622</v>
      </c>
      <c r="AJX1" s="24" t="s">
        <v>13623</v>
      </c>
      <c r="AJY1" s="24" t="s">
        <v>13624</v>
      </c>
      <c r="AJZ1" s="24" t="s">
        <v>13625</v>
      </c>
      <c r="AKA1" s="24" t="s">
        <v>13626</v>
      </c>
      <c r="AKB1" s="24" t="s">
        <v>13627</v>
      </c>
      <c r="AKC1" s="24" t="s">
        <v>13628</v>
      </c>
      <c r="AKD1" s="24" t="s">
        <v>13629</v>
      </c>
      <c r="AKE1" s="24" t="s">
        <v>13630</v>
      </c>
      <c r="AKF1" s="24" t="s">
        <v>13631</v>
      </c>
      <c r="AKG1" s="24" t="s">
        <v>13632</v>
      </c>
      <c r="AKH1" s="24" t="s">
        <v>13633</v>
      </c>
      <c r="AKI1" s="24" t="s">
        <v>13634</v>
      </c>
      <c r="AKJ1" s="24" t="s">
        <v>13635</v>
      </c>
      <c r="AKK1" s="24" t="s">
        <v>13636</v>
      </c>
      <c r="AKL1" s="24" t="s">
        <v>13637</v>
      </c>
      <c r="AKM1" s="24" t="s">
        <v>13638</v>
      </c>
      <c r="AKN1" s="24" t="s">
        <v>13639</v>
      </c>
      <c r="AKO1" s="24" t="s">
        <v>13640</v>
      </c>
      <c r="AKP1" s="24" t="s">
        <v>13641</v>
      </c>
      <c r="AKQ1" s="24" t="s">
        <v>13642</v>
      </c>
      <c r="AKR1" s="24" t="s">
        <v>13643</v>
      </c>
      <c r="AKS1" s="24" t="s">
        <v>13644</v>
      </c>
      <c r="AKT1" s="24" t="s">
        <v>13645</v>
      </c>
      <c r="AKU1" s="24" t="s">
        <v>13646</v>
      </c>
      <c r="AKV1" s="24" t="s">
        <v>13647</v>
      </c>
      <c r="AKW1" s="24" t="s">
        <v>13648</v>
      </c>
      <c r="AKX1" s="24" t="s">
        <v>13649</v>
      </c>
      <c r="AKY1" s="24" t="s">
        <v>13650</v>
      </c>
      <c r="AKZ1" s="24" t="s">
        <v>13651</v>
      </c>
      <c r="ALA1" s="24" t="s">
        <v>13652</v>
      </c>
      <c r="ALB1" s="24" t="s">
        <v>13653</v>
      </c>
      <c r="ALC1" s="24" t="s">
        <v>13654</v>
      </c>
      <c r="ALD1" s="24" t="s">
        <v>13655</v>
      </c>
      <c r="ALE1" s="24" t="s">
        <v>13656</v>
      </c>
      <c r="ALF1" s="24" t="s">
        <v>13657</v>
      </c>
      <c r="ALG1" s="24" t="s">
        <v>13658</v>
      </c>
      <c r="ALH1" s="24" t="s">
        <v>13659</v>
      </c>
      <c r="ALI1" s="24" t="s">
        <v>13660</v>
      </c>
      <c r="ALJ1" s="24" t="s">
        <v>13661</v>
      </c>
      <c r="ALK1" s="24" t="s">
        <v>13662</v>
      </c>
      <c r="ALL1" s="24" t="s">
        <v>13663</v>
      </c>
      <c r="ALM1" s="24" t="s">
        <v>13664</v>
      </c>
      <c r="ALN1" s="24" t="s">
        <v>13665</v>
      </c>
      <c r="ALO1" s="24" t="s">
        <v>13666</v>
      </c>
      <c r="ALP1" s="24" t="s">
        <v>13667</v>
      </c>
      <c r="ALQ1" s="24" t="s">
        <v>13668</v>
      </c>
      <c r="ALR1" s="24" t="s">
        <v>13669</v>
      </c>
      <c r="ALS1" s="24" t="s">
        <v>13670</v>
      </c>
      <c r="ALT1" s="24" t="s">
        <v>13671</v>
      </c>
      <c r="ALU1" s="24" t="s">
        <v>13672</v>
      </c>
      <c r="ALV1" s="24" t="s">
        <v>13673</v>
      </c>
      <c r="ALW1" s="24" t="s">
        <v>13674</v>
      </c>
      <c r="ALX1" s="24" t="s">
        <v>13675</v>
      </c>
      <c r="ALY1" s="24" t="s">
        <v>13676</v>
      </c>
      <c r="ALZ1" s="24" t="s">
        <v>13677</v>
      </c>
      <c r="AMA1" s="24" t="s">
        <v>13678</v>
      </c>
      <c r="AMB1" s="24" t="s">
        <v>13679</v>
      </c>
      <c r="AMC1" s="24" t="s">
        <v>13680</v>
      </c>
      <c r="AMD1" s="24" t="s">
        <v>13681</v>
      </c>
      <c r="AME1" s="24" t="s">
        <v>13682</v>
      </c>
      <c r="AMF1" s="24" t="s">
        <v>13683</v>
      </c>
      <c r="AMG1" s="24" t="s">
        <v>13684</v>
      </c>
      <c r="AMH1" s="24" t="s">
        <v>13685</v>
      </c>
      <c r="AMI1" s="24" t="s">
        <v>13686</v>
      </c>
      <c r="AMJ1" s="24" t="s">
        <v>13687</v>
      </c>
      <c r="AMK1" s="24" t="s">
        <v>13688</v>
      </c>
      <c r="AML1" s="24" t="s">
        <v>13689</v>
      </c>
      <c r="AMM1" s="24" t="s">
        <v>13690</v>
      </c>
      <c r="AMN1" s="24" t="s">
        <v>13691</v>
      </c>
      <c r="AMO1" s="24" t="s">
        <v>13692</v>
      </c>
      <c r="AMP1" s="24" t="s">
        <v>13693</v>
      </c>
      <c r="AMQ1" s="24" t="s">
        <v>13694</v>
      </c>
      <c r="AMR1" s="24" t="s">
        <v>13695</v>
      </c>
      <c r="AMS1" s="24" t="s">
        <v>13696</v>
      </c>
      <c r="AMT1" s="24" t="s">
        <v>13697</v>
      </c>
      <c r="AMU1" s="24" t="s">
        <v>13698</v>
      </c>
      <c r="AMV1" s="24" t="s">
        <v>13699</v>
      </c>
      <c r="AMW1" s="24" t="s">
        <v>13700</v>
      </c>
      <c r="AMX1" s="24" t="s">
        <v>13701</v>
      </c>
      <c r="AMY1" s="24" t="s">
        <v>13702</v>
      </c>
      <c r="AMZ1" s="24" t="s">
        <v>13703</v>
      </c>
      <c r="ANA1" s="24" t="s">
        <v>13704</v>
      </c>
      <c r="ANB1" s="24" t="s">
        <v>13705</v>
      </c>
      <c r="ANC1" s="24" t="s">
        <v>13706</v>
      </c>
      <c r="AND1" s="24" t="s">
        <v>13707</v>
      </c>
      <c r="ANE1" s="24" t="s">
        <v>13708</v>
      </c>
      <c r="ANF1" s="24" t="s">
        <v>13709</v>
      </c>
      <c r="ANG1" s="24" t="s">
        <v>13710</v>
      </c>
      <c r="ANH1" s="24" t="s">
        <v>13711</v>
      </c>
      <c r="ANI1" s="24" t="s">
        <v>13712</v>
      </c>
      <c r="ANJ1" s="24" t="s">
        <v>13713</v>
      </c>
      <c r="ANK1" s="24" t="s">
        <v>13714</v>
      </c>
      <c r="ANL1" s="24" t="s">
        <v>13715</v>
      </c>
      <c r="ANM1" s="24" t="s">
        <v>13716</v>
      </c>
      <c r="ANN1" s="24" t="s">
        <v>13717</v>
      </c>
      <c r="ANO1" s="24" t="s">
        <v>13718</v>
      </c>
      <c r="ANP1" s="24" t="s">
        <v>13719</v>
      </c>
      <c r="ANQ1" s="24" t="s">
        <v>13720</v>
      </c>
      <c r="ANR1" s="24" t="s">
        <v>13721</v>
      </c>
      <c r="ANS1" s="24" t="s">
        <v>13722</v>
      </c>
      <c r="ANT1" s="24" t="s">
        <v>13723</v>
      </c>
      <c r="ANU1" s="24" t="s">
        <v>13724</v>
      </c>
      <c r="ANV1" s="24" t="s">
        <v>13725</v>
      </c>
      <c r="ANW1" s="24" t="s">
        <v>13726</v>
      </c>
      <c r="ANX1" s="24" t="s">
        <v>13727</v>
      </c>
      <c r="ANY1" s="24" t="s">
        <v>13728</v>
      </c>
      <c r="ANZ1" s="24" t="s">
        <v>13729</v>
      </c>
      <c r="AOA1" s="24" t="s">
        <v>13730</v>
      </c>
      <c r="AOB1" s="24" t="s">
        <v>13731</v>
      </c>
      <c r="AOC1" s="24" t="s">
        <v>13732</v>
      </c>
      <c r="AOD1" s="24" t="s">
        <v>13733</v>
      </c>
      <c r="AOE1" s="24" t="s">
        <v>13734</v>
      </c>
      <c r="AOF1" s="24" t="s">
        <v>13735</v>
      </c>
      <c r="AOG1" s="24" t="s">
        <v>13736</v>
      </c>
      <c r="AOH1" s="24" t="s">
        <v>13737</v>
      </c>
      <c r="AOI1" s="24" t="s">
        <v>13738</v>
      </c>
      <c r="AOJ1" s="24" t="s">
        <v>13739</v>
      </c>
      <c r="AOK1" s="24" t="s">
        <v>13740</v>
      </c>
      <c r="AOL1" s="24" t="s">
        <v>13741</v>
      </c>
      <c r="AOM1" s="24" t="s">
        <v>13742</v>
      </c>
      <c r="AON1" s="24" t="s">
        <v>13743</v>
      </c>
      <c r="AOO1" s="24" t="s">
        <v>13744</v>
      </c>
      <c r="AOP1" s="24" t="s">
        <v>13745</v>
      </c>
      <c r="AOQ1" s="24" t="s">
        <v>13746</v>
      </c>
      <c r="AOR1" s="24" t="s">
        <v>13747</v>
      </c>
      <c r="AOS1" s="24" t="s">
        <v>13748</v>
      </c>
      <c r="AOT1" s="24" t="s">
        <v>13749</v>
      </c>
      <c r="AOU1" s="24" t="s">
        <v>13750</v>
      </c>
      <c r="AOV1" s="24" t="s">
        <v>13751</v>
      </c>
      <c r="AOW1" s="24" t="s">
        <v>13752</v>
      </c>
      <c r="AOX1" s="24" t="s">
        <v>13753</v>
      </c>
      <c r="AOY1" s="24" t="s">
        <v>13754</v>
      </c>
      <c r="AOZ1" s="24" t="s">
        <v>13755</v>
      </c>
      <c r="APA1" s="24" t="s">
        <v>13756</v>
      </c>
      <c r="APB1" s="24" t="s">
        <v>13757</v>
      </c>
      <c r="APC1" s="24" t="s">
        <v>13758</v>
      </c>
      <c r="APD1" s="24" t="s">
        <v>13759</v>
      </c>
      <c r="APE1" s="24" t="s">
        <v>13760</v>
      </c>
      <c r="APF1" s="24" t="s">
        <v>13761</v>
      </c>
      <c r="APG1" s="24" t="s">
        <v>13762</v>
      </c>
      <c r="APH1" s="24" t="s">
        <v>13763</v>
      </c>
      <c r="API1" s="24" t="s">
        <v>13764</v>
      </c>
      <c r="APJ1" s="24" t="s">
        <v>13765</v>
      </c>
      <c r="APK1" s="24" t="s">
        <v>13766</v>
      </c>
      <c r="APL1" s="24" t="s">
        <v>13767</v>
      </c>
      <c r="APM1" s="24" t="s">
        <v>13768</v>
      </c>
      <c r="APN1" s="24" t="s">
        <v>13769</v>
      </c>
      <c r="APO1" s="24" t="s">
        <v>13770</v>
      </c>
      <c r="APP1" s="24" t="s">
        <v>13771</v>
      </c>
      <c r="APQ1" s="24" t="s">
        <v>13772</v>
      </c>
      <c r="APR1" s="24" t="s">
        <v>13773</v>
      </c>
      <c r="APS1" s="24" t="s">
        <v>13774</v>
      </c>
      <c r="APT1" s="24" t="s">
        <v>13775</v>
      </c>
      <c r="APU1" s="24" t="s">
        <v>13776</v>
      </c>
      <c r="APV1" s="24" t="s">
        <v>13777</v>
      </c>
      <c r="APW1" s="24" t="s">
        <v>13778</v>
      </c>
      <c r="APX1" s="24" t="s">
        <v>13779</v>
      </c>
      <c r="APY1" s="24" t="s">
        <v>13780</v>
      </c>
      <c r="APZ1" s="24" t="s">
        <v>13781</v>
      </c>
      <c r="AQA1" s="24" t="s">
        <v>13782</v>
      </c>
      <c r="AQB1" s="24" t="s">
        <v>13783</v>
      </c>
      <c r="AQC1" s="24" t="s">
        <v>13784</v>
      </c>
      <c r="AQD1" s="24" t="s">
        <v>13785</v>
      </c>
      <c r="AQE1" s="24" t="s">
        <v>13786</v>
      </c>
      <c r="AQF1" s="24" t="s">
        <v>13787</v>
      </c>
      <c r="AQG1" s="24" t="s">
        <v>13788</v>
      </c>
      <c r="AQH1" s="24" t="s">
        <v>13789</v>
      </c>
      <c r="AQI1" s="24" t="s">
        <v>13790</v>
      </c>
      <c r="AQJ1" s="24" t="s">
        <v>13791</v>
      </c>
      <c r="AQK1" s="24" t="s">
        <v>13792</v>
      </c>
      <c r="AQL1" s="24" t="s">
        <v>13793</v>
      </c>
      <c r="AQM1" s="24" t="s">
        <v>13794</v>
      </c>
      <c r="AQN1" s="24" t="s">
        <v>13795</v>
      </c>
      <c r="AQO1" s="24" t="s">
        <v>13796</v>
      </c>
      <c r="AQP1" s="24" t="s">
        <v>13797</v>
      </c>
      <c r="AQQ1" s="24" t="s">
        <v>13798</v>
      </c>
      <c r="AQR1" s="24" t="s">
        <v>13799</v>
      </c>
      <c r="AQS1" s="24" t="s">
        <v>13800</v>
      </c>
      <c r="AQT1" s="24" t="s">
        <v>13801</v>
      </c>
      <c r="AQU1" s="24" t="s">
        <v>13802</v>
      </c>
      <c r="AQV1" s="24" t="s">
        <v>13803</v>
      </c>
      <c r="AQW1" s="24" t="s">
        <v>13804</v>
      </c>
      <c r="AQX1" s="24" t="s">
        <v>13805</v>
      </c>
      <c r="AQY1" s="24" t="s">
        <v>13806</v>
      </c>
      <c r="AQZ1" s="24" t="s">
        <v>13807</v>
      </c>
      <c r="ARA1" s="24" t="s">
        <v>13808</v>
      </c>
      <c r="ARB1" s="24" t="s">
        <v>13809</v>
      </c>
      <c r="ARC1" s="24" t="s">
        <v>13810</v>
      </c>
      <c r="ARD1" s="24" t="s">
        <v>13811</v>
      </c>
      <c r="ARE1" s="24" t="s">
        <v>13812</v>
      </c>
      <c r="ARF1" s="24" t="s">
        <v>13813</v>
      </c>
      <c r="ARG1" s="24" t="s">
        <v>13814</v>
      </c>
      <c r="ARH1" s="24" t="s">
        <v>13815</v>
      </c>
      <c r="ARI1" s="24" t="s">
        <v>13816</v>
      </c>
      <c r="ARJ1" s="24" t="s">
        <v>13817</v>
      </c>
      <c r="ARK1" s="24" t="s">
        <v>13818</v>
      </c>
      <c r="ARL1" s="24" t="s">
        <v>13819</v>
      </c>
      <c r="ARM1" s="24" t="s">
        <v>13820</v>
      </c>
      <c r="ARN1" s="24" t="s">
        <v>13821</v>
      </c>
      <c r="ARO1" s="24" t="s">
        <v>13822</v>
      </c>
      <c r="ARP1" s="24" t="s">
        <v>13823</v>
      </c>
      <c r="ARQ1" s="24" t="s">
        <v>13824</v>
      </c>
      <c r="ARR1" s="24" t="s">
        <v>13825</v>
      </c>
      <c r="ARS1" s="24" t="s">
        <v>13826</v>
      </c>
      <c r="ART1" s="24" t="s">
        <v>13827</v>
      </c>
      <c r="ARU1" s="24" t="s">
        <v>13828</v>
      </c>
      <c r="ARV1" s="24" t="s">
        <v>13829</v>
      </c>
      <c r="ARW1" s="24" t="s">
        <v>13830</v>
      </c>
      <c r="ARX1" s="24" t="s">
        <v>13831</v>
      </c>
      <c r="ARY1" s="24" t="s">
        <v>13832</v>
      </c>
      <c r="ARZ1" s="24" t="s">
        <v>13833</v>
      </c>
      <c r="ASA1" s="24" t="s">
        <v>13834</v>
      </c>
      <c r="ASB1" s="24" t="s">
        <v>13835</v>
      </c>
      <c r="ASC1" s="24" t="s">
        <v>13836</v>
      </c>
      <c r="ASD1" s="24" t="s">
        <v>13837</v>
      </c>
      <c r="ASE1" s="24" t="s">
        <v>13838</v>
      </c>
      <c r="ASF1" s="24" t="s">
        <v>13839</v>
      </c>
      <c r="ASG1" s="24" t="s">
        <v>13840</v>
      </c>
      <c r="ASH1" s="24" t="s">
        <v>13841</v>
      </c>
      <c r="ASI1" s="24" t="s">
        <v>13842</v>
      </c>
      <c r="ASJ1" s="24" t="s">
        <v>13843</v>
      </c>
      <c r="ASK1" s="24" t="s">
        <v>13844</v>
      </c>
      <c r="ASL1" s="24" t="s">
        <v>13845</v>
      </c>
      <c r="ASM1" s="24" t="s">
        <v>13846</v>
      </c>
      <c r="ASN1" s="24" t="s">
        <v>13847</v>
      </c>
      <c r="ASO1" s="24" t="s">
        <v>13848</v>
      </c>
      <c r="ASP1" s="24" t="s">
        <v>13849</v>
      </c>
      <c r="ASQ1" s="24" t="s">
        <v>13850</v>
      </c>
      <c r="ASR1" s="24" t="s">
        <v>13851</v>
      </c>
      <c r="ASS1" s="24" t="s">
        <v>13852</v>
      </c>
      <c r="AST1" s="24" t="s">
        <v>13853</v>
      </c>
      <c r="ASU1" s="24" t="s">
        <v>13854</v>
      </c>
      <c r="ASV1" s="24" t="s">
        <v>13855</v>
      </c>
      <c r="ASW1" s="24" t="s">
        <v>13856</v>
      </c>
      <c r="ASX1" s="24" t="s">
        <v>13857</v>
      </c>
      <c r="ASY1" s="24" t="s">
        <v>13858</v>
      </c>
      <c r="ASZ1" s="24" t="s">
        <v>13859</v>
      </c>
      <c r="ATA1" s="24" t="s">
        <v>13860</v>
      </c>
      <c r="ATB1" s="24" t="s">
        <v>13861</v>
      </c>
      <c r="ATC1" s="24" t="s">
        <v>13862</v>
      </c>
      <c r="ATD1" s="24" t="s">
        <v>13863</v>
      </c>
      <c r="ATE1" s="24" t="s">
        <v>13864</v>
      </c>
      <c r="ATF1" s="24" t="s">
        <v>13865</v>
      </c>
      <c r="ATG1" s="24" t="s">
        <v>13866</v>
      </c>
      <c r="ATH1" s="24" t="s">
        <v>13867</v>
      </c>
      <c r="ATI1" s="24" t="s">
        <v>13868</v>
      </c>
      <c r="ATJ1" s="24" t="s">
        <v>13869</v>
      </c>
      <c r="ATK1" s="24" t="s">
        <v>13870</v>
      </c>
      <c r="ATL1" s="24" t="s">
        <v>13871</v>
      </c>
      <c r="ATM1" s="24" t="s">
        <v>13872</v>
      </c>
      <c r="ATN1" s="24" t="s">
        <v>13873</v>
      </c>
      <c r="ATO1" s="24" t="s">
        <v>13874</v>
      </c>
      <c r="ATP1" s="24" t="s">
        <v>13875</v>
      </c>
      <c r="ATQ1" s="24" t="s">
        <v>13876</v>
      </c>
      <c r="ATR1" s="24" t="s">
        <v>13877</v>
      </c>
      <c r="ATS1" s="24" t="s">
        <v>13878</v>
      </c>
      <c r="ATT1" s="24" t="s">
        <v>13879</v>
      </c>
      <c r="ATU1" s="24" t="s">
        <v>13880</v>
      </c>
      <c r="ATV1" s="24" t="s">
        <v>13881</v>
      </c>
      <c r="ATW1" s="24" t="s">
        <v>13882</v>
      </c>
      <c r="ATX1" s="24" t="s">
        <v>13883</v>
      </c>
      <c r="ATY1" s="24" t="s">
        <v>13884</v>
      </c>
      <c r="ATZ1" s="24" t="s">
        <v>13885</v>
      </c>
      <c r="AUA1" s="24" t="s">
        <v>13886</v>
      </c>
      <c r="AUB1" s="24" t="s">
        <v>13887</v>
      </c>
      <c r="AUC1" s="24" t="s">
        <v>13888</v>
      </c>
      <c r="AUD1" s="24" t="s">
        <v>13889</v>
      </c>
      <c r="AUE1" s="24" t="s">
        <v>13890</v>
      </c>
      <c r="AUF1" s="24" t="s">
        <v>13891</v>
      </c>
      <c r="AUG1" s="24" t="s">
        <v>13892</v>
      </c>
      <c r="AUH1" s="24" t="s">
        <v>13893</v>
      </c>
      <c r="AUI1" s="24" t="s">
        <v>13894</v>
      </c>
      <c r="AUJ1" s="24" t="s">
        <v>13895</v>
      </c>
      <c r="AUK1" s="24" t="s">
        <v>13896</v>
      </c>
      <c r="AUL1" s="24" t="s">
        <v>13897</v>
      </c>
      <c r="AUM1" s="24" t="s">
        <v>13898</v>
      </c>
      <c r="AUN1" s="24" t="s">
        <v>13899</v>
      </c>
      <c r="AUO1" s="24" t="s">
        <v>13900</v>
      </c>
      <c r="AUP1" s="24" t="s">
        <v>13901</v>
      </c>
      <c r="AUQ1" s="24" t="s">
        <v>13902</v>
      </c>
      <c r="AUR1" s="24" t="s">
        <v>13903</v>
      </c>
      <c r="AUS1" s="24" t="s">
        <v>13904</v>
      </c>
      <c r="AUT1" s="24" t="s">
        <v>13905</v>
      </c>
      <c r="AUU1" s="24" t="s">
        <v>13906</v>
      </c>
      <c r="AUV1" s="24" t="s">
        <v>13907</v>
      </c>
      <c r="AUW1" s="24" t="s">
        <v>13908</v>
      </c>
      <c r="AUX1" s="24" t="s">
        <v>13909</v>
      </c>
      <c r="AUY1" s="24" t="s">
        <v>13910</v>
      </c>
      <c r="AUZ1" s="24" t="s">
        <v>13911</v>
      </c>
      <c r="AVA1" s="24" t="s">
        <v>13912</v>
      </c>
      <c r="AVB1" s="24" t="s">
        <v>13913</v>
      </c>
      <c r="AVC1" s="24" t="s">
        <v>13914</v>
      </c>
      <c r="AVD1" s="24" t="s">
        <v>13915</v>
      </c>
      <c r="AVE1" s="24" t="s">
        <v>13916</v>
      </c>
      <c r="AVF1" s="24" t="s">
        <v>13917</v>
      </c>
      <c r="AVG1" s="24" t="s">
        <v>13918</v>
      </c>
      <c r="AVH1" s="24" t="s">
        <v>13919</v>
      </c>
      <c r="AVI1" s="24" t="s">
        <v>13920</v>
      </c>
      <c r="AVJ1" s="24" t="s">
        <v>13921</v>
      </c>
      <c r="AVK1" s="24" t="s">
        <v>13922</v>
      </c>
      <c r="AVL1" s="24" t="s">
        <v>13923</v>
      </c>
      <c r="AVM1" s="24" t="s">
        <v>13924</v>
      </c>
      <c r="AVN1" s="24" t="s">
        <v>13925</v>
      </c>
      <c r="AVO1" s="24" t="s">
        <v>13926</v>
      </c>
      <c r="AVP1" s="24" t="s">
        <v>13927</v>
      </c>
      <c r="AVQ1" s="24" t="s">
        <v>13928</v>
      </c>
      <c r="AVR1" s="24" t="s">
        <v>13929</v>
      </c>
      <c r="AVS1" s="24" t="s">
        <v>13930</v>
      </c>
      <c r="AVT1" s="24" t="s">
        <v>13931</v>
      </c>
      <c r="AVU1" s="24" t="s">
        <v>13932</v>
      </c>
      <c r="AVV1" s="24" t="s">
        <v>13933</v>
      </c>
      <c r="AVW1" s="24" t="s">
        <v>13934</v>
      </c>
      <c r="AVX1" s="24" t="s">
        <v>13935</v>
      </c>
      <c r="AVY1" s="24" t="s">
        <v>13936</v>
      </c>
      <c r="AVZ1" s="24" t="s">
        <v>13937</v>
      </c>
      <c r="AWA1" s="24" t="s">
        <v>13938</v>
      </c>
      <c r="AWB1" s="24" t="s">
        <v>13939</v>
      </c>
      <c r="AWC1" s="24" t="s">
        <v>13940</v>
      </c>
      <c r="AWD1" s="24" t="s">
        <v>13941</v>
      </c>
      <c r="AWE1" s="24" t="s">
        <v>13942</v>
      </c>
      <c r="AWF1" s="24" t="s">
        <v>13943</v>
      </c>
      <c r="AWG1" s="24" t="s">
        <v>13944</v>
      </c>
      <c r="AWH1" s="24" t="s">
        <v>13945</v>
      </c>
      <c r="AWI1" s="24" t="s">
        <v>13946</v>
      </c>
      <c r="AWJ1" s="24" t="s">
        <v>13947</v>
      </c>
      <c r="AWK1" s="24" t="s">
        <v>13948</v>
      </c>
      <c r="AWL1" s="24" t="s">
        <v>13949</v>
      </c>
      <c r="AWM1" s="24" t="s">
        <v>13950</v>
      </c>
      <c r="AWN1" s="24" t="s">
        <v>13951</v>
      </c>
      <c r="AWO1" s="24" t="s">
        <v>13952</v>
      </c>
      <c r="AWP1" s="24" t="s">
        <v>13953</v>
      </c>
      <c r="AWQ1" s="24" t="s">
        <v>13954</v>
      </c>
      <c r="AWR1" s="24" t="s">
        <v>13955</v>
      </c>
      <c r="AWS1" s="24" t="s">
        <v>13956</v>
      </c>
      <c r="AWT1" s="24" t="s">
        <v>13957</v>
      </c>
      <c r="AWU1" s="24" t="s">
        <v>13958</v>
      </c>
      <c r="AWV1" s="24" t="s">
        <v>13959</v>
      </c>
      <c r="AWW1" s="24" t="s">
        <v>13960</v>
      </c>
      <c r="AWX1" s="24" t="s">
        <v>13961</v>
      </c>
      <c r="AWY1" s="24" t="s">
        <v>13962</v>
      </c>
      <c r="AWZ1" s="24" t="s">
        <v>13963</v>
      </c>
      <c r="AXA1" s="24" t="s">
        <v>13964</v>
      </c>
      <c r="AXB1" s="24" t="s">
        <v>13965</v>
      </c>
      <c r="AXC1" s="24" t="s">
        <v>13966</v>
      </c>
      <c r="AXD1" s="24" t="s">
        <v>13967</v>
      </c>
      <c r="AXE1" s="24" t="s">
        <v>13968</v>
      </c>
      <c r="AXF1" s="24" t="s">
        <v>13969</v>
      </c>
      <c r="AXG1" s="24" t="s">
        <v>13970</v>
      </c>
      <c r="AXH1" s="24" t="s">
        <v>13971</v>
      </c>
      <c r="AXI1" s="24" t="s">
        <v>13972</v>
      </c>
      <c r="AXJ1" s="24" t="s">
        <v>13973</v>
      </c>
      <c r="AXK1" s="24" t="s">
        <v>13974</v>
      </c>
      <c r="AXL1" s="24" t="s">
        <v>13975</v>
      </c>
      <c r="AXM1" s="24" t="s">
        <v>13976</v>
      </c>
      <c r="AXN1" s="24" t="s">
        <v>13977</v>
      </c>
      <c r="AXO1" s="24" t="s">
        <v>13978</v>
      </c>
      <c r="AXP1" s="24" t="s">
        <v>13979</v>
      </c>
      <c r="AXQ1" s="24" t="s">
        <v>13980</v>
      </c>
      <c r="AXR1" s="24" t="s">
        <v>13981</v>
      </c>
      <c r="AXS1" s="24" t="s">
        <v>13982</v>
      </c>
      <c r="AXT1" s="24" t="s">
        <v>13983</v>
      </c>
      <c r="AXU1" s="24" t="s">
        <v>13984</v>
      </c>
      <c r="AXV1" s="24" t="s">
        <v>13985</v>
      </c>
      <c r="AXW1" s="24" t="s">
        <v>13986</v>
      </c>
      <c r="AXX1" s="24" t="s">
        <v>13987</v>
      </c>
      <c r="AXY1" s="24" t="s">
        <v>13988</v>
      </c>
      <c r="AXZ1" s="24" t="s">
        <v>13989</v>
      </c>
      <c r="AYA1" s="24" t="s">
        <v>13990</v>
      </c>
      <c r="AYB1" s="24" t="s">
        <v>13991</v>
      </c>
      <c r="AYC1" s="24" t="s">
        <v>13992</v>
      </c>
      <c r="AYD1" s="24" t="s">
        <v>13993</v>
      </c>
      <c r="AYE1" s="24" t="s">
        <v>13994</v>
      </c>
      <c r="AYF1" s="24" t="s">
        <v>13995</v>
      </c>
      <c r="AYG1" s="24" t="s">
        <v>13996</v>
      </c>
      <c r="AYH1" s="24" t="s">
        <v>13997</v>
      </c>
      <c r="AYI1" s="24" t="s">
        <v>13998</v>
      </c>
      <c r="AYJ1" s="24" t="s">
        <v>13999</v>
      </c>
      <c r="AYK1" s="24" t="s">
        <v>14000</v>
      </c>
      <c r="AYL1" s="24" t="s">
        <v>14001</v>
      </c>
      <c r="AYM1" s="24" t="s">
        <v>14002</v>
      </c>
      <c r="AYN1" s="24" t="s">
        <v>14003</v>
      </c>
      <c r="AYO1" s="24" t="s">
        <v>14004</v>
      </c>
      <c r="AYP1" s="24" t="s">
        <v>14005</v>
      </c>
      <c r="AYQ1" s="24" t="s">
        <v>14006</v>
      </c>
      <c r="AYR1" s="24" t="s">
        <v>14007</v>
      </c>
      <c r="AYS1" s="24" t="s">
        <v>14008</v>
      </c>
      <c r="AYT1" s="24" t="s">
        <v>14009</v>
      </c>
      <c r="AYU1" s="24" t="s">
        <v>14010</v>
      </c>
      <c r="AYV1" s="24" t="s">
        <v>14011</v>
      </c>
      <c r="AYW1" s="24" t="s">
        <v>14012</v>
      </c>
      <c r="AYX1" s="24" t="s">
        <v>14013</v>
      </c>
      <c r="AYY1" s="24" t="s">
        <v>14014</v>
      </c>
      <c r="AYZ1" s="24" t="s">
        <v>14015</v>
      </c>
      <c r="AZA1" s="24" t="s">
        <v>14016</v>
      </c>
      <c r="AZB1" s="24" t="s">
        <v>14017</v>
      </c>
      <c r="AZC1" s="24" t="s">
        <v>14018</v>
      </c>
      <c r="AZD1" s="24" t="s">
        <v>14019</v>
      </c>
      <c r="AZE1" s="24" t="s">
        <v>14020</v>
      </c>
      <c r="AZF1" s="24" t="s">
        <v>14021</v>
      </c>
      <c r="AZG1" s="24" t="s">
        <v>14022</v>
      </c>
      <c r="AZH1" s="24" t="s">
        <v>14023</v>
      </c>
      <c r="AZI1" s="24" t="s">
        <v>14024</v>
      </c>
      <c r="AZJ1" s="24" t="s">
        <v>14025</v>
      </c>
      <c r="AZK1" s="24" t="s">
        <v>14026</v>
      </c>
      <c r="AZL1" s="24" t="s">
        <v>14027</v>
      </c>
      <c r="AZM1" s="24" t="s">
        <v>14028</v>
      </c>
      <c r="AZN1" s="24" t="s">
        <v>14029</v>
      </c>
      <c r="AZO1" s="24" t="s">
        <v>14030</v>
      </c>
      <c r="AZP1" s="24" t="s">
        <v>14031</v>
      </c>
      <c r="AZQ1" s="24" t="s">
        <v>14032</v>
      </c>
      <c r="AZR1" s="24" t="s">
        <v>14033</v>
      </c>
      <c r="AZS1" s="24" t="s">
        <v>14034</v>
      </c>
      <c r="AZT1" s="24" t="s">
        <v>14035</v>
      </c>
      <c r="AZU1" s="24" t="s">
        <v>14036</v>
      </c>
      <c r="AZV1" s="24" t="s">
        <v>14037</v>
      </c>
      <c r="AZW1" s="24" t="s">
        <v>14038</v>
      </c>
      <c r="AZX1" s="24" t="s">
        <v>14039</v>
      </c>
      <c r="AZY1" s="24" t="s">
        <v>14040</v>
      </c>
      <c r="AZZ1" s="24" t="s">
        <v>14041</v>
      </c>
      <c r="BAA1" s="24" t="s">
        <v>14042</v>
      </c>
      <c r="BAB1" s="24" t="s">
        <v>14043</v>
      </c>
      <c r="BAC1" s="24" t="s">
        <v>14044</v>
      </c>
      <c r="BAD1" s="24" t="s">
        <v>14045</v>
      </c>
      <c r="BAE1" s="24" t="s">
        <v>14046</v>
      </c>
      <c r="BAF1" s="24" t="s">
        <v>14047</v>
      </c>
      <c r="BAG1" s="24" t="s">
        <v>14048</v>
      </c>
      <c r="BAH1" s="24" t="s">
        <v>14049</v>
      </c>
      <c r="BAI1" s="24" t="s">
        <v>14050</v>
      </c>
      <c r="BAJ1" s="24" t="s">
        <v>14051</v>
      </c>
      <c r="BAK1" s="24" t="s">
        <v>14052</v>
      </c>
      <c r="BAL1" s="24" t="s">
        <v>14053</v>
      </c>
      <c r="BAM1" s="24" t="s">
        <v>14054</v>
      </c>
      <c r="BAN1" s="24" t="s">
        <v>14055</v>
      </c>
      <c r="BAO1" s="24" t="s">
        <v>14056</v>
      </c>
      <c r="BAP1" s="24" t="s">
        <v>14057</v>
      </c>
      <c r="BAQ1" s="24" t="s">
        <v>14058</v>
      </c>
      <c r="BAR1" s="24" t="s">
        <v>14059</v>
      </c>
      <c r="BAS1" s="24" t="s">
        <v>14060</v>
      </c>
      <c r="BAT1" s="24" t="s">
        <v>14061</v>
      </c>
      <c r="BAU1" s="24" t="s">
        <v>14062</v>
      </c>
      <c r="BAV1" s="24" t="s">
        <v>14063</v>
      </c>
      <c r="BAW1" s="24" t="s">
        <v>14064</v>
      </c>
      <c r="BAX1" s="24" t="s">
        <v>14065</v>
      </c>
      <c r="BAY1" s="24" t="s">
        <v>14066</v>
      </c>
      <c r="BAZ1" s="24" t="s">
        <v>14067</v>
      </c>
      <c r="BBA1" s="24" t="s">
        <v>14068</v>
      </c>
      <c r="BBB1" s="24" t="s">
        <v>14069</v>
      </c>
      <c r="BBC1" s="24" t="s">
        <v>14070</v>
      </c>
      <c r="BBD1" s="24" t="s">
        <v>14071</v>
      </c>
      <c r="BBE1" s="24" t="s">
        <v>14072</v>
      </c>
      <c r="BBF1" s="24" t="s">
        <v>14073</v>
      </c>
      <c r="BBG1" s="24" t="s">
        <v>14074</v>
      </c>
      <c r="BBH1" s="24" t="s">
        <v>14075</v>
      </c>
      <c r="BBI1" s="24" t="s">
        <v>14076</v>
      </c>
      <c r="BBJ1" s="24" t="s">
        <v>14077</v>
      </c>
      <c r="BBK1" s="24" t="s">
        <v>14078</v>
      </c>
      <c r="BBL1" s="24" t="s">
        <v>14079</v>
      </c>
      <c r="BBM1" s="24" t="s">
        <v>14080</v>
      </c>
      <c r="BBN1" s="24" t="s">
        <v>14081</v>
      </c>
      <c r="BBO1" s="24" t="s">
        <v>14082</v>
      </c>
      <c r="BBP1" s="24" t="s">
        <v>14083</v>
      </c>
      <c r="BBQ1" s="24" t="s">
        <v>14084</v>
      </c>
      <c r="BBR1" s="24" t="s">
        <v>14085</v>
      </c>
      <c r="BBS1" s="24" t="s">
        <v>14086</v>
      </c>
      <c r="BBT1" s="24" t="s">
        <v>14087</v>
      </c>
      <c r="BBU1" s="24" t="s">
        <v>14088</v>
      </c>
      <c r="BBV1" s="24" t="s">
        <v>14089</v>
      </c>
      <c r="BBW1" s="24" t="s">
        <v>14090</v>
      </c>
      <c r="BBX1" s="24" t="s">
        <v>14091</v>
      </c>
      <c r="BBY1" s="24" t="s">
        <v>14092</v>
      </c>
      <c r="BBZ1" s="24" t="s">
        <v>14093</v>
      </c>
      <c r="BCA1" s="24" t="s">
        <v>14094</v>
      </c>
      <c r="BCB1" s="24" t="s">
        <v>14095</v>
      </c>
      <c r="BCC1" s="24" t="s">
        <v>14096</v>
      </c>
      <c r="BCD1" s="24" t="s">
        <v>14097</v>
      </c>
      <c r="BCE1" s="24" t="s">
        <v>14098</v>
      </c>
      <c r="BCF1" s="24" t="s">
        <v>14099</v>
      </c>
      <c r="BCG1" s="24" t="s">
        <v>14100</v>
      </c>
      <c r="BCH1" s="24" t="s">
        <v>14101</v>
      </c>
      <c r="BCI1" s="24" t="s">
        <v>14102</v>
      </c>
      <c r="BCJ1" s="24" t="s">
        <v>14103</v>
      </c>
      <c r="BCK1" s="24" t="s">
        <v>14104</v>
      </c>
      <c r="BCL1" s="24" t="s">
        <v>14105</v>
      </c>
      <c r="BCM1" s="24" t="s">
        <v>14106</v>
      </c>
      <c r="BCN1" s="24" t="s">
        <v>14107</v>
      </c>
      <c r="BCO1" s="24" t="s">
        <v>14108</v>
      </c>
      <c r="BCP1" s="24" t="s">
        <v>14109</v>
      </c>
      <c r="BCQ1" s="24" t="s">
        <v>14110</v>
      </c>
      <c r="BCR1" s="24" t="s">
        <v>14111</v>
      </c>
      <c r="BCS1" s="24" t="s">
        <v>14112</v>
      </c>
      <c r="BCT1" s="24" t="s">
        <v>14113</v>
      </c>
      <c r="BCU1" s="24" t="s">
        <v>14114</v>
      </c>
      <c r="BCV1" s="24" t="s">
        <v>14115</v>
      </c>
      <c r="BCW1" s="24" t="s">
        <v>14116</v>
      </c>
      <c r="BCX1" s="24" t="s">
        <v>14117</v>
      </c>
      <c r="BCY1" s="24" t="s">
        <v>14118</v>
      </c>
      <c r="BCZ1" s="24" t="s">
        <v>14119</v>
      </c>
      <c r="BDA1" s="24" t="s">
        <v>14120</v>
      </c>
      <c r="BDB1" s="24" t="s">
        <v>14121</v>
      </c>
      <c r="BDC1" s="24" t="s">
        <v>14122</v>
      </c>
      <c r="BDD1" s="24" t="s">
        <v>14123</v>
      </c>
      <c r="BDE1" s="24" t="s">
        <v>14124</v>
      </c>
      <c r="BDF1" s="24" t="s">
        <v>14125</v>
      </c>
      <c r="BDG1" s="24" t="s">
        <v>14126</v>
      </c>
      <c r="BDH1" s="24" t="s">
        <v>14127</v>
      </c>
      <c r="BDI1" s="24" t="s">
        <v>14128</v>
      </c>
      <c r="BDJ1" s="24" t="s">
        <v>14129</v>
      </c>
      <c r="BDK1" s="24" t="s">
        <v>14130</v>
      </c>
      <c r="BDL1" s="24" t="s">
        <v>14131</v>
      </c>
      <c r="BDM1" s="24" t="s">
        <v>14132</v>
      </c>
      <c r="BDN1" s="24" t="s">
        <v>14133</v>
      </c>
      <c r="BDO1" s="24" t="s">
        <v>14134</v>
      </c>
      <c r="BDP1" s="24" t="s">
        <v>14135</v>
      </c>
      <c r="BDQ1" s="24" t="s">
        <v>14136</v>
      </c>
      <c r="BDR1" s="24" t="s">
        <v>14137</v>
      </c>
      <c r="BDS1" s="24" t="s">
        <v>14138</v>
      </c>
      <c r="BDT1" s="24" t="s">
        <v>14139</v>
      </c>
      <c r="BDU1" s="24" t="s">
        <v>14140</v>
      </c>
      <c r="BDV1" s="24" t="s">
        <v>14141</v>
      </c>
      <c r="BDW1" s="24" t="s">
        <v>14142</v>
      </c>
      <c r="BDX1" s="24" t="s">
        <v>14143</v>
      </c>
      <c r="BDY1" s="24" t="s">
        <v>14144</v>
      </c>
      <c r="BDZ1" s="24" t="s">
        <v>14145</v>
      </c>
      <c r="BEA1" s="24" t="s">
        <v>14146</v>
      </c>
      <c r="BEB1" s="24" t="s">
        <v>14147</v>
      </c>
      <c r="BEC1" s="24" t="s">
        <v>14148</v>
      </c>
      <c r="BED1" s="24" t="s">
        <v>14149</v>
      </c>
      <c r="BEE1" s="24" t="s">
        <v>14150</v>
      </c>
      <c r="BEF1" s="24" t="s">
        <v>14151</v>
      </c>
      <c r="BEG1" s="24" t="s">
        <v>14152</v>
      </c>
      <c r="BEH1" s="24" t="s">
        <v>14153</v>
      </c>
      <c r="BEI1" s="24" t="s">
        <v>14154</v>
      </c>
      <c r="BEJ1" s="24" t="s">
        <v>14155</v>
      </c>
      <c r="BEK1" s="24" t="s">
        <v>14156</v>
      </c>
      <c r="BEL1" s="24" t="s">
        <v>14157</v>
      </c>
      <c r="BEM1" s="24" t="s">
        <v>14158</v>
      </c>
      <c r="BEN1" s="24" t="s">
        <v>14159</v>
      </c>
      <c r="BEO1" s="24" t="s">
        <v>14160</v>
      </c>
      <c r="BEP1" s="24" t="s">
        <v>14161</v>
      </c>
      <c r="BEQ1" s="24" t="s">
        <v>14162</v>
      </c>
      <c r="BER1" s="24" t="s">
        <v>14163</v>
      </c>
      <c r="BES1" s="24" t="s">
        <v>14164</v>
      </c>
      <c r="BET1" s="24" t="s">
        <v>14165</v>
      </c>
      <c r="BEU1" s="24" t="s">
        <v>14166</v>
      </c>
      <c r="BEV1" s="24" t="s">
        <v>14167</v>
      </c>
      <c r="BEW1" s="24" t="s">
        <v>14168</v>
      </c>
      <c r="BEX1" s="24" t="s">
        <v>14169</v>
      </c>
      <c r="BEY1" s="24" t="s">
        <v>14170</v>
      </c>
      <c r="BEZ1" s="24" t="s">
        <v>14171</v>
      </c>
      <c r="BFA1" s="24" t="s">
        <v>14172</v>
      </c>
      <c r="BFB1" s="24" t="s">
        <v>14173</v>
      </c>
      <c r="BFC1" s="24" t="s">
        <v>14174</v>
      </c>
      <c r="BFD1" s="24" t="s">
        <v>14175</v>
      </c>
      <c r="BFE1" s="24" t="s">
        <v>14176</v>
      </c>
      <c r="BFF1" s="24" t="s">
        <v>14177</v>
      </c>
      <c r="BFG1" s="24" t="s">
        <v>14178</v>
      </c>
      <c r="BFH1" s="24" t="s">
        <v>14179</v>
      </c>
      <c r="BFI1" s="24" t="s">
        <v>14180</v>
      </c>
      <c r="BFJ1" s="24" t="s">
        <v>14181</v>
      </c>
      <c r="BFK1" s="24" t="s">
        <v>14182</v>
      </c>
      <c r="BFL1" s="24" t="s">
        <v>14183</v>
      </c>
      <c r="BFM1" s="24" t="s">
        <v>14184</v>
      </c>
      <c r="BFN1" s="24" t="s">
        <v>14185</v>
      </c>
      <c r="BFO1" s="24" t="s">
        <v>14186</v>
      </c>
      <c r="BFP1" s="24" t="s">
        <v>14187</v>
      </c>
      <c r="BFQ1" s="24" t="s">
        <v>14188</v>
      </c>
      <c r="BFR1" s="24" t="s">
        <v>14189</v>
      </c>
      <c r="BFS1" s="24" t="s">
        <v>14190</v>
      </c>
      <c r="BFT1" s="24" t="s">
        <v>14191</v>
      </c>
      <c r="BFU1" s="24" t="s">
        <v>14192</v>
      </c>
      <c r="BFV1" s="24" t="s">
        <v>14193</v>
      </c>
      <c r="BFW1" s="24" t="s">
        <v>14194</v>
      </c>
      <c r="BFX1" s="24" t="s">
        <v>14195</v>
      </c>
      <c r="BFY1" s="24" t="s">
        <v>14196</v>
      </c>
      <c r="BFZ1" s="24" t="s">
        <v>14197</v>
      </c>
      <c r="BGA1" s="24" t="s">
        <v>14198</v>
      </c>
      <c r="BGB1" s="24" t="s">
        <v>14199</v>
      </c>
      <c r="BGC1" s="24" t="s">
        <v>14200</v>
      </c>
      <c r="BGD1" s="24" t="s">
        <v>14201</v>
      </c>
      <c r="BGE1" s="24" t="s">
        <v>14202</v>
      </c>
      <c r="BGF1" s="24" t="s">
        <v>14203</v>
      </c>
      <c r="BGG1" s="24" t="s">
        <v>14204</v>
      </c>
      <c r="BGH1" s="24" t="s">
        <v>14205</v>
      </c>
      <c r="BGI1" s="24" t="s">
        <v>14206</v>
      </c>
      <c r="BGJ1" s="24" t="s">
        <v>14207</v>
      </c>
      <c r="BGK1" s="24" t="s">
        <v>14208</v>
      </c>
      <c r="BGL1" s="24" t="s">
        <v>14209</v>
      </c>
      <c r="BGM1" s="24" t="s">
        <v>14210</v>
      </c>
      <c r="BGN1" s="24" t="s">
        <v>14211</v>
      </c>
      <c r="BGO1" s="24" t="s">
        <v>14212</v>
      </c>
      <c r="BGP1" s="24" t="s">
        <v>14213</v>
      </c>
      <c r="BGQ1" s="24" t="s">
        <v>14214</v>
      </c>
      <c r="BGR1" s="24" t="s">
        <v>14215</v>
      </c>
      <c r="BGS1" s="24" t="s">
        <v>14216</v>
      </c>
      <c r="BGT1" s="24" t="s">
        <v>14217</v>
      </c>
      <c r="BGU1" s="24" t="s">
        <v>14218</v>
      </c>
      <c r="BGV1" s="24" t="s">
        <v>14219</v>
      </c>
      <c r="BGW1" s="24" t="s">
        <v>14220</v>
      </c>
      <c r="BGX1" s="24" t="s">
        <v>14221</v>
      </c>
      <c r="BGY1" s="24" t="s">
        <v>14222</v>
      </c>
      <c r="BGZ1" s="24" t="s">
        <v>14223</v>
      </c>
      <c r="BHA1" s="24" t="s">
        <v>14224</v>
      </c>
      <c r="BHB1" s="24" t="s">
        <v>14225</v>
      </c>
      <c r="BHC1" s="24" t="s">
        <v>14226</v>
      </c>
      <c r="BHD1" s="24" t="s">
        <v>14227</v>
      </c>
      <c r="BHE1" s="24" t="s">
        <v>14228</v>
      </c>
      <c r="BHF1" s="24" t="s">
        <v>14229</v>
      </c>
      <c r="BHG1" s="24" t="s">
        <v>14230</v>
      </c>
      <c r="BHH1" s="24" t="s">
        <v>14231</v>
      </c>
      <c r="BHI1" s="24" t="s">
        <v>14232</v>
      </c>
      <c r="BHJ1" s="24" t="s">
        <v>14233</v>
      </c>
      <c r="BHK1" s="24" t="s">
        <v>14234</v>
      </c>
      <c r="BHL1" s="24" t="s">
        <v>14235</v>
      </c>
      <c r="BHM1" s="24" t="s">
        <v>14236</v>
      </c>
      <c r="BHN1" s="24" t="s">
        <v>14237</v>
      </c>
      <c r="BHO1" s="24" t="s">
        <v>14238</v>
      </c>
      <c r="BHP1" s="24" t="s">
        <v>14239</v>
      </c>
      <c r="BHQ1" s="24" t="s">
        <v>14240</v>
      </c>
      <c r="BHR1" s="24" t="s">
        <v>14241</v>
      </c>
      <c r="BHS1" s="24" t="s">
        <v>14242</v>
      </c>
      <c r="BHT1" s="24" t="s">
        <v>14243</v>
      </c>
      <c r="BHU1" s="24" t="s">
        <v>14244</v>
      </c>
      <c r="BHV1" s="24" t="s">
        <v>14245</v>
      </c>
      <c r="BHW1" s="24" t="s">
        <v>14246</v>
      </c>
      <c r="BHX1" s="24" t="s">
        <v>14247</v>
      </c>
      <c r="BHY1" s="24" t="s">
        <v>14248</v>
      </c>
      <c r="BHZ1" s="24" t="s">
        <v>14249</v>
      </c>
      <c r="BIA1" s="24" t="s">
        <v>14250</v>
      </c>
      <c r="BIB1" s="24" t="s">
        <v>14251</v>
      </c>
      <c r="BIC1" s="24" t="s">
        <v>14252</v>
      </c>
      <c r="BID1" s="24" t="s">
        <v>14253</v>
      </c>
      <c r="BIE1" s="24" t="s">
        <v>14254</v>
      </c>
      <c r="BIF1" s="24" t="s">
        <v>14255</v>
      </c>
      <c r="BIG1" s="24" t="s">
        <v>14256</v>
      </c>
      <c r="BIH1" s="24" t="s">
        <v>14257</v>
      </c>
      <c r="BII1" s="24" t="s">
        <v>14258</v>
      </c>
      <c r="BIJ1" s="24" t="s">
        <v>14259</v>
      </c>
      <c r="BIK1" s="24" t="s">
        <v>14260</v>
      </c>
      <c r="BIL1" s="24" t="s">
        <v>14261</v>
      </c>
      <c r="BIM1" s="24" t="s">
        <v>14262</v>
      </c>
      <c r="BIN1" s="24" t="s">
        <v>14263</v>
      </c>
      <c r="BIO1" s="24" t="s">
        <v>14264</v>
      </c>
      <c r="BIP1" s="24" t="s">
        <v>14265</v>
      </c>
      <c r="BIQ1" s="24" t="s">
        <v>14266</v>
      </c>
      <c r="BIR1" s="24" t="s">
        <v>14267</v>
      </c>
      <c r="BIS1" s="24" t="s">
        <v>14268</v>
      </c>
      <c r="BIT1" s="24" t="s">
        <v>14269</v>
      </c>
      <c r="BIU1" s="24" t="s">
        <v>14270</v>
      </c>
      <c r="BIV1" s="24" t="s">
        <v>14271</v>
      </c>
      <c r="BIW1" s="24" t="s">
        <v>14272</v>
      </c>
      <c r="BIX1" s="24" t="s">
        <v>14273</v>
      </c>
      <c r="BIY1" s="24" t="s">
        <v>14274</v>
      </c>
      <c r="BIZ1" s="24" t="s">
        <v>14275</v>
      </c>
      <c r="BJA1" s="24" t="s">
        <v>14276</v>
      </c>
      <c r="BJB1" s="24" t="s">
        <v>14277</v>
      </c>
      <c r="BJC1" s="24" t="s">
        <v>14278</v>
      </c>
      <c r="BJD1" s="24" t="s">
        <v>14279</v>
      </c>
      <c r="BJE1" s="24" t="s">
        <v>14280</v>
      </c>
      <c r="BJF1" s="24" t="s">
        <v>14281</v>
      </c>
      <c r="BJG1" s="24" t="s">
        <v>14282</v>
      </c>
      <c r="BJH1" s="24" t="s">
        <v>14283</v>
      </c>
      <c r="BJI1" s="24" t="s">
        <v>14284</v>
      </c>
      <c r="BJJ1" s="24" t="s">
        <v>14285</v>
      </c>
      <c r="BJK1" s="24" t="s">
        <v>14286</v>
      </c>
      <c r="BJL1" s="24" t="s">
        <v>14287</v>
      </c>
      <c r="BJM1" s="24" t="s">
        <v>14288</v>
      </c>
      <c r="BJN1" s="24" t="s">
        <v>14289</v>
      </c>
      <c r="BJO1" s="24" t="s">
        <v>14290</v>
      </c>
      <c r="BJP1" s="24" t="s">
        <v>14291</v>
      </c>
      <c r="BJQ1" s="24" t="s">
        <v>14292</v>
      </c>
      <c r="BJR1" s="24" t="s">
        <v>14293</v>
      </c>
      <c r="BJS1" s="24" t="s">
        <v>14294</v>
      </c>
      <c r="BJT1" s="24" t="s">
        <v>14295</v>
      </c>
      <c r="BJU1" s="24" t="s">
        <v>14296</v>
      </c>
      <c r="BJV1" s="24" t="s">
        <v>14297</v>
      </c>
      <c r="BJW1" s="24" t="s">
        <v>14298</v>
      </c>
      <c r="BJX1" s="24" t="s">
        <v>14299</v>
      </c>
      <c r="BJY1" s="24" t="s">
        <v>14300</v>
      </c>
      <c r="BJZ1" s="24" t="s">
        <v>14301</v>
      </c>
      <c r="BKA1" s="24" t="s">
        <v>14302</v>
      </c>
      <c r="BKB1" s="24" t="s">
        <v>14303</v>
      </c>
      <c r="BKC1" s="24" t="s">
        <v>14304</v>
      </c>
      <c r="BKD1" s="24" t="s">
        <v>14305</v>
      </c>
      <c r="BKE1" s="24" t="s">
        <v>14306</v>
      </c>
      <c r="BKF1" s="24" t="s">
        <v>14307</v>
      </c>
      <c r="BKG1" s="24" t="s">
        <v>14308</v>
      </c>
      <c r="BKH1" s="24" t="s">
        <v>14309</v>
      </c>
      <c r="BKI1" s="24" t="s">
        <v>14310</v>
      </c>
      <c r="BKJ1" s="24" t="s">
        <v>14311</v>
      </c>
      <c r="BKK1" s="24" t="s">
        <v>14312</v>
      </c>
      <c r="BKL1" s="24" t="s">
        <v>14313</v>
      </c>
      <c r="BKM1" s="24" t="s">
        <v>14314</v>
      </c>
      <c r="BKN1" s="24" t="s">
        <v>14315</v>
      </c>
      <c r="BKO1" s="24" t="s">
        <v>14316</v>
      </c>
      <c r="BKP1" s="24" t="s">
        <v>14317</v>
      </c>
      <c r="BKQ1" s="24" t="s">
        <v>14318</v>
      </c>
      <c r="BKR1" s="24" t="s">
        <v>14319</v>
      </c>
      <c r="BKS1" s="24" t="s">
        <v>14320</v>
      </c>
      <c r="BKT1" s="24" t="s">
        <v>14321</v>
      </c>
      <c r="BKU1" s="24" t="s">
        <v>14322</v>
      </c>
      <c r="BKV1" s="24" t="s">
        <v>14323</v>
      </c>
      <c r="BKW1" s="24" t="s">
        <v>14324</v>
      </c>
      <c r="BKX1" s="24" t="s">
        <v>14325</v>
      </c>
      <c r="BKY1" s="24" t="s">
        <v>14326</v>
      </c>
      <c r="BKZ1" s="24" t="s">
        <v>14327</v>
      </c>
      <c r="BLA1" s="24" t="s">
        <v>14328</v>
      </c>
      <c r="BLB1" s="24" t="s">
        <v>14329</v>
      </c>
      <c r="BLC1" s="24" t="s">
        <v>14330</v>
      </c>
      <c r="BLD1" s="24" t="s">
        <v>14331</v>
      </c>
      <c r="BLE1" s="24" t="s">
        <v>14332</v>
      </c>
      <c r="BLF1" s="24" t="s">
        <v>14333</v>
      </c>
      <c r="BLG1" s="24" t="s">
        <v>14334</v>
      </c>
      <c r="BLH1" s="24" t="s">
        <v>14335</v>
      </c>
      <c r="BLI1" s="24" t="s">
        <v>14336</v>
      </c>
      <c r="BLJ1" s="24" t="s">
        <v>14337</v>
      </c>
      <c r="BLK1" s="24" t="s">
        <v>14338</v>
      </c>
      <c r="BLL1" s="24" t="s">
        <v>14339</v>
      </c>
      <c r="BLM1" s="24" t="s">
        <v>14340</v>
      </c>
      <c r="BLN1" s="24" t="s">
        <v>14341</v>
      </c>
      <c r="BLO1" s="24" t="s">
        <v>14342</v>
      </c>
      <c r="BLP1" s="24" t="s">
        <v>14343</v>
      </c>
      <c r="BLQ1" s="24" t="s">
        <v>14344</v>
      </c>
      <c r="BLR1" s="24" t="s">
        <v>14345</v>
      </c>
      <c r="BLS1" s="24" t="s">
        <v>14346</v>
      </c>
      <c r="BLT1" s="24" t="s">
        <v>14347</v>
      </c>
      <c r="BLU1" s="24" t="s">
        <v>14348</v>
      </c>
      <c r="BLV1" s="24" t="s">
        <v>14349</v>
      </c>
      <c r="BLW1" s="24" t="s">
        <v>14350</v>
      </c>
      <c r="BLX1" s="24" t="s">
        <v>14351</v>
      </c>
      <c r="BLY1" s="24" t="s">
        <v>14352</v>
      </c>
      <c r="BLZ1" s="24" t="s">
        <v>14353</v>
      </c>
      <c r="BMA1" s="24" t="s">
        <v>14354</v>
      </c>
      <c r="BMB1" s="24" t="s">
        <v>14355</v>
      </c>
      <c r="BMC1" s="24" t="s">
        <v>14356</v>
      </c>
      <c r="BMD1" s="24" t="s">
        <v>14357</v>
      </c>
      <c r="BME1" s="24" t="s">
        <v>14358</v>
      </c>
      <c r="BMF1" s="24" t="s">
        <v>14359</v>
      </c>
      <c r="BMG1" s="24" t="s">
        <v>14360</v>
      </c>
      <c r="BMH1" s="24" t="s">
        <v>14361</v>
      </c>
      <c r="BMI1" s="24" t="s">
        <v>14362</v>
      </c>
      <c r="BMJ1" s="24" t="s">
        <v>14363</v>
      </c>
      <c r="BMK1" s="24" t="s">
        <v>14364</v>
      </c>
      <c r="BML1" s="24" t="s">
        <v>14365</v>
      </c>
      <c r="BMM1" s="24" t="s">
        <v>14366</v>
      </c>
      <c r="BMN1" s="24" t="s">
        <v>14367</v>
      </c>
      <c r="BMO1" s="24" t="s">
        <v>14368</v>
      </c>
      <c r="BMP1" s="24" t="s">
        <v>14369</v>
      </c>
      <c r="BMQ1" s="24" t="s">
        <v>14370</v>
      </c>
      <c r="BMR1" s="24" t="s">
        <v>14371</v>
      </c>
      <c r="BMS1" s="24" t="s">
        <v>14372</v>
      </c>
      <c r="BMT1" s="24" t="s">
        <v>14373</v>
      </c>
      <c r="BMU1" s="24" t="s">
        <v>14374</v>
      </c>
      <c r="BMV1" s="24" t="s">
        <v>14375</v>
      </c>
      <c r="BMW1" s="24" t="s">
        <v>14376</v>
      </c>
      <c r="BMX1" s="24" t="s">
        <v>14377</v>
      </c>
      <c r="BMY1" s="24" t="s">
        <v>14378</v>
      </c>
      <c r="BMZ1" s="24" t="s">
        <v>14379</v>
      </c>
      <c r="BNA1" s="24" t="s">
        <v>14380</v>
      </c>
      <c r="BNB1" s="24" t="s">
        <v>14381</v>
      </c>
      <c r="BNC1" s="24" t="s">
        <v>14382</v>
      </c>
      <c r="BND1" s="24" t="s">
        <v>14383</v>
      </c>
      <c r="BNE1" s="24" t="s">
        <v>14384</v>
      </c>
      <c r="BNF1" s="24" t="s">
        <v>14385</v>
      </c>
      <c r="BNG1" s="24" t="s">
        <v>14386</v>
      </c>
      <c r="BNH1" s="24" t="s">
        <v>14387</v>
      </c>
      <c r="BNI1" s="24" t="s">
        <v>14388</v>
      </c>
      <c r="BNJ1" s="24" t="s">
        <v>14389</v>
      </c>
      <c r="BNK1" s="24" t="s">
        <v>14390</v>
      </c>
      <c r="BNL1" s="24" t="s">
        <v>14391</v>
      </c>
      <c r="BNM1" s="24" t="s">
        <v>14392</v>
      </c>
      <c r="BNN1" s="24" t="s">
        <v>14393</v>
      </c>
      <c r="BNO1" s="24" t="s">
        <v>14394</v>
      </c>
      <c r="BNP1" s="24" t="s">
        <v>14395</v>
      </c>
      <c r="BNQ1" s="24" t="s">
        <v>14396</v>
      </c>
      <c r="BNR1" s="24" t="s">
        <v>14397</v>
      </c>
      <c r="BNS1" s="24" t="s">
        <v>14398</v>
      </c>
      <c r="BNT1" s="24" t="s">
        <v>14399</v>
      </c>
      <c r="BNU1" s="24" t="s">
        <v>14400</v>
      </c>
      <c r="BNV1" s="24" t="s">
        <v>14401</v>
      </c>
      <c r="BNW1" s="24" t="s">
        <v>14402</v>
      </c>
      <c r="BNX1" s="24" t="s">
        <v>14403</v>
      </c>
      <c r="BNY1" s="24" t="s">
        <v>14404</v>
      </c>
      <c r="BNZ1" s="24" t="s">
        <v>14405</v>
      </c>
      <c r="BOA1" s="24" t="s">
        <v>14406</v>
      </c>
      <c r="BOB1" s="24" t="s">
        <v>14407</v>
      </c>
      <c r="BOC1" s="24" t="s">
        <v>14408</v>
      </c>
      <c r="BOD1" s="24" t="s">
        <v>14409</v>
      </c>
      <c r="BOE1" s="24" t="s">
        <v>14410</v>
      </c>
      <c r="BOF1" s="24" t="s">
        <v>14411</v>
      </c>
      <c r="BOG1" s="24" t="s">
        <v>14412</v>
      </c>
      <c r="BOH1" s="24" t="s">
        <v>14413</v>
      </c>
      <c r="BOI1" s="24" t="s">
        <v>14414</v>
      </c>
      <c r="BOJ1" s="24" t="s">
        <v>14415</v>
      </c>
      <c r="BOK1" s="24" t="s">
        <v>14416</v>
      </c>
      <c r="BOL1" s="24" t="s">
        <v>14417</v>
      </c>
      <c r="BOM1" s="24" t="s">
        <v>14418</v>
      </c>
      <c r="BON1" s="24" t="s">
        <v>14419</v>
      </c>
      <c r="BOO1" s="24" t="s">
        <v>14420</v>
      </c>
      <c r="BOP1" s="24" t="s">
        <v>14421</v>
      </c>
      <c r="BOQ1" s="24" t="s">
        <v>14422</v>
      </c>
      <c r="BOR1" s="24" t="s">
        <v>14423</v>
      </c>
      <c r="BOS1" s="24" t="s">
        <v>14424</v>
      </c>
      <c r="BOT1" s="24" t="s">
        <v>14425</v>
      </c>
      <c r="BOU1" s="24" t="s">
        <v>14426</v>
      </c>
      <c r="BOV1" s="24" t="s">
        <v>14427</v>
      </c>
      <c r="BOW1" s="24" t="s">
        <v>14428</v>
      </c>
      <c r="BOX1" s="24" t="s">
        <v>14429</v>
      </c>
      <c r="BOY1" s="24" t="s">
        <v>14430</v>
      </c>
      <c r="BOZ1" s="24" t="s">
        <v>14431</v>
      </c>
      <c r="BPA1" s="24" t="s">
        <v>14432</v>
      </c>
      <c r="BPB1" s="24" t="s">
        <v>14433</v>
      </c>
      <c r="BPC1" s="24" t="s">
        <v>14434</v>
      </c>
      <c r="BPD1" s="24" t="s">
        <v>14435</v>
      </c>
      <c r="BPE1" s="24" t="s">
        <v>14436</v>
      </c>
      <c r="BPF1" s="24" t="s">
        <v>14437</v>
      </c>
      <c r="BPG1" s="24" t="s">
        <v>14438</v>
      </c>
      <c r="BPH1" s="24" t="s">
        <v>14439</v>
      </c>
      <c r="BPI1" s="24" t="s">
        <v>14440</v>
      </c>
      <c r="BPJ1" s="24" t="s">
        <v>14441</v>
      </c>
      <c r="BPK1" s="24" t="s">
        <v>14442</v>
      </c>
      <c r="BPL1" s="24" t="s">
        <v>14443</v>
      </c>
      <c r="BPM1" s="24" t="s">
        <v>14444</v>
      </c>
      <c r="BPN1" s="24" t="s">
        <v>14445</v>
      </c>
      <c r="BPO1" s="24" t="s">
        <v>14446</v>
      </c>
      <c r="BPP1" s="24" t="s">
        <v>14447</v>
      </c>
      <c r="BPQ1" s="24" t="s">
        <v>14448</v>
      </c>
      <c r="BPR1" s="24" t="s">
        <v>14449</v>
      </c>
      <c r="BPS1" s="24" t="s">
        <v>14450</v>
      </c>
      <c r="BPT1" s="24" t="s">
        <v>14451</v>
      </c>
      <c r="BPU1" s="24" t="s">
        <v>14452</v>
      </c>
      <c r="BPV1" s="24" t="s">
        <v>14453</v>
      </c>
      <c r="BPW1" s="24" t="s">
        <v>14454</v>
      </c>
      <c r="BPX1" s="24" t="s">
        <v>14455</v>
      </c>
      <c r="BPY1" s="24" t="s">
        <v>14456</v>
      </c>
      <c r="BPZ1" s="24" t="s">
        <v>14457</v>
      </c>
      <c r="BQA1" s="24" t="s">
        <v>14458</v>
      </c>
      <c r="BQB1" s="24" t="s">
        <v>14459</v>
      </c>
      <c r="BQC1" s="24" t="s">
        <v>14460</v>
      </c>
      <c r="BQD1" s="24" t="s">
        <v>14461</v>
      </c>
      <c r="BQE1" s="24" t="s">
        <v>14462</v>
      </c>
      <c r="BQF1" s="24" t="s">
        <v>14463</v>
      </c>
      <c r="BQG1" s="24" t="s">
        <v>14464</v>
      </c>
      <c r="BQH1" s="24" t="s">
        <v>14465</v>
      </c>
      <c r="BQI1" s="24" t="s">
        <v>14466</v>
      </c>
      <c r="BQJ1" s="24" t="s">
        <v>14467</v>
      </c>
      <c r="BQK1" s="24" t="s">
        <v>14468</v>
      </c>
      <c r="BQL1" s="24" t="s">
        <v>14469</v>
      </c>
      <c r="BQM1" s="24" t="s">
        <v>14470</v>
      </c>
      <c r="BQN1" s="24" t="s">
        <v>14471</v>
      </c>
      <c r="BQO1" s="24" t="s">
        <v>14472</v>
      </c>
      <c r="BQP1" s="24" t="s">
        <v>14473</v>
      </c>
      <c r="BQQ1" s="24" t="s">
        <v>14474</v>
      </c>
      <c r="BQR1" s="24" t="s">
        <v>14475</v>
      </c>
      <c r="BQS1" s="24" t="s">
        <v>14476</v>
      </c>
      <c r="BQT1" s="24" t="s">
        <v>14477</v>
      </c>
      <c r="BQU1" s="24" t="s">
        <v>14478</v>
      </c>
      <c r="BQV1" s="24" t="s">
        <v>14479</v>
      </c>
      <c r="BQW1" s="24" t="s">
        <v>14480</v>
      </c>
      <c r="BQX1" s="24" t="s">
        <v>14481</v>
      </c>
      <c r="BQY1" s="24" t="s">
        <v>14482</v>
      </c>
      <c r="BQZ1" s="24" t="s">
        <v>14483</v>
      </c>
      <c r="BRA1" s="24" t="s">
        <v>14484</v>
      </c>
      <c r="BRB1" s="24" t="s">
        <v>14485</v>
      </c>
      <c r="BRC1" s="24" t="s">
        <v>14486</v>
      </c>
      <c r="BRD1" s="24" t="s">
        <v>14487</v>
      </c>
      <c r="BRE1" s="24" t="s">
        <v>14488</v>
      </c>
      <c r="BRF1" s="24" t="s">
        <v>14489</v>
      </c>
      <c r="BRG1" s="24" t="s">
        <v>14490</v>
      </c>
      <c r="BRH1" s="24" t="s">
        <v>14491</v>
      </c>
      <c r="BRI1" s="24" t="s">
        <v>14492</v>
      </c>
      <c r="BRJ1" s="24" t="s">
        <v>14493</v>
      </c>
      <c r="BRK1" s="24" t="s">
        <v>14494</v>
      </c>
      <c r="BRL1" s="24" t="s">
        <v>14495</v>
      </c>
      <c r="BRM1" s="24" t="s">
        <v>14496</v>
      </c>
      <c r="BRN1" s="24" t="s">
        <v>14497</v>
      </c>
      <c r="BRO1" s="24" t="s">
        <v>14498</v>
      </c>
      <c r="BRP1" s="24" t="s">
        <v>14499</v>
      </c>
      <c r="BRQ1" s="24" t="s">
        <v>14500</v>
      </c>
      <c r="BRR1" s="24" t="s">
        <v>14501</v>
      </c>
      <c r="BRS1" s="24" t="s">
        <v>14502</v>
      </c>
      <c r="BRT1" s="24" t="s">
        <v>14503</v>
      </c>
      <c r="BRU1" s="24" t="s">
        <v>14504</v>
      </c>
      <c r="BRV1" s="24" t="s">
        <v>14505</v>
      </c>
      <c r="BRW1" s="24" t="s">
        <v>14506</v>
      </c>
      <c r="BRX1" s="24" t="s">
        <v>14507</v>
      </c>
      <c r="BRY1" s="24" t="s">
        <v>14508</v>
      </c>
      <c r="BRZ1" s="24" t="s">
        <v>14509</v>
      </c>
      <c r="BSA1" s="24" t="s">
        <v>14510</v>
      </c>
      <c r="BSB1" s="24" t="s">
        <v>14511</v>
      </c>
      <c r="BSC1" s="24" t="s">
        <v>14512</v>
      </c>
      <c r="BSD1" s="24" t="s">
        <v>14513</v>
      </c>
      <c r="BSE1" s="24" t="s">
        <v>14514</v>
      </c>
      <c r="BSF1" s="24" t="s">
        <v>14515</v>
      </c>
      <c r="BSG1" s="24" t="s">
        <v>14516</v>
      </c>
      <c r="BSH1" s="24" t="s">
        <v>14517</v>
      </c>
      <c r="BSI1" s="24" t="s">
        <v>14518</v>
      </c>
      <c r="BSJ1" s="24" t="s">
        <v>14519</v>
      </c>
      <c r="BSK1" s="24" t="s">
        <v>14520</v>
      </c>
      <c r="BSL1" s="24" t="s">
        <v>14521</v>
      </c>
      <c r="BSM1" s="24" t="s">
        <v>14522</v>
      </c>
      <c r="BSN1" s="24" t="s">
        <v>14523</v>
      </c>
      <c r="BSO1" s="24" t="s">
        <v>14524</v>
      </c>
      <c r="BSP1" s="24" t="s">
        <v>14525</v>
      </c>
      <c r="BSQ1" s="24" t="s">
        <v>14526</v>
      </c>
      <c r="BSR1" s="24" t="s">
        <v>14527</v>
      </c>
      <c r="BSS1" s="24" t="s">
        <v>14528</v>
      </c>
      <c r="BST1" s="24" t="s">
        <v>14529</v>
      </c>
      <c r="BSU1" s="24" t="s">
        <v>14530</v>
      </c>
      <c r="BSV1" s="24" t="s">
        <v>14531</v>
      </c>
      <c r="BSW1" s="24" t="s">
        <v>14532</v>
      </c>
      <c r="BSX1" s="24" t="s">
        <v>14533</v>
      </c>
      <c r="BSY1" s="24" t="s">
        <v>14534</v>
      </c>
      <c r="BSZ1" s="24" t="s">
        <v>14535</v>
      </c>
      <c r="BTA1" s="24" t="s">
        <v>14536</v>
      </c>
      <c r="BTB1" s="24" t="s">
        <v>14537</v>
      </c>
      <c r="BTC1" s="24" t="s">
        <v>14538</v>
      </c>
      <c r="BTD1" s="24" t="s">
        <v>14539</v>
      </c>
      <c r="BTE1" s="24" t="s">
        <v>14540</v>
      </c>
      <c r="BTF1" s="24" t="s">
        <v>14541</v>
      </c>
      <c r="BTG1" s="24" t="s">
        <v>14542</v>
      </c>
      <c r="BTH1" s="24" t="s">
        <v>14543</v>
      </c>
      <c r="BTI1" s="24" t="s">
        <v>14544</v>
      </c>
      <c r="BTJ1" s="24" t="s">
        <v>14545</v>
      </c>
      <c r="BTK1" s="24" t="s">
        <v>14546</v>
      </c>
      <c r="BTL1" s="24" t="s">
        <v>14547</v>
      </c>
      <c r="BTM1" s="24" t="s">
        <v>14548</v>
      </c>
      <c r="BTN1" s="24" t="s">
        <v>14549</v>
      </c>
      <c r="BTO1" s="24" t="s">
        <v>14550</v>
      </c>
      <c r="BTP1" s="24" t="s">
        <v>14551</v>
      </c>
      <c r="BTQ1" s="24" t="s">
        <v>14552</v>
      </c>
      <c r="BTR1" s="24" t="s">
        <v>14553</v>
      </c>
      <c r="BTS1" s="24" t="s">
        <v>14554</v>
      </c>
      <c r="BTT1" s="24" t="s">
        <v>14555</v>
      </c>
      <c r="BTU1" s="24" t="s">
        <v>14556</v>
      </c>
      <c r="BTV1" s="24" t="s">
        <v>14557</v>
      </c>
      <c r="BTW1" s="24" t="s">
        <v>14558</v>
      </c>
      <c r="BTX1" s="24" t="s">
        <v>14559</v>
      </c>
      <c r="BTY1" s="24" t="s">
        <v>14560</v>
      </c>
      <c r="BTZ1" s="24" t="s">
        <v>14561</v>
      </c>
      <c r="BUA1" s="24" t="s">
        <v>14562</v>
      </c>
      <c r="BUB1" s="24" t="s">
        <v>14563</v>
      </c>
      <c r="BUC1" s="24" t="s">
        <v>14564</v>
      </c>
      <c r="BUD1" s="24" t="s">
        <v>14565</v>
      </c>
      <c r="BUE1" s="24" t="s">
        <v>14566</v>
      </c>
      <c r="BUF1" s="24" t="s">
        <v>14567</v>
      </c>
      <c r="BUG1" s="24" t="s">
        <v>14568</v>
      </c>
      <c r="BUH1" s="24" t="s">
        <v>14569</v>
      </c>
      <c r="BUI1" s="24" t="s">
        <v>14570</v>
      </c>
      <c r="BUJ1" s="24" t="s">
        <v>14571</v>
      </c>
      <c r="BUK1" s="24" t="s">
        <v>14572</v>
      </c>
      <c r="BUL1" s="24" t="s">
        <v>14573</v>
      </c>
      <c r="BUM1" s="24" t="s">
        <v>14574</v>
      </c>
      <c r="BUN1" s="24" t="s">
        <v>14575</v>
      </c>
      <c r="BUO1" s="24" t="s">
        <v>14576</v>
      </c>
      <c r="BUP1" s="24" t="s">
        <v>14577</v>
      </c>
      <c r="BUQ1" s="24" t="s">
        <v>14578</v>
      </c>
      <c r="BUR1" s="24" t="s">
        <v>14579</v>
      </c>
      <c r="BUS1" s="24" t="s">
        <v>14580</v>
      </c>
      <c r="BUT1" s="24" t="s">
        <v>14581</v>
      </c>
      <c r="BUU1" s="24" t="s">
        <v>14582</v>
      </c>
      <c r="BUV1" s="24" t="s">
        <v>14583</v>
      </c>
      <c r="BUW1" s="24" t="s">
        <v>14584</v>
      </c>
      <c r="BUX1" s="24" t="s">
        <v>14585</v>
      </c>
      <c r="BUY1" s="24" t="s">
        <v>14586</v>
      </c>
      <c r="BUZ1" s="24" t="s">
        <v>14587</v>
      </c>
      <c r="BVA1" s="24" t="s">
        <v>14588</v>
      </c>
      <c r="BVB1" s="24" t="s">
        <v>14589</v>
      </c>
      <c r="BVC1" s="24" t="s">
        <v>14590</v>
      </c>
      <c r="BVD1" s="24" t="s">
        <v>14591</v>
      </c>
      <c r="BVE1" s="24" t="s">
        <v>14592</v>
      </c>
      <c r="BVF1" s="24" t="s">
        <v>14593</v>
      </c>
      <c r="BVG1" s="24" t="s">
        <v>14594</v>
      </c>
      <c r="BVH1" s="24" t="s">
        <v>14595</v>
      </c>
      <c r="BVI1" s="24" t="s">
        <v>14596</v>
      </c>
      <c r="BVJ1" s="24" t="s">
        <v>14597</v>
      </c>
      <c r="BVK1" s="24" t="s">
        <v>14598</v>
      </c>
      <c r="BVL1" s="24" t="s">
        <v>14599</v>
      </c>
      <c r="BVM1" s="24" t="s">
        <v>14600</v>
      </c>
      <c r="BVN1" s="24" t="s">
        <v>14601</v>
      </c>
      <c r="BVO1" s="24" t="s">
        <v>14602</v>
      </c>
      <c r="BVP1" s="24" t="s">
        <v>14603</v>
      </c>
      <c r="BVQ1" s="24" t="s">
        <v>14604</v>
      </c>
      <c r="BVR1" s="24" t="s">
        <v>14605</v>
      </c>
      <c r="BVS1" s="24" t="s">
        <v>14606</v>
      </c>
      <c r="BVT1" s="24" t="s">
        <v>14607</v>
      </c>
      <c r="BVU1" s="24" t="s">
        <v>14608</v>
      </c>
      <c r="BVV1" s="24" t="s">
        <v>14609</v>
      </c>
      <c r="BVW1" s="24" t="s">
        <v>14610</v>
      </c>
      <c r="BVX1" s="24" t="s">
        <v>14611</v>
      </c>
      <c r="BVY1" s="24" t="s">
        <v>14612</v>
      </c>
      <c r="BVZ1" s="24" t="s">
        <v>14613</v>
      </c>
      <c r="BWA1" s="24" t="s">
        <v>14614</v>
      </c>
      <c r="BWB1" s="24" t="s">
        <v>14615</v>
      </c>
      <c r="BWC1" s="24" t="s">
        <v>14616</v>
      </c>
      <c r="BWD1" s="24" t="s">
        <v>14617</v>
      </c>
      <c r="BWE1" s="24" t="s">
        <v>14618</v>
      </c>
      <c r="BWF1" s="24" t="s">
        <v>14619</v>
      </c>
      <c r="BWG1" s="24" t="s">
        <v>14620</v>
      </c>
      <c r="BWH1" s="24" t="s">
        <v>14621</v>
      </c>
      <c r="BWI1" s="24" t="s">
        <v>14622</v>
      </c>
      <c r="BWJ1" s="24" t="s">
        <v>14623</v>
      </c>
      <c r="BWK1" s="24" t="s">
        <v>14624</v>
      </c>
      <c r="BWL1" s="24" t="s">
        <v>14625</v>
      </c>
      <c r="BWM1" s="24" t="s">
        <v>14626</v>
      </c>
      <c r="BWN1" s="24" t="s">
        <v>14627</v>
      </c>
      <c r="BWO1" s="24" t="s">
        <v>14628</v>
      </c>
      <c r="BWP1" s="24" t="s">
        <v>14629</v>
      </c>
      <c r="BWQ1" s="24" t="s">
        <v>14630</v>
      </c>
      <c r="BWR1" s="24" t="s">
        <v>14631</v>
      </c>
      <c r="BWS1" s="24" t="s">
        <v>14632</v>
      </c>
      <c r="BWT1" s="24" t="s">
        <v>14633</v>
      </c>
      <c r="BWU1" s="24" t="s">
        <v>14634</v>
      </c>
      <c r="BWV1" s="24" t="s">
        <v>14635</v>
      </c>
      <c r="BWW1" s="24" t="s">
        <v>14636</v>
      </c>
      <c r="BWX1" s="24" t="s">
        <v>14637</v>
      </c>
      <c r="BWY1" s="24" t="s">
        <v>14638</v>
      </c>
      <c r="BWZ1" s="24" t="s">
        <v>14639</v>
      </c>
      <c r="BXA1" s="24" t="s">
        <v>14640</v>
      </c>
      <c r="BXB1" s="24" t="s">
        <v>14641</v>
      </c>
      <c r="BXC1" s="24" t="s">
        <v>14642</v>
      </c>
      <c r="BXD1" s="24" t="s">
        <v>14643</v>
      </c>
      <c r="BXE1" s="24" t="s">
        <v>14644</v>
      </c>
      <c r="BXF1" s="24" t="s">
        <v>14645</v>
      </c>
      <c r="BXG1" s="24" t="s">
        <v>14646</v>
      </c>
      <c r="BXH1" s="24" t="s">
        <v>14647</v>
      </c>
      <c r="BXI1" s="24" t="s">
        <v>14648</v>
      </c>
      <c r="BXJ1" s="24" t="s">
        <v>14649</v>
      </c>
      <c r="BXK1" s="24" t="s">
        <v>14650</v>
      </c>
      <c r="BXL1" s="24" t="s">
        <v>14651</v>
      </c>
      <c r="BXM1" s="24" t="s">
        <v>14652</v>
      </c>
      <c r="BXN1" s="24" t="s">
        <v>14653</v>
      </c>
      <c r="BXO1" s="24" t="s">
        <v>14654</v>
      </c>
      <c r="BXP1" s="24" t="s">
        <v>14655</v>
      </c>
      <c r="BXQ1" s="24" t="s">
        <v>14656</v>
      </c>
      <c r="BXR1" s="24" t="s">
        <v>14657</v>
      </c>
      <c r="BXS1" s="24" t="s">
        <v>14658</v>
      </c>
      <c r="BXT1" s="24" t="s">
        <v>14659</v>
      </c>
      <c r="BXU1" s="24" t="s">
        <v>14660</v>
      </c>
      <c r="BXV1" s="24" t="s">
        <v>14661</v>
      </c>
      <c r="BXW1" s="24" t="s">
        <v>14662</v>
      </c>
      <c r="BXX1" s="24" t="s">
        <v>14663</v>
      </c>
      <c r="BXY1" s="24" t="s">
        <v>14664</v>
      </c>
      <c r="BXZ1" s="24" t="s">
        <v>14665</v>
      </c>
      <c r="BYA1" s="24" t="s">
        <v>14666</v>
      </c>
      <c r="BYB1" s="24" t="s">
        <v>14667</v>
      </c>
      <c r="BYC1" s="24" t="s">
        <v>14668</v>
      </c>
      <c r="BYD1" s="24" t="s">
        <v>14669</v>
      </c>
      <c r="BYE1" s="24" t="s">
        <v>14670</v>
      </c>
      <c r="BYF1" s="24" t="s">
        <v>14671</v>
      </c>
      <c r="BYG1" s="24" t="s">
        <v>14672</v>
      </c>
      <c r="BYH1" s="24" t="s">
        <v>14673</v>
      </c>
      <c r="BYI1" s="24" t="s">
        <v>14674</v>
      </c>
      <c r="BYJ1" s="24" t="s">
        <v>14675</v>
      </c>
      <c r="BYK1" s="24" t="s">
        <v>14676</v>
      </c>
      <c r="BYL1" s="24" t="s">
        <v>14677</v>
      </c>
      <c r="BYM1" s="24" t="s">
        <v>14678</v>
      </c>
      <c r="BYN1" s="24" t="s">
        <v>14679</v>
      </c>
      <c r="BYO1" s="24" t="s">
        <v>14680</v>
      </c>
      <c r="BYP1" s="24" t="s">
        <v>14681</v>
      </c>
      <c r="BYQ1" s="24" t="s">
        <v>14682</v>
      </c>
      <c r="BYR1" s="24" t="s">
        <v>14683</v>
      </c>
      <c r="BYS1" s="24" t="s">
        <v>14684</v>
      </c>
      <c r="BYT1" s="24" t="s">
        <v>14685</v>
      </c>
      <c r="BYU1" s="24" t="s">
        <v>14686</v>
      </c>
      <c r="BYV1" s="24" t="s">
        <v>14687</v>
      </c>
      <c r="BYW1" s="24" t="s">
        <v>14688</v>
      </c>
      <c r="BYX1" s="24" t="s">
        <v>14689</v>
      </c>
      <c r="BYY1" s="24" t="s">
        <v>14690</v>
      </c>
      <c r="BYZ1" s="24" t="s">
        <v>14691</v>
      </c>
      <c r="BZA1" s="24" t="s">
        <v>14692</v>
      </c>
      <c r="BZB1" s="24" t="s">
        <v>14693</v>
      </c>
      <c r="BZC1" s="24" t="s">
        <v>14694</v>
      </c>
      <c r="BZD1" s="24" t="s">
        <v>14695</v>
      </c>
      <c r="BZE1" s="24" t="s">
        <v>14696</v>
      </c>
      <c r="BZF1" s="24" t="s">
        <v>14697</v>
      </c>
      <c r="BZG1" s="24" t="s">
        <v>14698</v>
      </c>
      <c r="BZH1" s="24" t="s">
        <v>14699</v>
      </c>
      <c r="BZI1" s="24" t="s">
        <v>14700</v>
      </c>
      <c r="BZJ1" s="24" t="s">
        <v>14701</v>
      </c>
      <c r="BZK1" s="24" t="s">
        <v>14702</v>
      </c>
      <c r="BZL1" s="24" t="s">
        <v>14703</v>
      </c>
      <c r="BZM1" s="24" t="s">
        <v>14704</v>
      </c>
      <c r="BZN1" s="24" t="s">
        <v>14705</v>
      </c>
      <c r="BZO1" s="24" t="s">
        <v>14706</v>
      </c>
      <c r="BZP1" s="24" t="s">
        <v>14707</v>
      </c>
      <c r="BZQ1" s="24" t="s">
        <v>14708</v>
      </c>
      <c r="BZR1" s="24" t="s">
        <v>14709</v>
      </c>
      <c r="BZS1" s="24" t="s">
        <v>14710</v>
      </c>
      <c r="BZT1" s="24" t="s">
        <v>14711</v>
      </c>
      <c r="BZU1" s="24" t="s">
        <v>14712</v>
      </c>
      <c r="BZV1" s="24" t="s">
        <v>14713</v>
      </c>
      <c r="BZW1" s="24" t="s">
        <v>14714</v>
      </c>
      <c r="BZX1" s="24" t="s">
        <v>14715</v>
      </c>
      <c r="BZY1" s="24" t="s">
        <v>14716</v>
      </c>
      <c r="BZZ1" s="24" t="s">
        <v>14717</v>
      </c>
      <c r="CAA1" s="24" t="s">
        <v>14718</v>
      </c>
      <c r="CAB1" s="24" t="s">
        <v>14719</v>
      </c>
      <c r="CAC1" s="24" t="s">
        <v>14720</v>
      </c>
      <c r="CAD1" s="24" t="s">
        <v>14721</v>
      </c>
      <c r="CAE1" s="24" t="s">
        <v>14722</v>
      </c>
      <c r="CAF1" s="24" t="s">
        <v>14723</v>
      </c>
      <c r="CAG1" s="24" t="s">
        <v>14724</v>
      </c>
      <c r="CAH1" s="24" t="s">
        <v>14725</v>
      </c>
      <c r="CAI1" s="24" t="s">
        <v>14726</v>
      </c>
      <c r="CAJ1" s="24" t="s">
        <v>14727</v>
      </c>
      <c r="CAK1" s="24" t="s">
        <v>14728</v>
      </c>
      <c r="CAL1" s="24" t="s">
        <v>14729</v>
      </c>
      <c r="CAM1" s="24" t="s">
        <v>14730</v>
      </c>
      <c r="CAN1" s="24" t="s">
        <v>14731</v>
      </c>
      <c r="CAO1" s="24" t="s">
        <v>14732</v>
      </c>
      <c r="CAP1" s="24" t="s">
        <v>14733</v>
      </c>
      <c r="CAQ1" s="24" t="s">
        <v>14734</v>
      </c>
      <c r="CAR1" s="24" t="s">
        <v>14735</v>
      </c>
      <c r="CAS1" s="24" t="s">
        <v>14736</v>
      </c>
      <c r="CAT1" s="24" t="s">
        <v>14737</v>
      </c>
      <c r="CAU1" s="24" t="s">
        <v>14738</v>
      </c>
      <c r="CAV1" s="24" t="s">
        <v>14739</v>
      </c>
      <c r="CAW1" s="24" t="s">
        <v>14740</v>
      </c>
      <c r="CAX1" s="24" t="s">
        <v>14741</v>
      </c>
      <c r="CAY1" s="24" t="s">
        <v>14742</v>
      </c>
      <c r="CAZ1" s="24" t="s">
        <v>14743</v>
      </c>
      <c r="CBA1" s="24" t="s">
        <v>14744</v>
      </c>
      <c r="CBB1" s="24" t="s">
        <v>14745</v>
      </c>
      <c r="CBC1" s="24" t="s">
        <v>14746</v>
      </c>
      <c r="CBD1" s="24" t="s">
        <v>14747</v>
      </c>
      <c r="CBE1" s="24" t="s">
        <v>14748</v>
      </c>
      <c r="CBF1" s="24" t="s">
        <v>14749</v>
      </c>
      <c r="CBG1" s="24" t="s">
        <v>14750</v>
      </c>
      <c r="CBH1" s="24" t="s">
        <v>14751</v>
      </c>
      <c r="CBI1" s="24" t="s">
        <v>14752</v>
      </c>
      <c r="CBJ1" s="24" t="s">
        <v>14753</v>
      </c>
      <c r="CBK1" s="24" t="s">
        <v>14754</v>
      </c>
      <c r="CBL1" s="24" t="s">
        <v>14755</v>
      </c>
      <c r="CBM1" s="24" t="s">
        <v>14756</v>
      </c>
      <c r="CBN1" s="24" t="s">
        <v>14757</v>
      </c>
      <c r="CBO1" s="24" t="s">
        <v>14758</v>
      </c>
      <c r="CBP1" s="24" t="s">
        <v>14759</v>
      </c>
      <c r="CBQ1" s="24" t="s">
        <v>14760</v>
      </c>
      <c r="CBR1" s="24" t="s">
        <v>14761</v>
      </c>
      <c r="CBS1" s="24" t="s">
        <v>14762</v>
      </c>
      <c r="CBT1" s="24" t="s">
        <v>14763</v>
      </c>
      <c r="CBU1" s="24" t="s">
        <v>14764</v>
      </c>
      <c r="CBV1" s="24" t="s">
        <v>14765</v>
      </c>
      <c r="CBW1" s="24" t="s">
        <v>14766</v>
      </c>
      <c r="CBX1" s="24" t="s">
        <v>14767</v>
      </c>
      <c r="CBY1" s="24" t="s">
        <v>14768</v>
      </c>
      <c r="CBZ1" s="24" t="s">
        <v>14769</v>
      </c>
      <c r="CCA1" s="24" t="s">
        <v>14770</v>
      </c>
      <c r="CCB1" s="24" t="s">
        <v>14771</v>
      </c>
      <c r="CCC1" s="24" t="s">
        <v>14772</v>
      </c>
      <c r="CCD1" s="24" t="s">
        <v>14773</v>
      </c>
      <c r="CCE1" s="24" t="s">
        <v>14774</v>
      </c>
      <c r="CCF1" s="24" t="s">
        <v>14775</v>
      </c>
      <c r="CCG1" s="24" t="s">
        <v>14776</v>
      </c>
      <c r="CCH1" s="24" t="s">
        <v>14777</v>
      </c>
      <c r="CCI1" s="24" t="s">
        <v>14778</v>
      </c>
      <c r="CCJ1" s="24" t="s">
        <v>14779</v>
      </c>
      <c r="CCK1" s="24" t="s">
        <v>14780</v>
      </c>
      <c r="CCL1" s="24" t="s">
        <v>14781</v>
      </c>
      <c r="CCM1" s="24" t="s">
        <v>14782</v>
      </c>
      <c r="CCN1" s="24" t="s">
        <v>14783</v>
      </c>
      <c r="CCO1" s="24" t="s">
        <v>14784</v>
      </c>
      <c r="CCP1" s="24" t="s">
        <v>14785</v>
      </c>
      <c r="CCQ1" s="24" t="s">
        <v>14786</v>
      </c>
      <c r="CCR1" s="24" t="s">
        <v>14787</v>
      </c>
      <c r="CCS1" s="24" t="s">
        <v>14788</v>
      </c>
      <c r="CCT1" s="24" t="s">
        <v>14789</v>
      </c>
      <c r="CCU1" s="24" t="s">
        <v>14790</v>
      </c>
      <c r="CCV1" s="24" t="s">
        <v>14791</v>
      </c>
      <c r="CCW1" s="24" t="s">
        <v>14792</v>
      </c>
      <c r="CCX1" s="24" t="s">
        <v>14793</v>
      </c>
      <c r="CCY1" s="24" t="s">
        <v>14794</v>
      </c>
      <c r="CCZ1" s="24" t="s">
        <v>14795</v>
      </c>
      <c r="CDA1" s="24" t="s">
        <v>14796</v>
      </c>
      <c r="CDB1" s="24" t="s">
        <v>14797</v>
      </c>
      <c r="CDC1" s="24" t="s">
        <v>14798</v>
      </c>
      <c r="CDD1" s="24" t="s">
        <v>14799</v>
      </c>
      <c r="CDE1" s="24" t="s">
        <v>14800</v>
      </c>
      <c r="CDF1" s="24" t="s">
        <v>14801</v>
      </c>
      <c r="CDG1" s="24" t="s">
        <v>14802</v>
      </c>
      <c r="CDH1" s="24" t="s">
        <v>14803</v>
      </c>
      <c r="CDI1" s="24" t="s">
        <v>14804</v>
      </c>
      <c r="CDJ1" s="24" t="s">
        <v>14805</v>
      </c>
      <c r="CDK1" s="24" t="s">
        <v>14806</v>
      </c>
      <c r="CDL1" s="24" t="s">
        <v>14807</v>
      </c>
      <c r="CDM1" s="24" t="s">
        <v>14808</v>
      </c>
      <c r="CDN1" s="24" t="s">
        <v>14809</v>
      </c>
      <c r="CDO1" s="24" t="s">
        <v>14810</v>
      </c>
      <c r="CDP1" s="24" t="s">
        <v>14811</v>
      </c>
      <c r="CDQ1" s="24" t="s">
        <v>14812</v>
      </c>
      <c r="CDR1" s="24" t="s">
        <v>14813</v>
      </c>
      <c r="CDS1" s="24" t="s">
        <v>14814</v>
      </c>
      <c r="CDT1" s="24" t="s">
        <v>14815</v>
      </c>
      <c r="CDU1" s="24" t="s">
        <v>14816</v>
      </c>
      <c r="CDV1" s="24" t="s">
        <v>14817</v>
      </c>
      <c r="CDW1" s="24" t="s">
        <v>14818</v>
      </c>
      <c r="CDX1" s="24" t="s">
        <v>14819</v>
      </c>
      <c r="CDY1" s="24" t="s">
        <v>14820</v>
      </c>
      <c r="CDZ1" s="24" t="s">
        <v>14821</v>
      </c>
      <c r="CEA1" s="24" t="s">
        <v>14822</v>
      </c>
      <c r="CEB1" s="24" t="s">
        <v>14823</v>
      </c>
      <c r="CEC1" s="24" t="s">
        <v>14824</v>
      </c>
      <c r="CED1" s="24" t="s">
        <v>14825</v>
      </c>
      <c r="CEE1" s="24" t="s">
        <v>14826</v>
      </c>
      <c r="CEF1" s="24" t="s">
        <v>14827</v>
      </c>
      <c r="CEG1" s="24" t="s">
        <v>14828</v>
      </c>
      <c r="CEH1" s="24" t="s">
        <v>14829</v>
      </c>
      <c r="CEI1" s="24" t="s">
        <v>14830</v>
      </c>
      <c r="CEJ1" s="24" t="s">
        <v>14831</v>
      </c>
      <c r="CEK1" s="24" t="s">
        <v>14832</v>
      </c>
      <c r="CEL1" s="24" t="s">
        <v>14833</v>
      </c>
      <c r="CEM1" s="24" t="s">
        <v>14834</v>
      </c>
      <c r="CEN1" s="24" t="s">
        <v>14835</v>
      </c>
      <c r="CEO1" s="24" t="s">
        <v>14836</v>
      </c>
      <c r="CEP1" s="24" t="s">
        <v>14837</v>
      </c>
      <c r="CEQ1" s="24" t="s">
        <v>14838</v>
      </c>
      <c r="CER1" s="24" t="s">
        <v>14839</v>
      </c>
      <c r="CES1" s="24" t="s">
        <v>14840</v>
      </c>
      <c r="CET1" s="24" t="s">
        <v>14841</v>
      </c>
      <c r="CEU1" s="24" t="s">
        <v>14842</v>
      </c>
      <c r="CEV1" s="24" t="s">
        <v>14843</v>
      </c>
      <c r="CEW1" s="24" t="s">
        <v>14844</v>
      </c>
      <c r="CEX1" s="24" t="s">
        <v>14845</v>
      </c>
      <c r="CEY1" s="24" t="s">
        <v>14846</v>
      </c>
      <c r="CEZ1" s="24" t="s">
        <v>14847</v>
      </c>
      <c r="CFA1" s="24" t="s">
        <v>14848</v>
      </c>
      <c r="CFB1" s="24" t="s">
        <v>14849</v>
      </c>
      <c r="CFC1" s="24" t="s">
        <v>14850</v>
      </c>
      <c r="CFD1" s="24" t="s">
        <v>14851</v>
      </c>
      <c r="CFE1" s="24" t="s">
        <v>14852</v>
      </c>
      <c r="CFF1" s="24" t="s">
        <v>14853</v>
      </c>
      <c r="CFG1" s="24" t="s">
        <v>14854</v>
      </c>
      <c r="CFH1" s="24" t="s">
        <v>14855</v>
      </c>
      <c r="CFI1" s="24" t="s">
        <v>14856</v>
      </c>
      <c r="CFJ1" s="24" t="s">
        <v>14857</v>
      </c>
      <c r="CFK1" s="24" t="s">
        <v>14858</v>
      </c>
      <c r="CFL1" s="24" t="s">
        <v>14859</v>
      </c>
      <c r="CFM1" s="24" t="s">
        <v>14860</v>
      </c>
      <c r="CFN1" s="24" t="s">
        <v>14861</v>
      </c>
      <c r="CFO1" s="24" t="s">
        <v>14862</v>
      </c>
      <c r="CFP1" s="24" t="s">
        <v>14863</v>
      </c>
      <c r="CFQ1" s="24" t="s">
        <v>14864</v>
      </c>
      <c r="CFR1" s="24" t="s">
        <v>14865</v>
      </c>
      <c r="CFS1" s="24" t="s">
        <v>14866</v>
      </c>
      <c r="CFT1" s="24" t="s">
        <v>14867</v>
      </c>
      <c r="CFU1" s="24" t="s">
        <v>14868</v>
      </c>
      <c r="CFV1" s="24" t="s">
        <v>14869</v>
      </c>
      <c r="CFW1" s="24" t="s">
        <v>14870</v>
      </c>
      <c r="CFX1" s="24" t="s">
        <v>14871</v>
      </c>
      <c r="CFY1" s="24" t="s">
        <v>14872</v>
      </c>
      <c r="CFZ1" s="24" t="s">
        <v>14873</v>
      </c>
      <c r="CGA1" s="24" t="s">
        <v>14874</v>
      </c>
      <c r="CGB1" s="24" t="s">
        <v>14875</v>
      </c>
      <c r="CGC1" s="24" t="s">
        <v>14876</v>
      </c>
      <c r="CGD1" s="24" t="s">
        <v>14877</v>
      </c>
      <c r="CGE1" s="24" t="s">
        <v>14878</v>
      </c>
      <c r="CGF1" s="24" t="s">
        <v>14879</v>
      </c>
      <c r="CGG1" s="24" t="s">
        <v>14880</v>
      </c>
      <c r="CGH1" s="24" t="s">
        <v>14881</v>
      </c>
      <c r="CGI1" s="24" t="s">
        <v>14882</v>
      </c>
      <c r="CGJ1" s="24" t="s">
        <v>14883</v>
      </c>
      <c r="CGK1" s="24" t="s">
        <v>14884</v>
      </c>
      <c r="CGL1" s="24" t="s">
        <v>14885</v>
      </c>
      <c r="CGM1" s="24" t="s">
        <v>14886</v>
      </c>
      <c r="CGN1" s="24" t="s">
        <v>14887</v>
      </c>
      <c r="CGO1" s="24" t="s">
        <v>14888</v>
      </c>
      <c r="CGP1" s="24" t="s">
        <v>14889</v>
      </c>
      <c r="CGQ1" s="24" t="s">
        <v>14890</v>
      </c>
      <c r="CGR1" s="24" t="s">
        <v>14891</v>
      </c>
      <c r="CGS1" s="24" t="s">
        <v>14892</v>
      </c>
      <c r="CGT1" s="24" t="s">
        <v>14893</v>
      </c>
      <c r="CGU1" s="24" t="s">
        <v>14894</v>
      </c>
      <c r="CGV1" s="24" t="s">
        <v>14895</v>
      </c>
      <c r="CGW1" s="24" t="s">
        <v>14896</v>
      </c>
      <c r="CGX1" s="24" t="s">
        <v>14897</v>
      </c>
      <c r="CGY1" s="24" t="s">
        <v>14898</v>
      </c>
      <c r="CGZ1" s="24" t="s">
        <v>14899</v>
      </c>
      <c r="CHA1" s="24" t="s">
        <v>14900</v>
      </c>
      <c r="CHB1" s="24" t="s">
        <v>14901</v>
      </c>
      <c r="CHC1" s="24" t="s">
        <v>14902</v>
      </c>
      <c r="CHD1" s="24" t="s">
        <v>14903</v>
      </c>
      <c r="CHE1" s="24" t="s">
        <v>14904</v>
      </c>
      <c r="CHF1" s="24" t="s">
        <v>14905</v>
      </c>
      <c r="CHG1" s="24" t="s">
        <v>14906</v>
      </c>
      <c r="CHH1" s="24" t="s">
        <v>14907</v>
      </c>
      <c r="CHI1" s="24" t="s">
        <v>14908</v>
      </c>
      <c r="CHJ1" s="24" t="s">
        <v>14909</v>
      </c>
      <c r="CHK1" s="24" t="s">
        <v>14910</v>
      </c>
      <c r="CHL1" s="24" t="s">
        <v>14911</v>
      </c>
      <c r="CHM1" s="24" t="s">
        <v>14912</v>
      </c>
      <c r="CHN1" s="24" t="s">
        <v>14913</v>
      </c>
      <c r="CHO1" s="24" t="s">
        <v>14914</v>
      </c>
      <c r="CHP1" s="24" t="s">
        <v>14915</v>
      </c>
      <c r="CHQ1" s="24" t="s">
        <v>14916</v>
      </c>
      <c r="CHR1" s="24" t="s">
        <v>14917</v>
      </c>
      <c r="CHS1" s="24" t="s">
        <v>14918</v>
      </c>
      <c r="CHT1" s="24" t="s">
        <v>14919</v>
      </c>
      <c r="CHU1" s="24" t="s">
        <v>14920</v>
      </c>
      <c r="CHV1" s="24" t="s">
        <v>14921</v>
      </c>
      <c r="CHW1" s="24" t="s">
        <v>14922</v>
      </c>
      <c r="CHX1" s="24" t="s">
        <v>14923</v>
      </c>
      <c r="CHY1" s="24" t="s">
        <v>14924</v>
      </c>
      <c r="CHZ1" s="24" t="s">
        <v>14925</v>
      </c>
      <c r="CIA1" s="24" t="s">
        <v>14926</v>
      </c>
      <c r="CIB1" s="24" t="s">
        <v>14927</v>
      </c>
      <c r="CIC1" s="24" t="s">
        <v>14928</v>
      </c>
      <c r="CID1" s="24" t="s">
        <v>14929</v>
      </c>
      <c r="CIE1" s="24" t="s">
        <v>14930</v>
      </c>
      <c r="CIF1" s="24" t="s">
        <v>14931</v>
      </c>
      <c r="CIG1" s="24" t="s">
        <v>14932</v>
      </c>
      <c r="CIH1" s="24" t="s">
        <v>14933</v>
      </c>
      <c r="CII1" s="24" t="s">
        <v>14934</v>
      </c>
      <c r="CIJ1" s="24" t="s">
        <v>14935</v>
      </c>
      <c r="CIK1" s="24" t="s">
        <v>14936</v>
      </c>
      <c r="CIL1" s="24" t="s">
        <v>14937</v>
      </c>
      <c r="CIM1" s="24" t="s">
        <v>14938</v>
      </c>
      <c r="CIN1" s="24" t="s">
        <v>14939</v>
      </c>
      <c r="CIO1" s="24" t="s">
        <v>14940</v>
      </c>
      <c r="CIP1" s="24" t="s">
        <v>14941</v>
      </c>
      <c r="CIQ1" s="24" t="s">
        <v>14942</v>
      </c>
      <c r="CIR1" s="24" t="s">
        <v>14943</v>
      </c>
      <c r="CIS1" s="24" t="s">
        <v>14944</v>
      </c>
      <c r="CIT1" s="24" t="s">
        <v>14945</v>
      </c>
      <c r="CIU1" s="24" t="s">
        <v>14946</v>
      </c>
      <c r="CIV1" s="24" t="s">
        <v>14947</v>
      </c>
      <c r="CIW1" s="24" t="s">
        <v>14948</v>
      </c>
      <c r="CIX1" s="24" t="s">
        <v>14949</v>
      </c>
      <c r="CIY1" s="24" t="s">
        <v>14950</v>
      </c>
      <c r="CIZ1" s="24" t="s">
        <v>14951</v>
      </c>
      <c r="CJA1" s="24" t="s">
        <v>14952</v>
      </c>
      <c r="CJB1" s="24" t="s">
        <v>14953</v>
      </c>
      <c r="CJC1" s="24" t="s">
        <v>14954</v>
      </c>
      <c r="CJD1" s="24" t="s">
        <v>14955</v>
      </c>
      <c r="CJE1" s="24" t="s">
        <v>14956</v>
      </c>
      <c r="CJF1" s="24" t="s">
        <v>14957</v>
      </c>
      <c r="CJG1" s="24" t="s">
        <v>14958</v>
      </c>
      <c r="CJH1" s="24" t="s">
        <v>14959</v>
      </c>
      <c r="CJI1" s="24" t="s">
        <v>14960</v>
      </c>
      <c r="CJJ1" s="24" t="s">
        <v>14961</v>
      </c>
      <c r="CJK1" s="24" t="s">
        <v>14962</v>
      </c>
      <c r="CJL1" s="24" t="s">
        <v>14963</v>
      </c>
      <c r="CJM1" s="24" t="s">
        <v>14964</v>
      </c>
      <c r="CJN1" s="24" t="s">
        <v>14965</v>
      </c>
      <c r="CJO1" s="24" t="s">
        <v>14966</v>
      </c>
      <c r="CJP1" s="24" t="s">
        <v>14967</v>
      </c>
      <c r="CJQ1" s="24" t="s">
        <v>14968</v>
      </c>
      <c r="CJR1" s="24" t="s">
        <v>14969</v>
      </c>
      <c r="CJS1" s="24" t="s">
        <v>14970</v>
      </c>
      <c r="CJT1" s="24" t="s">
        <v>14971</v>
      </c>
      <c r="CJU1" s="24" t="s">
        <v>14972</v>
      </c>
      <c r="CJV1" s="24" t="s">
        <v>14973</v>
      </c>
      <c r="CJW1" s="24" t="s">
        <v>14974</v>
      </c>
      <c r="CJX1" s="24" t="s">
        <v>14975</v>
      </c>
      <c r="CJY1" s="24" t="s">
        <v>14976</v>
      </c>
      <c r="CJZ1" s="24" t="s">
        <v>14977</v>
      </c>
      <c r="CKA1" s="24" t="s">
        <v>14978</v>
      </c>
      <c r="CKB1" s="24" t="s">
        <v>14979</v>
      </c>
      <c r="CKC1" s="24" t="s">
        <v>14980</v>
      </c>
      <c r="CKD1" s="24" t="s">
        <v>14981</v>
      </c>
      <c r="CKE1" s="24" t="s">
        <v>14982</v>
      </c>
      <c r="CKF1" s="24" t="s">
        <v>14983</v>
      </c>
      <c r="CKG1" s="24" t="s">
        <v>14984</v>
      </c>
      <c r="CKH1" s="24" t="s">
        <v>14985</v>
      </c>
      <c r="CKI1" s="24" t="s">
        <v>14986</v>
      </c>
      <c r="CKJ1" s="24" t="s">
        <v>14987</v>
      </c>
      <c r="CKK1" s="24" t="s">
        <v>14988</v>
      </c>
      <c r="CKL1" s="24" t="s">
        <v>14989</v>
      </c>
      <c r="CKM1" s="24" t="s">
        <v>14990</v>
      </c>
      <c r="CKN1" s="24" t="s">
        <v>14991</v>
      </c>
      <c r="CKO1" s="24" t="s">
        <v>14992</v>
      </c>
      <c r="CKP1" s="24" t="s">
        <v>14993</v>
      </c>
      <c r="CKQ1" s="24" t="s">
        <v>14994</v>
      </c>
      <c r="CKR1" s="24" t="s">
        <v>14995</v>
      </c>
      <c r="CKS1" s="24" t="s">
        <v>14996</v>
      </c>
      <c r="CKT1" s="24" t="s">
        <v>14997</v>
      </c>
      <c r="CKU1" s="24" t="s">
        <v>14998</v>
      </c>
      <c r="CKV1" s="24" t="s">
        <v>14999</v>
      </c>
      <c r="CKW1" s="24" t="s">
        <v>15000</v>
      </c>
      <c r="CKX1" s="24" t="s">
        <v>15001</v>
      </c>
      <c r="CKY1" s="24" t="s">
        <v>15002</v>
      </c>
      <c r="CKZ1" s="24" t="s">
        <v>15003</v>
      </c>
      <c r="CLA1" s="24" t="s">
        <v>15004</v>
      </c>
      <c r="CLB1" s="24" t="s">
        <v>15005</v>
      </c>
      <c r="CLC1" s="24" t="s">
        <v>15006</v>
      </c>
      <c r="CLD1" s="24" t="s">
        <v>15007</v>
      </c>
      <c r="CLE1" s="24" t="s">
        <v>15008</v>
      </c>
      <c r="CLF1" s="24" t="s">
        <v>15009</v>
      </c>
      <c r="CLG1" s="24" t="s">
        <v>15010</v>
      </c>
      <c r="CLH1" s="24" t="s">
        <v>15011</v>
      </c>
      <c r="CLI1" s="24" t="s">
        <v>15012</v>
      </c>
      <c r="CLJ1" s="24" t="s">
        <v>15013</v>
      </c>
      <c r="CLK1" s="24" t="s">
        <v>15014</v>
      </c>
      <c r="CLL1" s="24" t="s">
        <v>15015</v>
      </c>
      <c r="CLM1" s="24" t="s">
        <v>15016</v>
      </c>
      <c r="CLN1" s="24" t="s">
        <v>15017</v>
      </c>
      <c r="CLO1" s="24" t="s">
        <v>15018</v>
      </c>
      <c r="CLP1" s="24" t="s">
        <v>15019</v>
      </c>
      <c r="CLQ1" s="24" t="s">
        <v>15020</v>
      </c>
      <c r="CLR1" s="24" t="s">
        <v>15021</v>
      </c>
      <c r="CLS1" s="24" t="s">
        <v>15022</v>
      </c>
      <c r="CLT1" s="24" t="s">
        <v>15023</v>
      </c>
      <c r="CLU1" s="24" t="s">
        <v>15024</v>
      </c>
      <c r="CLV1" s="24" t="s">
        <v>15025</v>
      </c>
      <c r="CLW1" s="24" t="s">
        <v>15026</v>
      </c>
      <c r="CLX1" s="24" t="s">
        <v>15027</v>
      </c>
      <c r="CLY1" s="24" t="s">
        <v>15028</v>
      </c>
      <c r="CLZ1" s="24" t="s">
        <v>15029</v>
      </c>
      <c r="CMA1" s="24" t="s">
        <v>15030</v>
      </c>
      <c r="CMB1" s="24" t="s">
        <v>15031</v>
      </c>
      <c r="CMC1" s="24" t="s">
        <v>15032</v>
      </c>
      <c r="CMD1" s="24" t="s">
        <v>15033</v>
      </c>
      <c r="CME1" s="24" t="s">
        <v>15034</v>
      </c>
      <c r="CMF1" s="24" t="s">
        <v>15035</v>
      </c>
      <c r="CMG1" s="24" t="s">
        <v>15036</v>
      </c>
      <c r="CMH1" s="24" t="s">
        <v>15037</v>
      </c>
      <c r="CMI1" s="24" t="s">
        <v>15038</v>
      </c>
      <c r="CMJ1" s="24" t="s">
        <v>15039</v>
      </c>
      <c r="CMK1" s="24" t="s">
        <v>15040</v>
      </c>
      <c r="CML1" s="24" t="s">
        <v>15041</v>
      </c>
      <c r="CMM1" s="24" t="s">
        <v>15042</v>
      </c>
      <c r="CMN1" s="24" t="s">
        <v>15043</v>
      </c>
      <c r="CMO1" s="24" t="s">
        <v>15044</v>
      </c>
      <c r="CMP1" s="24" t="s">
        <v>15045</v>
      </c>
      <c r="CMQ1" s="24" t="s">
        <v>15046</v>
      </c>
      <c r="CMR1" s="24" t="s">
        <v>15047</v>
      </c>
      <c r="CMS1" s="24" t="s">
        <v>15048</v>
      </c>
      <c r="CMT1" s="24" t="s">
        <v>15049</v>
      </c>
      <c r="CMU1" s="24" t="s">
        <v>15050</v>
      </c>
      <c r="CMV1" s="24" t="s">
        <v>15051</v>
      </c>
      <c r="CMW1" s="24" t="s">
        <v>15052</v>
      </c>
      <c r="CMX1" s="24" t="s">
        <v>15053</v>
      </c>
      <c r="CMY1" s="24" t="s">
        <v>15054</v>
      </c>
      <c r="CMZ1" s="24" t="s">
        <v>15055</v>
      </c>
      <c r="CNA1" s="24" t="s">
        <v>15056</v>
      </c>
      <c r="CNB1" s="24" t="s">
        <v>15057</v>
      </c>
      <c r="CNC1" s="24" t="s">
        <v>15058</v>
      </c>
      <c r="CND1" s="24" t="s">
        <v>15059</v>
      </c>
      <c r="CNE1" s="24" t="s">
        <v>15060</v>
      </c>
      <c r="CNF1" s="24" t="s">
        <v>15061</v>
      </c>
      <c r="CNG1" s="24" t="s">
        <v>15062</v>
      </c>
      <c r="CNH1" s="24" t="s">
        <v>15063</v>
      </c>
      <c r="CNI1" s="24" t="s">
        <v>15064</v>
      </c>
      <c r="CNJ1" s="24" t="s">
        <v>15065</v>
      </c>
      <c r="CNK1" s="24" t="s">
        <v>15066</v>
      </c>
      <c r="CNL1" s="24" t="s">
        <v>15067</v>
      </c>
      <c r="CNM1" s="24" t="s">
        <v>15068</v>
      </c>
      <c r="CNN1" s="24" t="s">
        <v>15069</v>
      </c>
      <c r="CNO1" s="24" t="s">
        <v>15070</v>
      </c>
      <c r="CNP1" s="24" t="s">
        <v>15071</v>
      </c>
      <c r="CNQ1" s="24" t="s">
        <v>15072</v>
      </c>
      <c r="CNR1" s="24" t="s">
        <v>15073</v>
      </c>
      <c r="CNS1" s="24" t="s">
        <v>15074</v>
      </c>
      <c r="CNT1" s="24" t="s">
        <v>15075</v>
      </c>
      <c r="CNU1" s="24" t="s">
        <v>15076</v>
      </c>
      <c r="CNV1" s="24" t="s">
        <v>15077</v>
      </c>
      <c r="CNW1" s="24" t="s">
        <v>15078</v>
      </c>
      <c r="CNX1" s="24" t="s">
        <v>15079</v>
      </c>
      <c r="CNY1" s="24" t="s">
        <v>15080</v>
      </c>
      <c r="CNZ1" s="24" t="s">
        <v>15081</v>
      </c>
      <c r="COA1" s="24" t="s">
        <v>15082</v>
      </c>
      <c r="COB1" s="24" t="s">
        <v>15083</v>
      </c>
      <c r="COC1" s="24" t="s">
        <v>15084</v>
      </c>
      <c r="COD1" s="24" t="s">
        <v>15085</v>
      </c>
      <c r="COE1" s="24" t="s">
        <v>15086</v>
      </c>
      <c r="COF1" s="24" t="s">
        <v>15087</v>
      </c>
      <c r="COG1" s="24" t="s">
        <v>15088</v>
      </c>
      <c r="COH1" s="24" t="s">
        <v>15089</v>
      </c>
      <c r="COI1" s="24" t="s">
        <v>15090</v>
      </c>
      <c r="COJ1" s="24" t="s">
        <v>15091</v>
      </c>
      <c r="COK1" s="24" t="s">
        <v>15092</v>
      </c>
      <c r="COL1" s="24" t="s">
        <v>15093</v>
      </c>
      <c r="COM1" s="24" t="s">
        <v>15094</v>
      </c>
      <c r="CON1" s="24" t="s">
        <v>15095</v>
      </c>
      <c r="COO1" s="24" t="s">
        <v>15096</v>
      </c>
      <c r="COP1" s="24" t="s">
        <v>15097</v>
      </c>
      <c r="COQ1" s="24" t="s">
        <v>15098</v>
      </c>
      <c r="COR1" s="24" t="s">
        <v>15099</v>
      </c>
      <c r="COS1" s="24" t="s">
        <v>15100</v>
      </c>
      <c r="COT1" s="24" t="s">
        <v>15101</v>
      </c>
      <c r="COU1" s="24" t="s">
        <v>15102</v>
      </c>
      <c r="COV1" s="24" t="s">
        <v>15103</v>
      </c>
      <c r="COW1" s="24" t="s">
        <v>15104</v>
      </c>
      <c r="COX1" s="24" t="s">
        <v>15105</v>
      </c>
      <c r="COY1" s="24" t="s">
        <v>15106</v>
      </c>
      <c r="COZ1" s="24" t="s">
        <v>15107</v>
      </c>
      <c r="CPA1" s="24" t="s">
        <v>15108</v>
      </c>
      <c r="CPB1" s="24" t="s">
        <v>15109</v>
      </c>
      <c r="CPC1" s="24" t="s">
        <v>15110</v>
      </c>
      <c r="CPD1" s="24" t="s">
        <v>15111</v>
      </c>
      <c r="CPE1" s="24" t="s">
        <v>15112</v>
      </c>
      <c r="CPF1" s="24" t="s">
        <v>15113</v>
      </c>
      <c r="CPG1" s="24" t="s">
        <v>15114</v>
      </c>
      <c r="CPH1" s="24" t="s">
        <v>15115</v>
      </c>
      <c r="CPI1" s="24" t="s">
        <v>15116</v>
      </c>
      <c r="CPJ1" s="24" t="s">
        <v>15117</v>
      </c>
      <c r="CPK1" s="24" t="s">
        <v>15118</v>
      </c>
      <c r="CPL1" s="24" t="s">
        <v>15119</v>
      </c>
      <c r="CPM1" s="24" t="s">
        <v>15120</v>
      </c>
      <c r="CPN1" s="24" t="s">
        <v>15121</v>
      </c>
      <c r="CPO1" s="24" t="s">
        <v>15122</v>
      </c>
      <c r="CPP1" s="24" t="s">
        <v>15123</v>
      </c>
      <c r="CPQ1" s="24" t="s">
        <v>15124</v>
      </c>
      <c r="CPR1" s="24" t="s">
        <v>15125</v>
      </c>
      <c r="CPS1" s="24" t="s">
        <v>15126</v>
      </c>
      <c r="CPT1" s="24" t="s">
        <v>15127</v>
      </c>
      <c r="CPU1" s="24" t="s">
        <v>15128</v>
      </c>
      <c r="CPV1" s="24" t="s">
        <v>15129</v>
      </c>
      <c r="CPW1" s="24" t="s">
        <v>15130</v>
      </c>
      <c r="CPX1" s="24" t="s">
        <v>15131</v>
      </c>
      <c r="CPY1" s="24" t="s">
        <v>15132</v>
      </c>
      <c r="CPZ1" s="24" t="s">
        <v>15133</v>
      </c>
      <c r="CQA1" s="24" t="s">
        <v>15134</v>
      </c>
      <c r="CQB1" s="24" t="s">
        <v>15135</v>
      </c>
      <c r="CQC1" s="24" t="s">
        <v>15136</v>
      </c>
      <c r="CQD1" s="24" t="s">
        <v>15137</v>
      </c>
      <c r="CQE1" s="24" t="s">
        <v>15138</v>
      </c>
      <c r="CQF1" s="24" t="s">
        <v>15139</v>
      </c>
      <c r="CQG1" s="24" t="s">
        <v>15140</v>
      </c>
      <c r="CQH1" s="24" t="s">
        <v>15141</v>
      </c>
      <c r="CQI1" s="24" t="s">
        <v>15142</v>
      </c>
      <c r="CQJ1" s="24" t="s">
        <v>15143</v>
      </c>
      <c r="CQK1" s="24" t="s">
        <v>15144</v>
      </c>
      <c r="CQL1" s="24" t="s">
        <v>15145</v>
      </c>
      <c r="CQM1" s="24" t="s">
        <v>15146</v>
      </c>
      <c r="CQN1" s="24" t="s">
        <v>15147</v>
      </c>
      <c r="CQO1" s="24" t="s">
        <v>15148</v>
      </c>
      <c r="CQP1" s="24" t="s">
        <v>15149</v>
      </c>
      <c r="CQQ1" s="24" t="s">
        <v>15150</v>
      </c>
      <c r="CQR1" s="24" t="s">
        <v>15151</v>
      </c>
      <c r="CQS1" s="24" t="s">
        <v>15152</v>
      </c>
      <c r="CQT1" s="24" t="s">
        <v>15153</v>
      </c>
      <c r="CQU1" s="24" t="s">
        <v>15154</v>
      </c>
      <c r="CQV1" s="24" t="s">
        <v>15155</v>
      </c>
      <c r="CQW1" s="24" t="s">
        <v>15156</v>
      </c>
      <c r="CQX1" s="24" t="s">
        <v>15157</v>
      </c>
      <c r="CQY1" s="24" t="s">
        <v>15158</v>
      </c>
      <c r="CQZ1" s="24" t="s">
        <v>15159</v>
      </c>
      <c r="CRA1" s="24" t="s">
        <v>15160</v>
      </c>
      <c r="CRB1" s="24" t="s">
        <v>15161</v>
      </c>
      <c r="CRC1" s="24" t="s">
        <v>15162</v>
      </c>
      <c r="CRD1" s="24" t="s">
        <v>15163</v>
      </c>
      <c r="CRE1" s="24" t="s">
        <v>15164</v>
      </c>
      <c r="CRF1" s="24" t="s">
        <v>15165</v>
      </c>
      <c r="CRG1" s="24" t="s">
        <v>15166</v>
      </c>
      <c r="CRH1" s="24" t="s">
        <v>15167</v>
      </c>
      <c r="CRI1" s="24" t="s">
        <v>15168</v>
      </c>
      <c r="CRJ1" s="24" t="s">
        <v>15169</v>
      </c>
      <c r="CRK1" s="24" t="s">
        <v>15170</v>
      </c>
      <c r="CRL1" s="24" t="s">
        <v>15171</v>
      </c>
      <c r="CRM1" s="24" t="s">
        <v>15172</v>
      </c>
      <c r="CRN1" s="24" t="s">
        <v>15173</v>
      </c>
      <c r="CRO1" s="24" t="s">
        <v>15174</v>
      </c>
      <c r="CRP1" s="24" t="s">
        <v>15175</v>
      </c>
      <c r="CRQ1" s="24" t="s">
        <v>15176</v>
      </c>
      <c r="CRR1" s="24" t="s">
        <v>15177</v>
      </c>
      <c r="CRS1" s="24" t="s">
        <v>15178</v>
      </c>
      <c r="CRT1" s="24" t="s">
        <v>15179</v>
      </c>
      <c r="CRU1" s="24" t="s">
        <v>15180</v>
      </c>
      <c r="CRV1" s="24" t="s">
        <v>15181</v>
      </c>
      <c r="CRW1" s="24" t="s">
        <v>15182</v>
      </c>
      <c r="CRX1" s="24" t="s">
        <v>15183</v>
      </c>
      <c r="CRY1" s="24" t="s">
        <v>15184</v>
      </c>
      <c r="CRZ1" s="24" t="s">
        <v>15185</v>
      </c>
      <c r="CSA1" s="24" t="s">
        <v>15186</v>
      </c>
      <c r="CSB1" s="24" t="s">
        <v>15187</v>
      </c>
      <c r="CSC1" s="24" t="s">
        <v>15188</v>
      </c>
      <c r="CSD1" s="24" t="s">
        <v>15189</v>
      </c>
      <c r="CSE1" s="24" t="s">
        <v>15190</v>
      </c>
      <c r="CSF1" s="24" t="s">
        <v>15191</v>
      </c>
      <c r="CSG1" s="24" t="s">
        <v>15192</v>
      </c>
      <c r="CSH1" s="24" t="s">
        <v>15193</v>
      </c>
      <c r="CSI1" s="24" t="s">
        <v>15194</v>
      </c>
      <c r="CSJ1" s="24" t="s">
        <v>15195</v>
      </c>
      <c r="CSK1" s="24" t="s">
        <v>15196</v>
      </c>
      <c r="CSL1" s="24" t="s">
        <v>15197</v>
      </c>
      <c r="CSM1" s="24" t="s">
        <v>15198</v>
      </c>
      <c r="CSN1" s="24" t="s">
        <v>15199</v>
      </c>
      <c r="CSO1" s="24" t="s">
        <v>15200</v>
      </c>
      <c r="CSP1" s="24" t="s">
        <v>15201</v>
      </c>
      <c r="CSQ1" s="24" t="s">
        <v>15202</v>
      </c>
      <c r="CSR1" s="24" t="s">
        <v>15203</v>
      </c>
      <c r="CSS1" s="24" t="s">
        <v>15204</v>
      </c>
      <c r="CST1" s="24" t="s">
        <v>15205</v>
      </c>
      <c r="CSU1" s="24" t="s">
        <v>15206</v>
      </c>
      <c r="CSV1" s="24" t="s">
        <v>15207</v>
      </c>
      <c r="CSW1" s="24" t="s">
        <v>15208</v>
      </c>
      <c r="CSX1" s="24" t="s">
        <v>15209</v>
      </c>
      <c r="CSY1" s="24" t="s">
        <v>15210</v>
      </c>
      <c r="CSZ1" s="24" t="s">
        <v>15211</v>
      </c>
      <c r="CTA1" s="24" t="s">
        <v>15212</v>
      </c>
      <c r="CTB1" s="24" t="s">
        <v>15213</v>
      </c>
      <c r="CTC1" s="24" t="s">
        <v>15214</v>
      </c>
      <c r="CTD1" s="24" t="s">
        <v>15215</v>
      </c>
      <c r="CTE1" s="24" t="s">
        <v>15216</v>
      </c>
      <c r="CTF1" s="24" t="s">
        <v>15217</v>
      </c>
      <c r="CTG1" s="24" t="s">
        <v>15218</v>
      </c>
      <c r="CTH1" s="24" t="s">
        <v>15219</v>
      </c>
      <c r="CTI1" s="24" t="s">
        <v>15220</v>
      </c>
      <c r="CTJ1" s="24" t="s">
        <v>15221</v>
      </c>
      <c r="CTK1" s="24" t="s">
        <v>15222</v>
      </c>
      <c r="CTL1" s="24" t="s">
        <v>15223</v>
      </c>
      <c r="CTM1" s="24" t="s">
        <v>15224</v>
      </c>
      <c r="CTN1" s="24" t="s">
        <v>15225</v>
      </c>
      <c r="CTO1" s="24" t="s">
        <v>15226</v>
      </c>
      <c r="CTP1" s="24" t="s">
        <v>15227</v>
      </c>
      <c r="CTQ1" s="24" t="s">
        <v>15228</v>
      </c>
      <c r="CTR1" s="24" t="s">
        <v>15229</v>
      </c>
      <c r="CTS1" s="24" t="s">
        <v>15230</v>
      </c>
      <c r="CTT1" s="24" t="s">
        <v>15231</v>
      </c>
      <c r="CTU1" s="24" t="s">
        <v>15232</v>
      </c>
      <c r="CTV1" s="24" t="s">
        <v>15233</v>
      </c>
      <c r="CTW1" s="24" t="s">
        <v>15234</v>
      </c>
      <c r="CTX1" s="24" t="s">
        <v>15235</v>
      </c>
      <c r="CTY1" s="24" t="s">
        <v>15236</v>
      </c>
      <c r="CTZ1" s="24" t="s">
        <v>15237</v>
      </c>
      <c r="CUA1" s="24" t="s">
        <v>15238</v>
      </c>
      <c r="CUB1" s="24" t="s">
        <v>15239</v>
      </c>
      <c r="CUC1" s="24" t="s">
        <v>15240</v>
      </c>
      <c r="CUD1" s="24" t="s">
        <v>15241</v>
      </c>
      <c r="CUE1" s="24" t="s">
        <v>15242</v>
      </c>
      <c r="CUF1" s="24" t="s">
        <v>15243</v>
      </c>
      <c r="CUG1" s="24" t="s">
        <v>15244</v>
      </c>
      <c r="CUH1" s="24" t="s">
        <v>15245</v>
      </c>
      <c r="CUI1" s="24" t="s">
        <v>15246</v>
      </c>
      <c r="CUJ1" s="24" t="s">
        <v>15247</v>
      </c>
      <c r="CUK1" s="24" t="s">
        <v>15248</v>
      </c>
      <c r="CUL1" s="24" t="s">
        <v>15249</v>
      </c>
      <c r="CUM1" s="24" t="s">
        <v>15250</v>
      </c>
      <c r="CUN1" s="24" t="s">
        <v>15251</v>
      </c>
      <c r="CUO1" s="24" t="s">
        <v>15252</v>
      </c>
      <c r="CUP1" s="24" t="s">
        <v>15253</v>
      </c>
      <c r="CUQ1" s="24" t="s">
        <v>15254</v>
      </c>
      <c r="CUR1" s="24" t="s">
        <v>15255</v>
      </c>
      <c r="CUS1" s="24" t="s">
        <v>15256</v>
      </c>
      <c r="CUT1" s="24" t="s">
        <v>15257</v>
      </c>
      <c r="CUU1" s="24" t="s">
        <v>15258</v>
      </c>
      <c r="CUV1" s="24" t="s">
        <v>15259</v>
      </c>
      <c r="CUW1" s="24" t="s">
        <v>15260</v>
      </c>
      <c r="CUX1" s="24" t="s">
        <v>15261</v>
      </c>
      <c r="CUY1" s="24" t="s">
        <v>15262</v>
      </c>
      <c r="CUZ1" s="24" t="s">
        <v>15263</v>
      </c>
      <c r="CVA1" s="24" t="s">
        <v>15264</v>
      </c>
      <c r="CVB1" s="24" t="s">
        <v>15265</v>
      </c>
      <c r="CVC1" s="24" t="s">
        <v>15266</v>
      </c>
      <c r="CVD1" s="24" t="s">
        <v>15267</v>
      </c>
      <c r="CVE1" s="24" t="s">
        <v>15268</v>
      </c>
      <c r="CVF1" s="24" t="s">
        <v>15269</v>
      </c>
      <c r="CVG1" s="24" t="s">
        <v>15270</v>
      </c>
      <c r="CVH1" s="24" t="s">
        <v>15271</v>
      </c>
      <c r="CVI1" s="24" t="s">
        <v>15272</v>
      </c>
      <c r="CVJ1" s="24" t="s">
        <v>15273</v>
      </c>
      <c r="CVK1" s="24" t="s">
        <v>15274</v>
      </c>
      <c r="CVL1" s="24" t="s">
        <v>15275</v>
      </c>
      <c r="CVM1" s="24" t="s">
        <v>15276</v>
      </c>
      <c r="CVN1" s="24" t="s">
        <v>15277</v>
      </c>
      <c r="CVO1" s="24" t="s">
        <v>15278</v>
      </c>
      <c r="CVP1" s="24" t="s">
        <v>15279</v>
      </c>
      <c r="CVQ1" s="24" t="s">
        <v>15280</v>
      </c>
      <c r="CVR1" s="24" t="s">
        <v>15281</v>
      </c>
      <c r="CVS1" s="24" t="s">
        <v>15282</v>
      </c>
      <c r="CVT1" s="24" t="s">
        <v>15283</v>
      </c>
      <c r="CVU1" s="24" t="s">
        <v>15284</v>
      </c>
      <c r="CVV1" s="24" t="s">
        <v>15285</v>
      </c>
      <c r="CVW1" s="24" t="s">
        <v>15286</v>
      </c>
      <c r="CVX1" s="24" t="s">
        <v>15287</v>
      </c>
      <c r="CVY1" s="24" t="s">
        <v>15288</v>
      </c>
      <c r="CVZ1" s="24" t="s">
        <v>15289</v>
      </c>
      <c r="CWA1" s="24" t="s">
        <v>15290</v>
      </c>
      <c r="CWB1" s="24" t="s">
        <v>15291</v>
      </c>
      <c r="CWC1" s="24" t="s">
        <v>15292</v>
      </c>
      <c r="CWD1" s="24" t="s">
        <v>15293</v>
      </c>
      <c r="CWE1" s="24" t="s">
        <v>15294</v>
      </c>
      <c r="CWF1" s="24" t="s">
        <v>15295</v>
      </c>
      <c r="CWG1" s="24" t="s">
        <v>15296</v>
      </c>
      <c r="CWH1" s="24" t="s">
        <v>15297</v>
      </c>
      <c r="CWI1" s="24" t="s">
        <v>15298</v>
      </c>
      <c r="CWJ1" s="24" t="s">
        <v>15299</v>
      </c>
      <c r="CWK1" s="24" t="s">
        <v>15300</v>
      </c>
      <c r="CWL1" s="24" t="s">
        <v>15301</v>
      </c>
      <c r="CWM1" s="24" t="s">
        <v>15302</v>
      </c>
      <c r="CWN1" s="24" t="s">
        <v>15303</v>
      </c>
      <c r="CWO1" s="24" t="s">
        <v>15304</v>
      </c>
      <c r="CWP1" s="24" t="s">
        <v>15305</v>
      </c>
      <c r="CWQ1" s="24" t="s">
        <v>15306</v>
      </c>
      <c r="CWR1" s="24" t="s">
        <v>15307</v>
      </c>
      <c r="CWS1" s="24" t="s">
        <v>15308</v>
      </c>
      <c r="CWT1" s="24" t="s">
        <v>15309</v>
      </c>
      <c r="CWU1" s="24" t="s">
        <v>15310</v>
      </c>
      <c r="CWV1" s="24" t="s">
        <v>15311</v>
      </c>
      <c r="CWW1" s="24" t="s">
        <v>15312</v>
      </c>
      <c r="CWX1" s="24" t="s">
        <v>15313</v>
      </c>
      <c r="CWY1" s="24" t="s">
        <v>15314</v>
      </c>
      <c r="CWZ1" s="24" t="s">
        <v>15315</v>
      </c>
      <c r="CXA1" s="24" t="s">
        <v>15316</v>
      </c>
      <c r="CXB1" s="24" t="s">
        <v>15317</v>
      </c>
      <c r="CXC1" s="24" t="s">
        <v>15318</v>
      </c>
      <c r="CXD1" s="24" t="s">
        <v>15319</v>
      </c>
      <c r="CXE1" s="24" t="s">
        <v>15320</v>
      </c>
      <c r="CXF1" s="24" t="s">
        <v>15321</v>
      </c>
      <c r="CXG1" s="24" t="s">
        <v>15322</v>
      </c>
      <c r="CXH1" s="24" t="s">
        <v>15323</v>
      </c>
      <c r="CXI1" s="24" t="s">
        <v>15324</v>
      </c>
      <c r="CXJ1" s="24" t="s">
        <v>15325</v>
      </c>
      <c r="CXK1" s="24" t="s">
        <v>15326</v>
      </c>
      <c r="CXL1" s="24" t="s">
        <v>15327</v>
      </c>
      <c r="CXM1" s="24" t="s">
        <v>15328</v>
      </c>
      <c r="CXN1" s="24" t="s">
        <v>15329</v>
      </c>
      <c r="CXO1" s="24" t="s">
        <v>15330</v>
      </c>
      <c r="CXP1" s="24" t="s">
        <v>15331</v>
      </c>
      <c r="CXQ1" s="24" t="s">
        <v>15332</v>
      </c>
      <c r="CXR1" s="24" t="s">
        <v>15333</v>
      </c>
      <c r="CXS1" s="24" t="s">
        <v>15334</v>
      </c>
      <c r="CXT1" s="24" t="s">
        <v>15335</v>
      </c>
      <c r="CXU1" s="24" t="s">
        <v>15336</v>
      </c>
      <c r="CXV1" s="24" t="s">
        <v>15337</v>
      </c>
      <c r="CXW1" s="24" t="s">
        <v>15338</v>
      </c>
      <c r="CXX1" s="24" t="s">
        <v>15339</v>
      </c>
      <c r="CXY1" s="24" t="s">
        <v>15340</v>
      </c>
      <c r="CXZ1" s="24" t="s">
        <v>15341</v>
      </c>
      <c r="CYA1" s="24" t="s">
        <v>15342</v>
      </c>
      <c r="CYB1" s="24" t="s">
        <v>15343</v>
      </c>
      <c r="CYC1" s="24" t="s">
        <v>15344</v>
      </c>
      <c r="CYD1" s="24" t="s">
        <v>15345</v>
      </c>
      <c r="CYE1" s="24" t="s">
        <v>15346</v>
      </c>
      <c r="CYF1" s="24" t="s">
        <v>15347</v>
      </c>
      <c r="CYG1" s="24" t="s">
        <v>15348</v>
      </c>
      <c r="CYH1" s="24" t="s">
        <v>15349</v>
      </c>
      <c r="CYI1" s="24" t="s">
        <v>15350</v>
      </c>
      <c r="CYJ1" s="24" t="s">
        <v>15351</v>
      </c>
      <c r="CYK1" s="24" t="s">
        <v>15352</v>
      </c>
      <c r="CYL1" s="24" t="s">
        <v>15353</v>
      </c>
      <c r="CYM1" s="24" t="s">
        <v>15354</v>
      </c>
      <c r="CYN1" s="24" t="s">
        <v>15355</v>
      </c>
      <c r="CYO1" s="24" t="s">
        <v>15356</v>
      </c>
      <c r="CYP1" s="24" t="s">
        <v>15357</v>
      </c>
      <c r="CYQ1" s="24" t="s">
        <v>15358</v>
      </c>
      <c r="CYR1" s="24" t="s">
        <v>15359</v>
      </c>
      <c r="CYS1" s="24" t="s">
        <v>15360</v>
      </c>
      <c r="CYT1" s="24" t="s">
        <v>15361</v>
      </c>
      <c r="CYU1" s="24" t="s">
        <v>15362</v>
      </c>
      <c r="CYV1" s="24" t="s">
        <v>15363</v>
      </c>
      <c r="CYW1" s="24" t="s">
        <v>15364</v>
      </c>
      <c r="CYX1" s="24" t="s">
        <v>15365</v>
      </c>
      <c r="CYY1" s="24" t="s">
        <v>15366</v>
      </c>
      <c r="CYZ1" s="24" t="s">
        <v>15367</v>
      </c>
      <c r="CZA1" s="24" t="s">
        <v>15368</v>
      </c>
      <c r="CZB1" s="24" t="s">
        <v>15369</v>
      </c>
      <c r="CZC1" s="24" t="s">
        <v>15370</v>
      </c>
      <c r="CZD1" s="24" t="s">
        <v>15371</v>
      </c>
      <c r="CZE1" s="24" t="s">
        <v>15372</v>
      </c>
      <c r="CZF1" s="24" t="s">
        <v>15373</v>
      </c>
      <c r="CZG1" s="24" t="s">
        <v>15374</v>
      </c>
      <c r="CZH1" s="24" t="s">
        <v>15375</v>
      </c>
      <c r="CZI1" s="24" t="s">
        <v>15376</v>
      </c>
      <c r="CZJ1" s="24" t="s">
        <v>15377</v>
      </c>
      <c r="CZK1" s="24" t="s">
        <v>15378</v>
      </c>
      <c r="CZL1" s="24" t="s">
        <v>15379</v>
      </c>
      <c r="CZM1" s="24" t="s">
        <v>15380</v>
      </c>
      <c r="CZN1" s="24" t="s">
        <v>15381</v>
      </c>
      <c r="CZO1" s="24" t="s">
        <v>15382</v>
      </c>
      <c r="CZP1" s="24" t="s">
        <v>15383</v>
      </c>
      <c r="CZQ1" s="24" t="s">
        <v>15384</v>
      </c>
      <c r="CZR1" s="24" t="s">
        <v>15385</v>
      </c>
      <c r="CZS1" s="24" t="s">
        <v>15386</v>
      </c>
      <c r="CZT1" s="24" t="s">
        <v>15387</v>
      </c>
      <c r="CZU1" s="24" t="s">
        <v>15388</v>
      </c>
      <c r="CZV1" s="24" t="s">
        <v>15389</v>
      </c>
      <c r="CZW1" s="24" t="s">
        <v>15390</v>
      </c>
      <c r="CZX1" s="24" t="s">
        <v>15391</v>
      </c>
      <c r="CZY1" s="24" t="s">
        <v>15392</v>
      </c>
      <c r="CZZ1" s="24" t="s">
        <v>15393</v>
      </c>
      <c r="DAA1" s="24" t="s">
        <v>15394</v>
      </c>
      <c r="DAB1" s="24" t="s">
        <v>15395</v>
      </c>
      <c r="DAC1" s="24" t="s">
        <v>15396</v>
      </c>
      <c r="DAD1" s="24" t="s">
        <v>15397</v>
      </c>
      <c r="DAE1" s="24" t="s">
        <v>15398</v>
      </c>
      <c r="DAF1" s="24" t="s">
        <v>15399</v>
      </c>
      <c r="DAG1" s="24" t="s">
        <v>15400</v>
      </c>
      <c r="DAH1" s="24" t="s">
        <v>15401</v>
      </c>
      <c r="DAI1" s="24" t="s">
        <v>15402</v>
      </c>
      <c r="DAJ1" s="24" t="s">
        <v>15403</v>
      </c>
      <c r="DAK1" s="24" t="s">
        <v>15404</v>
      </c>
      <c r="DAL1" s="24" t="s">
        <v>15405</v>
      </c>
      <c r="DAM1" s="24" t="s">
        <v>15406</v>
      </c>
      <c r="DAN1" s="24" t="s">
        <v>15407</v>
      </c>
      <c r="DAO1" s="24" t="s">
        <v>15408</v>
      </c>
      <c r="DAP1" s="24" t="s">
        <v>15409</v>
      </c>
      <c r="DAQ1" s="24" t="s">
        <v>15410</v>
      </c>
      <c r="DAR1" s="24" t="s">
        <v>15411</v>
      </c>
      <c r="DAS1" s="24" t="s">
        <v>15412</v>
      </c>
      <c r="DAT1" s="24" t="s">
        <v>15413</v>
      </c>
      <c r="DAU1" s="24" t="s">
        <v>15414</v>
      </c>
      <c r="DAV1" s="24" t="s">
        <v>15415</v>
      </c>
      <c r="DAW1" s="24" t="s">
        <v>15416</v>
      </c>
      <c r="DAX1" s="24" t="s">
        <v>15417</v>
      </c>
      <c r="DAY1" s="24" t="s">
        <v>15418</v>
      </c>
      <c r="DAZ1" s="24" t="s">
        <v>15419</v>
      </c>
      <c r="DBA1" s="24" t="s">
        <v>15420</v>
      </c>
      <c r="DBB1" s="24" t="s">
        <v>15421</v>
      </c>
      <c r="DBC1" s="24" t="s">
        <v>15422</v>
      </c>
      <c r="DBD1" s="24" t="s">
        <v>15423</v>
      </c>
      <c r="DBE1" s="24" t="s">
        <v>15424</v>
      </c>
      <c r="DBF1" s="24" t="s">
        <v>15425</v>
      </c>
      <c r="DBG1" s="24" t="s">
        <v>15426</v>
      </c>
      <c r="DBH1" s="24" t="s">
        <v>15427</v>
      </c>
      <c r="DBI1" s="24" t="s">
        <v>15428</v>
      </c>
      <c r="DBJ1" s="24" t="s">
        <v>15429</v>
      </c>
      <c r="DBK1" s="24" t="s">
        <v>15430</v>
      </c>
      <c r="DBL1" s="24" t="s">
        <v>15431</v>
      </c>
      <c r="DBM1" s="24" t="s">
        <v>15432</v>
      </c>
      <c r="DBN1" s="24" t="s">
        <v>15433</v>
      </c>
      <c r="DBO1" s="24" t="s">
        <v>15434</v>
      </c>
      <c r="DBP1" s="24" t="s">
        <v>15435</v>
      </c>
      <c r="DBQ1" s="24" t="s">
        <v>15436</v>
      </c>
      <c r="DBR1" s="24" t="s">
        <v>15437</v>
      </c>
      <c r="DBS1" s="24" t="s">
        <v>15438</v>
      </c>
      <c r="DBT1" s="24" t="s">
        <v>15439</v>
      </c>
      <c r="DBU1" s="24" t="s">
        <v>15440</v>
      </c>
      <c r="DBV1" s="24" t="s">
        <v>15441</v>
      </c>
      <c r="DBW1" s="24" t="s">
        <v>15442</v>
      </c>
      <c r="DBX1" s="24" t="s">
        <v>15443</v>
      </c>
      <c r="DBY1" s="24" t="s">
        <v>15444</v>
      </c>
      <c r="DBZ1" s="24" t="s">
        <v>15445</v>
      </c>
      <c r="DCA1" s="24" t="s">
        <v>15446</v>
      </c>
      <c r="DCB1" s="24" t="s">
        <v>15447</v>
      </c>
      <c r="DCC1" s="24" t="s">
        <v>15448</v>
      </c>
      <c r="DCD1" s="24" t="s">
        <v>15449</v>
      </c>
      <c r="DCE1" s="24" t="s">
        <v>15450</v>
      </c>
      <c r="DCF1" s="24" t="s">
        <v>15451</v>
      </c>
      <c r="DCG1" s="24" t="s">
        <v>15452</v>
      </c>
      <c r="DCH1" s="24" t="s">
        <v>15453</v>
      </c>
      <c r="DCI1" s="24" t="s">
        <v>15454</v>
      </c>
      <c r="DCJ1" s="24" t="s">
        <v>15455</v>
      </c>
      <c r="DCK1" s="24" t="s">
        <v>15456</v>
      </c>
      <c r="DCL1" s="24" t="s">
        <v>15457</v>
      </c>
      <c r="DCM1" s="24" t="s">
        <v>15458</v>
      </c>
      <c r="DCN1" s="24" t="s">
        <v>15459</v>
      </c>
      <c r="DCO1" s="24" t="s">
        <v>15460</v>
      </c>
      <c r="DCP1" s="24" t="s">
        <v>15461</v>
      </c>
      <c r="DCQ1" s="24" t="s">
        <v>15462</v>
      </c>
      <c r="DCR1" s="24" t="s">
        <v>15463</v>
      </c>
      <c r="DCS1" s="24" t="s">
        <v>15464</v>
      </c>
      <c r="DCT1" s="24" t="s">
        <v>15465</v>
      </c>
      <c r="DCU1" s="24" t="s">
        <v>15466</v>
      </c>
      <c r="DCV1" s="24" t="s">
        <v>15467</v>
      </c>
      <c r="DCW1" s="24" t="s">
        <v>15468</v>
      </c>
      <c r="DCX1" s="24" t="s">
        <v>15469</v>
      </c>
      <c r="DCY1" s="24" t="s">
        <v>15470</v>
      </c>
      <c r="DCZ1" s="24" t="s">
        <v>15471</v>
      </c>
      <c r="DDA1" s="24" t="s">
        <v>15472</v>
      </c>
      <c r="DDB1" s="24" t="s">
        <v>15473</v>
      </c>
      <c r="DDC1" s="24" t="s">
        <v>15474</v>
      </c>
      <c r="DDD1" s="24" t="s">
        <v>15475</v>
      </c>
      <c r="DDE1" s="24" t="s">
        <v>15476</v>
      </c>
      <c r="DDF1" s="24" t="s">
        <v>15477</v>
      </c>
      <c r="DDG1" s="24" t="s">
        <v>15478</v>
      </c>
      <c r="DDH1" s="24" t="s">
        <v>15479</v>
      </c>
      <c r="DDI1" s="24" t="s">
        <v>15480</v>
      </c>
      <c r="DDJ1" s="24" t="s">
        <v>15481</v>
      </c>
      <c r="DDK1" s="24" t="s">
        <v>15482</v>
      </c>
      <c r="DDL1" s="24" t="s">
        <v>15483</v>
      </c>
      <c r="DDM1" s="24" t="s">
        <v>15484</v>
      </c>
      <c r="DDN1" s="24" t="s">
        <v>15485</v>
      </c>
      <c r="DDO1" s="24" t="s">
        <v>15486</v>
      </c>
      <c r="DDP1" s="24" t="s">
        <v>15487</v>
      </c>
      <c r="DDQ1" s="24" t="s">
        <v>15488</v>
      </c>
      <c r="DDR1" s="24" t="s">
        <v>15489</v>
      </c>
      <c r="DDS1" s="24" t="s">
        <v>15490</v>
      </c>
      <c r="DDT1" s="24" t="s">
        <v>15491</v>
      </c>
      <c r="DDU1" s="24" t="s">
        <v>15492</v>
      </c>
      <c r="DDV1" s="24" t="s">
        <v>15493</v>
      </c>
      <c r="DDW1" s="24" t="s">
        <v>15494</v>
      </c>
      <c r="DDX1" s="24" t="s">
        <v>15495</v>
      </c>
      <c r="DDY1" s="24" t="s">
        <v>15496</v>
      </c>
      <c r="DDZ1" s="24" t="s">
        <v>15497</v>
      </c>
      <c r="DEA1" s="24" t="s">
        <v>15498</v>
      </c>
      <c r="DEB1" s="24" t="s">
        <v>15499</v>
      </c>
      <c r="DEC1" s="24" t="s">
        <v>15500</v>
      </c>
      <c r="DED1" s="24" t="s">
        <v>15501</v>
      </c>
      <c r="DEE1" s="24" t="s">
        <v>15502</v>
      </c>
      <c r="DEF1" s="24" t="s">
        <v>15503</v>
      </c>
      <c r="DEG1" s="24" t="s">
        <v>15504</v>
      </c>
      <c r="DEH1" s="24" t="s">
        <v>15505</v>
      </c>
      <c r="DEI1" s="24" t="s">
        <v>15506</v>
      </c>
      <c r="DEJ1" s="24" t="s">
        <v>15507</v>
      </c>
      <c r="DEK1" s="24" t="s">
        <v>15508</v>
      </c>
      <c r="DEL1" s="24" t="s">
        <v>15509</v>
      </c>
      <c r="DEM1" s="24" t="s">
        <v>15510</v>
      </c>
      <c r="DEN1" s="24" t="s">
        <v>15511</v>
      </c>
      <c r="DEO1" s="24" t="s">
        <v>15512</v>
      </c>
      <c r="DEP1" s="24" t="s">
        <v>15513</v>
      </c>
      <c r="DEQ1" s="24" t="s">
        <v>15514</v>
      </c>
      <c r="DER1" s="24" t="s">
        <v>15515</v>
      </c>
      <c r="DES1" s="24" t="s">
        <v>15516</v>
      </c>
      <c r="DET1" s="24" t="s">
        <v>15517</v>
      </c>
      <c r="DEU1" s="24" t="s">
        <v>15518</v>
      </c>
      <c r="DEV1" s="24" t="s">
        <v>15519</v>
      </c>
      <c r="DEW1" s="24" t="s">
        <v>15520</v>
      </c>
      <c r="DEX1" s="24" t="s">
        <v>15521</v>
      </c>
      <c r="DEY1" s="24" t="s">
        <v>15522</v>
      </c>
      <c r="DEZ1" s="24" t="s">
        <v>15523</v>
      </c>
      <c r="DFA1" s="24" t="s">
        <v>15524</v>
      </c>
      <c r="DFB1" s="24" t="s">
        <v>15525</v>
      </c>
      <c r="DFC1" s="24" t="s">
        <v>15526</v>
      </c>
      <c r="DFD1" s="24" t="s">
        <v>15527</v>
      </c>
      <c r="DFE1" s="24" t="s">
        <v>15528</v>
      </c>
      <c r="DFF1" s="24" t="s">
        <v>15529</v>
      </c>
      <c r="DFG1" s="24" t="s">
        <v>15530</v>
      </c>
      <c r="DFH1" s="24" t="s">
        <v>15531</v>
      </c>
      <c r="DFI1" s="24" t="s">
        <v>15532</v>
      </c>
      <c r="DFJ1" s="24" t="s">
        <v>15533</v>
      </c>
      <c r="DFK1" s="24" t="s">
        <v>15534</v>
      </c>
      <c r="DFL1" s="24" t="s">
        <v>15535</v>
      </c>
      <c r="DFM1" s="24" t="s">
        <v>15536</v>
      </c>
      <c r="DFN1" s="24" t="s">
        <v>15537</v>
      </c>
      <c r="DFO1" s="24" t="s">
        <v>15538</v>
      </c>
      <c r="DFP1" s="24" t="s">
        <v>15539</v>
      </c>
      <c r="DFQ1" s="24" t="s">
        <v>15540</v>
      </c>
      <c r="DFR1" s="24" t="s">
        <v>15541</v>
      </c>
      <c r="DFS1" s="24" t="s">
        <v>15542</v>
      </c>
      <c r="DFT1" s="24" t="s">
        <v>15543</v>
      </c>
      <c r="DFU1" s="24" t="s">
        <v>15544</v>
      </c>
      <c r="DFV1" s="24" t="s">
        <v>15545</v>
      </c>
      <c r="DFW1" s="24" t="s">
        <v>15546</v>
      </c>
      <c r="DFX1" s="24" t="s">
        <v>15547</v>
      </c>
      <c r="DFY1" s="24" t="s">
        <v>15548</v>
      </c>
      <c r="DFZ1" s="24" t="s">
        <v>15549</v>
      </c>
      <c r="DGA1" s="24" t="s">
        <v>15550</v>
      </c>
      <c r="DGB1" s="24" t="s">
        <v>15551</v>
      </c>
      <c r="DGC1" s="24" t="s">
        <v>15552</v>
      </c>
      <c r="DGD1" s="24" t="s">
        <v>15553</v>
      </c>
      <c r="DGE1" s="24" t="s">
        <v>15554</v>
      </c>
      <c r="DGF1" s="24" t="s">
        <v>15555</v>
      </c>
      <c r="DGG1" s="24" t="s">
        <v>15556</v>
      </c>
      <c r="DGH1" s="24" t="s">
        <v>15557</v>
      </c>
      <c r="DGI1" s="24" t="s">
        <v>15558</v>
      </c>
      <c r="DGJ1" s="24" t="s">
        <v>15559</v>
      </c>
      <c r="DGK1" s="24" t="s">
        <v>15560</v>
      </c>
      <c r="DGL1" s="24" t="s">
        <v>15561</v>
      </c>
      <c r="DGM1" s="24" t="s">
        <v>15562</v>
      </c>
      <c r="DGN1" s="24" t="s">
        <v>15563</v>
      </c>
      <c r="DGO1" s="24" t="s">
        <v>15564</v>
      </c>
      <c r="DGP1" s="24" t="s">
        <v>15565</v>
      </c>
      <c r="DGQ1" s="24" t="s">
        <v>15566</v>
      </c>
      <c r="DGR1" s="24" t="s">
        <v>15567</v>
      </c>
      <c r="DGS1" s="24" t="s">
        <v>15568</v>
      </c>
      <c r="DGT1" s="24" t="s">
        <v>15569</v>
      </c>
      <c r="DGU1" s="24" t="s">
        <v>15570</v>
      </c>
      <c r="DGV1" s="24" t="s">
        <v>15571</v>
      </c>
      <c r="DGW1" s="24" t="s">
        <v>15572</v>
      </c>
      <c r="DGX1" s="24" t="s">
        <v>15573</v>
      </c>
      <c r="DGY1" s="24" t="s">
        <v>15574</v>
      </c>
      <c r="DGZ1" s="24" t="s">
        <v>15575</v>
      </c>
      <c r="DHA1" s="24" t="s">
        <v>15576</v>
      </c>
      <c r="DHB1" s="24" t="s">
        <v>15577</v>
      </c>
      <c r="DHC1" s="24" t="s">
        <v>15578</v>
      </c>
      <c r="DHD1" s="24" t="s">
        <v>15579</v>
      </c>
      <c r="DHE1" s="24" t="s">
        <v>15580</v>
      </c>
      <c r="DHF1" s="24" t="s">
        <v>15581</v>
      </c>
      <c r="DHG1" s="24" t="s">
        <v>15582</v>
      </c>
      <c r="DHH1" s="24" t="s">
        <v>15583</v>
      </c>
      <c r="DHI1" s="24" t="s">
        <v>15584</v>
      </c>
      <c r="DHJ1" s="24" t="s">
        <v>15585</v>
      </c>
      <c r="DHK1" s="24" t="s">
        <v>15586</v>
      </c>
      <c r="DHL1" s="24" t="s">
        <v>15587</v>
      </c>
      <c r="DHM1" s="24" t="s">
        <v>15588</v>
      </c>
      <c r="DHN1" s="24" t="s">
        <v>15589</v>
      </c>
      <c r="DHO1" s="24" t="s">
        <v>15590</v>
      </c>
      <c r="DHP1" s="24" t="s">
        <v>15591</v>
      </c>
      <c r="DHQ1" s="24" t="s">
        <v>15592</v>
      </c>
      <c r="DHR1" s="24" t="s">
        <v>15593</v>
      </c>
      <c r="DHS1" s="24" t="s">
        <v>15594</v>
      </c>
      <c r="DHT1" s="24" t="s">
        <v>15595</v>
      </c>
      <c r="DHU1" s="24" t="s">
        <v>15596</v>
      </c>
      <c r="DHV1" s="24" t="s">
        <v>15597</v>
      </c>
      <c r="DHW1" s="24" t="s">
        <v>15598</v>
      </c>
      <c r="DHX1" s="24" t="s">
        <v>15599</v>
      </c>
      <c r="DHY1" s="24" t="s">
        <v>15600</v>
      </c>
      <c r="DHZ1" s="24" t="s">
        <v>15601</v>
      </c>
      <c r="DIA1" s="24" t="s">
        <v>15602</v>
      </c>
      <c r="DIB1" s="24" t="s">
        <v>15603</v>
      </c>
      <c r="DIC1" s="24" t="s">
        <v>15604</v>
      </c>
      <c r="DID1" s="24" t="s">
        <v>15605</v>
      </c>
      <c r="DIE1" s="24" t="s">
        <v>15606</v>
      </c>
      <c r="DIF1" s="24" t="s">
        <v>15607</v>
      </c>
      <c r="DIG1" s="24" t="s">
        <v>15608</v>
      </c>
      <c r="DIH1" s="24" t="s">
        <v>15609</v>
      </c>
      <c r="DII1" s="24" t="s">
        <v>15610</v>
      </c>
      <c r="DIJ1" s="24" t="s">
        <v>15611</v>
      </c>
      <c r="DIK1" s="24" t="s">
        <v>15612</v>
      </c>
      <c r="DIL1" s="24" t="s">
        <v>15613</v>
      </c>
      <c r="DIM1" s="24" t="s">
        <v>15614</v>
      </c>
      <c r="DIN1" s="24" t="s">
        <v>15615</v>
      </c>
      <c r="DIO1" s="24" t="s">
        <v>15616</v>
      </c>
      <c r="DIP1" s="24" t="s">
        <v>15617</v>
      </c>
      <c r="DIQ1" s="24" t="s">
        <v>15618</v>
      </c>
      <c r="DIR1" s="24" t="s">
        <v>15619</v>
      </c>
      <c r="DIS1" s="24" t="s">
        <v>15620</v>
      </c>
      <c r="DIT1" s="24" t="s">
        <v>15621</v>
      </c>
      <c r="DIU1" s="24" t="s">
        <v>15622</v>
      </c>
      <c r="DIV1" s="24" t="s">
        <v>15623</v>
      </c>
      <c r="DIW1" s="24" t="s">
        <v>15624</v>
      </c>
      <c r="DIX1" s="24" t="s">
        <v>15625</v>
      </c>
      <c r="DIY1" s="24" t="s">
        <v>15626</v>
      </c>
      <c r="DIZ1" s="24" t="s">
        <v>15627</v>
      </c>
      <c r="DJA1" s="24" t="s">
        <v>15628</v>
      </c>
      <c r="DJB1" s="24" t="s">
        <v>15629</v>
      </c>
      <c r="DJC1" s="24" t="s">
        <v>15630</v>
      </c>
      <c r="DJD1" s="24" t="s">
        <v>15631</v>
      </c>
      <c r="DJE1" s="24" t="s">
        <v>15632</v>
      </c>
      <c r="DJF1" s="24" t="s">
        <v>15633</v>
      </c>
      <c r="DJG1" s="24" t="s">
        <v>15634</v>
      </c>
      <c r="DJH1" s="24" t="s">
        <v>15635</v>
      </c>
      <c r="DJI1" s="24" t="s">
        <v>15636</v>
      </c>
      <c r="DJJ1" s="24" t="s">
        <v>15637</v>
      </c>
      <c r="DJK1" s="24" t="s">
        <v>15638</v>
      </c>
      <c r="DJL1" s="24" t="s">
        <v>15639</v>
      </c>
      <c r="DJM1" s="24" t="s">
        <v>15640</v>
      </c>
      <c r="DJN1" s="24" t="s">
        <v>15641</v>
      </c>
      <c r="DJO1" s="24" t="s">
        <v>15642</v>
      </c>
      <c r="DJP1" s="24" t="s">
        <v>15643</v>
      </c>
      <c r="DJQ1" s="24" t="s">
        <v>15644</v>
      </c>
      <c r="DJR1" s="24" t="s">
        <v>15645</v>
      </c>
      <c r="DJS1" s="24" t="s">
        <v>15646</v>
      </c>
      <c r="DJT1" s="24" t="s">
        <v>15647</v>
      </c>
      <c r="DJU1" s="24" t="s">
        <v>15648</v>
      </c>
      <c r="DJV1" s="24" t="s">
        <v>15649</v>
      </c>
      <c r="DJW1" s="24" t="s">
        <v>15650</v>
      </c>
      <c r="DJX1" s="24" t="s">
        <v>15651</v>
      </c>
      <c r="DJY1" s="24" t="s">
        <v>15652</v>
      </c>
      <c r="DJZ1" s="24" t="s">
        <v>15653</v>
      </c>
      <c r="DKA1" s="24" t="s">
        <v>15654</v>
      </c>
      <c r="DKB1" s="24" t="s">
        <v>15655</v>
      </c>
      <c r="DKC1" s="24" t="s">
        <v>15656</v>
      </c>
      <c r="DKD1" s="24" t="s">
        <v>15657</v>
      </c>
      <c r="DKE1" s="24" t="s">
        <v>15658</v>
      </c>
      <c r="DKF1" s="24" t="s">
        <v>15659</v>
      </c>
      <c r="DKG1" s="24" t="s">
        <v>15660</v>
      </c>
      <c r="DKH1" s="24" t="s">
        <v>15661</v>
      </c>
      <c r="DKI1" s="24" t="s">
        <v>15662</v>
      </c>
      <c r="DKJ1" s="24" t="s">
        <v>15663</v>
      </c>
      <c r="DKK1" s="24" t="s">
        <v>15664</v>
      </c>
      <c r="DKL1" s="24" t="s">
        <v>15665</v>
      </c>
      <c r="DKM1" s="24" t="s">
        <v>15666</v>
      </c>
      <c r="DKN1" s="24" t="s">
        <v>15667</v>
      </c>
      <c r="DKO1" s="24" t="s">
        <v>15668</v>
      </c>
      <c r="DKP1" s="24" t="s">
        <v>15669</v>
      </c>
      <c r="DKQ1" s="24" t="s">
        <v>15670</v>
      </c>
      <c r="DKR1" s="24" t="s">
        <v>15671</v>
      </c>
      <c r="DKS1" s="24" t="s">
        <v>15672</v>
      </c>
      <c r="DKT1" s="24" t="s">
        <v>15673</v>
      </c>
      <c r="DKU1" s="24" t="s">
        <v>15674</v>
      </c>
      <c r="DKV1" s="24" t="s">
        <v>15675</v>
      </c>
      <c r="DKW1" s="24" t="s">
        <v>15676</v>
      </c>
      <c r="DKX1" s="24" t="s">
        <v>15677</v>
      </c>
      <c r="DKY1" s="24" t="s">
        <v>15678</v>
      </c>
      <c r="DKZ1" s="24" t="s">
        <v>15679</v>
      </c>
      <c r="DLA1" s="24" t="s">
        <v>15680</v>
      </c>
      <c r="DLB1" s="24" t="s">
        <v>15681</v>
      </c>
      <c r="DLC1" s="24" t="s">
        <v>15682</v>
      </c>
      <c r="DLD1" s="24" t="s">
        <v>15683</v>
      </c>
      <c r="DLE1" s="24" t="s">
        <v>15684</v>
      </c>
      <c r="DLF1" s="24" t="s">
        <v>15685</v>
      </c>
      <c r="DLG1" s="24" t="s">
        <v>15686</v>
      </c>
      <c r="DLH1" s="24" t="s">
        <v>15687</v>
      </c>
      <c r="DLI1" s="24" t="s">
        <v>15688</v>
      </c>
      <c r="DLJ1" s="24" t="s">
        <v>15689</v>
      </c>
      <c r="DLK1" s="24" t="s">
        <v>15690</v>
      </c>
      <c r="DLL1" s="24" t="s">
        <v>15691</v>
      </c>
      <c r="DLM1" s="24" t="s">
        <v>15692</v>
      </c>
      <c r="DLN1" s="24" t="s">
        <v>15693</v>
      </c>
      <c r="DLO1" s="24" t="s">
        <v>15694</v>
      </c>
      <c r="DLP1" s="24" t="s">
        <v>15695</v>
      </c>
      <c r="DLQ1" s="24" t="s">
        <v>15696</v>
      </c>
      <c r="DLR1" s="24" t="s">
        <v>15697</v>
      </c>
      <c r="DLS1" s="24" t="s">
        <v>15698</v>
      </c>
      <c r="DLT1" s="24" t="s">
        <v>15699</v>
      </c>
      <c r="DLU1" s="24" t="s">
        <v>15700</v>
      </c>
      <c r="DLV1" s="24" t="s">
        <v>15701</v>
      </c>
      <c r="DLW1" s="24" t="s">
        <v>15702</v>
      </c>
      <c r="DLX1" s="24" t="s">
        <v>15703</v>
      </c>
      <c r="DLY1" s="24" t="s">
        <v>15704</v>
      </c>
      <c r="DLZ1" s="24" t="s">
        <v>15705</v>
      </c>
      <c r="DMA1" s="24" t="s">
        <v>15706</v>
      </c>
      <c r="DMB1" s="24" t="s">
        <v>15707</v>
      </c>
      <c r="DMC1" s="24" t="s">
        <v>15708</v>
      </c>
      <c r="DMD1" s="24" t="s">
        <v>15709</v>
      </c>
      <c r="DME1" s="24" t="s">
        <v>15710</v>
      </c>
      <c r="DMF1" s="24" t="s">
        <v>15711</v>
      </c>
      <c r="DMG1" s="24" t="s">
        <v>15712</v>
      </c>
      <c r="DMH1" s="24" t="s">
        <v>15713</v>
      </c>
      <c r="DMI1" s="24" t="s">
        <v>15714</v>
      </c>
      <c r="DMJ1" s="24" t="s">
        <v>15715</v>
      </c>
      <c r="DMK1" s="24" t="s">
        <v>15716</v>
      </c>
      <c r="DML1" s="24" t="s">
        <v>15717</v>
      </c>
      <c r="DMM1" s="24" t="s">
        <v>15718</v>
      </c>
      <c r="DMN1" s="24" t="s">
        <v>15719</v>
      </c>
      <c r="DMO1" s="24" t="s">
        <v>15720</v>
      </c>
      <c r="DMP1" s="24" t="s">
        <v>15721</v>
      </c>
      <c r="DMQ1" s="24" t="s">
        <v>15722</v>
      </c>
      <c r="DMR1" s="24" t="s">
        <v>15723</v>
      </c>
      <c r="DMS1" s="24" t="s">
        <v>15724</v>
      </c>
      <c r="DMT1" s="24" t="s">
        <v>15725</v>
      </c>
      <c r="DMU1" s="24" t="s">
        <v>15726</v>
      </c>
      <c r="DMV1" s="24" t="s">
        <v>15727</v>
      </c>
      <c r="DMW1" s="24" t="s">
        <v>15728</v>
      </c>
      <c r="DMX1" s="24" t="s">
        <v>15729</v>
      </c>
      <c r="DMY1" s="24" t="s">
        <v>15730</v>
      </c>
      <c r="DMZ1" s="24" t="s">
        <v>15731</v>
      </c>
      <c r="DNA1" s="24" t="s">
        <v>15732</v>
      </c>
      <c r="DNB1" s="24" t="s">
        <v>15733</v>
      </c>
      <c r="DNC1" s="24" t="s">
        <v>15734</v>
      </c>
      <c r="DND1" s="24" t="s">
        <v>15735</v>
      </c>
      <c r="DNE1" s="24" t="s">
        <v>15736</v>
      </c>
      <c r="DNF1" s="24" t="s">
        <v>15737</v>
      </c>
      <c r="DNG1" s="24" t="s">
        <v>15738</v>
      </c>
      <c r="DNH1" s="24" t="s">
        <v>15739</v>
      </c>
      <c r="DNI1" s="24" t="s">
        <v>15740</v>
      </c>
      <c r="DNJ1" s="24" t="s">
        <v>15741</v>
      </c>
      <c r="DNK1" s="24" t="s">
        <v>15742</v>
      </c>
      <c r="DNL1" s="24" t="s">
        <v>15743</v>
      </c>
      <c r="DNM1" s="24" t="s">
        <v>15744</v>
      </c>
      <c r="DNN1" s="24" t="s">
        <v>15745</v>
      </c>
      <c r="DNO1" s="24" t="s">
        <v>15746</v>
      </c>
      <c r="DNP1" s="24" t="s">
        <v>15747</v>
      </c>
      <c r="DNQ1" s="24" t="s">
        <v>15748</v>
      </c>
      <c r="DNR1" s="24" t="s">
        <v>15749</v>
      </c>
      <c r="DNS1" s="24" t="s">
        <v>15750</v>
      </c>
      <c r="DNT1" s="24" t="s">
        <v>15751</v>
      </c>
      <c r="DNU1" s="24" t="s">
        <v>15752</v>
      </c>
      <c r="DNV1" s="24" t="s">
        <v>15753</v>
      </c>
      <c r="DNW1" s="24" t="s">
        <v>15754</v>
      </c>
      <c r="DNX1" s="24" t="s">
        <v>15755</v>
      </c>
      <c r="DNY1" s="24" t="s">
        <v>15756</v>
      </c>
      <c r="DNZ1" s="24" t="s">
        <v>15757</v>
      </c>
      <c r="DOA1" s="24" t="s">
        <v>15758</v>
      </c>
      <c r="DOB1" s="24" t="s">
        <v>15759</v>
      </c>
      <c r="DOC1" s="24" t="s">
        <v>15760</v>
      </c>
      <c r="DOD1" s="24" t="s">
        <v>15761</v>
      </c>
      <c r="DOE1" s="24" t="s">
        <v>15762</v>
      </c>
      <c r="DOF1" s="24" t="s">
        <v>15763</v>
      </c>
      <c r="DOG1" s="24" t="s">
        <v>15764</v>
      </c>
      <c r="DOH1" s="24" t="s">
        <v>15765</v>
      </c>
      <c r="DOI1" s="24" t="s">
        <v>15766</v>
      </c>
      <c r="DOJ1" s="24" t="s">
        <v>15767</v>
      </c>
      <c r="DOK1" s="24" t="s">
        <v>15768</v>
      </c>
      <c r="DOL1" s="24" t="s">
        <v>15769</v>
      </c>
      <c r="DOM1" s="24" t="s">
        <v>15770</v>
      </c>
      <c r="DON1" s="24" t="s">
        <v>15771</v>
      </c>
      <c r="DOO1" s="24" t="s">
        <v>15772</v>
      </c>
      <c r="DOP1" s="24" t="s">
        <v>15773</v>
      </c>
      <c r="DOQ1" s="24" t="s">
        <v>15774</v>
      </c>
      <c r="DOR1" s="24" t="s">
        <v>15775</v>
      </c>
      <c r="DOS1" s="24" t="s">
        <v>15776</v>
      </c>
      <c r="DOT1" s="24" t="s">
        <v>15777</v>
      </c>
      <c r="DOU1" s="24" t="s">
        <v>15778</v>
      </c>
      <c r="DOV1" s="24" t="s">
        <v>15779</v>
      </c>
      <c r="DOW1" s="24" t="s">
        <v>15780</v>
      </c>
      <c r="DOX1" s="24" t="s">
        <v>15781</v>
      </c>
      <c r="DOY1" s="24" t="s">
        <v>15782</v>
      </c>
      <c r="DOZ1" s="24" t="s">
        <v>15783</v>
      </c>
      <c r="DPA1" s="24" t="s">
        <v>15784</v>
      </c>
      <c r="DPB1" s="24" t="s">
        <v>15785</v>
      </c>
      <c r="DPC1" s="24" t="s">
        <v>15786</v>
      </c>
      <c r="DPD1" s="24" t="s">
        <v>15787</v>
      </c>
      <c r="DPE1" s="24" t="s">
        <v>15788</v>
      </c>
      <c r="DPF1" s="24" t="s">
        <v>15789</v>
      </c>
      <c r="DPG1" s="24" t="s">
        <v>15790</v>
      </c>
      <c r="DPH1" s="24" t="s">
        <v>15791</v>
      </c>
      <c r="DPI1" s="24" t="s">
        <v>15792</v>
      </c>
      <c r="DPJ1" s="24" t="s">
        <v>15793</v>
      </c>
      <c r="DPK1" s="24" t="s">
        <v>15794</v>
      </c>
      <c r="DPL1" s="24" t="s">
        <v>15795</v>
      </c>
      <c r="DPM1" s="24" t="s">
        <v>15796</v>
      </c>
      <c r="DPN1" s="24" t="s">
        <v>15797</v>
      </c>
      <c r="DPO1" s="24" t="s">
        <v>15798</v>
      </c>
      <c r="DPP1" s="24" t="s">
        <v>15799</v>
      </c>
      <c r="DPQ1" s="24" t="s">
        <v>15800</v>
      </c>
      <c r="DPR1" s="24" t="s">
        <v>15801</v>
      </c>
      <c r="DPS1" s="24" t="s">
        <v>15802</v>
      </c>
      <c r="DPT1" s="24" t="s">
        <v>15803</v>
      </c>
      <c r="DPU1" s="24" t="s">
        <v>15804</v>
      </c>
      <c r="DPV1" s="24" t="s">
        <v>15805</v>
      </c>
      <c r="DPW1" s="24" t="s">
        <v>15806</v>
      </c>
      <c r="DPX1" s="24" t="s">
        <v>15807</v>
      </c>
      <c r="DPY1" s="24" t="s">
        <v>15808</v>
      </c>
      <c r="DPZ1" s="24" t="s">
        <v>15809</v>
      </c>
      <c r="DQA1" s="24" t="s">
        <v>15810</v>
      </c>
      <c r="DQB1" s="24" t="s">
        <v>15811</v>
      </c>
      <c r="DQC1" s="24" t="s">
        <v>15812</v>
      </c>
      <c r="DQD1" s="24" t="s">
        <v>15813</v>
      </c>
      <c r="DQE1" s="24" t="s">
        <v>15814</v>
      </c>
      <c r="DQF1" s="24" t="s">
        <v>15815</v>
      </c>
      <c r="DQG1" s="24" t="s">
        <v>15816</v>
      </c>
      <c r="DQH1" s="24" t="s">
        <v>15817</v>
      </c>
      <c r="DQI1" s="24" t="s">
        <v>15818</v>
      </c>
      <c r="DQJ1" s="24" t="s">
        <v>15819</v>
      </c>
      <c r="DQK1" s="24" t="s">
        <v>15820</v>
      </c>
      <c r="DQL1" s="24" t="s">
        <v>15821</v>
      </c>
      <c r="DQM1" s="24" t="s">
        <v>15822</v>
      </c>
      <c r="DQN1" s="24" t="s">
        <v>15823</v>
      </c>
      <c r="DQO1" s="24" t="s">
        <v>15824</v>
      </c>
      <c r="DQP1" s="24" t="s">
        <v>15825</v>
      </c>
      <c r="DQQ1" s="24" t="s">
        <v>15826</v>
      </c>
      <c r="DQR1" s="24" t="s">
        <v>15827</v>
      </c>
      <c r="DQS1" s="24" t="s">
        <v>15828</v>
      </c>
      <c r="DQT1" s="24" t="s">
        <v>15829</v>
      </c>
      <c r="DQU1" s="24" t="s">
        <v>15830</v>
      </c>
      <c r="DQV1" s="24" t="s">
        <v>15831</v>
      </c>
      <c r="DQW1" s="24" t="s">
        <v>15832</v>
      </c>
      <c r="DQX1" s="24" t="s">
        <v>15833</v>
      </c>
      <c r="DQY1" s="24" t="s">
        <v>15834</v>
      </c>
      <c r="DQZ1" s="24" t="s">
        <v>15835</v>
      </c>
      <c r="DRA1" s="24" t="s">
        <v>15836</v>
      </c>
      <c r="DRB1" s="24" t="s">
        <v>15837</v>
      </c>
      <c r="DRC1" s="24" t="s">
        <v>15838</v>
      </c>
      <c r="DRD1" s="24" t="s">
        <v>15839</v>
      </c>
      <c r="DRE1" s="24" t="s">
        <v>15840</v>
      </c>
      <c r="DRF1" s="24" t="s">
        <v>15841</v>
      </c>
      <c r="DRG1" s="24" t="s">
        <v>15842</v>
      </c>
      <c r="DRH1" s="24" t="s">
        <v>15843</v>
      </c>
      <c r="DRI1" s="24" t="s">
        <v>15844</v>
      </c>
      <c r="DRJ1" s="24" t="s">
        <v>15845</v>
      </c>
      <c r="DRK1" s="24" t="s">
        <v>15846</v>
      </c>
      <c r="DRL1" s="24" t="s">
        <v>15847</v>
      </c>
      <c r="DRM1" s="24" t="s">
        <v>15848</v>
      </c>
      <c r="DRN1" s="24" t="s">
        <v>15849</v>
      </c>
      <c r="DRO1" s="24" t="s">
        <v>15850</v>
      </c>
      <c r="DRP1" s="24" t="s">
        <v>15851</v>
      </c>
      <c r="DRQ1" s="24" t="s">
        <v>15852</v>
      </c>
      <c r="DRR1" s="24" t="s">
        <v>15853</v>
      </c>
      <c r="DRS1" s="24" t="s">
        <v>15854</v>
      </c>
      <c r="DRT1" s="24" t="s">
        <v>15855</v>
      </c>
      <c r="DRU1" s="24" t="s">
        <v>15856</v>
      </c>
      <c r="DRV1" s="24" t="s">
        <v>15857</v>
      </c>
      <c r="DRW1" s="24" t="s">
        <v>15858</v>
      </c>
      <c r="DRX1" s="24" t="s">
        <v>15859</v>
      </c>
      <c r="DRY1" s="24" t="s">
        <v>15860</v>
      </c>
      <c r="DRZ1" s="24" t="s">
        <v>15861</v>
      </c>
      <c r="DSA1" s="24" t="s">
        <v>15862</v>
      </c>
      <c r="DSB1" s="24" t="s">
        <v>15863</v>
      </c>
      <c r="DSC1" s="24" t="s">
        <v>15864</v>
      </c>
      <c r="DSD1" s="24" t="s">
        <v>15865</v>
      </c>
      <c r="DSE1" s="24" t="s">
        <v>15866</v>
      </c>
      <c r="DSF1" s="24" t="s">
        <v>15867</v>
      </c>
      <c r="DSG1" s="24" t="s">
        <v>15868</v>
      </c>
      <c r="DSH1" s="24" t="s">
        <v>15869</v>
      </c>
      <c r="DSI1" s="24" t="s">
        <v>15870</v>
      </c>
      <c r="DSJ1" s="24" t="s">
        <v>15871</v>
      </c>
      <c r="DSK1" s="24" t="s">
        <v>15872</v>
      </c>
      <c r="DSL1" s="24" t="s">
        <v>15873</v>
      </c>
      <c r="DSM1" s="24" t="s">
        <v>15874</v>
      </c>
      <c r="DSN1" s="24" t="s">
        <v>15875</v>
      </c>
      <c r="DSO1" s="24" t="s">
        <v>15876</v>
      </c>
      <c r="DSP1" s="24" t="s">
        <v>15877</v>
      </c>
      <c r="DSQ1" s="24" t="s">
        <v>15878</v>
      </c>
      <c r="DSR1" s="24" t="s">
        <v>15879</v>
      </c>
      <c r="DSS1" s="24" t="s">
        <v>15880</v>
      </c>
      <c r="DST1" s="24" t="s">
        <v>15881</v>
      </c>
      <c r="DSU1" s="24" t="s">
        <v>15882</v>
      </c>
      <c r="DSV1" s="24" t="s">
        <v>15883</v>
      </c>
      <c r="DSW1" s="24" t="s">
        <v>15884</v>
      </c>
      <c r="DSX1" s="24" t="s">
        <v>15885</v>
      </c>
      <c r="DSY1" s="24" t="s">
        <v>15886</v>
      </c>
      <c r="DSZ1" s="24" t="s">
        <v>15887</v>
      </c>
      <c r="DTA1" s="24" t="s">
        <v>15888</v>
      </c>
      <c r="DTB1" s="24" t="s">
        <v>15889</v>
      </c>
      <c r="DTC1" s="24" t="s">
        <v>15890</v>
      </c>
      <c r="DTD1" s="24" t="s">
        <v>15891</v>
      </c>
      <c r="DTE1" s="24" t="s">
        <v>15892</v>
      </c>
      <c r="DTF1" s="24" t="s">
        <v>15893</v>
      </c>
      <c r="DTG1" s="24" t="s">
        <v>15894</v>
      </c>
      <c r="DTH1" s="24" t="s">
        <v>15895</v>
      </c>
      <c r="DTI1" s="24" t="s">
        <v>15896</v>
      </c>
      <c r="DTJ1" s="24" t="s">
        <v>15897</v>
      </c>
      <c r="DTK1" s="24" t="s">
        <v>15898</v>
      </c>
      <c r="DTL1" s="24" t="s">
        <v>15899</v>
      </c>
      <c r="DTM1" s="24" t="s">
        <v>15900</v>
      </c>
      <c r="DTN1" s="24" t="s">
        <v>15901</v>
      </c>
      <c r="DTO1" s="24" t="s">
        <v>15902</v>
      </c>
      <c r="DTP1" s="24" t="s">
        <v>15903</v>
      </c>
      <c r="DTQ1" s="24" t="s">
        <v>15904</v>
      </c>
      <c r="DTR1" s="24" t="s">
        <v>15905</v>
      </c>
      <c r="DTS1" s="24" t="s">
        <v>15906</v>
      </c>
      <c r="DTT1" s="24" t="s">
        <v>15907</v>
      </c>
      <c r="DTU1" s="24" t="s">
        <v>15908</v>
      </c>
      <c r="DTV1" s="24" t="s">
        <v>15909</v>
      </c>
      <c r="DTW1" s="24" t="s">
        <v>15910</v>
      </c>
      <c r="DTX1" s="24" t="s">
        <v>15911</v>
      </c>
      <c r="DTY1" s="24" t="s">
        <v>15912</v>
      </c>
      <c r="DTZ1" s="24" t="s">
        <v>15913</v>
      </c>
      <c r="DUA1" s="24" t="s">
        <v>15914</v>
      </c>
      <c r="DUB1" s="24" t="s">
        <v>15915</v>
      </c>
      <c r="DUC1" s="24" t="s">
        <v>15916</v>
      </c>
      <c r="DUD1" s="24" t="s">
        <v>15917</v>
      </c>
      <c r="DUE1" s="24" t="s">
        <v>15918</v>
      </c>
      <c r="DUF1" s="24" t="s">
        <v>15919</v>
      </c>
      <c r="DUG1" s="24" t="s">
        <v>15920</v>
      </c>
      <c r="DUH1" s="24" t="s">
        <v>15921</v>
      </c>
      <c r="DUI1" s="24" t="s">
        <v>15922</v>
      </c>
      <c r="DUJ1" s="24" t="s">
        <v>15923</v>
      </c>
      <c r="DUK1" s="24" t="s">
        <v>15924</v>
      </c>
      <c r="DUL1" s="24" t="s">
        <v>15925</v>
      </c>
      <c r="DUM1" s="24" t="s">
        <v>15926</v>
      </c>
      <c r="DUN1" s="24" t="s">
        <v>15927</v>
      </c>
      <c r="DUO1" s="24" t="s">
        <v>15928</v>
      </c>
      <c r="DUP1" s="24" t="s">
        <v>15929</v>
      </c>
      <c r="DUQ1" s="24" t="s">
        <v>15930</v>
      </c>
      <c r="DUR1" s="24" t="s">
        <v>15931</v>
      </c>
      <c r="DUS1" s="24" t="s">
        <v>15932</v>
      </c>
      <c r="DUT1" s="24" t="s">
        <v>15933</v>
      </c>
      <c r="DUU1" s="24" t="s">
        <v>15934</v>
      </c>
      <c r="DUV1" s="24" t="s">
        <v>15935</v>
      </c>
      <c r="DUW1" s="24" t="s">
        <v>15936</v>
      </c>
      <c r="DUX1" s="24" t="s">
        <v>15937</v>
      </c>
      <c r="DUY1" s="24" t="s">
        <v>15938</v>
      </c>
      <c r="DUZ1" s="24" t="s">
        <v>15939</v>
      </c>
      <c r="DVA1" s="24" t="s">
        <v>15940</v>
      </c>
      <c r="DVB1" s="24" t="s">
        <v>15941</v>
      </c>
      <c r="DVC1" s="24" t="s">
        <v>15942</v>
      </c>
      <c r="DVD1" s="24" t="s">
        <v>15943</v>
      </c>
      <c r="DVE1" s="24" t="s">
        <v>15944</v>
      </c>
      <c r="DVF1" s="24" t="s">
        <v>15945</v>
      </c>
      <c r="DVG1" s="24" t="s">
        <v>15946</v>
      </c>
      <c r="DVH1" s="24" t="s">
        <v>15947</v>
      </c>
      <c r="DVI1" s="24" t="s">
        <v>15948</v>
      </c>
      <c r="DVJ1" s="24" t="s">
        <v>15949</v>
      </c>
      <c r="DVK1" s="24" t="s">
        <v>15950</v>
      </c>
      <c r="DVL1" s="24" t="s">
        <v>15951</v>
      </c>
      <c r="DVM1" s="24" t="s">
        <v>15952</v>
      </c>
      <c r="DVN1" s="24" t="s">
        <v>15953</v>
      </c>
      <c r="DVO1" s="24" t="s">
        <v>15954</v>
      </c>
      <c r="DVP1" s="24" t="s">
        <v>15955</v>
      </c>
      <c r="DVQ1" s="24" t="s">
        <v>15956</v>
      </c>
      <c r="DVR1" s="24" t="s">
        <v>15957</v>
      </c>
      <c r="DVS1" s="24" t="s">
        <v>15958</v>
      </c>
      <c r="DVT1" s="24" t="s">
        <v>15959</v>
      </c>
      <c r="DVU1" s="24" t="s">
        <v>15960</v>
      </c>
      <c r="DVV1" s="24" t="s">
        <v>15961</v>
      </c>
      <c r="DVW1" s="24" t="s">
        <v>15962</v>
      </c>
      <c r="DVX1" s="24" t="s">
        <v>15963</v>
      </c>
      <c r="DVY1" s="24" t="s">
        <v>15964</v>
      </c>
      <c r="DVZ1" s="24" t="s">
        <v>15965</v>
      </c>
      <c r="DWA1" s="24" t="s">
        <v>15966</v>
      </c>
      <c r="DWB1" s="24" t="s">
        <v>15967</v>
      </c>
      <c r="DWC1" s="24" t="s">
        <v>15968</v>
      </c>
      <c r="DWD1" s="24" t="s">
        <v>15969</v>
      </c>
      <c r="DWE1" s="24" t="s">
        <v>15970</v>
      </c>
      <c r="DWF1" s="24" t="s">
        <v>15971</v>
      </c>
      <c r="DWG1" s="24" t="s">
        <v>15972</v>
      </c>
      <c r="DWH1" s="24" t="s">
        <v>15973</v>
      </c>
      <c r="DWI1" s="24" t="s">
        <v>15974</v>
      </c>
      <c r="DWJ1" s="24" t="s">
        <v>15975</v>
      </c>
      <c r="DWK1" s="24" t="s">
        <v>15976</v>
      </c>
      <c r="DWL1" s="24" t="s">
        <v>15977</v>
      </c>
      <c r="DWM1" s="24" t="s">
        <v>15978</v>
      </c>
      <c r="DWN1" s="24" t="s">
        <v>15979</v>
      </c>
      <c r="DWO1" s="24" t="s">
        <v>15980</v>
      </c>
      <c r="DWP1" s="24" t="s">
        <v>15981</v>
      </c>
      <c r="DWQ1" s="24" t="s">
        <v>15982</v>
      </c>
      <c r="DWR1" s="24" t="s">
        <v>15983</v>
      </c>
      <c r="DWS1" s="24" t="s">
        <v>15984</v>
      </c>
      <c r="DWT1" s="24" t="s">
        <v>15985</v>
      </c>
      <c r="DWU1" s="24" t="s">
        <v>15986</v>
      </c>
      <c r="DWV1" s="24" t="s">
        <v>15987</v>
      </c>
      <c r="DWW1" s="24" t="s">
        <v>15988</v>
      </c>
      <c r="DWX1" s="24" t="s">
        <v>15989</v>
      </c>
      <c r="DWY1" s="24" t="s">
        <v>15990</v>
      </c>
      <c r="DWZ1" s="24" t="s">
        <v>15991</v>
      </c>
      <c r="DXA1" s="24" t="s">
        <v>15992</v>
      </c>
      <c r="DXB1" s="24" t="s">
        <v>15993</v>
      </c>
      <c r="DXC1" s="24" t="s">
        <v>15994</v>
      </c>
      <c r="DXD1" s="24" t="s">
        <v>15995</v>
      </c>
      <c r="DXE1" s="24" t="s">
        <v>15996</v>
      </c>
      <c r="DXF1" s="24" t="s">
        <v>15997</v>
      </c>
      <c r="DXG1" s="24" t="s">
        <v>15998</v>
      </c>
      <c r="DXH1" s="24" t="s">
        <v>15999</v>
      </c>
      <c r="DXI1" s="24" t="s">
        <v>16000</v>
      </c>
      <c r="DXJ1" s="24" t="s">
        <v>16001</v>
      </c>
      <c r="DXK1" s="24" t="s">
        <v>16002</v>
      </c>
      <c r="DXL1" s="24" t="s">
        <v>16003</v>
      </c>
      <c r="DXM1" s="24" t="s">
        <v>16004</v>
      </c>
      <c r="DXN1" s="24" t="s">
        <v>16005</v>
      </c>
      <c r="DXO1" s="24" t="s">
        <v>16006</v>
      </c>
      <c r="DXP1" s="24" t="s">
        <v>16007</v>
      </c>
      <c r="DXQ1" s="24" t="s">
        <v>16008</v>
      </c>
      <c r="DXR1" s="24" t="s">
        <v>16009</v>
      </c>
      <c r="DXS1" s="24" t="s">
        <v>16010</v>
      </c>
      <c r="DXT1" s="24" t="s">
        <v>16011</v>
      </c>
      <c r="DXU1" s="24" t="s">
        <v>16012</v>
      </c>
      <c r="DXV1" s="24" t="s">
        <v>16013</v>
      </c>
      <c r="DXW1" s="24" t="s">
        <v>16014</v>
      </c>
      <c r="DXX1" s="24" t="s">
        <v>16015</v>
      </c>
      <c r="DXY1" s="24" t="s">
        <v>16016</v>
      </c>
      <c r="DXZ1" s="24" t="s">
        <v>16017</v>
      </c>
      <c r="DYA1" s="24" t="s">
        <v>16018</v>
      </c>
      <c r="DYB1" s="24" t="s">
        <v>16019</v>
      </c>
      <c r="DYC1" s="24" t="s">
        <v>16020</v>
      </c>
      <c r="DYD1" s="24" t="s">
        <v>16021</v>
      </c>
      <c r="DYE1" s="24" t="s">
        <v>16022</v>
      </c>
      <c r="DYF1" s="24" t="s">
        <v>16023</v>
      </c>
      <c r="DYG1" s="24" t="s">
        <v>16024</v>
      </c>
      <c r="DYH1" s="24" t="s">
        <v>16025</v>
      </c>
      <c r="DYI1" s="24" t="s">
        <v>16026</v>
      </c>
      <c r="DYJ1" s="24" t="s">
        <v>16027</v>
      </c>
      <c r="DYK1" s="24" t="s">
        <v>16028</v>
      </c>
      <c r="DYL1" s="24" t="s">
        <v>16029</v>
      </c>
      <c r="DYM1" s="24" t="s">
        <v>16030</v>
      </c>
      <c r="DYN1" s="24" t="s">
        <v>16031</v>
      </c>
      <c r="DYO1" s="24" t="s">
        <v>16032</v>
      </c>
      <c r="DYP1" s="24" t="s">
        <v>16033</v>
      </c>
      <c r="DYQ1" s="24" t="s">
        <v>16034</v>
      </c>
      <c r="DYR1" s="24" t="s">
        <v>16035</v>
      </c>
      <c r="DYS1" s="24" t="s">
        <v>16036</v>
      </c>
      <c r="DYT1" s="24" t="s">
        <v>16037</v>
      </c>
      <c r="DYU1" s="24" t="s">
        <v>16038</v>
      </c>
      <c r="DYV1" s="24" t="s">
        <v>16039</v>
      </c>
      <c r="DYW1" s="24" t="s">
        <v>16040</v>
      </c>
      <c r="DYX1" s="24" t="s">
        <v>16041</v>
      </c>
      <c r="DYY1" s="24" t="s">
        <v>16042</v>
      </c>
      <c r="DYZ1" s="24" t="s">
        <v>16043</v>
      </c>
      <c r="DZA1" s="24" t="s">
        <v>16044</v>
      </c>
      <c r="DZB1" s="24" t="s">
        <v>16045</v>
      </c>
      <c r="DZC1" s="24" t="s">
        <v>16046</v>
      </c>
      <c r="DZD1" s="24" t="s">
        <v>16047</v>
      </c>
      <c r="DZE1" s="24" t="s">
        <v>16048</v>
      </c>
      <c r="DZF1" s="24" t="s">
        <v>16049</v>
      </c>
      <c r="DZG1" s="24" t="s">
        <v>16050</v>
      </c>
      <c r="DZH1" s="24" t="s">
        <v>16051</v>
      </c>
      <c r="DZI1" s="24" t="s">
        <v>16052</v>
      </c>
      <c r="DZJ1" s="24" t="s">
        <v>16053</v>
      </c>
      <c r="DZK1" s="24" t="s">
        <v>16054</v>
      </c>
      <c r="DZL1" s="24" t="s">
        <v>16055</v>
      </c>
      <c r="DZM1" s="24" t="s">
        <v>16056</v>
      </c>
      <c r="DZN1" s="24" t="s">
        <v>16057</v>
      </c>
      <c r="DZO1" s="24" t="s">
        <v>16058</v>
      </c>
      <c r="DZP1" s="24" t="s">
        <v>16059</v>
      </c>
      <c r="DZQ1" s="24" t="s">
        <v>16060</v>
      </c>
      <c r="DZR1" s="24" t="s">
        <v>16061</v>
      </c>
      <c r="DZS1" s="24" t="s">
        <v>16062</v>
      </c>
      <c r="DZT1" s="24" t="s">
        <v>16063</v>
      </c>
      <c r="DZU1" s="24" t="s">
        <v>16064</v>
      </c>
      <c r="DZV1" s="24" t="s">
        <v>16065</v>
      </c>
      <c r="DZW1" s="24" t="s">
        <v>16066</v>
      </c>
      <c r="DZX1" s="24" t="s">
        <v>16067</v>
      </c>
      <c r="DZY1" s="24" t="s">
        <v>16068</v>
      </c>
      <c r="DZZ1" s="24" t="s">
        <v>16069</v>
      </c>
      <c r="EAA1" s="24" t="s">
        <v>16070</v>
      </c>
      <c r="EAB1" s="24" t="s">
        <v>16071</v>
      </c>
      <c r="EAC1" s="24" t="s">
        <v>16072</v>
      </c>
      <c r="EAD1" s="24" t="s">
        <v>16073</v>
      </c>
      <c r="EAE1" s="24" t="s">
        <v>16074</v>
      </c>
      <c r="EAF1" s="24" t="s">
        <v>16075</v>
      </c>
      <c r="EAG1" s="24" t="s">
        <v>16076</v>
      </c>
      <c r="EAH1" s="24" t="s">
        <v>16077</v>
      </c>
      <c r="EAI1" s="24" t="s">
        <v>16078</v>
      </c>
      <c r="EAJ1" s="24" t="s">
        <v>16079</v>
      </c>
      <c r="EAK1" s="24" t="s">
        <v>16080</v>
      </c>
      <c r="EAL1" s="24" t="s">
        <v>16081</v>
      </c>
      <c r="EAM1" s="24" t="s">
        <v>16082</v>
      </c>
      <c r="EAN1" s="24" t="s">
        <v>16083</v>
      </c>
      <c r="EAO1" s="24" t="s">
        <v>16084</v>
      </c>
      <c r="EAP1" s="24" t="s">
        <v>16085</v>
      </c>
      <c r="EAQ1" s="24" t="s">
        <v>16086</v>
      </c>
      <c r="EAR1" s="24" t="s">
        <v>16087</v>
      </c>
      <c r="EAS1" s="24" t="s">
        <v>16088</v>
      </c>
      <c r="EAT1" s="24" t="s">
        <v>16089</v>
      </c>
      <c r="EAU1" s="24" t="s">
        <v>16090</v>
      </c>
      <c r="EAV1" s="24" t="s">
        <v>16091</v>
      </c>
      <c r="EAW1" s="24" t="s">
        <v>16092</v>
      </c>
      <c r="EAX1" s="24" t="s">
        <v>16093</v>
      </c>
      <c r="EAY1" s="24" t="s">
        <v>16094</v>
      </c>
      <c r="EAZ1" s="24" t="s">
        <v>16095</v>
      </c>
      <c r="EBA1" s="24" t="s">
        <v>16096</v>
      </c>
      <c r="EBB1" s="24" t="s">
        <v>16097</v>
      </c>
      <c r="EBC1" s="24" t="s">
        <v>16098</v>
      </c>
      <c r="EBD1" s="24" t="s">
        <v>16099</v>
      </c>
      <c r="EBE1" s="24" t="s">
        <v>16100</v>
      </c>
      <c r="EBF1" s="24" t="s">
        <v>16101</v>
      </c>
      <c r="EBG1" s="24" t="s">
        <v>16102</v>
      </c>
      <c r="EBH1" s="24" t="s">
        <v>16103</v>
      </c>
      <c r="EBI1" s="24" t="s">
        <v>16104</v>
      </c>
      <c r="EBJ1" s="24" t="s">
        <v>16105</v>
      </c>
      <c r="EBK1" s="24" t="s">
        <v>16106</v>
      </c>
      <c r="EBL1" s="24" t="s">
        <v>16107</v>
      </c>
      <c r="EBM1" s="24" t="s">
        <v>16108</v>
      </c>
      <c r="EBN1" s="24" t="s">
        <v>16109</v>
      </c>
      <c r="EBO1" s="24" t="s">
        <v>16110</v>
      </c>
      <c r="EBP1" s="24" t="s">
        <v>16111</v>
      </c>
      <c r="EBQ1" s="24" t="s">
        <v>16112</v>
      </c>
      <c r="EBR1" s="24" t="s">
        <v>16113</v>
      </c>
      <c r="EBS1" s="24" t="s">
        <v>16114</v>
      </c>
      <c r="EBT1" s="24" t="s">
        <v>16115</v>
      </c>
      <c r="EBU1" s="24" t="s">
        <v>16116</v>
      </c>
      <c r="EBV1" s="24" t="s">
        <v>16117</v>
      </c>
      <c r="EBW1" s="24" t="s">
        <v>16118</v>
      </c>
      <c r="EBX1" s="24" t="s">
        <v>16119</v>
      </c>
      <c r="EBY1" s="24" t="s">
        <v>16120</v>
      </c>
      <c r="EBZ1" s="24" t="s">
        <v>16121</v>
      </c>
      <c r="ECA1" s="24" t="s">
        <v>16122</v>
      </c>
      <c r="ECB1" s="24" t="s">
        <v>16123</v>
      </c>
      <c r="ECC1" s="24" t="s">
        <v>16124</v>
      </c>
      <c r="ECD1" s="24" t="s">
        <v>16125</v>
      </c>
      <c r="ECE1" s="24" t="s">
        <v>16126</v>
      </c>
      <c r="ECF1" s="24" t="s">
        <v>16127</v>
      </c>
      <c r="ECG1" s="24" t="s">
        <v>16128</v>
      </c>
      <c r="ECH1" s="24" t="s">
        <v>16129</v>
      </c>
      <c r="ECI1" s="24" t="s">
        <v>16130</v>
      </c>
      <c r="ECJ1" s="24" t="s">
        <v>16131</v>
      </c>
      <c r="ECK1" s="24" t="s">
        <v>16132</v>
      </c>
      <c r="ECL1" s="24" t="s">
        <v>16133</v>
      </c>
      <c r="ECM1" s="24" t="s">
        <v>16134</v>
      </c>
      <c r="ECN1" s="24" t="s">
        <v>16135</v>
      </c>
      <c r="ECO1" s="24" t="s">
        <v>16136</v>
      </c>
      <c r="ECP1" s="24" t="s">
        <v>16137</v>
      </c>
      <c r="ECQ1" s="24" t="s">
        <v>16138</v>
      </c>
      <c r="ECR1" s="24" t="s">
        <v>16139</v>
      </c>
      <c r="ECS1" s="24" t="s">
        <v>16140</v>
      </c>
      <c r="ECT1" s="24" t="s">
        <v>16141</v>
      </c>
      <c r="ECU1" s="24" t="s">
        <v>16142</v>
      </c>
      <c r="ECV1" s="24" t="s">
        <v>16143</v>
      </c>
      <c r="ECW1" s="24" t="s">
        <v>16144</v>
      </c>
      <c r="ECX1" s="24" t="s">
        <v>16145</v>
      </c>
      <c r="ECY1" s="24" t="s">
        <v>16146</v>
      </c>
      <c r="ECZ1" s="24" t="s">
        <v>16147</v>
      </c>
      <c r="EDA1" s="24" t="s">
        <v>16148</v>
      </c>
      <c r="EDB1" s="24" t="s">
        <v>16149</v>
      </c>
      <c r="EDC1" s="24" t="s">
        <v>16150</v>
      </c>
      <c r="EDD1" s="24" t="s">
        <v>16151</v>
      </c>
      <c r="EDE1" s="24" t="s">
        <v>16152</v>
      </c>
      <c r="EDF1" s="24" t="s">
        <v>16153</v>
      </c>
      <c r="EDG1" s="24" t="s">
        <v>16154</v>
      </c>
      <c r="EDH1" s="24" t="s">
        <v>16155</v>
      </c>
      <c r="EDI1" s="24" t="s">
        <v>16156</v>
      </c>
      <c r="EDJ1" s="24" t="s">
        <v>16157</v>
      </c>
      <c r="EDK1" s="24" t="s">
        <v>16158</v>
      </c>
      <c r="EDL1" s="24" t="s">
        <v>16159</v>
      </c>
      <c r="EDM1" s="24" t="s">
        <v>16160</v>
      </c>
      <c r="EDN1" s="24" t="s">
        <v>16161</v>
      </c>
      <c r="EDO1" s="24" t="s">
        <v>16162</v>
      </c>
      <c r="EDP1" s="24" t="s">
        <v>16163</v>
      </c>
      <c r="EDQ1" s="24" t="s">
        <v>16164</v>
      </c>
      <c r="EDR1" s="24" t="s">
        <v>16165</v>
      </c>
      <c r="EDS1" s="24" t="s">
        <v>16166</v>
      </c>
      <c r="EDT1" s="24" t="s">
        <v>16167</v>
      </c>
      <c r="EDU1" s="24" t="s">
        <v>16168</v>
      </c>
      <c r="EDV1" s="24" t="s">
        <v>16169</v>
      </c>
      <c r="EDW1" s="24" t="s">
        <v>16170</v>
      </c>
      <c r="EDX1" s="24" t="s">
        <v>16171</v>
      </c>
      <c r="EDY1" s="24" t="s">
        <v>16172</v>
      </c>
      <c r="EDZ1" s="24" t="s">
        <v>16173</v>
      </c>
      <c r="EEA1" s="24" t="s">
        <v>16174</v>
      </c>
      <c r="EEB1" s="24" t="s">
        <v>16175</v>
      </c>
      <c r="EEC1" s="24" t="s">
        <v>16176</v>
      </c>
      <c r="EED1" s="24" t="s">
        <v>16177</v>
      </c>
      <c r="EEE1" s="24" t="s">
        <v>16178</v>
      </c>
      <c r="EEF1" s="24" t="s">
        <v>16179</v>
      </c>
      <c r="EEG1" s="24" t="s">
        <v>16180</v>
      </c>
      <c r="EEH1" s="24" t="s">
        <v>16181</v>
      </c>
      <c r="EEI1" s="24" t="s">
        <v>16182</v>
      </c>
      <c r="EEJ1" s="24" t="s">
        <v>16183</v>
      </c>
      <c r="EEK1" s="24" t="s">
        <v>16184</v>
      </c>
      <c r="EEL1" s="24" t="s">
        <v>16185</v>
      </c>
      <c r="EEM1" s="24" t="s">
        <v>16186</v>
      </c>
      <c r="EEN1" s="24" t="s">
        <v>16187</v>
      </c>
      <c r="EEO1" s="24" t="s">
        <v>16188</v>
      </c>
      <c r="EEP1" s="24" t="s">
        <v>16189</v>
      </c>
      <c r="EEQ1" s="24" t="s">
        <v>16190</v>
      </c>
      <c r="EER1" s="24" t="s">
        <v>16191</v>
      </c>
      <c r="EES1" s="24" t="s">
        <v>16192</v>
      </c>
      <c r="EET1" s="24" t="s">
        <v>16193</v>
      </c>
      <c r="EEU1" s="24" t="s">
        <v>16194</v>
      </c>
      <c r="EEV1" s="24" t="s">
        <v>16195</v>
      </c>
      <c r="EEW1" s="24" t="s">
        <v>16196</v>
      </c>
      <c r="EEX1" s="24" t="s">
        <v>16197</v>
      </c>
      <c r="EEY1" s="24" t="s">
        <v>16198</v>
      </c>
      <c r="EEZ1" s="24" t="s">
        <v>16199</v>
      </c>
      <c r="EFA1" s="24" t="s">
        <v>16200</v>
      </c>
      <c r="EFB1" s="24" t="s">
        <v>16201</v>
      </c>
      <c r="EFC1" s="24" t="s">
        <v>16202</v>
      </c>
      <c r="EFD1" s="24" t="s">
        <v>16203</v>
      </c>
      <c r="EFE1" s="24" t="s">
        <v>16204</v>
      </c>
      <c r="EFF1" s="24" t="s">
        <v>16205</v>
      </c>
      <c r="EFG1" s="24" t="s">
        <v>16206</v>
      </c>
      <c r="EFH1" s="24" t="s">
        <v>16207</v>
      </c>
      <c r="EFI1" s="24" t="s">
        <v>16208</v>
      </c>
      <c r="EFJ1" s="24" t="s">
        <v>16209</v>
      </c>
      <c r="EFK1" s="24" t="s">
        <v>16210</v>
      </c>
      <c r="EFL1" s="24" t="s">
        <v>16211</v>
      </c>
      <c r="EFM1" s="24" t="s">
        <v>16212</v>
      </c>
      <c r="EFN1" s="24" t="s">
        <v>16213</v>
      </c>
      <c r="EFO1" s="24" t="s">
        <v>16214</v>
      </c>
      <c r="EFP1" s="24" t="s">
        <v>16215</v>
      </c>
      <c r="EFQ1" s="24" t="s">
        <v>16216</v>
      </c>
      <c r="EFR1" s="24" t="s">
        <v>16217</v>
      </c>
      <c r="EFS1" s="24" t="s">
        <v>16218</v>
      </c>
      <c r="EFT1" s="24" t="s">
        <v>16219</v>
      </c>
      <c r="EFU1" s="24" t="s">
        <v>16220</v>
      </c>
      <c r="EFV1" s="24" t="s">
        <v>16221</v>
      </c>
      <c r="EFW1" s="24" t="s">
        <v>16222</v>
      </c>
      <c r="EFX1" s="24" t="s">
        <v>16223</v>
      </c>
      <c r="EFY1" s="24" t="s">
        <v>16224</v>
      </c>
      <c r="EFZ1" s="24" t="s">
        <v>16225</v>
      </c>
      <c r="EGA1" s="24" t="s">
        <v>16226</v>
      </c>
      <c r="EGB1" s="24" t="s">
        <v>16227</v>
      </c>
      <c r="EGC1" s="24" t="s">
        <v>16228</v>
      </c>
      <c r="EGD1" s="24" t="s">
        <v>16229</v>
      </c>
      <c r="EGE1" s="24" t="s">
        <v>16230</v>
      </c>
      <c r="EGF1" s="24" t="s">
        <v>16231</v>
      </c>
      <c r="EGG1" s="24" t="s">
        <v>16232</v>
      </c>
      <c r="EGH1" s="24" t="s">
        <v>16233</v>
      </c>
      <c r="EGI1" s="24" t="s">
        <v>16234</v>
      </c>
      <c r="EGJ1" s="24" t="s">
        <v>16235</v>
      </c>
      <c r="EGK1" s="24" t="s">
        <v>16236</v>
      </c>
      <c r="EGL1" s="24" t="s">
        <v>16237</v>
      </c>
      <c r="EGM1" s="24" t="s">
        <v>16238</v>
      </c>
      <c r="EGN1" s="24" t="s">
        <v>16239</v>
      </c>
      <c r="EGO1" s="24" t="s">
        <v>16240</v>
      </c>
      <c r="EGP1" s="24" t="s">
        <v>16241</v>
      </c>
      <c r="EGQ1" s="24" t="s">
        <v>16242</v>
      </c>
      <c r="EGR1" s="24" t="s">
        <v>16243</v>
      </c>
      <c r="EGS1" s="24" t="s">
        <v>16244</v>
      </c>
      <c r="EGT1" s="24" t="s">
        <v>16245</v>
      </c>
      <c r="EGU1" s="24" t="s">
        <v>16246</v>
      </c>
      <c r="EGV1" s="24" t="s">
        <v>16247</v>
      </c>
      <c r="EGW1" s="24" t="s">
        <v>16248</v>
      </c>
      <c r="EGX1" s="24" t="s">
        <v>16249</v>
      </c>
      <c r="EGY1" s="24" t="s">
        <v>16250</v>
      </c>
      <c r="EGZ1" s="24" t="s">
        <v>16251</v>
      </c>
      <c r="EHA1" s="24" t="s">
        <v>16252</v>
      </c>
      <c r="EHB1" s="24" t="s">
        <v>16253</v>
      </c>
      <c r="EHC1" s="24" t="s">
        <v>16254</v>
      </c>
      <c r="EHD1" s="24" t="s">
        <v>16255</v>
      </c>
      <c r="EHE1" s="24" t="s">
        <v>16256</v>
      </c>
      <c r="EHF1" s="24" t="s">
        <v>16257</v>
      </c>
      <c r="EHG1" s="24" t="s">
        <v>16258</v>
      </c>
      <c r="EHH1" s="24" t="s">
        <v>16259</v>
      </c>
      <c r="EHI1" s="24" t="s">
        <v>16260</v>
      </c>
      <c r="EHJ1" s="24" t="s">
        <v>16261</v>
      </c>
      <c r="EHK1" s="24" t="s">
        <v>16262</v>
      </c>
      <c r="EHL1" s="24" t="s">
        <v>16263</v>
      </c>
      <c r="EHM1" s="24" t="s">
        <v>16264</v>
      </c>
      <c r="EHN1" s="24" t="s">
        <v>16265</v>
      </c>
      <c r="EHO1" s="24" t="s">
        <v>16266</v>
      </c>
      <c r="EHP1" s="24" t="s">
        <v>16267</v>
      </c>
      <c r="EHQ1" s="24" t="s">
        <v>16268</v>
      </c>
      <c r="EHR1" s="24" t="s">
        <v>16269</v>
      </c>
      <c r="EHS1" s="24" t="s">
        <v>16270</v>
      </c>
      <c r="EHT1" s="24" t="s">
        <v>16271</v>
      </c>
      <c r="EHU1" s="24" t="s">
        <v>16272</v>
      </c>
      <c r="EHV1" s="24" t="s">
        <v>16273</v>
      </c>
      <c r="EHW1" s="24" t="s">
        <v>16274</v>
      </c>
      <c r="EHX1" s="24" t="s">
        <v>16275</v>
      </c>
      <c r="EHY1" s="24" t="s">
        <v>16276</v>
      </c>
      <c r="EHZ1" s="24" t="s">
        <v>16277</v>
      </c>
      <c r="EIA1" s="24" t="s">
        <v>16278</v>
      </c>
      <c r="EIB1" s="24" t="s">
        <v>16279</v>
      </c>
      <c r="EIC1" s="24" t="s">
        <v>16280</v>
      </c>
      <c r="EID1" s="24" t="s">
        <v>16281</v>
      </c>
      <c r="EIE1" s="24" t="s">
        <v>16282</v>
      </c>
      <c r="EIF1" s="24" t="s">
        <v>16283</v>
      </c>
      <c r="EIG1" s="24" t="s">
        <v>16284</v>
      </c>
      <c r="EIH1" s="24" t="s">
        <v>16285</v>
      </c>
      <c r="EII1" s="24" t="s">
        <v>16286</v>
      </c>
      <c r="EIJ1" s="24" t="s">
        <v>16287</v>
      </c>
      <c r="EIK1" s="24" t="s">
        <v>16288</v>
      </c>
      <c r="EIL1" s="24" t="s">
        <v>16289</v>
      </c>
      <c r="EIM1" s="24" t="s">
        <v>16290</v>
      </c>
      <c r="EIN1" s="24" t="s">
        <v>16291</v>
      </c>
      <c r="EIO1" s="24" t="s">
        <v>16292</v>
      </c>
      <c r="EIP1" s="24" t="s">
        <v>16293</v>
      </c>
      <c r="EIQ1" s="24" t="s">
        <v>16294</v>
      </c>
      <c r="EIR1" s="24" t="s">
        <v>16295</v>
      </c>
      <c r="EIS1" s="24" t="s">
        <v>16296</v>
      </c>
      <c r="EIT1" s="24" t="s">
        <v>16297</v>
      </c>
      <c r="EIU1" s="24" t="s">
        <v>16298</v>
      </c>
      <c r="EIV1" s="24" t="s">
        <v>16299</v>
      </c>
      <c r="EIW1" s="24" t="s">
        <v>16300</v>
      </c>
      <c r="EIX1" s="24" t="s">
        <v>16301</v>
      </c>
      <c r="EIY1" s="24" t="s">
        <v>16302</v>
      </c>
      <c r="EIZ1" s="24" t="s">
        <v>16303</v>
      </c>
      <c r="EJA1" s="24" t="s">
        <v>16304</v>
      </c>
      <c r="EJB1" s="24" t="s">
        <v>16305</v>
      </c>
      <c r="EJC1" s="24" t="s">
        <v>16306</v>
      </c>
      <c r="EJD1" s="24" t="s">
        <v>16307</v>
      </c>
      <c r="EJE1" s="24" t="s">
        <v>16308</v>
      </c>
      <c r="EJF1" s="24" t="s">
        <v>16309</v>
      </c>
      <c r="EJG1" s="24" t="s">
        <v>16310</v>
      </c>
      <c r="EJH1" s="24" t="s">
        <v>16311</v>
      </c>
      <c r="EJI1" s="24" t="s">
        <v>16312</v>
      </c>
      <c r="EJJ1" s="24" t="s">
        <v>16313</v>
      </c>
      <c r="EJK1" s="24" t="s">
        <v>16314</v>
      </c>
      <c r="EJL1" s="24" t="s">
        <v>16315</v>
      </c>
      <c r="EJM1" s="24" t="s">
        <v>16316</v>
      </c>
      <c r="EJN1" s="24" t="s">
        <v>16317</v>
      </c>
      <c r="EJO1" s="24" t="s">
        <v>16318</v>
      </c>
      <c r="EJP1" s="24" t="s">
        <v>16319</v>
      </c>
      <c r="EJQ1" s="24" t="s">
        <v>16320</v>
      </c>
      <c r="EJR1" s="24" t="s">
        <v>16321</v>
      </c>
      <c r="EJS1" s="24" t="s">
        <v>16322</v>
      </c>
      <c r="EJT1" s="24" t="s">
        <v>16323</v>
      </c>
      <c r="EJU1" s="24" t="s">
        <v>16324</v>
      </c>
      <c r="EJV1" s="24" t="s">
        <v>16325</v>
      </c>
      <c r="EJW1" s="24" t="s">
        <v>16326</v>
      </c>
      <c r="EJX1" s="24" t="s">
        <v>16327</v>
      </c>
      <c r="EJY1" s="24" t="s">
        <v>16328</v>
      </c>
      <c r="EJZ1" s="24" t="s">
        <v>16329</v>
      </c>
      <c r="EKA1" s="24" t="s">
        <v>16330</v>
      </c>
      <c r="EKB1" s="24" t="s">
        <v>16331</v>
      </c>
      <c r="EKC1" s="24" t="s">
        <v>16332</v>
      </c>
      <c r="EKD1" s="24" t="s">
        <v>16333</v>
      </c>
      <c r="EKE1" s="24" t="s">
        <v>16334</v>
      </c>
      <c r="EKF1" s="24" t="s">
        <v>16335</v>
      </c>
      <c r="EKG1" s="24" t="s">
        <v>16336</v>
      </c>
      <c r="EKH1" s="24" t="s">
        <v>16337</v>
      </c>
      <c r="EKI1" s="24" t="s">
        <v>16338</v>
      </c>
      <c r="EKJ1" s="24" t="s">
        <v>16339</v>
      </c>
      <c r="EKK1" s="24" t="s">
        <v>16340</v>
      </c>
      <c r="EKL1" s="24" t="s">
        <v>16341</v>
      </c>
      <c r="EKM1" s="24" t="s">
        <v>16342</v>
      </c>
      <c r="EKN1" s="24" t="s">
        <v>16343</v>
      </c>
      <c r="EKO1" s="24" t="s">
        <v>16344</v>
      </c>
      <c r="EKP1" s="24" t="s">
        <v>16345</v>
      </c>
      <c r="EKQ1" s="24" t="s">
        <v>16346</v>
      </c>
      <c r="EKR1" s="24" t="s">
        <v>16347</v>
      </c>
      <c r="EKS1" s="24" t="s">
        <v>16348</v>
      </c>
      <c r="EKT1" s="24" t="s">
        <v>16349</v>
      </c>
      <c r="EKU1" s="24" t="s">
        <v>16350</v>
      </c>
      <c r="EKV1" s="24" t="s">
        <v>16351</v>
      </c>
      <c r="EKW1" s="24" t="s">
        <v>16352</v>
      </c>
      <c r="EKX1" s="24" t="s">
        <v>16353</v>
      </c>
      <c r="EKY1" s="24" t="s">
        <v>16354</v>
      </c>
      <c r="EKZ1" s="24" t="s">
        <v>16355</v>
      </c>
      <c r="ELA1" s="24" t="s">
        <v>16356</v>
      </c>
      <c r="ELB1" s="24" t="s">
        <v>16357</v>
      </c>
      <c r="ELC1" s="24" t="s">
        <v>16358</v>
      </c>
      <c r="ELD1" s="24" t="s">
        <v>16359</v>
      </c>
      <c r="ELE1" s="24" t="s">
        <v>16360</v>
      </c>
      <c r="ELF1" s="24" t="s">
        <v>16361</v>
      </c>
      <c r="ELG1" s="24" t="s">
        <v>16362</v>
      </c>
      <c r="ELH1" s="24" t="s">
        <v>16363</v>
      </c>
      <c r="ELI1" s="24" t="s">
        <v>16364</v>
      </c>
      <c r="ELJ1" s="24" t="s">
        <v>16365</v>
      </c>
      <c r="ELK1" s="24" t="s">
        <v>16366</v>
      </c>
      <c r="ELL1" s="24" t="s">
        <v>16367</v>
      </c>
      <c r="ELM1" s="24" t="s">
        <v>16368</v>
      </c>
      <c r="ELN1" s="24" t="s">
        <v>16369</v>
      </c>
      <c r="ELO1" s="24" t="s">
        <v>16370</v>
      </c>
      <c r="ELP1" s="24" t="s">
        <v>16371</v>
      </c>
      <c r="ELQ1" s="24" t="s">
        <v>16372</v>
      </c>
      <c r="ELR1" s="24" t="s">
        <v>16373</v>
      </c>
      <c r="ELS1" s="24" t="s">
        <v>16374</v>
      </c>
      <c r="ELT1" s="24" t="s">
        <v>16375</v>
      </c>
      <c r="ELU1" s="24" t="s">
        <v>16376</v>
      </c>
      <c r="ELV1" s="24" t="s">
        <v>16377</v>
      </c>
      <c r="ELW1" s="24" t="s">
        <v>16378</v>
      </c>
      <c r="ELX1" s="24" t="s">
        <v>16379</v>
      </c>
      <c r="ELY1" s="24" t="s">
        <v>16380</v>
      </c>
      <c r="ELZ1" s="24" t="s">
        <v>16381</v>
      </c>
      <c r="EMA1" s="24" t="s">
        <v>16382</v>
      </c>
      <c r="EMB1" s="24" t="s">
        <v>16383</v>
      </c>
      <c r="EMC1" s="24" t="s">
        <v>16384</v>
      </c>
      <c r="EMD1" s="24" t="s">
        <v>16385</v>
      </c>
      <c r="EME1" s="24" t="s">
        <v>16386</v>
      </c>
      <c r="EMF1" s="24" t="s">
        <v>16387</v>
      </c>
      <c r="EMG1" s="24" t="s">
        <v>16388</v>
      </c>
      <c r="EMH1" s="24" t="s">
        <v>16389</v>
      </c>
      <c r="EMI1" s="24" t="s">
        <v>16390</v>
      </c>
      <c r="EMJ1" s="24" t="s">
        <v>16391</v>
      </c>
      <c r="EMK1" s="24" t="s">
        <v>16392</v>
      </c>
      <c r="EML1" s="24" t="s">
        <v>16393</v>
      </c>
      <c r="EMM1" s="24" t="s">
        <v>16394</v>
      </c>
      <c r="EMN1" s="24" t="s">
        <v>16395</v>
      </c>
      <c r="EMO1" s="24" t="s">
        <v>16396</v>
      </c>
      <c r="EMP1" s="24" t="s">
        <v>16397</v>
      </c>
      <c r="EMQ1" s="24" t="s">
        <v>16398</v>
      </c>
      <c r="EMR1" s="24" t="s">
        <v>16399</v>
      </c>
      <c r="EMS1" s="24" t="s">
        <v>16400</v>
      </c>
      <c r="EMT1" s="24" t="s">
        <v>16401</v>
      </c>
      <c r="EMU1" s="24" t="s">
        <v>16402</v>
      </c>
      <c r="EMV1" s="24" t="s">
        <v>16403</v>
      </c>
      <c r="EMW1" s="24" t="s">
        <v>16404</v>
      </c>
      <c r="EMX1" s="24" t="s">
        <v>16405</v>
      </c>
      <c r="EMY1" s="24" t="s">
        <v>16406</v>
      </c>
      <c r="EMZ1" s="24" t="s">
        <v>16407</v>
      </c>
      <c r="ENA1" s="24" t="s">
        <v>16408</v>
      </c>
      <c r="ENB1" s="24" t="s">
        <v>16409</v>
      </c>
      <c r="ENC1" s="24" t="s">
        <v>16410</v>
      </c>
      <c r="END1" s="24" t="s">
        <v>16411</v>
      </c>
      <c r="ENE1" s="24" t="s">
        <v>16412</v>
      </c>
      <c r="ENF1" s="24" t="s">
        <v>16413</v>
      </c>
      <c r="ENG1" s="24" t="s">
        <v>16414</v>
      </c>
      <c r="ENH1" s="24" t="s">
        <v>16415</v>
      </c>
      <c r="ENI1" s="24" t="s">
        <v>16416</v>
      </c>
      <c r="ENJ1" s="24" t="s">
        <v>16417</v>
      </c>
      <c r="ENK1" s="24" t="s">
        <v>16418</v>
      </c>
      <c r="ENL1" s="24" t="s">
        <v>16419</v>
      </c>
      <c r="ENM1" s="24" t="s">
        <v>16420</v>
      </c>
      <c r="ENN1" s="24" t="s">
        <v>16421</v>
      </c>
      <c r="ENO1" s="24" t="s">
        <v>16422</v>
      </c>
      <c r="ENP1" s="24" t="s">
        <v>16423</v>
      </c>
      <c r="ENQ1" s="24" t="s">
        <v>16424</v>
      </c>
      <c r="ENR1" s="24" t="s">
        <v>16425</v>
      </c>
      <c r="ENS1" s="24" t="s">
        <v>16426</v>
      </c>
      <c r="ENT1" s="24" t="s">
        <v>16427</v>
      </c>
      <c r="ENU1" s="24" t="s">
        <v>16428</v>
      </c>
      <c r="ENV1" s="24" t="s">
        <v>16429</v>
      </c>
      <c r="ENW1" s="24" t="s">
        <v>16430</v>
      </c>
      <c r="ENX1" s="24" t="s">
        <v>16431</v>
      </c>
      <c r="ENY1" s="24" t="s">
        <v>16432</v>
      </c>
      <c r="ENZ1" s="24" t="s">
        <v>16433</v>
      </c>
      <c r="EOA1" s="24" t="s">
        <v>16434</v>
      </c>
      <c r="EOB1" s="24" t="s">
        <v>16435</v>
      </c>
      <c r="EOC1" s="24" t="s">
        <v>16436</v>
      </c>
      <c r="EOD1" s="24" t="s">
        <v>16437</v>
      </c>
      <c r="EOE1" s="24" t="s">
        <v>16438</v>
      </c>
      <c r="EOF1" s="24" t="s">
        <v>16439</v>
      </c>
      <c r="EOG1" s="24" t="s">
        <v>16440</v>
      </c>
      <c r="EOH1" s="24" t="s">
        <v>16441</v>
      </c>
      <c r="EOI1" s="24" t="s">
        <v>16442</v>
      </c>
      <c r="EOJ1" s="24" t="s">
        <v>16443</v>
      </c>
      <c r="EOK1" s="24" t="s">
        <v>16444</v>
      </c>
      <c r="EOL1" s="24" t="s">
        <v>16445</v>
      </c>
      <c r="EOM1" s="24" t="s">
        <v>16446</v>
      </c>
      <c r="EON1" s="24" t="s">
        <v>16447</v>
      </c>
      <c r="EOO1" s="24" t="s">
        <v>16448</v>
      </c>
      <c r="EOP1" s="24" t="s">
        <v>16449</v>
      </c>
      <c r="EOQ1" s="24" t="s">
        <v>16450</v>
      </c>
      <c r="EOR1" s="24" t="s">
        <v>16451</v>
      </c>
      <c r="EOS1" s="24" t="s">
        <v>16452</v>
      </c>
      <c r="EOT1" s="24" t="s">
        <v>16453</v>
      </c>
      <c r="EOU1" s="24" t="s">
        <v>16454</v>
      </c>
      <c r="EOV1" s="24" t="s">
        <v>16455</v>
      </c>
      <c r="EOW1" s="24" t="s">
        <v>16456</v>
      </c>
      <c r="EOX1" s="24" t="s">
        <v>16457</v>
      </c>
      <c r="EOY1" s="24" t="s">
        <v>16458</v>
      </c>
      <c r="EOZ1" s="24" t="s">
        <v>16459</v>
      </c>
      <c r="EPA1" s="24" t="s">
        <v>16460</v>
      </c>
      <c r="EPB1" s="24" t="s">
        <v>16461</v>
      </c>
      <c r="EPC1" s="24" t="s">
        <v>16462</v>
      </c>
      <c r="EPD1" s="24" t="s">
        <v>16463</v>
      </c>
      <c r="EPE1" s="24" t="s">
        <v>16464</v>
      </c>
      <c r="EPF1" s="24" t="s">
        <v>16465</v>
      </c>
      <c r="EPG1" s="24" t="s">
        <v>16466</v>
      </c>
      <c r="EPH1" s="24" t="s">
        <v>16467</v>
      </c>
      <c r="EPI1" s="24" t="s">
        <v>16468</v>
      </c>
      <c r="EPJ1" s="24" t="s">
        <v>16469</v>
      </c>
      <c r="EPK1" s="24" t="s">
        <v>16470</v>
      </c>
      <c r="EPL1" s="24" t="s">
        <v>16471</v>
      </c>
      <c r="EPM1" s="24" t="s">
        <v>16472</v>
      </c>
      <c r="EPN1" s="24" t="s">
        <v>16473</v>
      </c>
      <c r="EPO1" s="24" t="s">
        <v>16474</v>
      </c>
      <c r="EPP1" s="24" t="s">
        <v>16475</v>
      </c>
      <c r="EPQ1" s="24" t="s">
        <v>16476</v>
      </c>
      <c r="EPR1" s="24" t="s">
        <v>16477</v>
      </c>
      <c r="EPS1" s="24" t="s">
        <v>16478</v>
      </c>
      <c r="EPT1" s="24" t="s">
        <v>16479</v>
      </c>
      <c r="EPU1" s="24" t="s">
        <v>16480</v>
      </c>
      <c r="EPV1" s="24" t="s">
        <v>16481</v>
      </c>
      <c r="EPW1" s="24" t="s">
        <v>16482</v>
      </c>
      <c r="EPX1" s="24" t="s">
        <v>16483</v>
      </c>
      <c r="EPY1" s="24" t="s">
        <v>16484</v>
      </c>
      <c r="EPZ1" s="24" t="s">
        <v>16485</v>
      </c>
      <c r="EQA1" s="24" t="s">
        <v>16486</v>
      </c>
      <c r="EQB1" s="24" t="s">
        <v>16487</v>
      </c>
      <c r="EQC1" s="24" t="s">
        <v>16488</v>
      </c>
      <c r="EQD1" s="24" t="s">
        <v>16489</v>
      </c>
      <c r="EQE1" s="24" t="s">
        <v>16490</v>
      </c>
      <c r="EQF1" s="24" t="s">
        <v>16491</v>
      </c>
      <c r="EQG1" s="24" t="s">
        <v>16492</v>
      </c>
      <c r="EQH1" s="24" t="s">
        <v>16493</v>
      </c>
      <c r="EQI1" s="24" t="s">
        <v>16494</v>
      </c>
      <c r="EQJ1" s="24" t="s">
        <v>16495</v>
      </c>
      <c r="EQK1" s="24" t="s">
        <v>16496</v>
      </c>
      <c r="EQL1" s="24" t="s">
        <v>16497</v>
      </c>
      <c r="EQM1" s="24" t="s">
        <v>16498</v>
      </c>
      <c r="EQN1" s="24" t="s">
        <v>16499</v>
      </c>
      <c r="EQO1" s="24" t="s">
        <v>16500</v>
      </c>
      <c r="EQP1" s="24" t="s">
        <v>16501</v>
      </c>
      <c r="EQQ1" s="24" t="s">
        <v>16502</v>
      </c>
      <c r="EQR1" s="24" t="s">
        <v>16503</v>
      </c>
      <c r="EQS1" s="24" t="s">
        <v>16504</v>
      </c>
      <c r="EQT1" s="24" t="s">
        <v>16505</v>
      </c>
      <c r="EQU1" s="24" t="s">
        <v>16506</v>
      </c>
      <c r="EQV1" s="24" t="s">
        <v>16507</v>
      </c>
      <c r="EQW1" s="24" t="s">
        <v>16508</v>
      </c>
      <c r="EQX1" s="24" t="s">
        <v>16509</v>
      </c>
      <c r="EQY1" s="24" t="s">
        <v>16510</v>
      </c>
      <c r="EQZ1" s="24" t="s">
        <v>16511</v>
      </c>
      <c r="ERA1" s="24" t="s">
        <v>16512</v>
      </c>
      <c r="ERB1" s="24" t="s">
        <v>16513</v>
      </c>
      <c r="ERC1" s="24" t="s">
        <v>16514</v>
      </c>
      <c r="ERD1" s="24" t="s">
        <v>16515</v>
      </c>
      <c r="ERE1" s="24" t="s">
        <v>16516</v>
      </c>
      <c r="ERF1" s="24" t="s">
        <v>16517</v>
      </c>
      <c r="ERG1" s="24" t="s">
        <v>16518</v>
      </c>
      <c r="ERH1" s="24" t="s">
        <v>16519</v>
      </c>
      <c r="ERI1" s="24" t="s">
        <v>16520</v>
      </c>
      <c r="ERJ1" s="24" t="s">
        <v>16521</v>
      </c>
      <c r="ERK1" s="24" t="s">
        <v>16522</v>
      </c>
      <c r="ERL1" s="24" t="s">
        <v>16523</v>
      </c>
      <c r="ERM1" s="24" t="s">
        <v>16524</v>
      </c>
      <c r="ERN1" s="24" t="s">
        <v>16525</v>
      </c>
      <c r="ERO1" s="24" t="s">
        <v>16526</v>
      </c>
      <c r="ERP1" s="24" t="s">
        <v>16527</v>
      </c>
      <c r="ERQ1" s="24" t="s">
        <v>16528</v>
      </c>
      <c r="ERR1" s="24" t="s">
        <v>16529</v>
      </c>
      <c r="ERS1" s="24" t="s">
        <v>16530</v>
      </c>
      <c r="ERT1" s="24" t="s">
        <v>16531</v>
      </c>
      <c r="ERU1" s="24" t="s">
        <v>16532</v>
      </c>
      <c r="ERV1" s="24" t="s">
        <v>16533</v>
      </c>
      <c r="ERW1" s="24" t="s">
        <v>16534</v>
      </c>
      <c r="ERX1" s="24" t="s">
        <v>16535</v>
      </c>
      <c r="ERY1" s="24" t="s">
        <v>16536</v>
      </c>
      <c r="ERZ1" s="24" t="s">
        <v>16537</v>
      </c>
      <c r="ESA1" s="24" t="s">
        <v>16538</v>
      </c>
      <c r="ESB1" s="24" t="s">
        <v>16539</v>
      </c>
      <c r="ESC1" s="24" t="s">
        <v>16540</v>
      </c>
      <c r="ESD1" s="24" t="s">
        <v>16541</v>
      </c>
      <c r="ESE1" s="24" t="s">
        <v>16542</v>
      </c>
      <c r="ESF1" s="24" t="s">
        <v>16543</v>
      </c>
      <c r="ESG1" s="24" t="s">
        <v>16544</v>
      </c>
      <c r="ESH1" s="24" t="s">
        <v>16545</v>
      </c>
      <c r="ESI1" s="24" t="s">
        <v>16546</v>
      </c>
      <c r="ESJ1" s="24" t="s">
        <v>16547</v>
      </c>
      <c r="ESK1" s="24" t="s">
        <v>16548</v>
      </c>
      <c r="ESL1" s="24" t="s">
        <v>16549</v>
      </c>
      <c r="ESM1" s="24" t="s">
        <v>16550</v>
      </c>
      <c r="ESN1" s="24" t="s">
        <v>16551</v>
      </c>
      <c r="ESO1" s="24" t="s">
        <v>16552</v>
      </c>
      <c r="ESP1" s="24" t="s">
        <v>16553</v>
      </c>
      <c r="ESQ1" s="24" t="s">
        <v>16554</v>
      </c>
      <c r="ESR1" s="24" t="s">
        <v>16555</v>
      </c>
      <c r="ESS1" s="24" t="s">
        <v>16556</v>
      </c>
      <c r="EST1" s="24" t="s">
        <v>16557</v>
      </c>
      <c r="ESU1" s="24" t="s">
        <v>16558</v>
      </c>
      <c r="ESV1" s="24" t="s">
        <v>16559</v>
      </c>
      <c r="ESW1" s="24" t="s">
        <v>16560</v>
      </c>
      <c r="ESX1" s="24" t="s">
        <v>16561</v>
      </c>
      <c r="ESY1" s="24" t="s">
        <v>16562</v>
      </c>
      <c r="ESZ1" s="24" t="s">
        <v>16563</v>
      </c>
      <c r="ETA1" s="24" t="s">
        <v>16564</v>
      </c>
      <c r="ETB1" s="24" t="s">
        <v>16565</v>
      </c>
      <c r="ETC1" s="24" t="s">
        <v>16566</v>
      </c>
      <c r="ETD1" s="24" t="s">
        <v>16567</v>
      </c>
      <c r="ETE1" s="24" t="s">
        <v>16568</v>
      </c>
      <c r="ETF1" s="24" t="s">
        <v>16569</v>
      </c>
      <c r="ETG1" s="24" t="s">
        <v>16570</v>
      </c>
      <c r="ETH1" s="24" t="s">
        <v>16571</v>
      </c>
      <c r="ETI1" s="24" t="s">
        <v>16572</v>
      </c>
      <c r="ETJ1" s="24" t="s">
        <v>16573</v>
      </c>
      <c r="ETK1" s="24" t="s">
        <v>16574</v>
      </c>
      <c r="ETL1" s="24" t="s">
        <v>16575</v>
      </c>
      <c r="ETM1" s="24" t="s">
        <v>16576</v>
      </c>
      <c r="ETN1" s="24" t="s">
        <v>16577</v>
      </c>
      <c r="ETO1" s="24" t="s">
        <v>16578</v>
      </c>
      <c r="ETP1" s="24" t="s">
        <v>16579</v>
      </c>
      <c r="ETQ1" s="24" t="s">
        <v>16580</v>
      </c>
      <c r="ETR1" s="24" t="s">
        <v>16581</v>
      </c>
      <c r="ETS1" s="24" t="s">
        <v>16582</v>
      </c>
      <c r="ETT1" s="24" t="s">
        <v>16583</v>
      </c>
      <c r="ETU1" s="24" t="s">
        <v>16584</v>
      </c>
      <c r="ETV1" s="24" t="s">
        <v>16585</v>
      </c>
      <c r="ETW1" s="24" t="s">
        <v>16586</v>
      </c>
      <c r="ETX1" s="24" t="s">
        <v>16587</v>
      </c>
      <c r="ETY1" s="24" t="s">
        <v>16588</v>
      </c>
      <c r="ETZ1" s="24" t="s">
        <v>16589</v>
      </c>
      <c r="EUA1" s="24" t="s">
        <v>16590</v>
      </c>
      <c r="EUB1" s="24" t="s">
        <v>16591</v>
      </c>
      <c r="EUC1" s="24" t="s">
        <v>16592</v>
      </c>
      <c r="EUD1" s="24" t="s">
        <v>16593</v>
      </c>
      <c r="EUE1" s="24" t="s">
        <v>16594</v>
      </c>
      <c r="EUF1" s="24" t="s">
        <v>16595</v>
      </c>
      <c r="EUG1" s="24" t="s">
        <v>16596</v>
      </c>
      <c r="EUH1" s="24" t="s">
        <v>16597</v>
      </c>
      <c r="EUI1" s="24" t="s">
        <v>16598</v>
      </c>
      <c r="EUJ1" s="24" t="s">
        <v>16599</v>
      </c>
      <c r="EUK1" s="24" t="s">
        <v>16600</v>
      </c>
      <c r="EUL1" s="24" t="s">
        <v>16601</v>
      </c>
      <c r="EUM1" s="24" t="s">
        <v>16602</v>
      </c>
      <c r="EUN1" s="24" t="s">
        <v>16603</v>
      </c>
      <c r="EUO1" s="24" t="s">
        <v>16604</v>
      </c>
      <c r="EUP1" s="24" t="s">
        <v>16605</v>
      </c>
      <c r="EUQ1" s="24" t="s">
        <v>16606</v>
      </c>
      <c r="EUR1" s="24" t="s">
        <v>16607</v>
      </c>
      <c r="EUS1" s="24" t="s">
        <v>16608</v>
      </c>
      <c r="EUT1" s="24" t="s">
        <v>16609</v>
      </c>
      <c r="EUU1" s="24" t="s">
        <v>16610</v>
      </c>
      <c r="EUV1" s="24" t="s">
        <v>16611</v>
      </c>
      <c r="EUW1" s="24" t="s">
        <v>16612</v>
      </c>
      <c r="EUX1" s="24" t="s">
        <v>16613</v>
      </c>
      <c r="EUY1" s="24" t="s">
        <v>16614</v>
      </c>
      <c r="EUZ1" s="24" t="s">
        <v>16615</v>
      </c>
      <c r="EVA1" s="24" t="s">
        <v>16616</v>
      </c>
      <c r="EVB1" s="24" t="s">
        <v>16617</v>
      </c>
      <c r="EVC1" s="24" t="s">
        <v>16618</v>
      </c>
      <c r="EVD1" s="24" t="s">
        <v>16619</v>
      </c>
      <c r="EVE1" s="24" t="s">
        <v>16620</v>
      </c>
      <c r="EVF1" s="24" t="s">
        <v>16621</v>
      </c>
      <c r="EVG1" s="24" t="s">
        <v>16622</v>
      </c>
      <c r="EVH1" s="24" t="s">
        <v>16623</v>
      </c>
      <c r="EVI1" s="24" t="s">
        <v>16624</v>
      </c>
      <c r="EVJ1" s="24" t="s">
        <v>16625</v>
      </c>
      <c r="EVK1" s="24" t="s">
        <v>16626</v>
      </c>
      <c r="EVL1" s="24" t="s">
        <v>16627</v>
      </c>
      <c r="EVM1" s="24" t="s">
        <v>16628</v>
      </c>
      <c r="EVN1" s="24" t="s">
        <v>16629</v>
      </c>
      <c r="EVO1" s="24" t="s">
        <v>16630</v>
      </c>
      <c r="EVP1" s="24" t="s">
        <v>16631</v>
      </c>
      <c r="EVQ1" s="24" t="s">
        <v>16632</v>
      </c>
      <c r="EVR1" s="24" t="s">
        <v>16633</v>
      </c>
      <c r="EVS1" s="24" t="s">
        <v>16634</v>
      </c>
      <c r="EVT1" s="24" t="s">
        <v>16635</v>
      </c>
      <c r="EVU1" s="24" t="s">
        <v>16636</v>
      </c>
      <c r="EVV1" s="24" t="s">
        <v>16637</v>
      </c>
      <c r="EVW1" s="24" t="s">
        <v>16638</v>
      </c>
      <c r="EVX1" s="24" t="s">
        <v>16639</v>
      </c>
      <c r="EVY1" s="24" t="s">
        <v>16640</v>
      </c>
      <c r="EVZ1" s="24" t="s">
        <v>16641</v>
      </c>
      <c r="EWA1" s="24" t="s">
        <v>16642</v>
      </c>
      <c r="EWB1" s="24" t="s">
        <v>16643</v>
      </c>
      <c r="EWC1" s="24" t="s">
        <v>16644</v>
      </c>
      <c r="EWD1" s="24" t="s">
        <v>16645</v>
      </c>
      <c r="EWE1" s="24" t="s">
        <v>16646</v>
      </c>
      <c r="EWF1" s="24" t="s">
        <v>16647</v>
      </c>
      <c r="EWG1" s="24" t="s">
        <v>16648</v>
      </c>
      <c r="EWH1" s="24" t="s">
        <v>16649</v>
      </c>
      <c r="EWI1" s="24" t="s">
        <v>16650</v>
      </c>
      <c r="EWJ1" s="24" t="s">
        <v>16651</v>
      </c>
      <c r="EWK1" s="24" t="s">
        <v>16652</v>
      </c>
      <c r="EWL1" s="24" t="s">
        <v>16653</v>
      </c>
      <c r="EWM1" s="24" t="s">
        <v>16654</v>
      </c>
      <c r="EWN1" s="24" t="s">
        <v>16655</v>
      </c>
      <c r="EWO1" s="24" t="s">
        <v>16656</v>
      </c>
      <c r="EWP1" s="24" t="s">
        <v>16657</v>
      </c>
      <c r="EWQ1" s="24" t="s">
        <v>16658</v>
      </c>
      <c r="EWR1" s="24" t="s">
        <v>16659</v>
      </c>
      <c r="EWS1" s="24" t="s">
        <v>16660</v>
      </c>
      <c r="EWT1" s="24" t="s">
        <v>16661</v>
      </c>
      <c r="EWU1" s="24" t="s">
        <v>16662</v>
      </c>
      <c r="EWV1" s="24" t="s">
        <v>16663</v>
      </c>
      <c r="EWW1" s="24" t="s">
        <v>16664</v>
      </c>
      <c r="EWX1" s="24" t="s">
        <v>16665</v>
      </c>
      <c r="EWY1" s="24" t="s">
        <v>16666</v>
      </c>
      <c r="EWZ1" s="24" t="s">
        <v>16667</v>
      </c>
      <c r="EXA1" s="24" t="s">
        <v>16668</v>
      </c>
      <c r="EXB1" s="24" t="s">
        <v>16669</v>
      </c>
      <c r="EXC1" s="24" t="s">
        <v>16670</v>
      </c>
      <c r="EXD1" s="24" t="s">
        <v>16671</v>
      </c>
      <c r="EXE1" s="24" t="s">
        <v>16672</v>
      </c>
      <c r="EXF1" s="24" t="s">
        <v>16673</v>
      </c>
      <c r="EXG1" s="24" t="s">
        <v>16674</v>
      </c>
      <c r="EXH1" s="24" t="s">
        <v>16675</v>
      </c>
      <c r="EXI1" s="24" t="s">
        <v>16676</v>
      </c>
      <c r="EXJ1" s="24" t="s">
        <v>16677</v>
      </c>
      <c r="EXK1" s="24" t="s">
        <v>16678</v>
      </c>
      <c r="EXL1" s="24" t="s">
        <v>16679</v>
      </c>
      <c r="EXM1" s="24" t="s">
        <v>16680</v>
      </c>
      <c r="EXN1" s="24" t="s">
        <v>16681</v>
      </c>
      <c r="EXO1" s="24" t="s">
        <v>16682</v>
      </c>
      <c r="EXP1" s="24" t="s">
        <v>16683</v>
      </c>
      <c r="EXQ1" s="24" t="s">
        <v>16684</v>
      </c>
      <c r="EXR1" s="24" t="s">
        <v>16685</v>
      </c>
      <c r="EXS1" s="24" t="s">
        <v>16686</v>
      </c>
      <c r="EXT1" s="24" t="s">
        <v>16687</v>
      </c>
      <c r="EXU1" s="24" t="s">
        <v>16688</v>
      </c>
      <c r="EXV1" s="24" t="s">
        <v>16689</v>
      </c>
      <c r="EXW1" s="24" t="s">
        <v>16690</v>
      </c>
      <c r="EXX1" s="24" t="s">
        <v>16691</v>
      </c>
      <c r="EXY1" s="24" t="s">
        <v>16692</v>
      </c>
      <c r="EXZ1" s="24" t="s">
        <v>16693</v>
      </c>
      <c r="EYA1" s="24" t="s">
        <v>16694</v>
      </c>
      <c r="EYB1" s="24" t="s">
        <v>16695</v>
      </c>
      <c r="EYC1" s="24" t="s">
        <v>16696</v>
      </c>
      <c r="EYD1" s="24" t="s">
        <v>16697</v>
      </c>
      <c r="EYE1" s="24" t="s">
        <v>16698</v>
      </c>
      <c r="EYF1" s="24" t="s">
        <v>16699</v>
      </c>
      <c r="EYG1" s="24" t="s">
        <v>16700</v>
      </c>
      <c r="EYH1" s="24" t="s">
        <v>16701</v>
      </c>
      <c r="EYI1" s="24" t="s">
        <v>16702</v>
      </c>
      <c r="EYJ1" s="24" t="s">
        <v>16703</v>
      </c>
      <c r="EYK1" s="24" t="s">
        <v>16704</v>
      </c>
      <c r="EYL1" s="24" t="s">
        <v>16705</v>
      </c>
      <c r="EYM1" s="24" t="s">
        <v>16706</v>
      </c>
      <c r="EYN1" s="24" t="s">
        <v>16707</v>
      </c>
      <c r="EYO1" s="24" t="s">
        <v>16708</v>
      </c>
      <c r="EYP1" s="24" t="s">
        <v>16709</v>
      </c>
      <c r="EYQ1" s="24" t="s">
        <v>16710</v>
      </c>
      <c r="EYR1" s="24" t="s">
        <v>16711</v>
      </c>
      <c r="EYS1" s="24" t="s">
        <v>16712</v>
      </c>
      <c r="EYT1" s="24" t="s">
        <v>16713</v>
      </c>
      <c r="EYU1" s="24" t="s">
        <v>16714</v>
      </c>
      <c r="EYV1" s="24" t="s">
        <v>16715</v>
      </c>
      <c r="EYW1" s="24" t="s">
        <v>16716</v>
      </c>
      <c r="EYX1" s="24" t="s">
        <v>16717</v>
      </c>
      <c r="EYY1" s="24" t="s">
        <v>16718</v>
      </c>
      <c r="EYZ1" s="24" t="s">
        <v>16719</v>
      </c>
      <c r="EZA1" s="24" t="s">
        <v>16720</v>
      </c>
      <c r="EZB1" s="24" t="s">
        <v>16721</v>
      </c>
      <c r="EZC1" s="24" t="s">
        <v>16722</v>
      </c>
      <c r="EZD1" s="24" t="s">
        <v>16723</v>
      </c>
      <c r="EZE1" s="24" t="s">
        <v>16724</v>
      </c>
      <c r="EZF1" s="24" t="s">
        <v>16725</v>
      </c>
      <c r="EZG1" s="24" t="s">
        <v>16726</v>
      </c>
      <c r="EZH1" s="24" t="s">
        <v>16727</v>
      </c>
      <c r="EZI1" s="24" t="s">
        <v>16728</v>
      </c>
      <c r="EZJ1" s="24" t="s">
        <v>16729</v>
      </c>
      <c r="EZK1" s="24" t="s">
        <v>16730</v>
      </c>
      <c r="EZL1" s="24" t="s">
        <v>16731</v>
      </c>
      <c r="EZM1" s="24" t="s">
        <v>16732</v>
      </c>
      <c r="EZN1" s="24" t="s">
        <v>16733</v>
      </c>
      <c r="EZO1" s="24" t="s">
        <v>16734</v>
      </c>
      <c r="EZP1" s="24" t="s">
        <v>16735</v>
      </c>
      <c r="EZQ1" s="24" t="s">
        <v>16736</v>
      </c>
      <c r="EZR1" s="24" t="s">
        <v>16737</v>
      </c>
      <c r="EZS1" s="24" t="s">
        <v>16738</v>
      </c>
      <c r="EZT1" s="24" t="s">
        <v>16739</v>
      </c>
      <c r="EZU1" s="24" t="s">
        <v>16740</v>
      </c>
      <c r="EZV1" s="24" t="s">
        <v>16741</v>
      </c>
      <c r="EZW1" s="24" t="s">
        <v>16742</v>
      </c>
      <c r="EZX1" s="24" t="s">
        <v>16743</v>
      </c>
      <c r="EZY1" s="24" t="s">
        <v>16744</v>
      </c>
      <c r="EZZ1" s="24" t="s">
        <v>16745</v>
      </c>
      <c r="FAA1" s="24" t="s">
        <v>16746</v>
      </c>
      <c r="FAB1" s="24" t="s">
        <v>16747</v>
      </c>
      <c r="FAC1" s="24" t="s">
        <v>16748</v>
      </c>
      <c r="FAD1" s="24" t="s">
        <v>16749</v>
      </c>
      <c r="FAE1" s="24" t="s">
        <v>16750</v>
      </c>
      <c r="FAF1" s="24" t="s">
        <v>16751</v>
      </c>
      <c r="FAG1" s="24" t="s">
        <v>16752</v>
      </c>
      <c r="FAH1" s="24" t="s">
        <v>16753</v>
      </c>
      <c r="FAI1" s="24" t="s">
        <v>16754</v>
      </c>
      <c r="FAJ1" s="24" t="s">
        <v>16755</v>
      </c>
      <c r="FAK1" s="24" t="s">
        <v>16756</v>
      </c>
      <c r="FAL1" s="24" t="s">
        <v>16757</v>
      </c>
      <c r="FAM1" s="24" t="s">
        <v>16758</v>
      </c>
      <c r="FAN1" s="24" t="s">
        <v>16759</v>
      </c>
      <c r="FAO1" s="24" t="s">
        <v>16760</v>
      </c>
      <c r="FAP1" s="24" t="s">
        <v>16761</v>
      </c>
      <c r="FAQ1" s="24" t="s">
        <v>16762</v>
      </c>
      <c r="FAR1" s="24" t="s">
        <v>16763</v>
      </c>
      <c r="FAS1" s="24" t="s">
        <v>16764</v>
      </c>
      <c r="FAT1" s="24" t="s">
        <v>16765</v>
      </c>
      <c r="FAU1" s="24" t="s">
        <v>16766</v>
      </c>
      <c r="FAV1" s="24" t="s">
        <v>16767</v>
      </c>
      <c r="FAW1" s="24" t="s">
        <v>16768</v>
      </c>
      <c r="FAX1" s="24" t="s">
        <v>16769</v>
      </c>
      <c r="FAY1" s="24" t="s">
        <v>16770</v>
      </c>
      <c r="FAZ1" s="24" t="s">
        <v>16771</v>
      </c>
      <c r="FBA1" s="24" t="s">
        <v>16772</v>
      </c>
      <c r="FBB1" s="24" t="s">
        <v>16773</v>
      </c>
      <c r="FBC1" s="24" t="s">
        <v>16774</v>
      </c>
      <c r="FBD1" s="24" t="s">
        <v>16775</v>
      </c>
      <c r="FBE1" s="24" t="s">
        <v>16776</v>
      </c>
      <c r="FBF1" s="24" t="s">
        <v>16777</v>
      </c>
      <c r="FBG1" s="24" t="s">
        <v>16778</v>
      </c>
      <c r="FBH1" s="24" t="s">
        <v>16779</v>
      </c>
      <c r="FBI1" s="24" t="s">
        <v>16780</v>
      </c>
      <c r="FBJ1" s="24" t="s">
        <v>16781</v>
      </c>
      <c r="FBK1" s="24" t="s">
        <v>16782</v>
      </c>
      <c r="FBL1" s="24" t="s">
        <v>16783</v>
      </c>
      <c r="FBM1" s="24" t="s">
        <v>16784</v>
      </c>
      <c r="FBN1" s="24" t="s">
        <v>16785</v>
      </c>
      <c r="FBO1" s="24" t="s">
        <v>16786</v>
      </c>
      <c r="FBP1" s="24" t="s">
        <v>16787</v>
      </c>
      <c r="FBQ1" s="24" t="s">
        <v>16788</v>
      </c>
      <c r="FBR1" s="24" t="s">
        <v>16789</v>
      </c>
      <c r="FBS1" s="24" t="s">
        <v>16790</v>
      </c>
      <c r="FBT1" s="24" t="s">
        <v>16791</v>
      </c>
      <c r="FBU1" s="24" t="s">
        <v>16792</v>
      </c>
      <c r="FBV1" s="24" t="s">
        <v>16793</v>
      </c>
      <c r="FBW1" s="24" t="s">
        <v>16794</v>
      </c>
      <c r="FBX1" s="24" t="s">
        <v>16795</v>
      </c>
      <c r="FBY1" s="24" t="s">
        <v>16796</v>
      </c>
      <c r="FBZ1" s="24" t="s">
        <v>16797</v>
      </c>
      <c r="FCA1" s="24" t="s">
        <v>16798</v>
      </c>
      <c r="FCB1" s="24" t="s">
        <v>16799</v>
      </c>
      <c r="FCC1" s="24" t="s">
        <v>16800</v>
      </c>
      <c r="FCD1" s="24" t="s">
        <v>16801</v>
      </c>
      <c r="FCE1" s="24" t="s">
        <v>16802</v>
      </c>
      <c r="FCF1" s="24" t="s">
        <v>16803</v>
      </c>
      <c r="FCG1" s="24" t="s">
        <v>16804</v>
      </c>
      <c r="FCH1" s="24" t="s">
        <v>16805</v>
      </c>
      <c r="FCI1" s="24" t="s">
        <v>16806</v>
      </c>
      <c r="FCJ1" s="24" t="s">
        <v>16807</v>
      </c>
      <c r="FCK1" s="24" t="s">
        <v>16808</v>
      </c>
      <c r="FCL1" s="24" t="s">
        <v>16809</v>
      </c>
      <c r="FCM1" s="24" t="s">
        <v>16810</v>
      </c>
      <c r="FCN1" s="24" t="s">
        <v>16811</v>
      </c>
      <c r="FCO1" s="24" t="s">
        <v>16812</v>
      </c>
      <c r="FCP1" s="24" t="s">
        <v>16813</v>
      </c>
      <c r="FCQ1" s="24" t="s">
        <v>16814</v>
      </c>
      <c r="FCR1" s="24" t="s">
        <v>16815</v>
      </c>
      <c r="FCS1" s="24" t="s">
        <v>16816</v>
      </c>
      <c r="FCT1" s="24" t="s">
        <v>16817</v>
      </c>
      <c r="FCU1" s="24" t="s">
        <v>16818</v>
      </c>
      <c r="FCV1" s="24" t="s">
        <v>16819</v>
      </c>
      <c r="FCW1" s="24" t="s">
        <v>16820</v>
      </c>
      <c r="FCX1" s="24" t="s">
        <v>16821</v>
      </c>
      <c r="FCY1" s="24" t="s">
        <v>16822</v>
      </c>
      <c r="FCZ1" s="24" t="s">
        <v>16823</v>
      </c>
      <c r="FDA1" s="24" t="s">
        <v>16824</v>
      </c>
      <c r="FDB1" s="24" t="s">
        <v>16825</v>
      </c>
      <c r="FDC1" s="24" t="s">
        <v>16826</v>
      </c>
      <c r="FDD1" s="24" t="s">
        <v>16827</v>
      </c>
      <c r="FDE1" s="24" t="s">
        <v>16828</v>
      </c>
      <c r="FDF1" s="24" t="s">
        <v>16829</v>
      </c>
      <c r="FDG1" s="24" t="s">
        <v>16830</v>
      </c>
      <c r="FDH1" s="24" t="s">
        <v>16831</v>
      </c>
      <c r="FDI1" s="24" t="s">
        <v>16832</v>
      </c>
      <c r="FDJ1" s="24" t="s">
        <v>16833</v>
      </c>
      <c r="FDK1" s="24" t="s">
        <v>16834</v>
      </c>
      <c r="FDL1" s="24" t="s">
        <v>16835</v>
      </c>
      <c r="FDM1" s="24" t="s">
        <v>16836</v>
      </c>
      <c r="FDN1" s="24" t="s">
        <v>16837</v>
      </c>
      <c r="FDO1" s="24" t="s">
        <v>16838</v>
      </c>
      <c r="FDP1" s="24" t="s">
        <v>16839</v>
      </c>
      <c r="FDQ1" s="24" t="s">
        <v>16840</v>
      </c>
      <c r="FDR1" s="24" t="s">
        <v>16841</v>
      </c>
      <c r="FDS1" s="24" t="s">
        <v>16842</v>
      </c>
      <c r="FDT1" s="24" t="s">
        <v>16843</v>
      </c>
      <c r="FDU1" s="24" t="s">
        <v>16844</v>
      </c>
      <c r="FDV1" s="24" t="s">
        <v>16845</v>
      </c>
      <c r="FDW1" s="24" t="s">
        <v>16846</v>
      </c>
      <c r="FDX1" s="24" t="s">
        <v>16847</v>
      </c>
      <c r="FDY1" s="24" t="s">
        <v>16848</v>
      </c>
      <c r="FDZ1" s="24" t="s">
        <v>16849</v>
      </c>
      <c r="FEA1" s="24" t="s">
        <v>16850</v>
      </c>
      <c r="FEB1" s="24" t="s">
        <v>16851</v>
      </c>
      <c r="FEC1" s="24" t="s">
        <v>16852</v>
      </c>
      <c r="FED1" s="24" t="s">
        <v>16853</v>
      </c>
      <c r="FEE1" s="24" t="s">
        <v>16854</v>
      </c>
      <c r="FEF1" s="24" t="s">
        <v>16855</v>
      </c>
      <c r="FEG1" s="24" t="s">
        <v>16856</v>
      </c>
      <c r="FEH1" s="24" t="s">
        <v>16857</v>
      </c>
      <c r="FEI1" s="24" t="s">
        <v>16858</v>
      </c>
      <c r="FEJ1" s="24" t="s">
        <v>16859</v>
      </c>
      <c r="FEK1" s="24" t="s">
        <v>16860</v>
      </c>
      <c r="FEL1" s="24" t="s">
        <v>16861</v>
      </c>
      <c r="FEM1" s="24" t="s">
        <v>16862</v>
      </c>
      <c r="FEN1" s="24" t="s">
        <v>16863</v>
      </c>
      <c r="FEO1" s="24" t="s">
        <v>16864</v>
      </c>
      <c r="FEP1" s="24" t="s">
        <v>16865</v>
      </c>
      <c r="FEQ1" s="24" t="s">
        <v>16866</v>
      </c>
      <c r="FER1" s="24" t="s">
        <v>16867</v>
      </c>
      <c r="FES1" s="24" t="s">
        <v>16868</v>
      </c>
      <c r="FET1" s="24" t="s">
        <v>16869</v>
      </c>
      <c r="FEU1" s="24" t="s">
        <v>16870</v>
      </c>
      <c r="FEV1" s="24" t="s">
        <v>16871</v>
      </c>
      <c r="FEW1" s="24" t="s">
        <v>16872</v>
      </c>
      <c r="FEX1" s="24" t="s">
        <v>16873</v>
      </c>
      <c r="FEY1" s="24" t="s">
        <v>16874</v>
      </c>
      <c r="FEZ1" s="24" t="s">
        <v>16875</v>
      </c>
      <c r="FFA1" s="24" t="s">
        <v>16876</v>
      </c>
      <c r="FFB1" s="24" t="s">
        <v>16877</v>
      </c>
      <c r="FFC1" s="24" t="s">
        <v>16878</v>
      </c>
      <c r="FFD1" s="24" t="s">
        <v>16879</v>
      </c>
      <c r="FFE1" s="24" t="s">
        <v>16880</v>
      </c>
      <c r="FFF1" s="24" t="s">
        <v>16881</v>
      </c>
      <c r="FFG1" s="24" t="s">
        <v>16882</v>
      </c>
      <c r="FFH1" s="24" t="s">
        <v>16883</v>
      </c>
      <c r="FFI1" s="24" t="s">
        <v>16884</v>
      </c>
      <c r="FFJ1" s="24" t="s">
        <v>16885</v>
      </c>
      <c r="FFK1" s="24" t="s">
        <v>16886</v>
      </c>
      <c r="FFL1" s="24" t="s">
        <v>16887</v>
      </c>
      <c r="FFM1" s="24" t="s">
        <v>16888</v>
      </c>
      <c r="FFN1" s="24" t="s">
        <v>16889</v>
      </c>
      <c r="FFO1" s="24" t="s">
        <v>16890</v>
      </c>
      <c r="FFP1" s="24" t="s">
        <v>16891</v>
      </c>
      <c r="FFQ1" s="24" t="s">
        <v>16892</v>
      </c>
      <c r="FFR1" s="24" t="s">
        <v>16893</v>
      </c>
      <c r="FFS1" s="24" t="s">
        <v>16894</v>
      </c>
      <c r="FFT1" s="24" t="s">
        <v>16895</v>
      </c>
      <c r="FFU1" s="24" t="s">
        <v>16896</v>
      </c>
      <c r="FFV1" s="24" t="s">
        <v>16897</v>
      </c>
      <c r="FFW1" s="24" t="s">
        <v>16898</v>
      </c>
      <c r="FFX1" s="24" t="s">
        <v>16899</v>
      </c>
      <c r="FFY1" s="24" t="s">
        <v>16900</v>
      </c>
      <c r="FFZ1" s="24" t="s">
        <v>16901</v>
      </c>
      <c r="FGA1" s="24" t="s">
        <v>16902</v>
      </c>
      <c r="FGB1" s="24" t="s">
        <v>16903</v>
      </c>
      <c r="FGC1" s="24" t="s">
        <v>16904</v>
      </c>
      <c r="FGD1" s="24" t="s">
        <v>16905</v>
      </c>
      <c r="FGE1" s="24" t="s">
        <v>16906</v>
      </c>
      <c r="FGF1" s="24" t="s">
        <v>16907</v>
      </c>
      <c r="FGG1" s="24" t="s">
        <v>16908</v>
      </c>
      <c r="FGH1" s="24" t="s">
        <v>16909</v>
      </c>
      <c r="FGI1" s="24" t="s">
        <v>16910</v>
      </c>
      <c r="FGJ1" s="24" t="s">
        <v>16911</v>
      </c>
      <c r="FGK1" s="24" t="s">
        <v>16912</v>
      </c>
      <c r="FGL1" s="24" t="s">
        <v>16913</v>
      </c>
      <c r="FGM1" s="24" t="s">
        <v>16914</v>
      </c>
      <c r="FGN1" s="24" t="s">
        <v>16915</v>
      </c>
      <c r="FGO1" s="24" t="s">
        <v>16916</v>
      </c>
      <c r="FGP1" s="24" t="s">
        <v>16917</v>
      </c>
      <c r="FGQ1" s="24" t="s">
        <v>16918</v>
      </c>
      <c r="FGR1" s="24" t="s">
        <v>16919</v>
      </c>
      <c r="FGS1" s="24" t="s">
        <v>16920</v>
      </c>
      <c r="FGT1" s="24" t="s">
        <v>16921</v>
      </c>
      <c r="FGU1" s="24" t="s">
        <v>16922</v>
      </c>
      <c r="FGV1" s="24" t="s">
        <v>16923</v>
      </c>
      <c r="FGW1" s="24" t="s">
        <v>16924</v>
      </c>
      <c r="FGX1" s="24" t="s">
        <v>16925</v>
      </c>
      <c r="FGY1" s="24" t="s">
        <v>16926</v>
      </c>
      <c r="FGZ1" s="24" t="s">
        <v>16927</v>
      </c>
      <c r="FHA1" s="24" t="s">
        <v>16928</v>
      </c>
      <c r="FHB1" s="24" t="s">
        <v>16929</v>
      </c>
      <c r="FHC1" s="24" t="s">
        <v>16930</v>
      </c>
      <c r="FHD1" s="24" t="s">
        <v>16931</v>
      </c>
      <c r="FHE1" s="24" t="s">
        <v>16932</v>
      </c>
      <c r="FHF1" s="24" t="s">
        <v>16933</v>
      </c>
      <c r="FHG1" s="24" t="s">
        <v>16934</v>
      </c>
      <c r="FHH1" s="24" t="s">
        <v>16935</v>
      </c>
      <c r="FHI1" s="24" t="s">
        <v>16936</v>
      </c>
      <c r="FHJ1" s="24" t="s">
        <v>16937</v>
      </c>
      <c r="FHK1" s="24" t="s">
        <v>16938</v>
      </c>
      <c r="FHL1" s="24" t="s">
        <v>16939</v>
      </c>
      <c r="FHM1" s="24" t="s">
        <v>16940</v>
      </c>
      <c r="FHN1" s="24" t="s">
        <v>16941</v>
      </c>
      <c r="FHO1" s="24" t="s">
        <v>16942</v>
      </c>
      <c r="FHP1" s="24" t="s">
        <v>16943</v>
      </c>
      <c r="FHQ1" s="24" t="s">
        <v>16944</v>
      </c>
      <c r="FHR1" s="24" t="s">
        <v>16945</v>
      </c>
      <c r="FHS1" s="24" t="s">
        <v>16946</v>
      </c>
      <c r="FHT1" s="24" t="s">
        <v>16947</v>
      </c>
      <c r="FHU1" s="24" t="s">
        <v>16948</v>
      </c>
      <c r="FHV1" s="24" t="s">
        <v>16949</v>
      </c>
      <c r="FHW1" s="24" t="s">
        <v>16950</v>
      </c>
      <c r="FHX1" s="24" t="s">
        <v>16951</v>
      </c>
      <c r="FHY1" s="24" t="s">
        <v>16952</v>
      </c>
      <c r="FHZ1" s="24" t="s">
        <v>16953</v>
      </c>
      <c r="FIA1" s="24" t="s">
        <v>16954</v>
      </c>
      <c r="FIB1" s="24" t="s">
        <v>16955</v>
      </c>
      <c r="FIC1" s="24" t="s">
        <v>16956</v>
      </c>
      <c r="FID1" s="24" t="s">
        <v>16957</v>
      </c>
      <c r="FIE1" s="24" t="s">
        <v>16958</v>
      </c>
      <c r="FIF1" s="24" t="s">
        <v>16959</v>
      </c>
      <c r="FIG1" s="24" t="s">
        <v>16960</v>
      </c>
      <c r="FIH1" s="24" t="s">
        <v>16961</v>
      </c>
      <c r="FII1" s="24" t="s">
        <v>16962</v>
      </c>
      <c r="FIJ1" s="24" t="s">
        <v>16963</v>
      </c>
      <c r="FIK1" s="24" t="s">
        <v>16964</v>
      </c>
      <c r="FIL1" s="24" t="s">
        <v>16965</v>
      </c>
      <c r="FIM1" s="24" t="s">
        <v>16966</v>
      </c>
      <c r="FIN1" s="24" t="s">
        <v>16967</v>
      </c>
      <c r="FIO1" s="24" t="s">
        <v>16968</v>
      </c>
      <c r="FIP1" s="24" t="s">
        <v>16969</v>
      </c>
      <c r="FIQ1" s="24" t="s">
        <v>16970</v>
      </c>
      <c r="FIR1" s="24" t="s">
        <v>16971</v>
      </c>
      <c r="FIS1" s="24" t="s">
        <v>16972</v>
      </c>
      <c r="FIT1" s="24" t="s">
        <v>16973</v>
      </c>
      <c r="FIU1" s="24" t="s">
        <v>16974</v>
      </c>
      <c r="FIV1" s="24" t="s">
        <v>16975</v>
      </c>
      <c r="FIW1" s="24" t="s">
        <v>16976</v>
      </c>
      <c r="FIX1" s="24" t="s">
        <v>16977</v>
      </c>
      <c r="FIY1" s="24" t="s">
        <v>16978</v>
      </c>
      <c r="FIZ1" s="24" t="s">
        <v>16979</v>
      </c>
      <c r="FJA1" s="24" t="s">
        <v>16980</v>
      </c>
      <c r="FJB1" s="24" t="s">
        <v>16981</v>
      </c>
      <c r="FJC1" s="24" t="s">
        <v>16982</v>
      </c>
      <c r="FJD1" s="24" t="s">
        <v>16983</v>
      </c>
      <c r="FJE1" s="24" t="s">
        <v>16984</v>
      </c>
      <c r="FJF1" s="24" t="s">
        <v>16985</v>
      </c>
      <c r="FJG1" s="24" t="s">
        <v>16986</v>
      </c>
      <c r="FJH1" s="24" t="s">
        <v>16987</v>
      </c>
      <c r="FJI1" s="24" t="s">
        <v>16988</v>
      </c>
      <c r="FJJ1" s="24" t="s">
        <v>16989</v>
      </c>
      <c r="FJK1" s="24" t="s">
        <v>16990</v>
      </c>
      <c r="FJL1" s="24" t="s">
        <v>16991</v>
      </c>
      <c r="FJM1" s="24" t="s">
        <v>16992</v>
      </c>
      <c r="FJN1" s="24" t="s">
        <v>16993</v>
      </c>
      <c r="FJO1" s="24" t="s">
        <v>16994</v>
      </c>
      <c r="FJP1" s="24" t="s">
        <v>16995</v>
      </c>
      <c r="FJQ1" s="24" t="s">
        <v>16996</v>
      </c>
      <c r="FJR1" s="24" t="s">
        <v>16997</v>
      </c>
      <c r="FJS1" s="24" t="s">
        <v>16998</v>
      </c>
      <c r="FJT1" s="24" t="s">
        <v>16999</v>
      </c>
      <c r="FJU1" s="24" t="s">
        <v>17000</v>
      </c>
      <c r="FJV1" s="24" t="s">
        <v>17001</v>
      </c>
      <c r="FJW1" s="24" t="s">
        <v>17002</v>
      </c>
      <c r="FJX1" s="24" t="s">
        <v>17003</v>
      </c>
      <c r="FJY1" s="24" t="s">
        <v>17004</v>
      </c>
      <c r="FJZ1" s="24" t="s">
        <v>17005</v>
      </c>
      <c r="FKA1" s="24" t="s">
        <v>17006</v>
      </c>
      <c r="FKB1" s="24" t="s">
        <v>17007</v>
      </c>
      <c r="FKC1" s="24" t="s">
        <v>17008</v>
      </c>
      <c r="FKD1" s="24" t="s">
        <v>17009</v>
      </c>
      <c r="FKE1" s="24" t="s">
        <v>17010</v>
      </c>
      <c r="FKF1" s="24" t="s">
        <v>17011</v>
      </c>
      <c r="FKG1" s="24" t="s">
        <v>17012</v>
      </c>
      <c r="FKH1" s="24" t="s">
        <v>17013</v>
      </c>
      <c r="FKI1" s="24" t="s">
        <v>17014</v>
      </c>
      <c r="FKJ1" s="24" t="s">
        <v>17015</v>
      </c>
      <c r="FKK1" s="24" t="s">
        <v>17016</v>
      </c>
      <c r="FKL1" s="24" t="s">
        <v>17017</v>
      </c>
      <c r="FKM1" s="24" t="s">
        <v>17018</v>
      </c>
      <c r="FKN1" s="24" t="s">
        <v>17019</v>
      </c>
      <c r="FKO1" s="24" t="s">
        <v>17020</v>
      </c>
      <c r="FKP1" s="24" t="s">
        <v>17021</v>
      </c>
      <c r="FKQ1" s="24" t="s">
        <v>17022</v>
      </c>
      <c r="FKR1" s="24" t="s">
        <v>17023</v>
      </c>
      <c r="FKS1" s="24" t="s">
        <v>17024</v>
      </c>
      <c r="FKT1" s="24" t="s">
        <v>17025</v>
      </c>
      <c r="FKU1" s="24" t="s">
        <v>17026</v>
      </c>
      <c r="FKV1" s="24" t="s">
        <v>17027</v>
      </c>
      <c r="FKW1" s="24" t="s">
        <v>17028</v>
      </c>
      <c r="FKX1" s="24" t="s">
        <v>17029</v>
      </c>
      <c r="FKY1" s="24" t="s">
        <v>17030</v>
      </c>
      <c r="FKZ1" s="24" t="s">
        <v>17031</v>
      </c>
      <c r="FLA1" s="24" t="s">
        <v>17032</v>
      </c>
      <c r="FLB1" s="24" t="s">
        <v>17033</v>
      </c>
      <c r="FLC1" s="24" t="s">
        <v>17034</v>
      </c>
      <c r="FLD1" s="24" t="s">
        <v>17035</v>
      </c>
      <c r="FLE1" s="24" t="s">
        <v>17036</v>
      </c>
      <c r="FLF1" s="24" t="s">
        <v>17037</v>
      </c>
      <c r="FLG1" s="24" t="s">
        <v>17038</v>
      </c>
      <c r="FLH1" s="24" t="s">
        <v>17039</v>
      </c>
      <c r="FLI1" s="24" t="s">
        <v>17040</v>
      </c>
      <c r="FLJ1" s="24" t="s">
        <v>17041</v>
      </c>
      <c r="FLK1" s="24" t="s">
        <v>17042</v>
      </c>
      <c r="FLL1" s="24" t="s">
        <v>17043</v>
      </c>
      <c r="FLM1" s="24" t="s">
        <v>17044</v>
      </c>
      <c r="FLN1" s="24" t="s">
        <v>17045</v>
      </c>
      <c r="FLO1" s="24" t="s">
        <v>17046</v>
      </c>
      <c r="FLP1" s="24" t="s">
        <v>17047</v>
      </c>
      <c r="FLQ1" s="24" t="s">
        <v>17048</v>
      </c>
      <c r="FLR1" s="24" t="s">
        <v>17049</v>
      </c>
      <c r="FLS1" s="24" t="s">
        <v>17050</v>
      </c>
      <c r="FLT1" s="24" t="s">
        <v>17051</v>
      </c>
      <c r="FLU1" s="24" t="s">
        <v>17052</v>
      </c>
      <c r="FLV1" s="24" t="s">
        <v>17053</v>
      </c>
      <c r="FLW1" s="24" t="s">
        <v>17054</v>
      </c>
      <c r="FLX1" s="24" t="s">
        <v>17055</v>
      </c>
      <c r="FLY1" s="24" t="s">
        <v>17056</v>
      </c>
      <c r="FLZ1" s="24" t="s">
        <v>17057</v>
      </c>
      <c r="FMA1" s="24" t="s">
        <v>17058</v>
      </c>
      <c r="FMB1" s="24" t="s">
        <v>17059</v>
      </c>
      <c r="FMC1" s="24" t="s">
        <v>17060</v>
      </c>
      <c r="FMD1" s="24" t="s">
        <v>17061</v>
      </c>
      <c r="FME1" s="24" t="s">
        <v>17062</v>
      </c>
      <c r="FMF1" s="24" t="s">
        <v>17063</v>
      </c>
      <c r="FMG1" s="24" t="s">
        <v>17064</v>
      </c>
      <c r="FMH1" s="24" t="s">
        <v>17065</v>
      </c>
      <c r="FMI1" s="24" t="s">
        <v>17066</v>
      </c>
      <c r="FMJ1" s="24" t="s">
        <v>17067</v>
      </c>
      <c r="FMK1" s="24" t="s">
        <v>17068</v>
      </c>
      <c r="FML1" s="24" t="s">
        <v>17069</v>
      </c>
      <c r="FMM1" s="24" t="s">
        <v>17070</v>
      </c>
      <c r="FMN1" s="24" t="s">
        <v>17071</v>
      </c>
      <c r="FMO1" s="24" t="s">
        <v>17072</v>
      </c>
      <c r="FMP1" s="24" t="s">
        <v>17073</v>
      </c>
      <c r="FMQ1" s="24" t="s">
        <v>17074</v>
      </c>
      <c r="FMR1" s="24" t="s">
        <v>17075</v>
      </c>
      <c r="FMS1" s="24" t="s">
        <v>17076</v>
      </c>
      <c r="FMT1" s="24" t="s">
        <v>17077</v>
      </c>
      <c r="FMU1" s="24" t="s">
        <v>17078</v>
      </c>
      <c r="FMV1" s="24" t="s">
        <v>17079</v>
      </c>
      <c r="FMW1" s="24" t="s">
        <v>17080</v>
      </c>
      <c r="FMX1" s="24" t="s">
        <v>17081</v>
      </c>
      <c r="FMY1" s="24" t="s">
        <v>17082</v>
      </c>
      <c r="FMZ1" s="24" t="s">
        <v>17083</v>
      </c>
      <c r="FNA1" s="24" t="s">
        <v>17084</v>
      </c>
      <c r="FNB1" s="24" t="s">
        <v>17085</v>
      </c>
      <c r="FNC1" s="24" t="s">
        <v>17086</v>
      </c>
      <c r="FND1" s="24" t="s">
        <v>17087</v>
      </c>
      <c r="FNE1" s="24" t="s">
        <v>17088</v>
      </c>
      <c r="FNF1" s="24" t="s">
        <v>17089</v>
      </c>
      <c r="FNG1" s="24" t="s">
        <v>17090</v>
      </c>
      <c r="FNH1" s="24" t="s">
        <v>17091</v>
      </c>
      <c r="FNI1" s="24" t="s">
        <v>17092</v>
      </c>
      <c r="FNJ1" s="24" t="s">
        <v>17093</v>
      </c>
      <c r="FNK1" s="24" t="s">
        <v>17094</v>
      </c>
      <c r="FNL1" s="24" t="s">
        <v>17095</v>
      </c>
      <c r="FNM1" s="24" t="s">
        <v>17096</v>
      </c>
      <c r="FNN1" s="24" t="s">
        <v>17097</v>
      </c>
      <c r="FNO1" s="24" t="s">
        <v>17098</v>
      </c>
      <c r="FNP1" s="24" t="s">
        <v>17099</v>
      </c>
      <c r="FNQ1" s="24" t="s">
        <v>17100</v>
      </c>
      <c r="FNR1" s="24" t="s">
        <v>17101</v>
      </c>
      <c r="FNS1" s="24" t="s">
        <v>17102</v>
      </c>
      <c r="FNT1" s="24" t="s">
        <v>17103</v>
      </c>
      <c r="FNU1" s="24" t="s">
        <v>17104</v>
      </c>
      <c r="FNV1" s="24" t="s">
        <v>17105</v>
      </c>
      <c r="FNW1" s="24" t="s">
        <v>17106</v>
      </c>
      <c r="FNX1" s="24" t="s">
        <v>17107</v>
      </c>
      <c r="FNY1" s="24" t="s">
        <v>17108</v>
      </c>
      <c r="FNZ1" s="24" t="s">
        <v>17109</v>
      </c>
      <c r="FOA1" s="24" t="s">
        <v>17110</v>
      </c>
      <c r="FOB1" s="24" t="s">
        <v>17111</v>
      </c>
      <c r="FOC1" s="24" t="s">
        <v>17112</v>
      </c>
      <c r="FOD1" s="24" t="s">
        <v>17113</v>
      </c>
      <c r="FOE1" s="24" t="s">
        <v>17114</v>
      </c>
      <c r="FOF1" s="24" t="s">
        <v>17115</v>
      </c>
      <c r="FOG1" s="24" t="s">
        <v>17116</v>
      </c>
      <c r="FOH1" s="24" t="s">
        <v>17117</v>
      </c>
      <c r="FOI1" s="24" t="s">
        <v>17118</v>
      </c>
      <c r="FOJ1" s="24" t="s">
        <v>17119</v>
      </c>
      <c r="FOK1" s="24" t="s">
        <v>17120</v>
      </c>
      <c r="FOL1" s="24" t="s">
        <v>17121</v>
      </c>
      <c r="FOM1" s="24" t="s">
        <v>17122</v>
      </c>
      <c r="FON1" s="24" t="s">
        <v>17123</v>
      </c>
      <c r="FOO1" s="24" t="s">
        <v>17124</v>
      </c>
      <c r="FOP1" s="24" t="s">
        <v>17125</v>
      </c>
      <c r="FOQ1" s="24" t="s">
        <v>17126</v>
      </c>
      <c r="FOR1" s="24" t="s">
        <v>17127</v>
      </c>
      <c r="FOS1" s="24" t="s">
        <v>17128</v>
      </c>
      <c r="FOT1" s="24" t="s">
        <v>17129</v>
      </c>
      <c r="FOU1" s="24" t="s">
        <v>17130</v>
      </c>
      <c r="FOV1" s="24" t="s">
        <v>17131</v>
      </c>
      <c r="FOW1" s="24" t="s">
        <v>17132</v>
      </c>
      <c r="FOX1" s="24" t="s">
        <v>17133</v>
      </c>
      <c r="FOY1" s="24" t="s">
        <v>17134</v>
      </c>
      <c r="FOZ1" s="24" t="s">
        <v>17135</v>
      </c>
      <c r="FPA1" s="24" t="s">
        <v>17136</v>
      </c>
      <c r="FPB1" s="24" t="s">
        <v>17137</v>
      </c>
      <c r="FPC1" s="24" t="s">
        <v>17138</v>
      </c>
      <c r="FPD1" s="24" t="s">
        <v>17139</v>
      </c>
      <c r="FPE1" s="24" t="s">
        <v>17140</v>
      </c>
      <c r="FPF1" s="24" t="s">
        <v>17141</v>
      </c>
      <c r="FPG1" s="24" t="s">
        <v>17142</v>
      </c>
      <c r="FPH1" s="24" t="s">
        <v>17143</v>
      </c>
      <c r="FPI1" s="24" t="s">
        <v>17144</v>
      </c>
      <c r="FPJ1" s="24" t="s">
        <v>17145</v>
      </c>
      <c r="FPK1" s="24" t="s">
        <v>17146</v>
      </c>
      <c r="FPL1" s="24" t="s">
        <v>17147</v>
      </c>
      <c r="FPM1" s="24" t="s">
        <v>17148</v>
      </c>
      <c r="FPN1" s="24" t="s">
        <v>17149</v>
      </c>
      <c r="FPO1" s="24" t="s">
        <v>17150</v>
      </c>
      <c r="FPP1" s="24" t="s">
        <v>17151</v>
      </c>
      <c r="FPQ1" s="24" t="s">
        <v>17152</v>
      </c>
      <c r="FPR1" s="24" t="s">
        <v>17153</v>
      </c>
      <c r="FPS1" s="24" t="s">
        <v>17154</v>
      </c>
      <c r="FPT1" s="24" t="s">
        <v>17155</v>
      </c>
      <c r="FPU1" s="24" t="s">
        <v>17156</v>
      </c>
      <c r="FPV1" s="24" t="s">
        <v>17157</v>
      </c>
      <c r="FPW1" s="24" t="s">
        <v>17158</v>
      </c>
      <c r="FPX1" s="24" t="s">
        <v>17159</v>
      </c>
      <c r="FPY1" s="24" t="s">
        <v>17160</v>
      </c>
      <c r="FPZ1" s="24" t="s">
        <v>17161</v>
      </c>
      <c r="FQA1" s="24" t="s">
        <v>17162</v>
      </c>
      <c r="FQB1" s="24" t="s">
        <v>17163</v>
      </c>
      <c r="FQC1" s="24" t="s">
        <v>17164</v>
      </c>
      <c r="FQD1" s="24" t="s">
        <v>17165</v>
      </c>
      <c r="FQE1" s="24" t="s">
        <v>17166</v>
      </c>
      <c r="FQF1" s="24" t="s">
        <v>17167</v>
      </c>
      <c r="FQG1" s="24" t="s">
        <v>17168</v>
      </c>
      <c r="FQH1" s="24" t="s">
        <v>17169</v>
      </c>
      <c r="FQI1" s="24" t="s">
        <v>17170</v>
      </c>
      <c r="FQJ1" s="24" t="s">
        <v>17171</v>
      </c>
      <c r="FQK1" s="24" t="s">
        <v>17172</v>
      </c>
      <c r="FQL1" s="24" t="s">
        <v>17173</v>
      </c>
      <c r="FQM1" s="24" t="s">
        <v>17174</v>
      </c>
      <c r="FQN1" s="24" t="s">
        <v>17175</v>
      </c>
      <c r="FQO1" s="24" t="s">
        <v>17176</v>
      </c>
      <c r="FQP1" s="24" t="s">
        <v>17177</v>
      </c>
      <c r="FQQ1" s="24" t="s">
        <v>17178</v>
      </c>
      <c r="FQR1" s="24" t="s">
        <v>17179</v>
      </c>
      <c r="FQS1" s="24" t="s">
        <v>17180</v>
      </c>
      <c r="FQT1" s="24" t="s">
        <v>17181</v>
      </c>
      <c r="FQU1" s="24" t="s">
        <v>17182</v>
      </c>
      <c r="FQV1" s="24" t="s">
        <v>17183</v>
      </c>
      <c r="FQW1" s="24" t="s">
        <v>17184</v>
      </c>
      <c r="FQX1" s="24" t="s">
        <v>17185</v>
      </c>
      <c r="FQY1" s="24" t="s">
        <v>17186</v>
      </c>
      <c r="FQZ1" s="24" t="s">
        <v>17187</v>
      </c>
      <c r="FRA1" s="24" t="s">
        <v>17188</v>
      </c>
      <c r="FRB1" s="24" t="s">
        <v>17189</v>
      </c>
      <c r="FRC1" s="24" t="s">
        <v>17190</v>
      </c>
      <c r="FRD1" s="24" t="s">
        <v>17191</v>
      </c>
      <c r="FRE1" s="24" t="s">
        <v>17192</v>
      </c>
      <c r="FRF1" s="24" t="s">
        <v>17193</v>
      </c>
      <c r="FRG1" s="24" t="s">
        <v>17194</v>
      </c>
      <c r="FRH1" s="24" t="s">
        <v>17195</v>
      </c>
      <c r="FRI1" s="24" t="s">
        <v>17196</v>
      </c>
      <c r="FRJ1" s="24" t="s">
        <v>17197</v>
      </c>
      <c r="FRK1" s="24" t="s">
        <v>17198</v>
      </c>
      <c r="FRL1" s="24" t="s">
        <v>17199</v>
      </c>
      <c r="FRM1" s="24" t="s">
        <v>17200</v>
      </c>
      <c r="FRN1" s="24" t="s">
        <v>17201</v>
      </c>
      <c r="FRO1" s="24" t="s">
        <v>17202</v>
      </c>
      <c r="FRP1" s="24" t="s">
        <v>17203</v>
      </c>
      <c r="FRQ1" s="24" t="s">
        <v>17204</v>
      </c>
      <c r="FRR1" s="24" t="s">
        <v>17205</v>
      </c>
      <c r="FRS1" s="24" t="s">
        <v>17206</v>
      </c>
      <c r="FRT1" s="24" t="s">
        <v>17207</v>
      </c>
      <c r="FRU1" s="24" t="s">
        <v>17208</v>
      </c>
      <c r="FRV1" s="24" t="s">
        <v>17209</v>
      </c>
      <c r="FRW1" s="24" t="s">
        <v>17210</v>
      </c>
      <c r="FRX1" s="24" t="s">
        <v>17211</v>
      </c>
      <c r="FRY1" s="24" t="s">
        <v>17212</v>
      </c>
      <c r="FRZ1" s="24" t="s">
        <v>17213</v>
      </c>
      <c r="FSA1" s="24" t="s">
        <v>17214</v>
      </c>
      <c r="FSB1" s="24" t="s">
        <v>17215</v>
      </c>
      <c r="FSC1" s="24" t="s">
        <v>17216</v>
      </c>
      <c r="FSD1" s="24" t="s">
        <v>17217</v>
      </c>
      <c r="FSE1" s="24" t="s">
        <v>17218</v>
      </c>
      <c r="FSF1" s="24" t="s">
        <v>17219</v>
      </c>
      <c r="FSG1" s="24" t="s">
        <v>17220</v>
      </c>
      <c r="FSH1" s="24" t="s">
        <v>17221</v>
      </c>
      <c r="FSI1" s="24" t="s">
        <v>17222</v>
      </c>
      <c r="FSJ1" s="24" t="s">
        <v>17223</v>
      </c>
      <c r="FSK1" s="24" t="s">
        <v>17224</v>
      </c>
      <c r="FSL1" s="24" t="s">
        <v>17225</v>
      </c>
      <c r="FSM1" s="24" t="s">
        <v>17226</v>
      </c>
      <c r="FSN1" s="24" t="s">
        <v>17227</v>
      </c>
      <c r="FSO1" s="24" t="s">
        <v>17228</v>
      </c>
      <c r="FSP1" s="24" t="s">
        <v>17229</v>
      </c>
      <c r="FSQ1" s="24" t="s">
        <v>17230</v>
      </c>
      <c r="FSR1" s="24" t="s">
        <v>17231</v>
      </c>
      <c r="FSS1" s="24" t="s">
        <v>17232</v>
      </c>
      <c r="FST1" s="24" t="s">
        <v>17233</v>
      </c>
      <c r="FSU1" s="24" t="s">
        <v>17234</v>
      </c>
      <c r="FSV1" s="24" t="s">
        <v>17235</v>
      </c>
      <c r="FSW1" s="24" t="s">
        <v>17236</v>
      </c>
      <c r="FSX1" s="24" t="s">
        <v>17237</v>
      </c>
      <c r="FSY1" s="24" t="s">
        <v>17238</v>
      </c>
      <c r="FSZ1" s="24" t="s">
        <v>17239</v>
      </c>
      <c r="FTA1" s="24" t="s">
        <v>17240</v>
      </c>
      <c r="FTB1" s="24" t="s">
        <v>17241</v>
      </c>
      <c r="FTC1" s="24" t="s">
        <v>17242</v>
      </c>
      <c r="FTD1" s="24" t="s">
        <v>17243</v>
      </c>
      <c r="FTE1" s="24" t="s">
        <v>17244</v>
      </c>
      <c r="FTF1" s="24" t="s">
        <v>17245</v>
      </c>
      <c r="FTG1" s="24" t="s">
        <v>17246</v>
      </c>
      <c r="FTH1" s="24" t="s">
        <v>17247</v>
      </c>
      <c r="FTI1" s="24" t="s">
        <v>17248</v>
      </c>
      <c r="FTJ1" s="24" t="s">
        <v>17249</v>
      </c>
      <c r="FTK1" s="24" t="s">
        <v>17250</v>
      </c>
      <c r="FTL1" s="24" t="s">
        <v>17251</v>
      </c>
      <c r="FTM1" s="24" t="s">
        <v>17252</v>
      </c>
      <c r="FTN1" s="24" t="s">
        <v>17253</v>
      </c>
      <c r="FTO1" s="24" t="s">
        <v>17254</v>
      </c>
      <c r="FTP1" s="24" t="s">
        <v>17255</v>
      </c>
      <c r="FTQ1" s="24" t="s">
        <v>17256</v>
      </c>
      <c r="FTR1" s="24" t="s">
        <v>17257</v>
      </c>
      <c r="FTS1" s="24" t="s">
        <v>17258</v>
      </c>
      <c r="FTT1" s="24" t="s">
        <v>17259</v>
      </c>
      <c r="FTU1" s="24" t="s">
        <v>17260</v>
      </c>
      <c r="FTV1" s="24" t="s">
        <v>17261</v>
      </c>
      <c r="FTW1" s="24" t="s">
        <v>17262</v>
      </c>
      <c r="FTX1" s="24" t="s">
        <v>17263</v>
      </c>
      <c r="FTY1" s="24" t="s">
        <v>17264</v>
      </c>
      <c r="FTZ1" s="24" t="s">
        <v>17265</v>
      </c>
      <c r="FUA1" s="24" t="s">
        <v>17266</v>
      </c>
      <c r="FUB1" s="24" t="s">
        <v>17267</v>
      </c>
      <c r="FUC1" s="24" t="s">
        <v>17268</v>
      </c>
      <c r="FUD1" s="24" t="s">
        <v>17269</v>
      </c>
      <c r="FUE1" s="24" t="s">
        <v>17270</v>
      </c>
      <c r="FUF1" s="24" t="s">
        <v>17271</v>
      </c>
      <c r="FUG1" s="24" t="s">
        <v>17272</v>
      </c>
      <c r="FUH1" s="24" t="s">
        <v>17273</v>
      </c>
      <c r="FUI1" s="24" t="s">
        <v>17274</v>
      </c>
      <c r="FUJ1" s="24" t="s">
        <v>17275</v>
      </c>
      <c r="FUK1" s="24" t="s">
        <v>17276</v>
      </c>
      <c r="FUL1" s="24" t="s">
        <v>17277</v>
      </c>
      <c r="FUM1" s="24" t="s">
        <v>17278</v>
      </c>
      <c r="FUN1" s="24" t="s">
        <v>17279</v>
      </c>
      <c r="FUO1" s="24" t="s">
        <v>17280</v>
      </c>
      <c r="FUP1" s="24" t="s">
        <v>17281</v>
      </c>
      <c r="FUQ1" s="24" t="s">
        <v>17282</v>
      </c>
      <c r="FUR1" s="24" t="s">
        <v>17283</v>
      </c>
      <c r="FUS1" s="24" t="s">
        <v>17284</v>
      </c>
      <c r="FUT1" s="24" t="s">
        <v>17285</v>
      </c>
      <c r="FUU1" s="24" t="s">
        <v>17286</v>
      </c>
      <c r="FUV1" s="24" t="s">
        <v>17287</v>
      </c>
      <c r="FUW1" s="24" t="s">
        <v>17288</v>
      </c>
      <c r="FUX1" s="24" t="s">
        <v>17289</v>
      </c>
      <c r="FUY1" s="24" t="s">
        <v>17290</v>
      </c>
      <c r="FUZ1" s="24" t="s">
        <v>17291</v>
      </c>
      <c r="FVA1" s="24" t="s">
        <v>17292</v>
      </c>
      <c r="FVB1" s="24" t="s">
        <v>17293</v>
      </c>
      <c r="FVC1" s="24" t="s">
        <v>17294</v>
      </c>
      <c r="FVD1" s="24" t="s">
        <v>17295</v>
      </c>
      <c r="FVE1" s="24" t="s">
        <v>17296</v>
      </c>
      <c r="FVF1" s="24" t="s">
        <v>17297</v>
      </c>
      <c r="FVG1" s="24" t="s">
        <v>17298</v>
      </c>
      <c r="FVH1" s="24" t="s">
        <v>17299</v>
      </c>
      <c r="FVI1" s="24" t="s">
        <v>17300</v>
      </c>
      <c r="FVJ1" s="24" t="s">
        <v>17301</v>
      </c>
      <c r="FVK1" s="24" t="s">
        <v>17302</v>
      </c>
      <c r="FVL1" s="24" t="s">
        <v>17303</v>
      </c>
      <c r="FVM1" s="24" t="s">
        <v>17304</v>
      </c>
      <c r="FVN1" s="24" t="s">
        <v>17305</v>
      </c>
      <c r="FVO1" s="24" t="s">
        <v>17306</v>
      </c>
      <c r="FVP1" s="24" t="s">
        <v>17307</v>
      </c>
      <c r="FVQ1" s="24" t="s">
        <v>17308</v>
      </c>
      <c r="FVR1" s="24" t="s">
        <v>17309</v>
      </c>
      <c r="FVS1" s="24" t="s">
        <v>17310</v>
      </c>
      <c r="FVT1" s="24" t="s">
        <v>17311</v>
      </c>
      <c r="FVU1" s="24" t="s">
        <v>17312</v>
      </c>
      <c r="FVV1" s="24" t="s">
        <v>17313</v>
      </c>
      <c r="FVW1" s="24" t="s">
        <v>17314</v>
      </c>
      <c r="FVX1" s="24" t="s">
        <v>17315</v>
      </c>
      <c r="FVY1" s="24" t="s">
        <v>17316</v>
      </c>
      <c r="FVZ1" s="24" t="s">
        <v>17317</v>
      </c>
      <c r="FWA1" s="24" t="s">
        <v>17318</v>
      </c>
      <c r="FWB1" s="24" t="s">
        <v>17319</v>
      </c>
      <c r="FWC1" s="24" t="s">
        <v>17320</v>
      </c>
      <c r="FWD1" s="24" t="s">
        <v>17321</v>
      </c>
      <c r="FWE1" s="24" t="s">
        <v>17322</v>
      </c>
      <c r="FWF1" s="24" t="s">
        <v>17323</v>
      </c>
      <c r="FWG1" s="24" t="s">
        <v>17324</v>
      </c>
      <c r="FWH1" s="24" t="s">
        <v>17325</v>
      </c>
      <c r="FWI1" s="24" t="s">
        <v>17326</v>
      </c>
      <c r="FWJ1" s="24" t="s">
        <v>17327</v>
      </c>
      <c r="FWK1" s="24" t="s">
        <v>17328</v>
      </c>
      <c r="FWL1" s="24" t="s">
        <v>17329</v>
      </c>
      <c r="FWM1" s="24" t="s">
        <v>17330</v>
      </c>
      <c r="FWN1" s="24" t="s">
        <v>17331</v>
      </c>
      <c r="FWO1" s="24" t="s">
        <v>17332</v>
      </c>
      <c r="FWP1" s="24" t="s">
        <v>17333</v>
      </c>
      <c r="FWQ1" s="24" t="s">
        <v>17334</v>
      </c>
      <c r="FWR1" s="24" t="s">
        <v>17335</v>
      </c>
      <c r="FWS1" s="24" t="s">
        <v>17336</v>
      </c>
      <c r="FWT1" s="24" t="s">
        <v>17337</v>
      </c>
      <c r="FWU1" s="24" t="s">
        <v>17338</v>
      </c>
      <c r="FWV1" s="24" t="s">
        <v>17339</v>
      </c>
      <c r="FWW1" s="24" t="s">
        <v>17340</v>
      </c>
      <c r="FWX1" s="24" t="s">
        <v>17341</v>
      </c>
      <c r="FWY1" s="24" t="s">
        <v>17342</v>
      </c>
      <c r="FWZ1" s="24" t="s">
        <v>17343</v>
      </c>
      <c r="FXA1" s="24" t="s">
        <v>17344</v>
      </c>
      <c r="FXB1" s="24" t="s">
        <v>17345</v>
      </c>
      <c r="FXC1" s="24" t="s">
        <v>17346</v>
      </c>
      <c r="FXD1" s="24" t="s">
        <v>17347</v>
      </c>
      <c r="FXE1" s="24" t="s">
        <v>17348</v>
      </c>
      <c r="FXF1" s="24" t="s">
        <v>17349</v>
      </c>
      <c r="FXG1" s="24" t="s">
        <v>17350</v>
      </c>
      <c r="FXH1" s="24" t="s">
        <v>17351</v>
      </c>
      <c r="FXI1" s="24" t="s">
        <v>17352</v>
      </c>
      <c r="FXJ1" s="24" t="s">
        <v>17353</v>
      </c>
      <c r="FXK1" s="24" t="s">
        <v>17354</v>
      </c>
      <c r="FXL1" s="24" t="s">
        <v>17355</v>
      </c>
      <c r="FXM1" s="24" t="s">
        <v>17356</v>
      </c>
      <c r="FXN1" s="24" t="s">
        <v>17357</v>
      </c>
      <c r="FXO1" s="24" t="s">
        <v>17358</v>
      </c>
      <c r="FXP1" s="24" t="s">
        <v>17359</v>
      </c>
      <c r="FXQ1" s="24" t="s">
        <v>17360</v>
      </c>
      <c r="FXR1" s="24" t="s">
        <v>17361</v>
      </c>
      <c r="FXS1" s="24" t="s">
        <v>17362</v>
      </c>
      <c r="FXT1" s="24" t="s">
        <v>17363</v>
      </c>
      <c r="FXU1" s="24" t="s">
        <v>17364</v>
      </c>
      <c r="FXV1" s="24" t="s">
        <v>17365</v>
      </c>
      <c r="FXW1" s="24" t="s">
        <v>17366</v>
      </c>
      <c r="FXX1" s="24" t="s">
        <v>17367</v>
      </c>
      <c r="FXY1" s="24" t="s">
        <v>17368</v>
      </c>
      <c r="FXZ1" s="24" t="s">
        <v>17369</v>
      </c>
      <c r="FYA1" s="24" t="s">
        <v>17370</v>
      </c>
      <c r="FYB1" s="24" t="s">
        <v>17371</v>
      </c>
      <c r="FYC1" s="24" t="s">
        <v>17372</v>
      </c>
      <c r="FYD1" s="24" t="s">
        <v>17373</v>
      </c>
      <c r="FYE1" s="24" t="s">
        <v>17374</v>
      </c>
      <c r="FYF1" s="24" t="s">
        <v>17375</v>
      </c>
      <c r="FYG1" s="24" t="s">
        <v>17376</v>
      </c>
      <c r="FYH1" s="24" t="s">
        <v>17377</v>
      </c>
      <c r="FYI1" s="24" t="s">
        <v>17378</v>
      </c>
      <c r="FYJ1" s="24" t="s">
        <v>17379</v>
      </c>
      <c r="FYK1" s="24" t="s">
        <v>17380</v>
      </c>
      <c r="FYL1" s="24" t="s">
        <v>17381</v>
      </c>
      <c r="FYM1" s="24" t="s">
        <v>17382</v>
      </c>
      <c r="FYN1" s="24" t="s">
        <v>17383</v>
      </c>
      <c r="FYO1" s="24" t="s">
        <v>17384</v>
      </c>
      <c r="FYP1" s="24" t="s">
        <v>17385</v>
      </c>
      <c r="FYQ1" s="24" t="s">
        <v>17386</v>
      </c>
      <c r="FYR1" s="24" t="s">
        <v>17387</v>
      </c>
      <c r="FYS1" s="24" t="s">
        <v>17388</v>
      </c>
      <c r="FYT1" s="24" t="s">
        <v>17389</v>
      </c>
      <c r="FYU1" s="24" t="s">
        <v>17390</v>
      </c>
      <c r="FYV1" s="24" t="s">
        <v>17391</v>
      </c>
      <c r="FYW1" s="24" t="s">
        <v>17392</v>
      </c>
      <c r="FYX1" s="24" t="s">
        <v>17393</v>
      </c>
      <c r="FYY1" s="24" t="s">
        <v>17394</v>
      </c>
      <c r="FYZ1" s="24" t="s">
        <v>17395</v>
      </c>
      <c r="FZA1" s="24" t="s">
        <v>17396</v>
      </c>
      <c r="FZB1" s="24" t="s">
        <v>17397</v>
      </c>
      <c r="FZC1" s="24" t="s">
        <v>17398</v>
      </c>
      <c r="FZD1" s="24" t="s">
        <v>17399</v>
      </c>
      <c r="FZE1" s="24" t="s">
        <v>17400</v>
      </c>
      <c r="FZF1" s="24" t="s">
        <v>17401</v>
      </c>
      <c r="FZG1" s="24" t="s">
        <v>17402</v>
      </c>
      <c r="FZH1" s="24" t="s">
        <v>17403</v>
      </c>
      <c r="FZI1" s="24" t="s">
        <v>17404</v>
      </c>
      <c r="FZJ1" s="24" t="s">
        <v>17405</v>
      </c>
      <c r="FZK1" s="24" t="s">
        <v>17406</v>
      </c>
      <c r="FZL1" s="24" t="s">
        <v>17407</v>
      </c>
      <c r="FZM1" s="24" t="s">
        <v>17408</v>
      </c>
      <c r="FZN1" s="24" t="s">
        <v>17409</v>
      </c>
      <c r="FZO1" s="24" t="s">
        <v>17410</v>
      </c>
      <c r="FZP1" s="24" t="s">
        <v>17411</v>
      </c>
      <c r="FZQ1" s="24" t="s">
        <v>17412</v>
      </c>
      <c r="FZR1" s="24" t="s">
        <v>17413</v>
      </c>
      <c r="FZS1" s="24" t="s">
        <v>17414</v>
      </c>
      <c r="FZT1" s="24" t="s">
        <v>17415</v>
      </c>
      <c r="FZU1" s="24" t="s">
        <v>17416</v>
      </c>
      <c r="FZV1" s="24" t="s">
        <v>17417</v>
      </c>
      <c r="FZW1" s="24" t="s">
        <v>17418</v>
      </c>
      <c r="FZX1" s="24" t="s">
        <v>17419</v>
      </c>
      <c r="FZY1" s="24" t="s">
        <v>17420</v>
      </c>
      <c r="FZZ1" s="24" t="s">
        <v>17421</v>
      </c>
      <c r="GAA1" s="24" t="s">
        <v>17422</v>
      </c>
      <c r="GAB1" s="24" t="s">
        <v>17423</v>
      </c>
      <c r="GAC1" s="24" t="s">
        <v>17424</v>
      </c>
      <c r="GAD1" s="24" t="s">
        <v>17425</v>
      </c>
      <c r="GAE1" s="24" t="s">
        <v>17426</v>
      </c>
      <c r="GAF1" s="24" t="s">
        <v>17427</v>
      </c>
      <c r="GAG1" s="24" t="s">
        <v>17428</v>
      </c>
      <c r="GAH1" s="24" t="s">
        <v>17429</v>
      </c>
      <c r="GAI1" s="24" t="s">
        <v>17430</v>
      </c>
      <c r="GAJ1" s="24" t="s">
        <v>17431</v>
      </c>
      <c r="GAK1" s="24" t="s">
        <v>17432</v>
      </c>
      <c r="GAL1" s="24" t="s">
        <v>17433</v>
      </c>
      <c r="GAM1" s="24" t="s">
        <v>17434</v>
      </c>
      <c r="GAN1" s="24" t="s">
        <v>17435</v>
      </c>
      <c r="GAO1" s="24" t="s">
        <v>17436</v>
      </c>
      <c r="GAP1" s="24" t="s">
        <v>17437</v>
      </c>
      <c r="GAQ1" s="24" t="s">
        <v>17438</v>
      </c>
      <c r="GAR1" s="24" t="s">
        <v>17439</v>
      </c>
      <c r="GAS1" s="24" t="s">
        <v>17440</v>
      </c>
      <c r="GAT1" s="24" t="s">
        <v>17441</v>
      </c>
      <c r="GAU1" s="24" t="s">
        <v>17442</v>
      </c>
      <c r="GAV1" s="24" t="s">
        <v>17443</v>
      </c>
      <c r="GAW1" s="24" t="s">
        <v>17444</v>
      </c>
      <c r="GAX1" s="24" t="s">
        <v>17445</v>
      </c>
      <c r="GAY1" s="24" t="s">
        <v>17446</v>
      </c>
      <c r="GAZ1" s="24" t="s">
        <v>17447</v>
      </c>
      <c r="GBA1" s="24" t="s">
        <v>17448</v>
      </c>
      <c r="GBB1" s="24" t="s">
        <v>17449</v>
      </c>
      <c r="GBC1" s="24" t="s">
        <v>17450</v>
      </c>
      <c r="GBD1" s="24" t="s">
        <v>17451</v>
      </c>
      <c r="GBE1" s="24" t="s">
        <v>17452</v>
      </c>
      <c r="GBF1" s="24" t="s">
        <v>17453</v>
      </c>
      <c r="GBG1" s="24" t="s">
        <v>17454</v>
      </c>
      <c r="GBH1" s="24" t="s">
        <v>17455</v>
      </c>
      <c r="GBI1" s="24" t="s">
        <v>17456</v>
      </c>
      <c r="GBJ1" s="24" t="s">
        <v>17457</v>
      </c>
      <c r="GBK1" s="24" t="s">
        <v>17458</v>
      </c>
      <c r="GBL1" s="24" t="s">
        <v>17459</v>
      </c>
      <c r="GBM1" s="24" t="s">
        <v>17460</v>
      </c>
      <c r="GBN1" s="24" t="s">
        <v>17461</v>
      </c>
      <c r="GBO1" s="24" t="s">
        <v>17462</v>
      </c>
      <c r="GBP1" s="24" t="s">
        <v>17463</v>
      </c>
      <c r="GBQ1" s="24" t="s">
        <v>17464</v>
      </c>
      <c r="GBR1" s="24" t="s">
        <v>17465</v>
      </c>
      <c r="GBS1" s="24" t="s">
        <v>17466</v>
      </c>
      <c r="GBT1" s="24" t="s">
        <v>17467</v>
      </c>
      <c r="GBU1" s="24" t="s">
        <v>17468</v>
      </c>
      <c r="GBV1" s="24" t="s">
        <v>17469</v>
      </c>
      <c r="GBW1" s="24" t="s">
        <v>17470</v>
      </c>
      <c r="GBX1" s="24" t="s">
        <v>17471</v>
      </c>
      <c r="GBY1" s="24" t="s">
        <v>17472</v>
      </c>
      <c r="GBZ1" s="24" t="s">
        <v>17473</v>
      </c>
      <c r="GCA1" s="24" t="s">
        <v>17474</v>
      </c>
      <c r="GCB1" s="24" t="s">
        <v>17475</v>
      </c>
      <c r="GCC1" s="24" t="s">
        <v>17476</v>
      </c>
      <c r="GCD1" s="24" t="s">
        <v>17477</v>
      </c>
      <c r="GCE1" s="24" t="s">
        <v>17478</v>
      </c>
      <c r="GCF1" s="24" t="s">
        <v>17479</v>
      </c>
      <c r="GCG1" s="24" t="s">
        <v>17480</v>
      </c>
      <c r="GCH1" s="24" t="s">
        <v>17481</v>
      </c>
      <c r="GCI1" s="24" t="s">
        <v>17482</v>
      </c>
      <c r="GCJ1" s="24" t="s">
        <v>17483</v>
      </c>
      <c r="GCK1" s="24" t="s">
        <v>17484</v>
      </c>
      <c r="GCL1" s="24" t="s">
        <v>17485</v>
      </c>
      <c r="GCM1" s="24" t="s">
        <v>17486</v>
      </c>
      <c r="GCN1" s="24" t="s">
        <v>17487</v>
      </c>
      <c r="GCO1" s="24" t="s">
        <v>17488</v>
      </c>
      <c r="GCP1" s="24" t="s">
        <v>17489</v>
      </c>
      <c r="GCQ1" s="24" t="s">
        <v>17490</v>
      </c>
      <c r="GCR1" s="24" t="s">
        <v>17491</v>
      </c>
      <c r="GCS1" s="24" t="s">
        <v>17492</v>
      </c>
      <c r="GCT1" s="24" t="s">
        <v>17493</v>
      </c>
      <c r="GCU1" s="24" t="s">
        <v>17494</v>
      </c>
      <c r="GCV1" s="24" t="s">
        <v>17495</v>
      </c>
      <c r="GCW1" s="24" t="s">
        <v>17496</v>
      </c>
      <c r="GCX1" s="24" t="s">
        <v>17497</v>
      </c>
      <c r="GCY1" s="24" t="s">
        <v>17498</v>
      </c>
      <c r="GCZ1" s="24" t="s">
        <v>17499</v>
      </c>
      <c r="GDA1" s="24" t="s">
        <v>17500</v>
      </c>
      <c r="GDB1" s="24" t="s">
        <v>17501</v>
      </c>
      <c r="GDC1" s="24" t="s">
        <v>17502</v>
      </c>
      <c r="GDD1" s="24" t="s">
        <v>17503</v>
      </c>
      <c r="GDE1" s="24" t="s">
        <v>17504</v>
      </c>
      <c r="GDF1" s="24" t="s">
        <v>17505</v>
      </c>
      <c r="GDG1" s="24" t="s">
        <v>17506</v>
      </c>
      <c r="GDH1" s="24" t="s">
        <v>17507</v>
      </c>
      <c r="GDI1" s="24" t="s">
        <v>17508</v>
      </c>
      <c r="GDJ1" s="24" t="s">
        <v>17509</v>
      </c>
      <c r="GDK1" s="24" t="s">
        <v>17510</v>
      </c>
      <c r="GDL1" s="24" t="s">
        <v>17511</v>
      </c>
      <c r="GDM1" s="24" t="s">
        <v>17512</v>
      </c>
      <c r="GDN1" s="24" t="s">
        <v>17513</v>
      </c>
      <c r="GDO1" s="24" t="s">
        <v>17514</v>
      </c>
      <c r="GDP1" s="24" t="s">
        <v>17515</v>
      </c>
      <c r="GDQ1" s="24" t="s">
        <v>17516</v>
      </c>
      <c r="GDR1" s="24" t="s">
        <v>17517</v>
      </c>
      <c r="GDS1" s="24" t="s">
        <v>17518</v>
      </c>
      <c r="GDT1" s="24" t="s">
        <v>17519</v>
      </c>
      <c r="GDU1" s="24" t="s">
        <v>17520</v>
      </c>
      <c r="GDV1" s="24" t="s">
        <v>17521</v>
      </c>
      <c r="GDW1" s="24" t="s">
        <v>17522</v>
      </c>
      <c r="GDX1" s="24" t="s">
        <v>17523</v>
      </c>
      <c r="GDY1" s="24" t="s">
        <v>17524</v>
      </c>
      <c r="GDZ1" s="24" t="s">
        <v>17525</v>
      </c>
      <c r="GEA1" s="24" t="s">
        <v>17526</v>
      </c>
      <c r="GEB1" s="24" t="s">
        <v>17527</v>
      </c>
      <c r="GEC1" s="24" t="s">
        <v>17528</v>
      </c>
      <c r="GED1" s="24" t="s">
        <v>17529</v>
      </c>
      <c r="GEE1" s="24" t="s">
        <v>17530</v>
      </c>
      <c r="GEF1" s="24" t="s">
        <v>17531</v>
      </c>
      <c r="GEG1" s="24" t="s">
        <v>17532</v>
      </c>
      <c r="GEH1" s="24" t="s">
        <v>17533</v>
      </c>
      <c r="GEI1" s="24" t="s">
        <v>17534</v>
      </c>
      <c r="GEJ1" s="24" t="s">
        <v>17535</v>
      </c>
      <c r="GEK1" s="24" t="s">
        <v>17536</v>
      </c>
      <c r="GEL1" s="24" t="s">
        <v>17537</v>
      </c>
      <c r="GEM1" s="24" t="s">
        <v>17538</v>
      </c>
      <c r="GEN1" s="24" t="s">
        <v>17539</v>
      </c>
      <c r="GEO1" s="24" t="s">
        <v>17540</v>
      </c>
      <c r="GEP1" s="24" t="s">
        <v>17541</v>
      </c>
      <c r="GEQ1" s="24" t="s">
        <v>17542</v>
      </c>
      <c r="GER1" s="24" t="s">
        <v>17543</v>
      </c>
      <c r="GES1" s="24" t="s">
        <v>17544</v>
      </c>
      <c r="GET1" s="24" t="s">
        <v>17545</v>
      </c>
      <c r="GEU1" s="24" t="s">
        <v>17546</v>
      </c>
      <c r="GEV1" s="24" t="s">
        <v>17547</v>
      </c>
      <c r="GEW1" s="24" t="s">
        <v>17548</v>
      </c>
      <c r="GEX1" s="24" t="s">
        <v>17549</v>
      </c>
      <c r="GEY1" s="24" t="s">
        <v>17550</v>
      </c>
      <c r="GEZ1" s="24" t="s">
        <v>17551</v>
      </c>
      <c r="GFA1" s="24" t="s">
        <v>17552</v>
      </c>
      <c r="GFB1" s="24" t="s">
        <v>17553</v>
      </c>
      <c r="GFC1" s="24" t="s">
        <v>17554</v>
      </c>
      <c r="GFD1" s="24" t="s">
        <v>17555</v>
      </c>
      <c r="GFE1" s="24" t="s">
        <v>17556</v>
      </c>
      <c r="GFF1" s="24" t="s">
        <v>17557</v>
      </c>
      <c r="GFG1" s="24" t="s">
        <v>17558</v>
      </c>
      <c r="GFH1" s="24" t="s">
        <v>17559</v>
      </c>
      <c r="GFI1" s="24" t="s">
        <v>17560</v>
      </c>
      <c r="GFJ1" s="24" t="s">
        <v>17561</v>
      </c>
      <c r="GFK1" s="24" t="s">
        <v>17562</v>
      </c>
      <c r="GFL1" s="24" t="s">
        <v>17563</v>
      </c>
      <c r="GFM1" s="24" t="s">
        <v>17564</v>
      </c>
      <c r="GFN1" s="24" t="s">
        <v>17565</v>
      </c>
      <c r="GFO1" s="24" t="s">
        <v>17566</v>
      </c>
      <c r="GFP1" s="24" t="s">
        <v>17567</v>
      </c>
      <c r="GFQ1" s="24" t="s">
        <v>17568</v>
      </c>
      <c r="GFR1" s="24" t="s">
        <v>17569</v>
      </c>
      <c r="GFS1" s="24" t="s">
        <v>17570</v>
      </c>
      <c r="GFT1" s="24" t="s">
        <v>17571</v>
      </c>
      <c r="GFU1" s="24" t="s">
        <v>17572</v>
      </c>
      <c r="GFV1" s="24" t="s">
        <v>17573</v>
      </c>
      <c r="GFW1" s="24" t="s">
        <v>17574</v>
      </c>
      <c r="GFX1" s="24" t="s">
        <v>17575</v>
      </c>
      <c r="GFY1" s="24" t="s">
        <v>17576</v>
      </c>
      <c r="GFZ1" s="24" t="s">
        <v>17577</v>
      </c>
      <c r="GGA1" s="24" t="s">
        <v>17578</v>
      </c>
      <c r="GGB1" s="24" t="s">
        <v>17579</v>
      </c>
      <c r="GGC1" s="24" t="s">
        <v>17580</v>
      </c>
      <c r="GGD1" s="24" t="s">
        <v>17581</v>
      </c>
      <c r="GGE1" s="24" t="s">
        <v>17582</v>
      </c>
      <c r="GGF1" s="24" t="s">
        <v>17583</v>
      </c>
      <c r="GGG1" s="24" t="s">
        <v>17584</v>
      </c>
      <c r="GGH1" s="24" t="s">
        <v>17585</v>
      </c>
      <c r="GGI1" s="24" t="s">
        <v>17586</v>
      </c>
      <c r="GGJ1" s="24" t="s">
        <v>17587</v>
      </c>
      <c r="GGK1" s="24" t="s">
        <v>17588</v>
      </c>
      <c r="GGL1" s="24" t="s">
        <v>17589</v>
      </c>
      <c r="GGM1" s="24" t="s">
        <v>17590</v>
      </c>
      <c r="GGN1" s="24" t="s">
        <v>17591</v>
      </c>
      <c r="GGO1" s="24" t="s">
        <v>17592</v>
      </c>
      <c r="GGP1" s="24" t="s">
        <v>17593</v>
      </c>
      <c r="GGQ1" s="24" t="s">
        <v>17594</v>
      </c>
      <c r="GGR1" s="24" t="s">
        <v>17595</v>
      </c>
      <c r="GGS1" s="24" t="s">
        <v>17596</v>
      </c>
      <c r="GGT1" s="24" t="s">
        <v>17597</v>
      </c>
      <c r="GGU1" s="24" t="s">
        <v>17598</v>
      </c>
      <c r="GGV1" s="24" t="s">
        <v>17599</v>
      </c>
      <c r="GGW1" s="24" t="s">
        <v>17600</v>
      </c>
      <c r="GGX1" s="24" t="s">
        <v>17601</v>
      </c>
      <c r="GGY1" s="24" t="s">
        <v>17602</v>
      </c>
      <c r="GGZ1" s="24" t="s">
        <v>17603</v>
      </c>
      <c r="GHA1" s="24" t="s">
        <v>17604</v>
      </c>
      <c r="GHB1" s="24" t="s">
        <v>17605</v>
      </c>
      <c r="GHC1" s="24" t="s">
        <v>17606</v>
      </c>
      <c r="GHD1" s="24" t="s">
        <v>17607</v>
      </c>
      <c r="GHE1" s="24" t="s">
        <v>17608</v>
      </c>
      <c r="GHF1" s="24" t="s">
        <v>17609</v>
      </c>
      <c r="GHG1" s="24" t="s">
        <v>17610</v>
      </c>
      <c r="GHH1" s="24" t="s">
        <v>17611</v>
      </c>
      <c r="GHI1" s="24" t="s">
        <v>17612</v>
      </c>
      <c r="GHJ1" s="24" t="s">
        <v>17613</v>
      </c>
      <c r="GHK1" s="24" t="s">
        <v>17614</v>
      </c>
      <c r="GHL1" s="24" t="s">
        <v>17615</v>
      </c>
      <c r="GHM1" s="24" t="s">
        <v>17616</v>
      </c>
      <c r="GHN1" s="24" t="s">
        <v>17617</v>
      </c>
      <c r="GHO1" s="24" t="s">
        <v>17618</v>
      </c>
      <c r="GHP1" s="24" t="s">
        <v>17619</v>
      </c>
      <c r="GHQ1" s="24" t="s">
        <v>17620</v>
      </c>
      <c r="GHR1" s="24" t="s">
        <v>17621</v>
      </c>
      <c r="GHS1" s="24" t="s">
        <v>17622</v>
      </c>
      <c r="GHT1" s="24" t="s">
        <v>17623</v>
      </c>
      <c r="GHU1" s="24" t="s">
        <v>17624</v>
      </c>
      <c r="GHV1" s="24" t="s">
        <v>17625</v>
      </c>
      <c r="GHW1" s="24" t="s">
        <v>17626</v>
      </c>
      <c r="GHX1" s="24" t="s">
        <v>17627</v>
      </c>
      <c r="GHY1" s="24" t="s">
        <v>17628</v>
      </c>
      <c r="GHZ1" s="24" t="s">
        <v>17629</v>
      </c>
      <c r="GIA1" s="24" t="s">
        <v>17630</v>
      </c>
      <c r="GIB1" s="24" t="s">
        <v>17631</v>
      </c>
      <c r="GIC1" s="24" t="s">
        <v>17632</v>
      </c>
      <c r="GID1" s="24" t="s">
        <v>17633</v>
      </c>
      <c r="GIE1" s="24" t="s">
        <v>17634</v>
      </c>
      <c r="GIF1" s="24" t="s">
        <v>17635</v>
      </c>
      <c r="GIG1" s="24" t="s">
        <v>17636</v>
      </c>
      <c r="GIH1" s="24" t="s">
        <v>17637</v>
      </c>
      <c r="GII1" s="24" t="s">
        <v>17638</v>
      </c>
      <c r="GIJ1" s="24" t="s">
        <v>17639</v>
      </c>
      <c r="GIK1" s="24" t="s">
        <v>17640</v>
      </c>
      <c r="GIL1" s="24" t="s">
        <v>17641</v>
      </c>
      <c r="GIM1" s="24" t="s">
        <v>17642</v>
      </c>
      <c r="GIN1" s="24" t="s">
        <v>17643</v>
      </c>
      <c r="GIO1" s="24" t="s">
        <v>17644</v>
      </c>
      <c r="GIP1" s="24" t="s">
        <v>17645</v>
      </c>
      <c r="GIQ1" s="24" t="s">
        <v>17646</v>
      </c>
      <c r="GIR1" s="24" t="s">
        <v>17647</v>
      </c>
      <c r="GIS1" s="24" t="s">
        <v>17648</v>
      </c>
      <c r="GIT1" s="24" t="s">
        <v>17649</v>
      </c>
      <c r="GIU1" s="24" t="s">
        <v>17650</v>
      </c>
      <c r="GIV1" s="24" t="s">
        <v>17651</v>
      </c>
      <c r="GIW1" s="24" t="s">
        <v>17652</v>
      </c>
      <c r="GIX1" s="24" t="s">
        <v>17653</v>
      </c>
      <c r="GIY1" s="24" t="s">
        <v>17654</v>
      </c>
      <c r="GIZ1" s="24" t="s">
        <v>17655</v>
      </c>
      <c r="GJA1" s="24" t="s">
        <v>17656</v>
      </c>
      <c r="GJB1" s="24" t="s">
        <v>17657</v>
      </c>
      <c r="GJC1" s="24" t="s">
        <v>17658</v>
      </c>
      <c r="GJD1" s="24" t="s">
        <v>17659</v>
      </c>
      <c r="GJE1" s="24" t="s">
        <v>17660</v>
      </c>
      <c r="GJF1" s="24" t="s">
        <v>17661</v>
      </c>
      <c r="GJG1" s="24" t="s">
        <v>17662</v>
      </c>
      <c r="GJH1" s="24" t="s">
        <v>17663</v>
      </c>
      <c r="GJI1" s="24" t="s">
        <v>17664</v>
      </c>
      <c r="GJJ1" s="24" t="s">
        <v>17665</v>
      </c>
      <c r="GJK1" s="24" t="s">
        <v>17666</v>
      </c>
      <c r="GJL1" s="24" t="s">
        <v>17667</v>
      </c>
      <c r="GJM1" s="24" t="s">
        <v>17668</v>
      </c>
      <c r="GJN1" s="24" t="s">
        <v>17669</v>
      </c>
      <c r="GJO1" s="24" t="s">
        <v>17670</v>
      </c>
      <c r="GJP1" s="24" t="s">
        <v>17671</v>
      </c>
      <c r="GJQ1" s="24" t="s">
        <v>17672</v>
      </c>
      <c r="GJR1" s="24" t="s">
        <v>17673</v>
      </c>
      <c r="GJS1" s="24" t="s">
        <v>17674</v>
      </c>
      <c r="GJT1" s="24" t="s">
        <v>17675</v>
      </c>
      <c r="GJU1" s="24" t="s">
        <v>17676</v>
      </c>
      <c r="GJV1" s="24" t="s">
        <v>17677</v>
      </c>
      <c r="GJW1" s="24" t="s">
        <v>17678</v>
      </c>
      <c r="GJX1" s="24" t="s">
        <v>17679</v>
      </c>
      <c r="GJY1" s="24" t="s">
        <v>17680</v>
      </c>
      <c r="GJZ1" s="24" t="s">
        <v>17681</v>
      </c>
      <c r="GKA1" s="24" t="s">
        <v>17682</v>
      </c>
      <c r="GKB1" s="24" t="s">
        <v>17683</v>
      </c>
      <c r="GKC1" s="24" t="s">
        <v>17684</v>
      </c>
      <c r="GKD1" s="24" t="s">
        <v>17685</v>
      </c>
      <c r="GKE1" s="24" t="s">
        <v>17686</v>
      </c>
      <c r="GKF1" s="24" t="s">
        <v>17687</v>
      </c>
      <c r="GKG1" s="24" t="s">
        <v>17688</v>
      </c>
      <c r="GKH1" s="24" t="s">
        <v>17689</v>
      </c>
      <c r="GKI1" s="24" t="s">
        <v>17690</v>
      </c>
      <c r="GKJ1" s="24" t="s">
        <v>17691</v>
      </c>
      <c r="GKK1" s="24" t="s">
        <v>17692</v>
      </c>
      <c r="GKL1" s="24" t="s">
        <v>17693</v>
      </c>
      <c r="GKM1" s="24" t="s">
        <v>17694</v>
      </c>
      <c r="GKN1" s="24" t="s">
        <v>17695</v>
      </c>
      <c r="GKO1" s="24" t="s">
        <v>17696</v>
      </c>
      <c r="GKP1" s="24" t="s">
        <v>17697</v>
      </c>
      <c r="GKQ1" s="24" t="s">
        <v>17698</v>
      </c>
      <c r="GKR1" s="24" t="s">
        <v>17699</v>
      </c>
      <c r="GKS1" s="24" t="s">
        <v>17700</v>
      </c>
      <c r="GKT1" s="24" t="s">
        <v>17701</v>
      </c>
      <c r="GKU1" s="24" t="s">
        <v>17702</v>
      </c>
      <c r="GKV1" s="24" t="s">
        <v>17703</v>
      </c>
      <c r="GKW1" s="24" t="s">
        <v>17704</v>
      </c>
      <c r="GKX1" s="24" t="s">
        <v>17705</v>
      </c>
      <c r="GKY1" s="24" t="s">
        <v>17706</v>
      </c>
      <c r="GKZ1" s="24" t="s">
        <v>17707</v>
      </c>
      <c r="GLA1" s="24" t="s">
        <v>17708</v>
      </c>
      <c r="GLB1" s="24" t="s">
        <v>17709</v>
      </c>
      <c r="GLC1" s="24" t="s">
        <v>17710</v>
      </c>
      <c r="GLD1" s="24" t="s">
        <v>17711</v>
      </c>
      <c r="GLE1" s="24" t="s">
        <v>17712</v>
      </c>
      <c r="GLF1" s="24" t="s">
        <v>17713</v>
      </c>
      <c r="GLG1" s="24" t="s">
        <v>17714</v>
      </c>
      <c r="GLH1" s="24" t="s">
        <v>17715</v>
      </c>
      <c r="GLI1" s="24" t="s">
        <v>17716</v>
      </c>
      <c r="GLJ1" s="24" t="s">
        <v>17717</v>
      </c>
      <c r="GLK1" s="24" t="s">
        <v>17718</v>
      </c>
      <c r="GLL1" s="24" t="s">
        <v>17719</v>
      </c>
      <c r="GLM1" s="24" t="s">
        <v>17720</v>
      </c>
      <c r="GLN1" s="24" t="s">
        <v>17721</v>
      </c>
      <c r="GLO1" s="24" t="s">
        <v>17722</v>
      </c>
      <c r="GLP1" s="24" t="s">
        <v>17723</v>
      </c>
      <c r="GLQ1" s="24" t="s">
        <v>17724</v>
      </c>
      <c r="GLR1" s="24" t="s">
        <v>17725</v>
      </c>
      <c r="GLS1" s="24" t="s">
        <v>17726</v>
      </c>
      <c r="GLT1" s="24" t="s">
        <v>17727</v>
      </c>
      <c r="GLU1" s="24" t="s">
        <v>17728</v>
      </c>
      <c r="GLV1" s="24" t="s">
        <v>17729</v>
      </c>
      <c r="GLW1" s="24" t="s">
        <v>17730</v>
      </c>
      <c r="GLX1" s="24" t="s">
        <v>17731</v>
      </c>
      <c r="GLY1" s="24" t="s">
        <v>17732</v>
      </c>
      <c r="GLZ1" s="24" t="s">
        <v>17733</v>
      </c>
      <c r="GMA1" s="24" t="s">
        <v>17734</v>
      </c>
      <c r="GMB1" s="24" t="s">
        <v>17735</v>
      </c>
      <c r="GMC1" s="24" t="s">
        <v>17736</v>
      </c>
      <c r="GMD1" s="24" t="s">
        <v>17737</v>
      </c>
      <c r="GME1" s="24" t="s">
        <v>17738</v>
      </c>
      <c r="GMF1" s="24" t="s">
        <v>17739</v>
      </c>
      <c r="GMG1" s="24" t="s">
        <v>17740</v>
      </c>
      <c r="GMH1" s="24" t="s">
        <v>17741</v>
      </c>
      <c r="GMI1" s="24" t="s">
        <v>17742</v>
      </c>
      <c r="GMJ1" s="24" t="s">
        <v>17743</v>
      </c>
      <c r="GMK1" s="24" t="s">
        <v>17744</v>
      </c>
      <c r="GML1" s="24" t="s">
        <v>17745</v>
      </c>
      <c r="GMM1" s="24" t="s">
        <v>17746</v>
      </c>
      <c r="GMN1" s="24" t="s">
        <v>17747</v>
      </c>
      <c r="GMO1" s="24" t="s">
        <v>17748</v>
      </c>
      <c r="GMP1" s="24" t="s">
        <v>17749</v>
      </c>
      <c r="GMQ1" s="24" t="s">
        <v>17750</v>
      </c>
      <c r="GMR1" s="24" t="s">
        <v>17751</v>
      </c>
      <c r="GMS1" s="24" t="s">
        <v>17752</v>
      </c>
      <c r="GMT1" s="24" t="s">
        <v>17753</v>
      </c>
      <c r="GMU1" s="24" t="s">
        <v>17754</v>
      </c>
      <c r="GMV1" s="24" t="s">
        <v>17755</v>
      </c>
      <c r="GMW1" s="24" t="s">
        <v>17756</v>
      </c>
      <c r="GMX1" s="24" t="s">
        <v>17757</v>
      </c>
      <c r="GMY1" s="24" t="s">
        <v>17758</v>
      </c>
      <c r="GMZ1" s="24" t="s">
        <v>17759</v>
      </c>
      <c r="GNA1" s="24" t="s">
        <v>17760</v>
      </c>
      <c r="GNB1" s="24" t="s">
        <v>17761</v>
      </c>
      <c r="GNC1" s="24" t="s">
        <v>17762</v>
      </c>
      <c r="GND1" s="24" t="s">
        <v>17763</v>
      </c>
      <c r="GNE1" s="24" t="s">
        <v>17764</v>
      </c>
      <c r="GNF1" s="24" t="s">
        <v>17765</v>
      </c>
      <c r="GNG1" s="24" t="s">
        <v>17766</v>
      </c>
      <c r="GNH1" s="24" t="s">
        <v>17767</v>
      </c>
      <c r="GNI1" s="24" t="s">
        <v>17768</v>
      </c>
      <c r="GNJ1" s="24" t="s">
        <v>17769</v>
      </c>
      <c r="GNK1" s="24" t="s">
        <v>17770</v>
      </c>
      <c r="GNL1" s="24" t="s">
        <v>17771</v>
      </c>
      <c r="GNM1" s="24" t="s">
        <v>17772</v>
      </c>
      <c r="GNN1" s="24" t="s">
        <v>17773</v>
      </c>
      <c r="GNO1" s="24" t="s">
        <v>17774</v>
      </c>
      <c r="GNP1" s="24" t="s">
        <v>17775</v>
      </c>
      <c r="GNQ1" s="24" t="s">
        <v>17776</v>
      </c>
      <c r="GNR1" s="24" t="s">
        <v>17777</v>
      </c>
      <c r="GNS1" s="24" t="s">
        <v>17778</v>
      </c>
      <c r="GNT1" s="24" t="s">
        <v>17779</v>
      </c>
      <c r="GNU1" s="24" t="s">
        <v>17780</v>
      </c>
      <c r="GNV1" s="24" t="s">
        <v>17781</v>
      </c>
      <c r="GNW1" s="24" t="s">
        <v>17782</v>
      </c>
      <c r="GNX1" s="24" t="s">
        <v>17783</v>
      </c>
      <c r="GNY1" s="24" t="s">
        <v>17784</v>
      </c>
      <c r="GNZ1" s="24" t="s">
        <v>17785</v>
      </c>
      <c r="GOA1" s="24" t="s">
        <v>17786</v>
      </c>
      <c r="GOB1" s="24" t="s">
        <v>17787</v>
      </c>
      <c r="GOC1" s="24" t="s">
        <v>17788</v>
      </c>
      <c r="GOD1" s="24" t="s">
        <v>17789</v>
      </c>
      <c r="GOE1" s="24" t="s">
        <v>17790</v>
      </c>
      <c r="GOF1" s="24" t="s">
        <v>17791</v>
      </c>
      <c r="GOG1" s="24" t="s">
        <v>17792</v>
      </c>
      <c r="GOH1" s="24" t="s">
        <v>17793</v>
      </c>
      <c r="GOI1" s="24" t="s">
        <v>17794</v>
      </c>
      <c r="GOJ1" s="24" t="s">
        <v>17795</v>
      </c>
      <c r="GOK1" s="24" t="s">
        <v>17796</v>
      </c>
      <c r="GOL1" s="24" t="s">
        <v>17797</v>
      </c>
      <c r="GOM1" s="24" t="s">
        <v>17798</v>
      </c>
      <c r="GON1" s="24" t="s">
        <v>17799</v>
      </c>
      <c r="GOO1" s="24" t="s">
        <v>17800</v>
      </c>
      <c r="GOP1" s="24" t="s">
        <v>17801</v>
      </c>
      <c r="GOQ1" s="24" t="s">
        <v>17802</v>
      </c>
      <c r="GOR1" s="24" t="s">
        <v>17803</v>
      </c>
      <c r="GOS1" s="24" t="s">
        <v>17804</v>
      </c>
      <c r="GOT1" s="24" t="s">
        <v>17805</v>
      </c>
      <c r="GOU1" s="24" t="s">
        <v>17806</v>
      </c>
      <c r="GOV1" s="24" t="s">
        <v>17807</v>
      </c>
      <c r="GOW1" s="24" t="s">
        <v>17808</v>
      </c>
      <c r="GOX1" s="24" t="s">
        <v>17809</v>
      </c>
      <c r="GOY1" s="24" t="s">
        <v>17810</v>
      </c>
      <c r="GOZ1" s="24" t="s">
        <v>17811</v>
      </c>
      <c r="GPA1" s="24" t="s">
        <v>17812</v>
      </c>
      <c r="GPB1" s="24" t="s">
        <v>17813</v>
      </c>
      <c r="GPC1" s="24" t="s">
        <v>17814</v>
      </c>
      <c r="GPD1" s="24" t="s">
        <v>17815</v>
      </c>
      <c r="GPE1" s="24" t="s">
        <v>17816</v>
      </c>
      <c r="GPF1" s="24" t="s">
        <v>17817</v>
      </c>
      <c r="GPG1" s="24" t="s">
        <v>17818</v>
      </c>
      <c r="GPH1" s="24" t="s">
        <v>17819</v>
      </c>
      <c r="GPI1" s="24" t="s">
        <v>17820</v>
      </c>
      <c r="GPJ1" s="24" t="s">
        <v>17821</v>
      </c>
      <c r="GPK1" s="24" t="s">
        <v>17822</v>
      </c>
      <c r="GPL1" s="24" t="s">
        <v>17823</v>
      </c>
      <c r="GPM1" s="24" t="s">
        <v>17824</v>
      </c>
      <c r="GPN1" s="24" t="s">
        <v>17825</v>
      </c>
      <c r="GPO1" s="24" t="s">
        <v>17826</v>
      </c>
      <c r="GPP1" s="24" t="s">
        <v>17827</v>
      </c>
      <c r="GPQ1" s="24" t="s">
        <v>17828</v>
      </c>
      <c r="GPR1" s="24" t="s">
        <v>17829</v>
      </c>
      <c r="GPS1" s="24" t="s">
        <v>17830</v>
      </c>
      <c r="GPT1" s="24" t="s">
        <v>17831</v>
      </c>
      <c r="GPU1" s="24" t="s">
        <v>17832</v>
      </c>
      <c r="GPV1" s="24" t="s">
        <v>17833</v>
      </c>
      <c r="GPW1" s="24" t="s">
        <v>17834</v>
      </c>
      <c r="GPX1" s="24" t="s">
        <v>17835</v>
      </c>
      <c r="GPY1" s="24" t="s">
        <v>17836</v>
      </c>
      <c r="GPZ1" s="24" t="s">
        <v>17837</v>
      </c>
      <c r="GQA1" s="24" t="s">
        <v>17838</v>
      </c>
      <c r="GQB1" s="24" t="s">
        <v>17839</v>
      </c>
      <c r="GQC1" s="24" t="s">
        <v>17840</v>
      </c>
      <c r="GQD1" s="24" t="s">
        <v>17841</v>
      </c>
      <c r="GQE1" s="24" t="s">
        <v>17842</v>
      </c>
      <c r="GQF1" s="24" t="s">
        <v>17843</v>
      </c>
      <c r="GQG1" s="24" t="s">
        <v>17844</v>
      </c>
      <c r="GQH1" s="24" t="s">
        <v>17845</v>
      </c>
      <c r="GQI1" s="24" t="s">
        <v>17846</v>
      </c>
      <c r="GQJ1" s="24" t="s">
        <v>17847</v>
      </c>
      <c r="GQK1" s="24" t="s">
        <v>17848</v>
      </c>
      <c r="GQL1" s="24" t="s">
        <v>17849</v>
      </c>
      <c r="GQM1" s="24" t="s">
        <v>17850</v>
      </c>
      <c r="GQN1" s="24" t="s">
        <v>17851</v>
      </c>
      <c r="GQO1" s="24" t="s">
        <v>17852</v>
      </c>
      <c r="GQP1" s="24" t="s">
        <v>17853</v>
      </c>
      <c r="GQQ1" s="24" t="s">
        <v>17854</v>
      </c>
      <c r="GQR1" s="24" t="s">
        <v>17855</v>
      </c>
      <c r="GQS1" s="24" t="s">
        <v>17856</v>
      </c>
      <c r="GQT1" s="24" t="s">
        <v>17857</v>
      </c>
      <c r="GQU1" s="24" t="s">
        <v>17858</v>
      </c>
      <c r="GQV1" s="24" t="s">
        <v>17859</v>
      </c>
      <c r="GQW1" s="24" t="s">
        <v>17860</v>
      </c>
      <c r="GQX1" s="24" t="s">
        <v>17861</v>
      </c>
      <c r="GQY1" s="24" t="s">
        <v>17862</v>
      </c>
      <c r="GQZ1" s="24" t="s">
        <v>17863</v>
      </c>
      <c r="GRA1" s="24" t="s">
        <v>17864</v>
      </c>
      <c r="GRB1" s="24" t="s">
        <v>17865</v>
      </c>
      <c r="GRC1" s="24" t="s">
        <v>17866</v>
      </c>
      <c r="GRD1" s="24" t="s">
        <v>17867</v>
      </c>
      <c r="GRE1" s="24" t="s">
        <v>17868</v>
      </c>
      <c r="GRF1" s="24" t="s">
        <v>17869</v>
      </c>
      <c r="GRG1" s="24" t="s">
        <v>17870</v>
      </c>
      <c r="GRH1" s="24" t="s">
        <v>17871</v>
      </c>
      <c r="GRI1" s="24" t="s">
        <v>17872</v>
      </c>
      <c r="GRJ1" s="24" t="s">
        <v>17873</v>
      </c>
      <c r="GRK1" s="24" t="s">
        <v>17874</v>
      </c>
      <c r="GRL1" s="24" t="s">
        <v>17875</v>
      </c>
      <c r="GRM1" s="24" t="s">
        <v>17876</v>
      </c>
      <c r="GRN1" s="24" t="s">
        <v>17877</v>
      </c>
      <c r="GRO1" s="24" t="s">
        <v>17878</v>
      </c>
      <c r="GRP1" s="24" t="s">
        <v>17879</v>
      </c>
      <c r="GRQ1" s="24" t="s">
        <v>17880</v>
      </c>
      <c r="GRR1" s="24" t="s">
        <v>17881</v>
      </c>
      <c r="GRS1" s="24" t="s">
        <v>17882</v>
      </c>
      <c r="GRT1" s="24" t="s">
        <v>17883</v>
      </c>
      <c r="GRU1" s="24" t="s">
        <v>17884</v>
      </c>
      <c r="GRV1" s="24" t="s">
        <v>17885</v>
      </c>
      <c r="GRW1" s="24" t="s">
        <v>17886</v>
      </c>
      <c r="GRX1" s="24" t="s">
        <v>17887</v>
      </c>
      <c r="GRY1" s="24" t="s">
        <v>17888</v>
      </c>
      <c r="GRZ1" s="24" t="s">
        <v>17889</v>
      </c>
      <c r="GSA1" s="24" t="s">
        <v>17890</v>
      </c>
      <c r="GSB1" s="24" t="s">
        <v>17891</v>
      </c>
      <c r="GSC1" s="24" t="s">
        <v>17892</v>
      </c>
      <c r="GSD1" s="24" t="s">
        <v>17893</v>
      </c>
      <c r="GSE1" s="24" t="s">
        <v>17894</v>
      </c>
      <c r="GSF1" s="24" t="s">
        <v>17895</v>
      </c>
      <c r="GSG1" s="24" t="s">
        <v>17896</v>
      </c>
      <c r="GSH1" s="24" t="s">
        <v>17897</v>
      </c>
      <c r="GSI1" s="24" t="s">
        <v>17898</v>
      </c>
      <c r="GSJ1" s="24" t="s">
        <v>17899</v>
      </c>
      <c r="GSK1" s="24" t="s">
        <v>17900</v>
      </c>
      <c r="GSL1" s="24" t="s">
        <v>17901</v>
      </c>
      <c r="GSM1" s="24" t="s">
        <v>17902</v>
      </c>
      <c r="GSN1" s="24" t="s">
        <v>17903</v>
      </c>
      <c r="GSO1" s="24" t="s">
        <v>17904</v>
      </c>
      <c r="GSP1" s="24" t="s">
        <v>17905</v>
      </c>
      <c r="GSQ1" s="24" t="s">
        <v>17906</v>
      </c>
      <c r="GSR1" s="24" t="s">
        <v>17907</v>
      </c>
      <c r="GSS1" s="24" t="s">
        <v>17908</v>
      </c>
      <c r="GST1" s="24" t="s">
        <v>17909</v>
      </c>
      <c r="GSU1" s="24" t="s">
        <v>17910</v>
      </c>
      <c r="GSV1" s="24" t="s">
        <v>17911</v>
      </c>
      <c r="GSW1" s="24" t="s">
        <v>17912</v>
      </c>
      <c r="GSX1" s="24" t="s">
        <v>17913</v>
      </c>
      <c r="GSY1" s="24" t="s">
        <v>17914</v>
      </c>
      <c r="GSZ1" s="24" t="s">
        <v>17915</v>
      </c>
      <c r="GTA1" s="24" t="s">
        <v>17916</v>
      </c>
      <c r="GTB1" s="24" t="s">
        <v>17917</v>
      </c>
      <c r="GTC1" s="24" t="s">
        <v>17918</v>
      </c>
      <c r="GTD1" s="24" t="s">
        <v>17919</v>
      </c>
      <c r="GTE1" s="24" t="s">
        <v>17920</v>
      </c>
      <c r="GTF1" s="24" t="s">
        <v>17921</v>
      </c>
      <c r="GTG1" s="24" t="s">
        <v>17922</v>
      </c>
      <c r="GTH1" s="24" t="s">
        <v>17923</v>
      </c>
      <c r="GTI1" s="24" t="s">
        <v>17924</v>
      </c>
      <c r="GTJ1" s="24" t="s">
        <v>17925</v>
      </c>
      <c r="GTK1" s="24" t="s">
        <v>17926</v>
      </c>
      <c r="GTL1" s="24" t="s">
        <v>17927</v>
      </c>
      <c r="GTM1" s="24" t="s">
        <v>17928</v>
      </c>
      <c r="GTN1" s="24" t="s">
        <v>17929</v>
      </c>
      <c r="GTO1" s="24" t="s">
        <v>17930</v>
      </c>
      <c r="GTP1" s="24" t="s">
        <v>17931</v>
      </c>
      <c r="GTQ1" s="24" t="s">
        <v>17932</v>
      </c>
      <c r="GTR1" s="24" t="s">
        <v>17933</v>
      </c>
      <c r="GTS1" s="24" t="s">
        <v>17934</v>
      </c>
      <c r="GTT1" s="24" t="s">
        <v>17935</v>
      </c>
      <c r="GTU1" s="24" t="s">
        <v>17936</v>
      </c>
      <c r="GTV1" s="24" t="s">
        <v>17937</v>
      </c>
      <c r="GTW1" s="24" t="s">
        <v>17938</v>
      </c>
      <c r="GTX1" s="24" t="s">
        <v>17939</v>
      </c>
      <c r="GTY1" s="24" t="s">
        <v>17940</v>
      </c>
      <c r="GTZ1" s="24" t="s">
        <v>17941</v>
      </c>
      <c r="GUA1" s="24" t="s">
        <v>17942</v>
      </c>
      <c r="GUB1" s="24" t="s">
        <v>17943</v>
      </c>
      <c r="GUC1" s="24" t="s">
        <v>17944</v>
      </c>
      <c r="GUD1" s="24" t="s">
        <v>17945</v>
      </c>
      <c r="GUE1" s="24" t="s">
        <v>17946</v>
      </c>
      <c r="GUF1" s="24" t="s">
        <v>17947</v>
      </c>
      <c r="GUG1" s="24" t="s">
        <v>17948</v>
      </c>
      <c r="GUH1" s="24" t="s">
        <v>17949</v>
      </c>
      <c r="GUI1" s="24" t="s">
        <v>17950</v>
      </c>
      <c r="GUJ1" s="24" t="s">
        <v>17951</v>
      </c>
      <c r="GUK1" s="24" t="s">
        <v>17952</v>
      </c>
      <c r="GUL1" s="24" t="s">
        <v>17953</v>
      </c>
      <c r="GUM1" s="24" t="s">
        <v>17954</v>
      </c>
      <c r="GUN1" s="24" t="s">
        <v>17955</v>
      </c>
      <c r="GUO1" s="24" t="s">
        <v>17956</v>
      </c>
      <c r="GUP1" s="24" t="s">
        <v>17957</v>
      </c>
      <c r="GUQ1" s="24" t="s">
        <v>17958</v>
      </c>
      <c r="GUR1" s="24" t="s">
        <v>17959</v>
      </c>
      <c r="GUS1" s="24" t="s">
        <v>17960</v>
      </c>
      <c r="GUT1" s="24" t="s">
        <v>17961</v>
      </c>
      <c r="GUU1" s="24" t="s">
        <v>17962</v>
      </c>
      <c r="GUV1" s="24" t="s">
        <v>17963</v>
      </c>
      <c r="GUW1" s="24" t="s">
        <v>17964</v>
      </c>
      <c r="GUX1" s="24" t="s">
        <v>17965</v>
      </c>
      <c r="GUY1" s="24" t="s">
        <v>17966</v>
      </c>
      <c r="GUZ1" s="24" t="s">
        <v>17967</v>
      </c>
      <c r="GVA1" s="24" t="s">
        <v>17968</v>
      </c>
      <c r="GVB1" s="24" t="s">
        <v>17969</v>
      </c>
      <c r="GVC1" s="24" t="s">
        <v>17970</v>
      </c>
      <c r="GVD1" s="24" t="s">
        <v>17971</v>
      </c>
      <c r="GVE1" s="24" t="s">
        <v>17972</v>
      </c>
      <c r="GVF1" s="24" t="s">
        <v>17973</v>
      </c>
      <c r="GVG1" s="24" t="s">
        <v>17974</v>
      </c>
      <c r="GVH1" s="24" t="s">
        <v>17975</v>
      </c>
      <c r="GVI1" s="24" t="s">
        <v>17976</v>
      </c>
      <c r="GVJ1" s="24" t="s">
        <v>17977</v>
      </c>
      <c r="GVK1" s="24" t="s">
        <v>17978</v>
      </c>
      <c r="GVL1" s="24" t="s">
        <v>17979</v>
      </c>
      <c r="GVM1" s="24" t="s">
        <v>17980</v>
      </c>
      <c r="GVN1" s="24" t="s">
        <v>17981</v>
      </c>
      <c r="GVO1" s="24" t="s">
        <v>17982</v>
      </c>
      <c r="GVP1" s="24" t="s">
        <v>17983</v>
      </c>
      <c r="GVQ1" s="24" t="s">
        <v>17984</v>
      </c>
      <c r="GVR1" s="24" t="s">
        <v>17985</v>
      </c>
      <c r="GVS1" s="24" t="s">
        <v>17986</v>
      </c>
      <c r="GVT1" s="24" t="s">
        <v>17987</v>
      </c>
      <c r="GVU1" s="24" t="s">
        <v>17988</v>
      </c>
      <c r="GVV1" s="24" t="s">
        <v>17989</v>
      </c>
      <c r="GVW1" s="24" t="s">
        <v>17990</v>
      </c>
      <c r="GVX1" s="24" t="s">
        <v>17991</v>
      </c>
      <c r="GVY1" s="24" t="s">
        <v>17992</v>
      </c>
      <c r="GVZ1" s="24" t="s">
        <v>17993</v>
      </c>
      <c r="GWA1" s="24" t="s">
        <v>17994</v>
      </c>
      <c r="GWB1" s="24" t="s">
        <v>17995</v>
      </c>
      <c r="GWC1" s="24" t="s">
        <v>17996</v>
      </c>
      <c r="GWD1" s="24" t="s">
        <v>17997</v>
      </c>
      <c r="GWE1" s="24" t="s">
        <v>17998</v>
      </c>
      <c r="GWF1" s="24" t="s">
        <v>17999</v>
      </c>
      <c r="GWG1" s="24" t="s">
        <v>18000</v>
      </c>
      <c r="GWH1" s="24" t="s">
        <v>18001</v>
      </c>
      <c r="GWI1" s="24" t="s">
        <v>18002</v>
      </c>
      <c r="GWJ1" s="24" t="s">
        <v>18003</v>
      </c>
      <c r="GWK1" s="24" t="s">
        <v>18004</v>
      </c>
      <c r="GWL1" s="24" t="s">
        <v>18005</v>
      </c>
      <c r="GWM1" s="24" t="s">
        <v>18006</v>
      </c>
      <c r="GWN1" s="24" t="s">
        <v>18007</v>
      </c>
      <c r="GWO1" s="24" t="s">
        <v>18008</v>
      </c>
      <c r="GWP1" s="24" t="s">
        <v>18009</v>
      </c>
      <c r="GWQ1" s="24" t="s">
        <v>18010</v>
      </c>
      <c r="GWR1" s="24" t="s">
        <v>18011</v>
      </c>
      <c r="GWS1" s="24" t="s">
        <v>18012</v>
      </c>
      <c r="GWT1" s="24" t="s">
        <v>18013</v>
      </c>
      <c r="GWU1" s="24" t="s">
        <v>18014</v>
      </c>
      <c r="GWV1" s="24" t="s">
        <v>18015</v>
      </c>
      <c r="GWW1" s="24" t="s">
        <v>18016</v>
      </c>
      <c r="GWX1" s="24" t="s">
        <v>18017</v>
      </c>
      <c r="GWY1" s="24" t="s">
        <v>18018</v>
      </c>
      <c r="GWZ1" s="24" t="s">
        <v>18019</v>
      </c>
      <c r="GXA1" s="24" t="s">
        <v>18020</v>
      </c>
      <c r="GXB1" s="24" t="s">
        <v>18021</v>
      </c>
      <c r="GXC1" s="24" t="s">
        <v>18022</v>
      </c>
      <c r="GXD1" s="24" t="s">
        <v>18023</v>
      </c>
      <c r="GXE1" s="24" t="s">
        <v>18024</v>
      </c>
      <c r="GXF1" s="24" t="s">
        <v>18025</v>
      </c>
      <c r="GXG1" s="24" t="s">
        <v>18026</v>
      </c>
      <c r="GXH1" s="24" t="s">
        <v>18027</v>
      </c>
      <c r="GXI1" s="24" t="s">
        <v>18028</v>
      </c>
      <c r="GXJ1" s="24" t="s">
        <v>18029</v>
      </c>
      <c r="GXK1" s="24" t="s">
        <v>18030</v>
      </c>
      <c r="GXL1" s="24" t="s">
        <v>18031</v>
      </c>
      <c r="GXM1" s="24" t="s">
        <v>18032</v>
      </c>
      <c r="GXN1" s="24" t="s">
        <v>18033</v>
      </c>
      <c r="GXO1" s="24" t="s">
        <v>18034</v>
      </c>
      <c r="GXP1" s="24" t="s">
        <v>18035</v>
      </c>
      <c r="GXQ1" s="24" t="s">
        <v>18036</v>
      </c>
      <c r="GXR1" s="24" t="s">
        <v>18037</v>
      </c>
      <c r="GXS1" s="24" t="s">
        <v>18038</v>
      </c>
      <c r="GXT1" s="24" t="s">
        <v>18039</v>
      </c>
      <c r="GXU1" s="24" t="s">
        <v>18040</v>
      </c>
      <c r="GXV1" s="24" t="s">
        <v>18041</v>
      </c>
      <c r="GXW1" s="24" t="s">
        <v>18042</v>
      </c>
      <c r="GXX1" s="24" t="s">
        <v>18043</v>
      </c>
      <c r="GXY1" s="24" t="s">
        <v>18044</v>
      </c>
      <c r="GXZ1" s="24" t="s">
        <v>18045</v>
      </c>
      <c r="GYA1" s="24" t="s">
        <v>18046</v>
      </c>
      <c r="GYB1" s="24" t="s">
        <v>18047</v>
      </c>
      <c r="GYC1" s="24" t="s">
        <v>18048</v>
      </c>
      <c r="GYD1" s="24" t="s">
        <v>18049</v>
      </c>
      <c r="GYE1" s="24" t="s">
        <v>18050</v>
      </c>
      <c r="GYF1" s="24" t="s">
        <v>18051</v>
      </c>
      <c r="GYG1" s="24" t="s">
        <v>18052</v>
      </c>
      <c r="GYH1" s="24" t="s">
        <v>18053</v>
      </c>
      <c r="GYI1" s="24" t="s">
        <v>18054</v>
      </c>
      <c r="GYJ1" s="24" t="s">
        <v>18055</v>
      </c>
      <c r="GYK1" s="24" t="s">
        <v>18056</v>
      </c>
      <c r="GYL1" s="24" t="s">
        <v>18057</v>
      </c>
      <c r="GYM1" s="24" t="s">
        <v>18058</v>
      </c>
      <c r="GYN1" s="24" t="s">
        <v>18059</v>
      </c>
      <c r="GYO1" s="24" t="s">
        <v>18060</v>
      </c>
      <c r="GYP1" s="24" t="s">
        <v>18061</v>
      </c>
      <c r="GYQ1" s="24" t="s">
        <v>18062</v>
      </c>
      <c r="GYR1" s="24" t="s">
        <v>18063</v>
      </c>
      <c r="GYS1" s="24" t="s">
        <v>18064</v>
      </c>
      <c r="GYT1" s="24" t="s">
        <v>18065</v>
      </c>
      <c r="GYU1" s="24" t="s">
        <v>18066</v>
      </c>
      <c r="GYV1" s="24" t="s">
        <v>18067</v>
      </c>
      <c r="GYW1" s="24" t="s">
        <v>18068</v>
      </c>
      <c r="GYX1" s="24" t="s">
        <v>18069</v>
      </c>
      <c r="GYY1" s="24" t="s">
        <v>18070</v>
      </c>
      <c r="GYZ1" s="24" t="s">
        <v>18071</v>
      </c>
      <c r="GZA1" s="24" t="s">
        <v>18072</v>
      </c>
      <c r="GZB1" s="24" t="s">
        <v>18073</v>
      </c>
      <c r="GZC1" s="24" t="s">
        <v>18074</v>
      </c>
      <c r="GZD1" s="24" t="s">
        <v>18075</v>
      </c>
      <c r="GZE1" s="24" t="s">
        <v>18076</v>
      </c>
      <c r="GZF1" s="24" t="s">
        <v>18077</v>
      </c>
      <c r="GZG1" s="24" t="s">
        <v>18078</v>
      </c>
      <c r="GZH1" s="24" t="s">
        <v>18079</v>
      </c>
      <c r="GZI1" s="24" t="s">
        <v>18080</v>
      </c>
      <c r="GZJ1" s="24" t="s">
        <v>18081</v>
      </c>
      <c r="GZK1" s="24" t="s">
        <v>18082</v>
      </c>
      <c r="GZL1" s="24" t="s">
        <v>18083</v>
      </c>
      <c r="GZM1" s="24" t="s">
        <v>18084</v>
      </c>
      <c r="GZN1" s="24" t="s">
        <v>18085</v>
      </c>
      <c r="GZO1" s="24" t="s">
        <v>18086</v>
      </c>
      <c r="GZP1" s="24" t="s">
        <v>18087</v>
      </c>
      <c r="GZQ1" s="24" t="s">
        <v>18088</v>
      </c>
      <c r="GZR1" s="24" t="s">
        <v>18089</v>
      </c>
      <c r="GZS1" s="24" t="s">
        <v>18090</v>
      </c>
      <c r="GZT1" s="24" t="s">
        <v>18091</v>
      </c>
      <c r="GZU1" s="24" t="s">
        <v>18092</v>
      </c>
      <c r="GZV1" s="24" t="s">
        <v>18093</v>
      </c>
      <c r="GZW1" s="24" t="s">
        <v>18094</v>
      </c>
      <c r="GZX1" s="24" t="s">
        <v>18095</v>
      </c>
      <c r="GZY1" s="24" t="s">
        <v>18096</v>
      </c>
      <c r="GZZ1" s="24" t="s">
        <v>18097</v>
      </c>
      <c r="HAA1" s="24" t="s">
        <v>18098</v>
      </c>
      <c r="HAB1" s="24" t="s">
        <v>18099</v>
      </c>
      <c r="HAC1" s="24" t="s">
        <v>18100</v>
      </c>
      <c r="HAD1" s="24" t="s">
        <v>18101</v>
      </c>
      <c r="HAE1" s="24" t="s">
        <v>18102</v>
      </c>
      <c r="HAF1" s="24" t="s">
        <v>18103</v>
      </c>
      <c r="HAG1" s="24" t="s">
        <v>18104</v>
      </c>
      <c r="HAH1" s="24" t="s">
        <v>18105</v>
      </c>
      <c r="HAI1" s="24" t="s">
        <v>18106</v>
      </c>
      <c r="HAJ1" s="24" t="s">
        <v>18107</v>
      </c>
      <c r="HAK1" s="24" t="s">
        <v>18108</v>
      </c>
      <c r="HAL1" s="24" t="s">
        <v>18109</v>
      </c>
      <c r="HAM1" s="24" t="s">
        <v>18110</v>
      </c>
      <c r="HAN1" s="24" t="s">
        <v>18111</v>
      </c>
      <c r="HAO1" s="24" t="s">
        <v>18112</v>
      </c>
      <c r="HAP1" s="24" t="s">
        <v>18113</v>
      </c>
      <c r="HAQ1" s="24" t="s">
        <v>18114</v>
      </c>
      <c r="HAR1" s="24" t="s">
        <v>18115</v>
      </c>
      <c r="HAS1" s="24" t="s">
        <v>18116</v>
      </c>
      <c r="HAT1" s="24" t="s">
        <v>18117</v>
      </c>
      <c r="HAU1" s="24" t="s">
        <v>18118</v>
      </c>
      <c r="HAV1" s="24" t="s">
        <v>18119</v>
      </c>
      <c r="HAW1" s="24" t="s">
        <v>18120</v>
      </c>
      <c r="HAX1" s="24" t="s">
        <v>18121</v>
      </c>
      <c r="HAY1" s="24" t="s">
        <v>18122</v>
      </c>
      <c r="HAZ1" s="24" t="s">
        <v>18123</v>
      </c>
      <c r="HBA1" s="24" t="s">
        <v>18124</v>
      </c>
      <c r="HBB1" s="24" t="s">
        <v>18125</v>
      </c>
      <c r="HBC1" s="24" t="s">
        <v>18126</v>
      </c>
      <c r="HBD1" s="24" t="s">
        <v>18127</v>
      </c>
      <c r="HBE1" s="24" t="s">
        <v>18128</v>
      </c>
      <c r="HBF1" s="24" t="s">
        <v>18129</v>
      </c>
      <c r="HBG1" s="24" t="s">
        <v>18130</v>
      </c>
      <c r="HBH1" s="24" t="s">
        <v>18131</v>
      </c>
      <c r="HBI1" s="24" t="s">
        <v>18132</v>
      </c>
      <c r="HBJ1" s="24" t="s">
        <v>18133</v>
      </c>
      <c r="HBK1" s="24" t="s">
        <v>18134</v>
      </c>
      <c r="HBL1" s="24" t="s">
        <v>18135</v>
      </c>
      <c r="HBM1" s="24" t="s">
        <v>18136</v>
      </c>
      <c r="HBN1" s="24" t="s">
        <v>18137</v>
      </c>
      <c r="HBO1" s="24" t="s">
        <v>18138</v>
      </c>
      <c r="HBP1" s="24" t="s">
        <v>18139</v>
      </c>
      <c r="HBQ1" s="24" t="s">
        <v>18140</v>
      </c>
      <c r="HBR1" s="24" t="s">
        <v>18141</v>
      </c>
      <c r="HBS1" s="24" t="s">
        <v>18142</v>
      </c>
      <c r="HBT1" s="24" t="s">
        <v>18143</v>
      </c>
      <c r="HBU1" s="24" t="s">
        <v>18144</v>
      </c>
      <c r="HBV1" s="24" t="s">
        <v>18145</v>
      </c>
      <c r="HBW1" s="24" t="s">
        <v>18146</v>
      </c>
      <c r="HBX1" s="24" t="s">
        <v>18147</v>
      </c>
      <c r="HBY1" s="24" t="s">
        <v>18148</v>
      </c>
      <c r="HBZ1" s="24" t="s">
        <v>18149</v>
      </c>
      <c r="HCA1" s="24" t="s">
        <v>18150</v>
      </c>
      <c r="HCB1" s="24" t="s">
        <v>18151</v>
      </c>
      <c r="HCC1" s="24" t="s">
        <v>18152</v>
      </c>
      <c r="HCD1" s="24" t="s">
        <v>18153</v>
      </c>
      <c r="HCE1" s="24" t="s">
        <v>18154</v>
      </c>
      <c r="HCF1" s="24" t="s">
        <v>18155</v>
      </c>
      <c r="HCG1" s="24" t="s">
        <v>18156</v>
      </c>
      <c r="HCH1" s="24" t="s">
        <v>18157</v>
      </c>
      <c r="HCI1" s="24" t="s">
        <v>18158</v>
      </c>
      <c r="HCJ1" s="24" t="s">
        <v>18159</v>
      </c>
      <c r="HCK1" s="24" t="s">
        <v>18160</v>
      </c>
      <c r="HCL1" s="24" t="s">
        <v>18161</v>
      </c>
      <c r="HCM1" s="24" t="s">
        <v>18162</v>
      </c>
      <c r="HCN1" s="24" t="s">
        <v>18163</v>
      </c>
      <c r="HCO1" s="24" t="s">
        <v>18164</v>
      </c>
      <c r="HCP1" s="24" t="s">
        <v>18165</v>
      </c>
      <c r="HCQ1" s="24" t="s">
        <v>18166</v>
      </c>
      <c r="HCR1" s="24" t="s">
        <v>18167</v>
      </c>
      <c r="HCS1" s="24" t="s">
        <v>18168</v>
      </c>
      <c r="HCT1" s="24" t="s">
        <v>18169</v>
      </c>
      <c r="HCU1" s="24" t="s">
        <v>18170</v>
      </c>
      <c r="HCV1" s="24" t="s">
        <v>18171</v>
      </c>
      <c r="HCW1" s="24" t="s">
        <v>18172</v>
      </c>
      <c r="HCX1" s="24" t="s">
        <v>18173</v>
      </c>
      <c r="HCY1" s="24" t="s">
        <v>18174</v>
      </c>
      <c r="HCZ1" s="24" t="s">
        <v>18175</v>
      </c>
      <c r="HDA1" s="24" t="s">
        <v>18176</v>
      </c>
      <c r="HDB1" s="24" t="s">
        <v>18177</v>
      </c>
      <c r="HDC1" s="24" t="s">
        <v>18178</v>
      </c>
      <c r="HDD1" s="24" t="s">
        <v>18179</v>
      </c>
      <c r="HDE1" s="24" t="s">
        <v>18180</v>
      </c>
      <c r="HDF1" s="24" t="s">
        <v>18181</v>
      </c>
      <c r="HDG1" s="24" t="s">
        <v>18182</v>
      </c>
      <c r="HDH1" s="24" t="s">
        <v>18183</v>
      </c>
      <c r="HDI1" s="24" t="s">
        <v>18184</v>
      </c>
      <c r="HDJ1" s="24" t="s">
        <v>18185</v>
      </c>
      <c r="HDK1" s="24" t="s">
        <v>18186</v>
      </c>
      <c r="HDL1" s="24" t="s">
        <v>18187</v>
      </c>
      <c r="HDM1" s="24" t="s">
        <v>18188</v>
      </c>
      <c r="HDN1" s="24" t="s">
        <v>18189</v>
      </c>
      <c r="HDO1" s="24" t="s">
        <v>18190</v>
      </c>
      <c r="HDP1" s="24" t="s">
        <v>18191</v>
      </c>
      <c r="HDQ1" s="24" t="s">
        <v>18192</v>
      </c>
      <c r="HDR1" s="24" t="s">
        <v>18193</v>
      </c>
      <c r="HDS1" s="24" t="s">
        <v>18194</v>
      </c>
      <c r="HDT1" s="24" t="s">
        <v>18195</v>
      </c>
      <c r="HDU1" s="24" t="s">
        <v>18196</v>
      </c>
      <c r="HDV1" s="24" t="s">
        <v>18197</v>
      </c>
      <c r="HDW1" s="24" t="s">
        <v>18198</v>
      </c>
      <c r="HDX1" s="24" t="s">
        <v>18199</v>
      </c>
      <c r="HDY1" s="24" t="s">
        <v>18200</v>
      </c>
      <c r="HDZ1" s="24" t="s">
        <v>18201</v>
      </c>
      <c r="HEA1" s="24" t="s">
        <v>18202</v>
      </c>
      <c r="HEB1" s="24" t="s">
        <v>18203</v>
      </c>
      <c r="HEC1" s="24" t="s">
        <v>18204</v>
      </c>
      <c r="HED1" s="24" t="s">
        <v>18205</v>
      </c>
      <c r="HEE1" s="24" t="s">
        <v>18206</v>
      </c>
      <c r="HEF1" s="24" t="s">
        <v>18207</v>
      </c>
      <c r="HEG1" s="24" t="s">
        <v>18208</v>
      </c>
      <c r="HEH1" s="24" t="s">
        <v>18209</v>
      </c>
      <c r="HEI1" s="24" t="s">
        <v>18210</v>
      </c>
      <c r="HEJ1" s="24" t="s">
        <v>18211</v>
      </c>
      <c r="HEK1" s="24" t="s">
        <v>18212</v>
      </c>
      <c r="HEL1" s="24" t="s">
        <v>18213</v>
      </c>
      <c r="HEM1" s="24" t="s">
        <v>18214</v>
      </c>
      <c r="HEN1" s="24" t="s">
        <v>18215</v>
      </c>
      <c r="HEO1" s="24" t="s">
        <v>18216</v>
      </c>
      <c r="HEP1" s="24" t="s">
        <v>18217</v>
      </c>
      <c r="HEQ1" s="24" t="s">
        <v>18218</v>
      </c>
      <c r="HER1" s="24" t="s">
        <v>18219</v>
      </c>
      <c r="HES1" s="24" t="s">
        <v>18220</v>
      </c>
      <c r="HET1" s="24" t="s">
        <v>18221</v>
      </c>
      <c r="HEU1" s="24" t="s">
        <v>18222</v>
      </c>
      <c r="HEV1" s="24" t="s">
        <v>18223</v>
      </c>
      <c r="HEW1" s="24" t="s">
        <v>18224</v>
      </c>
      <c r="HEX1" s="24" t="s">
        <v>18225</v>
      </c>
      <c r="HEY1" s="24" t="s">
        <v>18226</v>
      </c>
      <c r="HEZ1" s="24" t="s">
        <v>18227</v>
      </c>
      <c r="HFA1" s="24" t="s">
        <v>18228</v>
      </c>
      <c r="HFB1" s="24" t="s">
        <v>18229</v>
      </c>
      <c r="HFC1" s="24" t="s">
        <v>18230</v>
      </c>
      <c r="HFD1" s="24" t="s">
        <v>18231</v>
      </c>
      <c r="HFE1" s="24" t="s">
        <v>18232</v>
      </c>
      <c r="HFF1" s="24" t="s">
        <v>18233</v>
      </c>
      <c r="HFG1" s="24" t="s">
        <v>18234</v>
      </c>
      <c r="HFH1" s="24" t="s">
        <v>18235</v>
      </c>
      <c r="HFI1" s="24" t="s">
        <v>18236</v>
      </c>
      <c r="HFJ1" s="24" t="s">
        <v>18237</v>
      </c>
      <c r="HFK1" s="24" t="s">
        <v>18238</v>
      </c>
      <c r="HFL1" s="24" t="s">
        <v>18239</v>
      </c>
      <c r="HFM1" s="24" t="s">
        <v>18240</v>
      </c>
      <c r="HFN1" s="24" t="s">
        <v>18241</v>
      </c>
      <c r="HFO1" s="24" t="s">
        <v>18242</v>
      </c>
      <c r="HFP1" s="24" t="s">
        <v>18243</v>
      </c>
      <c r="HFQ1" s="24" t="s">
        <v>18244</v>
      </c>
      <c r="HFR1" s="24" t="s">
        <v>18245</v>
      </c>
      <c r="HFS1" s="24" t="s">
        <v>18246</v>
      </c>
      <c r="HFT1" s="24" t="s">
        <v>18247</v>
      </c>
      <c r="HFU1" s="24" t="s">
        <v>18248</v>
      </c>
      <c r="HFV1" s="24" t="s">
        <v>18249</v>
      </c>
      <c r="HFW1" s="24" t="s">
        <v>18250</v>
      </c>
      <c r="HFX1" s="24" t="s">
        <v>18251</v>
      </c>
      <c r="HFY1" s="24" t="s">
        <v>18252</v>
      </c>
      <c r="HFZ1" s="24" t="s">
        <v>18253</v>
      </c>
      <c r="HGA1" s="24" t="s">
        <v>18254</v>
      </c>
      <c r="HGB1" s="24" t="s">
        <v>18255</v>
      </c>
      <c r="HGC1" s="24" t="s">
        <v>18256</v>
      </c>
      <c r="HGD1" s="24" t="s">
        <v>18257</v>
      </c>
      <c r="HGE1" s="24" t="s">
        <v>18258</v>
      </c>
      <c r="HGF1" s="24" t="s">
        <v>18259</v>
      </c>
      <c r="HGG1" s="24" t="s">
        <v>18260</v>
      </c>
      <c r="HGH1" s="24" t="s">
        <v>18261</v>
      </c>
      <c r="HGI1" s="24" t="s">
        <v>18262</v>
      </c>
      <c r="HGJ1" s="24" t="s">
        <v>18263</v>
      </c>
      <c r="HGK1" s="24" t="s">
        <v>18264</v>
      </c>
      <c r="HGL1" s="24" t="s">
        <v>18265</v>
      </c>
      <c r="HGM1" s="24" t="s">
        <v>18266</v>
      </c>
      <c r="HGN1" s="24" t="s">
        <v>18267</v>
      </c>
      <c r="HGO1" s="24" t="s">
        <v>18268</v>
      </c>
      <c r="HGP1" s="24" t="s">
        <v>18269</v>
      </c>
      <c r="HGQ1" s="24" t="s">
        <v>18270</v>
      </c>
      <c r="HGR1" s="24" t="s">
        <v>18271</v>
      </c>
      <c r="HGS1" s="24" t="s">
        <v>18272</v>
      </c>
      <c r="HGT1" s="24" t="s">
        <v>18273</v>
      </c>
      <c r="HGU1" s="24" t="s">
        <v>18274</v>
      </c>
      <c r="HGV1" s="24" t="s">
        <v>18275</v>
      </c>
      <c r="HGW1" s="24" t="s">
        <v>18276</v>
      </c>
      <c r="HGX1" s="24" t="s">
        <v>18277</v>
      </c>
      <c r="HGY1" s="24" t="s">
        <v>18278</v>
      </c>
      <c r="HGZ1" s="24" t="s">
        <v>18279</v>
      </c>
      <c r="HHA1" s="24" t="s">
        <v>18280</v>
      </c>
      <c r="HHB1" s="24" t="s">
        <v>18281</v>
      </c>
      <c r="HHC1" s="24" t="s">
        <v>18282</v>
      </c>
      <c r="HHD1" s="24" t="s">
        <v>18283</v>
      </c>
      <c r="HHE1" s="24" t="s">
        <v>18284</v>
      </c>
      <c r="HHF1" s="24" t="s">
        <v>18285</v>
      </c>
      <c r="HHG1" s="24" t="s">
        <v>18286</v>
      </c>
      <c r="HHH1" s="24" t="s">
        <v>18287</v>
      </c>
      <c r="HHI1" s="24" t="s">
        <v>18288</v>
      </c>
      <c r="HHJ1" s="24" t="s">
        <v>18289</v>
      </c>
      <c r="HHK1" s="24" t="s">
        <v>18290</v>
      </c>
      <c r="HHL1" s="24" t="s">
        <v>18291</v>
      </c>
      <c r="HHM1" s="24" t="s">
        <v>18292</v>
      </c>
      <c r="HHN1" s="24" t="s">
        <v>18293</v>
      </c>
      <c r="HHO1" s="24" t="s">
        <v>18294</v>
      </c>
      <c r="HHP1" s="24" t="s">
        <v>18295</v>
      </c>
      <c r="HHQ1" s="24" t="s">
        <v>18296</v>
      </c>
      <c r="HHR1" s="24" t="s">
        <v>18297</v>
      </c>
      <c r="HHS1" s="24" t="s">
        <v>18298</v>
      </c>
      <c r="HHT1" s="24" t="s">
        <v>18299</v>
      </c>
      <c r="HHU1" s="24" t="s">
        <v>18300</v>
      </c>
      <c r="HHV1" s="24" t="s">
        <v>18301</v>
      </c>
      <c r="HHW1" s="24" t="s">
        <v>18302</v>
      </c>
      <c r="HHX1" s="24" t="s">
        <v>18303</v>
      </c>
      <c r="HHY1" s="24" t="s">
        <v>18304</v>
      </c>
      <c r="HHZ1" s="24" t="s">
        <v>18305</v>
      </c>
      <c r="HIA1" s="24" t="s">
        <v>18306</v>
      </c>
      <c r="HIB1" s="24" t="s">
        <v>18307</v>
      </c>
      <c r="HIC1" s="24" t="s">
        <v>18308</v>
      </c>
      <c r="HID1" s="24" t="s">
        <v>18309</v>
      </c>
      <c r="HIE1" s="24" t="s">
        <v>18310</v>
      </c>
      <c r="HIF1" s="24" t="s">
        <v>18311</v>
      </c>
      <c r="HIG1" s="24" t="s">
        <v>18312</v>
      </c>
      <c r="HIH1" s="24" t="s">
        <v>18313</v>
      </c>
      <c r="HII1" s="24" t="s">
        <v>18314</v>
      </c>
      <c r="HIJ1" s="24" t="s">
        <v>18315</v>
      </c>
      <c r="HIK1" s="24" t="s">
        <v>18316</v>
      </c>
      <c r="HIL1" s="24" t="s">
        <v>18317</v>
      </c>
      <c r="HIM1" s="24" t="s">
        <v>18318</v>
      </c>
      <c r="HIN1" s="24" t="s">
        <v>18319</v>
      </c>
      <c r="HIO1" s="24" t="s">
        <v>18320</v>
      </c>
      <c r="HIP1" s="24" t="s">
        <v>18321</v>
      </c>
      <c r="HIQ1" s="24" t="s">
        <v>18322</v>
      </c>
      <c r="HIR1" s="24" t="s">
        <v>18323</v>
      </c>
      <c r="HIS1" s="24" t="s">
        <v>18324</v>
      </c>
      <c r="HIT1" s="24" t="s">
        <v>18325</v>
      </c>
      <c r="HIU1" s="24" t="s">
        <v>18326</v>
      </c>
      <c r="HIV1" s="24" t="s">
        <v>18327</v>
      </c>
      <c r="HIW1" s="24" t="s">
        <v>18328</v>
      </c>
      <c r="HIX1" s="24" t="s">
        <v>18329</v>
      </c>
      <c r="HIY1" s="24" t="s">
        <v>18330</v>
      </c>
      <c r="HIZ1" s="24" t="s">
        <v>18331</v>
      </c>
      <c r="HJA1" s="24" t="s">
        <v>18332</v>
      </c>
      <c r="HJB1" s="24" t="s">
        <v>18333</v>
      </c>
      <c r="HJC1" s="24" t="s">
        <v>18334</v>
      </c>
      <c r="HJD1" s="24" t="s">
        <v>18335</v>
      </c>
      <c r="HJE1" s="24" t="s">
        <v>18336</v>
      </c>
      <c r="HJF1" s="24" t="s">
        <v>18337</v>
      </c>
      <c r="HJG1" s="24" t="s">
        <v>18338</v>
      </c>
      <c r="HJH1" s="24" t="s">
        <v>18339</v>
      </c>
      <c r="HJI1" s="24" t="s">
        <v>18340</v>
      </c>
      <c r="HJJ1" s="24" t="s">
        <v>18341</v>
      </c>
      <c r="HJK1" s="24" t="s">
        <v>18342</v>
      </c>
      <c r="HJL1" s="24" t="s">
        <v>18343</v>
      </c>
      <c r="HJM1" s="24" t="s">
        <v>18344</v>
      </c>
      <c r="HJN1" s="24" t="s">
        <v>18345</v>
      </c>
      <c r="HJO1" s="24" t="s">
        <v>18346</v>
      </c>
      <c r="HJP1" s="24" t="s">
        <v>18347</v>
      </c>
      <c r="HJQ1" s="24" t="s">
        <v>18348</v>
      </c>
      <c r="HJR1" s="24" t="s">
        <v>18349</v>
      </c>
      <c r="HJS1" s="24" t="s">
        <v>18350</v>
      </c>
      <c r="HJT1" s="24" t="s">
        <v>18351</v>
      </c>
      <c r="HJU1" s="24" t="s">
        <v>18352</v>
      </c>
      <c r="HJV1" s="24" t="s">
        <v>18353</v>
      </c>
      <c r="HJW1" s="24" t="s">
        <v>18354</v>
      </c>
      <c r="HJX1" s="24" t="s">
        <v>18355</v>
      </c>
      <c r="HJY1" s="24" t="s">
        <v>18356</v>
      </c>
      <c r="HJZ1" s="24" t="s">
        <v>18357</v>
      </c>
      <c r="HKA1" s="24" t="s">
        <v>18358</v>
      </c>
      <c r="HKB1" s="24" t="s">
        <v>18359</v>
      </c>
      <c r="HKC1" s="24" t="s">
        <v>18360</v>
      </c>
      <c r="HKD1" s="24" t="s">
        <v>18361</v>
      </c>
      <c r="HKE1" s="24" t="s">
        <v>18362</v>
      </c>
      <c r="HKF1" s="24" t="s">
        <v>18363</v>
      </c>
      <c r="HKG1" s="24" t="s">
        <v>18364</v>
      </c>
      <c r="HKH1" s="24" t="s">
        <v>18365</v>
      </c>
      <c r="HKI1" s="24" t="s">
        <v>18366</v>
      </c>
      <c r="HKJ1" s="24" t="s">
        <v>18367</v>
      </c>
      <c r="HKK1" s="24" t="s">
        <v>18368</v>
      </c>
      <c r="HKL1" s="24" t="s">
        <v>18369</v>
      </c>
      <c r="HKM1" s="24" t="s">
        <v>18370</v>
      </c>
      <c r="HKN1" s="24" t="s">
        <v>18371</v>
      </c>
      <c r="HKO1" s="24" t="s">
        <v>18372</v>
      </c>
      <c r="HKP1" s="24" t="s">
        <v>18373</v>
      </c>
      <c r="HKQ1" s="24" t="s">
        <v>18374</v>
      </c>
      <c r="HKR1" s="24" t="s">
        <v>18375</v>
      </c>
      <c r="HKS1" s="24" t="s">
        <v>18376</v>
      </c>
      <c r="HKT1" s="24" t="s">
        <v>18377</v>
      </c>
      <c r="HKU1" s="24" t="s">
        <v>18378</v>
      </c>
      <c r="HKV1" s="24" t="s">
        <v>18379</v>
      </c>
      <c r="HKW1" s="24" t="s">
        <v>18380</v>
      </c>
      <c r="HKX1" s="24" t="s">
        <v>18381</v>
      </c>
      <c r="HKY1" s="24" t="s">
        <v>18382</v>
      </c>
      <c r="HKZ1" s="24" t="s">
        <v>18383</v>
      </c>
      <c r="HLA1" s="24" t="s">
        <v>18384</v>
      </c>
      <c r="HLB1" s="24" t="s">
        <v>18385</v>
      </c>
      <c r="HLC1" s="24" t="s">
        <v>18386</v>
      </c>
      <c r="HLD1" s="24" t="s">
        <v>18387</v>
      </c>
      <c r="HLE1" s="24" t="s">
        <v>18388</v>
      </c>
      <c r="HLF1" s="24" t="s">
        <v>18389</v>
      </c>
      <c r="HLG1" s="24" t="s">
        <v>18390</v>
      </c>
      <c r="HLH1" s="24" t="s">
        <v>18391</v>
      </c>
      <c r="HLI1" s="24" t="s">
        <v>18392</v>
      </c>
      <c r="HLJ1" s="24" t="s">
        <v>18393</v>
      </c>
      <c r="HLK1" s="24" t="s">
        <v>18394</v>
      </c>
      <c r="HLL1" s="24" t="s">
        <v>18395</v>
      </c>
      <c r="HLM1" s="24" t="s">
        <v>18396</v>
      </c>
      <c r="HLN1" s="24" t="s">
        <v>18397</v>
      </c>
      <c r="HLO1" s="24" t="s">
        <v>18398</v>
      </c>
      <c r="HLP1" s="24" t="s">
        <v>18399</v>
      </c>
      <c r="HLQ1" s="24" t="s">
        <v>18400</v>
      </c>
      <c r="HLR1" s="24" t="s">
        <v>18401</v>
      </c>
      <c r="HLS1" s="24" t="s">
        <v>18402</v>
      </c>
      <c r="HLT1" s="24" t="s">
        <v>18403</v>
      </c>
      <c r="HLU1" s="24" t="s">
        <v>18404</v>
      </c>
      <c r="HLV1" s="24" t="s">
        <v>18405</v>
      </c>
      <c r="HLW1" s="24" t="s">
        <v>18406</v>
      </c>
      <c r="HLX1" s="24" t="s">
        <v>18407</v>
      </c>
      <c r="HLY1" s="24" t="s">
        <v>18408</v>
      </c>
      <c r="HLZ1" s="24" t="s">
        <v>18409</v>
      </c>
      <c r="HMA1" s="24" t="s">
        <v>18410</v>
      </c>
      <c r="HMB1" s="24" t="s">
        <v>18411</v>
      </c>
      <c r="HMC1" s="24" t="s">
        <v>18412</v>
      </c>
      <c r="HMD1" s="24" t="s">
        <v>18413</v>
      </c>
      <c r="HME1" s="24" t="s">
        <v>18414</v>
      </c>
      <c r="HMF1" s="24" t="s">
        <v>18415</v>
      </c>
      <c r="HMG1" s="24" t="s">
        <v>18416</v>
      </c>
      <c r="HMH1" s="24" t="s">
        <v>18417</v>
      </c>
      <c r="HMI1" s="24" t="s">
        <v>18418</v>
      </c>
      <c r="HMJ1" s="24" t="s">
        <v>18419</v>
      </c>
      <c r="HMK1" s="24" t="s">
        <v>18420</v>
      </c>
      <c r="HML1" s="24" t="s">
        <v>18421</v>
      </c>
      <c r="HMM1" s="24" t="s">
        <v>18422</v>
      </c>
      <c r="HMN1" s="24" t="s">
        <v>18423</v>
      </c>
      <c r="HMO1" s="24" t="s">
        <v>18424</v>
      </c>
      <c r="HMP1" s="24" t="s">
        <v>18425</v>
      </c>
      <c r="HMQ1" s="24" t="s">
        <v>18426</v>
      </c>
      <c r="HMR1" s="24" t="s">
        <v>18427</v>
      </c>
      <c r="HMS1" s="24" t="s">
        <v>18428</v>
      </c>
      <c r="HMT1" s="24" t="s">
        <v>18429</v>
      </c>
      <c r="HMU1" s="24" t="s">
        <v>18430</v>
      </c>
      <c r="HMV1" s="24" t="s">
        <v>18431</v>
      </c>
      <c r="HMW1" s="24" t="s">
        <v>18432</v>
      </c>
      <c r="HMX1" s="24" t="s">
        <v>18433</v>
      </c>
      <c r="HMY1" s="24" t="s">
        <v>18434</v>
      </c>
      <c r="HMZ1" s="24" t="s">
        <v>18435</v>
      </c>
      <c r="HNA1" s="24" t="s">
        <v>18436</v>
      </c>
      <c r="HNB1" s="24" t="s">
        <v>18437</v>
      </c>
      <c r="HNC1" s="24" t="s">
        <v>18438</v>
      </c>
      <c r="HND1" s="24" t="s">
        <v>18439</v>
      </c>
      <c r="HNE1" s="24" t="s">
        <v>18440</v>
      </c>
      <c r="HNF1" s="24" t="s">
        <v>18441</v>
      </c>
      <c r="HNG1" s="24" t="s">
        <v>18442</v>
      </c>
      <c r="HNH1" s="24" t="s">
        <v>18443</v>
      </c>
      <c r="HNI1" s="24" t="s">
        <v>18444</v>
      </c>
      <c r="HNJ1" s="24" t="s">
        <v>18445</v>
      </c>
      <c r="HNK1" s="24" t="s">
        <v>18446</v>
      </c>
      <c r="HNL1" s="24" t="s">
        <v>18447</v>
      </c>
      <c r="HNM1" s="24" t="s">
        <v>18448</v>
      </c>
      <c r="HNN1" s="24" t="s">
        <v>18449</v>
      </c>
      <c r="HNO1" s="24" t="s">
        <v>18450</v>
      </c>
      <c r="HNP1" s="24" t="s">
        <v>18451</v>
      </c>
      <c r="HNQ1" s="24" t="s">
        <v>18452</v>
      </c>
      <c r="HNR1" s="24" t="s">
        <v>18453</v>
      </c>
      <c r="HNS1" s="24" t="s">
        <v>18454</v>
      </c>
      <c r="HNT1" s="24" t="s">
        <v>18455</v>
      </c>
      <c r="HNU1" s="24" t="s">
        <v>18456</v>
      </c>
      <c r="HNV1" s="24" t="s">
        <v>18457</v>
      </c>
      <c r="HNW1" s="24" t="s">
        <v>18458</v>
      </c>
      <c r="HNX1" s="24" t="s">
        <v>18459</v>
      </c>
      <c r="HNY1" s="24" t="s">
        <v>18460</v>
      </c>
      <c r="HNZ1" s="24" t="s">
        <v>18461</v>
      </c>
      <c r="HOA1" s="24" t="s">
        <v>18462</v>
      </c>
      <c r="HOB1" s="24" t="s">
        <v>18463</v>
      </c>
      <c r="HOC1" s="24" t="s">
        <v>18464</v>
      </c>
      <c r="HOD1" s="24" t="s">
        <v>18465</v>
      </c>
      <c r="HOE1" s="24" t="s">
        <v>18466</v>
      </c>
      <c r="HOF1" s="24" t="s">
        <v>18467</v>
      </c>
      <c r="HOG1" s="24" t="s">
        <v>18468</v>
      </c>
      <c r="HOH1" s="24" t="s">
        <v>18469</v>
      </c>
      <c r="HOI1" s="24" t="s">
        <v>18470</v>
      </c>
      <c r="HOJ1" s="24" t="s">
        <v>18471</v>
      </c>
      <c r="HOK1" s="24" t="s">
        <v>18472</v>
      </c>
      <c r="HOL1" s="24" t="s">
        <v>18473</v>
      </c>
      <c r="HOM1" s="24" t="s">
        <v>18474</v>
      </c>
      <c r="HON1" s="24" t="s">
        <v>18475</v>
      </c>
      <c r="HOO1" s="24" t="s">
        <v>18476</v>
      </c>
      <c r="HOP1" s="24" t="s">
        <v>18477</v>
      </c>
      <c r="HOQ1" s="24" t="s">
        <v>18478</v>
      </c>
      <c r="HOR1" s="24" t="s">
        <v>18479</v>
      </c>
      <c r="HOS1" s="24" t="s">
        <v>18480</v>
      </c>
      <c r="HOT1" s="24" t="s">
        <v>18481</v>
      </c>
      <c r="HOU1" s="24" t="s">
        <v>18482</v>
      </c>
      <c r="HOV1" s="24" t="s">
        <v>18483</v>
      </c>
      <c r="HOW1" s="24" t="s">
        <v>18484</v>
      </c>
      <c r="HOX1" s="24" t="s">
        <v>18485</v>
      </c>
      <c r="HOY1" s="24" t="s">
        <v>18486</v>
      </c>
      <c r="HOZ1" s="24" t="s">
        <v>18487</v>
      </c>
      <c r="HPA1" s="24" t="s">
        <v>18488</v>
      </c>
      <c r="HPB1" s="24" t="s">
        <v>18489</v>
      </c>
      <c r="HPC1" s="24" t="s">
        <v>18490</v>
      </c>
      <c r="HPD1" s="24" t="s">
        <v>18491</v>
      </c>
      <c r="HPE1" s="24" t="s">
        <v>18492</v>
      </c>
      <c r="HPF1" s="24" t="s">
        <v>18493</v>
      </c>
      <c r="HPG1" s="24" t="s">
        <v>18494</v>
      </c>
      <c r="HPH1" s="24" t="s">
        <v>18495</v>
      </c>
      <c r="HPI1" s="24" t="s">
        <v>18496</v>
      </c>
      <c r="HPJ1" s="24" t="s">
        <v>18497</v>
      </c>
      <c r="HPK1" s="24" t="s">
        <v>18498</v>
      </c>
      <c r="HPL1" s="24" t="s">
        <v>18499</v>
      </c>
      <c r="HPM1" s="24" t="s">
        <v>18500</v>
      </c>
      <c r="HPN1" s="24" t="s">
        <v>18501</v>
      </c>
      <c r="HPO1" s="24" t="s">
        <v>18502</v>
      </c>
      <c r="HPP1" s="24" t="s">
        <v>18503</v>
      </c>
      <c r="HPQ1" s="24" t="s">
        <v>18504</v>
      </c>
      <c r="HPR1" s="24" t="s">
        <v>18505</v>
      </c>
      <c r="HPS1" s="24" t="s">
        <v>18506</v>
      </c>
      <c r="HPT1" s="24" t="s">
        <v>18507</v>
      </c>
      <c r="HPU1" s="24" t="s">
        <v>18508</v>
      </c>
      <c r="HPV1" s="24" t="s">
        <v>18509</v>
      </c>
      <c r="HPW1" s="24" t="s">
        <v>18510</v>
      </c>
      <c r="HPX1" s="24" t="s">
        <v>18511</v>
      </c>
      <c r="HPY1" s="24" t="s">
        <v>18512</v>
      </c>
      <c r="HPZ1" s="24" t="s">
        <v>18513</v>
      </c>
      <c r="HQA1" s="24" t="s">
        <v>18514</v>
      </c>
      <c r="HQB1" s="24" t="s">
        <v>18515</v>
      </c>
      <c r="HQC1" s="24" t="s">
        <v>18516</v>
      </c>
      <c r="HQD1" s="24" t="s">
        <v>18517</v>
      </c>
      <c r="HQE1" s="24" t="s">
        <v>18518</v>
      </c>
      <c r="HQF1" s="24" t="s">
        <v>18519</v>
      </c>
      <c r="HQG1" s="24" t="s">
        <v>18520</v>
      </c>
      <c r="HQH1" s="24" t="s">
        <v>18521</v>
      </c>
      <c r="HQI1" s="24" t="s">
        <v>18522</v>
      </c>
      <c r="HQJ1" s="24" t="s">
        <v>18523</v>
      </c>
      <c r="HQK1" s="24" t="s">
        <v>18524</v>
      </c>
      <c r="HQL1" s="24" t="s">
        <v>18525</v>
      </c>
      <c r="HQM1" s="24" t="s">
        <v>18526</v>
      </c>
      <c r="HQN1" s="24" t="s">
        <v>18527</v>
      </c>
      <c r="HQO1" s="24" t="s">
        <v>18528</v>
      </c>
      <c r="HQP1" s="24" t="s">
        <v>18529</v>
      </c>
      <c r="HQQ1" s="24" t="s">
        <v>18530</v>
      </c>
      <c r="HQR1" s="24" t="s">
        <v>18531</v>
      </c>
      <c r="HQS1" s="24" t="s">
        <v>18532</v>
      </c>
      <c r="HQT1" s="24" t="s">
        <v>18533</v>
      </c>
      <c r="HQU1" s="24" t="s">
        <v>18534</v>
      </c>
      <c r="HQV1" s="24" t="s">
        <v>18535</v>
      </c>
      <c r="HQW1" s="24" t="s">
        <v>18536</v>
      </c>
      <c r="HQX1" s="24" t="s">
        <v>18537</v>
      </c>
      <c r="HQY1" s="24" t="s">
        <v>18538</v>
      </c>
      <c r="HQZ1" s="24" t="s">
        <v>18539</v>
      </c>
      <c r="HRA1" s="24" t="s">
        <v>18540</v>
      </c>
      <c r="HRB1" s="24" t="s">
        <v>18541</v>
      </c>
      <c r="HRC1" s="24" t="s">
        <v>18542</v>
      </c>
      <c r="HRD1" s="24" t="s">
        <v>18543</v>
      </c>
      <c r="HRE1" s="24" t="s">
        <v>18544</v>
      </c>
      <c r="HRF1" s="24" t="s">
        <v>18545</v>
      </c>
      <c r="HRG1" s="24" t="s">
        <v>18546</v>
      </c>
      <c r="HRH1" s="24" t="s">
        <v>18547</v>
      </c>
      <c r="HRI1" s="24" t="s">
        <v>18548</v>
      </c>
      <c r="HRJ1" s="24" t="s">
        <v>18549</v>
      </c>
      <c r="HRK1" s="24" t="s">
        <v>18550</v>
      </c>
      <c r="HRL1" s="24" t="s">
        <v>18551</v>
      </c>
      <c r="HRM1" s="24" t="s">
        <v>18552</v>
      </c>
      <c r="HRN1" s="24" t="s">
        <v>18553</v>
      </c>
      <c r="HRO1" s="24" t="s">
        <v>18554</v>
      </c>
      <c r="HRP1" s="24" t="s">
        <v>18555</v>
      </c>
      <c r="HRQ1" s="24" t="s">
        <v>18556</v>
      </c>
      <c r="HRR1" s="24" t="s">
        <v>18557</v>
      </c>
      <c r="HRS1" s="24" t="s">
        <v>18558</v>
      </c>
      <c r="HRT1" s="24" t="s">
        <v>18559</v>
      </c>
      <c r="HRU1" s="24" t="s">
        <v>18560</v>
      </c>
      <c r="HRV1" s="24" t="s">
        <v>18561</v>
      </c>
      <c r="HRW1" s="24" t="s">
        <v>18562</v>
      </c>
      <c r="HRX1" s="24" t="s">
        <v>18563</v>
      </c>
      <c r="HRY1" s="24" t="s">
        <v>18564</v>
      </c>
      <c r="HRZ1" s="24" t="s">
        <v>18565</v>
      </c>
      <c r="HSA1" s="24" t="s">
        <v>18566</v>
      </c>
      <c r="HSB1" s="24" t="s">
        <v>18567</v>
      </c>
      <c r="HSC1" s="24" t="s">
        <v>18568</v>
      </c>
      <c r="HSD1" s="24" t="s">
        <v>18569</v>
      </c>
      <c r="HSE1" s="24" t="s">
        <v>18570</v>
      </c>
      <c r="HSF1" s="24" t="s">
        <v>18571</v>
      </c>
      <c r="HSG1" s="24" t="s">
        <v>18572</v>
      </c>
      <c r="HSH1" s="24" t="s">
        <v>18573</v>
      </c>
      <c r="HSI1" s="24" t="s">
        <v>18574</v>
      </c>
      <c r="HSJ1" s="24" t="s">
        <v>18575</v>
      </c>
      <c r="HSK1" s="24" t="s">
        <v>18576</v>
      </c>
      <c r="HSL1" s="24" t="s">
        <v>18577</v>
      </c>
      <c r="HSM1" s="24" t="s">
        <v>18578</v>
      </c>
      <c r="HSN1" s="24" t="s">
        <v>18579</v>
      </c>
      <c r="HSO1" s="24" t="s">
        <v>18580</v>
      </c>
      <c r="HSP1" s="24" t="s">
        <v>18581</v>
      </c>
      <c r="HSQ1" s="24" t="s">
        <v>18582</v>
      </c>
      <c r="HSR1" s="24" t="s">
        <v>18583</v>
      </c>
      <c r="HSS1" s="24" t="s">
        <v>18584</v>
      </c>
      <c r="HST1" s="24" t="s">
        <v>18585</v>
      </c>
      <c r="HSU1" s="24" t="s">
        <v>18586</v>
      </c>
      <c r="HSV1" s="24" t="s">
        <v>18587</v>
      </c>
      <c r="HSW1" s="24" t="s">
        <v>18588</v>
      </c>
      <c r="HSX1" s="24" t="s">
        <v>18589</v>
      </c>
      <c r="HSY1" s="24" t="s">
        <v>18590</v>
      </c>
      <c r="HSZ1" s="24" t="s">
        <v>18591</v>
      </c>
      <c r="HTA1" s="24" t="s">
        <v>18592</v>
      </c>
      <c r="HTB1" s="24" t="s">
        <v>18593</v>
      </c>
      <c r="HTC1" s="24" t="s">
        <v>18594</v>
      </c>
      <c r="HTD1" s="24" t="s">
        <v>18595</v>
      </c>
      <c r="HTE1" s="24" t="s">
        <v>18596</v>
      </c>
      <c r="HTF1" s="24" t="s">
        <v>18597</v>
      </c>
      <c r="HTG1" s="24" t="s">
        <v>18598</v>
      </c>
      <c r="HTH1" s="24" t="s">
        <v>18599</v>
      </c>
      <c r="HTI1" s="24" t="s">
        <v>18600</v>
      </c>
      <c r="HTJ1" s="24" t="s">
        <v>18601</v>
      </c>
      <c r="HTK1" s="24" t="s">
        <v>18602</v>
      </c>
      <c r="HTL1" s="24" t="s">
        <v>18603</v>
      </c>
      <c r="HTM1" s="24" t="s">
        <v>18604</v>
      </c>
      <c r="HTN1" s="24" t="s">
        <v>18605</v>
      </c>
      <c r="HTO1" s="24" t="s">
        <v>18606</v>
      </c>
      <c r="HTP1" s="24" t="s">
        <v>18607</v>
      </c>
      <c r="HTQ1" s="24" t="s">
        <v>18608</v>
      </c>
      <c r="HTR1" s="24" t="s">
        <v>18609</v>
      </c>
      <c r="HTS1" s="24" t="s">
        <v>18610</v>
      </c>
      <c r="HTT1" s="24" t="s">
        <v>18611</v>
      </c>
      <c r="HTU1" s="24" t="s">
        <v>18612</v>
      </c>
      <c r="HTV1" s="24" t="s">
        <v>18613</v>
      </c>
      <c r="HTW1" s="24" t="s">
        <v>18614</v>
      </c>
      <c r="HTX1" s="24" t="s">
        <v>18615</v>
      </c>
      <c r="HTY1" s="24" t="s">
        <v>18616</v>
      </c>
      <c r="HTZ1" s="24" t="s">
        <v>18617</v>
      </c>
      <c r="HUA1" s="24" t="s">
        <v>18618</v>
      </c>
      <c r="HUB1" s="24" t="s">
        <v>18619</v>
      </c>
      <c r="HUC1" s="24" t="s">
        <v>18620</v>
      </c>
      <c r="HUD1" s="24" t="s">
        <v>18621</v>
      </c>
      <c r="HUE1" s="24" t="s">
        <v>18622</v>
      </c>
      <c r="HUF1" s="24" t="s">
        <v>18623</v>
      </c>
      <c r="HUG1" s="24" t="s">
        <v>18624</v>
      </c>
      <c r="HUH1" s="24" t="s">
        <v>18625</v>
      </c>
      <c r="HUI1" s="24" t="s">
        <v>18626</v>
      </c>
      <c r="HUJ1" s="24" t="s">
        <v>18627</v>
      </c>
      <c r="HUK1" s="24" t="s">
        <v>18628</v>
      </c>
      <c r="HUL1" s="24" t="s">
        <v>18629</v>
      </c>
      <c r="HUM1" s="24" t="s">
        <v>18630</v>
      </c>
      <c r="HUN1" s="24" t="s">
        <v>18631</v>
      </c>
      <c r="HUO1" s="24" t="s">
        <v>18632</v>
      </c>
      <c r="HUP1" s="24" t="s">
        <v>18633</v>
      </c>
      <c r="HUQ1" s="24" t="s">
        <v>18634</v>
      </c>
      <c r="HUR1" s="24" t="s">
        <v>18635</v>
      </c>
      <c r="HUS1" s="24" t="s">
        <v>18636</v>
      </c>
      <c r="HUT1" s="24" t="s">
        <v>18637</v>
      </c>
      <c r="HUU1" s="24" t="s">
        <v>18638</v>
      </c>
      <c r="HUV1" s="24" t="s">
        <v>18639</v>
      </c>
      <c r="HUW1" s="24" t="s">
        <v>18640</v>
      </c>
      <c r="HUX1" s="24" t="s">
        <v>18641</v>
      </c>
      <c r="HUY1" s="24" t="s">
        <v>18642</v>
      </c>
      <c r="HUZ1" s="24" t="s">
        <v>18643</v>
      </c>
      <c r="HVA1" s="24" t="s">
        <v>18644</v>
      </c>
      <c r="HVB1" s="24" t="s">
        <v>18645</v>
      </c>
      <c r="HVC1" s="24" t="s">
        <v>18646</v>
      </c>
      <c r="HVD1" s="24" t="s">
        <v>18647</v>
      </c>
      <c r="HVE1" s="24" t="s">
        <v>18648</v>
      </c>
      <c r="HVF1" s="24" t="s">
        <v>18649</v>
      </c>
      <c r="HVG1" s="24" t="s">
        <v>18650</v>
      </c>
      <c r="HVH1" s="24" t="s">
        <v>18651</v>
      </c>
      <c r="HVI1" s="24" t="s">
        <v>18652</v>
      </c>
      <c r="HVJ1" s="24" t="s">
        <v>18653</v>
      </c>
      <c r="HVK1" s="24" t="s">
        <v>18654</v>
      </c>
      <c r="HVL1" s="24" t="s">
        <v>18655</v>
      </c>
      <c r="HVM1" s="24" t="s">
        <v>18656</v>
      </c>
      <c r="HVN1" s="24" t="s">
        <v>18657</v>
      </c>
      <c r="HVO1" s="24" t="s">
        <v>18658</v>
      </c>
      <c r="HVP1" s="24" t="s">
        <v>18659</v>
      </c>
      <c r="HVQ1" s="24" t="s">
        <v>18660</v>
      </c>
      <c r="HVR1" s="24" t="s">
        <v>18661</v>
      </c>
      <c r="HVS1" s="24" t="s">
        <v>18662</v>
      </c>
      <c r="HVT1" s="24" t="s">
        <v>18663</v>
      </c>
      <c r="HVU1" s="24" t="s">
        <v>18664</v>
      </c>
      <c r="HVV1" s="24" t="s">
        <v>18665</v>
      </c>
      <c r="HVW1" s="24" t="s">
        <v>18666</v>
      </c>
      <c r="HVX1" s="24" t="s">
        <v>18667</v>
      </c>
      <c r="HVY1" s="24" t="s">
        <v>18668</v>
      </c>
      <c r="HVZ1" s="24" t="s">
        <v>18669</v>
      </c>
      <c r="HWA1" s="24" t="s">
        <v>18670</v>
      </c>
      <c r="HWB1" s="24" t="s">
        <v>18671</v>
      </c>
      <c r="HWC1" s="24" t="s">
        <v>18672</v>
      </c>
      <c r="HWD1" s="24" t="s">
        <v>18673</v>
      </c>
      <c r="HWE1" s="24" t="s">
        <v>18674</v>
      </c>
      <c r="HWF1" s="24" t="s">
        <v>18675</v>
      </c>
      <c r="HWG1" s="24" t="s">
        <v>18676</v>
      </c>
      <c r="HWH1" s="24" t="s">
        <v>18677</v>
      </c>
      <c r="HWI1" s="24" t="s">
        <v>18678</v>
      </c>
      <c r="HWJ1" s="24" t="s">
        <v>18679</v>
      </c>
      <c r="HWK1" s="24" t="s">
        <v>18680</v>
      </c>
      <c r="HWL1" s="24" t="s">
        <v>18681</v>
      </c>
      <c r="HWM1" s="24" t="s">
        <v>18682</v>
      </c>
      <c r="HWN1" s="24" t="s">
        <v>18683</v>
      </c>
      <c r="HWO1" s="24" t="s">
        <v>18684</v>
      </c>
      <c r="HWP1" s="24" t="s">
        <v>18685</v>
      </c>
      <c r="HWQ1" s="24" t="s">
        <v>18686</v>
      </c>
      <c r="HWR1" s="24" t="s">
        <v>18687</v>
      </c>
      <c r="HWS1" s="24" t="s">
        <v>18688</v>
      </c>
      <c r="HWT1" s="24" t="s">
        <v>18689</v>
      </c>
      <c r="HWU1" s="24" t="s">
        <v>18690</v>
      </c>
      <c r="HWV1" s="24" t="s">
        <v>18691</v>
      </c>
      <c r="HWW1" s="24" t="s">
        <v>18692</v>
      </c>
      <c r="HWX1" s="24" t="s">
        <v>18693</v>
      </c>
      <c r="HWY1" s="24" t="s">
        <v>18694</v>
      </c>
      <c r="HWZ1" s="24" t="s">
        <v>18695</v>
      </c>
      <c r="HXA1" s="24" t="s">
        <v>18696</v>
      </c>
      <c r="HXB1" s="24" t="s">
        <v>18697</v>
      </c>
      <c r="HXC1" s="24" t="s">
        <v>18698</v>
      </c>
      <c r="HXD1" s="24" t="s">
        <v>18699</v>
      </c>
      <c r="HXE1" s="24" t="s">
        <v>18700</v>
      </c>
      <c r="HXF1" s="24" t="s">
        <v>18701</v>
      </c>
      <c r="HXG1" s="24" t="s">
        <v>18702</v>
      </c>
      <c r="HXH1" s="24" t="s">
        <v>18703</v>
      </c>
      <c r="HXI1" s="24" t="s">
        <v>18704</v>
      </c>
      <c r="HXJ1" s="24" t="s">
        <v>18705</v>
      </c>
      <c r="HXK1" s="24" t="s">
        <v>18706</v>
      </c>
      <c r="HXL1" s="24" t="s">
        <v>18707</v>
      </c>
      <c r="HXM1" s="24" t="s">
        <v>18708</v>
      </c>
      <c r="HXN1" s="24" t="s">
        <v>18709</v>
      </c>
      <c r="HXO1" s="24" t="s">
        <v>18710</v>
      </c>
      <c r="HXP1" s="24" t="s">
        <v>18711</v>
      </c>
      <c r="HXQ1" s="24" t="s">
        <v>18712</v>
      </c>
      <c r="HXR1" s="24" t="s">
        <v>18713</v>
      </c>
      <c r="HXS1" s="24" t="s">
        <v>18714</v>
      </c>
      <c r="HXT1" s="24" t="s">
        <v>18715</v>
      </c>
      <c r="HXU1" s="24" t="s">
        <v>18716</v>
      </c>
      <c r="HXV1" s="24" t="s">
        <v>18717</v>
      </c>
      <c r="HXW1" s="24" t="s">
        <v>18718</v>
      </c>
      <c r="HXX1" s="24" t="s">
        <v>18719</v>
      </c>
      <c r="HXY1" s="24" t="s">
        <v>18720</v>
      </c>
      <c r="HXZ1" s="24" t="s">
        <v>18721</v>
      </c>
      <c r="HYA1" s="24" t="s">
        <v>18722</v>
      </c>
      <c r="HYB1" s="24" t="s">
        <v>18723</v>
      </c>
      <c r="HYC1" s="24" t="s">
        <v>18724</v>
      </c>
      <c r="HYD1" s="24" t="s">
        <v>18725</v>
      </c>
      <c r="HYE1" s="24" t="s">
        <v>18726</v>
      </c>
      <c r="HYF1" s="24" t="s">
        <v>18727</v>
      </c>
      <c r="HYG1" s="24" t="s">
        <v>18728</v>
      </c>
      <c r="HYH1" s="24" t="s">
        <v>18729</v>
      </c>
      <c r="HYI1" s="24" t="s">
        <v>18730</v>
      </c>
      <c r="HYJ1" s="24" t="s">
        <v>18731</v>
      </c>
      <c r="HYK1" s="24" t="s">
        <v>18732</v>
      </c>
      <c r="HYL1" s="24" t="s">
        <v>18733</v>
      </c>
      <c r="HYM1" s="24" t="s">
        <v>18734</v>
      </c>
      <c r="HYN1" s="24" t="s">
        <v>18735</v>
      </c>
      <c r="HYO1" s="24" t="s">
        <v>18736</v>
      </c>
      <c r="HYP1" s="24" t="s">
        <v>18737</v>
      </c>
      <c r="HYQ1" s="24" t="s">
        <v>18738</v>
      </c>
      <c r="HYR1" s="24" t="s">
        <v>18739</v>
      </c>
      <c r="HYS1" s="24" t="s">
        <v>18740</v>
      </c>
      <c r="HYT1" s="24" t="s">
        <v>18741</v>
      </c>
      <c r="HYU1" s="24" t="s">
        <v>18742</v>
      </c>
      <c r="HYV1" s="24" t="s">
        <v>18743</v>
      </c>
      <c r="HYW1" s="24" t="s">
        <v>18744</v>
      </c>
      <c r="HYX1" s="24" t="s">
        <v>18745</v>
      </c>
      <c r="HYY1" s="24" t="s">
        <v>18746</v>
      </c>
      <c r="HYZ1" s="24" t="s">
        <v>18747</v>
      </c>
      <c r="HZA1" s="24" t="s">
        <v>18748</v>
      </c>
      <c r="HZB1" s="24" t="s">
        <v>18749</v>
      </c>
      <c r="HZC1" s="24" t="s">
        <v>18750</v>
      </c>
      <c r="HZD1" s="24" t="s">
        <v>18751</v>
      </c>
      <c r="HZE1" s="24" t="s">
        <v>18752</v>
      </c>
      <c r="HZF1" s="24" t="s">
        <v>18753</v>
      </c>
      <c r="HZG1" s="24" t="s">
        <v>18754</v>
      </c>
      <c r="HZH1" s="24" t="s">
        <v>18755</v>
      </c>
      <c r="HZI1" s="24" t="s">
        <v>18756</v>
      </c>
      <c r="HZJ1" s="24" t="s">
        <v>18757</v>
      </c>
      <c r="HZK1" s="24" t="s">
        <v>18758</v>
      </c>
      <c r="HZL1" s="24" t="s">
        <v>18759</v>
      </c>
      <c r="HZM1" s="24" t="s">
        <v>18760</v>
      </c>
      <c r="HZN1" s="24" t="s">
        <v>18761</v>
      </c>
      <c r="HZO1" s="24" t="s">
        <v>18762</v>
      </c>
      <c r="HZP1" s="24" t="s">
        <v>18763</v>
      </c>
      <c r="HZQ1" s="24" t="s">
        <v>18764</v>
      </c>
      <c r="HZR1" s="24" t="s">
        <v>18765</v>
      </c>
      <c r="HZS1" s="24" t="s">
        <v>18766</v>
      </c>
      <c r="HZT1" s="24" t="s">
        <v>18767</v>
      </c>
      <c r="HZU1" s="24" t="s">
        <v>18768</v>
      </c>
      <c r="HZV1" s="24" t="s">
        <v>18769</v>
      </c>
      <c r="HZW1" s="24" t="s">
        <v>18770</v>
      </c>
      <c r="HZX1" s="24" t="s">
        <v>18771</v>
      </c>
      <c r="HZY1" s="24" t="s">
        <v>18772</v>
      </c>
      <c r="HZZ1" s="24" t="s">
        <v>18773</v>
      </c>
      <c r="IAA1" s="24" t="s">
        <v>18774</v>
      </c>
      <c r="IAB1" s="24" t="s">
        <v>18775</v>
      </c>
      <c r="IAC1" s="24" t="s">
        <v>18776</v>
      </c>
      <c r="IAD1" s="24" t="s">
        <v>18777</v>
      </c>
      <c r="IAE1" s="24" t="s">
        <v>18778</v>
      </c>
      <c r="IAF1" s="24" t="s">
        <v>18779</v>
      </c>
      <c r="IAG1" s="24" t="s">
        <v>18780</v>
      </c>
      <c r="IAH1" s="24" t="s">
        <v>18781</v>
      </c>
      <c r="IAI1" s="24" t="s">
        <v>18782</v>
      </c>
      <c r="IAJ1" s="24" t="s">
        <v>18783</v>
      </c>
      <c r="IAK1" s="24" t="s">
        <v>18784</v>
      </c>
      <c r="IAL1" s="24" t="s">
        <v>18785</v>
      </c>
      <c r="IAM1" s="24" t="s">
        <v>18786</v>
      </c>
      <c r="IAN1" s="24" t="s">
        <v>18787</v>
      </c>
      <c r="IAO1" s="24" t="s">
        <v>18788</v>
      </c>
      <c r="IAP1" s="24" t="s">
        <v>18789</v>
      </c>
      <c r="IAQ1" s="24" t="s">
        <v>18790</v>
      </c>
      <c r="IAR1" s="24" t="s">
        <v>18791</v>
      </c>
      <c r="IAS1" s="24" t="s">
        <v>18792</v>
      </c>
      <c r="IAT1" s="24" t="s">
        <v>18793</v>
      </c>
      <c r="IAU1" s="24" t="s">
        <v>18794</v>
      </c>
      <c r="IAV1" s="24" t="s">
        <v>18795</v>
      </c>
      <c r="IAW1" s="24" t="s">
        <v>18796</v>
      </c>
      <c r="IAX1" s="24" t="s">
        <v>18797</v>
      </c>
      <c r="IAY1" s="24" t="s">
        <v>18798</v>
      </c>
      <c r="IAZ1" s="24" t="s">
        <v>18799</v>
      </c>
      <c r="IBA1" s="24" t="s">
        <v>18800</v>
      </c>
      <c r="IBB1" s="24" t="s">
        <v>18801</v>
      </c>
      <c r="IBC1" s="24" t="s">
        <v>18802</v>
      </c>
      <c r="IBD1" s="24" t="s">
        <v>18803</v>
      </c>
      <c r="IBE1" s="24" t="s">
        <v>18804</v>
      </c>
      <c r="IBF1" s="24" t="s">
        <v>18805</v>
      </c>
      <c r="IBG1" s="24" t="s">
        <v>18806</v>
      </c>
      <c r="IBH1" s="24" t="s">
        <v>18807</v>
      </c>
      <c r="IBI1" s="24" t="s">
        <v>18808</v>
      </c>
      <c r="IBJ1" s="24" t="s">
        <v>18809</v>
      </c>
      <c r="IBK1" s="24" t="s">
        <v>18810</v>
      </c>
      <c r="IBL1" s="24" t="s">
        <v>18811</v>
      </c>
      <c r="IBM1" s="24" t="s">
        <v>18812</v>
      </c>
      <c r="IBN1" s="24" t="s">
        <v>18813</v>
      </c>
      <c r="IBO1" s="24" t="s">
        <v>18814</v>
      </c>
      <c r="IBP1" s="24" t="s">
        <v>18815</v>
      </c>
      <c r="IBQ1" s="24" t="s">
        <v>18816</v>
      </c>
      <c r="IBR1" s="24" t="s">
        <v>18817</v>
      </c>
      <c r="IBS1" s="24" t="s">
        <v>18818</v>
      </c>
      <c r="IBT1" s="24" t="s">
        <v>18819</v>
      </c>
      <c r="IBU1" s="24" t="s">
        <v>18820</v>
      </c>
      <c r="IBV1" s="24" t="s">
        <v>18821</v>
      </c>
      <c r="IBW1" s="24" t="s">
        <v>18822</v>
      </c>
      <c r="IBX1" s="24" t="s">
        <v>18823</v>
      </c>
      <c r="IBY1" s="24" t="s">
        <v>18824</v>
      </c>
      <c r="IBZ1" s="24" t="s">
        <v>18825</v>
      </c>
      <c r="ICA1" s="24" t="s">
        <v>18826</v>
      </c>
      <c r="ICB1" s="24" t="s">
        <v>18827</v>
      </c>
      <c r="ICC1" s="24" t="s">
        <v>18828</v>
      </c>
      <c r="ICD1" s="24" t="s">
        <v>18829</v>
      </c>
      <c r="ICE1" s="24" t="s">
        <v>18830</v>
      </c>
      <c r="ICF1" s="24" t="s">
        <v>18831</v>
      </c>
      <c r="ICG1" s="24" t="s">
        <v>18832</v>
      </c>
      <c r="ICH1" s="24" t="s">
        <v>18833</v>
      </c>
      <c r="ICI1" s="24" t="s">
        <v>18834</v>
      </c>
      <c r="ICJ1" s="24" t="s">
        <v>18835</v>
      </c>
      <c r="ICK1" s="24" t="s">
        <v>18836</v>
      </c>
      <c r="ICL1" s="24" t="s">
        <v>18837</v>
      </c>
      <c r="ICM1" s="24" t="s">
        <v>18838</v>
      </c>
      <c r="ICN1" s="24" t="s">
        <v>18839</v>
      </c>
      <c r="ICO1" s="24" t="s">
        <v>18840</v>
      </c>
      <c r="ICP1" s="24" t="s">
        <v>18841</v>
      </c>
      <c r="ICQ1" s="24" t="s">
        <v>18842</v>
      </c>
      <c r="ICR1" s="24" t="s">
        <v>18843</v>
      </c>
      <c r="ICS1" s="24" t="s">
        <v>18844</v>
      </c>
      <c r="ICT1" s="24" t="s">
        <v>18845</v>
      </c>
      <c r="ICU1" s="24" t="s">
        <v>18846</v>
      </c>
      <c r="ICV1" s="24" t="s">
        <v>18847</v>
      </c>
      <c r="ICW1" s="24" t="s">
        <v>18848</v>
      </c>
      <c r="ICX1" s="24" t="s">
        <v>18849</v>
      </c>
      <c r="ICY1" s="24" t="s">
        <v>18850</v>
      </c>
      <c r="ICZ1" s="24" t="s">
        <v>18851</v>
      </c>
      <c r="IDA1" s="24" t="s">
        <v>18852</v>
      </c>
      <c r="IDB1" s="24" t="s">
        <v>18853</v>
      </c>
      <c r="IDC1" s="24" t="s">
        <v>18854</v>
      </c>
      <c r="IDD1" s="24" t="s">
        <v>18855</v>
      </c>
      <c r="IDE1" s="24" t="s">
        <v>18856</v>
      </c>
      <c r="IDF1" s="24" t="s">
        <v>18857</v>
      </c>
      <c r="IDG1" s="24" t="s">
        <v>18858</v>
      </c>
      <c r="IDH1" s="24" t="s">
        <v>18859</v>
      </c>
      <c r="IDI1" s="24" t="s">
        <v>18860</v>
      </c>
      <c r="IDJ1" s="24" t="s">
        <v>18861</v>
      </c>
      <c r="IDK1" s="24" t="s">
        <v>18862</v>
      </c>
      <c r="IDL1" s="24" t="s">
        <v>18863</v>
      </c>
      <c r="IDM1" s="24" t="s">
        <v>18864</v>
      </c>
      <c r="IDN1" s="24" t="s">
        <v>18865</v>
      </c>
      <c r="IDO1" s="24" t="s">
        <v>18866</v>
      </c>
      <c r="IDP1" s="24" t="s">
        <v>18867</v>
      </c>
      <c r="IDQ1" s="24" t="s">
        <v>18868</v>
      </c>
      <c r="IDR1" s="24" t="s">
        <v>18869</v>
      </c>
      <c r="IDS1" s="24" t="s">
        <v>18870</v>
      </c>
      <c r="IDT1" s="24" t="s">
        <v>18871</v>
      </c>
      <c r="IDU1" s="24" t="s">
        <v>18872</v>
      </c>
      <c r="IDV1" s="24" t="s">
        <v>18873</v>
      </c>
      <c r="IDW1" s="24" t="s">
        <v>18874</v>
      </c>
      <c r="IDX1" s="24" t="s">
        <v>18875</v>
      </c>
      <c r="IDY1" s="24" t="s">
        <v>18876</v>
      </c>
      <c r="IDZ1" s="24" t="s">
        <v>18877</v>
      </c>
      <c r="IEA1" s="24" t="s">
        <v>18878</v>
      </c>
      <c r="IEB1" s="24" t="s">
        <v>18879</v>
      </c>
      <c r="IEC1" s="24" t="s">
        <v>18880</v>
      </c>
      <c r="IED1" s="24" t="s">
        <v>18881</v>
      </c>
      <c r="IEE1" s="24" t="s">
        <v>18882</v>
      </c>
      <c r="IEF1" s="24" t="s">
        <v>18883</v>
      </c>
      <c r="IEG1" s="24" t="s">
        <v>18884</v>
      </c>
      <c r="IEH1" s="24" t="s">
        <v>18885</v>
      </c>
      <c r="IEI1" s="24" t="s">
        <v>18886</v>
      </c>
      <c r="IEJ1" s="24" t="s">
        <v>18887</v>
      </c>
      <c r="IEK1" s="24" t="s">
        <v>18888</v>
      </c>
      <c r="IEL1" s="24" t="s">
        <v>18889</v>
      </c>
      <c r="IEM1" s="24" t="s">
        <v>18890</v>
      </c>
      <c r="IEN1" s="24" t="s">
        <v>18891</v>
      </c>
      <c r="IEO1" s="24" t="s">
        <v>18892</v>
      </c>
      <c r="IEP1" s="24" t="s">
        <v>18893</v>
      </c>
      <c r="IEQ1" s="24" t="s">
        <v>18894</v>
      </c>
      <c r="IER1" s="24" t="s">
        <v>18895</v>
      </c>
      <c r="IES1" s="24" t="s">
        <v>18896</v>
      </c>
      <c r="IET1" s="24" t="s">
        <v>18897</v>
      </c>
      <c r="IEU1" s="24" t="s">
        <v>18898</v>
      </c>
      <c r="IEV1" s="24" t="s">
        <v>18899</v>
      </c>
      <c r="IEW1" s="24" t="s">
        <v>18900</v>
      </c>
      <c r="IEX1" s="24" t="s">
        <v>18901</v>
      </c>
      <c r="IEY1" s="24" t="s">
        <v>18902</v>
      </c>
      <c r="IEZ1" s="24" t="s">
        <v>18903</v>
      </c>
      <c r="IFA1" s="24" t="s">
        <v>18904</v>
      </c>
      <c r="IFB1" s="24" t="s">
        <v>18905</v>
      </c>
      <c r="IFC1" s="24" t="s">
        <v>18906</v>
      </c>
      <c r="IFD1" s="24" t="s">
        <v>18907</v>
      </c>
      <c r="IFE1" s="24" t="s">
        <v>18908</v>
      </c>
      <c r="IFF1" s="24" t="s">
        <v>18909</v>
      </c>
      <c r="IFG1" s="24" t="s">
        <v>18910</v>
      </c>
      <c r="IFH1" s="24" t="s">
        <v>18911</v>
      </c>
      <c r="IFI1" s="24" t="s">
        <v>18912</v>
      </c>
      <c r="IFJ1" s="24" t="s">
        <v>18913</v>
      </c>
      <c r="IFK1" s="24" t="s">
        <v>18914</v>
      </c>
      <c r="IFL1" s="24" t="s">
        <v>18915</v>
      </c>
      <c r="IFM1" s="24" t="s">
        <v>18916</v>
      </c>
      <c r="IFN1" s="24" t="s">
        <v>18917</v>
      </c>
      <c r="IFO1" s="24" t="s">
        <v>18918</v>
      </c>
      <c r="IFP1" s="24" t="s">
        <v>18919</v>
      </c>
      <c r="IFQ1" s="24" t="s">
        <v>18920</v>
      </c>
      <c r="IFR1" s="24" t="s">
        <v>18921</v>
      </c>
      <c r="IFS1" s="24" t="s">
        <v>18922</v>
      </c>
      <c r="IFT1" s="24" t="s">
        <v>18923</v>
      </c>
      <c r="IFU1" s="24" t="s">
        <v>18924</v>
      </c>
      <c r="IFV1" s="24" t="s">
        <v>18925</v>
      </c>
      <c r="IFW1" s="24" t="s">
        <v>18926</v>
      </c>
      <c r="IFX1" s="24" t="s">
        <v>18927</v>
      </c>
      <c r="IFY1" s="24" t="s">
        <v>18928</v>
      </c>
      <c r="IFZ1" s="24" t="s">
        <v>18929</v>
      </c>
      <c r="IGA1" s="24" t="s">
        <v>18930</v>
      </c>
      <c r="IGB1" s="24" t="s">
        <v>18931</v>
      </c>
      <c r="IGC1" s="24" t="s">
        <v>18932</v>
      </c>
      <c r="IGD1" s="24" t="s">
        <v>18933</v>
      </c>
      <c r="IGE1" s="24" t="s">
        <v>18934</v>
      </c>
      <c r="IGF1" s="24" t="s">
        <v>18935</v>
      </c>
      <c r="IGG1" s="24" t="s">
        <v>18936</v>
      </c>
      <c r="IGH1" s="24" t="s">
        <v>18937</v>
      </c>
      <c r="IGI1" s="24" t="s">
        <v>18938</v>
      </c>
      <c r="IGJ1" s="24" t="s">
        <v>18939</v>
      </c>
      <c r="IGK1" s="24" t="s">
        <v>18940</v>
      </c>
      <c r="IGL1" s="24" t="s">
        <v>18941</v>
      </c>
      <c r="IGM1" s="24" t="s">
        <v>18942</v>
      </c>
      <c r="IGN1" s="24" t="s">
        <v>18943</v>
      </c>
      <c r="IGO1" s="24" t="s">
        <v>18944</v>
      </c>
      <c r="IGP1" s="24" t="s">
        <v>18945</v>
      </c>
      <c r="IGQ1" s="24" t="s">
        <v>18946</v>
      </c>
      <c r="IGR1" s="24" t="s">
        <v>18947</v>
      </c>
      <c r="IGS1" s="24" t="s">
        <v>18948</v>
      </c>
      <c r="IGT1" s="24" t="s">
        <v>18949</v>
      </c>
      <c r="IGU1" s="24" t="s">
        <v>18950</v>
      </c>
      <c r="IGV1" s="24" t="s">
        <v>18951</v>
      </c>
      <c r="IGW1" s="24" t="s">
        <v>18952</v>
      </c>
      <c r="IGX1" s="24" t="s">
        <v>18953</v>
      </c>
      <c r="IGY1" s="24" t="s">
        <v>18954</v>
      </c>
      <c r="IGZ1" s="24" t="s">
        <v>18955</v>
      </c>
      <c r="IHA1" s="24" t="s">
        <v>18956</v>
      </c>
      <c r="IHB1" s="24" t="s">
        <v>18957</v>
      </c>
      <c r="IHC1" s="24" t="s">
        <v>18958</v>
      </c>
      <c r="IHD1" s="24" t="s">
        <v>18959</v>
      </c>
      <c r="IHE1" s="24" t="s">
        <v>18960</v>
      </c>
      <c r="IHF1" s="24" t="s">
        <v>18961</v>
      </c>
      <c r="IHG1" s="24" t="s">
        <v>18962</v>
      </c>
      <c r="IHH1" s="24" t="s">
        <v>18963</v>
      </c>
      <c r="IHI1" s="24" t="s">
        <v>18964</v>
      </c>
      <c r="IHJ1" s="24" t="s">
        <v>18965</v>
      </c>
      <c r="IHK1" s="24" t="s">
        <v>18966</v>
      </c>
      <c r="IHL1" s="24" t="s">
        <v>18967</v>
      </c>
      <c r="IHM1" s="24" t="s">
        <v>18968</v>
      </c>
      <c r="IHN1" s="24" t="s">
        <v>18969</v>
      </c>
      <c r="IHO1" s="24" t="s">
        <v>18970</v>
      </c>
      <c r="IHP1" s="24" t="s">
        <v>18971</v>
      </c>
      <c r="IHQ1" s="24" t="s">
        <v>18972</v>
      </c>
      <c r="IHR1" s="24" t="s">
        <v>18973</v>
      </c>
      <c r="IHS1" s="24" t="s">
        <v>18974</v>
      </c>
      <c r="IHT1" s="24" t="s">
        <v>18975</v>
      </c>
      <c r="IHU1" s="24" t="s">
        <v>18976</v>
      </c>
      <c r="IHV1" s="24" t="s">
        <v>18977</v>
      </c>
      <c r="IHW1" s="24" t="s">
        <v>18978</v>
      </c>
      <c r="IHX1" s="24" t="s">
        <v>18979</v>
      </c>
      <c r="IHY1" s="24" t="s">
        <v>18980</v>
      </c>
      <c r="IHZ1" s="24" t="s">
        <v>18981</v>
      </c>
      <c r="IIA1" s="24" t="s">
        <v>18982</v>
      </c>
      <c r="IIB1" s="24" t="s">
        <v>18983</v>
      </c>
      <c r="IIC1" s="24" t="s">
        <v>18984</v>
      </c>
      <c r="IID1" s="24" t="s">
        <v>18985</v>
      </c>
      <c r="IIE1" s="24" t="s">
        <v>18986</v>
      </c>
      <c r="IIF1" s="24" t="s">
        <v>18987</v>
      </c>
      <c r="IIG1" s="24" t="s">
        <v>18988</v>
      </c>
      <c r="IIH1" s="24" t="s">
        <v>18989</v>
      </c>
      <c r="III1" s="24" t="s">
        <v>18990</v>
      </c>
      <c r="IIJ1" s="24" t="s">
        <v>18991</v>
      </c>
      <c r="IIK1" s="24" t="s">
        <v>18992</v>
      </c>
      <c r="IIL1" s="24" t="s">
        <v>18993</v>
      </c>
      <c r="IIM1" s="24" t="s">
        <v>18994</v>
      </c>
      <c r="IIN1" s="24" t="s">
        <v>18995</v>
      </c>
      <c r="IIO1" s="24" t="s">
        <v>18996</v>
      </c>
      <c r="IIP1" s="24" t="s">
        <v>18997</v>
      </c>
      <c r="IIQ1" s="24" t="s">
        <v>18998</v>
      </c>
      <c r="IIR1" s="24" t="s">
        <v>18999</v>
      </c>
      <c r="IIS1" s="24" t="s">
        <v>19000</v>
      </c>
      <c r="IIT1" s="24" t="s">
        <v>19001</v>
      </c>
      <c r="IIU1" s="24" t="s">
        <v>19002</v>
      </c>
      <c r="IIV1" s="24" t="s">
        <v>19003</v>
      </c>
      <c r="IIW1" s="24" t="s">
        <v>19004</v>
      </c>
      <c r="IIX1" s="24" t="s">
        <v>19005</v>
      </c>
      <c r="IIY1" s="24" t="s">
        <v>19006</v>
      </c>
      <c r="IIZ1" s="24" t="s">
        <v>19007</v>
      </c>
      <c r="IJA1" s="24" t="s">
        <v>19008</v>
      </c>
      <c r="IJB1" s="24" t="s">
        <v>19009</v>
      </c>
      <c r="IJC1" s="24" t="s">
        <v>19010</v>
      </c>
      <c r="IJD1" s="24" t="s">
        <v>19011</v>
      </c>
      <c r="IJE1" s="24" t="s">
        <v>19012</v>
      </c>
      <c r="IJF1" s="24" t="s">
        <v>19013</v>
      </c>
      <c r="IJG1" s="24" t="s">
        <v>19014</v>
      </c>
      <c r="IJH1" s="24" t="s">
        <v>19015</v>
      </c>
      <c r="IJI1" s="24" t="s">
        <v>19016</v>
      </c>
      <c r="IJJ1" s="24" t="s">
        <v>19017</v>
      </c>
      <c r="IJK1" s="24" t="s">
        <v>19018</v>
      </c>
      <c r="IJL1" s="24" t="s">
        <v>19019</v>
      </c>
      <c r="IJM1" s="24" t="s">
        <v>19020</v>
      </c>
      <c r="IJN1" s="24" t="s">
        <v>19021</v>
      </c>
      <c r="IJO1" s="24" t="s">
        <v>19022</v>
      </c>
      <c r="IJP1" s="24" t="s">
        <v>19023</v>
      </c>
      <c r="IJQ1" s="24" t="s">
        <v>19024</v>
      </c>
      <c r="IJR1" s="24" t="s">
        <v>19025</v>
      </c>
      <c r="IJS1" s="24" t="s">
        <v>19026</v>
      </c>
      <c r="IJT1" s="24" t="s">
        <v>19027</v>
      </c>
      <c r="IJU1" s="24" t="s">
        <v>19028</v>
      </c>
      <c r="IJV1" s="24" t="s">
        <v>19029</v>
      </c>
      <c r="IJW1" s="24" t="s">
        <v>19030</v>
      </c>
      <c r="IJX1" s="24" t="s">
        <v>19031</v>
      </c>
      <c r="IJY1" s="24" t="s">
        <v>19032</v>
      </c>
      <c r="IJZ1" s="24" t="s">
        <v>19033</v>
      </c>
      <c r="IKA1" s="24" t="s">
        <v>19034</v>
      </c>
      <c r="IKB1" s="24" t="s">
        <v>19035</v>
      </c>
      <c r="IKC1" s="24" t="s">
        <v>19036</v>
      </c>
      <c r="IKD1" s="24" t="s">
        <v>19037</v>
      </c>
      <c r="IKE1" s="24" t="s">
        <v>19038</v>
      </c>
      <c r="IKF1" s="24" t="s">
        <v>19039</v>
      </c>
      <c r="IKG1" s="24" t="s">
        <v>19040</v>
      </c>
      <c r="IKH1" s="24" t="s">
        <v>19041</v>
      </c>
      <c r="IKI1" s="24" t="s">
        <v>19042</v>
      </c>
      <c r="IKJ1" s="24" t="s">
        <v>19043</v>
      </c>
      <c r="IKK1" s="24" t="s">
        <v>19044</v>
      </c>
      <c r="IKL1" s="24" t="s">
        <v>19045</v>
      </c>
      <c r="IKM1" s="24" t="s">
        <v>19046</v>
      </c>
      <c r="IKN1" s="24" t="s">
        <v>19047</v>
      </c>
      <c r="IKO1" s="24" t="s">
        <v>19048</v>
      </c>
      <c r="IKP1" s="24" t="s">
        <v>19049</v>
      </c>
      <c r="IKQ1" s="24" t="s">
        <v>19050</v>
      </c>
      <c r="IKR1" s="24" t="s">
        <v>19051</v>
      </c>
      <c r="IKS1" s="24" t="s">
        <v>19052</v>
      </c>
      <c r="IKT1" s="24" t="s">
        <v>19053</v>
      </c>
      <c r="IKU1" s="24" t="s">
        <v>19054</v>
      </c>
      <c r="IKV1" s="24" t="s">
        <v>19055</v>
      </c>
      <c r="IKW1" s="24" t="s">
        <v>19056</v>
      </c>
      <c r="IKX1" s="24" t="s">
        <v>19057</v>
      </c>
      <c r="IKY1" s="24" t="s">
        <v>19058</v>
      </c>
      <c r="IKZ1" s="24" t="s">
        <v>19059</v>
      </c>
      <c r="ILA1" s="24" t="s">
        <v>19060</v>
      </c>
      <c r="ILB1" s="24" t="s">
        <v>19061</v>
      </c>
      <c r="ILC1" s="24" t="s">
        <v>19062</v>
      </c>
      <c r="ILD1" s="24" t="s">
        <v>19063</v>
      </c>
      <c r="ILE1" s="24" t="s">
        <v>19064</v>
      </c>
      <c r="ILF1" s="24" t="s">
        <v>19065</v>
      </c>
      <c r="ILG1" s="24" t="s">
        <v>19066</v>
      </c>
      <c r="ILH1" s="24" t="s">
        <v>19067</v>
      </c>
      <c r="ILI1" s="24" t="s">
        <v>19068</v>
      </c>
      <c r="ILJ1" s="24" t="s">
        <v>19069</v>
      </c>
      <c r="ILK1" s="24" t="s">
        <v>19070</v>
      </c>
      <c r="ILL1" s="24" t="s">
        <v>19071</v>
      </c>
      <c r="ILM1" s="24" t="s">
        <v>19072</v>
      </c>
      <c r="ILN1" s="24" t="s">
        <v>19073</v>
      </c>
      <c r="ILO1" s="24" t="s">
        <v>19074</v>
      </c>
      <c r="ILP1" s="24" t="s">
        <v>19075</v>
      </c>
      <c r="ILQ1" s="24" t="s">
        <v>19076</v>
      </c>
      <c r="ILR1" s="24" t="s">
        <v>19077</v>
      </c>
      <c r="ILS1" s="24" t="s">
        <v>19078</v>
      </c>
      <c r="ILT1" s="24" t="s">
        <v>19079</v>
      </c>
      <c r="ILU1" s="24" t="s">
        <v>19080</v>
      </c>
      <c r="ILV1" s="24" t="s">
        <v>19081</v>
      </c>
      <c r="ILW1" s="24" t="s">
        <v>19082</v>
      </c>
      <c r="ILX1" s="24" t="s">
        <v>19083</v>
      </c>
      <c r="ILY1" s="24" t="s">
        <v>19084</v>
      </c>
      <c r="ILZ1" s="24" t="s">
        <v>19085</v>
      </c>
      <c r="IMA1" s="24" t="s">
        <v>19086</v>
      </c>
      <c r="IMB1" s="24" t="s">
        <v>19087</v>
      </c>
      <c r="IMC1" s="24" t="s">
        <v>19088</v>
      </c>
      <c r="IMD1" s="24" t="s">
        <v>19089</v>
      </c>
      <c r="IME1" s="24" t="s">
        <v>19090</v>
      </c>
      <c r="IMF1" s="24" t="s">
        <v>19091</v>
      </c>
      <c r="IMG1" s="24" t="s">
        <v>19092</v>
      </c>
      <c r="IMH1" s="24" t="s">
        <v>19093</v>
      </c>
      <c r="IMI1" s="24" t="s">
        <v>19094</v>
      </c>
      <c r="IMJ1" s="24" t="s">
        <v>19095</v>
      </c>
      <c r="IMK1" s="24" t="s">
        <v>19096</v>
      </c>
      <c r="IML1" s="24" t="s">
        <v>19097</v>
      </c>
      <c r="IMM1" s="24" t="s">
        <v>19098</v>
      </c>
      <c r="IMN1" s="24" t="s">
        <v>19099</v>
      </c>
      <c r="IMO1" s="24" t="s">
        <v>19100</v>
      </c>
      <c r="IMP1" s="24" t="s">
        <v>19101</v>
      </c>
      <c r="IMQ1" s="24" t="s">
        <v>19102</v>
      </c>
      <c r="IMR1" s="24" t="s">
        <v>19103</v>
      </c>
      <c r="IMS1" s="24" t="s">
        <v>19104</v>
      </c>
      <c r="IMT1" s="24" t="s">
        <v>19105</v>
      </c>
      <c r="IMU1" s="24" t="s">
        <v>19106</v>
      </c>
      <c r="IMV1" s="24" t="s">
        <v>19107</v>
      </c>
      <c r="IMW1" s="24" t="s">
        <v>19108</v>
      </c>
      <c r="IMX1" s="24" t="s">
        <v>19109</v>
      </c>
      <c r="IMY1" s="24" t="s">
        <v>19110</v>
      </c>
      <c r="IMZ1" s="24" t="s">
        <v>19111</v>
      </c>
      <c r="INA1" s="24" t="s">
        <v>19112</v>
      </c>
      <c r="INB1" s="24" t="s">
        <v>19113</v>
      </c>
      <c r="INC1" s="24" t="s">
        <v>19114</v>
      </c>
      <c r="IND1" s="24" t="s">
        <v>19115</v>
      </c>
      <c r="INE1" s="24" t="s">
        <v>19116</v>
      </c>
      <c r="INF1" s="24" t="s">
        <v>19117</v>
      </c>
      <c r="ING1" s="24" t="s">
        <v>19118</v>
      </c>
      <c r="INH1" s="24" t="s">
        <v>19119</v>
      </c>
      <c r="INI1" s="24" t="s">
        <v>19120</v>
      </c>
      <c r="INJ1" s="24" t="s">
        <v>19121</v>
      </c>
      <c r="INK1" s="24" t="s">
        <v>19122</v>
      </c>
      <c r="INL1" s="24" t="s">
        <v>19123</v>
      </c>
      <c r="INM1" s="24" t="s">
        <v>19124</v>
      </c>
      <c r="INN1" s="24" t="s">
        <v>19125</v>
      </c>
      <c r="INO1" s="24" t="s">
        <v>19126</v>
      </c>
      <c r="INP1" s="24" t="s">
        <v>19127</v>
      </c>
      <c r="INQ1" s="24" t="s">
        <v>19128</v>
      </c>
      <c r="INR1" s="24" t="s">
        <v>19129</v>
      </c>
      <c r="INS1" s="24" t="s">
        <v>19130</v>
      </c>
      <c r="INT1" s="24" t="s">
        <v>19131</v>
      </c>
      <c r="INU1" s="24" t="s">
        <v>19132</v>
      </c>
      <c r="INV1" s="24" t="s">
        <v>19133</v>
      </c>
      <c r="INW1" s="24" t="s">
        <v>19134</v>
      </c>
      <c r="INX1" s="24" t="s">
        <v>19135</v>
      </c>
      <c r="INY1" s="24" t="s">
        <v>19136</v>
      </c>
      <c r="INZ1" s="24" t="s">
        <v>19137</v>
      </c>
      <c r="IOA1" s="24" t="s">
        <v>19138</v>
      </c>
      <c r="IOB1" s="24" t="s">
        <v>19139</v>
      </c>
      <c r="IOC1" s="24" t="s">
        <v>19140</v>
      </c>
      <c r="IOD1" s="24" t="s">
        <v>19141</v>
      </c>
      <c r="IOE1" s="24" t="s">
        <v>19142</v>
      </c>
      <c r="IOF1" s="24" t="s">
        <v>19143</v>
      </c>
      <c r="IOG1" s="24" t="s">
        <v>19144</v>
      </c>
      <c r="IOH1" s="24" t="s">
        <v>19145</v>
      </c>
      <c r="IOI1" s="24" t="s">
        <v>19146</v>
      </c>
      <c r="IOJ1" s="24" t="s">
        <v>19147</v>
      </c>
      <c r="IOK1" s="24" t="s">
        <v>19148</v>
      </c>
      <c r="IOL1" s="24" t="s">
        <v>19149</v>
      </c>
      <c r="IOM1" s="24" t="s">
        <v>19150</v>
      </c>
      <c r="ION1" s="24" t="s">
        <v>19151</v>
      </c>
      <c r="IOO1" s="24" t="s">
        <v>19152</v>
      </c>
      <c r="IOP1" s="24" t="s">
        <v>19153</v>
      </c>
      <c r="IOQ1" s="24" t="s">
        <v>19154</v>
      </c>
      <c r="IOR1" s="24" t="s">
        <v>19155</v>
      </c>
      <c r="IOS1" s="24" t="s">
        <v>19156</v>
      </c>
      <c r="IOT1" s="24" t="s">
        <v>19157</v>
      </c>
      <c r="IOU1" s="24" t="s">
        <v>19158</v>
      </c>
      <c r="IOV1" s="24" t="s">
        <v>19159</v>
      </c>
      <c r="IOW1" s="24" t="s">
        <v>19160</v>
      </c>
      <c r="IOX1" s="24" t="s">
        <v>19161</v>
      </c>
      <c r="IOY1" s="24" t="s">
        <v>19162</v>
      </c>
      <c r="IOZ1" s="24" t="s">
        <v>19163</v>
      </c>
      <c r="IPA1" s="24" t="s">
        <v>19164</v>
      </c>
      <c r="IPB1" s="24" t="s">
        <v>19165</v>
      </c>
      <c r="IPC1" s="24" t="s">
        <v>19166</v>
      </c>
      <c r="IPD1" s="24" t="s">
        <v>19167</v>
      </c>
      <c r="IPE1" s="24" t="s">
        <v>19168</v>
      </c>
      <c r="IPF1" s="24" t="s">
        <v>19169</v>
      </c>
      <c r="IPG1" s="24" t="s">
        <v>19170</v>
      </c>
      <c r="IPH1" s="24" t="s">
        <v>19171</v>
      </c>
      <c r="IPI1" s="24" t="s">
        <v>19172</v>
      </c>
      <c r="IPJ1" s="24" t="s">
        <v>19173</v>
      </c>
      <c r="IPK1" s="24" t="s">
        <v>19174</v>
      </c>
      <c r="IPL1" s="24" t="s">
        <v>19175</v>
      </c>
      <c r="IPM1" s="24" t="s">
        <v>19176</v>
      </c>
      <c r="IPN1" s="24" t="s">
        <v>19177</v>
      </c>
      <c r="IPO1" s="24" t="s">
        <v>19178</v>
      </c>
      <c r="IPP1" s="24" t="s">
        <v>19179</v>
      </c>
      <c r="IPQ1" s="24" t="s">
        <v>19180</v>
      </c>
      <c r="IPR1" s="24" t="s">
        <v>19181</v>
      </c>
      <c r="IPS1" s="24" t="s">
        <v>19182</v>
      </c>
      <c r="IPT1" s="24" t="s">
        <v>19183</v>
      </c>
      <c r="IPU1" s="24" t="s">
        <v>19184</v>
      </c>
      <c r="IPV1" s="24" t="s">
        <v>19185</v>
      </c>
      <c r="IPW1" s="24" t="s">
        <v>19186</v>
      </c>
      <c r="IPX1" s="24" t="s">
        <v>19187</v>
      </c>
      <c r="IPY1" s="24" t="s">
        <v>19188</v>
      </c>
      <c r="IPZ1" s="24" t="s">
        <v>19189</v>
      </c>
      <c r="IQA1" s="24" t="s">
        <v>19190</v>
      </c>
      <c r="IQB1" s="24" t="s">
        <v>19191</v>
      </c>
      <c r="IQC1" s="24" t="s">
        <v>19192</v>
      </c>
      <c r="IQD1" s="24" t="s">
        <v>19193</v>
      </c>
      <c r="IQE1" s="24" t="s">
        <v>19194</v>
      </c>
      <c r="IQF1" s="24" t="s">
        <v>19195</v>
      </c>
      <c r="IQG1" s="24" t="s">
        <v>19196</v>
      </c>
      <c r="IQH1" s="24" t="s">
        <v>19197</v>
      </c>
      <c r="IQI1" s="24" t="s">
        <v>19198</v>
      </c>
      <c r="IQJ1" s="24" t="s">
        <v>19199</v>
      </c>
      <c r="IQK1" s="24" t="s">
        <v>19200</v>
      </c>
      <c r="IQL1" s="24" t="s">
        <v>19201</v>
      </c>
      <c r="IQM1" s="24" t="s">
        <v>19202</v>
      </c>
      <c r="IQN1" s="24" t="s">
        <v>19203</v>
      </c>
      <c r="IQO1" s="24" t="s">
        <v>19204</v>
      </c>
      <c r="IQP1" s="24" t="s">
        <v>19205</v>
      </c>
      <c r="IQQ1" s="24" t="s">
        <v>19206</v>
      </c>
      <c r="IQR1" s="24" t="s">
        <v>19207</v>
      </c>
      <c r="IQS1" s="24" t="s">
        <v>19208</v>
      </c>
      <c r="IQT1" s="24" t="s">
        <v>19209</v>
      </c>
      <c r="IQU1" s="24" t="s">
        <v>19210</v>
      </c>
      <c r="IQV1" s="24" t="s">
        <v>19211</v>
      </c>
      <c r="IQW1" s="24" t="s">
        <v>19212</v>
      </c>
      <c r="IQX1" s="24" t="s">
        <v>19213</v>
      </c>
      <c r="IQY1" s="24" t="s">
        <v>19214</v>
      </c>
      <c r="IQZ1" s="24" t="s">
        <v>19215</v>
      </c>
      <c r="IRA1" s="24" t="s">
        <v>19216</v>
      </c>
      <c r="IRB1" s="24" t="s">
        <v>19217</v>
      </c>
      <c r="IRC1" s="24" t="s">
        <v>19218</v>
      </c>
      <c r="IRD1" s="24" t="s">
        <v>19219</v>
      </c>
      <c r="IRE1" s="24" t="s">
        <v>19220</v>
      </c>
      <c r="IRF1" s="24" t="s">
        <v>19221</v>
      </c>
      <c r="IRG1" s="24" t="s">
        <v>19222</v>
      </c>
      <c r="IRH1" s="24" t="s">
        <v>19223</v>
      </c>
      <c r="IRI1" s="24" t="s">
        <v>19224</v>
      </c>
      <c r="IRJ1" s="24" t="s">
        <v>19225</v>
      </c>
      <c r="IRK1" s="24" t="s">
        <v>19226</v>
      </c>
      <c r="IRL1" s="24" t="s">
        <v>19227</v>
      </c>
      <c r="IRM1" s="24" t="s">
        <v>19228</v>
      </c>
      <c r="IRN1" s="24" t="s">
        <v>19229</v>
      </c>
      <c r="IRO1" s="24" t="s">
        <v>19230</v>
      </c>
      <c r="IRP1" s="24" t="s">
        <v>19231</v>
      </c>
      <c r="IRQ1" s="24" t="s">
        <v>19232</v>
      </c>
      <c r="IRR1" s="24" t="s">
        <v>19233</v>
      </c>
      <c r="IRS1" s="24" t="s">
        <v>19234</v>
      </c>
      <c r="IRT1" s="24" t="s">
        <v>19235</v>
      </c>
      <c r="IRU1" s="24" t="s">
        <v>19236</v>
      </c>
      <c r="IRV1" s="24" t="s">
        <v>19237</v>
      </c>
      <c r="IRW1" s="24" t="s">
        <v>19238</v>
      </c>
      <c r="IRX1" s="24" t="s">
        <v>19239</v>
      </c>
      <c r="IRY1" s="24" t="s">
        <v>19240</v>
      </c>
      <c r="IRZ1" s="24" t="s">
        <v>19241</v>
      </c>
      <c r="ISA1" s="24" t="s">
        <v>19242</v>
      </c>
      <c r="ISB1" s="24" t="s">
        <v>19243</v>
      </c>
      <c r="ISC1" s="24" t="s">
        <v>19244</v>
      </c>
      <c r="ISD1" s="24" t="s">
        <v>19245</v>
      </c>
      <c r="ISE1" s="24" t="s">
        <v>19246</v>
      </c>
      <c r="ISF1" s="24" t="s">
        <v>19247</v>
      </c>
      <c r="ISG1" s="24" t="s">
        <v>19248</v>
      </c>
      <c r="ISH1" s="24" t="s">
        <v>19249</v>
      </c>
      <c r="ISI1" s="24" t="s">
        <v>19250</v>
      </c>
      <c r="ISJ1" s="24" t="s">
        <v>19251</v>
      </c>
      <c r="ISK1" s="24" t="s">
        <v>19252</v>
      </c>
      <c r="ISL1" s="24" t="s">
        <v>19253</v>
      </c>
      <c r="ISM1" s="24" t="s">
        <v>19254</v>
      </c>
      <c r="ISN1" s="24" t="s">
        <v>19255</v>
      </c>
      <c r="ISO1" s="24" t="s">
        <v>19256</v>
      </c>
      <c r="ISP1" s="24" t="s">
        <v>19257</v>
      </c>
      <c r="ISQ1" s="24" t="s">
        <v>19258</v>
      </c>
      <c r="ISR1" s="24" t="s">
        <v>19259</v>
      </c>
      <c r="ISS1" s="24" t="s">
        <v>19260</v>
      </c>
      <c r="IST1" s="24" t="s">
        <v>19261</v>
      </c>
      <c r="ISU1" s="24" t="s">
        <v>19262</v>
      </c>
      <c r="ISV1" s="24" t="s">
        <v>19263</v>
      </c>
      <c r="ISW1" s="24" t="s">
        <v>19264</v>
      </c>
      <c r="ISX1" s="24" t="s">
        <v>19265</v>
      </c>
      <c r="ISY1" s="24" t="s">
        <v>19266</v>
      </c>
      <c r="ISZ1" s="24" t="s">
        <v>19267</v>
      </c>
      <c r="ITA1" s="24" t="s">
        <v>19268</v>
      </c>
      <c r="ITB1" s="24" t="s">
        <v>19269</v>
      </c>
      <c r="ITC1" s="24" t="s">
        <v>19270</v>
      </c>
      <c r="ITD1" s="24" t="s">
        <v>19271</v>
      </c>
      <c r="ITE1" s="24" t="s">
        <v>19272</v>
      </c>
      <c r="ITF1" s="24" t="s">
        <v>19273</v>
      </c>
      <c r="ITG1" s="24" t="s">
        <v>19274</v>
      </c>
      <c r="ITH1" s="24" t="s">
        <v>19275</v>
      </c>
      <c r="ITI1" s="24" t="s">
        <v>19276</v>
      </c>
      <c r="ITJ1" s="24" t="s">
        <v>19277</v>
      </c>
      <c r="ITK1" s="24" t="s">
        <v>19278</v>
      </c>
      <c r="ITL1" s="24" t="s">
        <v>19279</v>
      </c>
      <c r="ITM1" s="24" t="s">
        <v>19280</v>
      </c>
      <c r="ITN1" s="24" t="s">
        <v>19281</v>
      </c>
      <c r="ITO1" s="24" t="s">
        <v>19282</v>
      </c>
      <c r="ITP1" s="24" t="s">
        <v>19283</v>
      </c>
      <c r="ITQ1" s="24" t="s">
        <v>19284</v>
      </c>
      <c r="ITR1" s="24" t="s">
        <v>19285</v>
      </c>
      <c r="ITS1" s="24" t="s">
        <v>19286</v>
      </c>
      <c r="ITT1" s="24" t="s">
        <v>19287</v>
      </c>
      <c r="ITU1" s="24" t="s">
        <v>19288</v>
      </c>
      <c r="ITV1" s="24" t="s">
        <v>19289</v>
      </c>
      <c r="ITW1" s="24" t="s">
        <v>19290</v>
      </c>
      <c r="ITX1" s="24" t="s">
        <v>19291</v>
      </c>
      <c r="ITY1" s="24" t="s">
        <v>19292</v>
      </c>
      <c r="ITZ1" s="24" t="s">
        <v>19293</v>
      </c>
      <c r="IUA1" s="24" t="s">
        <v>19294</v>
      </c>
      <c r="IUB1" s="24" t="s">
        <v>19295</v>
      </c>
      <c r="IUC1" s="24" t="s">
        <v>19296</v>
      </c>
      <c r="IUD1" s="24" t="s">
        <v>19297</v>
      </c>
      <c r="IUE1" s="24" t="s">
        <v>19298</v>
      </c>
      <c r="IUF1" s="24" t="s">
        <v>19299</v>
      </c>
      <c r="IUG1" s="24" t="s">
        <v>19300</v>
      </c>
      <c r="IUH1" s="24" t="s">
        <v>19301</v>
      </c>
      <c r="IUI1" s="24" t="s">
        <v>19302</v>
      </c>
      <c r="IUJ1" s="24" t="s">
        <v>19303</v>
      </c>
      <c r="IUK1" s="24" t="s">
        <v>19304</v>
      </c>
      <c r="IUL1" s="24" t="s">
        <v>19305</v>
      </c>
      <c r="IUM1" s="24" t="s">
        <v>19306</v>
      </c>
      <c r="IUN1" s="24" t="s">
        <v>19307</v>
      </c>
      <c r="IUO1" s="24" t="s">
        <v>19308</v>
      </c>
      <c r="IUP1" s="24" t="s">
        <v>19309</v>
      </c>
      <c r="IUQ1" s="24" t="s">
        <v>19310</v>
      </c>
      <c r="IUR1" s="24" t="s">
        <v>19311</v>
      </c>
      <c r="IUS1" s="24" t="s">
        <v>19312</v>
      </c>
      <c r="IUT1" s="24" t="s">
        <v>19313</v>
      </c>
      <c r="IUU1" s="24" t="s">
        <v>19314</v>
      </c>
      <c r="IUV1" s="24" t="s">
        <v>19315</v>
      </c>
      <c r="IUW1" s="24" t="s">
        <v>19316</v>
      </c>
      <c r="IUX1" s="24" t="s">
        <v>19317</v>
      </c>
      <c r="IUY1" s="24" t="s">
        <v>19318</v>
      </c>
      <c r="IUZ1" s="24" t="s">
        <v>19319</v>
      </c>
      <c r="IVA1" s="24" t="s">
        <v>19320</v>
      </c>
      <c r="IVB1" s="24" t="s">
        <v>19321</v>
      </c>
      <c r="IVC1" s="24" t="s">
        <v>19322</v>
      </c>
      <c r="IVD1" s="24" t="s">
        <v>19323</v>
      </c>
      <c r="IVE1" s="24" t="s">
        <v>19324</v>
      </c>
      <c r="IVF1" s="24" t="s">
        <v>19325</v>
      </c>
      <c r="IVG1" s="24" t="s">
        <v>19326</v>
      </c>
      <c r="IVH1" s="24" t="s">
        <v>19327</v>
      </c>
      <c r="IVI1" s="24" t="s">
        <v>19328</v>
      </c>
      <c r="IVJ1" s="24" t="s">
        <v>19329</v>
      </c>
      <c r="IVK1" s="24" t="s">
        <v>19330</v>
      </c>
      <c r="IVL1" s="24" t="s">
        <v>19331</v>
      </c>
      <c r="IVM1" s="24" t="s">
        <v>19332</v>
      </c>
      <c r="IVN1" s="24" t="s">
        <v>19333</v>
      </c>
      <c r="IVO1" s="24" t="s">
        <v>19334</v>
      </c>
      <c r="IVP1" s="24" t="s">
        <v>19335</v>
      </c>
      <c r="IVQ1" s="24" t="s">
        <v>19336</v>
      </c>
      <c r="IVR1" s="24" t="s">
        <v>19337</v>
      </c>
      <c r="IVS1" s="24" t="s">
        <v>19338</v>
      </c>
      <c r="IVT1" s="24" t="s">
        <v>19339</v>
      </c>
      <c r="IVU1" s="24" t="s">
        <v>19340</v>
      </c>
      <c r="IVV1" s="24" t="s">
        <v>19341</v>
      </c>
      <c r="IVW1" s="24" t="s">
        <v>19342</v>
      </c>
      <c r="IVX1" s="24" t="s">
        <v>19343</v>
      </c>
      <c r="IVY1" s="24" t="s">
        <v>19344</v>
      </c>
      <c r="IVZ1" s="24" t="s">
        <v>19345</v>
      </c>
      <c r="IWA1" s="24" t="s">
        <v>19346</v>
      </c>
      <c r="IWB1" s="24" t="s">
        <v>19347</v>
      </c>
      <c r="IWC1" s="24" t="s">
        <v>19348</v>
      </c>
      <c r="IWD1" s="24" t="s">
        <v>19349</v>
      </c>
      <c r="IWE1" s="24" t="s">
        <v>19350</v>
      </c>
      <c r="IWF1" s="24" t="s">
        <v>19351</v>
      </c>
      <c r="IWG1" s="24" t="s">
        <v>19352</v>
      </c>
      <c r="IWH1" s="24" t="s">
        <v>19353</v>
      </c>
      <c r="IWI1" s="24" t="s">
        <v>19354</v>
      </c>
      <c r="IWJ1" s="24" t="s">
        <v>19355</v>
      </c>
      <c r="IWK1" s="24" t="s">
        <v>19356</v>
      </c>
      <c r="IWL1" s="24" t="s">
        <v>19357</v>
      </c>
      <c r="IWM1" s="24" t="s">
        <v>19358</v>
      </c>
      <c r="IWN1" s="24" t="s">
        <v>19359</v>
      </c>
      <c r="IWO1" s="24" t="s">
        <v>19360</v>
      </c>
      <c r="IWP1" s="24" t="s">
        <v>19361</v>
      </c>
      <c r="IWQ1" s="24" t="s">
        <v>19362</v>
      </c>
      <c r="IWR1" s="24" t="s">
        <v>19363</v>
      </c>
      <c r="IWS1" s="24" t="s">
        <v>19364</v>
      </c>
      <c r="IWT1" s="24" t="s">
        <v>19365</v>
      </c>
      <c r="IWU1" s="24" t="s">
        <v>19366</v>
      </c>
      <c r="IWV1" s="24" t="s">
        <v>19367</v>
      </c>
      <c r="IWW1" s="24" t="s">
        <v>19368</v>
      </c>
      <c r="IWX1" s="24" t="s">
        <v>19369</v>
      </c>
      <c r="IWY1" s="24" t="s">
        <v>19370</v>
      </c>
      <c r="IWZ1" s="24" t="s">
        <v>19371</v>
      </c>
      <c r="IXA1" s="24" t="s">
        <v>19372</v>
      </c>
      <c r="IXB1" s="24" t="s">
        <v>19373</v>
      </c>
      <c r="IXC1" s="24" t="s">
        <v>19374</v>
      </c>
      <c r="IXD1" s="24" t="s">
        <v>19375</v>
      </c>
      <c r="IXE1" s="24" t="s">
        <v>19376</v>
      </c>
      <c r="IXF1" s="24" t="s">
        <v>19377</v>
      </c>
      <c r="IXG1" s="24" t="s">
        <v>19378</v>
      </c>
      <c r="IXH1" s="24" t="s">
        <v>19379</v>
      </c>
      <c r="IXI1" s="24" t="s">
        <v>19380</v>
      </c>
      <c r="IXJ1" s="24" t="s">
        <v>19381</v>
      </c>
      <c r="IXK1" s="24" t="s">
        <v>19382</v>
      </c>
      <c r="IXL1" s="24" t="s">
        <v>19383</v>
      </c>
      <c r="IXM1" s="24" t="s">
        <v>19384</v>
      </c>
      <c r="IXN1" s="24" t="s">
        <v>19385</v>
      </c>
      <c r="IXO1" s="24" t="s">
        <v>19386</v>
      </c>
      <c r="IXP1" s="24" t="s">
        <v>19387</v>
      </c>
      <c r="IXQ1" s="24" t="s">
        <v>19388</v>
      </c>
      <c r="IXR1" s="24" t="s">
        <v>19389</v>
      </c>
      <c r="IXS1" s="24" t="s">
        <v>19390</v>
      </c>
      <c r="IXT1" s="24" t="s">
        <v>19391</v>
      </c>
      <c r="IXU1" s="24" t="s">
        <v>19392</v>
      </c>
      <c r="IXV1" s="24" t="s">
        <v>19393</v>
      </c>
      <c r="IXW1" s="24" t="s">
        <v>19394</v>
      </c>
      <c r="IXX1" s="24" t="s">
        <v>19395</v>
      </c>
      <c r="IXY1" s="24" t="s">
        <v>19396</v>
      </c>
      <c r="IXZ1" s="24" t="s">
        <v>19397</v>
      </c>
      <c r="IYA1" s="24" t="s">
        <v>19398</v>
      </c>
      <c r="IYB1" s="24" t="s">
        <v>19399</v>
      </c>
      <c r="IYC1" s="24" t="s">
        <v>19400</v>
      </c>
      <c r="IYD1" s="24" t="s">
        <v>19401</v>
      </c>
      <c r="IYE1" s="24" t="s">
        <v>19402</v>
      </c>
      <c r="IYF1" s="24" t="s">
        <v>19403</v>
      </c>
      <c r="IYG1" s="24" t="s">
        <v>19404</v>
      </c>
      <c r="IYH1" s="24" t="s">
        <v>19405</v>
      </c>
      <c r="IYI1" s="24" t="s">
        <v>19406</v>
      </c>
      <c r="IYJ1" s="24" t="s">
        <v>19407</v>
      </c>
      <c r="IYK1" s="24" t="s">
        <v>19408</v>
      </c>
      <c r="IYL1" s="24" t="s">
        <v>19409</v>
      </c>
      <c r="IYM1" s="24" t="s">
        <v>19410</v>
      </c>
      <c r="IYN1" s="24" t="s">
        <v>19411</v>
      </c>
      <c r="IYO1" s="24" t="s">
        <v>19412</v>
      </c>
      <c r="IYP1" s="24" t="s">
        <v>19413</v>
      </c>
      <c r="IYQ1" s="24" t="s">
        <v>19414</v>
      </c>
      <c r="IYR1" s="24" t="s">
        <v>19415</v>
      </c>
      <c r="IYS1" s="24" t="s">
        <v>19416</v>
      </c>
      <c r="IYT1" s="24" t="s">
        <v>19417</v>
      </c>
      <c r="IYU1" s="24" t="s">
        <v>19418</v>
      </c>
      <c r="IYV1" s="24" t="s">
        <v>19419</v>
      </c>
      <c r="IYW1" s="24" t="s">
        <v>19420</v>
      </c>
      <c r="IYX1" s="24" t="s">
        <v>19421</v>
      </c>
      <c r="IYY1" s="24" t="s">
        <v>19422</v>
      </c>
      <c r="IYZ1" s="24" t="s">
        <v>19423</v>
      </c>
      <c r="IZA1" s="24" t="s">
        <v>19424</v>
      </c>
      <c r="IZB1" s="24" t="s">
        <v>19425</v>
      </c>
      <c r="IZC1" s="24" t="s">
        <v>19426</v>
      </c>
      <c r="IZD1" s="24" t="s">
        <v>19427</v>
      </c>
      <c r="IZE1" s="24" t="s">
        <v>19428</v>
      </c>
      <c r="IZF1" s="24" t="s">
        <v>19429</v>
      </c>
      <c r="IZG1" s="24" t="s">
        <v>19430</v>
      </c>
      <c r="IZH1" s="24" t="s">
        <v>19431</v>
      </c>
      <c r="IZI1" s="24" t="s">
        <v>19432</v>
      </c>
      <c r="IZJ1" s="24" t="s">
        <v>19433</v>
      </c>
      <c r="IZK1" s="24" t="s">
        <v>19434</v>
      </c>
      <c r="IZL1" s="24" t="s">
        <v>19435</v>
      </c>
      <c r="IZM1" s="24" t="s">
        <v>19436</v>
      </c>
      <c r="IZN1" s="24" t="s">
        <v>19437</v>
      </c>
      <c r="IZO1" s="24" t="s">
        <v>19438</v>
      </c>
      <c r="IZP1" s="24" t="s">
        <v>19439</v>
      </c>
      <c r="IZQ1" s="24" t="s">
        <v>19440</v>
      </c>
      <c r="IZR1" s="24" t="s">
        <v>19441</v>
      </c>
      <c r="IZS1" s="24" t="s">
        <v>19442</v>
      </c>
      <c r="IZT1" s="24" t="s">
        <v>19443</v>
      </c>
      <c r="IZU1" s="24" t="s">
        <v>19444</v>
      </c>
      <c r="IZV1" s="24" t="s">
        <v>19445</v>
      </c>
      <c r="IZW1" s="24" t="s">
        <v>19446</v>
      </c>
      <c r="IZX1" s="24" t="s">
        <v>19447</v>
      </c>
      <c r="IZY1" s="24" t="s">
        <v>19448</v>
      </c>
      <c r="IZZ1" s="24" t="s">
        <v>19449</v>
      </c>
      <c r="JAA1" s="24" t="s">
        <v>19450</v>
      </c>
      <c r="JAB1" s="24" t="s">
        <v>19451</v>
      </c>
      <c r="JAC1" s="24" t="s">
        <v>19452</v>
      </c>
      <c r="JAD1" s="24" t="s">
        <v>19453</v>
      </c>
      <c r="JAE1" s="24" t="s">
        <v>19454</v>
      </c>
      <c r="JAF1" s="24" t="s">
        <v>19455</v>
      </c>
      <c r="JAG1" s="24" t="s">
        <v>19456</v>
      </c>
      <c r="JAH1" s="24" t="s">
        <v>19457</v>
      </c>
      <c r="JAI1" s="24" t="s">
        <v>19458</v>
      </c>
      <c r="JAJ1" s="24" t="s">
        <v>19459</v>
      </c>
      <c r="JAK1" s="24" t="s">
        <v>19460</v>
      </c>
      <c r="JAL1" s="24" t="s">
        <v>19461</v>
      </c>
      <c r="JAM1" s="24" t="s">
        <v>19462</v>
      </c>
      <c r="JAN1" s="24" t="s">
        <v>19463</v>
      </c>
      <c r="JAO1" s="24" t="s">
        <v>19464</v>
      </c>
      <c r="JAP1" s="24" t="s">
        <v>19465</v>
      </c>
      <c r="JAQ1" s="24" t="s">
        <v>19466</v>
      </c>
      <c r="JAR1" s="24" t="s">
        <v>19467</v>
      </c>
      <c r="JAS1" s="24" t="s">
        <v>19468</v>
      </c>
      <c r="JAT1" s="24" t="s">
        <v>19469</v>
      </c>
      <c r="JAU1" s="24" t="s">
        <v>19470</v>
      </c>
      <c r="JAV1" s="24" t="s">
        <v>19471</v>
      </c>
      <c r="JAW1" s="24" t="s">
        <v>19472</v>
      </c>
      <c r="JAX1" s="24" t="s">
        <v>19473</v>
      </c>
      <c r="JAY1" s="24" t="s">
        <v>19474</v>
      </c>
      <c r="JAZ1" s="24" t="s">
        <v>19475</v>
      </c>
      <c r="JBA1" s="24" t="s">
        <v>19476</v>
      </c>
      <c r="JBB1" s="24" t="s">
        <v>19477</v>
      </c>
      <c r="JBC1" s="24" t="s">
        <v>19478</v>
      </c>
      <c r="JBD1" s="24" t="s">
        <v>19479</v>
      </c>
      <c r="JBE1" s="24" t="s">
        <v>19480</v>
      </c>
      <c r="JBF1" s="24" t="s">
        <v>19481</v>
      </c>
      <c r="JBG1" s="24" t="s">
        <v>19482</v>
      </c>
      <c r="JBH1" s="24" t="s">
        <v>19483</v>
      </c>
      <c r="JBI1" s="24" t="s">
        <v>19484</v>
      </c>
      <c r="JBJ1" s="24" t="s">
        <v>19485</v>
      </c>
      <c r="JBK1" s="24" t="s">
        <v>19486</v>
      </c>
      <c r="JBL1" s="24" t="s">
        <v>19487</v>
      </c>
      <c r="JBM1" s="24" t="s">
        <v>19488</v>
      </c>
      <c r="JBN1" s="24" t="s">
        <v>19489</v>
      </c>
      <c r="JBO1" s="24" t="s">
        <v>19490</v>
      </c>
      <c r="JBP1" s="24" t="s">
        <v>19491</v>
      </c>
      <c r="JBQ1" s="24" t="s">
        <v>19492</v>
      </c>
      <c r="JBR1" s="24" t="s">
        <v>19493</v>
      </c>
      <c r="JBS1" s="24" t="s">
        <v>19494</v>
      </c>
      <c r="JBT1" s="24" t="s">
        <v>19495</v>
      </c>
      <c r="JBU1" s="24" t="s">
        <v>19496</v>
      </c>
      <c r="JBV1" s="24" t="s">
        <v>19497</v>
      </c>
      <c r="JBW1" s="24" t="s">
        <v>19498</v>
      </c>
      <c r="JBX1" s="24" t="s">
        <v>19499</v>
      </c>
      <c r="JBY1" s="24" t="s">
        <v>19500</v>
      </c>
      <c r="JBZ1" s="24" t="s">
        <v>19501</v>
      </c>
      <c r="JCA1" s="24" t="s">
        <v>19502</v>
      </c>
      <c r="JCB1" s="24" t="s">
        <v>19503</v>
      </c>
      <c r="JCC1" s="24" t="s">
        <v>19504</v>
      </c>
      <c r="JCD1" s="24" t="s">
        <v>19505</v>
      </c>
      <c r="JCE1" s="24" t="s">
        <v>19506</v>
      </c>
      <c r="JCF1" s="24" t="s">
        <v>19507</v>
      </c>
      <c r="JCG1" s="24" t="s">
        <v>19508</v>
      </c>
      <c r="JCH1" s="24" t="s">
        <v>19509</v>
      </c>
      <c r="JCI1" s="24" t="s">
        <v>19510</v>
      </c>
      <c r="JCJ1" s="24" t="s">
        <v>19511</v>
      </c>
      <c r="JCK1" s="24" t="s">
        <v>19512</v>
      </c>
      <c r="JCL1" s="24" t="s">
        <v>19513</v>
      </c>
      <c r="JCM1" s="24" t="s">
        <v>19514</v>
      </c>
      <c r="JCN1" s="24" t="s">
        <v>19515</v>
      </c>
      <c r="JCO1" s="24" t="s">
        <v>19516</v>
      </c>
      <c r="JCP1" s="24" t="s">
        <v>19517</v>
      </c>
      <c r="JCQ1" s="24" t="s">
        <v>19518</v>
      </c>
      <c r="JCR1" s="24" t="s">
        <v>19519</v>
      </c>
      <c r="JCS1" s="24" t="s">
        <v>19520</v>
      </c>
      <c r="JCT1" s="24" t="s">
        <v>19521</v>
      </c>
      <c r="JCU1" s="24" t="s">
        <v>19522</v>
      </c>
      <c r="JCV1" s="24" t="s">
        <v>19523</v>
      </c>
      <c r="JCW1" s="24" t="s">
        <v>19524</v>
      </c>
      <c r="JCX1" s="24" t="s">
        <v>19525</v>
      </c>
      <c r="JCY1" s="24" t="s">
        <v>19526</v>
      </c>
      <c r="JCZ1" s="24" t="s">
        <v>19527</v>
      </c>
      <c r="JDA1" s="24" t="s">
        <v>19528</v>
      </c>
      <c r="JDB1" s="24" t="s">
        <v>19529</v>
      </c>
      <c r="JDC1" s="24" t="s">
        <v>19530</v>
      </c>
      <c r="JDD1" s="24" t="s">
        <v>19531</v>
      </c>
      <c r="JDE1" s="24" t="s">
        <v>19532</v>
      </c>
      <c r="JDF1" s="24" t="s">
        <v>19533</v>
      </c>
      <c r="JDG1" s="24" t="s">
        <v>19534</v>
      </c>
      <c r="JDH1" s="24" t="s">
        <v>19535</v>
      </c>
      <c r="JDI1" s="24" t="s">
        <v>19536</v>
      </c>
      <c r="JDJ1" s="24" t="s">
        <v>19537</v>
      </c>
      <c r="JDK1" s="24" t="s">
        <v>19538</v>
      </c>
      <c r="JDL1" s="24" t="s">
        <v>19539</v>
      </c>
      <c r="JDM1" s="24" t="s">
        <v>19540</v>
      </c>
      <c r="JDN1" s="24" t="s">
        <v>19541</v>
      </c>
      <c r="JDO1" s="24" t="s">
        <v>19542</v>
      </c>
      <c r="JDP1" s="24" t="s">
        <v>19543</v>
      </c>
      <c r="JDQ1" s="24" t="s">
        <v>19544</v>
      </c>
      <c r="JDR1" s="24" t="s">
        <v>19545</v>
      </c>
      <c r="JDS1" s="24" t="s">
        <v>19546</v>
      </c>
      <c r="JDT1" s="24" t="s">
        <v>19547</v>
      </c>
      <c r="JDU1" s="24" t="s">
        <v>19548</v>
      </c>
      <c r="JDV1" s="24" t="s">
        <v>19549</v>
      </c>
      <c r="JDW1" s="24" t="s">
        <v>19550</v>
      </c>
      <c r="JDX1" s="24" t="s">
        <v>19551</v>
      </c>
      <c r="JDY1" s="24" t="s">
        <v>19552</v>
      </c>
      <c r="JDZ1" s="24" t="s">
        <v>19553</v>
      </c>
      <c r="JEA1" s="24" t="s">
        <v>19554</v>
      </c>
      <c r="JEB1" s="24" t="s">
        <v>19555</v>
      </c>
      <c r="JEC1" s="24" t="s">
        <v>19556</v>
      </c>
      <c r="JED1" s="24" t="s">
        <v>19557</v>
      </c>
      <c r="JEE1" s="24" t="s">
        <v>19558</v>
      </c>
      <c r="JEF1" s="24" t="s">
        <v>19559</v>
      </c>
      <c r="JEG1" s="24" t="s">
        <v>19560</v>
      </c>
      <c r="JEH1" s="24" t="s">
        <v>19561</v>
      </c>
      <c r="JEI1" s="24" t="s">
        <v>19562</v>
      </c>
      <c r="JEJ1" s="24" t="s">
        <v>19563</v>
      </c>
      <c r="JEK1" s="24" t="s">
        <v>19564</v>
      </c>
      <c r="JEL1" s="24" t="s">
        <v>19565</v>
      </c>
      <c r="JEM1" s="24" t="s">
        <v>19566</v>
      </c>
      <c r="JEN1" s="24" t="s">
        <v>19567</v>
      </c>
      <c r="JEO1" s="24" t="s">
        <v>19568</v>
      </c>
      <c r="JEP1" s="24" t="s">
        <v>19569</v>
      </c>
      <c r="JEQ1" s="24" t="s">
        <v>19570</v>
      </c>
      <c r="JER1" s="24" t="s">
        <v>19571</v>
      </c>
      <c r="JES1" s="24" t="s">
        <v>19572</v>
      </c>
      <c r="JET1" s="24" t="s">
        <v>19573</v>
      </c>
      <c r="JEU1" s="24" t="s">
        <v>19574</v>
      </c>
      <c r="JEV1" s="24" t="s">
        <v>19575</v>
      </c>
      <c r="JEW1" s="24" t="s">
        <v>19576</v>
      </c>
      <c r="JEX1" s="24" t="s">
        <v>19577</v>
      </c>
      <c r="JEY1" s="24" t="s">
        <v>19578</v>
      </c>
      <c r="JEZ1" s="24" t="s">
        <v>19579</v>
      </c>
      <c r="JFA1" s="24" t="s">
        <v>19580</v>
      </c>
      <c r="JFB1" s="24" t="s">
        <v>19581</v>
      </c>
      <c r="JFC1" s="24" t="s">
        <v>19582</v>
      </c>
      <c r="JFD1" s="24" t="s">
        <v>19583</v>
      </c>
      <c r="JFE1" s="24" t="s">
        <v>19584</v>
      </c>
      <c r="JFF1" s="24" t="s">
        <v>19585</v>
      </c>
      <c r="JFG1" s="24" t="s">
        <v>19586</v>
      </c>
      <c r="JFH1" s="24" t="s">
        <v>19587</v>
      </c>
      <c r="JFI1" s="24" t="s">
        <v>19588</v>
      </c>
      <c r="JFJ1" s="24" t="s">
        <v>19589</v>
      </c>
      <c r="JFK1" s="24" t="s">
        <v>19590</v>
      </c>
      <c r="JFL1" s="24" t="s">
        <v>19591</v>
      </c>
      <c r="JFM1" s="24" t="s">
        <v>19592</v>
      </c>
      <c r="JFN1" s="24" t="s">
        <v>19593</v>
      </c>
      <c r="JFO1" s="24" t="s">
        <v>19594</v>
      </c>
      <c r="JFP1" s="24" t="s">
        <v>19595</v>
      </c>
      <c r="JFQ1" s="24" t="s">
        <v>19596</v>
      </c>
      <c r="JFR1" s="24" t="s">
        <v>19597</v>
      </c>
      <c r="JFS1" s="24" t="s">
        <v>19598</v>
      </c>
      <c r="JFT1" s="24" t="s">
        <v>19599</v>
      </c>
      <c r="JFU1" s="24" t="s">
        <v>19600</v>
      </c>
      <c r="JFV1" s="24" t="s">
        <v>19601</v>
      </c>
      <c r="JFW1" s="24" t="s">
        <v>19602</v>
      </c>
      <c r="JFX1" s="24" t="s">
        <v>19603</v>
      </c>
      <c r="JFY1" s="24" t="s">
        <v>19604</v>
      </c>
      <c r="JFZ1" s="24" t="s">
        <v>19605</v>
      </c>
      <c r="JGA1" s="24" t="s">
        <v>19606</v>
      </c>
      <c r="JGB1" s="24" t="s">
        <v>19607</v>
      </c>
      <c r="JGC1" s="24" t="s">
        <v>19608</v>
      </c>
      <c r="JGD1" s="24" t="s">
        <v>19609</v>
      </c>
      <c r="JGE1" s="24" t="s">
        <v>19610</v>
      </c>
      <c r="JGF1" s="24" t="s">
        <v>19611</v>
      </c>
      <c r="JGG1" s="24" t="s">
        <v>19612</v>
      </c>
      <c r="JGH1" s="24" t="s">
        <v>19613</v>
      </c>
      <c r="JGI1" s="24" t="s">
        <v>19614</v>
      </c>
      <c r="JGJ1" s="24" t="s">
        <v>19615</v>
      </c>
      <c r="JGK1" s="24" t="s">
        <v>19616</v>
      </c>
      <c r="JGL1" s="24" t="s">
        <v>19617</v>
      </c>
      <c r="JGM1" s="24" t="s">
        <v>19618</v>
      </c>
      <c r="JGN1" s="24" t="s">
        <v>19619</v>
      </c>
      <c r="JGO1" s="24" t="s">
        <v>19620</v>
      </c>
      <c r="JGP1" s="24" t="s">
        <v>19621</v>
      </c>
      <c r="JGQ1" s="24" t="s">
        <v>19622</v>
      </c>
      <c r="JGR1" s="24" t="s">
        <v>19623</v>
      </c>
      <c r="JGS1" s="24" t="s">
        <v>19624</v>
      </c>
      <c r="JGT1" s="24" t="s">
        <v>19625</v>
      </c>
      <c r="JGU1" s="24" t="s">
        <v>19626</v>
      </c>
      <c r="JGV1" s="24" t="s">
        <v>19627</v>
      </c>
      <c r="JGW1" s="24" t="s">
        <v>19628</v>
      </c>
      <c r="JGX1" s="24" t="s">
        <v>19629</v>
      </c>
      <c r="JGY1" s="24" t="s">
        <v>19630</v>
      </c>
      <c r="JGZ1" s="24" t="s">
        <v>19631</v>
      </c>
      <c r="JHA1" s="24" t="s">
        <v>19632</v>
      </c>
      <c r="JHB1" s="24" t="s">
        <v>19633</v>
      </c>
      <c r="JHC1" s="24" t="s">
        <v>19634</v>
      </c>
      <c r="JHD1" s="24" t="s">
        <v>19635</v>
      </c>
      <c r="JHE1" s="24" t="s">
        <v>19636</v>
      </c>
      <c r="JHF1" s="24" t="s">
        <v>19637</v>
      </c>
      <c r="JHG1" s="24" t="s">
        <v>19638</v>
      </c>
      <c r="JHH1" s="24" t="s">
        <v>19639</v>
      </c>
      <c r="JHI1" s="24" t="s">
        <v>19640</v>
      </c>
      <c r="JHJ1" s="24" t="s">
        <v>19641</v>
      </c>
      <c r="JHK1" s="24" t="s">
        <v>19642</v>
      </c>
      <c r="JHL1" s="24" t="s">
        <v>19643</v>
      </c>
      <c r="JHM1" s="24" t="s">
        <v>19644</v>
      </c>
      <c r="JHN1" s="24" t="s">
        <v>19645</v>
      </c>
      <c r="JHO1" s="24" t="s">
        <v>19646</v>
      </c>
      <c r="JHP1" s="24" t="s">
        <v>19647</v>
      </c>
      <c r="JHQ1" s="24" t="s">
        <v>19648</v>
      </c>
      <c r="JHR1" s="24" t="s">
        <v>19649</v>
      </c>
      <c r="JHS1" s="24" t="s">
        <v>19650</v>
      </c>
      <c r="JHT1" s="24" t="s">
        <v>19651</v>
      </c>
      <c r="JHU1" s="24" t="s">
        <v>19652</v>
      </c>
      <c r="JHV1" s="24" t="s">
        <v>19653</v>
      </c>
      <c r="JHW1" s="24" t="s">
        <v>19654</v>
      </c>
      <c r="JHX1" s="24" t="s">
        <v>19655</v>
      </c>
      <c r="JHY1" s="24" t="s">
        <v>19656</v>
      </c>
      <c r="JHZ1" s="24" t="s">
        <v>19657</v>
      </c>
      <c r="JIA1" s="24" t="s">
        <v>19658</v>
      </c>
      <c r="JIB1" s="24" t="s">
        <v>19659</v>
      </c>
      <c r="JIC1" s="24" t="s">
        <v>19660</v>
      </c>
      <c r="JID1" s="24" t="s">
        <v>19661</v>
      </c>
      <c r="JIE1" s="24" t="s">
        <v>19662</v>
      </c>
      <c r="JIF1" s="24" t="s">
        <v>19663</v>
      </c>
      <c r="JIG1" s="24" t="s">
        <v>19664</v>
      </c>
      <c r="JIH1" s="24" t="s">
        <v>19665</v>
      </c>
      <c r="JII1" s="24" t="s">
        <v>19666</v>
      </c>
      <c r="JIJ1" s="24" t="s">
        <v>19667</v>
      </c>
      <c r="JIK1" s="24" t="s">
        <v>19668</v>
      </c>
      <c r="JIL1" s="24" t="s">
        <v>19669</v>
      </c>
      <c r="JIM1" s="24" t="s">
        <v>19670</v>
      </c>
      <c r="JIN1" s="24" t="s">
        <v>19671</v>
      </c>
      <c r="JIO1" s="24" t="s">
        <v>19672</v>
      </c>
      <c r="JIP1" s="24" t="s">
        <v>19673</v>
      </c>
      <c r="JIQ1" s="24" t="s">
        <v>19674</v>
      </c>
      <c r="JIR1" s="24" t="s">
        <v>19675</v>
      </c>
      <c r="JIS1" s="24" t="s">
        <v>19676</v>
      </c>
      <c r="JIT1" s="24" t="s">
        <v>19677</v>
      </c>
      <c r="JIU1" s="24" t="s">
        <v>19678</v>
      </c>
      <c r="JIV1" s="24" t="s">
        <v>19679</v>
      </c>
      <c r="JIW1" s="24" t="s">
        <v>19680</v>
      </c>
      <c r="JIX1" s="24" t="s">
        <v>19681</v>
      </c>
      <c r="JIY1" s="24" t="s">
        <v>19682</v>
      </c>
      <c r="JIZ1" s="24" t="s">
        <v>19683</v>
      </c>
      <c r="JJA1" s="24" t="s">
        <v>19684</v>
      </c>
      <c r="JJB1" s="24" t="s">
        <v>19685</v>
      </c>
      <c r="JJC1" s="24" t="s">
        <v>19686</v>
      </c>
      <c r="JJD1" s="24" t="s">
        <v>19687</v>
      </c>
      <c r="JJE1" s="24" t="s">
        <v>19688</v>
      </c>
      <c r="JJF1" s="24" t="s">
        <v>19689</v>
      </c>
      <c r="JJG1" s="24" t="s">
        <v>19690</v>
      </c>
      <c r="JJH1" s="24" t="s">
        <v>19691</v>
      </c>
      <c r="JJI1" s="24" t="s">
        <v>19692</v>
      </c>
      <c r="JJJ1" s="24" t="s">
        <v>19693</v>
      </c>
      <c r="JJK1" s="24" t="s">
        <v>19694</v>
      </c>
      <c r="JJL1" s="24" t="s">
        <v>19695</v>
      </c>
      <c r="JJM1" s="24" t="s">
        <v>19696</v>
      </c>
      <c r="JJN1" s="24" t="s">
        <v>19697</v>
      </c>
      <c r="JJO1" s="24" t="s">
        <v>19698</v>
      </c>
      <c r="JJP1" s="24" t="s">
        <v>19699</v>
      </c>
      <c r="JJQ1" s="24" t="s">
        <v>19700</v>
      </c>
      <c r="JJR1" s="24" t="s">
        <v>19701</v>
      </c>
      <c r="JJS1" s="24" t="s">
        <v>19702</v>
      </c>
      <c r="JJT1" s="24" t="s">
        <v>19703</v>
      </c>
      <c r="JJU1" s="24" t="s">
        <v>19704</v>
      </c>
      <c r="JJV1" s="24" t="s">
        <v>19705</v>
      </c>
      <c r="JJW1" s="24" t="s">
        <v>19706</v>
      </c>
      <c r="JJX1" s="24" t="s">
        <v>19707</v>
      </c>
      <c r="JJY1" s="24" t="s">
        <v>19708</v>
      </c>
      <c r="JJZ1" s="24" t="s">
        <v>19709</v>
      </c>
      <c r="JKA1" s="24" t="s">
        <v>19710</v>
      </c>
      <c r="JKB1" s="24" t="s">
        <v>19711</v>
      </c>
      <c r="JKC1" s="24" t="s">
        <v>19712</v>
      </c>
      <c r="JKD1" s="24" t="s">
        <v>19713</v>
      </c>
      <c r="JKE1" s="24" t="s">
        <v>19714</v>
      </c>
      <c r="JKF1" s="24" t="s">
        <v>19715</v>
      </c>
      <c r="JKG1" s="24" t="s">
        <v>19716</v>
      </c>
      <c r="JKH1" s="24" t="s">
        <v>19717</v>
      </c>
      <c r="JKI1" s="24" t="s">
        <v>19718</v>
      </c>
      <c r="JKJ1" s="24" t="s">
        <v>19719</v>
      </c>
      <c r="JKK1" s="24" t="s">
        <v>19720</v>
      </c>
      <c r="JKL1" s="24" t="s">
        <v>19721</v>
      </c>
      <c r="JKM1" s="24" t="s">
        <v>19722</v>
      </c>
      <c r="JKN1" s="24" t="s">
        <v>19723</v>
      </c>
      <c r="JKO1" s="24" t="s">
        <v>19724</v>
      </c>
      <c r="JKP1" s="24" t="s">
        <v>19725</v>
      </c>
      <c r="JKQ1" s="24" t="s">
        <v>19726</v>
      </c>
      <c r="JKR1" s="24" t="s">
        <v>19727</v>
      </c>
      <c r="JKS1" s="24" t="s">
        <v>19728</v>
      </c>
      <c r="JKT1" s="24" t="s">
        <v>19729</v>
      </c>
      <c r="JKU1" s="24" t="s">
        <v>19730</v>
      </c>
      <c r="JKV1" s="24" t="s">
        <v>19731</v>
      </c>
      <c r="JKW1" s="24" t="s">
        <v>19732</v>
      </c>
      <c r="JKX1" s="24" t="s">
        <v>19733</v>
      </c>
      <c r="JKY1" s="24" t="s">
        <v>19734</v>
      </c>
      <c r="JKZ1" s="24" t="s">
        <v>19735</v>
      </c>
      <c r="JLA1" s="24" t="s">
        <v>19736</v>
      </c>
      <c r="JLB1" s="24" t="s">
        <v>19737</v>
      </c>
      <c r="JLC1" s="24" t="s">
        <v>19738</v>
      </c>
      <c r="JLD1" s="24" t="s">
        <v>19739</v>
      </c>
      <c r="JLE1" s="24" t="s">
        <v>19740</v>
      </c>
      <c r="JLF1" s="24" t="s">
        <v>19741</v>
      </c>
      <c r="JLG1" s="24" t="s">
        <v>19742</v>
      </c>
      <c r="JLH1" s="24" t="s">
        <v>19743</v>
      </c>
      <c r="JLI1" s="24" t="s">
        <v>19744</v>
      </c>
      <c r="JLJ1" s="24" t="s">
        <v>19745</v>
      </c>
      <c r="JLK1" s="24" t="s">
        <v>19746</v>
      </c>
      <c r="JLL1" s="24" t="s">
        <v>19747</v>
      </c>
      <c r="JLM1" s="24" t="s">
        <v>19748</v>
      </c>
      <c r="JLN1" s="24" t="s">
        <v>19749</v>
      </c>
      <c r="JLO1" s="24" t="s">
        <v>19750</v>
      </c>
      <c r="JLP1" s="24" t="s">
        <v>19751</v>
      </c>
      <c r="JLQ1" s="24" t="s">
        <v>19752</v>
      </c>
      <c r="JLR1" s="24" t="s">
        <v>19753</v>
      </c>
      <c r="JLS1" s="24" t="s">
        <v>19754</v>
      </c>
      <c r="JLT1" s="24" t="s">
        <v>19755</v>
      </c>
      <c r="JLU1" s="24" t="s">
        <v>19756</v>
      </c>
      <c r="JLV1" s="24" t="s">
        <v>19757</v>
      </c>
      <c r="JLW1" s="24" t="s">
        <v>19758</v>
      </c>
      <c r="JLX1" s="24" t="s">
        <v>19759</v>
      </c>
      <c r="JLY1" s="24" t="s">
        <v>19760</v>
      </c>
      <c r="JLZ1" s="24" t="s">
        <v>19761</v>
      </c>
      <c r="JMA1" s="24" t="s">
        <v>19762</v>
      </c>
      <c r="JMB1" s="24" t="s">
        <v>19763</v>
      </c>
      <c r="JMC1" s="24" t="s">
        <v>19764</v>
      </c>
      <c r="JMD1" s="24" t="s">
        <v>19765</v>
      </c>
      <c r="JME1" s="24" t="s">
        <v>19766</v>
      </c>
      <c r="JMF1" s="24" t="s">
        <v>19767</v>
      </c>
      <c r="JMG1" s="24" t="s">
        <v>19768</v>
      </c>
      <c r="JMH1" s="24" t="s">
        <v>19769</v>
      </c>
      <c r="JMI1" s="24" t="s">
        <v>19770</v>
      </c>
      <c r="JMJ1" s="24" t="s">
        <v>19771</v>
      </c>
      <c r="JMK1" s="24" t="s">
        <v>19772</v>
      </c>
      <c r="JML1" s="24" t="s">
        <v>19773</v>
      </c>
      <c r="JMM1" s="24" t="s">
        <v>19774</v>
      </c>
      <c r="JMN1" s="24" t="s">
        <v>19775</v>
      </c>
      <c r="JMO1" s="24" t="s">
        <v>19776</v>
      </c>
      <c r="JMP1" s="24" t="s">
        <v>19777</v>
      </c>
      <c r="JMQ1" s="24" t="s">
        <v>19778</v>
      </c>
      <c r="JMR1" s="24" t="s">
        <v>19779</v>
      </c>
      <c r="JMS1" s="24" t="s">
        <v>19780</v>
      </c>
      <c r="JMT1" s="24" t="s">
        <v>19781</v>
      </c>
      <c r="JMU1" s="24" t="s">
        <v>19782</v>
      </c>
      <c r="JMV1" s="24" t="s">
        <v>19783</v>
      </c>
      <c r="JMW1" s="24" t="s">
        <v>19784</v>
      </c>
      <c r="JMX1" s="24" t="s">
        <v>19785</v>
      </c>
      <c r="JMY1" s="24" t="s">
        <v>19786</v>
      </c>
      <c r="JMZ1" s="24" t="s">
        <v>19787</v>
      </c>
      <c r="JNA1" s="24" t="s">
        <v>19788</v>
      </c>
      <c r="JNB1" s="24" t="s">
        <v>19789</v>
      </c>
      <c r="JNC1" s="24" t="s">
        <v>19790</v>
      </c>
      <c r="JND1" s="24" t="s">
        <v>19791</v>
      </c>
      <c r="JNE1" s="24" t="s">
        <v>19792</v>
      </c>
      <c r="JNF1" s="24" t="s">
        <v>19793</v>
      </c>
      <c r="JNG1" s="24" t="s">
        <v>19794</v>
      </c>
      <c r="JNH1" s="24" t="s">
        <v>19795</v>
      </c>
      <c r="JNI1" s="24" t="s">
        <v>19796</v>
      </c>
      <c r="JNJ1" s="24" t="s">
        <v>19797</v>
      </c>
      <c r="JNK1" s="24" t="s">
        <v>19798</v>
      </c>
      <c r="JNL1" s="24" t="s">
        <v>19799</v>
      </c>
      <c r="JNM1" s="24" t="s">
        <v>19800</v>
      </c>
      <c r="JNN1" s="24" t="s">
        <v>19801</v>
      </c>
      <c r="JNO1" s="24" t="s">
        <v>19802</v>
      </c>
      <c r="JNP1" s="24" t="s">
        <v>19803</v>
      </c>
      <c r="JNQ1" s="24" t="s">
        <v>19804</v>
      </c>
      <c r="JNR1" s="24" t="s">
        <v>19805</v>
      </c>
      <c r="JNS1" s="24" t="s">
        <v>19806</v>
      </c>
      <c r="JNT1" s="24" t="s">
        <v>19807</v>
      </c>
      <c r="JNU1" s="24" t="s">
        <v>19808</v>
      </c>
      <c r="JNV1" s="24" t="s">
        <v>19809</v>
      </c>
      <c r="JNW1" s="24" t="s">
        <v>19810</v>
      </c>
      <c r="JNX1" s="24" t="s">
        <v>19811</v>
      </c>
      <c r="JNY1" s="24" t="s">
        <v>19812</v>
      </c>
      <c r="JNZ1" s="24" t="s">
        <v>19813</v>
      </c>
      <c r="JOA1" s="24" t="s">
        <v>19814</v>
      </c>
      <c r="JOB1" s="24" t="s">
        <v>19815</v>
      </c>
      <c r="JOC1" s="24" t="s">
        <v>19816</v>
      </c>
      <c r="JOD1" s="24" t="s">
        <v>19817</v>
      </c>
      <c r="JOE1" s="24" t="s">
        <v>19818</v>
      </c>
      <c r="JOF1" s="24" t="s">
        <v>19819</v>
      </c>
      <c r="JOG1" s="24" t="s">
        <v>19820</v>
      </c>
      <c r="JOH1" s="24" t="s">
        <v>19821</v>
      </c>
      <c r="JOI1" s="24" t="s">
        <v>19822</v>
      </c>
      <c r="JOJ1" s="24" t="s">
        <v>19823</v>
      </c>
      <c r="JOK1" s="24" t="s">
        <v>19824</v>
      </c>
      <c r="JOL1" s="24" t="s">
        <v>19825</v>
      </c>
      <c r="JOM1" s="24" t="s">
        <v>19826</v>
      </c>
      <c r="JON1" s="24" t="s">
        <v>19827</v>
      </c>
      <c r="JOO1" s="24" t="s">
        <v>19828</v>
      </c>
      <c r="JOP1" s="24" t="s">
        <v>19829</v>
      </c>
      <c r="JOQ1" s="24" t="s">
        <v>19830</v>
      </c>
      <c r="JOR1" s="24" t="s">
        <v>19831</v>
      </c>
      <c r="JOS1" s="24" t="s">
        <v>19832</v>
      </c>
      <c r="JOT1" s="24" t="s">
        <v>19833</v>
      </c>
      <c r="JOU1" s="24" t="s">
        <v>19834</v>
      </c>
      <c r="JOV1" s="24" t="s">
        <v>19835</v>
      </c>
      <c r="JOW1" s="24" t="s">
        <v>19836</v>
      </c>
      <c r="JOX1" s="24" t="s">
        <v>19837</v>
      </c>
      <c r="JOY1" s="24" t="s">
        <v>19838</v>
      </c>
      <c r="JOZ1" s="24" t="s">
        <v>19839</v>
      </c>
      <c r="JPA1" s="24" t="s">
        <v>19840</v>
      </c>
      <c r="JPB1" s="24" t="s">
        <v>19841</v>
      </c>
      <c r="JPC1" s="24" t="s">
        <v>19842</v>
      </c>
      <c r="JPD1" s="24" t="s">
        <v>19843</v>
      </c>
      <c r="JPE1" s="24" t="s">
        <v>19844</v>
      </c>
      <c r="JPF1" s="24" t="s">
        <v>19845</v>
      </c>
      <c r="JPG1" s="24" t="s">
        <v>19846</v>
      </c>
      <c r="JPH1" s="24" t="s">
        <v>19847</v>
      </c>
      <c r="JPI1" s="24" t="s">
        <v>19848</v>
      </c>
      <c r="JPJ1" s="24" t="s">
        <v>19849</v>
      </c>
      <c r="JPK1" s="24" t="s">
        <v>19850</v>
      </c>
      <c r="JPL1" s="24" t="s">
        <v>19851</v>
      </c>
      <c r="JPM1" s="24" t="s">
        <v>19852</v>
      </c>
      <c r="JPN1" s="24" t="s">
        <v>19853</v>
      </c>
      <c r="JPO1" s="24" t="s">
        <v>19854</v>
      </c>
      <c r="JPP1" s="24" t="s">
        <v>19855</v>
      </c>
      <c r="JPQ1" s="24" t="s">
        <v>19856</v>
      </c>
      <c r="JPR1" s="24" t="s">
        <v>19857</v>
      </c>
      <c r="JPS1" s="24" t="s">
        <v>19858</v>
      </c>
      <c r="JPT1" s="24" t="s">
        <v>19859</v>
      </c>
      <c r="JPU1" s="24" t="s">
        <v>19860</v>
      </c>
      <c r="JPV1" s="24" t="s">
        <v>19861</v>
      </c>
      <c r="JPW1" s="24" t="s">
        <v>19862</v>
      </c>
      <c r="JPX1" s="24" t="s">
        <v>19863</v>
      </c>
      <c r="JPY1" s="24" t="s">
        <v>19864</v>
      </c>
      <c r="JPZ1" s="24" t="s">
        <v>19865</v>
      </c>
      <c r="JQA1" s="24" t="s">
        <v>19866</v>
      </c>
      <c r="JQB1" s="24" t="s">
        <v>19867</v>
      </c>
      <c r="JQC1" s="24" t="s">
        <v>19868</v>
      </c>
      <c r="JQD1" s="24" t="s">
        <v>19869</v>
      </c>
      <c r="JQE1" s="24" t="s">
        <v>19870</v>
      </c>
      <c r="JQF1" s="24" t="s">
        <v>19871</v>
      </c>
      <c r="JQG1" s="24" t="s">
        <v>19872</v>
      </c>
      <c r="JQH1" s="24" t="s">
        <v>19873</v>
      </c>
      <c r="JQI1" s="24" t="s">
        <v>19874</v>
      </c>
      <c r="JQJ1" s="24" t="s">
        <v>19875</v>
      </c>
      <c r="JQK1" s="24" t="s">
        <v>19876</v>
      </c>
      <c r="JQL1" s="24" t="s">
        <v>19877</v>
      </c>
      <c r="JQM1" s="24" t="s">
        <v>19878</v>
      </c>
      <c r="JQN1" s="24" t="s">
        <v>19879</v>
      </c>
      <c r="JQO1" s="24" t="s">
        <v>19880</v>
      </c>
      <c r="JQP1" s="24" t="s">
        <v>19881</v>
      </c>
      <c r="JQQ1" s="24" t="s">
        <v>19882</v>
      </c>
      <c r="JQR1" s="24" t="s">
        <v>19883</v>
      </c>
      <c r="JQS1" s="24" t="s">
        <v>19884</v>
      </c>
      <c r="JQT1" s="24" t="s">
        <v>19885</v>
      </c>
      <c r="JQU1" s="24" t="s">
        <v>19886</v>
      </c>
      <c r="JQV1" s="24" t="s">
        <v>19887</v>
      </c>
      <c r="JQW1" s="24" t="s">
        <v>19888</v>
      </c>
      <c r="JQX1" s="24" t="s">
        <v>19889</v>
      </c>
      <c r="JQY1" s="24" t="s">
        <v>19890</v>
      </c>
      <c r="JQZ1" s="24" t="s">
        <v>19891</v>
      </c>
      <c r="JRA1" s="24" t="s">
        <v>19892</v>
      </c>
      <c r="JRB1" s="24" t="s">
        <v>19893</v>
      </c>
      <c r="JRC1" s="24" t="s">
        <v>19894</v>
      </c>
      <c r="JRD1" s="24" t="s">
        <v>19895</v>
      </c>
      <c r="JRE1" s="24" t="s">
        <v>19896</v>
      </c>
      <c r="JRF1" s="24" t="s">
        <v>19897</v>
      </c>
      <c r="JRG1" s="24" t="s">
        <v>19898</v>
      </c>
      <c r="JRH1" s="24" t="s">
        <v>19899</v>
      </c>
      <c r="JRI1" s="24" t="s">
        <v>19900</v>
      </c>
      <c r="JRJ1" s="24" t="s">
        <v>19901</v>
      </c>
      <c r="JRK1" s="24" t="s">
        <v>19902</v>
      </c>
      <c r="JRL1" s="24" t="s">
        <v>19903</v>
      </c>
      <c r="JRM1" s="24" t="s">
        <v>19904</v>
      </c>
      <c r="JRN1" s="24" t="s">
        <v>19905</v>
      </c>
      <c r="JRO1" s="24" t="s">
        <v>19906</v>
      </c>
      <c r="JRP1" s="24" t="s">
        <v>19907</v>
      </c>
      <c r="JRQ1" s="24" t="s">
        <v>19908</v>
      </c>
      <c r="JRR1" s="24" t="s">
        <v>19909</v>
      </c>
      <c r="JRS1" s="24" t="s">
        <v>19910</v>
      </c>
      <c r="JRT1" s="24" t="s">
        <v>19911</v>
      </c>
      <c r="JRU1" s="24" t="s">
        <v>19912</v>
      </c>
      <c r="JRV1" s="24" t="s">
        <v>19913</v>
      </c>
      <c r="JRW1" s="24" t="s">
        <v>19914</v>
      </c>
      <c r="JRX1" s="24" t="s">
        <v>19915</v>
      </c>
      <c r="JRY1" s="24" t="s">
        <v>19916</v>
      </c>
      <c r="JRZ1" s="24" t="s">
        <v>19917</v>
      </c>
      <c r="JSA1" s="24" t="s">
        <v>19918</v>
      </c>
      <c r="JSB1" s="24" t="s">
        <v>19919</v>
      </c>
      <c r="JSC1" s="24" t="s">
        <v>19920</v>
      </c>
      <c r="JSD1" s="24" t="s">
        <v>19921</v>
      </c>
      <c r="JSE1" s="24" t="s">
        <v>19922</v>
      </c>
      <c r="JSF1" s="24" t="s">
        <v>19923</v>
      </c>
      <c r="JSG1" s="24" t="s">
        <v>19924</v>
      </c>
      <c r="JSH1" s="24" t="s">
        <v>19925</v>
      </c>
      <c r="JSI1" s="24" t="s">
        <v>19926</v>
      </c>
      <c r="JSJ1" s="24" t="s">
        <v>19927</v>
      </c>
      <c r="JSK1" s="24" t="s">
        <v>19928</v>
      </c>
      <c r="JSL1" s="24" t="s">
        <v>19929</v>
      </c>
      <c r="JSM1" s="24" t="s">
        <v>19930</v>
      </c>
      <c r="JSN1" s="24" t="s">
        <v>19931</v>
      </c>
      <c r="JSO1" s="24" t="s">
        <v>19932</v>
      </c>
      <c r="JSP1" s="24" t="s">
        <v>19933</v>
      </c>
      <c r="JSQ1" s="24" t="s">
        <v>19934</v>
      </c>
      <c r="JSR1" s="24" t="s">
        <v>19935</v>
      </c>
      <c r="JSS1" s="24" t="s">
        <v>19936</v>
      </c>
      <c r="JST1" s="24" t="s">
        <v>19937</v>
      </c>
      <c r="JSU1" s="24" t="s">
        <v>19938</v>
      </c>
      <c r="JSV1" s="24" t="s">
        <v>19939</v>
      </c>
      <c r="JSW1" s="24" t="s">
        <v>19940</v>
      </c>
      <c r="JSX1" s="24" t="s">
        <v>19941</v>
      </c>
      <c r="JSY1" s="24" t="s">
        <v>19942</v>
      </c>
      <c r="JSZ1" s="24" t="s">
        <v>19943</v>
      </c>
      <c r="JTA1" s="24" t="s">
        <v>19944</v>
      </c>
      <c r="JTB1" s="24" t="s">
        <v>19945</v>
      </c>
      <c r="JTC1" s="24" t="s">
        <v>19946</v>
      </c>
      <c r="JTD1" s="24" t="s">
        <v>19947</v>
      </c>
      <c r="JTE1" s="24" t="s">
        <v>19948</v>
      </c>
      <c r="JTF1" s="24" t="s">
        <v>19949</v>
      </c>
      <c r="JTG1" s="24" t="s">
        <v>19950</v>
      </c>
      <c r="JTH1" s="24" t="s">
        <v>19951</v>
      </c>
      <c r="JTI1" s="24" t="s">
        <v>19952</v>
      </c>
      <c r="JTJ1" s="24" t="s">
        <v>19953</v>
      </c>
      <c r="JTK1" s="24" t="s">
        <v>19954</v>
      </c>
      <c r="JTL1" s="24" t="s">
        <v>19955</v>
      </c>
      <c r="JTM1" s="24" t="s">
        <v>19956</v>
      </c>
      <c r="JTN1" s="24" t="s">
        <v>19957</v>
      </c>
      <c r="JTO1" s="24" t="s">
        <v>19958</v>
      </c>
      <c r="JTP1" s="24" t="s">
        <v>19959</v>
      </c>
      <c r="JTQ1" s="24" t="s">
        <v>19960</v>
      </c>
      <c r="JTR1" s="24" t="s">
        <v>19961</v>
      </c>
      <c r="JTS1" s="24" t="s">
        <v>19962</v>
      </c>
      <c r="JTT1" s="24" t="s">
        <v>19963</v>
      </c>
      <c r="JTU1" s="24" t="s">
        <v>19964</v>
      </c>
      <c r="JTV1" s="24" t="s">
        <v>19965</v>
      </c>
      <c r="JTW1" s="24" t="s">
        <v>19966</v>
      </c>
      <c r="JTX1" s="24" t="s">
        <v>19967</v>
      </c>
      <c r="JTY1" s="24" t="s">
        <v>19968</v>
      </c>
      <c r="JTZ1" s="24" t="s">
        <v>19969</v>
      </c>
      <c r="JUA1" s="24" t="s">
        <v>19970</v>
      </c>
      <c r="JUB1" s="24" t="s">
        <v>19971</v>
      </c>
      <c r="JUC1" s="24" t="s">
        <v>19972</v>
      </c>
      <c r="JUD1" s="24" t="s">
        <v>19973</v>
      </c>
      <c r="JUE1" s="24" t="s">
        <v>19974</v>
      </c>
      <c r="JUF1" s="24" t="s">
        <v>19975</v>
      </c>
      <c r="JUG1" s="24" t="s">
        <v>19976</v>
      </c>
      <c r="JUH1" s="24" t="s">
        <v>19977</v>
      </c>
      <c r="JUI1" s="24" t="s">
        <v>19978</v>
      </c>
      <c r="JUJ1" s="24" t="s">
        <v>19979</v>
      </c>
      <c r="JUK1" s="24" t="s">
        <v>19980</v>
      </c>
      <c r="JUL1" s="24" t="s">
        <v>19981</v>
      </c>
      <c r="JUM1" s="24" t="s">
        <v>19982</v>
      </c>
      <c r="JUN1" s="24" t="s">
        <v>19983</v>
      </c>
      <c r="JUO1" s="24" t="s">
        <v>19984</v>
      </c>
      <c r="JUP1" s="24" t="s">
        <v>19985</v>
      </c>
      <c r="JUQ1" s="24" t="s">
        <v>19986</v>
      </c>
      <c r="JUR1" s="24" t="s">
        <v>19987</v>
      </c>
      <c r="JUS1" s="24" t="s">
        <v>19988</v>
      </c>
      <c r="JUT1" s="24" t="s">
        <v>19989</v>
      </c>
      <c r="JUU1" s="24" t="s">
        <v>19990</v>
      </c>
      <c r="JUV1" s="24" t="s">
        <v>19991</v>
      </c>
      <c r="JUW1" s="24" t="s">
        <v>19992</v>
      </c>
      <c r="JUX1" s="24" t="s">
        <v>19993</v>
      </c>
      <c r="JUY1" s="24" t="s">
        <v>19994</v>
      </c>
      <c r="JUZ1" s="24" t="s">
        <v>19995</v>
      </c>
      <c r="JVA1" s="24" t="s">
        <v>19996</v>
      </c>
      <c r="JVB1" s="24" t="s">
        <v>19997</v>
      </c>
      <c r="JVC1" s="24" t="s">
        <v>19998</v>
      </c>
      <c r="JVD1" s="24" t="s">
        <v>19999</v>
      </c>
      <c r="JVE1" s="24" t="s">
        <v>20000</v>
      </c>
      <c r="JVF1" s="24" t="s">
        <v>20001</v>
      </c>
      <c r="JVG1" s="24" t="s">
        <v>20002</v>
      </c>
      <c r="JVH1" s="24" t="s">
        <v>20003</v>
      </c>
      <c r="JVI1" s="24" t="s">
        <v>20004</v>
      </c>
      <c r="JVJ1" s="24" t="s">
        <v>20005</v>
      </c>
      <c r="JVK1" s="24" t="s">
        <v>20006</v>
      </c>
      <c r="JVL1" s="24" t="s">
        <v>20007</v>
      </c>
      <c r="JVM1" s="24" t="s">
        <v>20008</v>
      </c>
      <c r="JVN1" s="24" t="s">
        <v>20009</v>
      </c>
      <c r="JVO1" s="24" t="s">
        <v>20010</v>
      </c>
      <c r="JVP1" s="24" t="s">
        <v>20011</v>
      </c>
      <c r="JVQ1" s="24" t="s">
        <v>20012</v>
      </c>
      <c r="JVR1" s="24" t="s">
        <v>20013</v>
      </c>
      <c r="JVS1" s="24" t="s">
        <v>20014</v>
      </c>
      <c r="JVT1" s="24" t="s">
        <v>20015</v>
      </c>
      <c r="JVU1" s="24" t="s">
        <v>20016</v>
      </c>
      <c r="JVV1" s="24" t="s">
        <v>20017</v>
      </c>
      <c r="JVW1" s="24" t="s">
        <v>20018</v>
      </c>
      <c r="JVX1" s="24" t="s">
        <v>20019</v>
      </c>
      <c r="JVY1" s="24" t="s">
        <v>20020</v>
      </c>
      <c r="JVZ1" s="24" t="s">
        <v>20021</v>
      </c>
      <c r="JWA1" s="24" t="s">
        <v>20022</v>
      </c>
      <c r="JWB1" s="24" t="s">
        <v>20023</v>
      </c>
      <c r="JWC1" s="24" t="s">
        <v>20024</v>
      </c>
      <c r="JWD1" s="24" t="s">
        <v>20025</v>
      </c>
      <c r="JWE1" s="24" t="s">
        <v>20026</v>
      </c>
      <c r="JWF1" s="24" t="s">
        <v>20027</v>
      </c>
      <c r="JWG1" s="24" t="s">
        <v>20028</v>
      </c>
      <c r="JWH1" s="24" t="s">
        <v>20029</v>
      </c>
      <c r="JWI1" s="24" t="s">
        <v>20030</v>
      </c>
      <c r="JWJ1" s="24" t="s">
        <v>20031</v>
      </c>
      <c r="JWK1" s="24" t="s">
        <v>20032</v>
      </c>
      <c r="JWL1" s="24" t="s">
        <v>20033</v>
      </c>
      <c r="JWM1" s="24" t="s">
        <v>20034</v>
      </c>
      <c r="JWN1" s="24" t="s">
        <v>20035</v>
      </c>
      <c r="JWO1" s="24" t="s">
        <v>20036</v>
      </c>
      <c r="JWP1" s="24" t="s">
        <v>20037</v>
      </c>
      <c r="JWQ1" s="24" t="s">
        <v>20038</v>
      </c>
      <c r="JWR1" s="24" t="s">
        <v>20039</v>
      </c>
      <c r="JWS1" s="24" t="s">
        <v>20040</v>
      </c>
      <c r="JWT1" s="24" t="s">
        <v>20041</v>
      </c>
      <c r="JWU1" s="24" t="s">
        <v>20042</v>
      </c>
      <c r="JWV1" s="24" t="s">
        <v>20043</v>
      </c>
      <c r="JWW1" s="24" t="s">
        <v>20044</v>
      </c>
      <c r="JWX1" s="24" t="s">
        <v>20045</v>
      </c>
      <c r="JWY1" s="24" t="s">
        <v>20046</v>
      </c>
      <c r="JWZ1" s="24" t="s">
        <v>20047</v>
      </c>
      <c r="JXA1" s="24" t="s">
        <v>20048</v>
      </c>
      <c r="JXB1" s="24" t="s">
        <v>20049</v>
      </c>
      <c r="JXC1" s="24" t="s">
        <v>20050</v>
      </c>
      <c r="JXD1" s="24" t="s">
        <v>20051</v>
      </c>
      <c r="JXE1" s="24" t="s">
        <v>20052</v>
      </c>
      <c r="JXF1" s="24" t="s">
        <v>20053</v>
      </c>
      <c r="JXG1" s="24" t="s">
        <v>20054</v>
      </c>
      <c r="JXH1" s="24" t="s">
        <v>20055</v>
      </c>
      <c r="JXI1" s="24" t="s">
        <v>20056</v>
      </c>
      <c r="JXJ1" s="24" t="s">
        <v>20057</v>
      </c>
      <c r="JXK1" s="24" t="s">
        <v>20058</v>
      </c>
      <c r="JXL1" s="24" t="s">
        <v>20059</v>
      </c>
      <c r="JXM1" s="24" t="s">
        <v>20060</v>
      </c>
      <c r="JXN1" s="24" t="s">
        <v>20061</v>
      </c>
      <c r="JXO1" s="24" t="s">
        <v>20062</v>
      </c>
      <c r="JXP1" s="24" t="s">
        <v>20063</v>
      </c>
      <c r="JXQ1" s="24" t="s">
        <v>20064</v>
      </c>
      <c r="JXR1" s="24" t="s">
        <v>20065</v>
      </c>
      <c r="JXS1" s="24" t="s">
        <v>20066</v>
      </c>
      <c r="JXT1" s="24" t="s">
        <v>20067</v>
      </c>
      <c r="JXU1" s="24" t="s">
        <v>20068</v>
      </c>
      <c r="JXV1" s="24" t="s">
        <v>20069</v>
      </c>
      <c r="JXW1" s="24" t="s">
        <v>20070</v>
      </c>
      <c r="JXX1" s="24" t="s">
        <v>20071</v>
      </c>
      <c r="JXY1" s="24" t="s">
        <v>20072</v>
      </c>
      <c r="JXZ1" s="24" t="s">
        <v>20073</v>
      </c>
      <c r="JYA1" s="24" t="s">
        <v>20074</v>
      </c>
      <c r="JYB1" s="24" t="s">
        <v>20075</v>
      </c>
      <c r="JYC1" s="24" t="s">
        <v>20076</v>
      </c>
      <c r="JYD1" s="24" t="s">
        <v>20077</v>
      </c>
      <c r="JYE1" s="24" t="s">
        <v>20078</v>
      </c>
      <c r="JYF1" s="24" t="s">
        <v>20079</v>
      </c>
      <c r="JYG1" s="24" t="s">
        <v>20080</v>
      </c>
      <c r="JYH1" s="24" t="s">
        <v>20081</v>
      </c>
      <c r="JYI1" s="24" t="s">
        <v>20082</v>
      </c>
      <c r="JYJ1" s="24" t="s">
        <v>20083</v>
      </c>
      <c r="JYK1" s="24" t="s">
        <v>20084</v>
      </c>
      <c r="JYL1" s="24" t="s">
        <v>20085</v>
      </c>
      <c r="JYM1" s="24" t="s">
        <v>20086</v>
      </c>
      <c r="JYN1" s="24" t="s">
        <v>20087</v>
      </c>
      <c r="JYO1" s="24" t="s">
        <v>20088</v>
      </c>
      <c r="JYP1" s="24" t="s">
        <v>20089</v>
      </c>
      <c r="JYQ1" s="24" t="s">
        <v>20090</v>
      </c>
      <c r="JYR1" s="24" t="s">
        <v>20091</v>
      </c>
      <c r="JYS1" s="24" t="s">
        <v>20092</v>
      </c>
      <c r="JYT1" s="24" t="s">
        <v>20093</v>
      </c>
      <c r="JYU1" s="24" t="s">
        <v>20094</v>
      </c>
      <c r="JYV1" s="24" t="s">
        <v>20095</v>
      </c>
      <c r="JYW1" s="24" t="s">
        <v>20096</v>
      </c>
      <c r="JYX1" s="24" t="s">
        <v>20097</v>
      </c>
      <c r="JYY1" s="24" t="s">
        <v>20098</v>
      </c>
      <c r="JYZ1" s="24" t="s">
        <v>20099</v>
      </c>
      <c r="JZA1" s="24" t="s">
        <v>20100</v>
      </c>
      <c r="JZB1" s="24" t="s">
        <v>20101</v>
      </c>
      <c r="JZC1" s="24" t="s">
        <v>20102</v>
      </c>
      <c r="JZD1" s="24" t="s">
        <v>20103</v>
      </c>
      <c r="JZE1" s="24" t="s">
        <v>20104</v>
      </c>
      <c r="JZF1" s="24" t="s">
        <v>20105</v>
      </c>
      <c r="JZG1" s="24" t="s">
        <v>20106</v>
      </c>
      <c r="JZH1" s="24" t="s">
        <v>20107</v>
      </c>
      <c r="JZI1" s="24" t="s">
        <v>20108</v>
      </c>
      <c r="JZJ1" s="24" t="s">
        <v>20109</v>
      </c>
      <c r="JZK1" s="24" t="s">
        <v>20110</v>
      </c>
      <c r="JZL1" s="24" t="s">
        <v>20111</v>
      </c>
      <c r="JZM1" s="24" t="s">
        <v>20112</v>
      </c>
      <c r="JZN1" s="24" t="s">
        <v>20113</v>
      </c>
      <c r="JZO1" s="24" t="s">
        <v>20114</v>
      </c>
      <c r="JZP1" s="24" t="s">
        <v>20115</v>
      </c>
      <c r="JZQ1" s="24" t="s">
        <v>20116</v>
      </c>
      <c r="JZR1" s="24" t="s">
        <v>20117</v>
      </c>
      <c r="JZS1" s="24" t="s">
        <v>20118</v>
      </c>
      <c r="JZT1" s="24" t="s">
        <v>20119</v>
      </c>
      <c r="JZU1" s="24" t="s">
        <v>20120</v>
      </c>
      <c r="JZV1" s="24" t="s">
        <v>20121</v>
      </c>
      <c r="JZW1" s="24" t="s">
        <v>20122</v>
      </c>
      <c r="JZX1" s="24" t="s">
        <v>20123</v>
      </c>
      <c r="JZY1" s="24" t="s">
        <v>20124</v>
      </c>
      <c r="JZZ1" s="24" t="s">
        <v>20125</v>
      </c>
      <c r="KAA1" s="24" t="s">
        <v>20126</v>
      </c>
      <c r="KAB1" s="24" t="s">
        <v>20127</v>
      </c>
      <c r="KAC1" s="24" t="s">
        <v>20128</v>
      </c>
      <c r="KAD1" s="24" t="s">
        <v>20129</v>
      </c>
      <c r="KAE1" s="24" t="s">
        <v>20130</v>
      </c>
      <c r="KAF1" s="24" t="s">
        <v>20131</v>
      </c>
      <c r="KAG1" s="24" t="s">
        <v>20132</v>
      </c>
      <c r="KAH1" s="24" t="s">
        <v>20133</v>
      </c>
      <c r="KAI1" s="24" t="s">
        <v>20134</v>
      </c>
      <c r="KAJ1" s="24" t="s">
        <v>20135</v>
      </c>
      <c r="KAK1" s="24" t="s">
        <v>20136</v>
      </c>
      <c r="KAL1" s="24" t="s">
        <v>20137</v>
      </c>
      <c r="KAM1" s="24" t="s">
        <v>20138</v>
      </c>
      <c r="KAN1" s="24" t="s">
        <v>20139</v>
      </c>
      <c r="KAO1" s="24" t="s">
        <v>20140</v>
      </c>
      <c r="KAP1" s="24" t="s">
        <v>20141</v>
      </c>
      <c r="KAQ1" s="24" t="s">
        <v>20142</v>
      </c>
      <c r="KAR1" s="24" t="s">
        <v>20143</v>
      </c>
      <c r="KAS1" s="24" t="s">
        <v>20144</v>
      </c>
      <c r="KAT1" s="24" t="s">
        <v>20145</v>
      </c>
      <c r="KAU1" s="24" t="s">
        <v>20146</v>
      </c>
      <c r="KAV1" s="24" t="s">
        <v>20147</v>
      </c>
      <c r="KAW1" s="24" t="s">
        <v>20148</v>
      </c>
      <c r="KAX1" s="24" t="s">
        <v>20149</v>
      </c>
      <c r="KAY1" s="24" t="s">
        <v>20150</v>
      </c>
      <c r="KAZ1" s="24" t="s">
        <v>20151</v>
      </c>
      <c r="KBA1" s="24" t="s">
        <v>20152</v>
      </c>
      <c r="KBB1" s="24" t="s">
        <v>20153</v>
      </c>
      <c r="KBC1" s="24" t="s">
        <v>20154</v>
      </c>
      <c r="KBD1" s="24" t="s">
        <v>20155</v>
      </c>
      <c r="KBE1" s="24" t="s">
        <v>20156</v>
      </c>
      <c r="KBF1" s="24" t="s">
        <v>20157</v>
      </c>
      <c r="KBG1" s="24" t="s">
        <v>20158</v>
      </c>
      <c r="KBH1" s="24" t="s">
        <v>20159</v>
      </c>
      <c r="KBI1" s="24" t="s">
        <v>20160</v>
      </c>
      <c r="KBJ1" s="24" t="s">
        <v>20161</v>
      </c>
      <c r="KBK1" s="24" t="s">
        <v>20162</v>
      </c>
      <c r="KBL1" s="24" t="s">
        <v>20163</v>
      </c>
      <c r="KBM1" s="24" t="s">
        <v>20164</v>
      </c>
      <c r="KBN1" s="24" t="s">
        <v>20165</v>
      </c>
      <c r="KBO1" s="24" t="s">
        <v>20166</v>
      </c>
      <c r="KBP1" s="24" t="s">
        <v>20167</v>
      </c>
      <c r="KBQ1" s="24" t="s">
        <v>20168</v>
      </c>
      <c r="KBR1" s="24" t="s">
        <v>20169</v>
      </c>
      <c r="KBS1" s="24" t="s">
        <v>20170</v>
      </c>
      <c r="KBT1" s="24" t="s">
        <v>20171</v>
      </c>
      <c r="KBU1" s="24" t="s">
        <v>20172</v>
      </c>
      <c r="KBV1" s="24" t="s">
        <v>20173</v>
      </c>
      <c r="KBW1" s="24" t="s">
        <v>20174</v>
      </c>
      <c r="KBX1" s="24" t="s">
        <v>20175</v>
      </c>
      <c r="KBY1" s="24" t="s">
        <v>20176</v>
      </c>
      <c r="KBZ1" s="24" t="s">
        <v>20177</v>
      </c>
      <c r="KCA1" s="24" t="s">
        <v>20178</v>
      </c>
      <c r="KCB1" s="24" t="s">
        <v>20179</v>
      </c>
      <c r="KCC1" s="24" t="s">
        <v>20180</v>
      </c>
      <c r="KCD1" s="24" t="s">
        <v>20181</v>
      </c>
      <c r="KCE1" s="24" t="s">
        <v>20182</v>
      </c>
      <c r="KCF1" s="24" t="s">
        <v>20183</v>
      </c>
      <c r="KCG1" s="24" t="s">
        <v>20184</v>
      </c>
      <c r="KCH1" s="24" t="s">
        <v>20185</v>
      </c>
      <c r="KCI1" s="24" t="s">
        <v>20186</v>
      </c>
      <c r="KCJ1" s="24" t="s">
        <v>20187</v>
      </c>
      <c r="KCK1" s="24" t="s">
        <v>20188</v>
      </c>
      <c r="KCL1" s="24" t="s">
        <v>20189</v>
      </c>
      <c r="KCM1" s="24" t="s">
        <v>20190</v>
      </c>
      <c r="KCN1" s="24" t="s">
        <v>20191</v>
      </c>
      <c r="KCO1" s="24" t="s">
        <v>20192</v>
      </c>
      <c r="KCP1" s="24" t="s">
        <v>20193</v>
      </c>
      <c r="KCQ1" s="24" t="s">
        <v>20194</v>
      </c>
      <c r="KCR1" s="24" t="s">
        <v>20195</v>
      </c>
      <c r="KCS1" s="24" t="s">
        <v>20196</v>
      </c>
      <c r="KCT1" s="24" t="s">
        <v>20197</v>
      </c>
      <c r="KCU1" s="24" t="s">
        <v>20198</v>
      </c>
      <c r="KCV1" s="24" t="s">
        <v>20199</v>
      </c>
      <c r="KCW1" s="24" t="s">
        <v>20200</v>
      </c>
      <c r="KCX1" s="24" t="s">
        <v>20201</v>
      </c>
      <c r="KCY1" s="24" t="s">
        <v>20202</v>
      </c>
      <c r="KCZ1" s="24" t="s">
        <v>20203</v>
      </c>
      <c r="KDA1" s="24" t="s">
        <v>20204</v>
      </c>
      <c r="KDB1" s="24" t="s">
        <v>20205</v>
      </c>
      <c r="KDC1" s="24" t="s">
        <v>20206</v>
      </c>
      <c r="KDD1" s="24" t="s">
        <v>20207</v>
      </c>
      <c r="KDE1" s="24" t="s">
        <v>20208</v>
      </c>
      <c r="KDF1" s="24" t="s">
        <v>20209</v>
      </c>
      <c r="KDG1" s="24" t="s">
        <v>20210</v>
      </c>
      <c r="KDH1" s="24" t="s">
        <v>20211</v>
      </c>
      <c r="KDI1" s="24" t="s">
        <v>20212</v>
      </c>
      <c r="KDJ1" s="24" t="s">
        <v>20213</v>
      </c>
      <c r="KDK1" s="24" t="s">
        <v>20214</v>
      </c>
      <c r="KDL1" s="24" t="s">
        <v>20215</v>
      </c>
      <c r="KDM1" s="24" t="s">
        <v>20216</v>
      </c>
      <c r="KDN1" s="24" t="s">
        <v>20217</v>
      </c>
      <c r="KDO1" s="24" t="s">
        <v>20218</v>
      </c>
      <c r="KDP1" s="24" t="s">
        <v>20219</v>
      </c>
      <c r="KDQ1" s="24" t="s">
        <v>20220</v>
      </c>
      <c r="KDR1" s="24" t="s">
        <v>20221</v>
      </c>
      <c r="KDS1" s="24" t="s">
        <v>20222</v>
      </c>
      <c r="KDT1" s="24" t="s">
        <v>20223</v>
      </c>
      <c r="KDU1" s="24" t="s">
        <v>20224</v>
      </c>
      <c r="KDV1" s="24" t="s">
        <v>20225</v>
      </c>
      <c r="KDW1" s="24" t="s">
        <v>20226</v>
      </c>
      <c r="KDX1" s="24" t="s">
        <v>20227</v>
      </c>
      <c r="KDY1" s="24" t="s">
        <v>20228</v>
      </c>
      <c r="KDZ1" s="24" t="s">
        <v>20229</v>
      </c>
      <c r="KEA1" s="24" t="s">
        <v>20230</v>
      </c>
      <c r="KEB1" s="24" t="s">
        <v>20231</v>
      </c>
      <c r="KEC1" s="24" t="s">
        <v>20232</v>
      </c>
      <c r="KED1" s="24" t="s">
        <v>20233</v>
      </c>
      <c r="KEE1" s="24" t="s">
        <v>20234</v>
      </c>
      <c r="KEF1" s="24" t="s">
        <v>20235</v>
      </c>
      <c r="KEG1" s="24" t="s">
        <v>20236</v>
      </c>
      <c r="KEH1" s="24" t="s">
        <v>20237</v>
      </c>
      <c r="KEI1" s="24" t="s">
        <v>20238</v>
      </c>
      <c r="KEJ1" s="24" t="s">
        <v>20239</v>
      </c>
      <c r="KEK1" s="24" t="s">
        <v>20240</v>
      </c>
      <c r="KEL1" s="24" t="s">
        <v>20241</v>
      </c>
      <c r="KEM1" s="24" t="s">
        <v>20242</v>
      </c>
      <c r="KEN1" s="24" t="s">
        <v>20243</v>
      </c>
      <c r="KEO1" s="24" t="s">
        <v>20244</v>
      </c>
      <c r="KEP1" s="24" t="s">
        <v>20245</v>
      </c>
      <c r="KEQ1" s="24" t="s">
        <v>20246</v>
      </c>
      <c r="KER1" s="24" t="s">
        <v>20247</v>
      </c>
      <c r="KES1" s="24" t="s">
        <v>20248</v>
      </c>
      <c r="KET1" s="24" t="s">
        <v>20249</v>
      </c>
      <c r="KEU1" s="24" t="s">
        <v>20250</v>
      </c>
      <c r="KEV1" s="24" t="s">
        <v>20251</v>
      </c>
      <c r="KEW1" s="24" t="s">
        <v>20252</v>
      </c>
      <c r="KEX1" s="24" t="s">
        <v>20253</v>
      </c>
      <c r="KEY1" s="24" t="s">
        <v>20254</v>
      </c>
      <c r="KEZ1" s="24" t="s">
        <v>20255</v>
      </c>
      <c r="KFA1" s="24" t="s">
        <v>20256</v>
      </c>
      <c r="KFB1" s="24" t="s">
        <v>20257</v>
      </c>
      <c r="KFC1" s="24" t="s">
        <v>20258</v>
      </c>
      <c r="KFD1" s="24" t="s">
        <v>20259</v>
      </c>
      <c r="KFE1" s="24" t="s">
        <v>20260</v>
      </c>
      <c r="KFF1" s="24" t="s">
        <v>20261</v>
      </c>
      <c r="KFG1" s="24" t="s">
        <v>20262</v>
      </c>
      <c r="KFH1" s="24" t="s">
        <v>20263</v>
      </c>
      <c r="KFI1" s="24" t="s">
        <v>20264</v>
      </c>
      <c r="KFJ1" s="24" t="s">
        <v>20265</v>
      </c>
      <c r="KFK1" s="24" t="s">
        <v>20266</v>
      </c>
      <c r="KFL1" s="24" t="s">
        <v>20267</v>
      </c>
      <c r="KFM1" s="24" t="s">
        <v>20268</v>
      </c>
      <c r="KFN1" s="24" t="s">
        <v>20269</v>
      </c>
      <c r="KFO1" s="24" t="s">
        <v>20270</v>
      </c>
      <c r="KFP1" s="24" t="s">
        <v>20271</v>
      </c>
      <c r="KFQ1" s="24" t="s">
        <v>20272</v>
      </c>
      <c r="KFR1" s="24" t="s">
        <v>20273</v>
      </c>
      <c r="KFS1" s="24" t="s">
        <v>20274</v>
      </c>
      <c r="KFT1" s="24" t="s">
        <v>20275</v>
      </c>
      <c r="KFU1" s="24" t="s">
        <v>20276</v>
      </c>
      <c r="KFV1" s="24" t="s">
        <v>20277</v>
      </c>
      <c r="KFW1" s="24" t="s">
        <v>20278</v>
      </c>
      <c r="KFX1" s="24" t="s">
        <v>20279</v>
      </c>
      <c r="KFY1" s="24" t="s">
        <v>20280</v>
      </c>
      <c r="KFZ1" s="24" t="s">
        <v>20281</v>
      </c>
      <c r="KGA1" s="24" t="s">
        <v>20282</v>
      </c>
      <c r="KGB1" s="24" t="s">
        <v>20283</v>
      </c>
      <c r="KGC1" s="24" t="s">
        <v>20284</v>
      </c>
      <c r="KGD1" s="24" t="s">
        <v>20285</v>
      </c>
      <c r="KGE1" s="24" t="s">
        <v>20286</v>
      </c>
      <c r="KGF1" s="24" t="s">
        <v>20287</v>
      </c>
      <c r="KGG1" s="24" t="s">
        <v>20288</v>
      </c>
      <c r="KGH1" s="24" t="s">
        <v>20289</v>
      </c>
      <c r="KGI1" s="24" t="s">
        <v>20290</v>
      </c>
      <c r="KGJ1" s="24" t="s">
        <v>20291</v>
      </c>
      <c r="KGK1" s="24" t="s">
        <v>20292</v>
      </c>
      <c r="KGL1" s="24" t="s">
        <v>20293</v>
      </c>
      <c r="KGM1" s="24" t="s">
        <v>20294</v>
      </c>
      <c r="KGN1" s="24" t="s">
        <v>20295</v>
      </c>
      <c r="KGO1" s="24" t="s">
        <v>20296</v>
      </c>
      <c r="KGP1" s="24" t="s">
        <v>20297</v>
      </c>
      <c r="KGQ1" s="24" t="s">
        <v>20298</v>
      </c>
      <c r="KGR1" s="24" t="s">
        <v>20299</v>
      </c>
      <c r="KGS1" s="24" t="s">
        <v>20300</v>
      </c>
      <c r="KGT1" s="24" t="s">
        <v>20301</v>
      </c>
      <c r="KGU1" s="24" t="s">
        <v>20302</v>
      </c>
      <c r="KGV1" s="24" t="s">
        <v>20303</v>
      </c>
      <c r="KGW1" s="24" t="s">
        <v>20304</v>
      </c>
      <c r="KGX1" s="24" t="s">
        <v>20305</v>
      </c>
      <c r="KGY1" s="24" t="s">
        <v>20306</v>
      </c>
      <c r="KGZ1" s="24" t="s">
        <v>20307</v>
      </c>
      <c r="KHA1" s="24" t="s">
        <v>20308</v>
      </c>
      <c r="KHB1" s="24" t="s">
        <v>20309</v>
      </c>
      <c r="KHC1" s="24" t="s">
        <v>20310</v>
      </c>
      <c r="KHD1" s="24" t="s">
        <v>20311</v>
      </c>
      <c r="KHE1" s="24" t="s">
        <v>20312</v>
      </c>
      <c r="KHF1" s="24" t="s">
        <v>20313</v>
      </c>
      <c r="KHG1" s="24" t="s">
        <v>20314</v>
      </c>
      <c r="KHH1" s="24" t="s">
        <v>20315</v>
      </c>
      <c r="KHI1" s="24" t="s">
        <v>20316</v>
      </c>
      <c r="KHJ1" s="24" t="s">
        <v>20317</v>
      </c>
      <c r="KHK1" s="24" t="s">
        <v>20318</v>
      </c>
      <c r="KHL1" s="24" t="s">
        <v>20319</v>
      </c>
      <c r="KHM1" s="24" t="s">
        <v>20320</v>
      </c>
      <c r="KHN1" s="24" t="s">
        <v>20321</v>
      </c>
      <c r="KHO1" s="24" t="s">
        <v>20322</v>
      </c>
      <c r="KHP1" s="24" t="s">
        <v>20323</v>
      </c>
      <c r="KHQ1" s="24" t="s">
        <v>20324</v>
      </c>
      <c r="KHR1" s="24" t="s">
        <v>20325</v>
      </c>
      <c r="KHS1" s="24" t="s">
        <v>20326</v>
      </c>
      <c r="KHT1" s="24" t="s">
        <v>20327</v>
      </c>
      <c r="KHU1" s="24" t="s">
        <v>20328</v>
      </c>
      <c r="KHV1" s="24" t="s">
        <v>20329</v>
      </c>
      <c r="KHW1" s="24" t="s">
        <v>20330</v>
      </c>
      <c r="KHX1" s="24" t="s">
        <v>20331</v>
      </c>
      <c r="KHY1" s="24" t="s">
        <v>20332</v>
      </c>
      <c r="KHZ1" s="24" t="s">
        <v>20333</v>
      </c>
      <c r="KIA1" s="24" t="s">
        <v>20334</v>
      </c>
      <c r="KIB1" s="24" t="s">
        <v>20335</v>
      </c>
      <c r="KIC1" s="24" t="s">
        <v>20336</v>
      </c>
      <c r="KID1" s="24" t="s">
        <v>20337</v>
      </c>
      <c r="KIE1" s="24" t="s">
        <v>20338</v>
      </c>
      <c r="KIF1" s="24" t="s">
        <v>20339</v>
      </c>
      <c r="KIG1" s="24" t="s">
        <v>20340</v>
      </c>
      <c r="KIH1" s="24" t="s">
        <v>20341</v>
      </c>
      <c r="KII1" s="24" t="s">
        <v>20342</v>
      </c>
      <c r="KIJ1" s="24" t="s">
        <v>20343</v>
      </c>
      <c r="KIK1" s="24" t="s">
        <v>20344</v>
      </c>
      <c r="KIL1" s="24" t="s">
        <v>20345</v>
      </c>
      <c r="KIM1" s="24" t="s">
        <v>20346</v>
      </c>
      <c r="KIN1" s="24" t="s">
        <v>20347</v>
      </c>
      <c r="KIO1" s="24" t="s">
        <v>20348</v>
      </c>
      <c r="KIP1" s="24" t="s">
        <v>20349</v>
      </c>
      <c r="KIQ1" s="24" t="s">
        <v>20350</v>
      </c>
      <c r="KIR1" s="24" t="s">
        <v>20351</v>
      </c>
      <c r="KIS1" s="24" t="s">
        <v>20352</v>
      </c>
      <c r="KIT1" s="24" t="s">
        <v>20353</v>
      </c>
      <c r="KIU1" s="24" t="s">
        <v>20354</v>
      </c>
      <c r="KIV1" s="24" t="s">
        <v>20355</v>
      </c>
      <c r="KIW1" s="24" t="s">
        <v>20356</v>
      </c>
      <c r="KIX1" s="24" t="s">
        <v>20357</v>
      </c>
      <c r="KIY1" s="24" t="s">
        <v>20358</v>
      </c>
      <c r="KIZ1" s="24" t="s">
        <v>20359</v>
      </c>
      <c r="KJA1" s="24" t="s">
        <v>20360</v>
      </c>
      <c r="KJB1" s="24" t="s">
        <v>20361</v>
      </c>
      <c r="KJC1" s="24" t="s">
        <v>20362</v>
      </c>
      <c r="KJD1" s="24" t="s">
        <v>20363</v>
      </c>
      <c r="KJE1" s="24" t="s">
        <v>20364</v>
      </c>
      <c r="KJF1" s="24" t="s">
        <v>20365</v>
      </c>
      <c r="KJG1" s="24" t="s">
        <v>20366</v>
      </c>
      <c r="KJH1" s="24" t="s">
        <v>20367</v>
      </c>
      <c r="KJI1" s="24" t="s">
        <v>20368</v>
      </c>
      <c r="KJJ1" s="24" t="s">
        <v>20369</v>
      </c>
      <c r="KJK1" s="24" t="s">
        <v>20370</v>
      </c>
      <c r="KJL1" s="24" t="s">
        <v>20371</v>
      </c>
      <c r="KJM1" s="24" t="s">
        <v>20372</v>
      </c>
      <c r="KJN1" s="24" t="s">
        <v>20373</v>
      </c>
      <c r="KJO1" s="24" t="s">
        <v>20374</v>
      </c>
      <c r="KJP1" s="24" t="s">
        <v>20375</v>
      </c>
      <c r="KJQ1" s="24" t="s">
        <v>20376</v>
      </c>
      <c r="KJR1" s="24" t="s">
        <v>20377</v>
      </c>
      <c r="KJS1" s="24" t="s">
        <v>20378</v>
      </c>
      <c r="KJT1" s="24" t="s">
        <v>20379</v>
      </c>
      <c r="KJU1" s="24" t="s">
        <v>20380</v>
      </c>
      <c r="KJV1" s="24" t="s">
        <v>20381</v>
      </c>
      <c r="KJW1" s="24" t="s">
        <v>20382</v>
      </c>
      <c r="KJX1" s="24" t="s">
        <v>20383</v>
      </c>
      <c r="KJY1" s="24" t="s">
        <v>20384</v>
      </c>
      <c r="KJZ1" s="24" t="s">
        <v>20385</v>
      </c>
      <c r="KKA1" s="24" t="s">
        <v>20386</v>
      </c>
      <c r="KKB1" s="24" t="s">
        <v>20387</v>
      </c>
      <c r="KKC1" s="24" t="s">
        <v>20388</v>
      </c>
      <c r="KKD1" s="24" t="s">
        <v>20389</v>
      </c>
      <c r="KKE1" s="24" t="s">
        <v>20390</v>
      </c>
      <c r="KKF1" s="24" t="s">
        <v>20391</v>
      </c>
      <c r="KKG1" s="24" t="s">
        <v>20392</v>
      </c>
      <c r="KKH1" s="24" t="s">
        <v>20393</v>
      </c>
      <c r="KKI1" s="24" t="s">
        <v>20394</v>
      </c>
      <c r="KKJ1" s="24" t="s">
        <v>20395</v>
      </c>
      <c r="KKK1" s="24" t="s">
        <v>20396</v>
      </c>
      <c r="KKL1" s="24" t="s">
        <v>20397</v>
      </c>
      <c r="KKM1" s="24" t="s">
        <v>20398</v>
      </c>
      <c r="KKN1" s="24" t="s">
        <v>20399</v>
      </c>
      <c r="KKO1" s="24" t="s">
        <v>20400</v>
      </c>
      <c r="KKP1" s="24" t="s">
        <v>20401</v>
      </c>
      <c r="KKQ1" s="24" t="s">
        <v>20402</v>
      </c>
      <c r="KKR1" s="24" t="s">
        <v>20403</v>
      </c>
      <c r="KKS1" s="24" t="s">
        <v>20404</v>
      </c>
      <c r="KKT1" s="24" t="s">
        <v>20405</v>
      </c>
      <c r="KKU1" s="24" t="s">
        <v>20406</v>
      </c>
      <c r="KKV1" s="24" t="s">
        <v>20407</v>
      </c>
      <c r="KKW1" s="24" t="s">
        <v>20408</v>
      </c>
      <c r="KKX1" s="24" t="s">
        <v>20409</v>
      </c>
      <c r="KKY1" s="24" t="s">
        <v>20410</v>
      </c>
      <c r="KKZ1" s="24" t="s">
        <v>20411</v>
      </c>
      <c r="KLA1" s="24" t="s">
        <v>20412</v>
      </c>
      <c r="KLB1" s="24" t="s">
        <v>20413</v>
      </c>
      <c r="KLC1" s="24" t="s">
        <v>20414</v>
      </c>
      <c r="KLD1" s="24" t="s">
        <v>20415</v>
      </c>
      <c r="KLE1" s="24" t="s">
        <v>20416</v>
      </c>
      <c r="KLF1" s="24" t="s">
        <v>20417</v>
      </c>
      <c r="KLG1" s="24" t="s">
        <v>20418</v>
      </c>
      <c r="KLH1" s="24" t="s">
        <v>20419</v>
      </c>
      <c r="KLI1" s="24" t="s">
        <v>20420</v>
      </c>
      <c r="KLJ1" s="24" t="s">
        <v>20421</v>
      </c>
      <c r="KLK1" s="24" t="s">
        <v>20422</v>
      </c>
      <c r="KLL1" s="24" t="s">
        <v>20423</v>
      </c>
      <c r="KLM1" s="24" t="s">
        <v>20424</v>
      </c>
      <c r="KLN1" s="24" t="s">
        <v>20425</v>
      </c>
      <c r="KLO1" s="24" t="s">
        <v>20426</v>
      </c>
      <c r="KLP1" s="24" t="s">
        <v>20427</v>
      </c>
      <c r="KLQ1" s="24" t="s">
        <v>20428</v>
      </c>
      <c r="KLR1" s="24" t="s">
        <v>20429</v>
      </c>
      <c r="KLS1" s="24" t="s">
        <v>20430</v>
      </c>
      <c r="KLT1" s="24" t="s">
        <v>20431</v>
      </c>
      <c r="KLU1" s="24" t="s">
        <v>20432</v>
      </c>
      <c r="KLV1" s="24" t="s">
        <v>20433</v>
      </c>
      <c r="KLW1" s="24" t="s">
        <v>20434</v>
      </c>
      <c r="KLX1" s="24" t="s">
        <v>20435</v>
      </c>
      <c r="KLY1" s="24" t="s">
        <v>20436</v>
      </c>
      <c r="KLZ1" s="24" t="s">
        <v>20437</v>
      </c>
      <c r="KMA1" s="24" t="s">
        <v>20438</v>
      </c>
      <c r="KMB1" s="24" t="s">
        <v>20439</v>
      </c>
      <c r="KMC1" s="24" t="s">
        <v>20440</v>
      </c>
      <c r="KMD1" s="24" t="s">
        <v>20441</v>
      </c>
      <c r="KME1" s="24" t="s">
        <v>20442</v>
      </c>
      <c r="KMF1" s="24" t="s">
        <v>20443</v>
      </c>
      <c r="KMG1" s="24" t="s">
        <v>20444</v>
      </c>
      <c r="KMH1" s="24" t="s">
        <v>20445</v>
      </c>
      <c r="KMI1" s="24" t="s">
        <v>20446</v>
      </c>
      <c r="KMJ1" s="24" t="s">
        <v>20447</v>
      </c>
      <c r="KMK1" s="24" t="s">
        <v>20448</v>
      </c>
      <c r="KML1" s="24" t="s">
        <v>20449</v>
      </c>
      <c r="KMM1" s="24" t="s">
        <v>20450</v>
      </c>
      <c r="KMN1" s="24" t="s">
        <v>20451</v>
      </c>
      <c r="KMO1" s="24" t="s">
        <v>20452</v>
      </c>
      <c r="KMP1" s="24" t="s">
        <v>20453</v>
      </c>
      <c r="KMQ1" s="24" t="s">
        <v>20454</v>
      </c>
      <c r="KMR1" s="24" t="s">
        <v>20455</v>
      </c>
      <c r="KMS1" s="24" t="s">
        <v>20456</v>
      </c>
      <c r="KMT1" s="24" t="s">
        <v>20457</v>
      </c>
      <c r="KMU1" s="24" t="s">
        <v>20458</v>
      </c>
      <c r="KMV1" s="24" t="s">
        <v>20459</v>
      </c>
      <c r="KMW1" s="24" t="s">
        <v>20460</v>
      </c>
      <c r="KMX1" s="24" t="s">
        <v>20461</v>
      </c>
      <c r="KMY1" s="24" t="s">
        <v>20462</v>
      </c>
      <c r="KMZ1" s="24" t="s">
        <v>20463</v>
      </c>
      <c r="KNA1" s="24" t="s">
        <v>20464</v>
      </c>
      <c r="KNB1" s="24" t="s">
        <v>20465</v>
      </c>
      <c r="KNC1" s="24" t="s">
        <v>20466</v>
      </c>
      <c r="KND1" s="24" t="s">
        <v>20467</v>
      </c>
      <c r="KNE1" s="24" t="s">
        <v>20468</v>
      </c>
      <c r="KNF1" s="24" t="s">
        <v>20469</v>
      </c>
      <c r="KNG1" s="24" t="s">
        <v>20470</v>
      </c>
      <c r="KNH1" s="24" t="s">
        <v>20471</v>
      </c>
      <c r="KNI1" s="24" t="s">
        <v>20472</v>
      </c>
      <c r="KNJ1" s="24" t="s">
        <v>20473</v>
      </c>
      <c r="KNK1" s="24" t="s">
        <v>20474</v>
      </c>
      <c r="KNL1" s="24" t="s">
        <v>20475</v>
      </c>
      <c r="KNM1" s="24" t="s">
        <v>20476</v>
      </c>
      <c r="KNN1" s="24" t="s">
        <v>20477</v>
      </c>
      <c r="KNO1" s="24" t="s">
        <v>20478</v>
      </c>
      <c r="KNP1" s="24" t="s">
        <v>20479</v>
      </c>
      <c r="KNQ1" s="24" t="s">
        <v>20480</v>
      </c>
      <c r="KNR1" s="24" t="s">
        <v>20481</v>
      </c>
      <c r="KNS1" s="24" t="s">
        <v>20482</v>
      </c>
      <c r="KNT1" s="24" t="s">
        <v>20483</v>
      </c>
      <c r="KNU1" s="24" t="s">
        <v>20484</v>
      </c>
      <c r="KNV1" s="24" t="s">
        <v>20485</v>
      </c>
      <c r="KNW1" s="24" t="s">
        <v>20486</v>
      </c>
      <c r="KNX1" s="24" t="s">
        <v>20487</v>
      </c>
      <c r="KNY1" s="24" t="s">
        <v>20488</v>
      </c>
      <c r="KNZ1" s="24" t="s">
        <v>20489</v>
      </c>
      <c r="KOA1" s="24" t="s">
        <v>20490</v>
      </c>
      <c r="KOB1" s="24" t="s">
        <v>20491</v>
      </c>
      <c r="KOC1" s="24" t="s">
        <v>20492</v>
      </c>
      <c r="KOD1" s="24" t="s">
        <v>20493</v>
      </c>
      <c r="KOE1" s="24" t="s">
        <v>20494</v>
      </c>
      <c r="KOF1" s="24" t="s">
        <v>20495</v>
      </c>
      <c r="KOG1" s="24" t="s">
        <v>20496</v>
      </c>
      <c r="KOH1" s="24" t="s">
        <v>20497</v>
      </c>
      <c r="KOI1" s="24" t="s">
        <v>20498</v>
      </c>
      <c r="KOJ1" s="24" t="s">
        <v>20499</v>
      </c>
      <c r="KOK1" s="24" t="s">
        <v>20500</v>
      </c>
      <c r="KOL1" s="24" t="s">
        <v>20501</v>
      </c>
      <c r="KOM1" s="24" t="s">
        <v>20502</v>
      </c>
      <c r="KON1" s="24" t="s">
        <v>20503</v>
      </c>
      <c r="KOO1" s="24" t="s">
        <v>20504</v>
      </c>
      <c r="KOP1" s="24" t="s">
        <v>20505</v>
      </c>
      <c r="KOQ1" s="24" t="s">
        <v>20506</v>
      </c>
      <c r="KOR1" s="24" t="s">
        <v>20507</v>
      </c>
      <c r="KOS1" s="24" t="s">
        <v>20508</v>
      </c>
      <c r="KOT1" s="24" t="s">
        <v>20509</v>
      </c>
      <c r="KOU1" s="24" t="s">
        <v>20510</v>
      </c>
      <c r="KOV1" s="24" t="s">
        <v>20511</v>
      </c>
      <c r="KOW1" s="24" t="s">
        <v>20512</v>
      </c>
      <c r="KOX1" s="24" t="s">
        <v>20513</v>
      </c>
      <c r="KOY1" s="24" t="s">
        <v>20514</v>
      </c>
      <c r="KOZ1" s="24" t="s">
        <v>20515</v>
      </c>
      <c r="KPA1" s="24" t="s">
        <v>20516</v>
      </c>
      <c r="KPB1" s="24" t="s">
        <v>20517</v>
      </c>
      <c r="KPC1" s="24" t="s">
        <v>20518</v>
      </c>
      <c r="KPD1" s="24" t="s">
        <v>20519</v>
      </c>
      <c r="KPE1" s="24" t="s">
        <v>20520</v>
      </c>
      <c r="KPF1" s="24" t="s">
        <v>20521</v>
      </c>
      <c r="KPG1" s="24" t="s">
        <v>20522</v>
      </c>
      <c r="KPH1" s="24" t="s">
        <v>20523</v>
      </c>
      <c r="KPI1" s="24" t="s">
        <v>20524</v>
      </c>
      <c r="KPJ1" s="24" t="s">
        <v>20525</v>
      </c>
      <c r="KPK1" s="24" t="s">
        <v>20526</v>
      </c>
      <c r="KPL1" s="24" t="s">
        <v>20527</v>
      </c>
      <c r="KPM1" s="24" t="s">
        <v>20528</v>
      </c>
      <c r="KPN1" s="24" t="s">
        <v>20529</v>
      </c>
      <c r="KPO1" s="24" t="s">
        <v>20530</v>
      </c>
      <c r="KPP1" s="24" t="s">
        <v>20531</v>
      </c>
      <c r="KPQ1" s="24" t="s">
        <v>20532</v>
      </c>
      <c r="KPR1" s="24" t="s">
        <v>20533</v>
      </c>
      <c r="KPS1" s="24" t="s">
        <v>20534</v>
      </c>
      <c r="KPT1" s="24" t="s">
        <v>20535</v>
      </c>
      <c r="KPU1" s="24" t="s">
        <v>20536</v>
      </c>
      <c r="KPV1" s="24" t="s">
        <v>20537</v>
      </c>
      <c r="KPW1" s="24" t="s">
        <v>20538</v>
      </c>
      <c r="KPX1" s="24" t="s">
        <v>20539</v>
      </c>
      <c r="KPY1" s="24" t="s">
        <v>20540</v>
      </c>
      <c r="KPZ1" s="24" t="s">
        <v>20541</v>
      </c>
      <c r="KQA1" s="24" t="s">
        <v>20542</v>
      </c>
      <c r="KQB1" s="24" t="s">
        <v>20543</v>
      </c>
      <c r="KQC1" s="24" t="s">
        <v>20544</v>
      </c>
      <c r="KQD1" s="24" t="s">
        <v>20545</v>
      </c>
      <c r="KQE1" s="24" t="s">
        <v>20546</v>
      </c>
      <c r="KQF1" s="24" t="s">
        <v>20547</v>
      </c>
      <c r="KQG1" s="24" t="s">
        <v>20548</v>
      </c>
      <c r="KQH1" s="24" t="s">
        <v>20549</v>
      </c>
      <c r="KQI1" s="24" t="s">
        <v>20550</v>
      </c>
      <c r="KQJ1" s="24" t="s">
        <v>20551</v>
      </c>
      <c r="KQK1" s="24" t="s">
        <v>20552</v>
      </c>
      <c r="KQL1" s="24" t="s">
        <v>20553</v>
      </c>
      <c r="KQM1" s="24" t="s">
        <v>20554</v>
      </c>
      <c r="KQN1" s="24" t="s">
        <v>20555</v>
      </c>
      <c r="KQO1" s="24" t="s">
        <v>20556</v>
      </c>
      <c r="KQP1" s="24" t="s">
        <v>20557</v>
      </c>
      <c r="KQQ1" s="24" t="s">
        <v>20558</v>
      </c>
      <c r="KQR1" s="24" t="s">
        <v>20559</v>
      </c>
      <c r="KQS1" s="24" t="s">
        <v>20560</v>
      </c>
      <c r="KQT1" s="24" t="s">
        <v>20561</v>
      </c>
      <c r="KQU1" s="24" t="s">
        <v>20562</v>
      </c>
      <c r="KQV1" s="24" t="s">
        <v>20563</v>
      </c>
      <c r="KQW1" s="24" t="s">
        <v>20564</v>
      </c>
      <c r="KQX1" s="24" t="s">
        <v>20565</v>
      </c>
      <c r="KQY1" s="24" t="s">
        <v>20566</v>
      </c>
      <c r="KQZ1" s="24" t="s">
        <v>20567</v>
      </c>
      <c r="KRA1" s="24" t="s">
        <v>20568</v>
      </c>
      <c r="KRB1" s="24" t="s">
        <v>20569</v>
      </c>
      <c r="KRC1" s="24" t="s">
        <v>20570</v>
      </c>
      <c r="KRD1" s="24" t="s">
        <v>20571</v>
      </c>
      <c r="KRE1" s="24" t="s">
        <v>20572</v>
      </c>
      <c r="KRF1" s="24" t="s">
        <v>20573</v>
      </c>
      <c r="KRG1" s="24" t="s">
        <v>20574</v>
      </c>
      <c r="KRH1" s="24" t="s">
        <v>20575</v>
      </c>
      <c r="KRI1" s="24" t="s">
        <v>20576</v>
      </c>
      <c r="KRJ1" s="24" t="s">
        <v>20577</v>
      </c>
      <c r="KRK1" s="24" t="s">
        <v>20578</v>
      </c>
      <c r="KRL1" s="24" t="s">
        <v>20579</v>
      </c>
      <c r="KRM1" s="24" t="s">
        <v>20580</v>
      </c>
      <c r="KRN1" s="24" t="s">
        <v>20581</v>
      </c>
      <c r="KRO1" s="24" t="s">
        <v>20582</v>
      </c>
      <c r="KRP1" s="24" t="s">
        <v>20583</v>
      </c>
      <c r="KRQ1" s="24" t="s">
        <v>20584</v>
      </c>
      <c r="KRR1" s="24" t="s">
        <v>20585</v>
      </c>
      <c r="KRS1" s="24" t="s">
        <v>20586</v>
      </c>
      <c r="KRT1" s="24" t="s">
        <v>20587</v>
      </c>
      <c r="KRU1" s="24" t="s">
        <v>20588</v>
      </c>
      <c r="KRV1" s="24" t="s">
        <v>20589</v>
      </c>
      <c r="KRW1" s="24" t="s">
        <v>20590</v>
      </c>
      <c r="KRX1" s="24" t="s">
        <v>20591</v>
      </c>
      <c r="KRY1" s="24" t="s">
        <v>20592</v>
      </c>
      <c r="KRZ1" s="24" t="s">
        <v>20593</v>
      </c>
      <c r="KSA1" s="24" t="s">
        <v>20594</v>
      </c>
      <c r="KSB1" s="24" t="s">
        <v>20595</v>
      </c>
      <c r="KSC1" s="24" t="s">
        <v>20596</v>
      </c>
      <c r="KSD1" s="24" t="s">
        <v>20597</v>
      </c>
      <c r="KSE1" s="24" t="s">
        <v>20598</v>
      </c>
      <c r="KSF1" s="24" t="s">
        <v>20599</v>
      </c>
      <c r="KSG1" s="24" t="s">
        <v>20600</v>
      </c>
      <c r="KSH1" s="24" t="s">
        <v>20601</v>
      </c>
      <c r="KSI1" s="24" t="s">
        <v>20602</v>
      </c>
      <c r="KSJ1" s="24" t="s">
        <v>20603</v>
      </c>
      <c r="KSK1" s="24" t="s">
        <v>20604</v>
      </c>
      <c r="KSL1" s="24" t="s">
        <v>20605</v>
      </c>
      <c r="KSM1" s="24" t="s">
        <v>20606</v>
      </c>
      <c r="KSN1" s="24" t="s">
        <v>20607</v>
      </c>
      <c r="KSO1" s="24" t="s">
        <v>20608</v>
      </c>
      <c r="KSP1" s="24" t="s">
        <v>20609</v>
      </c>
      <c r="KSQ1" s="24" t="s">
        <v>20610</v>
      </c>
      <c r="KSR1" s="24" t="s">
        <v>20611</v>
      </c>
      <c r="KSS1" s="24" t="s">
        <v>20612</v>
      </c>
      <c r="KST1" s="24" t="s">
        <v>20613</v>
      </c>
      <c r="KSU1" s="24" t="s">
        <v>20614</v>
      </c>
      <c r="KSV1" s="24" t="s">
        <v>20615</v>
      </c>
      <c r="KSW1" s="24" t="s">
        <v>20616</v>
      </c>
      <c r="KSX1" s="24" t="s">
        <v>20617</v>
      </c>
      <c r="KSY1" s="24" t="s">
        <v>20618</v>
      </c>
      <c r="KSZ1" s="24" t="s">
        <v>20619</v>
      </c>
      <c r="KTA1" s="24" t="s">
        <v>20620</v>
      </c>
      <c r="KTB1" s="24" t="s">
        <v>20621</v>
      </c>
      <c r="KTC1" s="24" t="s">
        <v>20622</v>
      </c>
      <c r="KTD1" s="24" t="s">
        <v>20623</v>
      </c>
      <c r="KTE1" s="24" t="s">
        <v>20624</v>
      </c>
      <c r="KTF1" s="24" t="s">
        <v>20625</v>
      </c>
      <c r="KTG1" s="24" t="s">
        <v>20626</v>
      </c>
      <c r="KTH1" s="24" t="s">
        <v>20627</v>
      </c>
      <c r="KTI1" s="24" t="s">
        <v>20628</v>
      </c>
      <c r="KTJ1" s="24" t="s">
        <v>20629</v>
      </c>
      <c r="KTK1" s="24" t="s">
        <v>20630</v>
      </c>
      <c r="KTL1" s="24" t="s">
        <v>20631</v>
      </c>
      <c r="KTM1" s="24" t="s">
        <v>20632</v>
      </c>
      <c r="KTN1" s="24" t="s">
        <v>20633</v>
      </c>
      <c r="KTO1" s="24" t="s">
        <v>20634</v>
      </c>
      <c r="KTP1" s="24" t="s">
        <v>20635</v>
      </c>
      <c r="KTQ1" s="24" t="s">
        <v>20636</v>
      </c>
      <c r="KTR1" s="24" t="s">
        <v>20637</v>
      </c>
      <c r="KTS1" s="24" t="s">
        <v>20638</v>
      </c>
      <c r="KTT1" s="24" t="s">
        <v>20639</v>
      </c>
      <c r="KTU1" s="24" t="s">
        <v>20640</v>
      </c>
      <c r="KTV1" s="24" t="s">
        <v>20641</v>
      </c>
      <c r="KTW1" s="24" t="s">
        <v>20642</v>
      </c>
      <c r="KTX1" s="24" t="s">
        <v>20643</v>
      </c>
      <c r="KTY1" s="24" t="s">
        <v>20644</v>
      </c>
      <c r="KTZ1" s="24" t="s">
        <v>20645</v>
      </c>
      <c r="KUA1" s="24" t="s">
        <v>20646</v>
      </c>
      <c r="KUB1" s="24" t="s">
        <v>20647</v>
      </c>
      <c r="KUC1" s="24" t="s">
        <v>20648</v>
      </c>
      <c r="KUD1" s="24" t="s">
        <v>20649</v>
      </c>
      <c r="KUE1" s="24" t="s">
        <v>20650</v>
      </c>
      <c r="KUF1" s="24" t="s">
        <v>20651</v>
      </c>
      <c r="KUG1" s="24" t="s">
        <v>20652</v>
      </c>
      <c r="KUH1" s="24" t="s">
        <v>20653</v>
      </c>
      <c r="KUI1" s="24" t="s">
        <v>20654</v>
      </c>
      <c r="KUJ1" s="24" t="s">
        <v>20655</v>
      </c>
      <c r="KUK1" s="24" t="s">
        <v>20656</v>
      </c>
      <c r="KUL1" s="24" t="s">
        <v>20657</v>
      </c>
      <c r="KUM1" s="24" t="s">
        <v>20658</v>
      </c>
      <c r="KUN1" s="24" t="s">
        <v>20659</v>
      </c>
      <c r="KUO1" s="24" t="s">
        <v>20660</v>
      </c>
      <c r="KUP1" s="24" t="s">
        <v>20661</v>
      </c>
      <c r="KUQ1" s="24" t="s">
        <v>20662</v>
      </c>
      <c r="KUR1" s="24" t="s">
        <v>20663</v>
      </c>
      <c r="KUS1" s="24" t="s">
        <v>20664</v>
      </c>
      <c r="KUT1" s="24" t="s">
        <v>20665</v>
      </c>
      <c r="KUU1" s="24" t="s">
        <v>20666</v>
      </c>
      <c r="KUV1" s="24" t="s">
        <v>20667</v>
      </c>
      <c r="KUW1" s="24" t="s">
        <v>20668</v>
      </c>
      <c r="KUX1" s="24" t="s">
        <v>20669</v>
      </c>
      <c r="KUY1" s="24" t="s">
        <v>20670</v>
      </c>
      <c r="KUZ1" s="24" t="s">
        <v>20671</v>
      </c>
      <c r="KVA1" s="24" t="s">
        <v>20672</v>
      </c>
      <c r="KVB1" s="24" t="s">
        <v>20673</v>
      </c>
      <c r="KVC1" s="24" t="s">
        <v>20674</v>
      </c>
      <c r="KVD1" s="24" t="s">
        <v>20675</v>
      </c>
      <c r="KVE1" s="24" t="s">
        <v>20676</v>
      </c>
      <c r="KVF1" s="24" t="s">
        <v>20677</v>
      </c>
      <c r="KVG1" s="24" t="s">
        <v>20678</v>
      </c>
      <c r="KVH1" s="24" t="s">
        <v>20679</v>
      </c>
      <c r="KVI1" s="24" t="s">
        <v>20680</v>
      </c>
      <c r="KVJ1" s="24" t="s">
        <v>20681</v>
      </c>
      <c r="KVK1" s="24" t="s">
        <v>20682</v>
      </c>
      <c r="KVL1" s="24" t="s">
        <v>20683</v>
      </c>
      <c r="KVM1" s="24" t="s">
        <v>20684</v>
      </c>
      <c r="KVN1" s="24" t="s">
        <v>20685</v>
      </c>
      <c r="KVO1" s="24" t="s">
        <v>20686</v>
      </c>
      <c r="KVP1" s="24" t="s">
        <v>20687</v>
      </c>
      <c r="KVQ1" s="24" t="s">
        <v>20688</v>
      </c>
      <c r="KVR1" s="24" t="s">
        <v>20689</v>
      </c>
      <c r="KVS1" s="24" t="s">
        <v>20690</v>
      </c>
      <c r="KVT1" s="24" t="s">
        <v>20691</v>
      </c>
      <c r="KVU1" s="24" t="s">
        <v>20692</v>
      </c>
      <c r="KVV1" s="24" t="s">
        <v>20693</v>
      </c>
      <c r="KVW1" s="24" t="s">
        <v>20694</v>
      </c>
      <c r="KVX1" s="24" t="s">
        <v>20695</v>
      </c>
      <c r="KVY1" s="24" t="s">
        <v>20696</v>
      </c>
      <c r="KVZ1" s="24" t="s">
        <v>20697</v>
      </c>
      <c r="KWA1" s="24" t="s">
        <v>20698</v>
      </c>
      <c r="KWB1" s="24" t="s">
        <v>20699</v>
      </c>
      <c r="KWC1" s="24" t="s">
        <v>20700</v>
      </c>
      <c r="KWD1" s="24" t="s">
        <v>20701</v>
      </c>
      <c r="KWE1" s="24" t="s">
        <v>20702</v>
      </c>
      <c r="KWF1" s="24" t="s">
        <v>20703</v>
      </c>
      <c r="KWG1" s="24" t="s">
        <v>20704</v>
      </c>
      <c r="KWH1" s="24" t="s">
        <v>20705</v>
      </c>
      <c r="KWI1" s="24" t="s">
        <v>20706</v>
      </c>
      <c r="KWJ1" s="24" t="s">
        <v>20707</v>
      </c>
      <c r="KWK1" s="24" t="s">
        <v>20708</v>
      </c>
      <c r="KWL1" s="24" t="s">
        <v>20709</v>
      </c>
      <c r="KWM1" s="24" t="s">
        <v>20710</v>
      </c>
      <c r="KWN1" s="24" t="s">
        <v>20711</v>
      </c>
      <c r="KWO1" s="24" t="s">
        <v>20712</v>
      </c>
      <c r="KWP1" s="24" t="s">
        <v>20713</v>
      </c>
      <c r="KWQ1" s="24" t="s">
        <v>20714</v>
      </c>
      <c r="KWR1" s="24" t="s">
        <v>20715</v>
      </c>
      <c r="KWS1" s="24" t="s">
        <v>20716</v>
      </c>
      <c r="KWT1" s="24" t="s">
        <v>20717</v>
      </c>
      <c r="KWU1" s="24" t="s">
        <v>20718</v>
      </c>
      <c r="KWV1" s="24" t="s">
        <v>20719</v>
      </c>
      <c r="KWW1" s="24" t="s">
        <v>20720</v>
      </c>
      <c r="KWX1" s="24" t="s">
        <v>20721</v>
      </c>
      <c r="KWY1" s="24" t="s">
        <v>20722</v>
      </c>
      <c r="KWZ1" s="24" t="s">
        <v>20723</v>
      </c>
      <c r="KXA1" s="24" t="s">
        <v>20724</v>
      </c>
      <c r="KXB1" s="24" t="s">
        <v>20725</v>
      </c>
      <c r="KXC1" s="24" t="s">
        <v>20726</v>
      </c>
      <c r="KXD1" s="24" t="s">
        <v>20727</v>
      </c>
      <c r="KXE1" s="24" t="s">
        <v>20728</v>
      </c>
      <c r="KXF1" s="24" t="s">
        <v>20729</v>
      </c>
      <c r="KXG1" s="24" t="s">
        <v>20730</v>
      </c>
      <c r="KXH1" s="24" t="s">
        <v>20731</v>
      </c>
      <c r="KXI1" s="24" t="s">
        <v>20732</v>
      </c>
      <c r="KXJ1" s="24" t="s">
        <v>20733</v>
      </c>
      <c r="KXK1" s="24" t="s">
        <v>20734</v>
      </c>
      <c r="KXL1" s="24" t="s">
        <v>20735</v>
      </c>
      <c r="KXM1" s="24" t="s">
        <v>20736</v>
      </c>
      <c r="KXN1" s="24" t="s">
        <v>20737</v>
      </c>
      <c r="KXO1" s="24" t="s">
        <v>20738</v>
      </c>
      <c r="KXP1" s="24" t="s">
        <v>20739</v>
      </c>
      <c r="KXQ1" s="24" t="s">
        <v>20740</v>
      </c>
      <c r="KXR1" s="24" t="s">
        <v>20741</v>
      </c>
      <c r="KXS1" s="24" t="s">
        <v>20742</v>
      </c>
      <c r="KXT1" s="24" t="s">
        <v>20743</v>
      </c>
      <c r="KXU1" s="24" t="s">
        <v>20744</v>
      </c>
      <c r="KXV1" s="24" t="s">
        <v>20745</v>
      </c>
      <c r="KXW1" s="24" t="s">
        <v>20746</v>
      </c>
      <c r="KXX1" s="24" t="s">
        <v>20747</v>
      </c>
      <c r="KXY1" s="24" t="s">
        <v>20748</v>
      </c>
      <c r="KXZ1" s="24" t="s">
        <v>20749</v>
      </c>
      <c r="KYA1" s="24" t="s">
        <v>20750</v>
      </c>
      <c r="KYB1" s="24" t="s">
        <v>20751</v>
      </c>
      <c r="KYC1" s="24" t="s">
        <v>20752</v>
      </c>
      <c r="KYD1" s="24" t="s">
        <v>20753</v>
      </c>
      <c r="KYE1" s="24" t="s">
        <v>20754</v>
      </c>
      <c r="KYF1" s="24" t="s">
        <v>20755</v>
      </c>
      <c r="KYG1" s="24" t="s">
        <v>20756</v>
      </c>
      <c r="KYH1" s="24" t="s">
        <v>20757</v>
      </c>
      <c r="KYI1" s="24" t="s">
        <v>20758</v>
      </c>
      <c r="KYJ1" s="24" t="s">
        <v>20759</v>
      </c>
      <c r="KYK1" s="24" t="s">
        <v>20760</v>
      </c>
      <c r="KYL1" s="24" t="s">
        <v>20761</v>
      </c>
      <c r="KYM1" s="24" t="s">
        <v>20762</v>
      </c>
      <c r="KYN1" s="24" t="s">
        <v>20763</v>
      </c>
      <c r="KYO1" s="24" t="s">
        <v>20764</v>
      </c>
      <c r="KYP1" s="24" t="s">
        <v>20765</v>
      </c>
      <c r="KYQ1" s="24" t="s">
        <v>20766</v>
      </c>
      <c r="KYR1" s="24" t="s">
        <v>20767</v>
      </c>
      <c r="KYS1" s="24" t="s">
        <v>20768</v>
      </c>
      <c r="KYT1" s="24" t="s">
        <v>20769</v>
      </c>
      <c r="KYU1" s="24" t="s">
        <v>20770</v>
      </c>
      <c r="KYV1" s="24" t="s">
        <v>20771</v>
      </c>
      <c r="KYW1" s="24" t="s">
        <v>20772</v>
      </c>
      <c r="KYX1" s="24" t="s">
        <v>20773</v>
      </c>
      <c r="KYY1" s="24" t="s">
        <v>20774</v>
      </c>
      <c r="KYZ1" s="24" t="s">
        <v>20775</v>
      </c>
      <c r="KZA1" s="24" t="s">
        <v>20776</v>
      </c>
      <c r="KZB1" s="24" t="s">
        <v>20777</v>
      </c>
      <c r="KZC1" s="24" t="s">
        <v>20778</v>
      </c>
      <c r="KZD1" s="24" t="s">
        <v>20779</v>
      </c>
      <c r="KZE1" s="24" t="s">
        <v>20780</v>
      </c>
      <c r="KZF1" s="24" t="s">
        <v>20781</v>
      </c>
      <c r="KZG1" s="24" t="s">
        <v>20782</v>
      </c>
      <c r="KZH1" s="24" t="s">
        <v>20783</v>
      </c>
      <c r="KZI1" s="24" t="s">
        <v>20784</v>
      </c>
      <c r="KZJ1" s="24" t="s">
        <v>20785</v>
      </c>
      <c r="KZK1" s="24" t="s">
        <v>20786</v>
      </c>
      <c r="KZL1" s="24" t="s">
        <v>20787</v>
      </c>
      <c r="KZM1" s="24" t="s">
        <v>20788</v>
      </c>
      <c r="KZN1" s="24" t="s">
        <v>20789</v>
      </c>
      <c r="KZO1" s="24" t="s">
        <v>20790</v>
      </c>
      <c r="KZP1" s="24" t="s">
        <v>20791</v>
      </c>
      <c r="KZQ1" s="24" t="s">
        <v>20792</v>
      </c>
      <c r="KZR1" s="24" t="s">
        <v>20793</v>
      </c>
      <c r="KZS1" s="24" t="s">
        <v>20794</v>
      </c>
      <c r="KZT1" s="24" t="s">
        <v>20795</v>
      </c>
      <c r="KZU1" s="24" t="s">
        <v>20796</v>
      </c>
      <c r="KZV1" s="24" t="s">
        <v>20797</v>
      </c>
      <c r="KZW1" s="24" t="s">
        <v>20798</v>
      </c>
      <c r="KZX1" s="24" t="s">
        <v>20799</v>
      </c>
      <c r="KZY1" s="24" t="s">
        <v>20800</v>
      </c>
      <c r="KZZ1" s="24" t="s">
        <v>20801</v>
      </c>
      <c r="LAA1" s="24" t="s">
        <v>20802</v>
      </c>
      <c r="LAB1" s="24" t="s">
        <v>20803</v>
      </c>
      <c r="LAC1" s="24" t="s">
        <v>20804</v>
      </c>
      <c r="LAD1" s="24" t="s">
        <v>20805</v>
      </c>
      <c r="LAE1" s="24" t="s">
        <v>20806</v>
      </c>
      <c r="LAF1" s="24" t="s">
        <v>20807</v>
      </c>
      <c r="LAG1" s="24" t="s">
        <v>20808</v>
      </c>
      <c r="LAH1" s="24" t="s">
        <v>20809</v>
      </c>
      <c r="LAI1" s="24" t="s">
        <v>20810</v>
      </c>
      <c r="LAJ1" s="24" t="s">
        <v>20811</v>
      </c>
      <c r="LAK1" s="24" t="s">
        <v>20812</v>
      </c>
      <c r="LAL1" s="24" t="s">
        <v>20813</v>
      </c>
      <c r="LAM1" s="24" t="s">
        <v>20814</v>
      </c>
      <c r="LAN1" s="24" t="s">
        <v>20815</v>
      </c>
      <c r="LAO1" s="24" t="s">
        <v>20816</v>
      </c>
      <c r="LAP1" s="24" t="s">
        <v>20817</v>
      </c>
      <c r="LAQ1" s="24" t="s">
        <v>20818</v>
      </c>
      <c r="LAR1" s="24" t="s">
        <v>20819</v>
      </c>
      <c r="LAS1" s="24" t="s">
        <v>20820</v>
      </c>
      <c r="LAT1" s="24" t="s">
        <v>20821</v>
      </c>
      <c r="LAU1" s="24" t="s">
        <v>20822</v>
      </c>
      <c r="LAV1" s="24" t="s">
        <v>20823</v>
      </c>
      <c r="LAW1" s="24" t="s">
        <v>20824</v>
      </c>
      <c r="LAX1" s="24" t="s">
        <v>20825</v>
      </c>
      <c r="LAY1" s="24" t="s">
        <v>20826</v>
      </c>
      <c r="LAZ1" s="24" t="s">
        <v>20827</v>
      </c>
      <c r="LBA1" s="24" t="s">
        <v>20828</v>
      </c>
      <c r="LBB1" s="24" t="s">
        <v>20829</v>
      </c>
      <c r="LBC1" s="24" t="s">
        <v>20830</v>
      </c>
      <c r="LBD1" s="24" t="s">
        <v>20831</v>
      </c>
      <c r="LBE1" s="24" t="s">
        <v>20832</v>
      </c>
      <c r="LBF1" s="24" t="s">
        <v>20833</v>
      </c>
      <c r="LBG1" s="24" t="s">
        <v>20834</v>
      </c>
      <c r="LBH1" s="24" t="s">
        <v>20835</v>
      </c>
      <c r="LBI1" s="24" t="s">
        <v>20836</v>
      </c>
      <c r="LBJ1" s="24" t="s">
        <v>20837</v>
      </c>
      <c r="LBK1" s="24" t="s">
        <v>20838</v>
      </c>
      <c r="LBL1" s="24" t="s">
        <v>20839</v>
      </c>
      <c r="LBM1" s="24" t="s">
        <v>20840</v>
      </c>
      <c r="LBN1" s="24" t="s">
        <v>20841</v>
      </c>
      <c r="LBO1" s="24" t="s">
        <v>20842</v>
      </c>
      <c r="LBP1" s="24" t="s">
        <v>20843</v>
      </c>
      <c r="LBQ1" s="24" t="s">
        <v>20844</v>
      </c>
      <c r="LBR1" s="24" t="s">
        <v>20845</v>
      </c>
      <c r="LBS1" s="24" t="s">
        <v>20846</v>
      </c>
      <c r="LBT1" s="24" t="s">
        <v>20847</v>
      </c>
      <c r="LBU1" s="24" t="s">
        <v>20848</v>
      </c>
      <c r="LBV1" s="24" t="s">
        <v>20849</v>
      </c>
      <c r="LBW1" s="24" t="s">
        <v>20850</v>
      </c>
      <c r="LBX1" s="24" t="s">
        <v>20851</v>
      </c>
      <c r="LBY1" s="24" t="s">
        <v>20852</v>
      </c>
      <c r="LBZ1" s="24" t="s">
        <v>20853</v>
      </c>
      <c r="LCA1" s="24" t="s">
        <v>20854</v>
      </c>
      <c r="LCB1" s="24" t="s">
        <v>20855</v>
      </c>
      <c r="LCC1" s="24" t="s">
        <v>20856</v>
      </c>
      <c r="LCD1" s="24" t="s">
        <v>20857</v>
      </c>
      <c r="LCE1" s="24" t="s">
        <v>20858</v>
      </c>
      <c r="LCF1" s="24" t="s">
        <v>20859</v>
      </c>
      <c r="LCG1" s="24" t="s">
        <v>20860</v>
      </c>
      <c r="LCH1" s="24" t="s">
        <v>20861</v>
      </c>
      <c r="LCI1" s="24" t="s">
        <v>20862</v>
      </c>
      <c r="LCJ1" s="24" t="s">
        <v>20863</v>
      </c>
      <c r="LCK1" s="24" t="s">
        <v>20864</v>
      </c>
      <c r="LCL1" s="24" t="s">
        <v>20865</v>
      </c>
      <c r="LCM1" s="24" t="s">
        <v>20866</v>
      </c>
      <c r="LCN1" s="24" t="s">
        <v>20867</v>
      </c>
      <c r="LCO1" s="24" t="s">
        <v>20868</v>
      </c>
      <c r="LCP1" s="24" t="s">
        <v>20869</v>
      </c>
      <c r="LCQ1" s="24" t="s">
        <v>20870</v>
      </c>
      <c r="LCR1" s="24" t="s">
        <v>20871</v>
      </c>
      <c r="LCS1" s="24" t="s">
        <v>20872</v>
      </c>
      <c r="LCT1" s="24" t="s">
        <v>20873</v>
      </c>
      <c r="LCU1" s="24" t="s">
        <v>20874</v>
      </c>
      <c r="LCV1" s="24" t="s">
        <v>20875</v>
      </c>
      <c r="LCW1" s="24" t="s">
        <v>20876</v>
      </c>
      <c r="LCX1" s="24" t="s">
        <v>20877</v>
      </c>
      <c r="LCY1" s="24" t="s">
        <v>20878</v>
      </c>
      <c r="LCZ1" s="24" t="s">
        <v>20879</v>
      </c>
      <c r="LDA1" s="24" t="s">
        <v>20880</v>
      </c>
      <c r="LDB1" s="24" t="s">
        <v>20881</v>
      </c>
      <c r="LDC1" s="24" t="s">
        <v>20882</v>
      </c>
      <c r="LDD1" s="24" t="s">
        <v>20883</v>
      </c>
      <c r="LDE1" s="24" t="s">
        <v>20884</v>
      </c>
      <c r="LDF1" s="24" t="s">
        <v>20885</v>
      </c>
      <c r="LDG1" s="24" t="s">
        <v>20886</v>
      </c>
      <c r="LDH1" s="24" t="s">
        <v>20887</v>
      </c>
      <c r="LDI1" s="24" t="s">
        <v>20888</v>
      </c>
      <c r="LDJ1" s="24" t="s">
        <v>20889</v>
      </c>
      <c r="LDK1" s="24" t="s">
        <v>20890</v>
      </c>
      <c r="LDL1" s="24" t="s">
        <v>20891</v>
      </c>
      <c r="LDM1" s="24" t="s">
        <v>20892</v>
      </c>
      <c r="LDN1" s="24" t="s">
        <v>20893</v>
      </c>
      <c r="LDO1" s="24" t="s">
        <v>20894</v>
      </c>
      <c r="LDP1" s="24" t="s">
        <v>20895</v>
      </c>
      <c r="LDQ1" s="24" t="s">
        <v>20896</v>
      </c>
      <c r="LDR1" s="24" t="s">
        <v>20897</v>
      </c>
      <c r="LDS1" s="24" t="s">
        <v>20898</v>
      </c>
      <c r="LDT1" s="24" t="s">
        <v>20899</v>
      </c>
      <c r="LDU1" s="24" t="s">
        <v>20900</v>
      </c>
      <c r="LDV1" s="24" t="s">
        <v>20901</v>
      </c>
      <c r="LDW1" s="24" t="s">
        <v>20902</v>
      </c>
      <c r="LDX1" s="24" t="s">
        <v>20903</v>
      </c>
      <c r="LDY1" s="24" t="s">
        <v>20904</v>
      </c>
      <c r="LDZ1" s="24" t="s">
        <v>20905</v>
      </c>
      <c r="LEA1" s="24" t="s">
        <v>20906</v>
      </c>
      <c r="LEB1" s="24" t="s">
        <v>20907</v>
      </c>
      <c r="LEC1" s="24" t="s">
        <v>20908</v>
      </c>
      <c r="LED1" s="24" t="s">
        <v>20909</v>
      </c>
      <c r="LEE1" s="24" t="s">
        <v>20910</v>
      </c>
      <c r="LEF1" s="24" t="s">
        <v>20911</v>
      </c>
      <c r="LEG1" s="24" t="s">
        <v>20912</v>
      </c>
      <c r="LEH1" s="24" t="s">
        <v>20913</v>
      </c>
      <c r="LEI1" s="24" t="s">
        <v>20914</v>
      </c>
      <c r="LEJ1" s="24" t="s">
        <v>20915</v>
      </c>
      <c r="LEK1" s="24" t="s">
        <v>20916</v>
      </c>
      <c r="LEL1" s="24" t="s">
        <v>20917</v>
      </c>
      <c r="LEM1" s="24" t="s">
        <v>20918</v>
      </c>
      <c r="LEN1" s="24" t="s">
        <v>20919</v>
      </c>
      <c r="LEO1" s="24" t="s">
        <v>20920</v>
      </c>
      <c r="LEP1" s="24" t="s">
        <v>20921</v>
      </c>
      <c r="LEQ1" s="24" t="s">
        <v>20922</v>
      </c>
      <c r="LER1" s="24" t="s">
        <v>20923</v>
      </c>
      <c r="LES1" s="24" t="s">
        <v>20924</v>
      </c>
      <c r="LET1" s="24" t="s">
        <v>20925</v>
      </c>
      <c r="LEU1" s="24" t="s">
        <v>20926</v>
      </c>
      <c r="LEV1" s="24" t="s">
        <v>20927</v>
      </c>
      <c r="LEW1" s="24" t="s">
        <v>20928</v>
      </c>
      <c r="LEX1" s="24" t="s">
        <v>20929</v>
      </c>
      <c r="LEY1" s="24" t="s">
        <v>20930</v>
      </c>
      <c r="LEZ1" s="24" t="s">
        <v>20931</v>
      </c>
      <c r="LFA1" s="24" t="s">
        <v>20932</v>
      </c>
      <c r="LFB1" s="24" t="s">
        <v>20933</v>
      </c>
      <c r="LFC1" s="24" t="s">
        <v>20934</v>
      </c>
      <c r="LFD1" s="24" t="s">
        <v>20935</v>
      </c>
      <c r="LFE1" s="24" t="s">
        <v>20936</v>
      </c>
      <c r="LFF1" s="24" t="s">
        <v>20937</v>
      </c>
      <c r="LFG1" s="24" t="s">
        <v>20938</v>
      </c>
      <c r="LFH1" s="24" t="s">
        <v>20939</v>
      </c>
      <c r="LFI1" s="24" t="s">
        <v>20940</v>
      </c>
      <c r="LFJ1" s="24" t="s">
        <v>20941</v>
      </c>
      <c r="LFK1" s="24" t="s">
        <v>20942</v>
      </c>
      <c r="LFL1" s="24" t="s">
        <v>20943</v>
      </c>
      <c r="LFM1" s="24" t="s">
        <v>20944</v>
      </c>
      <c r="LFN1" s="24" t="s">
        <v>20945</v>
      </c>
      <c r="LFO1" s="24" t="s">
        <v>20946</v>
      </c>
      <c r="LFP1" s="24" t="s">
        <v>20947</v>
      </c>
      <c r="LFQ1" s="24" t="s">
        <v>20948</v>
      </c>
      <c r="LFR1" s="24" t="s">
        <v>20949</v>
      </c>
      <c r="LFS1" s="24" t="s">
        <v>20950</v>
      </c>
      <c r="LFT1" s="24" t="s">
        <v>20951</v>
      </c>
      <c r="LFU1" s="24" t="s">
        <v>20952</v>
      </c>
      <c r="LFV1" s="24" t="s">
        <v>20953</v>
      </c>
      <c r="LFW1" s="24" t="s">
        <v>20954</v>
      </c>
      <c r="LFX1" s="24" t="s">
        <v>20955</v>
      </c>
      <c r="LFY1" s="24" t="s">
        <v>20956</v>
      </c>
      <c r="LFZ1" s="24" t="s">
        <v>20957</v>
      </c>
      <c r="LGA1" s="24" t="s">
        <v>20958</v>
      </c>
      <c r="LGB1" s="24" t="s">
        <v>20959</v>
      </c>
      <c r="LGC1" s="24" t="s">
        <v>20960</v>
      </c>
      <c r="LGD1" s="24" t="s">
        <v>20961</v>
      </c>
      <c r="LGE1" s="24" t="s">
        <v>20962</v>
      </c>
      <c r="LGF1" s="24" t="s">
        <v>20963</v>
      </c>
      <c r="LGG1" s="24" t="s">
        <v>20964</v>
      </c>
      <c r="LGH1" s="24" t="s">
        <v>20965</v>
      </c>
      <c r="LGI1" s="24" t="s">
        <v>20966</v>
      </c>
      <c r="LGJ1" s="24" t="s">
        <v>20967</v>
      </c>
      <c r="LGK1" s="24" t="s">
        <v>20968</v>
      </c>
      <c r="LGL1" s="24" t="s">
        <v>20969</v>
      </c>
      <c r="LGM1" s="24" t="s">
        <v>20970</v>
      </c>
      <c r="LGN1" s="24" t="s">
        <v>20971</v>
      </c>
      <c r="LGO1" s="24" t="s">
        <v>20972</v>
      </c>
      <c r="LGP1" s="24" t="s">
        <v>20973</v>
      </c>
      <c r="LGQ1" s="24" t="s">
        <v>20974</v>
      </c>
      <c r="LGR1" s="24" t="s">
        <v>20975</v>
      </c>
      <c r="LGS1" s="24" t="s">
        <v>20976</v>
      </c>
      <c r="LGT1" s="24" t="s">
        <v>20977</v>
      </c>
      <c r="LGU1" s="24" t="s">
        <v>20978</v>
      </c>
      <c r="LGV1" s="24" t="s">
        <v>20979</v>
      </c>
      <c r="LGW1" s="24" t="s">
        <v>20980</v>
      </c>
      <c r="LGX1" s="24" t="s">
        <v>20981</v>
      </c>
      <c r="LGY1" s="24" t="s">
        <v>20982</v>
      </c>
      <c r="LGZ1" s="24" t="s">
        <v>20983</v>
      </c>
      <c r="LHA1" s="24" t="s">
        <v>20984</v>
      </c>
      <c r="LHB1" s="24" t="s">
        <v>20985</v>
      </c>
      <c r="LHC1" s="24" t="s">
        <v>20986</v>
      </c>
      <c r="LHD1" s="24" t="s">
        <v>20987</v>
      </c>
      <c r="LHE1" s="24" t="s">
        <v>20988</v>
      </c>
      <c r="LHF1" s="24" t="s">
        <v>20989</v>
      </c>
      <c r="LHG1" s="24" t="s">
        <v>20990</v>
      </c>
      <c r="LHH1" s="24" t="s">
        <v>20991</v>
      </c>
      <c r="LHI1" s="24" t="s">
        <v>20992</v>
      </c>
      <c r="LHJ1" s="24" t="s">
        <v>20993</v>
      </c>
      <c r="LHK1" s="24" t="s">
        <v>20994</v>
      </c>
      <c r="LHL1" s="24" t="s">
        <v>20995</v>
      </c>
      <c r="LHM1" s="24" t="s">
        <v>20996</v>
      </c>
      <c r="LHN1" s="24" t="s">
        <v>20997</v>
      </c>
      <c r="LHO1" s="24" t="s">
        <v>20998</v>
      </c>
      <c r="LHP1" s="24" t="s">
        <v>20999</v>
      </c>
      <c r="LHQ1" s="24" t="s">
        <v>21000</v>
      </c>
      <c r="LHR1" s="24" t="s">
        <v>21001</v>
      </c>
      <c r="LHS1" s="24" t="s">
        <v>21002</v>
      </c>
      <c r="LHT1" s="24" t="s">
        <v>21003</v>
      </c>
      <c r="LHU1" s="24" t="s">
        <v>21004</v>
      </c>
      <c r="LHV1" s="24" t="s">
        <v>21005</v>
      </c>
      <c r="LHW1" s="24" t="s">
        <v>21006</v>
      </c>
      <c r="LHX1" s="24" t="s">
        <v>21007</v>
      </c>
      <c r="LHY1" s="24" t="s">
        <v>21008</v>
      </c>
      <c r="LHZ1" s="24" t="s">
        <v>21009</v>
      </c>
      <c r="LIA1" s="24" t="s">
        <v>21010</v>
      </c>
      <c r="LIB1" s="24" t="s">
        <v>21011</v>
      </c>
      <c r="LIC1" s="24" t="s">
        <v>21012</v>
      </c>
      <c r="LID1" s="24" t="s">
        <v>21013</v>
      </c>
      <c r="LIE1" s="24" t="s">
        <v>21014</v>
      </c>
      <c r="LIF1" s="24" t="s">
        <v>21015</v>
      </c>
      <c r="LIG1" s="24" t="s">
        <v>21016</v>
      </c>
      <c r="LIH1" s="24" t="s">
        <v>21017</v>
      </c>
      <c r="LII1" s="24" t="s">
        <v>21018</v>
      </c>
      <c r="LIJ1" s="24" t="s">
        <v>21019</v>
      </c>
      <c r="LIK1" s="24" t="s">
        <v>21020</v>
      </c>
      <c r="LIL1" s="24" t="s">
        <v>21021</v>
      </c>
      <c r="LIM1" s="24" t="s">
        <v>21022</v>
      </c>
      <c r="LIN1" s="24" t="s">
        <v>21023</v>
      </c>
      <c r="LIO1" s="24" t="s">
        <v>21024</v>
      </c>
      <c r="LIP1" s="24" t="s">
        <v>21025</v>
      </c>
      <c r="LIQ1" s="24" t="s">
        <v>21026</v>
      </c>
      <c r="LIR1" s="24" t="s">
        <v>21027</v>
      </c>
      <c r="LIS1" s="24" t="s">
        <v>21028</v>
      </c>
      <c r="LIT1" s="24" t="s">
        <v>21029</v>
      </c>
      <c r="LIU1" s="24" t="s">
        <v>21030</v>
      </c>
      <c r="LIV1" s="24" t="s">
        <v>21031</v>
      </c>
      <c r="LIW1" s="24" t="s">
        <v>21032</v>
      </c>
      <c r="LIX1" s="24" t="s">
        <v>21033</v>
      </c>
      <c r="LIY1" s="24" t="s">
        <v>21034</v>
      </c>
      <c r="LIZ1" s="24" t="s">
        <v>21035</v>
      </c>
      <c r="LJA1" s="24" t="s">
        <v>21036</v>
      </c>
      <c r="LJB1" s="24" t="s">
        <v>21037</v>
      </c>
      <c r="LJC1" s="24" t="s">
        <v>21038</v>
      </c>
      <c r="LJD1" s="24" t="s">
        <v>21039</v>
      </c>
      <c r="LJE1" s="24" t="s">
        <v>21040</v>
      </c>
      <c r="LJF1" s="24" t="s">
        <v>21041</v>
      </c>
      <c r="LJG1" s="24" t="s">
        <v>21042</v>
      </c>
      <c r="LJH1" s="24" t="s">
        <v>21043</v>
      </c>
      <c r="LJI1" s="24" t="s">
        <v>21044</v>
      </c>
      <c r="LJJ1" s="24" t="s">
        <v>21045</v>
      </c>
      <c r="LJK1" s="24" t="s">
        <v>21046</v>
      </c>
      <c r="LJL1" s="24" t="s">
        <v>21047</v>
      </c>
      <c r="LJM1" s="24" t="s">
        <v>21048</v>
      </c>
      <c r="LJN1" s="24" t="s">
        <v>21049</v>
      </c>
      <c r="LJO1" s="24" t="s">
        <v>21050</v>
      </c>
      <c r="LJP1" s="24" t="s">
        <v>21051</v>
      </c>
      <c r="LJQ1" s="24" t="s">
        <v>21052</v>
      </c>
      <c r="LJR1" s="24" t="s">
        <v>21053</v>
      </c>
      <c r="LJS1" s="24" t="s">
        <v>21054</v>
      </c>
      <c r="LJT1" s="24" t="s">
        <v>21055</v>
      </c>
      <c r="LJU1" s="24" t="s">
        <v>21056</v>
      </c>
      <c r="LJV1" s="24" t="s">
        <v>21057</v>
      </c>
      <c r="LJW1" s="24" t="s">
        <v>21058</v>
      </c>
      <c r="LJX1" s="24" t="s">
        <v>21059</v>
      </c>
      <c r="LJY1" s="24" t="s">
        <v>21060</v>
      </c>
      <c r="LJZ1" s="24" t="s">
        <v>21061</v>
      </c>
      <c r="LKA1" s="24" t="s">
        <v>21062</v>
      </c>
      <c r="LKB1" s="24" t="s">
        <v>21063</v>
      </c>
      <c r="LKC1" s="24" t="s">
        <v>21064</v>
      </c>
      <c r="LKD1" s="24" t="s">
        <v>21065</v>
      </c>
      <c r="LKE1" s="24" t="s">
        <v>21066</v>
      </c>
      <c r="LKF1" s="24" t="s">
        <v>21067</v>
      </c>
      <c r="LKG1" s="24" t="s">
        <v>21068</v>
      </c>
      <c r="LKH1" s="24" t="s">
        <v>21069</v>
      </c>
      <c r="LKI1" s="24" t="s">
        <v>21070</v>
      </c>
      <c r="LKJ1" s="24" t="s">
        <v>21071</v>
      </c>
      <c r="LKK1" s="24" t="s">
        <v>21072</v>
      </c>
      <c r="LKL1" s="24" t="s">
        <v>21073</v>
      </c>
      <c r="LKM1" s="24" t="s">
        <v>21074</v>
      </c>
      <c r="LKN1" s="24" t="s">
        <v>21075</v>
      </c>
      <c r="LKO1" s="24" t="s">
        <v>21076</v>
      </c>
      <c r="LKP1" s="24" t="s">
        <v>21077</v>
      </c>
      <c r="LKQ1" s="24" t="s">
        <v>21078</v>
      </c>
      <c r="LKR1" s="24" t="s">
        <v>21079</v>
      </c>
      <c r="LKS1" s="24" t="s">
        <v>21080</v>
      </c>
      <c r="LKT1" s="24" t="s">
        <v>21081</v>
      </c>
      <c r="LKU1" s="24" t="s">
        <v>21082</v>
      </c>
      <c r="LKV1" s="24" t="s">
        <v>21083</v>
      </c>
      <c r="LKW1" s="24" t="s">
        <v>21084</v>
      </c>
      <c r="LKX1" s="24" t="s">
        <v>21085</v>
      </c>
      <c r="LKY1" s="24" t="s">
        <v>21086</v>
      </c>
      <c r="LKZ1" s="24" t="s">
        <v>21087</v>
      </c>
      <c r="LLA1" s="24" t="s">
        <v>21088</v>
      </c>
      <c r="LLB1" s="24" t="s">
        <v>21089</v>
      </c>
      <c r="LLC1" s="24" t="s">
        <v>21090</v>
      </c>
      <c r="LLD1" s="24" t="s">
        <v>21091</v>
      </c>
      <c r="LLE1" s="24" t="s">
        <v>21092</v>
      </c>
      <c r="LLF1" s="24" t="s">
        <v>21093</v>
      </c>
      <c r="LLG1" s="24" t="s">
        <v>21094</v>
      </c>
      <c r="LLH1" s="24" t="s">
        <v>21095</v>
      </c>
      <c r="LLI1" s="24" t="s">
        <v>21096</v>
      </c>
      <c r="LLJ1" s="24" t="s">
        <v>21097</v>
      </c>
      <c r="LLK1" s="24" t="s">
        <v>21098</v>
      </c>
      <c r="LLL1" s="24" t="s">
        <v>21099</v>
      </c>
      <c r="LLM1" s="24" t="s">
        <v>21100</v>
      </c>
      <c r="LLN1" s="24" t="s">
        <v>21101</v>
      </c>
      <c r="LLO1" s="24" t="s">
        <v>21102</v>
      </c>
      <c r="LLP1" s="24" t="s">
        <v>21103</v>
      </c>
      <c r="LLQ1" s="24" t="s">
        <v>21104</v>
      </c>
      <c r="LLR1" s="24" t="s">
        <v>21105</v>
      </c>
      <c r="LLS1" s="24" t="s">
        <v>21106</v>
      </c>
      <c r="LLT1" s="24" t="s">
        <v>21107</v>
      </c>
      <c r="LLU1" s="24" t="s">
        <v>21108</v>
      </c>
      <c r="LLV1" s="24" t="s">
        <v>21109</v>
      </c>
      <c r="LLW1" s="24" t="s">
        <v>21110</v>
      </c>
      <c r="LLX1" s="24" t="s">
        <v>21111</v>
      </c>
      <c r="LLY1" s="24" t="s">
        <v>21112</v>
      </c>
      <c r="LLZ1" s="24" t="s">
        <v>21113</v>
      </c>
      <c r="LMA1" s="24" t="s">
        <v>21114</v>
      </c>
      <c r="LMB1" s="24" t="s">
        <v>21115</v>
      </c>
      <c r="LMC1" s="24" t="s">
        <v>21116</v>
      </c>
      <c r="LMD1" s="24" t="s">
        <v>21117</v>
      </c>
      <c r="LME1" s="24" t="s">
        <v>21118</v>
      </c>
      <c r="LMF1" s="24" t="s">
        <v>21119</v>
      </c>
      <c r="LMG1" s="24" t="s">
        <v>21120</v>
      </c>
      <c r="LMH1" s="24" t="s">
        <v>21121</v>
      </c>
      <c r="LMI1" s="24" t="s">
        <v>21122</v>
      </c>
      <c r="LMJ1" s="24" t="s">
        <v>21123</v>
      </c>
      <c r="LMK1" s="24" t="s">
        <v>21124</v>
      </c>
      <c r="LML1" s="24" t="s">
        <v>21125</v>
      </c>
      <c r="LMM1" s="24" t="s">
        <v>21126</v>
      </c>
      <c r="LMN1" s="24" t="s">
        <v>21127</v>
      </c>
      <c r="LMO1" s="24" t="s">
        <v>21128</v>
      </c>
      <c r="LMP1" s="24" t="s">
        <v>21129</v>
      </c>
      <c r="LMQ1" s="24" t="s">
        <v>21130</v>
      </c>
      <c r="LMR1" s="24" t="s">
        <v>21131</v>
      </c>
      <c r="LMS1" s="24" t="s">
        <v>21132</v>
      </c>
      <c r="LMT1" s="24" t="s">
        <v>21133</v>
      </c>
      <c r="LMU1" s="24" t="s">
        <v>21134</v>
      </c>
      <c r="LMV1" s="24" t="s">
        <v>21135</v>
      </c>
      <c r="LMW1" s="24" t="s">
        <v>21136</v>
      </c>
      <c r="LMX1" s="24" t="s">
        <v>21137</v>
      </c>
      <c r="LMY1" s="24" t="s">
        <v>21138</v>
      </c>
      <c r="LMZ1" s="24" t="s">
        <v>21139</v>
      </c>
      <c r="LNA1" s="24" t="s">
        <v>21140</v>
      </c>
      <c r="LNB1" s="24" t="s">
        <v>21141</v>
      </c>
      <c r="LNC1" s="24" t="s">
        <v>21142</v>
      </c>
      <c r="LND1" s="24" t="s">
        <v>21143</v>
      </c>
      <c r="LNE1" s="24" t="s">
        <v>21144</v>
      </c>
      <c r="LNF1" s="24" t="s">
        <v>21145</v>
      </c>
      <c r="LNG1" s="24" t="s">
        <v>21146</v>
      </c>
      <c r="LNH1" s="24" t="s">
        <v>21147</v>
      </c>
      <c r="LNI1" s="24" t="s">
        <v>21148</v>
      </c>
      <c r="LNJ1" s="24" t="s">
        <v>21149</v>
      </c>
      <c r="LNK1" s="24" t="s">
        <v>21150</v>
      </c>
      <c r="LNL1" s="24" t="s">
        <v>21151</v>
      </c>
      <c r="LNM1" s="24" t="s">
        <v>21152</v>
      </c>
      <c r="LNN1" s="24" t="s">
        <v>21153</v>
      </c>
      <c r="LNO1" s="24" t="s">
        <v>21154</v>
      </c>
      <c r="LNP1" s="24" t="s">
        <v>21155</v>
      </c>
      <c r="LNQ1" s="24" t="s">
        <v>21156</v>
      </c>
      <c r="LNR1" s="24" t="s">
        <v>21157</v>
      </c>
      <c r="LNS1" s="24" t="s">
        <v>21158</v>
      </c>
      <c r="LNT1" s="24" t="s">
        <v>21159</v>
      </c>
      <c r="LNU1" s="24" t="s">
        <v>21160</v>
      </c>
      <c r="LNV1" s="24" t="s">
        <v>21161</v>
      </c>
      <c r="LNW1" s="24" t="s">
        <v>21162</v>
      </c>
      <c r="LNX1" s="24" t="s">
        <v>21163</v>
      </c>
      <c r="LNY1" s="24" t="s">
        <v>21164</v>
      </c>
      <c r="LNZ1" s="24" t="s">
        <v>21165</v>
      </c>
      <c r="LOA1" s="24" t="s">
        <v>21166</v>
      </c>
      <c r="LOB1" s="24" t="s">
        <v>21167</v>
      </c>
      <c r="LOC1" s="24" t="s">
        <v>21168</v>
      </c>
      <c r="LOD1" s="24" t="s">
        <v>21169</v>
      </c>
      <c r="LOE1" s="24" t="s">
        <v>21170</v>
      </c>
      <c r="LOF1" s="24" t="s">
        <v>21171</v>
      </c>
      <c r="LOG1" s="24" t="s">
        <v>21172</v>
      </c>
      <c r="LOH1" s="24" t="s">
        <v>21173</v>
      </c>
      <c r="LOI1" s="24" t="s">
        <v>21174</v>
      </c>
      <c r="LOJ1" s="24" t="s">
        <v>21175</v>
      </c>
      <c r="LOK1" s="24" t="s">
        <v>21176</v>
      </c>
      <c r="LOL1" s="24" t="s">
        <v>21177</v>
      </c>
      <c r="LOM1" s="24" t="s">
        <v>21178</v>
      </c>
      <c r="LON1" s="24" t="s">
        <v>21179</v>
      </c>
      <c r="LOO1" s="24" t="s">
        <v>21180</v>
      </c>
      <c r="LOP1" s="24" t="s">
        <v>21181</v>
      </c>
      <c r="LOQ1" s="24" t="s">
        <v>21182</v>
      </c>
      <c r="LOR1" s="24" t="s">
        <v>21183</v>
      </c>
      <c r="LOS1" s="24" t="s">
        <v>21184</v>
      </c>
      <c r="LOT1" s="24" t="s">
        <v>21185</v>
      </c>
      <c r="LOU1" s="24" t="s">
        <v>21186</v>
      </c>
      <c r="LOV1" s="24" t="s">
        <v>21187</v>
      </c>
      <c r="LOW1" s="24" t="s">
        <v>21188</v>
      </c>
      <c r="LOX1" s="24" t="s">
        <v>21189</v>
      </c>
      <c r="LOY1" s="24" t="s">
        <v>21190</v>
      </c>
      <c r="LOZ1" s="24" t="s">
        <v>21191</v>
      </c>
      <c r="LPA1" s="24" t="s">
        <v>21192</v>
      </c>
      <c r="LPB1" s="24" t="s">
        <v>21193</v>
      </c>
      <c r="LPC1" s="24" t="s">
        <v>21194</v>
      </c>
      <c r="LPD1" s="24" t="s">
        <v>21195</v>
      </c>
      <c r="LPE1" s="24" t="s">
        <v>21196</v>
      </c>
      <c r="LPF1" s="24" t="s">
        <v>21197</v>
      </c>
      <c r="LPG1" s="24" t="s">
        <v>21198</v>
      </c>
      <c r="LPH1" s="24" t="s">
        <v>21199</v>
      </c>
      <c r="LPI1" s="24" t="s">
        <v>21200</v>
      </c>
      <c r="LPJ1" s="24" t="s">
        <v>21201</v>
      </c>
      <c r="LPK1" s="24" t="s">
        <v>21202</v>
      </c>
      <c r="LPL1" s="24" t="s">
        <v>21203</v>
      </c>
      <c r="LPM1" s="24" t="s">
        <v>21204</v>
      </c>
      <c r="LPN1" s="24" t="s">
        <v>21205</v>
      </c>
      <c r="LPO1" s="24" t="s">
        <v>21206</v>
      </c>
      <c r="LPP1" s="24" t="s">
        <v>21207</v>
      </c>
      <c r="LPQ1" s="24" t="s">
        <v>21208</v>
      </c>
      <c r="LPR1" s="24" t="s">
        <v>21209</v>
      </c>
      <c r="LPS1" s="24" t="s">
        <v>21210</v>
      </c>
      <c r="LPT1" s="24" t="s">
        <v>21211</v>
      </c>
      <c r="LPU1" s="24" t="s">
        <v>21212</v>
      </c>
      <c r="LPV1" s="24" t="s">
        <v>21213</v>
      </c>
      <c r="LPW1" s="24" t="s">
        <v>21214</v>
      </c>
      <c r="LPX1" s="24" t="s">
        <v>21215</v>
      </c>
      <c r="LPY1" s="24" t="s">
        <v>21216</v>
      </c>
      <c r="LPZ1" s="24" t="s">
        <v>21217</v>
      </c>
      <c r="LQA1" s="24" t="s">
        <v>21218</v>
      </c>
      <c r="LQB1" s="24" t="s">
        <v>21219</v>
      </c>
      <c r="LQC1" s="24" t="s">
        <v>21220</v>
      </c>
      <c r="LQD1" s="24" t="s">
        <v>21221</v>
      </c>
      <c r="LQE1" s="24" t="s">
        <v>21222</v>
      </c>
      <c r="LQF1" s="24" t="s">
        <v>21223</v>
      </c>
      <c r="LQG1" s="24" t="s">
        <v>21224</v>
      </c>
      <c r="LQH1" s="24" t="s">
        <v>21225</v>
      </c>
      <c r="LQI1" s="24" t="s">
        <v>21226</v>
      </c>
      <c r="LQJ1" s="24" t="s">
        <v>21227</v>
      </c>
      <c r="LQK1" s="24" t="s">
        <v>21228</v>
      </c>
      <c r="LQL1" s="24" t="s">
        <v>21229</v>
      </c>
      <c r="LQM1" s="24" t="s">
        <v>21230</v>
      </c>
      <c r="LQN1" s="24" t="s">
        <v>21231</v>
      </c>
      <c r="LQO1" s="24" t="s">
        <v>21232</v>
      </c>
      <c r="LQP1" s="24" t="s">
        <v>21233</v>
      </c>
      <c r="LQQ1" s="24" t="s">
        <v>21234</v>
      </c>
      <c r="LQR1" s="24" t="s">
        <v>21235</v>
      </c>
      <c r="LQS1" s="24" t="s">
        <v>21236</v>
      </c>
      <c r="LQT1" s="24" t="s">
        <v>21237</v>
      </c>
      <c r="LQU1" s="24" t="s">
        <v>21238</v>
      </c>
      <c r="LQV1" s="24" t="s">
        <v>21239</v>
      </c>
      <c r="LQW1" s="24" t="s">
        <v>21240</v>
      </c>
      <c r="LQX1" s="24" t="s">
        <v>21241</v>
      </c>
      <c r="LQY1" s="24" t="s">
        <v>21242</v>
      </c>
      <c r="LQZ1" s="24" t="s">
        <v>21243</v>
      </c>
      <c r="LRA1" s="24" t="s">
        <v>21244</v>
      </c>
      <c r="LRB1" s="24" t="s">
        <v>21245</v>
      </c>
      <c r="LRC1" s="24" t="s">
        <v>21246</v>
      </c>
      <c r="LRD1" s="24" t="s">
        <v>21247</v>
      </c>
      <c r="LRE1" s="24" t="s">
        <v>21248</v>
      </c>
      <c r="LRF1" s="24" t="s">
        <v>21249</v>
      </c>
      <c r="LRG1" s="24" t="s">
        <v>21250</v>
      </c>
      <c r="LRH1" s="24" t="s">
        <v>21251</v>
      </c>
      <c r="LRI1" s="24" t="s">
        <v>21252</v>
      </c>
      <c r="LRJ1" s="24" t="s">
        <v>21253</v>
      </c>
      <c r="LRK1" s="24" t="s">
        <v>21254</v>
      </c>
      <c r="LRL1" s="24" t="s">
        <v>21255</v>
      </c>
      <c r="LRM1" s="24" t="s">
        <v>21256</v>
      </c>
      <c r="LRN1" s="24" t="s">
        <v>21257</v>
      </c>
      <c r="LRO1" s="24" t="s">
        <v>21258</v>
      </c>
      <c r="LRP1" s="24" t="s">
        <v>21259</v>
      </c>
      <c r="LRQ1" s="24" t="s">
        <v>21260</v>
      </c>
      <c r="LRR1" s="24" t="s">
        <v>21261</v>
      </c>
      <c r="LRS1" s="24" t="s">
        <v>21262</v>
      </c>
      <c r="LRT1" s="24" t="s">
        <v>21263</v>
      </c>
      <c r="LRU1" s="24" t="s">
        <v>21264</v>
      </c>
      <c r="LRV1" s="24" t="s">
        <v>21265</v>
      </c>
      <c r="LRW1" s="24" t="s">
        <v>21266</v>
      </c>
      <c r="LRX1" s="24" t="s">
        <v>21267</v>
      </c>
      <c r="LRY1" s="24" t="s">
        <v>21268</v>
      </c>
      <c r="LRZ1" s="24" t="s">
        <v>21269</v>
      </c>
      <c r="LSA1" s="24" t="s">
        <v>21270</v>
      </c>
      <c r="LSB1" s="24" t="s">
        <v>21271</v>
      </c>
      <c r="LSC1" s="24" t="s">
        <v>21272</v>
      </c>
      <c r="LSD1" s="24" t="s">
        <v>21273</v>
      </c>
      <c r="LSE1" s="24" t="s">
        <v>21274</v>
      </c>
      <c r="LSF1" s="24" t="s">
        <v>21275</v>
      </c>
      <c r="LSG1" s="24" t="s">
        <v>21276</v>
      </c>
      <c r="LSH1" s="24" t="s">
        <v>21277</v>
      </c>
      <c r="LSI1" s="24" t="s">
        <v>21278</v>
      </c>
      <c r="LSJ1" s="24" t="s">
        <v>21279</v>
      </c>
      <c r="LSK1" s="24" t="s">
        <v>21280</v>
      </c>
      <c r="LSL1" s="24" t="s">
        <v>21281</v>
      </c>
      <c r="LSM1" s="24" t="s">
        <v>21282</v>
      </c>
      <c r="LSN1" s="24" t="s">
        <v>21283</v>
      </c>
      <c r="LSO1" s="24" t="s">
        <v>21284</v>
      </c>
      <c r="LSP1" s="24" t="s">
        <v>21285</v>
      </c>
      <c r="LSQ1" s="24" t="s">
        <v>21286</v>
      </c>
      <c r="LSR1" s="24" t="s">
        <v>21287</v>
      </c>
      <c r="LSS1" s="24" t="s">
        <v>21288</v>
      </c>
      <c r="LST1" s="24" t="s">
        <v>21289</v>
      </c>
      <c r="LSU1" s="24" t="s">
        <v>21290</v>
      </c>
      <c r="LSV1" s="24" t="s">
        <v>21291</v>
      </c>
      <c r="LSW1" s="24" t="s">
        <v>21292</v>
      </c>
      <c r="LSX1" s="24" t="s">
        <v>21293</v>
      </c>
      <c r="LSY1" s="24" t="s">
        <v>21294</v>
      </c>
      <c r="LSZ1" s="24" t="s">
        <v>21295</v>
      </c>
      <c r="LTA1" s="24" t="s">
        <v>21296</v>
      </c>
      <c r="LTB1" s="24" t="s">
        <v>21297</v>
      </c>
      <c r="LTC1" s="24" t="s">
        <v>21298</v>
      </c>
      <c r="LTD1" s="24" t="s">
        <v>21299</v>
      </c>
      <c r="LTE1" s="24" t="s">
        <v>21300</v>
      </c>
      <c r="LTF1" s="24" t="s">
        <v>21301</v>
      </c>
      <c r="LTG1" s="24" t="s">
        <v>21302</v>
      </c>
      <c r="LTH1" s="24" t="s">
        <v>21303</v>
      </c>
      <c r="LTI1" s="24" t="s">
        <v>21304</v>
      </c>
      <c r="LTJ1" s="24" t="s">
        <v>21305</v>
      </c>
      <c r="LTK1" s="24" t="s">
        <v>21306</v>
      </c>
      <c r="LTL1" s="24" t="s">
        <v>21307</v>
      </c>
      <c r="LTM1" s="24" t="s">
        <v>21308</v>
      </c>
      <c r="LTN1" s="24" t="s">
        <v>21309</v>
      </c>
      <c r="LTO1" s="24" t="s">
        <v>21310</v>
      </c>
      <c r="LTP1" s="24" t="s">
        <v>21311</v>
      </c>
      <c r="LTQ1" s="24" t="s">
        <v>21312</v>
      </c>
      <c r="LTR1" s="24" t="s">
        <v>21313</v>
      </c>
      <c r="LTS1" s="24" t="s">
        <v>21314</v>
      </c>
      <c r="LTT1" s="24" t="s">
        <v>21315</v>
      </c>
      <c r="LTU1" s="24" t="s">
        <v>21316</v>
      </c>
      <c r="LTV1" s="24" t="s">
        <v>21317</v>
      </c>
      <c r="LTW1" s="24" t="s">
        <v>21318</v>
      </c>
      <c r="LTX1" s="24" t="s">
        <v>21319</v>
      </c>
      <c r="LTY1" s="24" t="s">
        <v>21320</v>
      </c>
      <c r="LTZ1" s="24" t="s">
        <v>21321</v>
      </c>
      <c r="LUA1" s="24" t="s">
        <v>21322</v>
      </c>
      <c r="LUB1" s="24" t="s">
        <v>21323</v>
      </c>
      <c r="LUC1" s="24" t="s">
        <v>21324</v>
      </c>
      <c r="LUD1" s="24" t="s">
        <v>21325</v>
      </c>
      <c r="LUE1" s="24" t="s">
        <v>21326</v>
      </c>
      <c r="LUF1" s="24" t="s">
        <v>21327</v>
      </c>
      <c r="LUG1" s="24" t="s">
        <v>21328</v>
      </c>
      <c r="LUH1" s="24" t="s">
        <v>21329</v>
      </c>
      <c r="LUI1" s="24" t="s">
        <v>21330</v>
      </c>
      <c r="LUJ1" s="24" t="s">
        <v>21331</v>
      </c>
      <c r="LUK1" s="24" t="s">
        <v>21332</v>
      </c>
      <c r="LUL1" s="24" t="s">
        <v>21333</v>
      </c>
      <c r="LUM1" s="24" t="s">
        <v>21334</v>
      </c>
      <c r="LUN1" s="24" t="s">
        <v>21335</v>
      </c>
      <c r="LUO1" s="24" t="s">
        <v>21336</v>
      </c>
      <c r="LUP1" s="24" t="s">
        <v>21337</v>
      </c>
      <c r="LUQ1" s="24" t="s">
        <v>21338</v>
      </c>
      <c r="LUR1" s="24" t="s">
        <v>21339</v>
      </c>
      <c r="LUS1" s="24" t="s">
        <v>21340</v>
      </c>
      <c r="LUT1" s="24" t="s">
        <v>21341</v>
      </c>
      <c r="LUU1" s="24" t="s">
        <v>21342</v>
      </c>
      <c r="LUV1" s="24" t="s">
        <v>21343</v>
      </c>
      <c r="LUW1" s="24" t="s">
        <v>21344</v>
      </c>
      <c r="LUX1" s="24" t="s">
        <v>21345</v>
      </c>
      <c r="LUY1" s="24" t="s">
        <v>21346</v>
      </c>
      <c r="LUZ1" s="24" t="s">
        <v>21347</v>
      </c>
      <c r="LVA1" s="24" t="s">
        <v>21348</v>
      </c>
      <c r="LVB1" s="24" t="s">
        <v>21349</v>
      </c>
      <c r="LVC1" s="24" t="s">
        <v>21350</v>
      </c>
      <c r="LVD1" s="24" t="s">
        <v>21351</v>
      </c>
      <c r="LVE1" s="24" t="s">
        <v>21352</v>
      </c>
      <c r="LVF1" s="24" t="s">
        <v>21353</v>
      </c>
      <c r="LVG1" s="24" t="s">
        <v>21354</v>
      </c>
      <c r="LVH1" s="24" t="s">
        <v>21355</v>
      </c>
      <c r="LVI1" s="24" t="s">
        <v>21356</v>
      </c>
      <c r="LVJ1" s="24" t="s">
        <v>21357</v>
      </c>
      <c r="LVK1" s="24" t="s">
        <v>21358</v>
      </c>
      <c r="LVL1" s="24" t="s">
        <v>21359</v>
      </c>
      <c r="LVM1" s="24" t="s">
        <v>21360</v>
      </c>
      <c r="LVN1" s="24" t="s">
        <v>21361</v>
      </c>
      <c r="LVO1" s="24" t="s">
        <v>21362</v>
      </c>
      <c r="LVP1" s="24" t="s">
        <v>21363</v>
      </c>
      <c r="LVQ1" s="24" t="s">
        <v>21364</v>
      </c>
      <c r="LVR1" s="24" t="s">
        <v>21365</v>
      </c>
      <c r="LVS1" s="24" t="s">
        <v>21366</v>
      </c>
      <c r="LVT1" s="24" t="s">
        <v>21367</v>
      </c>
      <c r="LVU1" s="24" t="s">
        <v>21368</v>
      </c>
      <c r="LVV1" s="24" t="s">
        <v>21369</v>
      </c>
      <c r="LVW1" s="24" t="s">
        <v>21370</v>
      </c>
      <c r="LVX1" s="24" t="s">
        <v>21371</v>
      </c>
      <c r="LVY1" s="24" t="s">
        <v>21372</v>
      </c>
      <c r="LVZ1" s="24" t="s">
        <v>21373</v>
      </c>
      <c r="LWA1" s="24" t="s">
        <v>21374</v>
      </c>
      <c r="LWB1" s="24" t="s">
        <v>21375</v>
      </c>
      <c r="LWC1" s="24" t="s">
        <v>21376</v>
      </c>
      <c r="LWD1" s="24" t="s">
        <v>21377</v>
      </c>
      <c r="LWE1" s="24" t="s">
        <v>21378</v>
      </c>
      <c r="LWF1" s="24" t="s">
        <v>21379</v>
      </c>
      <c r="LWG1" s="24" t="s">
        <v>21380</v>
      </c>
      <c r="LWH1" s="24" t="s">
        <v>21381</v>
      </c>
      <c r="LWI1" s="24" t="s">
        <v>21382</v>
      </c>
      <c r="LWJ1" s="24" t="s">
        <v>21383</v>
      </c>
      <c r="LWK1" s="24" t="s">
        <v>21384</v>
      </c>
      <c r="LWL1" s="24" t="s">
        <v>21385</v>
      </c>
      <c r="LWM1" s="24" t="s">
        <v>21386</v>
      </c>
      <c r="LWN1" s="24" t="s">
        <v>21387</v>
      </c>
      <c r="LWO1" s="24" t="s">
        <v>21388</v>
      </c>
      <c r="LWP1" s="24" t="s">
        <v>21389</v>
      </c>
      <c r="LWQ1" s="24" t="s">
        <v>21390</v>
      </c>
      <c r="LWR1" s="24" t="s">
        <v>21391</v>
      </c>
      <c r="LWS1" s="24" t="s">
        <v>21392</v>
      </c>
      <c r="LWT1" s="24" t="s">
        <v>21393</v>
      </c>
      <c r="LWU1" s="24" t="s">
        <v>21394</v>
      </c>
      <c r="LWV1" s="24" t="s">
        <v>21395</v>
      </c>
      <c r="LWW1" s="24" t="s">
        <v>21396</v>
      </c>
      <c r="LWX1" s="24" t="s">
        <v>21397</v>
      </c>
      <c r="LWY1" s="24" t="s">
        <v>21398</v>
      </c>
      <c r="LWZ1" s="24" t="s">
        <v>21399</v>
      </c>
      <c r="LXA1" s="24" t="s">
        <v>21400</v>
      </c>
      <c r="LXB1" s="24" t="s">
        <v>21401</v>
      </c>
      <c r="LXC1" s="24" t="s">
        <v>21402</v>
      </c>
      <c r="LXD1" s="24" t="s">
        <v>21403</v>
      </c>
      <c r="LXE1" s="24" t="s">
        <v>21404</v>
      </c>
      <c r="LXF1" s="24" t="s">
        <v>21405</v>
      </c>
      <c r="LXG1" s="24" t="s">
        <v>21406</v>
      </c>
      <c r="LXH1" s="24" t="s">
        <v>21407</v>
      </c>
      <c r="LXI1" s="24" t="s">
        <v>21408</v>
      </c>
      <c r="LXJ1" s="24" t="s">
        <v>21409</v>
      </c>
      <c r="LXK1" s="24" t="s">
        <v>21410</v>
      </c>
      <c r="LXL1" s="24" t="s">
        <v>21411</v>
      </c>
      <c r="LXM1" s="24" t="s">
        <v>21412</v>
      </c>
      <c r="LXN1" s="24" t="s">
        <v>21413</v>
      </c>
      <c r="LXO1" s="24" t="s">
        <v>21414</v>
      </c>
      <c r="LXP1" s="24" t="s">
        <v>21415</v>
      </c>
      <c r="LXQ1" s="24" t="s">
        <v>21416</v>
      </c>
      <c r="LXR1" s="24" t="s">
        <v>21417</v>
      </c>
      <c r="LXS1" s="24" t="s">
        <v>21418</v>
      </c>
      <c r="LXT1" s="24" t="s">
        <v>21419</v>
      </c>
      <c r="LXU1" s="24" t="s">
        <v>21420</v>
      </c>
      <c r="LXV1" s="24" t="s">
        <v>21421</v>
      </c>
      <c r="LXW1" s="24" t="s">
        <v>21422</v>
      </c>
      <c r="LXX1" s="24" t="s">
        <v>21423</v>
      </c>
      <c r="LXY1" s="24" t="s">
        <v>21424</v>
      </c>
      <c r="LXZ1" s="24" t="s">
        <v>21425</v>
      </c>
      <c r="LYA1" s="24" t="s">
        <v>21426</v>
      </c>
      <c r="LYB1" s="24" t="s">
        <v>21427</v>
      </c>
      <c r="LYC1" s="24" t="s">
        <v>21428</v>
      </c>
      <c r="LYD1" s="24" t="s">
        <v>21429</v>
      </c>
      <c r="LYE1" s="24" t="s">
        <v>21430</v>
      </c>
      <c r="LYF1" s="24" t="s">
        <v>21431</v>
      </c>
      <c r="LYG1" s="24" t="s">
        <v>21432</v>
      </c>
      <c r="LYH1" s="24" t="s">
        <v>21433</v>
      </c>
      <c r="LYI1" s="24" t="s">
        <v>21434</v>
      </c>
      <c r="LYJ1" s="24" t="s">
        <v>21435</v>
      </c>
      <c r="LYK1" s="24" t="s">
        <v>21436</v>
      </c>
      <c r="LYL1" s="24" t="s">
        <v>21437</v>
      </c>
      <c r="LYM1" s="24" t="s">
        <v>21438</v>
      </c>
      <c r="LYN1" s="24" t="s">
        <v>21439</v>
      </c>
      <c r="LYO1" s="24" t="s">
        <v>21440</v>
      </c>
      <c r="LYP1" s="24" t="s">
        <v>21441</v>
      </c>
      <c r="LYQ1" s="24" t="s">
        <v>21442</v>
      </c>
      <c r="LYR1" s="24" t="s">
        <v>21443</v>
      </c>
      <c r="LYS1" s="24" t="s">
        <v>21444</v>
      </c>
      <c r="LYT1" s="24" t="s">
        <v>21445</v>
      </c>
      <c r="LYU1" s="24" t="s">
        <v>21446</v>
      </c>
      <c r="LYV1" s="24" t="s">
        <v>21447</v>
      </c>
      <c r="LYW1" s="24" t="s">
        <v>21448</v>
      </c>
      <c r="LYX1" s="24" t="s">
        <v>21449</v>
      </c>
      <c r="LYY1" s="24" t="s">
        <v>21450</v>
      </c>
      <c r="LYZ1" s="24" t="s">
        <v>21451</v>
      </c>
      <c r="LZA1" s="24" t="s">
        <v>21452</v>
      </c>
      <c r="LZB1" s="24" t="s">
        <v>21453</v>
      </c>
      <c r="LZC1" s="24" t="s">
        <v>21454</v>
      </c>
      <c r="LZD1" s="24" t="s">
        <v>21455</v>
      </c>
      <c r="LZE1" s="24" t="s">
        <v>21456</v>
      </c>
      <c r="LZF1" s="24" t="s">
        <v>21457</v>
      </c>
      <c r="LZG1" s="24" t="s">
        <v>21458</v>
      </c>
      <c r="LZH1" s="24" t="s">
        <v>21459</v>
      </c>
      <c r="LZI1" s="24" t="s">
        <v>21460</v>
      </c>
      <c r="LZJ1" s="24" t="s">
        <v>21461</v>
      </c>
      <c r="LZK1" s="24" t="s">
        <v>21462</v>
      </c>
      <c r="LZL1" s="24" t="s">
        <v>21463</v>
      </c>
      <c r="LZM1" s="24" t="s">
        <v>21464</v>
      </c>
      <c r="LZN1" s="24" t="s">
        <v>21465</v>
      </c>
      <c r="LZO1" s="24" t="s">
        <v>21466</v>
      </c>
      <c r="LZP1" s="24" t="s">
        <v>21467</v>
      </c>
      <c r="LZQ1" s="24" t="s">
        <v>21468</v>
      </c>
      <c r="LZR1" s="24" t="s">
        <v>21469</v>
      </c>
      <c r="LZS1" s="24" t="s">
        <v>21470</v>
      </c>
      <c r="LZT1" s="24" t="s">
        <v>21471</v>
      </c>
      <c r="LZU1" s="24" t="s">
        <v>21472</v>
      </c>
      <c r="LZV1" s="24" t="s">
        <v>21473</v>
      </c>
      <c r="LZW1" s="24" t="s">
        <v>21474</v>
      </c>
      <c r="LZX1" s="24" t="s">
        <v>21475</v>
      </c>
      <c r="LZY1" s="24" t="s">
        <v>21476</v>
      </c>
      <c r="LZZ1" s="24" t="s">
        <v>21477</v>
      </c>
      <c r="MAA1" s="24" t="s">
        <v>21478</v>
      </c>
      <c r="MAB1" s="24" t="s">
        <v>21479</v>
      </c>
      <c r="MAC1" s="24" t="s">
        <v>21480</v>
      </c>
      <c r="MAD1" s="24" t="s">
        <v>21481</v>
      </c>
      <c r="MAE1" s="24" t="s">
        <v>21482</v>
      </c>
      <c r="MAF1" s="24" t="s">
        <v>21483</v>
      </c>
      <c r="MAG1" s="24" t="s">
        <v>21484</v>
      </c>
      <c r="MAH1" s="24" t="s">
        <v>21485</v>
      </c>
      <c r="MAI1" s="24" t="s">
        <v>21486</v>
      </c>
      <c r="MAJ1" s="24" t="s">
        <v>21487</v>
      </c>
      <c r="MAK1" s="24" t="s">
        <v>21488</v>
      </c>
      <c r="MAL1" s="24" t="s">
        <v>21489</v>
      </c>
      <c r="MAM1" s="24" t="s">
        <v>21490</v>
      </c>
      <c r="MAN1" s="24" t="s">
        <v>21491</v>
      </c>
      <c r="MAO1" s="24" t="s">
        <v>21492</v>
      </c>
      <c r="MAP1" s="24" t="s">
        <v>21493</v>
      </c>
      <c r="MAQ1" s="24" t="s">
        <v>21494</v>
      </c>
      <c r="MAR1" s="24" t="s">
        <v>21495</v>
      </c>
      <c r="MAS1" s="24" t="s">
        <v>21496</v>
      </c>
      <c r="MAT1" s="24" t="s">
        <v>21497</v>
      </c>
      <c r="MAU1" s="24" t="s">
        <v>21498</v>
      </c>
      <c r="MAV1" s="24" t="s">
        <v>21499</v>
      </c>
      <c r="MAW1" s="24" t="s">
        <v>21500</v>
      </c>
      <c r="MAX1" s="24" t="s">
        <v>21501</v>
      </c>
      <c r="MAY1" s="24" t="s">
        <v>21502</v>
      </c>
      <c r="MAZ1" s="24" t="s">
        <v>21503</v>
      </c>
      <c r="MBA1" s="24" t="s">
        <v>21504</v>
      </c>
      <c r="MBB1" s="24" t="s">
        <v>21505</v>
      </c>
      <c r="MBC1" s="24" t="s">
        <v>21506</v>
      </c>
      <c r="MBD1" s="24" t="s">
        <v>21507</v>
      </c>
      <c r="MBE1" s="24" t="s">
        <v>21508</v>
      </c>
      <c r="MBF1" s="24" t="s">
        <v>21509</v>
      </c>
      <c r="MBG1" s="24" t="s">
        <v>21510</v>
      </c>
      <c r="MBH1" s="24" t="s">
        <v>21511</v>
      </c>
      <c r="MBI1" s="24" t="s">
        <v>21512</v>
      </c>
      <c r="MBJ1" s="24" t="s">
        <v>21513</v>
      </c>
      <c r="MBK1" s="24" t="s">
        <v>21514</v>
      </c>
      <c r="MBL1" s="24" t="s">
        <v>21515</v>
      </c>
      <c r="MBM1" s="24" t="s">
        <v>21516</v>
      </c>
      <c r="MBN1" s="24" t="s">
        <v>21517</v>
      </c>
      <c r="MBO1" s="24" t="s">
        <v>21518</v>
      </c>
      <c r="MBP1" s="24" t="s">
        <v>21519</v>
      </c>
      <c r="MBQ1" s="24" t="s">
        <v>21520</v>
      </c>
      <c r="MBR1" s="24" t="s">
        <v>21521</v>
      </c>
      <c r="MBS1" s="24" t="s">
        <v>21522</v>
      </c>
      <c r="MBT1" s="24" t="s">
        <v>21523</v>
      </c>
      <c r="MBU1" s="24" t="s">
        <v>21524</v>
      </c>
      <c r="MBV1" s="24" t="s">
        <v>21525</v>
      </c>
      <c r="MBW1" s="24" t="s">
        <v>21526</v>
      </c>
      <c r="MBX1" s="24" t="s">
        <v>21527</v>
      </c>
      <c r="MBY1" s="24" t="s">
        <v>21528</v>
      </c>
      <c r="MBZ1" s="24" t="s">
        <v>21529</v>
      </c>
      <c r="MCA1" s="24" t="s">
        <v>21530</v>
      </c>
      <c r="MCB1" s="24" t="s">
        <v>21531</v>
      </c>
      <c r="MCC1" s="24" t="s">
        <v>21532</v>
      </c>
      <c r="MCD1" s="24" t="s">
        <v>21533</v>
      </c>
      <c r="MCE1" s="24" t="s">
        <v>21534</v>
      </c>
      <c r="MCF1" s="24" t="s">
        <v>21535</v>
      </c>
      <c r="MCG1" s="24" t="s">
        <v>21536</v>
      </c>
      <c r="MCH1" s="24" t="s">
        <v>21537</v>
      </c>
      <c r="MCI1" s="24" t="s">
        <v>21538</v>
      </c>
      <c r="MCJ1" s="24" t="s">
        <v>21539</v>
      </c>
      <c r="MCK1" s="24" t="s">
        <v>21540</v>
      </c>
      <c r="MCL1" s="24" t="s">
        <v>21541</v>
      </c>
      <c r="MCM1" s="24" t="s">
        <v>21542</v>
      </c>
      <c r="MCN1" s="24" t="s">
        <v>21543</v>
      </c>
      <c r="MCO1" s="24" t="s">
        <v>21544</v>
      </c>
      <c r="MCP1" s="24" t="s">
        <v>21545</v>
      </c>
      <c r="MCQ1" s="24" t="s">
        <v>21546</v>
      </c>
      <c r="MCR1" s="24" t="s">
        <v>21547</v>
      </c>
      <c r="MCS1" s="24" t="s">
        <v>21548</v>
      </c>
      <c r="MCT1" s="24" t="s">
        <v>21549</v>
      </c>
      <c r="MCU1" s="24" t="s">
        <v>21550</v>
      </c>
      <c r="MCV1" s="24" t="s">
        <v>21551</v>
      </c>
      <c r="MCW1" s="24" t="s">
        <v>21552</v>
      </c>
      <c r="MCX1" s="24" t="s">
        <v>21553</v>
      </c>
      <c r="MCY1" s="24" t="s">
        <v>21554</v>
      </c>
      <c r="MCZ1" s="24" t="s">
        <v>21555</v>
      </c>
      <c r="MDA1" s="24" t="s">
        <v>21556</v>
      </c>
      <c r="MDB1" s="24" t="s">
        <v>21557</v>
      </c>
      <c r="MDC1" s="24" t="s">
        <v>21558</v>
      </c>
      <c r="MDD1" s="24" t="s">
        <v>21559</v>
      </c>
      <c r="MDE1" s="24" t="s">
        <v>21560</v>
      </c>
      <c r="MDF1" s="24" t="s">
        <v>21561</v>
      </c>
      <c r="MDG1" s="24" t="s">
        <v>21562</v>
      </c>
      <c r="MDH1" s="24" t="s">
        <v>21563</v>
      </c>
      <c r="MDI1" s="24" t="s">
        <v>21564</v>
      </c>
      <c r="MDJ1" s="24" t="s">
        <v>21565</v>
      </c>
      <c r="MDK1" s="24" t="s">
        <v>21566</v>
      </c>
      <c r="MDL1" s="24" t="s">
        <v>21567</v>
      </c>
      <c r="MDM1" s="24" t="s">
        <v>21568</v>
      </c>
      <c r="MDN1" s="24" t="s">
        <v>21569</v>
      </c>
      <c r="MDO1" s="24" t="s">
        <v>21570</v>
      </c>
      <c r="MDP1" s="24" t="s">
        <v>21571</v>
      </c>
      <c r="MDQ1" s="24" t="s">
        <v>21572</v>
      </c>
      <c r="MDR1" s="24" t="s">
        <v>21573</v>
      </c>
      <c r="MDS1" s="24" t="s">
        <v>21574</v>
      </c>
      <c r="MDT1" s="24" t="s">
        <v>21575</v>
      </c>
      <c r="MDU1" s="24" t="s">
        <v>21576</v>
      </c>
      <c r="MDV1" s="24" t="s">
        <v>21577</v>
      </c>
      <c r="MDW1" s="24" t="s">
        <v>21578</v>
      </c>
      <c r="MDX1" s="24" t="s">
        <v>21579</v>
      </c>
      <c r="MDY1" s="24" t="s">
        <v>21580</v>
      </c>
      <c r="MDZ1" s="24" t="s">
        <v>21581</v>
      </c>
      <c r="MEA1" s="24" t="s">
        <v>21582</v>
      </c>
      <c r="MEB1" s="24" t="s">
        <v>21583</v>
      </c>
      <c r="MEC1" s="24" t="s">
        <v>21584</v>
      </c>
      <c r="MED1" s="24" t="s">
        <v>21585</v>
      </c>
      <c r="MEE1" s="24" t="s">
        <v>21586</v>
      </c>
      <c r="MEF1" s="24" t="s">
        <v>21587</v>
      </c>
      <c r="MEG1" s="24" t="s">
        <v>21588</v>
      </c>
      <c r="MEH1" s="24" t="s">
        <v>21589</v>
      </c>
      <c r="MEI1" s="24" t="s">
        <v>21590</v>
      </c>
      <c r="MEJ1" s="24" t="s">
        <v>21591</v>
      </c>
      <c r="MEK1" s="24" t="s">
        <v>21592</v>
      </c>
      <c r="MEL1" s="24" t="s">
        <v>21593</v>
      </c>
      <c r="MEM1" s="24" t="s">
        <v>21594</v>
      </c>
      <c r="MEN1" s="24" t="s">
        <v>21595</v>
      </c>
      <c r="MEO1" s="24" t="s">
        <v>21596</v>
      </c>
      <c r="MEP1" s="24" t="s">
        <v>21597</v>
      </c>
      <c r="MEQ1" s="24" t="s">
        <v>21598</v>
      </c>
      <c r="MER1" s="24" t="s">
        <v>21599</v>
      </c>
      <c r="MES1" s="24" t="s">
        <v>21600</v>
      </c>
      <c r="MET1" s="24" t="s">
        <v>21601</v>
      </c>
      <c r="MEU1" s="24" t="s">
        <v>21602</v>
      </c>
      <c r="MEV1" s="24" t="s">
        <v>21603</v>
      </c>
      <c r="MEW1" s="24" t="s">
        <v>21604</v>
      </c>
      <c r="MEX1" s="24" t="s">
        <v>21605</v>
      </c>
      <c r="MEY1" s="24" t="s">
        <v>21606</v>
      </c>
      <c r="MEZ1" s="24" t="s">
        <v>21607</v>
      </c>
      <c r="MFA1" s="24" t="s">
        <v>21608</v>
      </c>
      <c r="MFB1" s="24" t="s">
        <v>21609</v>
      </c>
      <c r="MFC1" s="24" t="s">
        <v>21610</v>
      </c>
      <c r="MFD1" s="24" t="s">
        <v>21611</v>
      </c>
      <c r="MFE1" s="24" t="s">
        <v>21612</v>
      </c>
      <c r="MFF1" s="24" t="s">
        <v>21613</v>
      </c>
      <c r="MFG1" s="24" t="s">
        <v>21614</v>
      </c>
      <c r="MFH1" s="24" t="s">
        <v>21615</v>
      </c>
      <c r="MFI1" s="24" t="s">
        <v>21616</v>
      </c>
      <c r="MFJ1" s="24" t="s">
        <v>21617</v>
      </c>
      <c r="MFK1" s="24" t="s">
        <v>21618</v>
      </c>
      <c r="MFL1" s="24" t="s">
        <v>21619</v>
      </c>
      <c r="MFM1" s="24" t="s">
        <v>21620</v>
      </c>
      <c r="MFN1" s="24" t="s">
        <v>21621</v>
      </c>
      <c r="MFO1" s="24" t="s">
        <v>21622</v>
      </c>
      <c r="MFP1" s="24" t="s">
        <v>21623</v>
      </c>
      <c r="MFQ1" s="24" t="s">
        <v>21624</v>
      </c>
      <c r="MFR1" s="24" t="s">
        <v>21625</v>
      </c>
      <c r="MFS1" s="24" t="s">
        <v>21626</v>
      </c>
      <c r="MFT1" s="24" t="s">
        <v>21627</v>
      </c>
      <c r="MFU1" s="24" t="s">
        <v>21628</v>
      </c>
      <c r="MFV1" s="24" t="s">
        <v>21629</v>
      </c>
      <c r="MFW1" s="24" t="s">
        <v>21630</v>
      </c>
      <c r="MFX1" s="24" t="s">
        <v>21631</v>
      </c>
      <c r="MFY1" s="24" t="s">
        <v>21632</v>
      </c>
      <c r="MFZ1" s="24" t="s">
        <v>21633</v>
      </c>
      <c r="MGA1" s="24" t="s">
        <v>21634</v>
      </c>
      <c r="MGB1" s="24" t="s">
        <v>21635</v>
      </c>
      <c r="MGC1" s="24" t="s">
        <v>21636</v>
      </c>
      <c r="MGD1" s="24" t="s">
        <v>21637</v>
      </c>
      <c r="MGE1" s="24" t="s">
        <v>21638</v>
      </c>
      <c r="MGF1" s="24" t="s">
        <v>21639</v>
      </c>
      <c r="MGG1" s="24" t="s">
        <v>21640</v>
      </c>
      <c r="MGH1" s="24" t="s">
        <v>21641</v>
      </c>
      <c r="MGI1" s="24" t="s">
        <v>21642</v>
      </c>
      <c r="MGJ1" s="24" t="s">
        <v>21643</v>
      </c>
      <c r="MGK1" s="24" t="s">
        <v>21644</v>
      </c>
      <c r="MGL1" s="24" t="s">
        <v>21645</v>
      </c>
      <c r="MGM1" s="24" t="s">
        <v>21646</v>
      </c>
      <c r="MGN1" s="24" t="s">
        <v>21647</v>
      </c>
      <c r="MGO1" s="24" t="s">
        <v>21648</v>
      </c>
      <c r="MGP1" s="24" t="s">
        <v>21649</v>
      </c>
      <c r="MGQ1" s="24" t="s">
        <v>21650</v>
      </c>
      <c r="MGR1" s="24" t="s">
        <v>21651</v>
      </c>
      <c r="MGS1" s="24" t="s">
        <v>21652</v>
      </c>
      <c r="MGT1" s="24" t="s">
        <v>21653</v>
      </c>
      <c r="MGU1" s="24" t="s">
        <v>21654</v>
      </c>
      <c r="MGV1" s="24" t="s">
        <v>21655</v>
      </c>
      <c r="MGW1" s="24" t="s">
        <v>21656</v>
      </c>
      <c r="MGX1" s="24" t="s">
        <v>21657</v>
      </c>
      <c r="MGY1" s="24" t="s">
        <v>21658</v>
      </c>
      <c r="MGZ1" s="24" t="s">
        <v>21659</v>
      </c>
      <c r="MHA1" s="24" t="s">
        <v>21660</v>
      </c>
      <c r="MHB1" s="24" t="s">
        <v>21661</v>
      </c>
      <c r="MHC1" s="24" t="s">
        <v>21662</v>
      </c>
      <c r="MHD1" s="24" t="s">
        <v>21663</v>
      </c>
      <c r="MHE1" s="24" t="s">
        <v>21664</v>
      </c>
      <c r="MHF1" s="24" t="s">
        <v>21665</v>
      </c>
      <c r="MHG1" s="24" t="s">
        <v>21666</v>
      </c>
      <c r="MHH1" s="24" t="s">
        <v>21667</v>
      </c>
      <c r="MHI1" s="24" t="s">
        <v>21668</v>
      </c>
      <c r="MHJ1" s="24" t="s">
        <v>21669</v>
      </c>
      <c r="MHK1" s="24" t="s">
        <v>21670</v>
      </c>
      <c r="MHL1" s="24" t="s">
        <v>21671</v>
      </c>
      <c r="MHM1" s="24" t="s">
        <v>21672</v>
      </c>
      <c r="MHN1" s="24" t="s">
        <v>21673</v>
      </c>
      <c r="MHO1" s="24" t="s">
        <v>21674</v>
      </c>
      <c r="MHP1" s="24" t="s">
        <v>21675</v>
      </c>
      <c r="MHQ1" s="24" t="s">
        <v>21676</v>
      </c>
      <c r="MHR1" s="24" t="s">
        <v>21677</v>
      </c>
      <c r="MHS1" s="24" t="s">
        <v>21678</v>
      </c>
      <c r="MHT1" s="24" t="s">
        <v>21679</v>
      </c>
      <c r="MHU1" s="24" t="s">
        <v>21680</v>
      </c>
      <c r="MHV1" s="24" t="s">
        <v>21681</v>
      </c>
      <c r="MHW1" s="24" t="s">
        <v>21682</v>
      </c>
      <c r="MHX1" s="24" t="s">
        <v>21683</v>
      </c>
      <c r="MHY1" s="24" t="s">
        <v>21684</v>
      </c>
      <c r="MHZ1" s="24" t="s">
        <v>21685</v>
      </c>
      <c r="MIA1" s="24" t="s">
        <v>21686</v>
      </c>
      <c r="MIB1" s="24" t="s">
        <v>21687</v>
      </c>
      <c r="MIC1" s="24" t="s">
        <v>21688</v>
      </c>
      <c r="MID1" s="24" t="s">
        <v>21689</v>
      </c>
      <c r="MIE1" s="24" t="s">
        <v>21690</v>
      </c>
      <c r="MIF1" s="24" t="s">
        <v>21691</v>
      </c>
      <c r="MIG1" s="24" t="s">
        <v>21692</v>
      </c>
      <c r="MIH1" s="24" t="s">
        <v>21693</v>
      </c>
      <c r="MII1" s="24" t="s">
        <v>21694</v>
      </c>
      <c r="MIJ1" s="24" t="s">
        <v>21695</v>
      </c>
      <c r="MIK1" s="24" t="s">
        <v>21696</v>
      </c>
      <c r="MIL1" s="24" t="s">
        <v>21697</v>
      </c>
      <c r="MIM1" s="24" t="s">
        <v>21698</v>
      </c>
      <c r="MIN1" s="24" t="s">
        <v>21699</v>
      </c>
      <c r="MIO1" s="24" t="s">
        <v>21700</v>
      </c>
      <c r="MIP1" s="24" t="s">
        <v>21701</v>
      </c>
      <c r="MIQ1" s="24" t="s">
        <v>21702</v>
      </c>
      <c r="MIR1" s="24" t="s">
        <v>21703</v>
      </c>
      <c r="MIS1" s="24" t="s">
        <v>21704</v>
      </c>
      <c r="MIT1" s="24" t="s">
        <v>21705</v>
      </c>
      <c r="MIU1" s="24" t="s">
        <v>21706</v>
      </c>
      <c r="MIV1" s="24" t="s">
        <v>21707</v>
      </c>
      <c r="MIW1" s="24" t="s">
        <v>21708</v>
      </c>
      <c r="MIX1" s="24" t="s">
        <v>21709</v>
      </c>
      <c r="MIY1" s="24" t="s">
        <v>21710</v>
      </c>
      <c r="MIZ1" s="24" t="s">
        <v>21711</v>
      </c>
      <c r="MJA1" s="24" t="s">
        <v>21712</v>
      </c>
      <c r="MJB1" s="24" t="s">
        <v>21713</v>
      </c>
      <c r="MJC1" s="24" t="s">
        <v>21714</v>
      </c>
      <c r="MJD1" s="24" t="s">
        <v>21715</v>
      </c>
      <c r="MJE1" s="24" t="s">
        <v>21716</v>
      </c>
      <c r="MJF1" s="24" t="s">
        <v>21717</v>
      </c>
      <c r="MJG1" s="24" t="s">
        <v>21718</v>
      </c>
      <c r="MJH1" s="24" t="s">
        <v>21719</v>
      </c>
      <c r="MJI1" s="24" t="s">
        <v>21720</v>
      </c>
      <c r="MJJ1" s="24" t="s">
        <v>21721</v>
      </c>
      <c r="MJK1" s="24" t="s">
        <v>21722</v>
      </c>
      <c r="MJL1" s="24" t="s">
        <v>21723</v>
      </c>
      <c r="MJM1" s="24" t="s">
        <v>21724</v>
      </c>
      <c r="MJN1" s="24" t="s">
        <v>21725</v>
      </c>
      <c r="MJO1" s="24" t="s">
        <v>21726</v>
      </c>
      <c r="MJP1" s="24" t="s">
        <v>21727</v>
      </c>
      <c r="MJQ1" s="24" t="s">
        <v>21728</v>
      </c>
      <c r="MJR1" s="24" t="s">
        <v>21729</v>
      </c>
      <c r="MJS1" s="24" t="s">
        <v>21730</v>
      </c>
      <c r="MJT1" s="24" t="s">
        <v>21731</v>
      </c>
      <c r="MJU1" s="24" t="s">
        <v>21732</v>
      </c>
      <c r="MJV1" s="24" t="s">
        <v>21733</v>
      </c>
      <c r="MJW1" s="24" t="s">
        <v>21734</v>
      </c>
      <c r="MJX1" s="24" t="s">
        <v>21735</v>
      </c>
      <c r="MJY1" s="24" t="s">
        <v>21736</v>
      </c>
      <c r="MJZ1" s="24" t="s">
        <v>21737</v>
      </c>
      <c r="MKA1" s="24" t="s">
        <v>21738</v>
      </c>
      <c r="MKB1" s="24" t="s">
        <v>21739</v>
      </c>
      <c r="MKC1" s="24" t="s">
        <v>21740</v>
      </c>
      <c r="MKD1" s="24" t="s">
        <v>21741</v>
      </c>
      <c r="MKE1" s="24" t="s">
        <v>21742</v>
      </c>
      <c r="MKF1" s="24" t="s">
        <v>21743</v>
      </c>
      <c r="MKG1" s="24" t="s">
        <v>21744</v>
      </c>
      <c r="MKH1" s="24" t="s">
        <v>21745</v>
      </c>
      <c r="MKI1" s="24" t="s">
        <v>21746</v>
      </c>
      <c r="MKJ1" s="24" t="s">
        <v>21747</v>
      </c>
      <c r="MKK1" s="24" t="s">
        <v>21748</v>
      </c>
      <c r="MKL1" s="24" t="s">
        <v>21749</v>
      </c>
      <c r="MKM1" s="24" t="s">
        <v>21750</v>
      </c>
      <c r="MKN1" s="24" t="s">
        <v>21751</v>
      </c>
      <c r="MKO1" s="24" t="s">
        <v>21752</v>
      </c>
      <c r="MKP1" s="24" t="s">
        <v>21753</v>
      </c>
      <c r="MKQ1" s="24" t="s">
        <v>21754</v>
      </c>
      <c r="MKR1" s="24" t="s">
        <v>21755</v>
      </c>
      <c r="MKS1" s="24" t="s">
        <v>21756</v>
      </c>
      <c r="MKT1" s="24" t="s">
        <v>21757</v>
      </c>
      <c r="MKU1" s="24" t="s">
        <v>21758</v>
      </c>
      <c r="MKV1" s="24" t="s">
        <v>21759</v>
      </c>
      <c r="MKW1" s="24" t="s">
        <v>21760</v>
      </c>
      <c r="MKX1" s="24" t="s">
        <v>21761</v>
      </c>
      <c r="MKY1" s="24" t="s">
        <v>21762</v>
      </c>
      <c r="MKZ1" s="24" t="s">
        <v>21763</v>
      </c>
      <c r="MLA1" s="24" t="s">
        <v>21764</v>
      </c>
      <c r="MLB1" s="24" t="s">
        <v>21765</v>
      </c>
      <c r="MLC1" s="24" t="s">
        <v>21766</v>
      </c>
      <c r="MLD1" s="24" t="s">
        <v>21767</v>
      </c>
      <c r="MLE1" s="24" t="s">
        <v>21768</v>
      </c>
      <c r="MLF1" s="24" t="s">
        <v>21769</v>
      </c>
      <c r="MLG1" s="24" t="s">
        <v>21770</v>
      </c>
      <c r="MLH1" s="24" t="s">
        <v>21771</v>
      </c>
      <c r="MLI1" s="24" t="s">
        <v>21772</v>
      </c>
      <c r="MLJ1" s="24" t="s">
        <v>21773</v>
      </c>
      <c r="MLK1" s="24" t="s">
        <v>21774</v>
      </c>
      <c r="MLL1" s="24" t="s">
        <v>21775</v>
      </c>
      <c r="MLM1" s="24" t="s">
        <v>21776</v>
      </c>
      <c r="MLN1" s="24" t="s">
        <v>21777</v>
      </c>
      <c r="MLO1" s="24" t="s">
        <v>21778</v>
      </c>
      <c r="MLP1" s="24" t="s">
        <v>21779</v>
      </c>
      <c r="MLQ1" s="24" t="s">
        <v>21780</v>
      </c>
      <c r="MLR1" s="24" t="s">
        <v>21781</v>
      </c>
      <c r="MLS1" s="24" t="s">
        <v>21782</v>
      </c>
      <c r="MLT1" s="24" t="s">
        <v>21783</v>
      </c>
      <c r="MLU1" s="24" t="s">
        <v>21784</v>
      </c>
      <c r="MLV1" s="24" t="s">
        <v>21785</v>
      </c>
      <c r="MLW1" s="24" t="s">
        <v>21786</v>
      </c>
      <c r="MLX1" s="24" t="s">
        <v>21787</v>
      </c>
      <c r="MLY1" s="24" t="s">
        <v>21788</v>
      </c>
      <c r="MLZ1" s="24" t="s">
        <v>21789</v>
      </c>
      <c r="MMA1" s="24" t="s">
        <v>21790</v>
      </c>
      <c r="MMB1" s="24" t="s">
        <v>21791</v>
      </c>
      <c r="MMC1" s="24" t="s">
        <v>21792</v>
      </c>
      <c r="MMD1" s="24" t="s">
        <v>21793</v>
      </c>
      <c r="MME1" s="24" t="s">
        <v>21794</v>
      </c>
      <c r="MMF1" s="24" t="s">
        <v>21795</v>
      </c>
      <c r="MMG1" s="24" t="s">
        <v>21796</v>
      </c>
      <c r="MMH1" s="24" t="s">
        <v>21797</v>
      </c>
      <c r="MMI1" s="24" t="s">
        <v>21798</v>
      </c>
      <c r="MMJ1" s="24" t="s">
        <v>21799</v>
      </c>
      <c r="MMK1" s="24" t="s">
        <v>21800</v>
      </c>
      <c r="MML1" s="24" t="s">
        <v>21801</v>
      </c>
      <c r="MMM1" s="24" t="s">
        <v>21802</v>
      </c>
      <c r="MMN1" s="24" t="s">
        <v>21803</v>
      </c>
      <c r="MMO1" s="24" t="s">
        <v>21804</v>
      </c>
      <c r="MMP1" s="24" t="s">
        <v>21805</v>
      </c>
      <c r="MMQ1" s="24" t="s">
        <v>21806</v>
      </c>
      <c r="MMR1" s="24" t="s">
        <v>21807</v>
      </c>
      <c r="MMS1" s="24" t="s">
        <v>21808</v>
      </c>
      <c r="MMT1" s="24" t="s">
        <v>21809</v>
      </c>
      <c r="MMU1" s="24" t="s">
        <v>21810</v>
      </c>
      <c r="MMV1" s="24" t="s">
        <v>21811</v>
      </c>
      <c r="MMW1" s="24" t="s">
        <v>21812</v>
      </c>
      <c r="MMX1" s="24" t="s">
        <v>21813</v>
      </c>
      <c r="MMY1" s="24" t="s">
        <v>21814</v>
      </c>
      <c r="MMZ1" s="24" t="s">
        <v>21815</v>
      </c>
      <c r="MNA1" s="24" t="s">
        <v>21816</v>
      </c>
      <c r="MNB1" s="24" t="s">
        <v>21817</v>
      </c>
      <c r="MNC1" s="24" t="s">
        <v>21818</v>
      </c>
      <c r="MND1" s="24" t="s">
        <v>21819</v>
      </c>
      <c r="MNE1" s="24" t="s">
        <v>21820</v>
      </c>
      <c r="MNF1" s="24" t="s">
        <v>21821</v>
      </c>
      <c r="MNG1" s="24" t="s">
        <v>21822</v>
      </c>
      <c r="MNH1" s="24" t="s">
        <v>21823</v>
      </c>
      <c r="MNI1" s="24" t="s">
        <v>21824</v>
      </c>
      <c r="MNJ1" s="24" t="s">
        <v>21825</v>
      </c>
      <c r="MNK1" s="24" t="s">
        <v>21826</v>
      </c>
      <c r="MNL1" s="24" t="s">
        <v>21827</v>
      </c>
      <c r="MNM1" s="24" t="s">
        <v>21828</v>
      </c>
      <c r="MNN1" s="24" t="s">
        <v>21829</v>
      </c>
      <c r="MNO1" s="24" t="s">
        <v>21830</v>
      </c>
      <c r="MNP1" s="24" t="s">
        <v>21831</v>
      </c>
      <c r="MNQ1" s="24" t="s">
        <v>21832</v>
      </c>
      <c r="MNR1" s="24" t="s">
        <v>21833</v>
      </c>
      <c r="MNS1" s="24" t="s">
        <v>21834</v>
      </c>
      <c r="MNT1" s="24" t="s">
        <v>21835</v>
      </c>
      <c r="MNU1" s="24" t="s">
        <v>21836</v>
      </c>
      <c r="MNV1" s="24" t="s">
        <v>21837</v>
      </c>
      <c r="MNW1" s="24" t="s">
        <v>21838</v>
      </c>
      <c r="MNX1" s="24" t="s">
        <v>21839</v>
      </c>
      <c r="MNY1" s="24" t="s">
        <v>21840</v>
      </c>
      <c r="MNZ1" s="24" t="s">
        <v>21841</v>
      </c>
      <c r="MOA1" s="24" t="s">
        <v>21842</v>
      </c>
      <c r="MOB1" s="24" t="s">
        <v>21843</v>
      </c>
      <c r="MOC1" s="24" t="s">
        <v>21844</v>
      </c>
      <c r="MOD1" s="24" t="s">
        <v>21845</v>
      </c>
      <c r="MOE1" s="24" t="s">
        <v>21846</v>
      </c>
      <c r="MOF1" s="24" t="s">
        <v>21847</v>
      </c>
      <c r="MOG1" s="24" t="s">
        <v>21848</v>
      </c>
      <c r="MOH1" s="24" t="s">
        <v>21849</v>
      </c>
      <c r="MOI1" s="24" t="s">
        <v>21850</v>
      </c>
      <c r="MOJ1" s="24" t="s">
        <v>21851</v>
      </c>
      <c r="MOK1" s="24" t="s">
        <v>21852</v>
      </c>
      <c r="MOL1" s="24" t="s">
        <v>21853</v>
      </c>
      <c r="MOM1" s="24" t="s">
        <v>21854</v>
      </c>
      <c r="MON1" s="24" t="s">
        <v>21855</v>
      </c>
      <c r="MOO1" s="24" t="s">
        <v>21856</v>
      </c>
      <c r="MOP1" s="24" t="s">
        <v>21857</v>
      </c>
      <c r="MOQ1" s="24" t="s">
        <v>21858</v>
      </c>
      <c r="MOR1" s="24" t="s">
        <v>21859</v>
      </c>
      <c r="MOS1" s="24" t="s">
        <v>21860</v>
      </c>
      <c r="MOT1" s="24" t="s">
        <v>21861</v>
      </c>
      <c r="MOU1" s="24" t="s">
        <v>21862</v>
      </c>
      <c r="MOV1" s="24" t="s">
        <v>21863</v>
      </c>
      <c r="MOW1" s="24" t="s">
        <v>21864</v>
      </c>
      <c r="MOX1" s="24" t="s">
        <v>21865</v>
      </c>
      <c r="MOY1" s="24" t="s">
        <v>21866</v>
      </c>
      <c r="MOZ1" s="24" t="s">
        <v>21867</v>
      </c>
      <c r="MPA1" s="24" t="s">
        <v>21868</v>
      </c>
      <c r="MPB1" s="24" t="s">
        <v>21869</v>
      </c>
      <c r="MPC1" s="24" t="s">
        <v>21870</v>
      </c>
      <c r="MPD1" s="24" t="s">
        <v>21871</v>
      </c>
      <c r="MPE1" s="24" t="s">
        <v>21872</v>
      </c>
      <c r="MPF1" s="24" t="s">
        <v>21873</v>
      </c>
      <c r="MPG1" s="24" t="s">
        <v>21874</v>
      </c>
      <c r="MPH1" s="24" t="s">
        <v>21875</v>
      </c>
      <c r="MPI1" s="24" t="s">
        <v>21876</v>
      </c>
      <c r="MPJ1" s="24" t="s">
        <v>21877</v>
      </c>
      <c r="MPK1" s="24" t="s">
        <v>21878</v>
      </c>
      <c r="MPL1" s="24" t="s">
        <v>21879</v>
      </c>
      <c r="MPM1" s="24" t="s">
        <v>21880</v>
      </c>
      <c r="MPN1" s="24" t="s">
        <v>21881</v>
      </c>
      <c r="MPO1" s="24" t="s">
        <v>21882</v>
      </c>
      <c r="MPP1" s="24" t="s">
        <v>21883</v>
      </c>
      <c r="MPQ1" s="24" t="s">
        <v>21884</v>
      </c>
      <c r="MPR1" s="24" t="s">
        <v>21885</v>
      </c>
      <c r="MPS1" s="24" t="s">
        <v>21886</v>
      </c>
      <c r="MPT1" s="24" t="s">
        <v>21887</v>
      </c>
      <c r="MPU1" s="24" t="s">
        <v>21888</v>
      </c>
      <c r="MPV1" s="24" t="s">
        <v>21889</v>
      </c>
      <c r="MPW1" s="24" t="s">
        <v>21890</v>
      </c>
      <c r="MPX1" s="24" t="s">
        <v>21891</v>
      </c>
      <c r="MPY1" s="24" t="s">
        <v>21892</v>
      </c>
      <c r="MPZ1" s="24" t="s">
        <v>21893</v>
      </c>
      <c r="MQA1" s="24" t="s">
        <v>21894</v>
      </c>
      <c r="MQB1" s="24" t="s">
        <v>21895</v>
      </c>
      <c r="MQC1" s="24" t="s">
        <v>21896</v>
      </c>
      <c r="MQD1" s="24" t="s">
        <v>21897</v>
      </c>
      <c r="MQE1" s="24" t="s">
        <v>21898</v>
      </c>
      <c r="MQF1" s="24" t="s">
        <v>21899</v>
      </c>
      <c r="MQG1" s="24" t="s">
        <v>21900</v>
      </c>
      <c r="MQH1" s="24" t="s">
        <v>21901</v>
      </c>
      <c r="MQI1" s="24" t="s">
        <v>21902</v>
      </c>
      <c r="MQJ1" s="24" t="s">
        <v>21903</v>
      </c>
      <c r="MQK1" s="24" t="s">
        <v>21904</v>
      </c>
      <c r="MQL1" s="24" t="s">
        <v>21905</v>
      </c>
      <c r="MQM1" s="24" t="s">
        <v>21906</v>
      </c>
      <c r="MQN1" s="24" t="s">
        <v>21907</v>
      </c>
      <c r="MQO1" s="24" t="s">
        <v>21908</v>
      </c>
      <c r="MQP1" s="24" t="s">
        <v>21909</v>
      </c>
      <c r="MQQ1" s="24" t="s">
        <v>21910</v>
      </c>
      <c r="MQR1" s="24" t="s">
        <v>21911</v>
      </c>
      <c r="MQS1" s="24" t="s">
        <v>21912</v>
      </c>
      <c r="MQT1" s="24" t="s">
        <v>21913</v>
      </c>
      <c r="MQU1" s="24" t="s">
        <v>21914</v>
      </c>
      <c r="MQV1" s="24" t="s">
        <v>21915</v>
      </c>
      <c r="MQW1" s="24" t="s">
        <v>21916</v>
      </c>
      <c r="MQX1" s="24" t="s">
        <v>21917</v>
      </c>
      <c r="MQY1" s="24" t="s">
        <v>21918</v>
      </c>
      <c r="MQZ1" s="24" t="s">
        <v>21919</v>
      </c>
      <c r="MRA1" s="24" t="s">
        <v>21920</v>
      </c>
      <c r="MRB1" s="24" t="s">
        <v>21921</v>
      </c>
      <c r="MRC1" s="24" t="s">
        <v>21922</v>
      </c>
      <c r="MRD1" s="24" t="s">
        <v>21923</v>
      </c>
      <c r="MRE1" s="24" t="s">
        <v>21924</v>
      </c>
      <c r="MRF1" s="24" t="s">
        <v>21925</v>
      </c>
      <c r="MRG1" s="24" t="s">
        <v>21926</v>
      </c>
      <c r="MRH1" s="24" t="s">
        <v>21927</v>
      </c>
      <c r="MRI1" s="24" t="s">
        <v>21928</v>
      </c>
      <c r="MRJ1" s="24" t="s">
        <v>21929</v>
      </c>
      <c r="MRK1" s="24" t="s">
        <v>21930</v>
      </c>
      <c r="MRL1" s="24" t="s">
        <v>21931</v>
      </c>
      <c r="MRM1" s="24" t="s">
        <v>21932</v>
      </c>
      <c r="MRN1" s="24" t="s">
        <v>21933</v>
      </c>
      <c r="MRO1" s="24" t="s">
        <v>21934</v>
      </c>
      <c r="MRP1" s="24" t="s">
        <v>21935</v>
      </c>
      <c r="MRQ1" s="24" t="s">
        <v>21936</v>
      </c>
      <c r="MRR1" s="24" t="s">
        <v>21937</v>
      </c>
      <c r="MRS1" s="24" t="s">
        <v>21938</v>
      </c>
      <c r="MRT1" s="24" t="s">
        <v>21939</v>
      </c>
      <c r="MRU1" s="24" t="s">
        <v>21940</v>
      </c>
      <c r="MRV1" s="24" t="s">
        <v>21941</v>
      </c>
      <c r="MRW1" s="24" t="s">
        <v>21942</v>
      </c>
      <c r="MRX1" s="24" t="s">
        <v>21943</v>
      </c>
      <c r="MRY1" s="24" t="s">
        <v>21944</v>
      </c>
      <c r="MRZ1" s="24" t="s">
        <v>21945</v>
      </c>
      <c r="MSA1" s="24" t="s">
        <v>21946</v>
      </c>
      <c r="MSB1" s="24" t="s">
        <v>21947</v>
      </c>
      <c r="MSC1" s="24" t="s">
        <v>21948</v>
      </c>
      <c r="MSD1" s="24" t="s">
        <v>21949</v>
      </c>
      <c r="MSE1" s="24" t="s">
        <v>21950</v>
      </c>
      <c r="MSF1" s="24" t="s">
        <v>21951</v>
      </c>
      <c r="MSG1" s="24" t="s">
        <v>21952</v>
      </c>
      <c r="MSH1" s="24" t="s">
        <v>21953</v>
      </c>
      <c r="MSI1" s="24" t="s">
        <v>21954</v>
      </c>
      <c r="MSJ1" s="24" t="s">
        <v>21955</v>
      </c>
      <c r="MSK1" s="24" t="s">
        <v>21956</v>
      </c>
      <c r="MSL1" s="24" t="s">
        <v>21957</v>
      </c>
      <c r="MSM1" s="24" t="s">
        <v>21958</v>
      </c>
      <c r="MSN1" s="24" t="s">
        <v>21959</v>
      </c>
      <c r="MSO1" s="24" t="s">
        <v>21960</v>
      </c>
      <c r="MSP1" s="24" t="s">
        <v>21961</v>
      </c>
      <c r="MSQ1" s="24" t="s">
        <v>21962</v>
      </c>
      <c r="MSR1" s="24" t="s">
        <v>21963</v>
      </c>
      <c r="MSS1" s="24" t="s">
        <v>21964</v>
      </c>
      <c r="MST1" s="24" t="s">
        <v>21965</v>
      </c>
      <c r="MSU1" s="24" t="s">
        <v>21966</v>
      </c>
      <c r="MSV1" s="24" t="s">
        <v>21967</v>
      </c>
      <c r="MSW1" s="24" t="s">
        <v>21968</v>
      </c>
      <c r="MSX1" s="24" t="s">
        <v>21969</v>
      </c>
      <c r="MSY1" s="24" t="s">
        <v>21970</v>
      </c>
      <c r="MSZ1" s="24" t="s">
        <v>21971</v>
      </c>
      <c r="MTA1" s="24" t="s">
        <v>21972</v>
      </c>
      <c r="MTB1" s="24" t="s">
        <v>21973</v>
      </c>
      <c r="MTC1" s="24" t="s">
        <v>21974</v>
      </c>
      <c r="MTD1" s="24" t="s">
        <v>21975</v>
      </c>
      <c r="MTE1" s="24" t="s">
        <v>21976</v>
      </c>
      <c r="MTF1" s="24" t="s">
        <v>21977</v>
      </c>
      <c r="MTG1" s="24" t="s">
        <v>21978</v>
      </c>
      <c r="MTH1" s="24" t="s">
        <v>21979</v>
      </c>
      <c r="MTI1" s="24" t="s">
        <v>21980</v>
      </c>
      <c r="MTJ1" s="24" t="s">
        <v>21981</v>
      </c>
      <c r="MTK1" s="24" t="s">
        <v>21982</v>
      </c>
      <c r="MTL1" s="24" t="s">
        <v>21983</v>
      </c>
      <c r="MTM1" s="24" t="s">
        <v>21984</v>
      </c>
      <c r="MTN1" s="24" t="s">
        <v>21985</v>
      </c>
      <c r="MTO1" s="24" t="s">
        <v>21986</v>
      </c>
      <c r="MTP1" s="24" t="s">
        <v>21987</v>
      </c>
      <c r="MTQ1" s="24" t="s">
        <v>21988</v>
      </c>
      <c r="MTR1" s="24" t="s">
        <v>21989</v>
      </c>
      <c r="MTS1" s="24" t="s">
        <v>21990</v>
      </c>
      <c r="MTT1" s="24" t="s">
        <v>21991</v>
      </c>
      <c r="MTU1" s="24" t="s">
        <v>21992</v>
      </c>
      <c r="MTV1" s="24" t="s">
        <v>21993</v>
      </c>
      <c r="MTW1" s="24" t="s">
        <v>21994</v>
      </c>
      <c r="MTX1" s="24" t="s">
        <v>21995</v>
      </c>
      <c r="MTY1" s="24" t="s">
        <v>21996</v>
      </c>
      <c r="MTZ1" s="24" t="s">
        <v>21997</v>
      </c>
      <c r="MUA1" s="24" t="s">
        <v>21998</v>
      </c>
      <c r="MUB1" s="24" t="s">
        <v>21999</v>
      </c>
      <c r="MUC1" s="24" t="s">
        <v>22000</v>
      </c>
      <c r="MUD1" s="24" t="s">
        <v>22001</v>
      </c>
      <c r="MUE1" s="24" t="s">
        <v>22002</v>
      </c>
      <c r="MUF1" s="24" t="s">
        <v>22003</v>
      </c>
      <c r="MUG1" s="24" t="s">
        <v>22004</v>
      </c>
      <c r="MUH1" s="24" t="s">
        <v>22005</v>
      </c>
      <c r="MUI1" s="24" t="s">
        <v>22006</v>
      </c>
      <c r="MUJ1" s="24" t="s">
        <v>22007</v>
      </c>
      <c r="MUK1" s="24" t="s">
        <v>22008</v>
      </c>
      <c r="MUL1" s="24" t="s">
        <v>22009</v>
      </c>
      <c r="MUM1" s="24" t="s">
        <v>22010</v>
      </c>
      <c r="MUN1" s="24" t="s">
        <v>22011</v>
      </c>
      <c r="MUO1" s="24" t="s">
        <v>22012</v>
      </c>
      <c r="MUP1" s="24" t="s">
        <v>22013</v>
      </c>
      <c r="MUQ1" s="24" t="s">
        <v>22014</v>
      </c>
      <c r="MUR1" s="24" t="s">
        <v>22015</v>
      </c>
      <c r="MUS1" s="24" t="s">
        <v>22016</v>
      </c>
      <c r="MUT1" s="24" t="s">
        <v>22017</v>
      </c>
      <c r="MUU1" s="24" t="s">
        <v>22018</v>
      </c>
      <c r="MUV1" s="24" t="s">
        <v>22019</v>
      </c>
      <c r="MUW1" s="24" t="s">
        <v>22020</v>
      </c>
      <c r="MUX1" s="24" t="s">
        <v>22021</v>
      </c>
      <c r="MUY1" s="24" t="s">
        <v>22022</v>
      </c>
      <c r="MUZ1" s="24" t="s">
        <v>22023</v>
      </c>
      <c r="MVA1" s="24" t="s">
        <v>22024</v>
      </c>
      <c r="MVB1" s="24" t="s">
        <v>22025</v>
      </c>
      <c r="MVC1" s="24" t="s">
        <v>22026</v>
      </c>
      <c r="MVD1" s="24" t="s">
        <v>22027</v>
      </c>
      <c r="MVE1" s="24" t="s">
        <v>22028</v>
      </c>
      <c r="MVF1" s="24" t="s">
        <v>22029</v>
      </c>
      <c r="MVG1" s="24" t="s">
        <v>22030</v>
      </c>
      <c r="MVH1" s="24" t="s">
        <v>22031</v>
      </c>
      <c r="MVI1" s="24" t="s">
        <v>22032</v>
      </c>
      <c r="MVJ1" s="24" t="s">
        <v>22033</v>
      </c>
      <c r="MVK1" s="24" t="s">
        <v>22034</v>
      </c>
      <c r="MVL1" s="24" t="s">
        <v>22035</v>
      </c>
      <c r="MVM1" s="24" t="s">
        <v>22036</v>
      </c>
      <c r="MVN1" s="24" t="s">
        <v>22037</v>
      </c>
      <c r="MVO1" s="24" t="s">
        <v>22038</v>
      </c>
      <c r="MVP1" s="24" t="s">
        <v>22039</v>
      </c>
      <c r="MVQ1" s="24" t="s">
        <v>22040</v>
      </c>
      <c r="MVR1" s="24" t="s">
        <v>22041</v>
      </c>
      <c r="MVS1" s="24" t="s">
        <v>22042</v>
      </c>
      <c r="MVT1" s="24" t="s">
        <v>22043</v>
      </c>
      <c r="MVU1" s="24" t="s">
        <v>22044</v>
      </c>
      <c r="MVV1" s="24" t="s">
        <v>22045</v>
      </c>
      <c r="MVW1" s="24" t="s">
        <v>22046</v>
      </c>
      <c r="MVX1" s="24" t="s">
        <v>22047</v>
      </c>
      <c r="MVY1" s="24" t="s">
        <v>22048</v>
      </c>
      <c r="MVZ1" s="24" t="s">
        <v>22049</v>
      </c>
      <c r="MWA1" s="24" t="s">
        <v>22050</v>
      </c>
      <c r="MWB1" s="24" t="s">
        <v>22051</v>
      </c>
      <c r="MWC1" s="24" t="s">
        <v>22052</v>
      </c>
      <c r="MWD1" s="24" t="s">
        <v>22053</v>
      </c>
      <c r="MWE1" s="24" t="s">
        <v>22054</v>
      </c>
      <c r="MWF1" s="24" t="s">
        <v>22055</v>
      </c>
      <c r="MWG1" s="24" t="s">
        <v>22056</v>
      </c>
      <c r="MWH1" s="24" t="s">
        <v>22057</v>
      </c>
      <c r="MWI1" s="24" t="s">
        <v>22058</v>
      </c>
      <c r="MWJ1" s="24" t="s">
        <v>22059</v>
      </c>
      <c r="MWK1" s="24" t="s">
        <v>22060</v>
      </c>
      <c r="MWL1" s="24" t="s">
        <v>22061</v>
      </c>
      <c r="MWM1" s="24" t="s">
        <v>22062</v>
      </c>
      <c r="MWN1" s="24" t="s">
        <v>22063</v>
      </c>
      <c r="MWO1" s="24" t="s">
        <v>22064</v>
      </c>
      <c r="MWP1" s="24" t="s">
        <v>22065</v>
      </c>
      <c r="MWQ1" s="24" t="s">
        <v>22066</v>
      </c>
      <c r="MWR1" s="24" t="s">
        <v>22067</v>
      </c>
      <c r="MWS1" s="24" t="s">
        <v>22068</v>
      </c>
      <c r="MWT1" s="24" t="s">
        <v>22069</v>
      </c>
      <c r="MWU1" s="24" t="s">
        <v>22070</v>
      </c>
      <c r="MWV1" s="24" t="s">
        <v>22071</v>
      </c>
      <c r="MWW1" s="24" t="s">
        <v>22072</v>
      </c>
      <c r="MWX1" s="24" t="s">
        <v>22073</v>
      </c>
      <c r="MWY1" s="24" t="s">
        <v>22074</v>
      </c>
      <c r="MWZ1" s="24" t="s">
        <v>22075</v>
      </c>
      <c r="MXA1" s="24" t="s">
        <v>22076</v>
      </c>
      <c r="MXB1" s="24" t="s">
        <v>22077</v>
      </c>
      <c r="MXC1" s="24" t="s">
        <v>22078</v>
      </c>
      <c r="MXD1" s="24" t="s">
        <v>22079</v>
      </c>
      <c r="MXE1" s="24" t="s">
        <v>22080</v>
      </c>
      <c r="MXF1" s="24" t="s">
        <v>22081</v>
      </c>
      <c r="MXG1" s="24" t="s">
        <v>22082</v>
      </c>
      <c r="MXH1" s="24" t="s">
        <v>22083</v>
      </c>
      <c r="MXI1" s="24" t="s">
        <v>22084</v>
      </c>
      <c r="MXJ1" s="24" t="s">
        <v>22085</v>
      </c>
      <c r="MXK1" s="24" t="s">
        <v>22086</v>
      </c>
      <c r="MXL1" s="24" t="s">
        <v>22087</v>
      </c>
      <c r="MXM1" s="24" t="s">
        <v>22088</v>
      </c>
      <c r="MXN1" s="24" t="s">
        <v>22089</v>
      </c>
      <c r="MXO1" s="24" t="s">
        <v>22090</v>
      </c>
      <c r="MXP1" s="24" t="s">
        <v>22091</v>
      </c>
      <c r="MXQ1" s="24" t="s">
        <v>22092</v>
      </c>
      <c r="MXR1" s="24" t="s">
        <v>22093</v>
      </c>
      <c r="MXS1" s="24" t="s">
        <v>22094</v>
      </c>
      <c r="MXT1" s="24" t="s">
        <v>22095</v>
      </c>
      <c r="MXU1" s="24" t="s">
        <v>22096</v>
      </c>
      <c r="MXV1" s="24" t="s">
        <v>22097</v>
      </c>
      <c r="MXW1" s="24" t="s">
        <v>22098</v>
      </c>
      <c r="MXX1" s="24" t="s">
        <v>22099</v>
      </c>
      <c r="MXY1" s="24" t="s">
        <v>22100</v>
      </c>
      <c r="MXZ1" s="24" t="s">
        <v>22101</v>
      </c>
      <c r="MYA1" s="24" t="s">
        <v>22102</v>
      </c>
      <c r="MYB1" s="24" t="s">
        <v>22103</v>
      </c>
      <c r="MYC1" s="24" t="s">
        <v>22104</v>
      </c>
      <c r="MYD1" s="24" t="s">
        <v>22105</v>
      </c>
      <c r="MYE1" s="24" t="s">
        <v>22106</v>
      </c>
      <c r="MYF1" s="24" t="s">
        <v>22107</v>
      </c>
      <c r="MYG1" s="24" t="s">
        <v>22108</v>
      </c>
      <c r="MYH1" s="24" t="s">
        <v>22109</v>
      </c>
      <c r="MYI1" s="24" t="s">
        <v>22110</v>
      </c>
      <c r="MYJ1" s="24" t="s">
        <v>22111</v>
      </c>
      <c r="MYK1" s="24" t="s">
        <v>22112</v>
      </c>
      <c r="MYL1" s="24" t="s">
        <v>22113</v>
      </c>
      <c r="MYM1" s="24" t="s">
        <v>22114</v>
      </c>
      <c r="MYN1" s="24" t="s">
        <v>22115</v>
      </c>
      <c r="MYO1" s="24" t="s">
        <v>22116</v>
      </c>
      <c r="MYP1" s="24" t="s">
        <v>22117</v>
      </c>
      <c r="MYQ1" s="24" t="s">
        <v>22118</v>
      </c>
      <c r="MYR1" s="24" t="s">
        <v>22119</v>
      </c>
      <c r="MYS1" s="24" t="s">
        <v>22120</v>
      </c>
      <c r="MYT1" s="24" t="s">
        <v>22121</v>
      </c>
      <c r="MYU1" s="24" t="s">
        <v>22122</v>
      </c>
      <c r="MYV1" s="24" t="s">
        <v>22123</v>
      </c>
      <c r="MYW1" s="24" t="s">
        <v>22124</v>
      </c>
      <c r="MYX1" s="24" t="s">
        <v>22125</v>
      </c>
      <c r="MYY1" s="24" t="s">
        <v>22126</v>
      </c>
      <c r="MYZ1" s="24" t="s">
        <v>22127</v>
      </c>
      <c r="MZA1" s="24" t="s">
        <v>22128</v>
      </c>
      <c r="MZB1" s="24" t="s">
        <v>22129</v>
      </c>
      <c r="MZC1" s="24" t="s">
        <v>22130</v>
      </c>
      <c r="MZD1" s="24" t="s">
        <v>22131</v>
      </c>
      <c r="MZE1" s="24" t="s">
        <v>22132</v>
      </c>
      <c r="MZF1" s="24" t="s">
        <v>22133</v>
      </c>
      <c r="MZG1" s="24" t="s">
        <v>22134</v>
      </c>
      <c r="MZH1" s="24" t="s">
        <v>22135</v>
      </c>
      <c r="MZI1" s="24" t="s">
        <v>22136</v>
      </c>
      <c r="MZJ1" s="24" t="s">
        <v>22137</v>
      </c>
      <c r="MZK1" s="24" t="s">
        <v>22138</v>
      </c>
      <c r="MZL1" s="24" t="s">
        <v>22139</v>
      </c>
      <c r="MZM1" s="24" t="s">
        <v>22140</v>
      </c>
      <c r="MZN1" s="24" t="s">
        <v>22141</v>
      </c>
      <c r="MZO1" s="24" t="s">
        <v>22142</v>
      </c>
      <c r="MZP1" s="24" t="s">
        <v>22143</v>
      </c>
      <c r="MZQ1" s="24" t="s">
        <v>22144</v>
      </c>
      <c r="MZR1" s="24" t="s">
        <v>22145</v>
      </c>
      <c r="MZS1" s="24" t="s">
        <v>22146</v>
      </c>
      <c r="MZT1" s="24" t="s">
        <v>22147</v>
      </c>
      <c r="MZU1" s="24" t="s">
        <v>22148</v>
      </c>
      <c r="MZV1" s="24" t="s">
        <v>22149</v>
      </c>
      <c r="MZW1" s="24" t="s">
        <v>22150</v>
      </c>
      <c r="MZX1" s="24" t="s">
        <v>22151</v>
      </c>
      <c r="MZY1" s="24" t="s">
        <v>22152</v>
      </c>
      <c r="MZZ1" s="24" t="s">
        <v>22153</v>
      </c>
      <c r="NAA1" s="24" t="s">
        <v>22154</v>
      </c>
      <c r="NAB1" s="24" t="s">
        <v>22155</v>
      </c>
      <c r="NAC1" s="24" t="s">
        <v>22156</v>
      </c>
      <c r="NAD1" s="24" t="s">
        <v>22157</v>
      </c>
      <c r="NAE1" s="24" t="s">
        <v>22158</v>
      </c>
      <c r="NAF1" s="24" t="s">
        <v>22159</v>
      </c>
      <c r="NAG1" s="24" t="s">
        <v>22160</v>
      </c>
      <c r="NAH1" s="24" t="s">
        <v>22161</v>
      </c>
      <c r="NAI1" s="24" t="s">
        <v>22162</v>
      </c>
      <c r="NAJ1" s="24" t="s">
        <v>22163</v>
      </c>
      <c r="NAK1" s="24" t="s">
        <v>22164</v>
      </c>
      <c r="NAL1" s="24" t="s">
        <v>22165</v>
      </c>
      <c r="NAM1" s="24" t="s">
        <v>22166</v>
      </c>
      <c r="NAN1" s="24" t="s">
        <v>22167</v>
      </c>
      <c r="NAO1" s="24" t="s">
        <v>22168</v>
      </c>
      <c r="NAP1" s="24" t="s">
        <v>22169</v>
      </c>
      <c r="NAQ1" s="24" t="s">
        <v>22170</v>
      </c>
      <c r="NAR1" s="24" t="s">
        <v>22171</v>
      </c>
      <c r="NAS1" s="24" t="s">
        <v>22172</v>
      </c>
      <c r="NAT1" s="24" t="s">
        <v>22173</v>
      </c>
      <c r="NAU1" s="24" t="s">
        <v>22174</v>
      </c>
      <c r="NAV1" s="24" t="s">
        <v>22175</v>
      </c>
      <c r="NAW1" s="24" t="s">
        <v>22176</v>
      </c>
      <c r="NAX1" s="24" t="s">
        <v>22177</v>
      </c>
      <c r="NAY1" s="24" t="s">
        <v>22178</v>
      </c>
      <c r="NAZ1" s="24" t="s">
        <v>22179</v>
      </c>
      <c r="NBA1" s="24" t="s">
        <v>22180</v>
      </c>
      <c r="NBB1" s="24" t="s">
        <v>22181</v>
      </c>
      <c r="NBC1" s="24" t="s">
        <v>22182</v>
      </c>
      <c r="NBD1" s="24" t="s">
        <v>22183</v>
      </c>
      <c r="NBE1" s="24" t="s">
        <v>22184</v>
      </c>
      <c r="NBF1" s="24" t="s">
        <v>22185</v>
      </c>
      <c r="NBG1" s="24" t="s">
        <v>22186</v>
      </c>
      <c r="NBH1" s="24" t="s">
        <v>22187</v>
      </c>
      <c r="NBI1" s="24" t="s">
        <v>22188</v>
      </c>
      <c r="NBJ1" s="24" t="s">
        <v>22189</v>
      </c>
      <c r="NBK1" s="24" t="s">
        <v>22190</v>
      </c>
      <c r="NBL1" s="24" t="s">
        <v>22191</v>
      </c>
      <c r="NBM1" s="24" t="s">
        <v>22192</v>
      </c>
      <c r="NBN1" s="24" t="s">
        <v>22193</v>
      </c>
      <c r="NBO1" s="24" t="s">
        <v>22194</v>
      </c>
      <c r="NBP1" s="24" t="s">
        <v>22195</v>
      </c>
      <c r="NBQ1" s="24" t="s">
        <v>22196</v>
      </c>
      <c r="NBR1" s="24" t="s">
        <v>22197</v>
      </c>
      <c r="NBS1" s="24" t="s">
        <v>22198</v>
      </c>
      <c r="NBT1" s="24" t="s">
        <v>22199</v>
      </c>
      <c r="NBU1" s="24" t="s">
        <v>22200</v>
      </c>
      <c r="NBV1" s="24" t="s">
        <v>22201</v>
      </c>
      <c r="NBW1" s="24" t="s">
        <v>22202</v>
      </c>
      <c r="NBX1" s="24" t="s">
        <v>22203</v>
      </c>
      <c r="NBY1" s="24" t="s">
        <v>22204</v>
      </c>
      <c r="NBZ1" s="24" t="s">
        <v>22205</v>
      </c>
      <c r="NCA1" s="24" t="s">
        <v>22206</v>
      </c>
      <c r="NCB1" s="24" t="s">
        <v>22207</v>
      </c>
      <c r="NCC1" s="24" t="s">
        <v>22208</v>
      </c>
      <c r="NCD1" s="24" t="s">
        <v>22209</v>
      </c>
      <c r="NCE1" s="24" t="s">
        <v>22210</v>
      </c>
      <c r="NCF1" s="24" t="s">
        <v>22211</v>
      </c>
      <c r="NCG1" s="24" t="s">
        <v>22212</v>
      </c>
      <c r="NCH1" s="24" t="s">
        <v>22213</v>
      </c>
      <c r="NCI1" s="24" t="s">
        <v>22214</v>
      </c>
      <c r="NCJ1" s="24" t="s">
        <v>22215</v>
      </c>
      <c r="NCK1" s="24" t="s">
        <v>22216</v>
      </c>
      <c r="NCL1" s="24" t="s">
        <v>22217</v>
      </c>
      <c r="NCM1" s="24" t="s">
        <v>22218</v>
      </c>
      <c r="NCN1" s="24" t="s">
        <v>22219</v>
      </c>
      <c r="NCO1" s="24" t="s">
        <v>22220</v>
      </c>
      <c r="NCP1" s="24" t="s">
        <v>22221</v>
      </c>
      <c r="NCQ1" s="24" t="s">
        <v>22222</v>
      </c>
      <c r="NCR1" s="24" t="s">
        <v>22223</v>
      </c>
      <c r="NCS1" s="24" t="s">
        <v>22224</v>
      </c>
      <c r="NCT1" s="24" t="s">
        <v>22225</v>
      </c>
      <c r="NCU1" s="24" t="s">
        <v>22226</v>
      </c>
      <c r="NCV1" s="24" t="s">
        <v>22227</v>
      </c>
      <c r="NCW1" s="24" t="s">
        <v>22228</v>
      </c>
      <c r="NCX1" s="24" t="s">
        <v>22229</v>
      </c>
      <c r="NCY1" s="24" t="s">
        <v>22230</v>
      </c>
      <c r="NCZ1" s="24" t="s">
        <v>22231</v>
      </c>
      <c r="NDA1" s="24" t="s">
        <v>22232</v>
      </c>
      <c r="NDB1" s="24" t="s">
        <v>22233</v>
      </c>
      <c r="NDC1" s="24" t="s">
        <v>22234</v>
      </c>
      <c r="NDD1" s="24" t="s">
        <v>22235</v>
      </c>
      <c r="NDE1" s="24" t="s">
        <v>22236</v>
      </c>
      <c r="NDF1" s="24" t="s">
        <v>22237</v>
      </c>
      <c r="NDG1" s="24" t="s">
        <v>22238</v>
      </c>
      <c r="NDH1" s="24" t="s">
        <v>22239</v>
      </c>
      <c r="NDI1" s="24" t="s">
        <v>22240</v>
      </c>
      <c r="NDJ1" s="24" t="s">
        <v>22241</v>
      </c>
      <c r="NDK1" s="24" t="s">
        <v>22242</v>
      </c>
      <c r="NDL1" s="24" t="s">
        <v>22243</v>
      </c>
      <c r="NDM1" s="24" t="s">
        <v>22244</v>
      </c>
      <c r="NDN1" s="24" t="s">
        <v>22245</v>
      </c>
      <c r="NDO1" s="24" t="s">
        <v>22246</v>
      </c>
      <c r="NDP1" s="24" t="s">
        <v>22247</v>
      </c>
      <c r="NDQ1" s="24" t="s">
        <v>22248</v>
      </c>
      <c r="NDR1" s="24" t="s">
        <v>22249</v>
      </c>
      <c r="NDS1" s="24" t="s">
        <v>22250</v>
      </c>
      <c r="NDT1" s="24" t="s">
        <v>22251</v>
      </c>
      <c r="NDU1" s="24" t="s">
        <v>22252</v>
      </c>
      <c r="NDV1" s="24" t="s">
        <v>22253</v>
      </c>
      <c r="NDW1" s="24" t="s">
        <v>22254</v>
      </c>
      <c r="NDX1" s="24" t="s">
        <v>22255</v>
      </c>
      <c r="NDY1" s="24" t="s">
        <v>22256</v>
      </c>
      <c r="NDZ1" s="24" t="s">
        <v>22257</v>
      </c>
      <c r="NEA1" s="24" t="s">
        <v>22258</v>
      </c>
      <c r="NEB1" s="24" t="s">
        <v>22259</v>
      </c>
      <c r="NEC1" s="24" t="s">
        <v>22260</v>
      </c>
      <c r="NED1" s="24" t="s">
        <v>22261</v>
      </c>
      <c r="NEE1" s="24" t="s">
        <v>22262</v>
      </c>
      <c r="NEF1" s="24" t="s">
        <v>22263</v>
      </c>
      <c r="NEG1" s="24" t="s">
        <v>22264</v>
      </c>
      <c r="NEH1" s="24" t="s">
        <v>22265</v>
      </c>
      <c r="NEI1" s="24" t="s">
        <v>22266</v>
      </c>
      <c r="NEJ1" s="24" t="s">
        <v>22267</v>
      </c>
      <c r="NEK1" s="24" t="s">
        <v>22268</v>
      </c>
      <c r="NEL1" s="24" t="s">
        <v>22269</v>
      </c>
      <c r="NEM1" s="24" t="s">
        <v>22270</v>
      </c>
      <c r="NEN1" s="24" t="s">
        <v>22271</v>
      </c>
      <c r="NEO1" s="24" t="s">
        <v>22272</v>
      </c>
      <c r="NEP1" s="24" t="s">
        <v>22273</v>
      </c>
      <c r="NEQ1" s="24" t="s">
        <v>22274</v>
      </c>
      <c r="NER1" s="24" t="s">
        <v>22275</v>
      </c>
      <c r="NES1" s="24" t="s">
        <v>22276</v>
      </c>
      <c r="NET1" s="24" t="s">
        <v>22277</v>
      </c>
      <c r="NEU1" s="24" t="s">
        <v>22278</v>
      </c>
      <c r="NEV1" s="24" t="s">
        <v>22279</v>
      </c>
      <c r="NEW1" s="24" t="s">
        <v>22280</v>
      </c>
      <c r="NEX1" s="24" t="s">
        <v>22281</v>
      </c>
      <c r="NEY1" s="24" t="s">
        <v>22282</v>
      </c>
      <c r="NEZ1" s="24" t="s">
        <v>22283</v>
      </c>
      <c r="NFA1" s="24" t="s">
        <v>22284</v>
      </c>
      <c r="NFB1" s="24" t="s">
        <v>22285</v>
      </c>
      <c r="NFC1" s="24" t="s">
        <v>22286</v>
      </c>
      <c r="NFD1" s="24" t="s">
        <v>22287</v>
      </c>
      <c r="NFE1" s="24" t="s">
        <v>22288</v>
      </c>
      <c r="NFF1" s="24" t="s">
        <v>22289</v>
      </c>
      <c r="NFG1" s="24" t="s">
        <v>22290</v>
      </c>
      <c r="NFH1" s="24" t="s">
        <v>22291</v>
      </c>
      <c r="NFI1" s="24" t="s">
        <v>22292</v>
      </c>
      <c r="NFJ1" s="24" t="s">
        <v>22293</v>
      </c>
      <c r="NFK1" s="24" t="s">
        <v>22294</v>
      </c>
      <c r="NFL1" s="24" t="s">
        <v>22295</v>
      </c>
      <c r="NFM1" s="24" t="s">
        <v>22296</v>
      </c>
      <c r="NFN1" s="24" t="s">
        <v>22297</v>
      </c>
      <c r="NFO1" s="24" t="s">
        <v>22298</v>
      </c>
      <c r="NFP1" s="24" t="s">
        <v>22299</v>
      </c>
      <c r="NFQ1" s="24" t="s">
        <v>22300</v>
      </c>
      <c r="NFR1" s="24" t="s">
        <v>22301</v>
      </c>
      <c r="NFS1" s="24" t="s">
        <v>22302</v>
      </c>
      <c r="NFT1" s="24" t="s">
        <v>22303</v>
      </c>
      <c r="NFU1" s="24" t="s">
        <v>22304</v>
      </c>
      <c r="NFV1" s="24" t="s">
        <v>22305</v>
      </c>
      <c r="NFW1" s="24" t="s">
        <v>22306</v>
      </c>
      <c r="NFX1" s="24" t="s">
        <v>22307</v>
      </c>
      <c r="NFY1" s="24" t="s">
        <v>22308</v>
      </c>
      <c r="NFZ1" s="24" t="s">
        <v>22309</v>
      </c>
      <c r="NGA1" s="24" t="s">
        <v>22310</v>
      </c>
      <c r="NGB1" s="24" t="s">
        <v>22311</v>
      </c>
      <c r="NGC1" s="24" t="s">
        <v>22312</v>
      </c>
      <c r="NGD1" s="24" t="s">
        <v>22313</v>
      </c>
      <c r="NGE1" s="24" t="s">
        <v>22314</v>
      </c>
      <c r="NGF1" s="24" t="s">
        <v>22315</v>
      </c>
      <c r="NGG1" s="24" t="s">
        <v>22316</v>
      </c>
      <c r="NGH1" s="24" t="s">
        <v>22317</v>
      </c>
      <c r="NGI1" s="24" t="s">
        <v>22318</v>
      </c>
      <c r="NGJ1" s="24" t="s">
        <v>22319</v>
      </c>
      <c r="NGK1" s="24" t="s">
        <v>22320</v>
      </c>
      <c r="NGL1" s="24" t="s">
        <v>22321</v>
      </c>
      <c r="NGM1" s="24" t="s">
        <v>22322</v>
      </c>
      <c r="NGN1" s="24" t="s">
        <v>22323</v>
      </c>
      <c r="NGO1" s="24" t="s">
        <v>22324</v>
      </c>
      <c r="NGP1" s="24" t="s">
        <v>22325</v>
      </c>
      <c r="NGQ1" s="24" t="s">
        <v>22326</v>
      </c>
      <c r="NGR1" s="24" t="s">
        <v>22327</v>
      </c>
      <c r="NGS1" s="24" t="s">
        <v>22328</v>
      </c>
      <c r="NGT1" s="24" t="s">
        <v>22329</v>
      </c>
      <c r="NGU1" s="24" t="s">
        <v>22330</v>
      </c>
      <c r="NGV1" s="24" t="s">
        <v>22331</v>
      </c>
      <c r="NGW1" s="24" t="s">
        <v>22332</v>
      </c>
      <c r="NGX1" s="24" t="s">
        <v>22333</v>
      </c>
      <c r="NGY1" s="24" t="s">
        <v>22334</v>
      </c>
      <c r="NGZ1" s="24" t="s">
        <v>22335</v>
      </c>
      <c r="NHA1" s="24" t="s">
        <v>22336</v>
      </c>
      <c r="NHB1" s="24" t="s">
        <v>22337</v>
      </c>
      <c r="NHC1" s="24" t="s">
        <v>22338</v>
      </c>
      <c r="NHD1" s="24" t="s">
        <v>22339</v>
      </c>
      <c r="NHE1" s="24" t="s">
        <v>22340</v>
      </c>
      <c r="NHF1" s="24" t="s">
        <v>22341</v>
      </c>
      <c r="NHG1" s="24" t="s">
        <v>22342</v>
      </c>
      <c r="NHH1" s="24" t="s">
        <v>22343</v>
      </c>
      <c r="NHI1" s="24" t="s">
        <v>22344</v>
      </c>
      <c r="NHJ1" s="24" t="s">
        <v>22345</v>
      </c>
      <c r="NHK1" s="24" t="s">
        <v>22346</v>
      </c>
      <c r="NHL1" s="24" t="s">
        <v>22347</v>
      </c>
      <c r="NHM1" s="24" t="s">
        <v>22348</v>
      </c>
      <c r="NHN1" s="24" t="s">
        <v>22349</v>
      </c>
      <c r="NHO1" s="24" t="s">
        <v>22350</v>
      </c>
      <c r="NHP1" s="24" t="s">
        <v>22351</v>
      </c>
      <c r="NHQ1" s="24" t="s">
        <v>22352</v>
      </c>
      <c r="NHR1" s="24" t="s">
        <v>22353</v>
      </c>
      <c r="NHS1" s="24" t="s">
        <v>22354</v>
      </c>
      <c r="NHT1" s="24" t="s">
        <v>22355</v>
      </c>
      <c r="NHU1" s="24" t="s">
        <v>22356</v>
      </c>
      <c r="NHV1" s="24" t="s">
        <v>22357</v>
      </c>
      <c r="NHW1" s="24" t="s">
        <v>22358</v>
      </c>
      <c r="NHX1" s="24" t="s">
        <v>22359</v>
      </c>
      <c r="NHY1" s="24" t="s">
        <v>22360</v>
      </c>
      <c r="NHZ1" s="24" t="s">
        <v>22361</v>
      </c>
      <c r="NIA1" s="24" t="s">
        <v>22362</v>
      </c>
      <c r="NIB1" s="24" t="s">
        <v>22363</v>
      </c>
      <c r="NIC1" s="24" t="s">
        <v>22364</v>
      </c>
      <c r="NID1" s="24" t="s">
        <v>22365</v>
      </c>
      <c r="NIE1" s="24" t="s">
        <v>22366</v>
      </c>
      <c r="NIF1" s="24" t="s">
        <v>22367</v>
      </c>
      <c r="NIG1" s="24" t="s">
        <v>22368</v>
      </c>
      <c r="NIH1" s="24" t="s">
        <v>22369</v>
      </c>
      <c r="NII1" s="24" t="s">
        <v>22370</v>
      </c>
      <c r="NIJ1" s="24" t="s">
        <v>22371</v>
      </c>
      <c r="NIK1" s="24" t="s">
        <v>22372</v>
      </c>
      <c r="NIL1" s="24" t="s">
        <v>22373</v>
      </c>
      <c r="NIM1" s="24" t="s">
        <v>22374</v>
      </c>
      <c r="NIN1" s="24" t="s">
        <v>22375</v>
      </c>
      <c r="NIO1" s="24" t="s">
        <v>22376</v>
      </c>
      <c r="NIP1" s="24" t="s">
        <v>22377</v>
      </c>
      <c r="NIQ1" s="24" t="s">
        <v>22378</v>
      </c>
      <c r="NIR1" s="24" t="s">
        <v>22379</v>
      </c>
      <c r="NIS1" s="24" t="s">
        <v>22380</v>
      </c>
      <c r="NIT1" s="24" t="s">
        <v>22381</v>
      </c>
      <c r="NIU1" s="24" t="s">
        <v>22382</v>
      </c>
      <c r="NIV1" s="24" t="s">
        <v>22383</v>
      </c>
      <c r="NIW1" s="24" t="s">
        <v>22384</v>
      </c>
      <c r="NIX1" s="24" t="s">
        <v>22385</v>
      </c>
      <c r="NIY1" s="24" t="s">
        <v>22386</v>
      </c>
      <c r="NIZ1" s="24" t="s">
        <v>22387</v>
      </c>
      <c r="NJA1" s="24" t="s">
        <v>22388</v>
      </c>
      <c r="NJB1" s="24" t="s">
        <v>22389</v>
      </c>
      <c r="NJC1" s="24" t="s">
        <v>22390</v>
      </c>
      <c r="NJD1" s="24" t="s">
        <v>22391</v>
      </c>
      <c r="NJE1" s="24" t="s">
        <v>22392</v>
      </c>
      <c r="NJF1" s="24" t="s">
        <v>22393</v>
      </c>
      <c r="NJG1" s="24" t="s">
        <v>22394</v>
      </c>
      <c r="NJH1" s="24" t="s">
        <v>22395</v>
      </c>
      <c r="NJI1" s="24" t="s">
        <v>22396</v>
      </c>
      <c r="NJJ1" s="24" t="s">
        <v>22397</v>
      </c>
      <c r="NJK1" s="24" t="s">
        <v>22398</v>
      </c>
      <c r="NJL1" s="24" t="s">
        <v>22399</v>
      </c>
      <c r="NJM1" s="24" t="s">
        <v>22400</v>
      </c>
      <c r="NJN1" s="24" t="s">
        <v>22401</v>
      </c>
      <c r="NJO1" s="24" t="s">
        <v>22402</v>
      </c>
      <c r="NJP1" s="24" t="s">
        <v>22403</v>
      </c>
      <c r="NJQ1" s="24" t="s">
        <v>22404</v>
      </c>
      <c r="NJR1" s="24" t="s">
        <v>22405</v>
      </c>
      <c r="NJS1" s="24" t="s">
        <v>22406</v>
      </c>
      <c r="NJT1" s="24" t="s">
        <v>22407</v>
      </c>
      <c r="NJU1" s="24" t="s">
        <v>22408</v>
      </c>
      <c r="NJV1" s="24" t="s">
        <v>22409</v>
      </c>
      <c r="NJW1" s="24" t="s">
        <v>22410</v>
      </c>
      <c r="NJX1" s="24" t="s">
        <v>22411</v>
      </c>
      <c r="NJY1" s="24" t="s">
        <v>22412</v>
      </c>
      <c r="NJZ1" s="24" t="s">
        <v>22413</v>
      </c>
      <c r="NKA1" s="24" t="s">
        <v>22414</v>
      </c>
      <c r="NKB1" s="24" t="s">
        <v>22415</v>
      </c>
      <c r="NKC1" s="24" t="s">
        <v>22416</v>
      </c>
      <c r="NKD1" s="24" t="s">
        <v>22417</v>
      </c>
      <c r="NKE1" s="24" t="s">
        <v>22418</v>
      </c>
      <c r="NKF1" s="24" t="s">
        <v>22419</v>
      </c>
      <c r="NKG1" s="24" t="s">
        <v>22420</v>
      </c>
      <c r="NKH1" s="24" t="s">
        <v>22421</v>
      </c>
      <c r="NKI1" s="24" t="s">
        <v>22422</v>
      </c>
      <c r="NKJ1" s="24" t="s">
        <v>22423</v>
      </c>
      <c r="NKK1" s="24" t="s">
        <v>22424</v>
      </c>
      <c r="NKL1" s="24" t="s">
        <v>22425</v>
      </c>
      <c r="NKM1" s="24" t="s">
        <v>22426</v>
      </c>
      <c r="NKN1" s="24" t="s">
        <v>22427</v>
      </c>
      <c r="NKO1" s="24" t="s">
        <v>22428</v>
      </c>
      <c r="NKP1" s="24" t="s">
        <v>22429</v>
      </c>
      <c r="NKQ1" s="24" t="s">
        <v>22430</v>
      </c>
      <c r="NKR1" s="24" t="s">
        <v>22431</v>
      </c>
      <c r="NKS1" s="24" t="s">
        <v>22432</v>
      </c>
      <c r="NKT1" s="24" t="s">
        <v>22433</v>
      </c>
      <c r="NKU1" s="24" t="s">
        <v>22434</v>
      </c>
      <c r="NKV1" s="24" t="s">
        <v>22435</v>
      </c>
      <c r="NKW1" s="24" t="s">
        <v>22436</v>
      </c>
      <c r="NKX1" s="24" t="s">
        <v>22437</v>
      </c>
      <c r="NKY1" s="24" t="s">
        <v>22438</v>
      </c>
      <c r="NKZ1" s="24" t="s">
        <v>22439</v>
      </c>
      <c r="NLA1" s="24" t="s">
        <v>22440</v>
      </c>
      <c r="NLB1" s="24" t="s">
        <v>22441</v>
      </c>
      <c r="NLC1" s="24" t="s">
        <v>22442</v>
      </c>
      <c r="NLD1" s="24" t="s">
        <v>22443</v>
      </c>
      <c r="NLE1" s="24" t="s">
        <v>22444</v>
      </c>
      <c r="NLF1" s="24" t="s">
        <v>22445</v>
      </c>
      <c r="NLG1" s="24" t="s">
        <v>22446</v>
      </c>
      <c r="NLH1" s="24" t="s">
        <v>22447</v>
      </c>
      <c r="NLI1" s="24" t="s">
        <v>22448</v>
      </c>
      <c r="NLJ1" s="24" t="s">
        <v>22449</v>
      </c>
      <c r="NLK1" s="24" t="s">
        <v>22450</v>
      </c>
      <c r="NLL1" s="24" t="s">
        <v>22451</v>
      </c>
      <c r="NLM1" s="24" t="s">
        <v>22452</v>
      </c>
      <c r="NLN1" s="24" t="s">
        <v>22453</v>
      </c>
      <c r="NLO1" s="24" t="s">
        <v>22454</v>
      </c>
      <c r="NLP1" s="24" t="s">
        <v>22455</v>
      </c>
      <c r="NLQ1" s="24" t="s">
        <v>22456</v>
      </c>
      <c r="NLR1" s="24" t="s">
        <v>22457</v>
      </c>
      <c r="NLS1" s="24" t="s">
        <v>22458</v>
      </c>
      <c r="NLT1" s="24" t="s">
        <v>22459</v>
      </c>
      <c r="NLU1" s="24" t="s">
        <v>22460</v>
      </c>
      <c r="NLV1" s="24" t="s">
        <v>22461</v>
      </c>
      <c r="NLW1" s="24" t="s">
        <v>22462</v>
      </c>
      <c r="NLX1" s="24" t="s">
        <v>22463</v>
      </c>
      <c r="NLY1" s="24" t="s">
        <v>22464</v>
      </c>
      <c r="NLZ1" s="24" t="s">
        <v>22465</v>
      </c>
      <c r="NMA1" s="24" t="s">
        <v>22466</v>
      </c>
      <c r="NMB1" s="24" t="s">
        <v>22467</v>
      </c>
      <c r="NMC1" s="24" t="s">
        <v>22468</v>
      </c>
      <c r="NMD1" s="24" t="s">
        <v>22469</v>
      </c>
      <c r="NME1" s="24" t="s">
        <v>22470</v>
      </c>
      <c r="NMF1" s="24" t="s">
        <v>22471</v>
      </c>
      <c r="NMG1" s="24" t="s">
        <v>22472</v>
      </c>
      <c r="NMH1" s="24" t="s">
        <v>22473</v>
      </c>
      <c r="NMI1" s="24" t="s">
        <v>22474</v>
      </c>
      <c r="NMJ1" s="24" t="s">
        <v>22475</v>
      </c>
      <c r="NMK1" s="24" t="s">
        <v>22476</v>
      </c>
      <c r="NML1" s="24" t="s">
        <v>22477</v>
      </c>
      <c r="NMM1" s="24" t="s">
        <v>22478</v>
      </c>
      <c r="NMN1" s="24" t="s">
        <v>22479</v>
      </c>
      <c r="NMO1" s="24" t="s">
        <v>22480</v>
      </c>
      <c r="NMP1" s="24" t="s">
        <v>22481</v>
      </c>
      <c r="NMQ1" s="24" t="s">
        <v>22482</v>
      </c>
      <c r="NMR1" s="24" t="s">
        <v>22483</v>
      </c>
      <c r="NMS1" s="24" t="s">
        <v>22484</v>
      </c>
      <c r="NMT1" s="24" t="s">
        <v>22485</v>
      </c>
      <c r="NMU1" s="24" t="s">
        <v>22486</v>
      </c>
      <c r="NMV1" s="24" t="s">
        <v>22487</v>
      </c>
      <c r="NMW1" s="24" t="s">
        <v>22488</v>
      </c>
      <c r="NMX1" s="24" t="s">
        <v>22489</v>
      </c>
      <c r="NMY1" s="24" t="s">
        <v>22490</v>
      </c>
      <c r="NMZ1" s="24" t="s">
        <v>22491</v>
      </c>
      <c r="NNA1" s="24" t="s">
        <v>22492</v>
      </c>
      <c r="NNB1" s="24" t="s">
        <v>22493</v>
      </c>
      <c r="NNC1" s="24" t="s">
        <v>22494</v>
      </c>
      <c r="NND1" s="24" t="s">
        <v>22495</v>
      </c>
      <c r="NNE1" s="24" t="s">
        <v>22496</v>
      </c>
      <c r="NNF1" s="24" t="s">
        <v>22497</v>
      </c>
      <c r="NNG1" s="24" t="s">
        <v>22498</v>
      </c>
      <c r="NNH1" s="24" t="s">
        <v>22499</v>
      </c>
      <c r="NNI1" s="24" t="s">
        <v>22500</v>
      </c>
      <c r="NNJ1" s="24" t="s">
        <v>22501</v>
      </c>
      <c r="NNK1" s="24" t="s">
        <v>22502</v>
      </c>
      <c r="NNL1" s="24" t="s">
        <v>22503</v>
      </c>
      <c r="NNM1" s="24" t="s">
        <v>22504</v>
      </c>
      <c r="NNN1" s="24" t="s">
        <v>22505</v>
      </c>
      <c r="NNO1" s="24" t="s">
        <v>22506</v>
      </c>
      <c r="NNP1" s="24" t="s">
        <v>22507</v>
      </c>
      <c r="NNQ1" s="24" t="s">
        <v>22508</v>
      </c>
      <c r="NNR1" s="24" t="s">
        <v>22509</v>
      </c>
      <c r="NNS1" s="24" t="s">
        <v>22510</v>
      </c>
      <c r="NNT1" s="24" t="s">
        <v>22511</v>
      </c>
      <c r="NNU1" s="24" t="s">
        <v>22512</v>
      </c>
      <c r="NNV1" s="24" t="s">
        <v>22513</v>
      </c>
      <c r="NNW1" s="24" t="s">
        <v>22514</v>
      </c>
      <c r="NNX1" s="24" t="s">
        <v>22515</v>
      </c>
      <c r="NNY1" s="24" t="s">
        <v>22516</v>
      </c>
      <c r="NNZ1" s="24" t="s">
        <v>22517</v>
      </c>
      <c r="NOA1" s="24" t="s">
        <v>22518</v>
      </c>
      <c r="NOB1" s="24" t="s">
        <v>22519</v>
      </c>
      <c r="NOC1" s="24" t="s">
        <v>22520</v>
      </c>
      <c r="NOD1" s="24" t="s">
        <v>22521</v>
      </c>
      <c r="NOE1" s="24" t="s">
        <v>22522</v>
      </c>
      <c r="NOF1" s="24" t="s">
        <v>22523</v>
      </c>
      <c r="NOG1" s="24" t="s">
        <v>22524</v>
      </c>
      <c r="NOH1" s="24" t="s">
        <v>22525</v>
      </c>
      <c r="NOI1" s="24" t="s">
        <v>22526</v>
      </c>
      <c r="NOJ1" s="24" t="s">
        <v>22527</v>
      </c>
      <c r="NOK1" s="24" t="s">
        <v>22528</v>
      </c>
      <c r="NOL1" s="24" t="s">
        <v>22529</v>
      </c>
      <c r="NOM1" s="24" t="s">
        <v>22530</v>
      </c>
      <c r="NON1" s="24" t="s">
        <v>22531</v>
      </c>
      <c r="NOO1" s="24" t="s">
        <v>22532</v>
      </c>
      <c r="NOP1" s="24" t="s">
        <v>22533</v>
      </c>
      <c r="NOQ1" s="24" t="s">
        <v>22534</v>
      </c>
      <c r="NOR1" s="24" t="s">
        <v>22535</v>
      </c>
      <c r="NOS1" s="24" t="s">
        <v>22536</v>
      </c>
      <c r="NOT1" s="24" t="s">
        <v>22537</v>
      </c>
      <c r="NOU1" s="24" t="s">
        <v>22538</v>
      </c>
      <c r="NOV1" s="24" t="s">
        <v>22539</v>
      </c>
      <c r="NOW1" s="24" t="s">
        <v>22540</v>
      </c>
      <c r="NOX1" s="24" t="s">
        <v>22541</v>
      </c>
      <c r="NOY1" s="24" t="s">
        <v>22542</v>
      </c>
      <c r="NOZ1" s="24" t="s">
        <v>22543</v>
      </c>
      <c r="NPA1" s="24" t="s">
        <v>22544</v>
      </c>
      <c r="NPB1" s="24" t="s">
        <v>22545</v>
      </c>
      <c r="NPC1" s="24" t="s">
        <v>22546</v>
      </c>
      <c r="NPD1" s="24" t="s">
        <v>22547</v>
      </c>
      <c r="NPE1" s="24" t="s">
        <v>22548</v>
      </c>
      <c r="NPF1" s="24" t="s">
        <v>22549</v>
      </c>
      <c r="NPG1" s="24" t="s">
        <v>22550</v>
      </c>
      <c r="NPH1" s="24" t="s">
        <v>22551</v>
      </c>
      <c r="NPI1" s="24" t="s">
        <v>22552</v>
      </c>
      <c r="NPJ1" s="24" t="s">
        <v>22553</v>
      </c>
      <c r="NPK1" s="24" t="s">
        <v>22554</v>
      </c>
      <c r="NPL1" s="24" t="s">
        <v>22555</v>
      </c>
      <c r="NPM1" s="24" t="s">
        <v>22556</v>
      </c>
      <c r="NPN1" s="24" t="s">
        <v>22557</v>
      </c>
      <c r="NPO1" s="24" t="s">
        <v>22558</v>
      </c>
      <c r="NPP1" s="24" t="s">
        <v>22559</v>
      </c>
      <c r="NPQ1" s="24" t="s">
        <v>22560</v>
      </c>
      <c r="NPR1" s="24" t="s">
        <v>22561</v>
      </c>
      <c r="NPS1" s="24" t="s">
        <v>22562</v>
      </c>
      <c r="NPT1" s="24" t="s">
        <v>22563</v>
      </c>
      <c r="NPU1" s="24" t="s">
        <v>22564</v>
      </c>
      <c r="NPV1" s="24" t="s">
        <v>22565</v>
      </c>
      <c r="NPW1" s="24" t="s">
        <v>22566</v>
      </c>
      <c r="NPX1" s="24" t="s">
        <v>22567</v>
      </c>
      <c r="NPY1" s="24" t="s">
        <v>22568</v>
      </c>
      <c r="NPZ1" s="24" t="s">
        <v>22569</v>
      </c>
      <c r="NQA1" s="24" t="s">
        <v>22570</v>
      </c>
      <c r="NQB1" s="24" t="s">
        <v>22571</v>
      </c>
      <c r="NQC1" s="24" t="s">
        <v>22572</v>
      </c>
      <c r="NQD1" s="24" t="s">
        <v>22573</v>
      </c>
      <c r="NQE1" s="24" t="s">
        <v>22574</v>
      </c>
      <c r="NQF1" s="24" t="s">
        <v>22575</v>
      </c>
      <c r="NQG1" s="24" t="s">
        <v>22576</v>
      </c>
      <c r="NQH1" s="24" t="s">
        <v>22577</v>
      </c>
      <c r="NQI1" s="24" t="s">
        <v>22578</v>
      </c>
      <c r="NQJ1" s="24" t="s">
        <v>22579</v>
      </c>
      <c r="NQK1" s="24" t="s">
        <v>22580</v>
      </c>
      <c r="NQL1" s="24" t="s">
        <v>22581</v>
      </c>
      <c r="NQM1" s="24" t="s">
        <v>22582</v>
      </c>
      <c r="NQN1" s="24" t="s">
        <v>22583</v>
      </c>
      <c r="NQO1" s="24" t="s">
        <v>22584</v>
      </c>
      <c r="NQP1" s="24" t="s">
        <v>22585</v>
      </c>
      <c r="NQQ1" s="24" t="s">
        <v>22586</v>
      </c>
      <c r="NQR1" s="24" t="s">
        <v>22587</v>
      </c>
      <c r="NQS1" s="24" t="s">
        <v>22588</v>
      </c>
      <c r="NQT1" s="24" t="s">
        <v>22589</v>
      </c>
      <c r="NQU1" s="24" t="s">
        <v>22590</v>
      </c>
      <c r="NQV1" s="24" t="s">
        <v>22591</v>
      </c>
      <c r="NQW1" s="24" t="s">
        <v>22592</v>
      </c>
      <c r="NQX1" s="24" t="s">
        <v>22593</v>
      </c>
      <c r="NQY1" s="24" t="s">
        <v>22594</v>
      </c>
      <c r="NQZ1" s="24" t="s">
        <v>22595</v>
      </c>
      <c r="NRA1" s="24" t="s">
        <v>22596</v>
      </c>
      <c r="NRB1" s="24" t="s">
        <v>22597</v>
      </c>
      <c r="NRC1" s="24" t="s">
        <v>22598</v>
      </c>
      <c r="NRD1" s="24" t="s">
        <v>22599</v>
      </c>
      <c r="NRE1" s="24" t="s">
        <v>22600</v>
      </c>
      <c r="NRF1" s="24" t="s">
        <v>22601</v>
      </c>
      <c r="NRG1" s="24" t="s">
        <v>22602</v>
      </c>
      <c r="NRH1" s="24" t="s">
        <v>22603</v>
      </c>
      <c r="NRI1" s="24" t="s">
        <v>22604</v>
      </c>
      <c r="NRJ1" s="24" t="s">
        <v>22605</v>
      </c>
      <c r="NRK1" s="24" t="s">
        <v>22606</v>
      </c>
      <c r="NRL1" s="24" t="s">
        <v>22607</v>
      </c>
      <c r="NRM1" s="24" t="s">
        <v>22608</v>
      </c>
      <c r="NRN1" s="24" t="s">
        <v>22609</v>
      </c>
      <c r="NRO1" s="24" t="s">
        <v>22610</v>
      </c>
      <c r="NRP1" s="24" t="s">
        <v>22611</v>
      </c>
      <c r="NRQ1" s="24" t="s">
        <v>22612</v>
      </c>
      <c r="NRR1" s="24" t="s">
        <v>22613</v>
      </c>
      <c r="NRS1" s="24" t="s">
        <v>22614</v>
      </c>
      <c r="NRT1" s="24" t="s">
        <v>22615</v>
      </c>
      <c r="NRU1" s="24" t="s">
        <v>22616</v>
      </c>
      <c r="NRV1" s="24" t="s">
        <v>22617</v>
      </c>
      <c r="NRW1" s="24" t="s">
        <v>22618</v>
      </c>
      <c r="NRX1" s="24" t="s">
        <v>22619</v>
      </c>
      <c r="NRY1" s="24" t="s">
        <v>22620</v>
      </c>
      <c r="NRZ1" s="24" t="s">
        <v>22621</v>
      </c>
      <c r="NSA1" s="24" t="s">
        <v>22622</v>
      </c>
      <c r="NSB1" s="24" t="s">
        <v>22623</v>
      </c>
      <c r="NSC1" s="24" t="s">
        <v>22624</v>
      </c>
      <c r="NSD1" s="24" t="s">
        <v>22625</v>
      </c>
      <c r="NSE1" s="24" t="s">
        <v>22626</v>
      </c>
      <c r="NSF1" s="24" t="s">
        <v>22627</v>
      </c>
      <c r="NSG1" s="24" t="s">
        <v>22628</v>
      </c>
      <c r="NSH1" s="24" t="s">
        <v>22629</v>
      </c>
      <c r="NSI1" s="24" t="s">
        <v>22630</v>
      </c>
      <c r="NSJ1" s="24" t="s">
        <v>22631</v>
      </c>
      <c r="NSK1" s="24" t="s">
        <v>22632</v>
      </c>
      <c r="NSL1" s="24" t="s">
        <v>22633</v>
      </c>
      <c r="NSM1" s="24" t="s">
        <v>22634</v>
      </c>
      <c r="NSN1" s="24" t="s">
        <v>22635</v>
      </c>
      <c r="NSO1" s="24" t="s">
        <v>22636</v>
      </c>
      <c r="NSP1" s="24" t="s">
        <v>22637</v>
      </c>
      <c r="NSQ1" s="24" t="s">
        <v>22638</v>
      </c>
      <c r="NSR1" s="24" t="s">
        <v>22639</v>
      </c>
      <c r="NSS1" s="24" t="s">
        <v>22640</v>
      </c>
      <c r="NST1" s="24" t="s">
        <v>22641</v>
      </c>
      <c r="NSU1" s="24" t="s">
        <v>22642</v>
      </c>
      <c r="NSV1" s="24" t="s">
        <v>22643</v>
      </c>
      <c r="NSW1" s="24" t="s">
        <v>22644</v>
      </c>
      <c r="NSX1" s="24" t="s">
        <v>22645</v>
      </c>
      <c r="NSY1" s="24" t="s">
        <v>22646</v>
      </c>
      <c r="NSZ1" s="24" t="s">
        <v>22647</v>
      </c>
      <c r="NTA1" s="24" t="s">
        <v>22648</v>
      </c>
      <c r="NTB1" s="24" t="s">
        <v>22649</v>
      </c>
      <c r="NTC1" s="24" t="s">
        <v>22650</v>
      </c>
      <c r="NTD1" s="24" t="s">
        <v>22651</v>
      </c>
      <c r="NTE1" s="24" t="s">
        <v>22652</v>
      </c>
      <c r="NTF1" s="24" t="s">
        <v>22653</v>
      </c>
      <c r="NTG1" s="24" t="s">
        <v>22654</v>
      </c>
      <c r="NTH1" s="24" t="s">
        <v>22655</v>
      </c>
      <c r="NTI1" s="24" t="s">
        <v>22656</v>
      </c>
      <c r="NTJ1" s="24" t="s">
        <v>22657</v>
      </c>
      <c r="NTK1" s="24" t="s">
        <v>22658</v>
      </c>
      <c r="NTL1" s="24" t="s">
        <v>22659</v>
      </c>
      <c r="NTM1" s="24" t="s">
        <v>22660</v>
      </c>
      <c r="NTN1" s="24" t="s">
        <v>22661</v>
      </c>
      <c r="NTO1" s="24" t="s">
        <v>22662</v>
      </c>
      <c r="NTP1" s="24" t="s">
        <v>22663</v>
      </c>
      <c r="NTQ1" s="24" t="s">
        <v>22664</v>
      </c>
      <c r="NTR1" s="24" t="s">
        <v>22665</v>
      </c>
      <c r="NTS1" s="24" t="s">
        <v>22666</v>
      </c>
      <c r="NTT1" s="24" t="s">
        <v>22667</v>
      </c>
      <c r="NTU1" s="24" t="s">
        <v>22668</v>
      </c>
      <c r="NTV1" s="24" t="s">
        <v>22669</v>
      </c>
      <c r="NTW1" s="24" t="s">
        <v>22670</v>
      </c>
      <c r="NTX1" s="24" t="s">
        <v>22671</v>
      </c>
      <c r="NTY1" s="24" t="s">
        <v>22672</v>
      </c>
      <c r="NTZ1" s="24" t="s">
        <v>22673</v>
      </c>
      <c r="NUA1" s="24" t="s">
        <v>22674</v>
      </c>
      <c r="NUB1" s="24" t="s">
        <v>22675</v>
      </c>
      <c r="NUC1" s="24" t="s">
        <v>22676</v>
      </c>
      <c r="NUD1" s="24" t="s">
        <v>22677</v>
      </c>
      <c r="NUE1" s="24" t="s">
        <v>22678</v>
      </c>
      <c r="NUF1" s="24" t="s">
        <v>22679</v>
      </c>
      <c r="NUG1" s="24" t="s">
        <v>22680</v>
      </c>
      <c r="NUH1" s="24" t="s">
        <v>22681</v>
      </c>
      <c r="NUI1" s="24" t="s">
        <v>22682</v>
      </c>
      <c r="NUJ1" s="24" t="s">
        <v>22683</v>
      </c>
      <c r="NUK1" s="24" t="s">
        <v>22684</v>
      </c>
      <c r="NUL1" s="24" t="s">
        <v>22685</v>
      </c>
      <c r="NUM1" s="24" t="s">
        <v>22686</v>
      </c>
      <c r="NUN1" s="24" t="s">
        <v>22687</v>
      </c>
      <c r="NUO1" s="24" t="s">
        <v>22688</v>
      </c>
      <c r="NUP1" s="24" t="s">
        <v>22689</v>
      </c>
      <c r="NUQ1" s="24" t="s">
        <v>22690</v>
      </c>
      <c r="NUR1" s="24" t="s">
        <v>22691</v>
      </c>
      <c r="NUS1" s="24" t="s">
        <v>22692</v>
      </c>
      <c r="NUT1" s="24" t="s">
        <v>22693</v>
      </c>
      <c r="NUU1" s="24" t="s">
        <v>22694</v>
      </c>
      <c r="NUV1" s="24" t="s">
        <v>22695</v>
      </c>
      <c r="NUW1" s="24" t="s">
        <v>22696</v>
      </c>
      <c r="NUX1" s="24" t="s">
        <v>22697</v>
      </c>
      <c r="NUY1" s="24" t="s">
        <v>22698</v>
      </c>
      <c r="NUZ1" s="24" t="s">
        <v>22699</v>
      </c>
      <c r="NVA1" s="24" t="s">
        <v>22700</v>
      </c>
      <c r="NVB1" s="24" t="s">
        <v>22701</v>
      </c>
      <c r="NVC1" s="24" t="s">
        <v>22702</v>
      </c>
      <c r="NVD1" s="24" t="s">
        <v>22703</v>
      </c>
      <c r="NVE1" s="24" t="s">
        <v>22704</v>
      </c>
      <c r="NVF1" s="24" t="s">
        <v>22705</v>
      </c>
      <c r="NVG1" s="24" t="s">
        <v>22706</v>
      </c>
      <c r="NVH1" s="24" t="s">
        <v>22707</v>
      </c>
      <c r="NVI1" s="24" t="s">
        <v>22708</v>
      </c>
      <c r="NVJ1" s="24" t="s">
        <v>22709</v>
      </c>
      <c r="NVK1" s="24" t="s">
        <v>22710</v>
      </c>
      <c r="NVL1" s="24" t="s">
        <v>22711</v>
      </c>
      <c r="NVM1" s="24" t="s">
        <v>22712</v>
      </c>
      <c r="NVN1" s="24" t="s">
        <v>22713</v>
      </c>
      <c r="NVO1" s="24" t="s">
        <v>22714</v>
      </c>
      <c r="NVP1" s="24" t="s">
        <v>22715</v>
      </c>
      <c r="NVQ1" s="24" t="s">
        <v>22716</v>
      </c>
      <c r="NVR1" s="24" t="s">
        <v>22717</v>
      </c>
      <c r="NVS1" s="24" t="s">
        <v>22718</v>
      </c>
      <c r="NVT1" s="24" t="s">
        <v>22719</v>
      </c>
      <c r="NVU1" s="24" t="s">
        <v>22720</v>
      </c>
      <c r="NVV1" s="24" t="s">
        <v>22721</v>
      </c>
      <c r="NVW1" s="24" t="s">
        <v>22722</v>
      </c>
      <c r="NVX1" s="24" t="s">
        <v>22723</v>
      </c>
      <c r="NVY1" s="24" t="s">
        <v>22724</v>
      </c>
      <c r="NVZ1" s="24" t="s">
        <v>22725</v>
      </c>
      <c r="NWA1" s="24" t="s">
        <v>22726</v>
      </c>
      <c r="NWB1" s="24" t="s">
        <v>22727</v>
      </c>
      <c r="NWC1" s="24" t="s">
        <v>22728</v>
      </c>
      <c r="NWD1" s="24" t="s">
        <v>22729</v>
      </c>
      <c r="NWE1" s="24" t="s">
        <v>22730</v>
      </c>
      <c r="NWF1" s="24" t="s">
        <v>22731</v>
      </c>
      <c r="NWG1" s="24" t="s">
        <v>22732</v>
      </c>
      <c r="NWH1" s="24" t="s">
        <v>22733</v>
      </c>
      <c r="NWI1" s="24" t="s">
        <v>22734</v>
      </c>
      <c r="NWJ1" s="24" t="s">
        <v>22735</v>
      </c>
      <c r="NWK1" s="24" t="s">
        <v>22736</v>
      </c>
      <c r="NWL1" s="24" t="s">
        <v>22737</v>
      </c>
      <c r="NWM1" s="24" t="s">
        <v>22738</v>
      </c>
      <c r="NWN1" s="24" t="s">
        <v>22739</v>
      </c>
      <c r="NWO1" s="24" t="s">
        <v>22740</v>
      </c>
      <c r="NWP1" s="24" t="s">
        <v>22741</v>
      </c>
      <c r="NWQ1" s="24" t="s">
        <v>22742</v>
      </c>
      <c r="NWR1" s="24" t="s">
        <v>22743</v>
      </c>
      <c r="NWS1" s="24" t="s">
        <v>22744</v>
      </c>
      <c r="NWT1" s="24" t="s">
        <v>22745</v>
      </c>
      <c r="NWU1" s="24" t="s">
        <v>22746</v>
      </c>
      <c r="NWV1" s="24" t="s">
        <v>22747</v>
      </c>
      <c r="NWW1" s="24" t="s">
        <v>22748</v>
      </c>
      <c r="NWX1" s="24" t="s">
        <v>22749</v>
      </c>
      <c r="NWY1" s="24" t="s">
        <v>22750</v>
      </c>
      <c r="NWZ1" s="24" t="s">
        <v>22751</v>
      </c>
      <c r="NXA1" s="24" t="s">
        <v>22752</v>
      </c>
      <c r="NXB1" s="24" t="s">
        <v>22753</v>
      </c>
      <c r="NXC1" s="24" t="s">
        <v>22754</v>
      </c>
      <c r="NXD1" s="24" t="s">
        <v>22755</v>
      </c>
      <c r="NXE1" s="24" t="s">
        <v>22756</v>
      </c>
      <c r="NXF1" s="24" t="s">
        <v>22757</v>
      </c>
      <c r="NXG1" s="24" t="s">
        <v>22758</v>
      </c>
      <c r="NXH1" s="24" t="s">
        <v>22759</v>
      </c>
      <c r="NXI1" s="24" t="s">
        <v>22760</v>
      </c>
      <c r="NXJ1" s="24" t="s">
        <v>22761</v>
      </c>
      <c r="NXK1" s="24" t="s">
        <v>22762</v>
      </c>
      <c r="NXL1" s="24" t="s">
        <v>22763</v>
      </c>
      <c r="NXM1" s="24" t="s">
        <v>22764</v>
      </c>
      <c r="NXN1" s="24" t="s">
        <v>22765</v>
      </c>
      <c r="NXO1" s="24" t="s">
        <v>22766</v>
      </c>
      <c r="NXP1" s="24" t="s">
        <v>22767</v>
      </c>
      <c r="NXQ1" s="24" t="s">
        <v>22768</v>
      </c>
      <c r="NXR1" s="24" t="s">
        <v>22769</v>
      </c>
      <c r="NXS1" s="24" t="s">
        <v>22770</v>
      </c>
      <c r="NXT1" s="24" t="s">
        <v>22771</v>
      </c>
      <c r="NXU1" s="24" t="s">
        <v>22772</v>
      </c>
      <c r="NXV1" s="24" t="s">
        <v>22773</v>
      </c>
      <c r="NXW1" s="24" t="s">
        <v>22774</v>
      </c>
      <c r="NXX1" s="24" t="s">
        <v>22775</v>
      </c>
      <c r="NXY1" s="24" t="s">
        <v>22776</v>
      </c>
      <c r="NXZ1" s="24" t="s">
        <v>22777</v>
      </c>
      <c r="NYA1" s="24" t="s">
        <v>22778</v>
      </c>
      <c r="NYB1" s="24" t="s">
        <v>22779</v>
      </c>
      <c r="NYC1" s="24" t="s">
        <v>22780</v>
      </c>
      <c r="NYD1" s="24" t="s">
        <v>22781</v>
      </c>
      <c r="NYE1" s="24" t="s">
        <v>22782</v>
      </c>
      <c r="NYF1" s="24" t="s">
        <v>22783</v>
      </c>
      <c r="NYG1" s="24" t="s">
        <v>22784</v>
      </c>
      <c r="NYH1" s="24" t="s">
        <v>22785</v>
      </c>
      <c r="NYI1" s="24" t="s">
        <v>22786</v>
      </c>
      <c r="NYJ1" s="24" t="s">
        <v>22787</v>
      </c>
      <c r="NYK1" s="24" t="s">
        <v>22788</v>
      </c>
      <c r="NYL1" s="24" t="s">
        <v>22789</v>
      </c>
      <c r="NYM1" s="24" t="s">
        <v>22790</v>
      </c>
      <c r="NYN1" s="24" t="s">
        <v>22791</v>
      </c>
      <c r="NYO1" s="24" t="s">
        <v>22792</v>
      </c>
      <c r="NYP1" s="24" t="s">
        <v>22793</v>
      </c>
      <c r="NYQ1" s="24" t="s">
        <v>22794</v>
      </c>
      <c r="NYR1" s="24" t="s">
        <v>22795</v>
      </c>
      <c r="NYS1" s="24" t="s">
        <v>22796</v>
      </c>
      <c r="NYT1" s="24" t="s">
        <v>22797</v>
      </c>
      <c r="NYU1" s="24" t="s">
        <v>22798</v>
      </c>
      <c r="NYV1" s="24" t="s">
        <v>22799</v>
      </c>
      <c r="NYW1" s="24" t="s">
        <v>22800</v>
      </c>
      <c r="NYX1" s="24" t="s">
        <v>22801</v>
      </c>
      <c r="NYY1" s="24" t="s">
        <v>22802</v>
      </c>
      <c r="NYZ1" s="24" t="s">
        <v>22803</v>
      </c>
      <c r="NZA1" s="24" t="s">
        <v>22804</v>
      </c>
      <c r="NZB1" s="24" t="s">
        <v>22805</v>
      </c>
      <c r="NZC1" s="24" t="s">
        <v>22806</v>
      </c>
      <c r="NZD1" s="24" t="s">
        <v>22807</v>
      </c>
      <c r="NZE1" s="24" t="s">
        <v>22808</v>
      </c>
      <c r="NZF1" s="24" t="s">
        <v>22809</v>
      </c>
      <c r="NZG1" s="24" t="s">
        <v>22810</v>
      </c>
      <c r="NZH1" s="24" t="s">
        <v>22811</v>
      </c>
      <c r="NZI1" s="24" t="s">
        <v>22812</v>
      </c>
      <c r="NZJ1" s="24" t="s">
        <v>22813</v>
      </c>
      <c r="NZK1" s="24" t="s">
        <v>22814</v>
      </c>
      <c r="NZL1" s="24" t="s">
        <v>22815</v>
      </c>
      <c r="NZM1" s="24" t="s">
        <v>22816</v>
      </c>
      <c r="NZN1" s="24" t="s">
        <v>22817</v>
      </c>
      <c r="NZO1" s="24" t="s">
        <v>22818</v>
      </c>
      <c r="NZP1" s="24" t="s">
        <v>22819</v>
      </c>
      <c r="NZQ1" s="24" t="s">
        <v>22820</v>
      </c>
      <c r="NZR1" s="24" t="s">
        <v>22821</v>
      </c>
      <c r="NZS1" s="24" t="s">
        <v>22822</v>
      </c>
      <c r="NZT1" s="24" t="s">
        <v>22823</v>
      </c>
      <c r="NZU1" s="24" t="s">
        <v>22824</v>
      </c>
      <c r="NZV1" s="24" t="s">
        <v>22825</v>
      </c>
      <c r="NZW1" s="24" t="s">
        <v>22826</v>
      </c>
      <c r="NZX1" s="24" t="s">
        <v>22827</v>
      </c>
      <c r="NZY1" s="24" t="s">
        <v>22828</v>
      </c>
      <c r="NZZ1" s="24" t="s">
        <v>22829</v>
      </c>
      <c r="OAA1" s="24" t="s">
        <v>22830</v>
      </c>
      <c r="OAB1" s="24" t="s">
        <v>22831</v>
      </c>
      <c r="OAC1" s="24" t="s">
        <v>22832</v>
      </c>
      <c r="OAD1" s="24" t="s">
        <v>22833</v>
      </c>
      <c r="OAE1" s="24" t="s">
        <v>22834</v>
      </c>
      <c r="OAF1" s="24" t="s">
        <v>22835</v>
      </c>
      <c r="OAG1" s="24" t="s">
        <v>22836</v>
      </c>
      <c r="OAH1" s="24" t="s">
        <v>22837</v>
      </c>
      <c r="OAI1" s="24" t="s">
        <v>22838</v>
      </c>
      <c r="OAJ1" s="24" t="s">
        <v>22839</v>
      </c>
      <c r="OAK1" s="24" t="s">
        <v>22840</v>
      </c>
      <c r="OAL1" s="24" t="s">
        <v>22841</v>
      </c>
      <c r="OAM1" s="24" t="s">
        <v>22842</v>
      </c>
      <c r="OAN1" s="24" t="s">
        <v>22843</v>
      </c>
      <c r="OAO1" s="24" t="s">
        <v>22844</v>
      </c>
      <c r="OAP1" s="24" t="s">
        <v>22845</v>
      </c>
      <c r="OAQ1" s="24" t="s">
        <v>22846</v>
      </c>
      <c r="OAR1" s="24" t="s">
        <v>22847</v>
      </c>
      <c r="OAS1" s="24" t="s">
        <v>22848</v>
      </c>
      <c r="OAT1" s="24" t="s">
        <v>22849</v>
      </c>
      <c r="OAU1" s="24" t="s">
        <v>22850</v>
      </c>
      <c r="OAV1" s="24" t="s">
        <v>22851</v>
      </c>
      <c r="OAW1" s="24" t="s">
        <v>22852</v>
      </c>
      <c r="OAX1" s="24" t="s">
        <v>22853</v>
      </c>
      <c r="OAY1" s="24" t="s">
        <v>22854</v>
      </c>
      <c r="OAZ1" s="24" t="s">
        <v>22855</v>
      </c>
      <c r="OBA1" s="24" t="s">
        <v>22856</v>
      </c>
      <c r="OBB1" s="24" t="s">
        <v>22857</v>
      </c>
      <c r="OBC1" s="24" t="s">
        <v>22858</v>
      </c>
      <c r="OBD1" s="24" t="s">
        <v>22859</v>
      </c>
      <c r="OBE1" s="24" t="s">
        <v>22860</v>
      </c>
      <c r="OBF1" s="24" t="s">
        <v>22861</v>
      </c>
      <c r="OBG1" s="24" t="s">
        <v>22862</v>
      </c>
      <c r="OBH1" s="24" t="s">
        <v>22863</v>
      </c>
      <c r="OBI1" s="24" t="s">
        <v>22864</v>
      </c>
      <c r="OBJ1" s="24" t="s">
        <v>22865</v>
      </c>
      <c r="OBK1" s="24" t="s">
        <v>22866</v>
      </c>
      <c r="OBL1" s="24" t="s">
        <v>22867</v>
      </c>
      <c r="OBM1" s="24" t="s">
        <v>22868</v>
      </c>
      <c r="OBN1" s="24" t="s">
        <v>22869</v>
      </c>
      <c r="OBO1" s="24" t="s">
        <v>22870</v>
      </c>
      <c r="OBP1" s="24" t="s">
        <v>22871</v>
      </c>
      <c r="OBQ1" s="24" t="s">
        <v>22872</v>
      </c>
      <c r="OBR1" s="24" t="s">
        <v>22873</v>
      </c>
      <c r="OBS1" s="24" t="s">
        <v>22874</v>
      </c>
      <c r="OBT1" s="24" t="s">
        <v>22875</v>
      </c>
      <c r="OBU1" s="24" t="s">
        <v>22876</v>
      </c>
      <c r="OBV1" s="24" t="s">
        <v>22877</v>
      </c>
      <c r="OBW1" s="24" t="s">
        <v>22878</v>
      </c>
      <c r="OBX1" s="24" t="s">
        <v>22879</v>
      </c>
      <c r="OBY1" s="24" t="s">
        <v>22880</v>
      </c>
      <c r="OBZ1" s="24" t="s">
        <v>22881</v>
      </c>
      <c r="OCA1" s="24" t="s">
        <v>22882</v>
      </c>
      <c r="OCB1" s="24" t="s">
        <v>22883</v>
      </c>
      <c r="OCC1" s="24" t="s">
        <v>22884</v>
      </c>
      <c r="OCD1" s="24" t="s">
        <v>22885</v>
      </c>
      <c r="OCE1" s="24" t="s">
        <v>22886</v>
      </c>
      <c r="OCF1" s="24" t="s">
        <v>22887</v>
      </c>
      <c r="OCG1" s="24" t="s">
        <v>22888</v>
      </c>
      <c r="OCH1" s="24" t="s">
        <v>22889</v>
      </c>
      <c r="OCI1" s="24" t="s">
        <v>22890</v>
      </c>
      <c r="OCJ1" s="24" t="s">
        <v>22891</v>
      </c>
      <c r="OCK1" s="24" t="s">
        <v>22892</v>
      </c>
      <c r="OCL1" s="24" t="s">
        <v>22893</v>
      </c>
      <c r="OCM1" s="24" t="s">
        <v>22894</v>
      </c>
      <c r="OCN1" s="24" t="s">
        <v>22895</v>
      </c>
      <c r="OCO1" s="24" t="s">
        <v>22896</v>
      </c>
      <c r="OCP1" s="24" t="s">
        <v>22897</v>
      </c>
      <c r="OCQ1" s="24" t="s">
        <v>22898</v>
      </c>
      <c r="OCR1" s="24" t="s">
        <v>22899</v>
      </c>
      <c r="OCS1" s="24" t="s">
        <v>22900</v>
      </c>
      <c r="OCT1" s="24" t="s">
        <v>22901</v>
      </c>
      <c r="OCU1" s="24" t="s">
        <v>22902</v>
      </c>
      <c r="OCV1" s="24" t="s">
        <v>22903</v>
      </c>
      <c r="OCW1" s="24" t="s">
        <v>22904</v>
      </c>
      <c r="OCX1" s="24" t="s">
        <v>22905</v>
      </c>
      <c r="OCY1" s="24" t="s">
        <v>22906</v>
      </c>
      <c r="OCZ1" s="24" t="s">
        <v>22907</v>
      </c>
      <c r="ODA1" s="24" t="s">
        <v>22908</v>
      </c>
      <c r="ODB1" s="24" t="s">
        <v>22909</v>
      </c>
      <c r="ODC1" s="24" t="s">
        <v>22910</v>
      </c>
      <c r="ODD1" s="24" t="s">
        <v>22911</v>
      </c>
      <c r="ODE1" s="24" t="s">
        <v>22912</v>
      </c>
      <c r="ODF1" s="24" t="s">
        <v>22913</v>
      </c>
      <c r="ODG1" s="24" t="s">
        <v>22914</v>
      </c>
      <c r="ODH1" s="24" t="s">
        <v>22915</v>
      </c>
      <c r="ODI1" s="24" t="s">
        <v>22916</v>
      </c>
      <c r="ODJ1" s="24" t="s">
        <v>22917</v>
      </c>
      <c r="ODK1" s="24" t="s">
        <v>22918</v>
      </c>
      <c r="ODL1" s="24" t="s">
        <v>22919</v>
      </c>
      <c r="ODM1" s="24" t="s">
        <v>22920</v>
      </c>
      <c r="ODN1" s="24" t="s">
        <v>22921</v>
      </c>
      <c r="ODO1" s="24" t="s">
        <v>22922</v>
      </c>
      <c r="ODP1" s="24" t="s">
        <v>22923</v>
      </c>
      <c r="ODQ1" s="24" t="s">
        <v>22924</v>
      </c>
      <c r="ODR1" s="24" t="s">
        <v>22925</v>
      </c>
      <c r="ODS1" s="24" t="s">
        <v>22926</v>
      </c>
      <c r="ODT1" s="24" t="s">
        <v>22927</v>
      </c>
      <c r="ODU1" s="24" t="s">
        <v>22928</v>
      </c>
      <c r="ODV1" s="24" t="s">
        <v>22929</v>
      </c>
      <c r="ODW1" s="24" t="s">
        <v>22930</v>
      </c>
      <c r="ODX1" s="24" t="s">
        <v>22931</v>
      </c>
      <c r="ODY1" s="24" t="s">
        <v>22932</v>
      </c>
      <c r="ODZ1" s="24" t="s">
        <v>22933</v>
      </c>
      <c r="OEA1" s="24" t="s">
        <v>22934</v>
      </c>
      <c r="OEB1" s="24" t="s">
        <v>22935</v>
      </c>
      <c r="OEC1" s="24" t="s">
        <v>22936</v>
      </c>
      <c r="OED1" s="24" t="s">
        <v>22937</v>
      </c>
      <c r="OEE1" s="24" t="s">
        <v>22938</v>
      </c>
      <c r="OEF1" s="24" t="s">
        <v>22939</v>
      </c>
      <c r="OEG1" s="24" t="s">
        <v>22940</v>
      </c>
      <c r="OEH1" s="24" t="s">
        <v>22941</v>
      </c>
      <c r="OEI1" s="24" t="s">
        <v>22942</v>
      </c>
      <c r="OEJ1" s="24" t="s">
        <v>22943</v>
      </c>
      <c r="OEK1" s="24" t="s">
        <v>22944</v>
      </c>
      <c r="OEL1" s="24" t="s">
        <v>22945</v>
      </c>
      <c r="OEM1" s="24" t="s">
        <v>22946</v>
      </c>
      <c r="OEN1" s="24" t="s">
        <v>22947</v>
      </c>
      <c r="OEO1" s="24" t="s">
        <v>22948</v>
      </c>
      <c r="OEP1" s="24" t="s">
        <v>22949</v>
      </c>
      <c r="OEQ1" s="24" t="s">
        <v>22950</v>
      </c>
      <c r="OER1" s="24" t="s">
        <v>22951</v>
      </c>
      <c r="OES1" s="24" t="s">
        <v>22952</v>
      </c>
      <c r="OET1" s="24" t="s">
        <v>22953</v>
      </c>
      <c r="OEU1" s="24" t="s">
        <v>22954</v>
      </c>
      <c r="OEV1" s="24" t="s">
        <v>22955</v>
      </c>
      <c r="OEW1" s="24" t="s">
        <v>22956</v>
      </c>
      <c r="OEX1" s="24" t="s">
        <v>22957</v>
      </c>
      <c r="OEY1" s="24" t="s">
        <v>22958</v>
      </c>
      <c r="OEZ1" s="24" t="s">
        <v>22959</v>
      </c>
      <c r="OFA1" s="24" t="s">
        <v>22960</v>
      </c>
      <c r="OFB1" s="24" t="s">
        <v>22961</v>
      </c>
      <c r="OFC1" s="24" t="s">
        <v>22962</v>
      </c>
      <c r="OFD1" s="24" t="s">
        <v>22963</v>
      </c>
      <c r="OFE1" s="24" t="s">
        <v>22964</v>
      </c>
      <c r="OFF1" s="24" t="s">
        <v>22965</v>
      </c>
      <c r="OFG1" s="24" t="s">
        <v>22966</v>
      </c>
      <c r="OFH1" s="24" t="s">
        <v>22967</v>
      </c>
      <c r="OFI1" s="24" t="s">
        <v>22968</v>
      </c>
      <c r="OFJ1" s="24" t="s">
        <v>22969</v>
      </c>
      <c r="OFK1" s="24" t="s">
        <v>22970</v>
      </c>
      <c r="OFL1" s="24" t="s">
        <v>22971</v>
      </c>
      <c r="OFM1" s="24" t="s">
        <v>22972</v>
      </c>
      <c r="OFN1" s="24" t="s">
        <v>22973</v>
      </c>
      <c r="OFO1" s="24" t="s">
        <v>22974</v>
      </c>
      <c r="OFP1" s="24" t="s">
        <v>22975</v>
      </c>
      <c r="OFQ1" s="24" t="s">
        <v>22976</v>
      </c>
      <c r="OFR1" s="24" t="s">
        <v>22977</v>
      </c>
      <c r="OFS1" s="24" t="s">
        <v>22978</v>
      </c>
      <c r="OFT1" s="24" t="s">
        <v>22979</v>
      </c>
      <c r="OFU1" s="24" t="s">
        <v>22980</v>
      </c>
      <c r="OFV1" s="24" t="s">
        <v>22981</v>
      </c>
      <c r="OFW1" s="24" t="s">
        <v>22982</v>
      </c>
      <c r="OFX1" s="24" t="s">
        <v>22983</v>
      </c>
      <c r="OFY1" s="24" t="s">
        <v>22984</v>
      </c>
      <c r="OFZ1" s="24" t="s">
        <v>22985</v>
      </c>
      <c r="OGA1" s="24" t="s">
        <v>22986</v>
      </c>
      <c r="OGB1" s="24" t="s">
        <v>22987</v>
      </c>
      <c r="OGC1" s="24" t="s">
        <v>22988</v>
      </c>
      <c r="OGD1" s="24" t="s">
        <v>22989</v>
      </c>
      <c r="OGE1" s="24" t="s">
        <v>22990</v>
      </c>
      <c r="OGF1" s="24" t="s">
        <v>22991</v>
      </c>
      <c r="OGG1" s="24" t="s">
        <v>22992</v>
      </c>
      <c r="OGH1" s="24" t="s">
        <v>22993</v>
      </c>
      <c r="OGI1" s="24" t="s">
        <v>22994</v>
      </c>
      <c r="OGJ1" s="24" t="s">
        <v>22995</v>
      </c>
      <c r="OGK1" s="24" t="s">
        <v>22996</v>
      </c>
      <c r="OGL1" s="24" t="s">
        <v>22997</v>
      </c>
      <c r="OGM1" s="24" t="s">
        <v>22998</v>
      </c>
      <c r="OGN1" s="24" t="s">
        <v>22999</v>
      </c>
      <c r="OGO1" s="24" t="s">
        <v>23000</v>
      </c>
      <c r="OGP1" s="24" t="s">
        <v>23001</v>
      </c>
      <c r="OGQ1" s="24" t="s">
        <v>23002</v>
      </c>
      <c r="OGR1" s="24" t="s">
        <v>23003</v>
      </c>
      <c r="OGS1" s="24" t="s">
        <v>23004</v>
      </c>
      <c r="OGT1" s="24" t="s">
        <v>23005</v>
      </c>
      <c r="OGU1" s="24" t="s">
        <v>23006</v>
      </c>
      <c r="OGV1" s="24" t="s">
        <v>23007</v>
      </c>
      <c r="OGW1" s="24" t="s">
        <v>23008</v>
      </c>
      <c r="OGX1" s="24" t="s">
        <v>23009</v>
      </c>
      <c r="OGY1" s="24" t="s">
        <v>23010</v>
      </c>
      <c r="OGZ1" s="24" t="s">
        <v>23011</v>
      </c>
      <c r="OHA1" s="24" t="s">
        <v>23012</v>
      </c>
      <c r="OHB1" s="24" t="s">
        <v>23013</v>
      </c>
      <c r="OHC1" s="24" t="s">
        <v>23014</v>
      </c>
      <c r="OHD1" s="24" t="s">
        <v>23015</v>
      </c>
      <c r="OHE1" s="24" t="s">
        <v>23016</v>
      </c>
      <c r="OHF1" s="24" t="s">
        <v>23017</v>
      </c>
      <c r="OHG1" s="24" t="s">
        <v>23018</v>
      </c>
      <c r="OHH1" s="24" t="s">
        <v>23019</v>
      </c>
      <c r="OHI1" s="24" t="s">
        <v>23020</v>
      </c>
      <c r="OHJ1" s="24" t="s">
        <v>23021</v>
      </c>
      <c r="OHK1" s="24" t="s">
        <v>23022</v>
      </c>
      <c r="OHL1" s="24" t="s">
        <v>23023</v>
      </c>
      <c r="OHM1" s="24" t="s">
        <v>23024</v>
      </c>
      <c r="OHN1" s="24" t="s">
        <v>23025</v>
      </c>
      <c r="OHO1" s="24" t="s">
        <v>23026</v>
      </c>
      <c r="OHP1" s="24" t="s">
        <v>23027</v>
      </c>
      <c r="OHQ1" s="24" t="s">
        <v>23028</v>
      </c>
      <c r="OHR1" s="24" t="s">
        <v>23029</v>
      </c>
      <c r="OHS1" s="24" t="s">
        <v>23030</v>
      </c>
      <c r="OHT1" s="24" t="s">
        <v>23031</v>
      </c>
      <c r="OHU1" s="24" t="s">
        <v>23032</v>
      </c>
      <c r="OHV1" s="24" t="s">
        <v>23033</v>
      </c>
      <c r="OHW1" s="24" t="s">
        <v>23034</v>
      </c>
      <c r="OHX1" s="24" t="s">
        <v>23035</v>
      </c>
      <c r="OHY1" s="24" t="s">
        <v>23036</v>
      </c>
      <c r="OHZ1" s="24" t="s">
        <v>23037</v>
      </c>
      <c r="OIA1" s="24" t="s">
        <v>23038</v>
      </c>
      <c r="OIB1" s="24" t="s">
        <v>23039</v>
      </c>
      <c r="OIC1" s="24" t="s">
        <v>23040</v>
      </c>
      <c r="OID1" s="24" t="s">
        <v>23041</v>
      </c>
      <c r="OIE1" s="24" t="s">
        <v>23042</v>
      </c>
      <c r="OIF1" s="24" t="s">
        <v>23043</v>
      </c>
      <c r="OIG1" s="24" t="s">
        <v>23044</v>
      </c>
      <c r="OIH1" s="24" t="s">
        <v>23045</v>
      </c>
      <c r="OII1" s="24" t="s">
        <v>23046</v>
      </c>
      <c r="OIJ1" s="24" t="s">
        <v>23047</v>
      </c>
      <c r="OIK1" s="24" t="s">
        <v>23048</v>
      </c>
      <c r="OIL1" s="24" t="s">
        <v>23049</v>
      </c>
      <c r="OIM1" s="24" t="s">
        <v>23050</v>
      </c>
      <c r="OIN1" s="24" t="s">
        <v>23051</v>
      </c>
      <c r="OIO1" s="24" t="s">
        <v>23052</v>
      </c>
      <c r="OIP1" s="24" t="s">
        <v>23053</v>
      </c>
      <c r="OIQ1" s="24" t="s">
        <v>23054</v>
      </c>
      <c r="OIR1" s="24" t="s">
        <v>23055</v>
      </c>
      <c r="OIS1" s="24" t="s">
        <v>23056</v>
      </c>
      <c r="OIT1" s="24" t="s">
        <v>23057</v>
      </c>
      <c r="OIU1" s="24" t="s">
        <v>23058</v>
      </c>
      <c r="OIV1" s="24" t="s">
        <v>23059</v>
      </c>
      <c r="OIW1" s="24" t="s">
        <v>23060</v>
      </c>
      <c r="OIX1" s="24" t="s">
        <v>23061</v>
      </c>
      <c r="OIY1" s="24" t="s">
        <v>23062</v>
      </c>
      <c r="OIZ1" s="24" t="s">
        <v>23063</v>
      </c>
      <c r="OJA1" s="24" t="s">
        <v>23064</v>
      </c>
      <c r="OJB1" s="24" t="s">
        <v>23065</v>
      </c>
      <c r="OJC1" s="24" t="s">
        <v>23066</v>
      </c>
      <c r="OJD1" s="24" t="s">
        <v>23067</v>
      </c>
      <c r="OJE1" s="24" t="s">
        <v>23068</v>
      </c>
      <c r="OJF1" s="24" t="s">
        <v>23069</v>
      </c>
      <c r="OJG1" s="24" t="s">
        <v>23070</v>
      </c>
      <c r="OJH1" s="24" t="s">
        <v>23071</v>
      </c>
      <c r="OJI1" s="24" t="s">
        <v>23072</v>
      </c>
      <c r="OJJ1" s="24" t="s">
        <v>23073</v>
      </c>
      <c r="OJK1" s="24" t="s">
        <v>23074</v>
      </c>
      <c r="OJL1" s="24" t="s">
        <v>23075</v>
      </c>
      <c r="OJM1" s="24" t="s">
        <v>23076</v>
      </c>
      <c r="OJN1" s="24" t="s">
        <v>23077</v>
      </c>
      <c r="OJO1" s="24" t="s">
        <v>23078</v>
      </c>
      <c r="OJP1" s="24" t="s">
        <v>23079</v>
      </c>
      <c r="OJQ1" s="24" t="s">
        <v>23080</v>
      </c>
      <c r="OJR1" s="24" t="s">
        <v>23081</v>
      </c>
      <c r="OJS1" s="24" t="s">
        <v>23082</v>
      </c>
      <c r="OJT1" s="24" t="s">
        <v>23083</v>
      </c>
      <c r="OJU1" s="24" t="s">
        <v>23084</v>
      </c>
      <c r="OJV1" s="24" t="s">
        <v>23085</v>
      </c>
      <c r="OJW1" s="24" t="s">
        <v>23086</v>
      </c>
      <c r="OJX1" s="24" t="s">
        <v>23087</v>
      </c>
      <c r="OJY1" s="24" t="s">
        <v>23088</v>
      </c>
      <c r="OJZ1" s="24" t="s">
        <v>23089</v>
      </c>
      <c r="OKA1" s="24" t="s">
        <v>23090</v>
      </c>
      <c r="OKB1" s="24" t="s">
        <v>23091</v>
      </c>
      <c r="OKC1" s="24" t="s">
        <v>23092</v>
      </c>
      <c r="OKD1" s="24" t="s">
        <v>23093</v>
      </c>
      <c r="OKE1" s="24" t="s">
        <v>23094</v>
      </c>
      <c r="OKF1" s="24" t="s">
        <v>23095</v>
      </c>
      <c r="OKG1" s="24" t="s">
        <v>23096</v>
      </c>
      <c r="OKH1" s="24" t="s">
        <v>23097</v>
      </c>
      <c r="OKI1" s="24" t="s">
        <v>23098</v>
      </c>
      <c r="OKJ1" s="24" t="s">
        <v>23099</v>
      </c>
      <c r="OKK1" s="24" t="s">
        <v>23100</v>
      </c>
      <c r="OKL1" s="24" t="s">
        <v>23101</v>
      </c>
      <c r="OKM1" s="24" t="s">
        <v>23102</v>
      </c>
      <c r="OKN1" s="24" t="s">
        <v>23103</v>
      </c>
      <c r="OKO1" s="24" t="s">
        <v>23104</v>
      </c>
      <c r="OKP1" s="24" t="s">
        <v>23105</v>
      </c>
      <c r="OKQ1" s="24" t="s">
        <v>23106</v>
      </c>
      <c r="OKR1" s="24" t="s">
        <v>23107</v>
      </c>
      <c r="OKS1" s="24" t="s">
        <v>23108</v>
      </c>
      <c r="OKT1" s="24" t="s">
        <v>23109</v>
      </c>
      <c r="OKU1" s="24" t="s">
        <v>23110</v>
      </c>
      <c r="OKV1" s="24" t="s">
        <v>23111</v>
      </c>
      <c r="OKW1" s="24" t="s">
        <v>23112</v>
      </c>
      <c r="OKX1" s="24" t="s">
        <v>23113</v>
      </c>
      <c r="OKY1" s="24" t="s">
        <v>23114</v>
      </c>
      <c r="OKZ1" s="24" t="s">
        <v>23115</v>
      </c>
      <c r="OLA1" s="24" t="s">
        <v>23116</v>
      </c>
      <c r="OLB1" s="24" t="s">
        <v>23117</v>
      </c>
      <c r="OLC1" s="24" t="s">
        <v>23118</v>
      </c>
      <c r="OLD1" s="24" t="s">
        <v>23119</v>
      </c>
      <c r="OLE1" s="24" t="s">
        <v>23120</v>
      </c>
      <c r="OLF1" s="24" t="s">
        <v>23121</v>
      </c>
      <c r="OLG1" s="24" t="s">
        <v>23122</v>
      </c>
      <c r="OLH1" s="24" t="s">
        <v>23123</v>
      </c>
      <c r="OLI1" s="24" t="s">
        <v>23124</v>
      </c>
      <c r="OLJ1" s="24" t="s">
        <v>23125</v>
      </c>
      <c r="OLK1" s="24" t="s">
        <v>23126</v>
      </c>
      <c r="OLL1" s="24" t="s">
        <v>23127</v>
      </c>
      <c r="OLM1" s="24" t="s">
        <v>23128</v>
      </c>
      <c r="OLN1" s="24" t="s">
        <v>23129</v>
      </c>
      <c r="OLO1" s="24" t="s">
        <v>23130</v>
      </c>
      <c r="OLP1" s="24" t="s">
        <v>23131</v>
      </c>
      <c r="OLQ1" s="24" t="s">
        <v>23132</v>
      </c>
      <c r="OLR1" s="24" t="s">
        <v>23133</v>
      </c>
      <c r="OLS1" s="24" t="s">
        <v>23134</v>
      </c>
      <c r="OLT1" s="24" t="s">
        <v>23135</v>
      </c>
      <c r="OLU1" s="24" t="s">
        <v>23136</v>
      </c>
      <c r="OLV1" s="24" t="s">
        <v>23137</v>
      </c>
      <c r="OLW1" s="24" t="s">
        <v>23138</v>
      </c>
      <c r="OLX1" s="24" t="s">
        <v>23139</v>
      </c>
      <c r="OLY1" s="24" t="s">
        <v>23140</v>
      </c>
      <c r="OLZ1" s="24" t="s">
        <v>23141</v>
      </c>
      <c r="OMA1" s="24" t="s">
        <v>23142</v>
      </c>
      <c r="OMB1" s="24" t="s">
        <v>23143</v>
      </c>
      <c r="OMC1" s="24" t="s">
        <v>23144</v>
      </c>
      <c r="OMD1" s="24" t="s">
        <v>23145</v>
      </c>
      <c r="OME1" s="24" t="s">
        <v>23146</v>
      </c>
      <c r="OMF1" s="24" t="s">
        <v>23147</v>
      </c>
      <c r="OMG1" s="24" t="s">
        <v>23148</v>
      </c>
      <c r="OMH1" s="24" t="s">
        <v>23149</v>
      </c>
      <c r="OMI1" s="24" t="s">
        <v>23150</v>
      </c>
      <c r="OMJ1" s="24" t="s">
        <v>23151</v>
      </c>
      <c r="OMK1" s="24" t="s">
        <v>23152</v>
      </c>
      <c r="OML1" s="24" t="s">
        <v>23153</v>
      </c>
      <c r="OMM1" s="24" t="s">
        <v>23154</v>
      </c>
      <c r="OMN1" s="24" t="s">
        <v>23155</v>
      </c>
      <c r="OMO1" s="24" t="s">
        <v>23156</v>
      </c>
      <c r="OMP1" s="24" t="s">
        <v>23157</v>
      </c>
      <c r="OMQ1" s="24" t="s">
        <v>23158</v>
      </c>
      <c r="OMR1" s="24" t="s">
        <v>23159</v>
      </c>
      <c r="OMS1" s="24" t="s">
        <v>23160</v>
      </c>
      <c r="OMT1" s="24" t="s">
        <v>23161</v>
      </c>
      <c r="OMU1" s="24" t="s">
        <v>23162</v>
      </c>
      <c r="OMV1" s="24" t="s">
        <v>23163</v>
      </c>
      <c r="OMW1" s="24" t="s">
        <v>23164</v>
      </c>
      <c r="OMX1" s="24" t="s">
        <v>23165</v>
      </c>
      <c r="OMY1" s="24" t="s">
        <v>23166</v>
      </c>
      <c r="OMZ1" s="24" t="s">
        <v>23167</v>
      </c>
      <c r="ONA1" s="24" t="s">
        <v>23168</v>
      </c>
      <c r="ONB1" s="24" t="s">
        <v>23169</v>
      </c>
      <c r="ONC1" s="24" t="s">
        <v>23170</v>
      </c>
      <c r="OND1" s="24" t="s">
        <v>23171</v>
      </c>
      <c r="ONE1" s="24" t="s">
        <v>23172</v>
      </c>
      <c r="ONF1" s="24" t="s">
        <v>23173</v>
      </c>
      <c r="ONG1" s="24" t="s">
        <v>23174</v>
      </c>
      <c r="ONH1" s="24" t="s">
        <v>23175</v>
      </c>
      <c r="ONI1" s="24" t="s">
        <v>23176</v>
      </c>
      <c r="ONJ1" s="24" t="s">
        <v>23177</v>
      </c>
      <c r="ONK1" s="24" t="s">
        <v>23178</v>
      </c>
      <c r="ONL1" s="24" t="s">
        <v>23179</v>
      </c>
      <c r="ONM1" s="24" t="s">
        <v>23180</v>
      </c>
      <c r="ONN1" s="24" t="s">
        <v>23181</v>
      </c>
      <c r="ONO1" s="24" t="s">
        <v>23182</v>
      </c>
      <c r="ONP1" s="24" t="s">
        <v>23183</v>
      </c>
      <c r="ONQ1" s="24" t="s">
        <v>23184</v>
      </c>
      <c r="ONR1" s="24" t="s">
        <v>23185</v>
      </c>
      <c r="ONS1" s="24" t="s">
        <v>23186</v>
      </c>
      <c r="ONT1" s="24" t="s">
        <v>23187</v>
      </c>
      <c r="ONU1" s="24" t="s">
        <v>23188</v>
      </c>
      <c r="ONV1" s="24" t="s">
        <v>23189</v>
      </c>
      <c r="ONW1" s="24" t="s">
        <v>23190</v>
      </c>
      <c r="ONX1" s="24" t="s">
        <v>23191</v>
      </c>
      <c r="ONY1" s="24" t="s">
        <v>23192</v>
      </c>
      <c r="ONZ1" s="24" t="s">
        <v>23193</v>
      </c>
      <c r="OOA1" s="24" t="s">
        <v>23194</v>
      </c>
      <c r="OOB1" s="24" t="s">
        <v>23195</v>
      </c>
      <c r="OOC1" s="24" t="s">
        <v>23196</v>
      </c>
      <c r="OOD1" s="24" t="s">
        <v>23197</v>
      </c>
      <c r="OOE1" s="24" t="s">
        <v>23198</v>
      </c>
      <c r="OOF1" s="24" t="s">
        <v>23199</v>
      </c>
      <c r="OOG1" s="24" t="s">
        <v>23200</v>
      </c>
      <c r="OOH1" s="24" t="s">
        <v>23201</v>
      </c>
      <c r="OOI1" s="24" t="s">
        <v>23202</v>
      </c>
      <c r="OOJ1" s="24" t="s">
        <v>23203</v>
      </c>
      <c r="OOK1" s="24" t="s">
        <v>23204</v>
      </c>
      <c r="OOL1" s="24" t="s">
        <v>23205</v>
      </c>
      <c r="OOM1" s="24" t="s">
        <v>23206</v>
      </c>
      <c r="OON1" s="24" t="s">
        <v>23207</v>
      </c>
      <c r="OOO1" s="24" t="s">
        <v>23208</v>
      </c>
      <c r="OOP1" s="24" t="s">
        <v>23209</v>
      </c>
      <c r="OOQ1" s="24" t="s">
        <v>23210</v>
      </c>
      <c r="OOR1" s="24" t="s">
        <v>23211</v>
      </c>
      <c r="OOS1" s="24" t="s">
        <v>23212</v>
      </c>
      <c r="OOT1" s="24" t="s">
        <v>23213</v>
      </c>
      <c r="OOU1" s="24" t="s">
        <v>23214</v>
      </c>
      <c r="OOV1" s="24" t="s">
        <v>23215</v>
      </c>
      <c r="OOW1" s="24" t="s">
        <v>23216</v>
      </c>
      <c r="OOX1" s="24" t="s">
        <v>23217</v>
      </c>
      <c r="OOY1" s="24" t="s">
        <v>23218</v>
      </c>
      <c r="OOZ1" s="24" t="s">
        <v>23219</v>
      </c>
      <c r="OPA1" s="24" t="s">
        <v>23220</v>
      </c>
      <c r="OPB1" s="24" t="s">
        <v>23221</v>
      </c>
      <c r="OPC1" s="24" t="s">
        <v>23222</v>
      </c>
      <c r="OPD1" s="24" t="s">
        <v>23223</v>
      </c>
      <c r="OPE1" s="24" t="s">
        <v>23224</v>
      </c>
      <c r="OPF1" s="24" t="s">
        <v>23225</v>
      </c>
      <c r="OPG1" s="24" t="s">
        <v>23226</v>
      </c>
      <c r="OPH1" s="24" t="s">
        <v>23227</v>
      </c>
      <c r="OPI1" s="24" t="s">
        <v>23228</v>
      </c>
      <c r="OPJ1" s="24" t="s">
        <v>23229</v>
      </c>
      <c r="OPK1" s="24" t="s">
        <v>23230</v>
      </c>
      <c r="OPL1" s="24" t="s">
        <v>23231</v>
      </c>
      <c r="OPM1" s="24" t="s">
        <v>23232</v>
      </c>
      <c r="OPN1" s="24" t="s">
        <v>23233</v>
      </c>
      <c r="OPO1" s="24" t="s">
        <v>23234</v>
      </c>
      <c r="OPP1" s="24" t="s">
        <v>23235</v>
      </c>
      <c r="OPQ1" s="24" t="s">
        <v>23236</v>
      </c>
      <c r="OPR1" s="24" t="s">
        <v>23237</v>
      </c>
      <c r="OPS1" s="24" t="s">
        <v>23238</v>
      </c>
      <c r="OPT1" s="24" t="s">
        <v>23239</v>
      </c>
      <c r="OPU1" s="24" t="s">
        <v>23240</v>
      </c>
      <c r="OPV1" s="24" t="s">
        <v>23241</v>
      </c>
      <c r="OPW1" s="24" t="s">
        <v>23242</v>
      </c>
      <c r="OPX1" s="24" t="s">
        <v>23243</v>
      </c>
      <c r="OPY1" s="24" t="s">
        <v>23244</v>
      </c>
      <c r="OPZ1" s="24" t="s">
        <v>23245</v>
      </c>
      <c r="OQA1" s="24" t="s">
        <v>23246</v>
      </c>
      <c r="OQB1" s="24" t="s">
        <v>23247</v>
      </c>
      <c r="OQC1" s="24" t="s">
        <v>23248</v>
      </c>
      <c r="OQD1" s="24" t="s">
        <v>23249</v>
      </c>
      <c r="OQE1" s="24" t="s">
        <v>23250</v>
      </c>
      <c r="OQF1" s="24" t="s">
        <v>23251</v>
      </c>
      <c r="OQG1" s="24" t="s">
        <v>23252</v>
      </c>
      <c r="OQH1" s="24" t="s">
        <v>23253</v>
      </c>
      <c r="OQI1" s="24" t="s">
        <v>23254</v>
      </c>
      <c r="OQJ1" s="24" t="s">
        <v>23255</v>
      </c>
      <c r="OQK1" s="24" t="s">
        <v>23256</v>
      </c>
      <c r="OQL1" s="24" t="s">
        <v>23257</v>
      </c>
      <c r="OQM1" s="24" t="s">
        <v>23258</v>
      </c>
      <c r="OQN1" s="24" t="s">
        <v>23259</v>
      </c>
      <c r="OQO1" s="24" t="s">
        <v>23260</v>
      </c>
      <c r="OQP1" s="24" t="s">
        <v>23261</v>
      </c>
      <c r="OQQ1" s="24" t="s">
        <v>23262</v>
      </c>
      <c r="OQR1" s="24" t="s">
        <v>23263</v>
      </c>
      <c r="OQS1" s="24" t="s">
        <v>23264</v>
      </c>
      <c r="OQT1" s="24" t="s">
        <v>23265</v>
      </c>
      <c r="OQU1" s="24" t="s">
        <v>23266</v>
      </c>
      <c r="OQV1" s="24" t="s">
        <v>23267</v>
      </c>
      <c r="OQW1" s="24" t="s">
        <v>23268</v>
      </c>
      <c r="OQX1" s="24" t="s">
        <v>23269</v>
      </c>
      <c r="OQY1" s="24" t="s">
        <v>23270</v>
      </c>
      <c r="OQZ1" s="24" t="s">
        <v>23271</v>
      </c>
      <c r="ORA1" s="24" t="s">
        <v>23272</v>
      </c>
      <c r="ORB1" s="24" t="s">
        <v>23273</v>
      </c>
      <c r="ORC1" s="24" t="s">
        <v>23274</v>
      </c>
      <c r="ORD1" s="24" t="s">
        <v>23275</v>
      </c>
      <c r="ORE1" s="24" t="s">
        <v>23276</v>
      </c>
      <c r="ORF1" s="24" t="s">
        <v>23277</v>
      </c>
      <c r="ORG1" s="24" t="s">
        <v>23278</v>
      </c>
      <c r="ORH1" s="24" t="s">
        <v>23279</v>
      </c>
      <c r="ORI1" s="24" t="s">
        <v>23280</v>
      </c>
      <c r="ORJ1" s="24" t="s">
        <v>23281</v>
      </c>
      <c r="ORK1" s="24" t="s">
        <v>23282</v>
      </c>
      <c r="ORL1" s="24" t="s">
        <v>23283</v>
      </c>
      <c r="ORM1" s="24" t="s">
        <v>23284</v>
      </c>
      <c r="ORN1" s="24" t="s">
        <v>23285</v>
      </c>
      <c r="ORO1" s="24" t="s">
        <v>23286</v>
      </c>
      <c r="ORP1" s="24" t="s">
        <v>23287</v>
      </c>
      <c r="ORQ1" s="24" t="s">
        <v>23288</v>
      </c>
      <c r="ORR1" s="24" t="s">
        <v>23289</v>
      </c>
      <c r="ORS1" s="24" t="s">
        <v>23290</v>
      </c>
      <c r="ORT1" s="24" t="s">
        <v>23291</v>
      </c>
      <c r="ORU1" s="24" t="s">
        <v>23292</v>
      </c>
      <c r="ORV1" s="24" t="s">
        <v>23293</v>
      </c>
      <c r="ORW1" s="24" t="s">
        <v>23294</v>
      </c>
      <c r="ORX1" s="24" t="s">
        <v>23295</v>
      </c>
      <c r="ORY1" s="24" t="s">
        <v>23296</v>
      </c>
      <c r="ORZ1" s="24" t="s">
        <v>23297</v>
      </c>
      <c r="OSA1" s="24" t="s">
        <v>23298</v>
      </c>
      <c r="OSB1" s="24" t="s">
        <v>23299</v>
      </c>
      <c r="OSC1" s="24" t="s">
        <v>23300</v>
      </c>
      <c r="OSD1" s="24" t="s">
        <v>23301</v>
      </c>
      <c r="OSE1" s="24" t="s">
        <v>23302</v>
      </c>
      <c r="OSF1" s="24" t="s">
        <v>23303</v>
      </c>
      <c r="OSG1" s="24" t="s">
        <v>23304</v>
      </c>
      <c r="OSH1" s="24" t="s">
        <v>23305</v>
      </c>
      <c r="OSI1" s="24" t="s">
        <v>23306</v>
      </c>
      <c r="OSJ1" s="24" t="s">
        <v>23307</v>
      </c>
      <c r="OSK1" s="24" t="s">
        <v>23308</v>
      </c>
      <c r="OSL1" s="24" t="s">
        <v>23309</v>
      </c>
      <c r="OSM1" s="24" t="s">
        <v>23310</v>
      </c>
      <c r="OSN1" s="24" t="s">
        <v>23311</v>
      </c>
      <c r="OSO1" s="24" t="s">
        <v>23312</v>
      </c>
      <c r="OSP1" s="24" t="s">
        <v>23313</v>
      </c>
      <c r="OSQ1" s="24" t="s">
        <v>23314</v>
      </c>
      <c r="OSR1" s="24" t="s">
        <v>23315</v>
      </c>
      <c r="OSS1" s="24" t="s">
        <v>23316</v>
      </c>
      <c r="OST1" s="24" t="s">
        <v>23317</v>
      </c>
      <c r="OSU1" s="24" t="s">
        <v>23318</v>
      </c>
      <c r="OSV1" s="24" t="s">
        <v>23319</v>
      </c>
      <c r="OSW1" s="24" t="s">
        <v>23320</v>
      </c>
      <c r="OSX1" s="24" t="s">
        <v>23321</v>
      </c>
      <c r="OSY1" s="24" t="s">
        <v>23322</v>
      </c>
      <c r="OSZ1" s="24" t="s">
        <v>23323</v>
      </c>
      <c r="OTA1" s="24" t="s">
        <v>23324</v>
      </c>
      <c r="OTB1" s="24" t="s">
        <v>23325</v>
      </c>
      <c r="OTC1" s="24" t="s">
        <v>23326</v>
      </c>
      <c r="OTD1" s="24" t="s">
        <v>23327</v>
      </c>
      <c r="OTE1" s="24" t="s">
        <v>23328</v>
      </c>
      <c r="OTF1" s="24" t="s">
        <v>23329</v>
      </c>
      <c r="OTG1" s="24" t="s">
        <v>23330</v>
      </c>
      <c r="OTH1" s="24" t="s">
        <v>23331</v>
      </c>
      <c r="OTI1" s="24" t="s">
        <v>23332</v>
      </c>
      <c r="OTJ1" s="24" t="s">
        <v>23333</v>
      </c>
      <c r="OTK1" s="24" t="s">
        <v>23334</v>
      </c>
      <c r="OTL1" s="24" t="s">
        <v>23335</v>
      </c>
      <c r="OTM1" s="24" t="s">
        <v>23336</v>
      </c>
      <c r="OTN1" s="24" t="s">
        <v>23337</v>
      </c>
      <c r="OTO1" s="24" t="s">
        <v>23338</v>
      </c>
      <c r="OTP1" s="24" t="s">
        <v>23339</v>
      </c>
      <c r="OTQ1" s="24" t="s">
        <v>23340</v>
      </c>
      <c r="OTR1" s="24" t="s">
        <v>23341</v>
      </c>
      <c r="OTS1" s="24" t="s">
        <v>23342</v>
      </c>
      <c r="OTT1" s="24" t="s">
        <v>23343</v>
      </c>
      <c r="OTU1" s="24" t="s">
        <v>23344</v>
      </c>
      <c r="OTV1" s="24" t="s">
        <v>23345</v>
      </c>
      <c r="OTW1" s="24" t="s">
        <v>23346</v>
      </c>
      <c r="OTX1" s="24" t="s">
        <v>23347</v>
      </c>
      <c r="OTY1" s="24" t="s">
        <v>23348</v>
      </c>
      <c r="OTZ1" s="24" t="s">
        <v>23349</v>
      </c>
      <c r="OUA1" s="24" t="s">
        <v>23350</v>
      </c>
      <c r="OUB1" s="24" t="s">
        <v>23351</v>
      </c>
      <c r="OUC1" s="24" t="s">
        <v>23352</v>
      </c>
      <c r="OUD1" s="24" t="s">
        <v>23353</v>
      </c>
      <c r="OUE1" s="24" t="s">
        <v>23354</v>
      </c>
      <c r="OUF1" s="24" t="s">
        <v>23355</v>
      </c>
      <c r="OUG1" s="24" t="s">
        <v>23356</v>
      </c>
      <c r="OUH1" s="24" t="s">
        <v>23357</v>
      </c>
      <c r="OUI1" s="24" t="s">
        <v>23358</v>
      </c>
      <c r="OUJ1" s="24" t="s">
        <v>23359</v>
      </c>
      <c r="OUK1" s="24" t="s">
        <v>23360</v>
      </c>
      <c r="OUL1" s="24" t="s">
        <v>23361</v>
      </c>
      <c r="OUM1" s="24" t="s">
        <v>23362</v>
      </c>
      <c r="OUN1" s="24" t="s">
        <v>23363</v>
      </c>
      <c r="OUO1" s="24" t="s">
        <v>23364</v>
      </c>
      <c r="OUP1" s="24" t="s">
        <v>23365</v>
      </c>
      <c r="OUQ1" s="24" t="s">
        <v>23366</v>
      </c>
      <c r="OUR1" s="24" t="s">
        <v>23367</v>
      </c>
      <c r="OUS1" s="24" t="s">
        <v>23368</v>
      </c>
      <c r="OUT1" s="24" t="s">
        <v>23369</v>
      </c>
      <c r="OUU1" s="24" t="s">
        <v>23370</v>
      </c>
      <c r="OUV1" s="24" t="s">
        <v>23371</v>
      </c>
      <c r="OUW1" s="24" t="s">
        <v>23372</v>
      </c>
      <c r="OUX1" s="24" t="s">
        <v>23373</v>
      </c>
      <c r="OUY1" s="24" t="s">
        <v>23374</v>
      </c>
      <c r="OUZ1" s="24" t="s">
        <v>23375</v>
      </c>
      <c r="OVA1" s="24" t="s">
        <v>23376</v>
      </c>
      <c r="OVB1" s="24" t="s">
        <v>23377</v>
      </c>
      <c r="OVC1" s="24" t="s">
        <v>23378</v>
      </c>
      <c r="OVD1" s="24" t="s">
        <v>23379</v>
      </c>
      <c r="OVE1" s="24" t="s">
        <v>23380</v>
      </c>
      <c r="OVF1" s="24" t="s">
        <v>23381</v>
      </c>
      <c r="OVG1" s="24" t="s">
        <v>23382</v>
      </c>
      <c r="OVH1" s="24" t="s">
        <v>23383</v>
      </c>
      <c r="OVI1" s="24" t="s">
        <v>23384</v>
      </c>
      <c r="OVJ1" s="24" t="s">
        <v>23385</v>
      </c>
      <c r="OVK1" s="24" t="s">
        <v>23386</v>
      </c>
      <c r="OVL1" s="24" t="s">
        <v>23387</v>
      </c>
      <c r="OVM1" s="24" t="s">
        <v>23388</v>
      </c>
      <c r="OVN1" s="24" t="s">
        <v>23389</v>
      </c>
      <c r="OVO1" s="24" t="s">
        <v>23390</v>
      </c>
      <c r="OVP1" s="24" t="s">
        <v>23391</v>
      </c>
      <c r="OVQ1" s="24" t="s">
        <v>23392</v>
      </c>
      <c r="OVR1" s="24" t="s">
        <v>23393</v>
      </c>
      <c r="OVS1" s="24" t="s">
        <v>23394</v>
      </c>
      <c r="OVT1" s="24" t="s">
        <v>23395</v>
      </c>
      <c r="OVU1" s="24" t="s">
        <v>23396</v>
      </c>
      <c r="OVV1" s="24" t="s">
        <v>23397</v>
      </c>
      <c r="OVW1" s="24" t="s">
        <v>23398</v>
      </c>
      <c r="OVX1" s="24" t="s">
        <v>23399</v>
      </c>
      <c r="OVY1" s="24" t="s">
        <v>23400</v>
      </c>
      <c r="OVZ1" s="24" t="s">
        <v>23401</v>
      </c>
      <c r="OWA1" s="24" t="s">
        <v>23402</v>
      </c>
      <c r="OWB1" s="24" t="s">
        <v>23403</v>
      </c>
      <c r="OWC1" s="24" t="s">
        <v>23404</v>
      </c>
      <c r="OWD1" s="24" t="s">
        <v>23405</v>
      </c>
      <c r="OWE1" s="24" t="s">
        <v>23406</v>
      </c>
      <c r="OWF1" s="24" t="s">
        <v>23407</v>
      </c>
      <c r="OWG1" s="24" t="s">
        <v>23408</v>
      </c>
      <c r="OWH1" s="24" t="s">
        <v>23409</v>
      </c>
      <c r="OWI1" s="24" t="s">
        <v>23410</v>
      </c>
      <c r="OWJ1" s="24" t="s">
        <v>23411</v>
      </c>
      <c r="OWK1" s="24" t="s">
        <v>23412</v>
      </c>
      <c r="OWL1" s="24" t="s">
        <v>23413</v>
      </c>
      <c r="OWM1" s="24" t="s">
        <v>23414</v>
      </c>
      <c r="OWN1" s="24" t="s">
        <v>23415</v>
      </c>
      <c r="OWO1" s="24" t="s">
        <v>23416</v>
      </c>
      <c r="OWP1" s="24" t="s">
        <v>23417</v>
      </c>
      <c r="OWQ1" s="24" t="s">
        <v>23418</v>
      </c>
      <c r="OWR1" s="24" t="s">
        <v>23419</v>
      </c>
      <c r="OWS1" s="24" t="s">
        <v>23420</v>
      </c>
      <c r="OWT1" s="24" t="s">
        <v>23421</v>
      </c>
      <c r="OWU1" s="24" t="s">
        <v>23422</v>
      </c>
      <c r="OWV1" s="24" t="s">
        <v>23423</v>
      </c>
      <c r="OWW1" s="24" t="s">
        <v>23424</v>
      </c>
      <c r="OWX1" s="24" t="s">
        <v>23425</v>
      </c>
      <c r="OWY1" s="24" t="s">
        <v>23426</v>
      </c>
      <c r="OWZ1" s="24" t="s">
        <v>23427</v>
      </c>
      <c r="OXA1" s="24" t="s">
        <v>23428</v>
      </c>
      <c r="OXB1" s="24" t="s">
        <v>23429</v>
      </c>
      <c r="OXC1" s="24" t="s">
        <v>23430</v>
      </c>
      <c r="OXD1" s="24" t="s">
        <v>23431</v>
      </c>
      <c r="OXE1" s="24" t="s">
        <v>23432</v>
      </c>
      <c r="OXF1" s="24" t="s">
        <v>23433</v>
      </c>
      <c r="OXG1" s="24" t="s">
        <v>23434</v>
      </c>
      <c r="OXH1" s="24" t="s">
        <v>23435</v>
      </c>
      <c r="OXI1" s="24" t="s">
        <v>23436</v>
      </c>
      <c r="OXJ1" s="24" t="s">
        <v>23437</v>
      </c>
      <c r="OXK1" s="24" t="s">
        <v>23438</v>
      </c>
      <c r="OXL1" s="24" t="s">
        <v>23439</v>
      </c>
      <c r="OXM1" s="24" t="s">
        <v>23440</v>
      </c>
      <c r="OXN1" s="24" t="s">
        <v>23441</v>
      </c>
      <c r="OXO1" s="24" t="s">
        <v>23442</v>
      </c>
      <c r="OXP1" s="24" t="s">
        <v>23443</v>
      </c>
      <c r="OXQ1" s="24" t="s">
        <v>23444</v>
      </c>
      <c r="OXR1" s="24" t="s">
        <v>23445</v>
      </c>
      <c r="OXS1" s="24" t="s">
        <v>23446</v>
      </c>
      <c r="OXT1" s="24" t="s">
        <v>23447</v>
      </c>
      <c r="OXU1" s="24" t="s">
        <v>23448</v>
      </c>
      <c r="OXV1" s="24" t="s">
        <v>23449</v>
      </c>
      <c r="OXW1" s="24" t="s">
        <v>23450</v>
      </c>
      <c r="OXX1" s="24" t="s">
        <v>23451</v>
      </c>
      <c r="OXY1" s="24" t="s">
        <v>23452</v>
      </c>
      <c r="OXZ1" s="24" t="s">
        <v>23453</v>
      </c>
      <c r="OYA1" s="24" t="s">
        <v>23454</v>
      </c>
      <c r="OYB1" s="24" t="s">
        <v>23455</v>
      </c>
      <c r="OYC1" s="24" t="s">
        <v>23456</v>
      </c>
      <c r="OYD1" s="24" t="s">
        <v>23457</v>
      </c>
      <c r="OYE1" s="24" t="s">
        <v>23458</v>
      </c>
      <c r="OYF1" s="24" t="s">
        <v>23459</v>
      </c>
      <c r="OYG1" s="24" t="s">
        <v>23460</v>
      </c>
      <c r="OYH1" s="24" t="s">
        <v>23461</v>
      </c>
      <c r="OYI1" s="24" t="s">
        <v>23462</v>
      </c>
      <c r="OYJ1" s="24" t="s">
        <v>23463</v>
      </c>
      <c r="OYK1" s="24" t="s">
        <v>23464</v>
      </c>
      <c r="OYL1" s="24" t="s">
        <v>23465</v>
      </c>
      <c r="OYM1" s="24" t="s">
        <v>23466</v>
      </c>
      <c r="OYN1" s="24" t="s">
        <v>23467</v>
      </c>
      <c r="OYO1" s="24" t="s">
        <v>23468</v>
      </c>
      <c r="OYP1" s="24" t="s">
        <v>23469</v>
      </c>
      <c r="OYQ1" s="24" t="s">
        <v>23470</v>
      </c>
      <c r="OYR1" s="24" t="s">
        <v>23471</v>
      </c>
      <c r="OYS1" s="24" t="s">
        <v>23472</v>
      </c>
      <c r="OYT1" s="24" t="s">
        <v>23473</v>
      </c>
      <c r="OYU1" s="24" t="s">
        <v>23474</v>
      </c>
      <c r="OYV1" s="24" t="s">
        <v>23475</v>
      </c>
      <c r="OYW1" s="24" t="s">
        <v>23476</v>
      </c>
      <c r="OYX1" s="24" t="s">
        <v>23477</v>
      </c>
      <c r="OYY1" s="24" t="s">
        <v>23478</v>
      </c>
      <c r="OYZ1" s="24" t="s">
        <v>23479</v>
      </c>
      <c r="OZA1" s="24" t="s">
        <v>23480</v>
      </c>
      <c r="OZB1" s="24" t="s">
        <v>23481</v>
      </c>
      <c r="OZC1" s="24" t="s">
        <v>23482</v>
      </c>
      <c r="OZD1" s="24" t="s">
        <v>23483</v>
      </c>
      <c r="OZE1" s="24" t="s">
        <v>23484</v>
      </c>
      <c r="OZF1" s="24" t="s">
        <v>23485</v>
      </c>
      <c r="OZG1" s="24" t="s">
        <v>23486</v>
      </c>
      <c r="OZH1" s="24" t="s">
        <v>23487</v>
      </c>
      <c r="OZI1" s="24" t="s">
        <v>23488</v>
      </c>
      <c r="OZJ1" s="24" t="s">
        <v>23489</v>
      </c>
      <c r="OZK1" s="24" t="s">
        <v>23490</v>
      </c>
      <c r="OZL1" s="24" t="s">
        <v>23491</v>
      </c>
      <c r="OZM1" s="24" t="s">
        <v>23492</v>
      </c>
      <c r="OZN1" s="24" t="s">
        <v>23493</v>
      </c>
      <c r="OZO1" s="24" t="s">
        <v>23494</v>
      </c>
      <c r="OZP1" s="24" t="s">
        <v>23495</v>
      </c>
      <c r="OZQ1" s="24" t="s">
        <v>23496</v>
      </c>
      <c r="OZR1" s="24" t="s">
        <v>23497</v>
      </c>
      <c r="OZS1" s="24" t="s">
        <v>23498</v>
      </c>
      <c r="OZT1" s="24" t="s">
        <v>23499</v>
      </c>
      <c r="OZU1" s="24" t="s">
        <v>23500</v>
      </c>
      <c r="OZV1" s="24" t="s">
        <v>23501</v>
      </c>
      <c r="OZW1" s="24" t="s">
        <v>23502</v>
      </c>
      <c r="OZX1" s="24" t="s">
        <v>23503</v>
      </c>
      <c r="OZY1" s="24" t="s">
        <v>23504</v>
      </c>
      <c r="OZZ1" s="24" t="s">
        <v>23505</v>
      </c>
      <c r="PAA1" s="24" t="s">
        <v>23506</v>
      </c>
      <c r="PAB1" s="24" t="s">
        <v>23507</v>
      </c>
      <c r="PAC1" s="24" t="s">
        <v>23508</v>
      </c>
      <c r="PAD1" s="24" t="s">
        <v>23509</v>
      </c>
      <c r="PAE1" s="24" t="s">
        <v>23510</v>
      </c>
      <c r="PAF1" s="24" t="s">
        <v>23511</v>
      </c>
      <c r="PAG1" s="24" t="s">
        <v>23512</v>
      </c>
      <c r="PAH1" s="24" t="s">
        <v>23513</v>
      </c>
      <c r="PAI1" s="24" t="s">
        <v>23514</v>
      </c>
      <c r="PAJ1" s="24" t="s">
        <v>23515</v>
      </c>
      <c r="PAK1" s="24" t="s">
        <v>23516</v>
      </c>
      <c r="PAL1" s="24" t="s">
        <v>23517</v>
      </c>
      <c r="PAM1" s="24" t="s">
        <v>23518</v>
      </c>
      <c r="PAN1" s="24" t="s">
        <v>23519</v>
      </c>
      <c r="PAO1" s="24" t="s">
        <v>23520</v>
      </c>
      <c r="PAP1" s="24" t="s">
        <v>23521</v>
      </c>
      <c r="PAQ1" s="24" t="s">
        <v>23522</v>
      </c>
      <c r="PAR1" s="24" t="s">
        <v>23523</v>
      </c>
      <c r="PAS1" s="24" t="s">
        <v>23524</v>
      </c>
      <c r="PAT1" s="24" t="s">
        <v>23525</v>
      </c>
      <c r="PAU1" s="24" t="s">
        <v>23526</v>
      </c>
      <c r="PAV1" s="24" t="s">
        <v>23527</v>
      </c>
      <c r="PAW1" s="24" t="s">
        <v>23528</v>
      </c>
      <c r="PAX1" s="24" t="s">
        <v>23529</v>
      </c>
      <c r="PAY1" s="24" t="s">
        <v>23530</v>
      </c>
      <c r="PAZ1" s="24" t="s">
        <v>23531</v>
      </c>
      <c r="PBA1" s="24" t="s">
        <v>23532</v>
      </c>
      <c r="PBB1" s="24" t="s">
        <v>23533</v>
      </c>
      <c r="PBC1" s="24" t="s">
        <v>23534</v>
      </c>
      <c r="PBD1" s="24" t="s">
        <v>23535</v>
      </c>
      <c r="PBE1" s="24" t="s">
        <v>23536</v>
      </c>
      <c r="PBF1" s="24" t="s">
        <v>23537</v>
      </c>
      <c r="PBG1" s="24" t="s">
        <v>23538</v>
      </c>
      <c r="PBH1" s="24" t="s">
        <v>23539</v>
      </c>
      <c r="PBI1" s="24" t="s">
        <v>23540</v>
      </c>
      <c r="PBJ1" s="24" t="s">
        <v>23541</v>
      </c>
      <c r="PBK1" s="24" t="s">
        <v>23542</v>
      </c>
      <c r="PBL1" s="24" t="s">
        <v>23543</v>
      </c>
      <c r="PBM1" s="24" t="s">
        <v>23544</v>
      </c>
      <c r="PBN1" s="24" t="s">
        <v>23545</v>
      </c>
      <c r="PBO1" s="24" t="s">
        <v>23546</v>
      </c>
      <c r="PBP1" s="24" t="s">
        <v>23547</v>
      </c>
      <c r="PBQ1" s="24" t="s">
        <v>23548</v>
      </c>
      <c r="PBR1" s="24" t="s">
        <v>23549</v>
      </c>
      <c r="PBS1" s="24" t="s">
        <v>23550</v>
      </c>
      <c r="PBT1" s="24" t="s">
        <v>23551</v>
      </c>
      <c r="PBU1" s="24" t="s">
        <v>23552</v>
      </c>
      <c r="PBV1" s="24" t="s">
        <v>23553</v>
      </c>
      <c r="PBW1" s="24" t="s">
        <v>23554</v>
      </c>
      <c r="PBX1" s="24" t="s">
        <v>23555</v>
      </c>
      <c r="PBY1" s="24" t="s">
        <v>23556</v>
      </c>
      <c r="PBZ1" s="24" t="s">
        <v>23557</v>
      </c>
      <c r="PCA1" s="24" t="s">
        <v>23558</v>
      </c>
      <c r="PCB1" s="24" t="s">
        <v>23559</v>
      </c>
      <c r="PCC1" s="24" t="s">
        <v>23560</v>
      </c>
      <c r="PCD1" s="24" t="s">
        <v>23561</v>
      </c>
      <c r="PCE1" s="24" t="s">
        <v>23562</v>
      </c>
      <c r="PCF1" s="24" t="s">
        <v>23563</v>
      </c>
      <c r="PCG1" s="24" t="s">
        <v>23564</v>
      </c>
      <c r="PCH1" s="24" t="s">
        <v>23565</v>
      </c>
      <c r="PCI1" s="24" t="s">
        <v>23566</v>
      </c>
      <c r="PCJ1" s="24" t="s">
        <v>23567</v>
      </c>
      <c r="PCK1" s="24" t="s">
        <v>23568</v>
      </c>
      <c r="PCL1" s="24" t="s">
        <v>23569</v>
      </c>
      <c r="PCM1" s="24" t="s">
        <v>23570</v>
      </c>
      <c r="PCN1" s="24" t="s">
        <v>23571</v>
      </c>
      <c r="PCO1" s="24" t="s">
        <v>23572</v>
      </c>
      <c r="PCP1" s="24" t="s">
        <v>23573</v>
      </c>
      <c r="PCQ1" s="24" t="s">
        <v>23574</v>
      </c>
      <c r="PCR1" s="24" t="s">
        <v>23575</v>
      </c>
      <c r="PCS1" s="24" t="s">
        <v>23576</v>
      </c>
      <c r="PCT1" s="24" t="s">
        <v>23577</v>
      </c>
      <c r="PCU1" s="24" t="s">
        <v>23578</v>
      </c>
      <c r="PCV1" s="24" t="s">
        <v>23579</v>
      </c>
      <c r="PCW1" s="24" t="s">
        <v>23580</v>
      </c>
      <c r="PCX1" s="24" t="s">
        <v>23581</v>
      </c>
      <c r="PCY1" s="24" t="s">
        <v>23582</v>
      </c>
      <c r="PCZ1" s="24" t="s">
        <v>23583</v>
      </c>
      <c r="PDA1" s="24" t="s">
        <v>23584</v>
      </c>
      <c r="PDB1" s="24" t="s">
        <v>23585</v>
      </c>
      <c r="PDC1" s="24" t="s">
        <v>23586</v>
      </c>
      <c r="PDD1" s="24" t="s">
        <v>23587</v>
      </c>
      <c r="PDE1" s="24" t="s">
        <v>23588</v>
      </c>
      <c r="PDF1" s="24" t="s">
        <v>23589</v>
      </c>
      <c r="PDG1" s="24" t="s">
        <v>23590</v>
      </c>
      <c r="PDH1" s="24" t="s">
        <v>23591</v>
      </c>
      <c r="PDI1" s="24" t="s">
        <v>23592</v>
      </c>
      <c r="PDJ1" s="24" t="s">
        <v>23593</v>
      </c>
      <c r="PDK1" s="24" t="s">
        <v>23594</v>
      </c>
      <c r="PDL1" s="24" t="s">
        <v>23595</v>
      </c>
      <c r="PDM1" s="24" t="s">
        <v>23596</v>
      </c>
      <c r="PDN1" s="24" t="s">
        <v>23597</v>
      </c>
      <c r="PDO1" s="24" t="s">
        <v>23598</v>
      </c>
      <c r="PDP1" s="24" t="s">
        <v>23599</v>
      </c>
      <c r="PDQ1" s="24" t="s">
        <v>23600</v>
      </c>
      <c r="PDR1" s="24" t="s">
        <v>23601</v>
      </c>
      <c r="PDS1" s="24" t="s">
        <v>23602</v>
      </c>
      <c r="PDT1" s="24" t="s">
        <v>23603</v>
      </c>
      <c r="PDU1" s="24" t="s">
        <v>23604</v>
      </c>
      <c r="PDV1" s="24" t="s">
        <v>23605</v>
      </c>
      <c r="PDW1" s="24" t="s">
        <v>23606</v>
      </c>
      <c r="PDX1" s="24" t="s">
        <v>23607</v>
      </c>
      <c r="PDY1" s="24" t="s">
        <v>23608</v>
      </c>
      <c r="PDZ1" s="24" t="s">
        <v>23609</v>
      </c>
      <c r="PEA1" s="24" t="s">
        <v>23610</v>
      </c>
      <c r="PEB1" s="24" t="s">
        <v>23611</v>
      </c>
      <c r="PEC1" s="24" t="s">
        <v>23612</v>
      </c>
      <c r="PED1" s="24" t="s">
        <v>23613</v>
      </c>
      <c r="PEE1" s="24" t="s">
        <v>23614</v>
      </c>
      <c r="PEF1" s="24" t="s">
        <v>23615</v>
      </c>
      <c r="PEG1" s="24" t="s">
        <v>23616</v>
      </c>
      <c r="PEH1" s="24" t="s">
        <v>23617</v>
      </c>
      <c r="PEI1" s="24" t="s">
        <v>23618</v>
      </c>
      <c r="PEJ1" s="24" t="s">
        <v>23619</v>
      </c>
      <c r="PEK1" s="24" t="s">
        <v>23620</v>
      </c>
      <c r="PEL1" s="24" t="s">
        <v>23621</v>
      </c>
      <c r="PEM1" s="24" t="s">
        <v>23622</v>
      </c>
      <c r="PEN1" s="24" t="s">
        <v>23623</v>
      </c>
      <c r="PEO1" s="24" t="s">
        <v>23624</v>
      </c>
      <c r="PEP1" s="24" t="s">
        <v>23625</v>
      </c>
      <c r="PEQ1" s="24" t="s">
        <v>23626</v>
      </c>
      <c r="PER1" s="24" t="s">
        <v>23627</v>
      </c>
      <c r="PES1" s="24" t="s">
        <v>23628</v>
      </c>
      <c r="PET1" s="24" t="s">
        <v>23629</v>
      </c>
      <c r="PEU1" s="24" t="s">
        <v>23630</v>
      </c>
      <c r="PEV1" s="24" t="s">
        <v>23631</v>
      </c>
      <c r="PEW1" s="24" t="s">
        <v>23632</v>
      </c>
      <c r="PEX1" s="24" t="s">
        <v>23633</v>
      </c>
      <c r="PEY1" s="24" t="s">
        <v>23634</v>
      </c>
      <c r="PEZ1" s="24" t="s">
        <v>23635</v>
      </c>
      <c r="PFA1" s="24" t="s">
        <v>23636</v>
      </c>
      <c r="PFB1" s="24" t="s">
        <v>23637</v>
      </c>
      <c r="PFC1" s="24" t="s">
        <v>23638</v>
      </c>
      <c r="PFD1" s="24" t="s">
        <v>23639</v>
      </c>
      <c r="PFE1" s="24" t="s">
        <v>23640</v>
      </c>
      <c r="PFF1" s="24" t="s">
        <v>23641</v>
      </c>
      <c r="PFG1" s="24" t="s">
        <v>23642</v>
      </c>
      <c r="PFH1" s="24" t="s">
        <v>23643</v>
      </c>
      <c r="PFI1" s="24" t="s">
        <v>23644</v>
      </c>
      <c r="PFJ1" s="24" t="s">
        <v>23645</v>
      </c>
      <c r="PFK1" s="24" t="s">
        <v>23646</v>
      </c>
      <c r="PFL1" s="24" t="s">
        <v>23647</v>
      </c>
      <c r="PFM1" s="24" t="s">
        <v>23648</v>
      </c>
      <c r="PFN1" s="24" t="s">
        <v>23649</v>
      </c>
      <c r="PFO1" s="24" t="s">
        <v>23650</v>
      </c>
      <c r="PFP1" s="24" t="s">
        <v>23651</v>
      </c>
      <c r="PFQ1" s="24" t="s">
        <v>23652</v>
      </c>
      <c r="PFR1" s="24" t="s">
        <v>23653</v>
      </c>
      <c r="PFS1" s="24" t="s">
        <v>23654</v>
      </c>
      <c r="PFT1" s="24" t="s">
        <v>23655</v>
      </c>
      <c r="PFU1" s="24" t="s">
        <v>23656</v>
      </c>
      <c r="PFV1" s="24" t="s">
        <v>23657</v>
      </c>
      <c r="PFW1" s="24" t="s">
        <v>23658</v>
      </c>
      <c r="PFX1" s="24" t="s">
        <v>23659</v>
      </c>
      <c r="PFY1" s="24" t="s">
        <v>23660</v>
      </c>
      <c r="PFZ1" s="24" t="s">
        <v>23661</v>
      </c>
      <c r="PGA1" s="24" t="s">
        <v>23662</v>
      </c>
      <c r="PGB1" s="24" t="s">
        <v>23663</v>
      </c>
      <c r="PGC1" s="24" t="s">
        <v>23664</v>
      </c>
      <c r="PGD1" s="24" t="s">
        <v>23665</v>
      </c>
      <c r="PGE1" s="24" t="s">
        <v>23666</v>
      </c>
      <c r="PGF1" s="24" t="s">
        <v>23667</v>
      </c>
      <c r="PGG1" s="24" t="s">
        <v>23668</v>
      </c>
      <c r="PGH1" s="24" t="s">
        <v>23669</v>
      </c>
      <c r="PGI1" s="24" t="s">
        <v>23670</v>
      </c>
      <c r="PGJ1" s="24" t="s">
        <v>23671</v>
      </c>
      <c r="PGK1" s="24" t="s">
        <v>23672</v>
      </c>
      <c r="PGL1" s="24" t="s">
        <v>23673</v>
      </c>
      <c r="PGM1" s="24" t="s">
        <v>23674</v>
      </c>
      <c r="PGN1" s="24" t="s">
        <v>23675</v>
      </c>
      <c r="PGO1" s="24" t="s">
        <v>23676</v>
      </c>
      <c r="PGP1" s="24" t="s">
        <v>23677</v>
      </c>
      <c r="PGQ1" s="24" t="s">
        <v>23678</v>
      </c>
      <c r="PGR1" s="24" t="s">
        <v>23679</v>
      </c>
      <c r="PGS1" s="24" t="s">
        <v>23680</v>
      </c>
      <c r="PGT1" s="24" t="s">
        <v>23681</v>
      </c>
      <c r="PGU1" s="24" t="s">
        <v>23682</v>
      </c>
      <c r="PGV1" s="24" t="s">
        <v>23683</v>
      </c>
      <c r="PGW1" s="24" t="s">
        <v>23684</v>
      </c>
      <c r="PGX1" s="24" t="s">
        <v>23685</v>
      </c>
      <c r="PGY1" s="24" t="s">
        <v>23686</v>
      </c>
      <c r="PGZ1" s="24" t="s">
        <v>23687</v>
      </c>
      <c r="PHA1" s="24" t="s">
        <v>23688</v>
      </c>
      <c r="PHB1" s="24" t="s">
        <v>23689</v>
      </c>
      <c r="PHC1" s="24" t="s">
        <v>23690</v>
      </c>
      <c r="PHD1" s="24" t="s">
        <v>23691</v>
      </c>
      <c r="PHE1" s="24" t="s">
        <v>23692</v>
      </c>
      <c r="PHF1" s="24" t="s">
        <v>23693</v>
      </c>
      <c r="PHG1" s="24" t="s">
        <v>23694</v>
      </c>
      <c r="PHH1" s="24" t="s">
        <v>23695</v>
      </c>
      <c r="PHI1" s="24" t="s">
        <v>23696</v>
      </c>
      <c r="PHJ1" s="24" t="s">
        <v>23697</v>
      </c>
      <c r="PHK1" s="24" t="s">
        <v>23698</v>
      </c>
      <c r="PHL1" s="24" t="s">
        <v>23699</v>
      </c>
      <c r="PHM1" s="24" t="s">
        <v>23700</v>
      </c>
      <c r="PHN1" s="24" t="s">
        <v>23701</v>
      </c>
      <c r="PHO1" s="24" t="s">
        <v>23702</v>
      </c>
      <c r="PHP1" s="24" t="s">
        <v>23703</v>
      </c>
      <c r="PHQ1" s="24" t="s">
        <v>23704</v>
      </c>
      <c r="PHR1" s="24" t="s">
        <v>23705</v>
      </c>
      <c r="PHS1" s="24" t="s">
        <v>23706</v>
      </c>
      <c r="PHT1" s="24" t="s">
        <v>23707</v>
      </c>
      <c r="PHU1" s="24" t="s">
        <v>23708</v>
      </c>
      <c r="PHV1" s="24" t="s">
        <v>23709</v>
      </c>
      <c r="PHW1" s="24" t="s">
        <v>23710</v>
      </c>
      <c r="PHX1" s="24" t="s">
        <v>23711</v>
      </c>
      <c r="PHY1" s="24" t="s">
        <v>23712</v>
      </c>
      <c r="PHZ1" s="24" t="s">
        <v>23713</v>
      </c>
      <c r="PIA1" s="24" t="s">
        <v>23714</v>
      </c>
      <c r="PIB1" s="24" t="s">
        <v>23715</v>
      </c>
      <c r="PIC1" s="24" t="s">
        <v>23716</v>
      </c>
      <c r="PID1" s="24" t="s">
        <v>23717</v>
      </c>
      <c r="PIE1" s="24" t="s">
        <v>23718</v>
      </c>
      <c r="PIF1" s="24" t="s">
        <v>23719</v>
      </c>
      <c r="PIG1" s="24" t="s">
        <v>23720</v>
      </c>
      <c r="PIH1" s="24" t="s">
        <v>23721</v>
      </c>
      <c r="PII1" s="24" t="s">
        <v>23722</v>
      </c>
      <c r="PIJ1" s="24" t="s">
        <v>23723</v>
      </c>
      <c r="PIK1" s="24" t="s">
        <v>23724</v>
      </c>
      <c r="PIL1" s="24" t="s">
        <v>23725</v>
      </c>
      <c r="PIM1" s="24" t="s">
        <v>23726</v>
      </c>
      <c r="PIN1" s="24" t="s">
        <v>23727</v>
      </c>
      <c r="PIO1" s="24" t="s">
        <v>23728</v>
      </c>
      <c r="PIP1" s="24" t="s">
        <v>23729</v>
      </c>
      <c r="PIQ1" s="24" t="s">
        <v>23730</v>
      </c>
      <c r="PIR1" s="24" t="s">
        <v>23731</v>
      </c>
      <c r="PIS1" s="24" t="s">
        <v>23732</v>
      </c>
      <c r="PIT1" s="24" t="s">
        <v>23733</v>
      </c>
      <c r="PIU1" s="24" t="s">
        <v>23734</v>
      </c>
      <c r="PIV1" s="24" t="s">
        <v>23735</v>
      </c>
      <c r="PIW1" s="24" t="s">
        <v>23736</v>
      </c>
      <c r="PIX1" s="24" t="s">
        <v>23737</v>
      </c>
      <c r="PIY1" s="24" t="s">
        <v>23738</v>
      </c>
      <c r="PIZ1" s="24" t="s">
        <v>23739</v>
      </c>
      <c r="PJA1" s="24" t="s">
        <v>23740</v>
      </c>
      <c r="PJB1" s="24" t="s">
        <v>23741</v>
      </c>
      <c r="PJC1" s="24" t="s">
        <v>23742</v>
      </c>
      <c r="PJD1" s="24" t="s">
        <v>23743</v>
      </c>
      <c r="PJE1" s="24" t="s">
        <v>23744</v>
      </c>
      <c r="PJF1" s="24" t="s">
        <v>23745</v>
      </c>
      <c r="PJG1" s="24" t="s">
        <v>23746</v>
      </c>
      <c r="PJH1" s="24" t="s">
        <v>23747</v>
      </c>
      <c r="PJI1" s="24" t="s">
        <v>23748</v>
      </c>
      <c r="PJJ1" s="24" t="s">
        <v>23749</v>
      </c>
      <c r="PJK1" s="24" t="s">
        <v>23750</v>
      </c>
      <c r="PJL1" s="24" t="s">
        <v>23751</v>
      </c>
      <c r="PJM1" s="24" t="s">
        <v>23752</v>
      </c>
      <c r="PJN1" s="24" t="s">
        <v>23753</v>
      </c>
      <c r="PJO1" s="24" t="s">
        <v>23754</v>
      </c>
      <c r="PJP1" s="24" t="s">
        <v>23755</v>
      </c>
      <c r="PJQ1" s="24" t="s">
        <v>23756</v>
      </c>
      <c r="PJR1" s="24" t="s">
        <v>23757</v>
      </c>
      <c r="PJS1" s="24" t="s">
        <v>23758</v>
      </c>
      <c r="PJT1" s="24" t="s">
        <v>23759</v>
      </c>
      <c r="PJU1" s="24" t="s">
        <v>23760</v>
      </c>
      <c r="PJV1" s="24" t="s">
        <v>23761</v>
      </c>
      <c r="PJW1" s="24" t="s">
        <v>23762</v>
      </c>
      <c r="PJX1" s="24" t="s">
        <v>23763</v>
      </c>
      <c r="PJY1" s="24" t="s">
        <v>23764</v>
      </c>
      <c r="PJZ1" s="24" t="s">
        <v>23765</v>
      </c>
      <c r="PKA1" s="24" t="s">
        <v>23766</v>
      </c>
      <c r="PKB1" s="24" t="s">
        <v>23767</v>
      </c>
      <c r="PKC1" s="24" t="s">
        <v>23768</v>
      </c>
      <c r="PKD1" s="24" t="s">
        <v>23769</v>
      </c>
      <c r="PKE1" s="24" t="s">
        <v>23770</v>
      </c>
      <c r="PKF1" s="24" t="s">
        <v>23771</v>
      </c>
      <c r="PKG1" s="24" t="s">
        <v>23772</v>
      </c>
      <c r="PKH1" s="24" t="s">
        <v>23773</v>
      </c>
      <c r="PKI1" s="24" t="s">
        <v>23774</v>
      </c>
      <c r="PKJ1" s="24" t="s">
        <v>23775</v>
      </c>
      <c r="PKK1" s="24" t="s">
        <v>23776</v>
      </c>
      <c r="PKL1" s="24" t="s">
        <v>23777</v>
      </c>
      <c r="PKM1" s="24" t="s">
        <v>23778</v>
      </c>
      <c r="PKN1" s="24" t="s">
        <v>23779</v>
      </c>
      <c r="PKO1" s="24" t="s">
        <v>23780</v>
      </c>
      <c r="PKP1" s="24" t="s">
        <v>23781</v>
      </c>
      <c r="PKQ1" s="24" t="s">
        <v>23782</v>
      </c>
      <c r="PKR1" s="24" t="s">
        <v>23783</v>
      </c>
      <c r="PKS1" s="24" t="s">
        <v>23784</v>
      </c>
      <c r="PKT1" s="24" t="s">
        <v>23785</v>
      </c>
      <c r="PKU1" s="24" t="s">
        <v>23786</v>
      </c>
      <c r="PKV1" s="24" t="s">
        <v>23787</v>
      </c>
      <c r="PKW1" s="24" t="s">
        <v>23788</v>
      </c>
      <c r="PKX1" s="24" t="s">
        <v>23789</v>
      </c>
      <c r="PKY1" s="24" t="s">
        <v>23790</v>
      </c>
      <c r="PKZ1" s="24" t="s">
        <v>23791</v>
      </c>
      <c r="PLA1" s="24" t="s">
        <v>23792</v>
      </c>
      <c r="PLB1" s="24" t="s">
        <v>23793</v>
      </c>
      <c r="PLC1" s="24" t="s">
        <v>23794</v>
      </c>
      <c r="PLD1" s="24" t="s">
        <v>23795</v>
      </c>
      <c r="PLE1" s="24" t="s">
        <v>23796</v>
      </c>
      <c r="PLF1" s="24" t="s">
        <v>23797</v>
      </c>
      <c r="PLG1" s="24" t="s">
        <v>23798</v>
      </c>
      <c r="PLH1" s="24" t="s">
        <v>23799</v>
      </c>
      <c r="PLI1" s="24" t="s">
        <v>23800</v>
      </c>
      <c r="PLJ1" s="24" t="s">
        <v>23801</v>
      </c>
      <c r="PLK1" s="24" t="s">
        <v>23802</v>
      </c>
      <c r="PLL1" s="24" t="s">
        <v>23803</v>
      </c>
      <c r="PLM1" s="24" t="s">
        <v>23804</v>
      </c>
      <c r="PLN1" s="24" t="s">
        <v>23805</v>
      </c>
      <c r="PLO1" s="24" t="s">
        <v>23806</v>
      </c>
      <c r="PLP1" s="24" t="s">
        <v>23807</v>
      </c>
      <c r="PLQ1" s="24" t="s">
        <v>23808</v>
      </c>
      <c r="PLR1" s="24" t="s">
        <v>23809</v>
      </c>
      <c r="PLS1" s="24" t="s">
        <v>23810</v>
      </c>
      <c r="PLT1" s="24" t="s">
        <v>23811</v>
      </c>
      <c r="PLU1" s="24" t="s">
        <v>23812</v>
      </c>
      <c r="PLV1" s="24" t="s">
        <v>23813</v>
      </c>
      <c r="PLW1" s="24" t="s">
        <v>23814</v>
      </c>
      <c r="PLX1" s="24" t="s">
        <v>23815</v>
      </c>
      <c r="PLY1" s="24" t="s">
        <v>23816</v>
      </c>
      <c r="PLZ1" s="24" t="s">
        <v>23817</v>
      </c>
      <c r="PMA1" s="24" t="s">
        <v>23818</v>
      </c>
      <c r="PMB1" s="24" t="s">
        <v>23819</v>
      </c>
      <c r="PMC1" s="24" t="s">
        <v>23820</v>
      </c>
      <c r="PMD1" s="24" t="s">
        <v>23821</v>
      </c>
      <c r="PME1" s="24" t="s">
        <v>23822</v>
      </c>
      <c r="PMF1" s="24" t="s">
        <v>23823</v>
      </c>
      <c r="PMG1" s="24" t="s">
        <v>23824</v>
      </c>
      <c r="PMH1" s="24" t="s">
        <v>23825</v>
      </c>
      <c r="PMI1" s="24" t="s">
        <v>23826</v>
      </c>
      <c r="PMJ1" s="24" t="s">
        <v>23827</v>
      </c>
      <c r="PMK1" s="24" t="s">
        <v>23828</v>
      </c>
      <c r="PML1" s="24" t="s">
        <v>23829</v>
      </c>
      <c r="PMM1" s="24" t="s">
        <v>23830</v>
      </c>
      <c r="PMN1" s="24" t="s">
        <v>23831</v>
      </c>
      <c r="PMO1" s="24" t="s">
        <v>23832</v>
      </c>
      <c r="PMP1" s="24" t="s">
        <v>23833</v>
      </c>
      <c r="PMQ1" s="24" t="s">
        <v>23834</v>
      </c>
      <c r="PMR1" s="24" t="s">
        <v>23835</v>
      </c>
      <c r="PMS1" s="24" t="s">
        <v>23836</v>
      </c>
      <c r="PMT1" s="24" t="s">
        <v>23837</v>
      </c>
      <c r="PMU1" s="24" t="s">
        <v>23838</v>
      </c>
      <c r="PMV1" s="24" t="s">
        <v>23839</v>
      </c>
      <c r="PMW1" s="24" t="s">
        <v>23840</v>
      </c>
      <c r="PMX1" s="24" t="s">
        <v>23841</v>
      </c>
      <c r="PMY1" s="24" t="s">
        <v>23842</v>
      </c>
      <c r="PMZ1" s="24" t="s">
        <v>23843</v>
      </c>
      <c r="PNA1" s="24" t="s">
        <v>23844</v>
      </c>
      <c r="PNB1" s="24" t="s">
        <v>23845</v>
      </c>
      <c r="PNC1" s="24" t="s">
        <v>23846</v>
      </c>
      <c r="PND1" s="24" t="s">
        <v>23847</v>
      </c>
      <c r="PNE1" s="24" t="s">
        <v>23848</v>
      </c>
      <c r="PNF1" s="24" t="s">
        <v>23849</v>
      </c>
      <c r="PNG1" s="24" t="s">
        <v>23850</v>
      </c>
      <c r="PNH1" s="24" t="s">
        <v>23851</v>
      </c>
      <c r="PNI1" s="24" t="s">
        <v>23852</v>
      </c>
      <c r="PNJ1" s="24" t="s">
        <v>23853</v>
      </c>
      <c r="PNK1" s="24" t="s">
        <v>23854</v>
      </c>
      <c r="PNL1" s="24" t="s">
        <v>23855</v>
      </c>
      <c r="PNM1" s="24" t="s">
        <v>23856</v>
      </c>
      <c r="PNN1" s="24" t="s">
        <v>23857</v>
      </c>
      <c r="PNO1" s="24" t="s">
        <v>23858</v>
      </c>
      <c r="PNP1" s="24" t="s">
        <v>23859</v>
      </c>
      <c r="PNQ1" s="24" t="s">
        <v>23860</v>
      </c>
      <c r="PNR1" s="24" t="s">
        <v>23861</v>
      </c>
      <c r="PNS1" s="24" t="s">
        <v>23862</v>
      </c>
      <c r="PNT1" s="24" t="s">
        <v>23863</v>
      </c>
      <c r="PNU1" s="24" t="s">
        <v>23864</v>
      </c>
      <c r="PNV1" s="24" t="s">
        <v>23865</v>
      </c>
      <c r="PNW1" s="24" t="s">
        <v>23866</v>
      </c>
      <c r="PNX1" s="24" t="s">
        <v>23867</v>
      </c>
      <c r="PNY1" s="24" t="s">
        <v>23868</v>
      </c>
      <c r="PNZ1" s="24" t="s">
        <v>23869</v>
      </c>
      <c r="POA1" s="24" t="s">
        <v>23870</v>
      </c>
      <c r="POB1" s="24" t="s">
        <v>23871</v>
      </c>
      <c r="POC1" s="24" t="s">
        <v>23872</v>
      </c>
      <c r="POD1" s="24" t="s">
        <v>23873</v>
      </c>
      <c r="POE1" s="24" t="s">
        <v>23874</v>
      </c>
      <c r="POF1" s="24" t="s">
        <v>23875</v>
      </c>
      <c r="POG1" s="24" t="s">
        <v>23876</v>
      </c>
      <c r="POH1" s="24" t="s">
        <v>23877</v>
      </c>
      <c r="POI1" s="24" t="s">
        <v>23878</v>
      </c>
      <c r="POJ1" s="24" t="s">
        <v>23879</v>
      </c>
      <c r="POK1" s="24" t="s">
        <v>23880</v>
      </c>
      <c r="POL1" s="24" t="s">
        <v>23881</v>
      </c>
      <c r="POM1" s="24" t="s">
        <v>23882</v>
      </c>
      <c r="PON1" s="24" t="s">
        <v>23883</v>
      </c>
      <c r="POO1" s="24" t="s">
        <v>23884</v>
      </c>
      <c r="POP1" s="24" t="s">
        <v>23885</v>
      </c>
      <c r="POQ1" s="24" t="s">
        <v>23886</v>
      </c>
      <c r="POR1" s="24" t="s">
        <v>23887</v>
      </c>
      <c r="POS1" s="24" t="s">
        <v>23888</v>
      </c>
      <c r="POT1" s="24" t="s">
        <v>23889</v>
      </c>
      <c r="POU1" s="24" t="s">
        <v>23890</v>
      </c>
      <c r="POV1" s="24" t="s">
        <v>23891</v>
      </c>
      <c r="POW1" s="24" t="s">
        <v>23892</v>
      </c>
      <c r="POX1" s="24" t="s">
        <v>23893</v>
      </c>
      <c r="POY1" s="24" t="s">
        <v>23894</v>
      </c>
      <c r="POZ1" s="24" t="s">
        <v>23895</v>
      </c>
      <c r="PPA1" s="24" t="s">
        <v>23896</v>
      </c>
      <c r="PPB1" s="24" t="s">
        <v>23897</v>
      </c>
      <c r="PPC1" s="24" t="s">
        <v>23898</v>
      </c>
      <c r="PPD1" s="24" t="s">
        <v>23899</v>
      </c>
      <c r="PPE1" s="24" t="s">
        <v>23900</v>
      </c>
      <c r="PPF1" s="24" t="s">
        <v>23901</v>
      </c>
      <c r="PPG1" s="24" t="s">
        <v>23902</v>
      </c>
      <c r="PPH1" s="24" t="s">
        <v>23903</v>
      </c>
      <c r="PPI1" s="24" t="s">
        <v>23904</v>
      </c>
      <c r="PPJ1" s="24" t="s">
        <v>23905</v>
      </c>
      <c r="PPK1" s="24" t="s">
        <v>23906</v>
      </c>
      <c r="PPL1" s="24" t="s">
        <v>23907</v>
      </c>
      <c r="PPM1" s="24" t="s">
        <v>23908</v>
      </c>
      <c r="PPN1" s="24" t="s">
        <v>23909</v>
      </c>
      <c r="PPO1" s="24" t="s">
        <v>23910</v>
      </c>
      <c r="PPP1" s="24" t="s">
        <v>23911</v>
      </c>
      <c r="PPQ1" s="24" t="s">
        <v>23912</v>
      </c>
      <c r="PPR1" s="24" t="s">
        <v>23913</v>
      </c>
      <c r="PPS1" s="24" t="s">
        <v>23914</v>
      </c>
      <c r="PPT1" s="24" t="s">
        <v>23915</v>
      </c>
      <c r="PPU1" s="24" t="s">
        <v>23916</v>
      </c>
      <c r="PPV1" s="24" t="s">
        <v>23917</v>
      </c>
      <c r="PPW1" s="24" t="s">
        <v>23918</v>
      </c>
      <c r="PPX1" s="24" t="s">
        <v>23919</v>
      </c>
      <c r="PPY1" s="24" t="s">
        <v>23920</v>
      </c>
      <c r="PPZ1" s="24" t="s">
        <v>23921</v>
      </c>
      <c r="PQA1" s="24" t="s">
        <v>23922</v>
      </c>
      <c r="PQB1" s="24" t="s">
        <v>23923</v>
      </c>
      <c r="PQC1" s="24" t="s">
        <v>23924</v>
      </c>
      <c r="PQD1" s="24" t="s">
        <v>23925</v>
      </c>
      <c r="PQE1" s="24" t="s">
        <v>23926</v>
      </c>
      <c r="PQF1" s="24" t="s">
        <v>23927</v>
      </c>
      <c r="PQG1" s="24" t="s">
        <v>23928</v>
      </c>
      <c r="PQH1" s="24" t="s">
        <v>23929</v>
      </c>
      <c r="PQI1" s="24" t="s">
        <v>23930</v>
      </c>
      <c r="PQJ1" s="24" t="s">
        <v>23931</v>
      </c>
      <c r="PQK1" s="24" t="s">
        <v>23932</v>
      </c>
      <c r="PQL1" s="24" t="s">
        <v>23933</v>
      </c>
      <c r="PQM1" s="24" t="s">
        <v>23934</v>
      </c>
      <c r="PQN1" s="24" t="s">
        <v>23935</v>
      </c>
      <c r="PQO1" s="24" t="s">
        <v>23936</v>
      </c>
      <c r="PQP1" s="24" t="s">
        <v>23937</v>
      </c>
      <c r="PQQ1" s="24" t="s">
        <v>23938</v>
      </c>
      <c r="PQR1" s="24" t="s">
        <v>23939</v>
      </c>
      <c r="PQS1" s="24" t="s">
        <v>23940</v>
      </c>
      <c r="PQT1" s="24" t="s">
        <v>23941</v>
      </c>
      <c r="PQU1" s="24" t="s">
        <v>23942</v>
      </c>
      <c r="PQV1" s="24" t="s">
        <v>23943</v>
      </c>
      <c r="PQW1" s="24" t="s">
        <v>23944</v>
      </c>
      <c r="PQX1" s="24" t="s">
        <v>23945</v>
      </c>
      <c r="PQY1" s="24" t="s">
        <v>23946</v>
      </c>
      <c r="PQZ1" s="24" t="s">
        <v>23947</v>
      </c>
      <c r="PRA1" s="24" t="s">
        <v>23948</v>
      </c>
      <c r="PRB1" s="24" t="s">
        <v>23949</v>
      </c>
      <c r="PRC1" s="24" t="s">
        <v>23950</v>
      </c>
      <c r="PRD1" s="24" t="s">
        <v>23951</v>
      </c>
      <c r="PRE1" s="24" t="s">
        <v>23952</v>
      </c>
      <c r="PRF1" s="24" t="s">
        <v>23953</v>
      </c>
      <c r="PRG1" s="24" t="s">
        <v>23954</v>
      </c>
      <c r="PRH1" s="24" t="s">
        <v>23955</v>
      </c>
      <c r="PRI1" s="24" t="s">
        <v>23956</v>
      </c>
      <c r="PRJ1" s="24" t="s">
        <v>23957</v>
      </c>
      <c r="PRK1" s="24" t="s">
        <v>23958</v>
      </c>
      <c r="PRL1" s="24" t="s">
        <v>23959</v>
      </c>
      <c r="PRM1" s="24" t="s">
        <v>23960</v>
      </c>
      <c r="PRN1" s="24" t="s">
        <v>23961</v>
      </c>
      <c r="PRO1" s="24" t="s">
        <v>23962</v>
      </c>
      <c r="PRP1" s="24" t="s">
        <v>23963</v>
      </c>
      <c r="PRQ1" s="24" t="s">
        <v>23964</v>
      </c>
      <c r="PRR1" s="24" t="s">
        <v>23965</v>
      </c>
      <c r="PRS1" s="24" t="s">
        <v>23966</v>
      </c>
      <c r="PRT1" s="24" t="s">
        <v>23967</v>
      </c>
      <c r="PRU1" s="24" t="s">
        <v>23968</v>
      </c>
      <c r="PRV1" s="24" t="s">
        <v>23969</v>
      </c>
      <c r="PRW1" s="24" t="s">
        <v>23970</v>
      </c>
      <c r="PRX1" s="24" t="s">
        <v>23971</v>
      </c>
      <c r="PRY1" s="24" t="s">
        <v>23972</v>
      </c>
      <c r="PRZ1" s="24" t="s">
        <v>23973</v>
      </c>
      <c r="PSA1" s="24" t="s">
        <v>23974</v>
      </c>
      <c r="PSB1" s="24" t="s">
        <v>23975</v>
      </c>
      <c r="PSC1" s="24" t="s">
        <v>23976</v>
      </c>
      <c r="PSD1" s="24" t="s">
        <v>23977</v>
      </c>
      <c r="PSE1" s="24" t="s">
        <v>23978</v>
      </c>
      <c r="PSF1" s="24" t="s">
        <v>23979</v>
      </c>
      <c r="PSG1" s="24" t="s">
        <v>23980</v>
      </c>
      <c r="PSH1" s="24" t="s">
        <v>23981</v>
      </c>
      <c r="PSI1" s="24" t="s">
        <v>23982</v>
      </c>
      <c r="PSJ1" s="24" t="s">
        <v>23983</v>
      </c>
      <c r="PSK1" s="24" t="s">
        <v>23984</v>
      </c>
      <c r="PSL1" s="24" t="s">
        <v>23985</v>
      </c>
      <c r="PSM1" s="24" t="s">
        <v>23986</v>
      </c>
      <c r="PSN1" s="24" t="s">
        <v>23987</v>
      </c>
      <c r="PSO1" s="24" t="s">
        <v>23988</v>
      </c>
      <c r="PSP1" s="24" t="s">
        <v>23989</v>
      </c>
      <c r="PSQ1" s="24" t="s">
        <v>23990</v>
      </c>
      <c r="PSR1" s="24" t="s">
        <v>23991</v>
      </c>
      <c r="PSS1" s="24" t="s">
        <v>23992</v>
      </c>
      <c r="PST1" s="24" t="s">
        <v>23993</v>
      </c>
      <c r="PSU1" s="24" t="s">
        <v>23994</v>
      </c>
      <c r="PSV1" s="24" t="s">
        <v>23995</v>
      </c>
      <c r="PSW1" s="24" t="s">
        <v>23996</v>
      </c>
      <c r="PSX1" s="24" t="s">
        <v>23997</v>
      </c>
      <c r="PSY1" s="24" t="s">
        <v>23998</v>
      </c>
      <c r="PSZ1" s="24" t="s">
        <v>23999</v>
      </c>
      <c r="PTA1" s="24" t="s">
        <v>24000</v>
      </c>
      <c r="PTB1" s="24" t="s">
        <v>24001</v>
      </c>
      <c r="PTC1" s="24" t="s">
        <v>24002</v>
      </c>
      <c r="PTD1" s="24" t="s">
        <v>24003</v>
      </c>
      <c r="PTE1" s="24" t="s">
        <v>24004</v>
      </c>
      <c r="PTF1" s="24" t="s">
        <v>24005</v>
      </c>
      <c r="PTG1" s="24" t="s">
        <v>24006</v>
      </c>
      <c r="PTH1" s="24" t="s">
        <v>24007</v>
      </c>
      <c r="PTI1" s="24" t="s">
        <v>24008</v>
      </c>
      <c r="PTJ1" s="24" t="s">
        <v>24009</v>
      </c>
      <c r="PTK1" s="24" t="s">
        <v>24010</v>
      </c>
      <c r="PTL1" s="24" t="s">
        <v>24011</v>
      </c>
      <c r="PTM1" s="24" t="s">
        <v>24012</v>
      </c>
      <c r="PTN1" s="24" t="s">
        <v>24013</v>
      </c>
      <c r="PTO1" s="24" t="s">
        <v>24014</v>
      </c>
      <c r="PTP1" s="24" t="s">
        <v>24015</v>
      </c>
      <c r="PTQ1" s="24" t="s">
        <v>24016</v>
      </c>
      <c r="PTR1" s="24" t="s">
        <v>24017</v>
      </c>
      <c r="PTS1" s="24" t="s">
        <v>24018</v>
      </c>
      <c r="PTT1" s="24" t="s">
        <v>24019</v>
      </c>
      <c r="PTU1" s="24" t="s">
        <v>24020</v>
      </c>
      <c r="PTV1" s="24" t="s">
        <v>24021</v>
      </c>
      <c r="PTW1" s="24" t="s">
        <v>24022</v>
      </c>
      <c r="PTX1" s="24" t="s">
        <v>24023</v>
      </c>
      <c r="PTY1" s="24" t="s">
        <v>24024</v>
      </c>
      <c r="PTZ1" s="24" t="s">
        <v>24025</v>
      </c>
      <c r="PUA1" s="24" t="s">
        <v>24026</v>
      </c>
      <c r="PUB1" s="24" t="s">
        <v>24027</v>
      </c>
      <c r="PUC1" s="24" t="s">
        <v>24028</v>
      </c>
      <c r="PUD1" s="24" t="s">
        <v>24029</v>
      </c>
      <c r="PUE1" s="24" t="s">
        <v>24030</v>
      </c>
      <c r="PUF1" s="24" t="s">
        <v>24031</v>
      </c>
      <c r="PUG1" s="24" t="s">
        <v>24032</v>
      </c>
      <c r="PUH1" s="24" t="s">
        <v>24033</v>
      </c>
      <c r="PUI1" s="24" t="s">
        <v>24034</v>
      </c>
      <c r="PUJ1" s="24" t="s">
        <v>24035</v>
      </c>
      <c r="PUK1" s="24" t="s">
        <v>24036</v>
      </c>
      <c r="PUL1" s="24" t="s">
        <v>24037</v>
      </c>
      <c r="PUM1" s="24" t="s">
        <v>24038</v>
      </c>
      <c r="PUN1" s="24" t="s">
        <v>24039</v>
      </c>
      <c r="PUO1" s="24" t="s">
        <v>24040</v>
      </c>
      <c r="PUP1" s="24" t="s">
        <v>24041</v>
      </c>
      <c r="PUQ1" s="24" t="s">
        <v>24042</v>
      </c>
      <c r="PUR1" s="24" t="s">
        <v>24043</v>
      </c>
      <c r="PUS1" s="24" t="s">
        <v>24044</v>
      </c>
      <c r="PUT1" s="24" t="s">
        <v>24045</v>
      </c>
      <c r="PUU1" s="24" t="s">
        <v>24046</v>
      </c>
      <c r="PUV1" s="24" t="s">
        <v>24047</v>
      </c>
      <c r="PUW1" s="24" t="s">
        <v>24048</v>
      </c>
      <c r="PUX1" s="24" t="s">
        <v>24049</v>
      </c>
      <c r="PUY1" s="24" t="s">
        <v>24050</v>
      </c>
      <c r="PUZ1" s="24" t="s">
        <v>24051</v>
      </c>
      <c r="PVA1" s="24" t="s">
        <v>24052</v>
      </c>
      <c r="PVB1" s="24" t="s">
        <v>24053</v>
      </c>
      <c r="PVC1" s="24" t="s">
        <v>24054</v>
      </c>
      <c r="PVD1" s="24" t="s">
        <v>24055</v>
      </c>
      <c r="PVE1" s="24" t="s">
        <v>24056</v>
      </c>
      <c r="PVF1" s="24" t="s">
        <v>24057</v>
      </c>
      <c r="PVG1" s="24" t="s">
        <v>24058</v>
      </c>
      <c r="PVH1" s="24" t="s">
        <v>24059</v>
      </c>
      <c r="PVI1" s="24" t="s">
        <v>24060</v>
      </c>
      <c r="PVJ1" s="24" t="s">
        <v>24061</v>
      </c>
      <c r="PVK1" s="24" t="s">
        <v>24062</v>
      </c>
      <c r="PVL1" s="24" t="s">
        <v>24063</v>
      </c>
      <c r="PVM1" s="24" t="s">
        <v>24064</v>
      </c>
      <c r="PVN1" s="24" t="s">
        <v>24065</v>
      </c>
      <c r="PVO1" s="24" t="s">
        <v>24066</v>
      </c>
      <c r="PVP1" s="24" t="s">
        <v>24067</v>
      </c>
      <c r="PVQ1" s="24" t="s">
        <v>24068</v>
      </c>
      <c r="PVR1" s="24" t="s">
        <v>24069</v>
      </c>
      <c r="PVS1" s="24" t="s">
        <v>24070</v>
      </c>
      <c r="PVT1" s="24" t="s">
        <v>24071</v>
      </c>
      <c r="PVU1" s="24" t="s">
        <v>24072</v>
      </c>
      <c r="PVV1" s="24" t="s">
        <v>24073</v>
      </c>
      <c r="PVW1" s="24" t="s">
        <v>24074</v>
      </c>
      <c r="PVX1" s="24" t="s">
        <v>24075</v>
      </c>
      <c r="PVY1" s="24" t="s">
        <v>24076</v>
      </c>
      <c r="PVZ1" s="24" t="s">
        <v>24077</v>
      </c>
      <c r="PWA1" s="24" t="s">
        <v>24078</v>
      </c>
      <c r="PWB1" s="24" t="s">
        <v>24079</v>
      </c>
      <c r="PWC1" s="24" t="s">
        <v>24080</v>
      </c>
      <c r="PWD1" s="24" t="s">
        <v>24081</v>
      </c>
      <c r="PWE1" s="24" t="s">
        <v>24082</v>
      </c>
      <c r="PWF1" s="24" t="s">
        <v>24083</v>
      </c>
      <c r="PWG1" s="24" t="s">
        <v>24084</v>
      </c>
      <c r="PWH1" s="24" t="s">
        <v>24085</v>
      </c>
      <c r="PWI1" s="24" t="s">
        <v>24086</v>
      </c>
      <c r="PWJ1" s="24" t="s">
        <v>24087</v>
      </c>
      <c r="PWK1" s="24" t="s">
        <v>24088</v>
      </c>
      <c r="PWL1" s="24" t="s">
        <v>24089</v>
      </c>
      <c r="PWM1" s="24" t="s">
        <v>24090</v>
      </c>
      <c r="PWN1" s="24" t="s">
        <v>24091</v>
      </c>
      <c r="PWO1" s="24" t="s">
        <v>24092</v>
      </c>
      <c r="PWP1" s="24" t="s">
        <v>24093</v>
      </c>
      <c r="PWQ1" s="24" t="s">
        <v>24094</v>
      </c>
      <c r="PWR1" s="24" t="s">
        <v>24095</v>
      </c>
      <c r="PWS1" s="24" t="s">
        <v>24096</v>
      </c>
      <c r="PWT1" s="24" t="s">
        <v>24097</v>
      </c>
      <c r="PWU1" s="24" t="s">
        <v>24098</v>
      </c>
      <c r="PWV1" s="24" t="s">
        <v>24099</v>
      </c>
      <c r="PWW1" s="24" t="s">
        <v>24100</v>
      </c>
      <c r="PWX1" s="24" t="s">
        <v>24101</v>
      </c>
      <c r="PWY1" s="24" t="s">
        <v>24102</v>
      </c>
      <c r="PWZ1" s="24" t="s">
        <v>24103</v>
      </c>
      <c r="PXA1" s="24" t="s">
        <v>24104</v>
      </c>
      <c r="PXB1" s="24" t="s">
        <v>24105</v>
      </c>
      <c r="PXC1" s="24" t="s">
        <v>24106</v>
      </c>
      <c r="PXD1" s="24" t="s">
        <v>24107</v>
      </c>
      <c r="PXE1" s="24" t="s">
        <v>24108</v>
      </c>
      <c r="PXF1" s="24" t="s">
        <v>24109</v>
      </c>
      <c r="PXG1" s="24" t="s">
        <v>24110</v>
      </c>
      <c r="PXH1" s="24" t="s">
        <v>24111</v>
      </c>
      <c r="PXI1" s="24" t="s">
        <v>24112</v>
      </c>
      <c r="PXJ1" s="24" t="s">
        <v>24113</v>
      </c>
      <c r="PXK1" s="24" t="s">
        <v>24114</v>
      </c>
      <c r="PXL1" s="24" t="s">
        <v>24115</v>
      </c>
      <c r="PXM1" s="24" t="s">
        <v>24116</v>
      </c>
      <c r="PXN1" s="24" t="s">
        <v>24117</v>
      </c>
      <c r="PXO1" s="24" t="s">
        <v>24118</v>
      </c>
      <c r="PXP1" s="24" t="s">
        <v>24119</v>
      </c>
      <c r="PXQ1" s="24" t="s">
        <v>24120</v>
      </c>
      <c r="PXR1" s="24" t="s">
        <v>24121</v>
      </c>
      <c r="PXS1" s="24" t="s">
        <v>24122</v>
      </c>
      <c r="PXT1" s="24" t="s">
        <v>24123</v>
      </c>
      <c r="PXU1" s="24" t="s">
        <v>24124</v>
      </c>
      <c r="PXV1" s="24" t="s">
        <v>24125</v>
      </c>
      <c r="PXW1" s="24" t="s">
        <v>24126</v>
      </c>
      <c r="PXX1" s="24" t="s">
        <v>24127</v>
      </c>
      <c r="PXY1" s="24" t="s">
        <v>24128</v>
      </c>
      <c r="PXZ1" s="24" t="s">
        <v>24129</v>
      </c>
      <c r="PYA1" s="24" t="s">
        <v>24130</v>
      </c>
      <c r="PYB1" s="24" t="s">
        <v>24131</v>
      </c>
      <c r="PYC1" s="24" t="s">
        <v>24132</v>
      </c>
      <c r="PYD1" s="24" t="s">
        <v>24133</v>
      </c>
      <c r="PYE1" s="24" t="s">
        <v>24134</v>
      </c>
      <c r="PYF1" s="24" t="s">
        <v>24135</v>
      </c>
      <c r="PYG1" s="24" t="s">
        <v>24136</v>
      </c>
      <c r="PYH1" s="24" t="s">
        <v>24137</v>
      </c>
      <c r="PYI1" s="24" t="s">
        <v>24138</v>
      </c>
      <c r="PYJ1" s="24" t="s">
        <v>24139</v>
      </c>
      <c r="PYK1" s="24" t="s">
        <v>24140</v>
      </c>
      <c r="PYL1" s="24" t="s">
        <v>24141</v>
      </c>
      <c r="PYM1" s="24" t="s">
        <v>24142</v>
      </c>
      <c r="PYN1" s="24" t="s">
        <v>24143</v>
      </c>
      <c r="PYO1" s="24" t="s">
        <v>24144</v>
      </c>
      <c r="PYP1" s="24" t="s">
        <v>24145</v>
      </c>
      <c r="PYQ1" s="24" t="s">
        <v>24146</v>
      </c>
      <c r="PYR1" s="24" t="s">
        <v>24147</v>
      </c>
      <c r="PYS1" s="24" t="s">
        <v>24148</v>
      </c>
      <c r="PYT1" s="24" t="s">
        <v>24149</v>
      </c>
      <c r="PYU1" s="24" t="s">
        <v>24150</v>
      </c>
      <c r="PYV1" s="24" t="s">
        <v>24151</v>
      </c>
      <c r="PYW1" s="24" t="s">
        <v>24152</v>
      </c>
      <c r="PYX1" s="24" t="s">
        <v>24153</v>
      </c>
      <c r="PYY1" s="24" t="s">
        <v>24154</v>
      </c>
      <c r="PYZ1" s="24" t="s">
        <v>24155</v>
      </c>
      <c r="PZA1" s="24" t="s">
        <v>24156</v>
      </c>
      <c r="PZB1" s="24" t="s">
        <v>24157</v>
      </c>
      <c r="PZC1" s="24" t="s">
        <v>24158</v>
      </c>
      <c r="PZD1" s="24" t="s">
        <v>24159</v>
      </c>
      <c r="PZE1" s="24" t="s">
        <v>24160</v>
      </c>
      <c r="PZF1" s="24" t="s">
        <v>24161</v>
      </c>
      <c r="PZG1" s="24" t="s">
        <v>24162</v>
      </c>
      <c r="PZH1" s="24" t="s">
        <v>24163</v>
      </c>
      <c r="PZI1" s="24" t="s">
        <v>24164</v>
      </c>
      <c r="PZJ1" s="24" t="s">
        <v>24165</v>
      </c>
      <c r="PZK1" s="24" t="s">
        <v>24166</v>
      </c>
      <c r="PZL1" s="24" t="s">
        <v>24167</v>
      </c>
      <c r="PZM1" s="24" t="s">
        <v>24168</v>
      </c>
      <c r="PZN1" s="24" t="s">
        <v>24169</v>
      </c>
      <c r="PZO1" s="24" t="s">
        <v>24170</v>
      </c>
      <c r="PZP1" s="24" t="s">
        <v>24171</v>
      </c>
      <c r="PZQ1" s="24" t="s">
        <v>24172</v>
      </c>
      <c r="PZR1" s="24" t="s">
        <v>24173</v>
      </c>
      <c r="PZS1" s="24" t="s">
        <v>24174</v>
      </c>
      <c r="PZT1" s="24" t="s">
        <v>24175</v>
      </c>
      <c r="PZU1" s="24" t="s">
        <v>24176</v>
      </c>
      <c r="PZV1" s="24" t="s">
        <v>24177</v>
      </c>
      <c r="PZW1" s="24" t="s">
        <v>24178</v>
      </c>
      <c r="PZX1" s="24" t="s">
        <v>24179</v>
      </c>
      <c r="PZY1" s="24" t="s">
        <v>24180</v>
      </c>
      <c r="PZZ1" s="24" t="s">
        <v>24181</v>
      </c>
      <c r="QAA1" s="24" t="s">
        <v>24182</v>
      </c>
      <c r="QAB1" s="24" t="s">
        <v>24183</v>
      </c>
      <c r="QAC1" s="24" t="s">
        <v>24184</v>
      </c>
      <c r="QAD1" s="24" t="s">
        <v>24185</v>
      </c>
      <c r="QAE1" s="24" t="s">
        <v>24186</v>
      </c>
      <c r="QAF1" s="24" t="s">
        <v>24187</v>
      </c>
      <c r="QAG1" s="24" t="s">
        <v>24188</v>
      </c>
      <c r="QAH1" s="24" t="s">
        <v>24189</v>
      </c>
      <c r="QAI1" s="24" t="s">
        <v>24190</v>
      </c>
      <c r="QAJ1" s="24" t="s">
        <v>24191</v>
      </c>
      <c r="QAK1" s="24" t="s">
        <v>24192</v>
      </c>
      <c r="QAL1" s="24" t="s">
        <v>24193</v>
      </c>
      <c r="QAM1" s="24" t="s">
        <v>24194</v>
      </c>
      <c r="QAN1" s="24" t="s">
        <v>24195</v>
      </c>
      <c r="QAO1" s="24" t="s">
        <v>24196</v>
      </c>
      <c r="QAP1" s="24" t="s">
        <v>24197</v>
      </c>
      <c r="QAQ1" s="24" t="s">
        <v>24198</v>
      </c>
      <c r="QAR1" s="24" t="s">
        <v>24199</v>
      </c>
      <c r="QAS1" s="24" t="s">
        <v>24200</v>
      </c>
      <c r="QAT1" s="24" t="s">
        <v>24201</v>
      </c>
      <c r="QAU1" s="24" t="s">
        <v>24202</v>
      </c>
      <c r="QAV1" s="24" t="s">
        <v>24203</v>
      </c>
      <c r="QAW1" s="24" t="s">
        <v>24204</v>
      </c>
      <c r="QAX1" s="24" t="s">
        <v>24205</v>
      </c>
      <c r="QAY1" s="24" t="s">
        <v>24206</v>
      </c>
      <c r="QAZ1" s="24" t="s">
        <v>24207</v>
      </c>
      <c r="QBA1" s="24" t="s">
        <v>24208</v>
      </c>
      <c r="QBB1" s="24" t="s">
        <v>24209</v>
      </c>
      <c r="QBC1" s="24" t="s">
        <v>24210</v>
      </c>
      <c r="QBD1" s="24" t="s">
        <v>24211</v>
      </c>
      <c r="QBE1" s="24" t="s">
        <v>24212</v>
      </c>
      <c r="QBF1" s="24" t="s">
        <v>24213</v>
      </c>
      <c r="QBG1" s="24" t="s">
        <v>24214</v>
      </c>
      <c r="QBH1" s="24" t="s">
        <v>24215</v>
      </c>
      <c r="QBI1" s="24" t="s">
        <v>24216</v>
      </c>
      <c r="QBJ1" s="24" t="s">
        <v>24217</v>
      </c>
      <c r="QBK1" s="24" t="s">
        <v>24218</v>
      </c>
      <c r="QBL1" s="24" t="s">
        <v>24219</v>
      </c>
      <c r="QBM1" s="24" t="s">
        <v>24220</v>
      </c>
      <c r="QBN1" s="24" t="s">
        <v>24221</v>
      </c>
      <c r="QBO1" s="24" t="s">
        <v>24222</v>
      </c>
      <c r="QBP1" s="24" t="s">
        <v>24223</v>
      </c>
      <c r="QBQ1" s="24" t="s">
        <v>24224</v>
      </c>
      <c r="QBR1" s="24" t="s">
        <v>24225</v>
      </c>
      <c r="QBS1" s="24" t="s">
        <v>24226</v>
      </c>
      <c r="QBT1" s="24" t="s">
        <v>24227</v>
      </c>
      <c r="QBU1" s="24" t="s">
        <v>24228</v>
      </c>
      <c r="QBV1" s="24" t="s">
        <v>24229</v>
      </c>
      <c r="QBW1" s="24" t="s">
        <v>24230</v>
      </c>
      <c r="QBX1" s="24" t="s">
        <v>24231</v>
      </c>
      <c r="QBY1" s="24" t="s">
        <v>24232</v>
      </c>
      <c r="QBZ1" s="24" t="s">
        <v>24233</v>
      </c>
      <c r="QCA1" s="24" t="s">
        <v>24234</v>
      </c>
      <c r="QCB1" s="24" t="s">
        <v>24235</v>
      </c>
      <c r="QCC1" s="24" t="s">
        <v>24236</v>
      </c>
      <c r="QCD1" s="24" t="s">
        <v>24237</v>
      </c>
      <c r="QCE1" s="24" t="s">
        <v>24238</v>
      </c>
      <c r="QCF1" s="24" t="s">
        <v>24239</v>
      </c>
      <c r="QCG1" s="24" t="s">
        <v>24240</v>
      </c>
      <c r="QCH1" s="24" t="s">
        <v>24241</v>
      </c>
      <c r="QCI1" s="24" t="s">
        <v>24242</v>
      </c>
      <c r="QCJ1" s="24" t="s">
        <v>24243</v>
      </c>
      <c r="QCK1" s="24" t="s">
        <v>24244</v>
      </c>
      <c r="QCL1" s="24" t="s">
        <v>24245</v>
      </c>
      <c r="QCM1" s="24" t="s">
        <v>24246</v>
      </c>
      <c r="QCN1" s="24" t="s">
        <v>24247</v>
      </c>
      <c r="QCO1" s="24" t="s">
        <v>24248</v>
      </c>
      <c r="QCP1" s="24" t="s">
        <v>24249</v>
      </c>
      <c r="QCQ1" s="24" t="s">
        <v>24250</v>
      </c>
      <c r="QCR1" s="24" t="s">
        <v>24251</v>
      </c>
      <c r="QCS1" s="24" t="s">
        <v>24252</v>
      </c>
      <c r="QCT1" s="24" t="s">
        <v>24253</v>
      </c>
      <c r="QCU1" s="24" t="s">
        <v>24254</v>
      </c>
      <c r="QCV1" s="24" t="s">
        <v>24255</v>
      </c>
      <c r="QCW1" s="24" t="s">
        <v>24256</v>
      </c>
      <c r="QCX1" s="24" t="s">
        <v>24257</v>
      </c>
      <c r="QCY1" s="24" t="s">
        <v>24258</v>
      </c>
      <c r="QCZ1" s="24" t="s">
        <v>24259</v>
      </c>
      <c r="QDA1" s="24" t="s">
        <v>24260</v>
      </c>
      <c r="QDB1" s="24" t="s">
        <v>24261</v>
      </c>
      <c r="QDC1" s="24" t="s">
        <v>24262</v>
      </c>
      <c r="QDD1" s="24" t="s">
        <v>24263</v>
      </c>
      <c r="QDE1" s="24" t="s">
        <v>24264</v>
      </c>
      <c r="QDF1" s="24" t="s">
        <v>24265</v>
      </c>
      <c r="QDG1" s="24" t="s">
        <v>24266</v>
      </c>
      <c r="QDH1" s="24" t="s">
        <v>24267</v>
      </c>
      <c r="QDI1" s="24" t="s">
        <v>24268</v>
      </c>
      <c r="QDJ1" s="24" t="s">
        <v>24269</v>
      </c>
      <c r="QDK1" s="24" t="s">
        <v>24270</v>
      </c>
      <c r="QDL1" s="24" t="s">
        <v>24271</v>
      </c>
      <c r="QDM1" s="24" t="s">
        <v>24272</v>
      </c>
      <c r="QDN1" s="24" t="s">
        <v>24273</v>
      </c>
      <c r="QDO1" s="24" t="s">
        <v>24274</v>
      </c>
      <c r="QDP1" s="24" t="s">
        <v>24275</v>
      </c>
      <c r="QDQ1" s="24" t="s">
        <v>24276</v>
      </c>
      <c r="QDR1" s="24" t="s">
        <v>24277</v>
      </c>
      <c r="QDS1" s="24" t="s">
        <v>24278</v>
      </c>
      <c r="QDT1" s="24" t="s">
        <v>24279</v>
      </c>
      <c r="QDU1" s="24" t="s">
        <v>24280</v>
      </c>
      <c r="QDV1" s="24" t="s">
        <v>24281</v>
      </c>
      <c r="QDW1" s="24" t="s">
        <v>24282</v>
      </c>
      <c r="QDX1" s="24" t="s">
        <v>24283</v>
      </c>
      <c r="QDY1" s="24" t="s">
        <v>24284</v>
      </c>
      <c r="QDZ1" s="24" t="s">
        <v>24285</v>
      </c>
      <c r="QEA1" s="24" t="s">
        <v>24286</v>
      </c>
      <c r="QEB1" s="24" t="s">
        <v>24287</v>
      </c>
      <c r="QEC1" s="24" t="s">
        <v>24288</v>
      </c>
      <c r="QED1" s="24" t="s">
        <v>24289</v>
      </c>
      <c r="QEE1" s="24" t="s">
        <v>24290</v>
      </c>
      <c r="QEF1" s="24" t="s">
        <v>24291</v>
      </c>
      <c r="QEG1" s="24" t="s">
        <v>24292</v>
      </c>
      <c r="QEH1" s="24" t="s">
        <v>24293</v>
      </c>
      <c r="QEI1" s="24" t="s">
        <v>24294</v>
      </c>
      <c r="QEJ1" s="24" t="s">
        <v>24295</v>
      </c>
      <c r="QEK1" s="24" t="s">
        <v>24296</v>
      </c>
      <c r="QEL1" s="24" t="s">
        <v>24297</v>
      </c>
      <c r="QEM1" s="24" t="s">
        <v>24298</v>
      </c>
      <c r="QEN1" s="24" t="s">
        <v>24299</v>
      </c>
      <c r="QEO1" s="24" t="s">
        <v>24300</v>
      </c>
      <c r="QEP1" s="24" t="s">
        <v>24301</v>
      </c>
      <c r="QEQ1" s="24" t="s">
        <v>24302</v>
      </c>
      <c r="QER1" s="24" t="s">
        <v>24303</v>
      </c>
      <c r="QES1" s="24" t="s">
        <v>24304</v>
      </c>
      <c r="QET1" s="24" t="s">
        <v>24305</v>
      </c>
      <c r="QEU1" s="24" t="s">
        <v>24306</v>
      </c>
      <c r="QEV1" s="24" t="s">
        <v>24307</v>
      </c>
      <c r="QEW1" s="24" t="s">
        <v>24308</v>
      </c>
      <c r="QEX1" s="24" t="s">
        <v>24309</v>
      </c>
      <c r="QEY1" s="24" t="s">
        <v>24310</v>
      </c>
      <c r="QEZ1" s="24" t="s">
        <v>24311</v>
      </c>
      <c r="QFA1" s="24" t="s">
        <v>24312</v>
      </c>
      <c r="QFB1" s="24" t="s">
        <v>24313</v>
      </c>
      <c r="QFC1" s="24" t="s">
        <v>24314</v>
      </c>
      <c r="QFD1" s="24" t="s">
        <v>24315</v>
      </c>
      <c r="QFE1" s="24" t="s">
        <v>24316</v>
      </c>
      <c r="QFF1" s="24" t="s">
        <v>24317</v>
      </c>
      <c r="QFG1" s="24" t="s">
        <v>24318</v>
      </c>
      <c r="QFH1" s="24" t="s">
        <v>24319</v>
      </c>
      <c r="QFI1" s="24" t="s">
        <v>24320</v>
      </c>
      <c r="QFJ1" s="24" t="s">
        <v>24321</v>
      </c>
      <c r="QFK1" s="24" t="s">
        <v>24322</v>
      </c>
      <c r="QFL1" s="24" t="s">
        <v>24323</v>
      </c>
      <c r="QFM1" s="24" t="s">
        <v>24324</v>
      </c>
      <c r="QFN1" s="24" t="s">
        <v>24325</v>
      </c>
      <c r="QFO1" s="24" t="s">
        <v>24326</v>
      </c>
      <c r="QFP1" s="24" t="s">
        <v>24327</v>
      </c>
      <c r="QFQ1" s="24" t="s">
        <v>24328</v>
      </c>
      <c r="QFR1" s="24" t="s">
        <v>24329</v>
      </c>
      <c r="QFS1" s="24" t="s">
        <v>24330</v>
      </c>
      <c r="QFT1" s="24" t="s">
        <v>24331</v>
      </c>
      <c r="QFU1" s="24" t="s">
        <v>24332</v>
      </c>
      <c r="QFV1" s="24" t="s">
        <v>24333</v>
      </c>
      <c r="QFW1" s="24" t="s">
        <v>24334</v>
      </c>
      <c r="QFX1" s="24" t="s">
        <v>24335</v>
      </c>
      <c r="QFY1" s="24" t="s">
        <v>24336</v>
      </c>
      <c r="QFZ1" s="24" t="s">
        <v>24337</v>
      </c>
      <c r="QGA1" s="24" t="s">
        <v>24338</v>
      </c>
      <c r="QGB1" s="24" t="s">
        <v>24339</v>
      </c>
      <c r="QGC1" s="24" t="s">
        <v>24340</v>
      </c>
      <c r="QGD1" s="24" t="s">
        <v>24341</v>
      </c>
      <c r="QGE1" s="24" t="s">
        <v>24342</v>
      </c>
      <c r="QGF1" s="24" t="s">
        <v>24343</v>
      </c>
      <c r="QGG1" s="24" t="s">
        <v>24344</v>
      </c>
      <c r="QGH1" s="24" t="s">
        <v>24345</v>
      </c>
      <c r="QGI1" s="24" t="s">
        <v>24346</v>
      </c>
      <c r="QGJ1" s="24" t="s">
        <v>24347</v>
      </c>
      <c r="QGK1" s="24" t="s">
        <v>24348</v>
      </c>
      <c r="QGL1" s="24" t="s">
        <v>24349</v>
      </c>
      <c r="QGM1" s="24" t="s">
        <v>24350</v>
      </c>
      <c r="QGN1" s="24" t="s">
        <v>24351</v>
      </c>
      <c r="QGO1" s="24" t="s">
        <v>24352</v>
      </c>
      <c r="QGP1" s="24" t="s">
        <v>24353</v>
      </c>
      <c r="QGQ1" s="24" t="s">
        <v>24354</v>
      </c>
      <c r="QGR1" s="24" t="s">
        <v>24355</v>
      </c>
      <c r="QGS1" s="24" t="s">
        <v>24356</v>
      </c>
      <c r="QGT1" s="24" t="s">
        <v>24357</v>
      </c>
      <c r="QGU1" s="24" t="s">
        <v>24358</v>
      </c>
      <c r="QGV1" s="24" t="s">
        <v>24359</v>
      </c>
      <c r="QGW1" s="24" t="s">
        <v>24360</v>
      </c>
      <c r="QGX1" s="24" t="s">
        <v>24361</v>
      </c>
      <c r="QGY1" s="24" t="s">
        <v>24362</v>
      </c>
      <c r="QGZ1" s="24" t="s">
        <v>24363</v>
      </c>
      <c r="QHA1" s="24" t="s">
        <v>24364</v>
      </c>
      <c r="QHB1" s="24" t="s">
        <v>24365</v>
      </c>
      <c r="QHC1" s="24" t="s">
        <v>24366</v>
      </c>
      <c r="QHD1" s="24" t="s">
        <v>24367</v>
      </c>
      <c r="QHE1" s="24" t="s">
        <v>24368</v>
      </c>
      <c r="QHF1" s="24" t="s">
        <v>24369</v>
      </c>
      <c r="QHG1" s="24" t="s">
        <v>24370</v>
      </c>
      <c r="QHH1" s="24" t="s">
        <v>24371</v>
      </c>
      <c r="QHI1" s="24" t="s">
        <v>24372</v>
      </c>
      <c r="QHJ1" s="24" t="s">
        <v>24373</v>
      </c>
      <c r="QHK1" s="24" t="s">
        <v>24374</v>
      </c>
      <c r="QHL1" s="24" t="s">
        <v>24375</v>
      </c>
      <c r="QHM1" s="24" t="s">
        <v>24376</v>
      </c>
      <c r="QHN1" s="24" t="s">
        <v>24377</v>
      </c>
      <c r="QHO1" s="24" t="s">
        <v>24378</v>
      </c>
      <c r="QHP1" s="24" t="s">
        <v>24379</v>
      </c>
      <c r="QHQ1" s="24" t="s">
        <v>24380</v>
      </c>
      <c r="QHR1" s="24" t="s">
        <v>24381</v>
      </c>
      <c r="QHS1" s="24" t="s">
        <v>24382</v>
      </c>
      <c r="QHT1" s="24" t="s">
        <v>24383</v>
      </c>
      <c r="QHU1" s="24" t="s">
        <v>24384</v>
      </c>
      <c r="QHV1" s="24" t="s">
        <v>24385</v>
      </c>
      <c r="QHW1" s="24" t="s">
        <v>24386</v>
      </c>
      <c r="QHX1" s="24" t="s">
        <v>24387</v>
      </c>
      <c r="QHY1" s="24" t="s">
        <v>24388</v>
      </c>
      <c r="QHZ1" s="24" t="s">
        <v>24389</v>
      </c>
      <c r="QIA1" s="24" t="s">
        <v>24390</v>
      </c>
      <c r="QIB1" s="24" t="s">
        <v>24391</v>
      </c>
      <c r="QIC1" s="24" t="s">
        <v>24392</v>
      </c>
      <c r="QID1" s="24" t="s">
        <v>24393</v>
      </c>
      <c r="QIE1" s="24" t="s">
        <v>24394</v>
      </c>
      <c r="QIF1" s="24" t="s">
        <v>24395</v>
      </c>
      <c r="QIG1" s="24" t="s">
        <v>24396</v>
      </c>
      <c r="QIH1" s="24" t="s">
        <v>24397</v>
      </c>
      <c r="QII1" s="24" t="s">
        <v>24398</v>
      </c>
      <c r="QIJ1" s="24" t="s">
        <v>24399</v>
      </c>
      <c r="QIK1" s="24" t="s">
        <v>24400</v>
      </c>
      <c r="QIL1" s="24" t="s">
        <v>24401</v>
      </c>
      <c r="QIM1" s="24" t="s">
        <v>24402</v>
      </c>
      <c r="QIN1" s="24" t="s">
        <v>24403</v>
      </c>
      <c r="QIO1" s="24" t="s">
        <v>24404</v>
      </c>
      <c r="QIP1" s="24" t="s">
        <v>24405</v>
      </c>
      <c r="QIQ1" s="24" t="s">
        <v>24406</v>
      </c>
      <c r="QIR1" s="24" t="s">
        <v>24407</v>
      </c>
      <c r="QIS1" s="24" t="s">
        <v>24408</v>
      </c>
      <c r="QIT1" s="24" t="s">
        <v>24409</v>
      </c>
      <c r="QIU1" s="24" t="s">
        <v>24410</v>
      </c>
      <c r="QIV1" s="24" t="s">
        <v>24411</v>
      </c>
      <c r="QIW1" s="24" t="s">
        <v>24412</v>
      </c>
      <c r="QIX1" s="24" t="s">
        <v>24413</v>
      </c>
      <c r="QIY1" s="24" t="s">
        <v>24414</v>
      </c>
      <c r="QIZ1" s="24" t="s">
        <v>24415</v>
      </c>
      <c r="QJA1" s="24" t="s">
        <v>24416</v>
      </c>
      <c r="QJB1" s="24" t="s">
        <v>24417</v>
      </c>
      <c r="QJC1" s="24" t="s">
        <v>24418</v>
      </c>
      <c r="QJD1" s="24" t="s">
        <v>24419</v>
      </c>
      <c r="QJE1" s="24" t="s">
        <v>24420</v>
      </c>
      <c r="QJF1" s="24" t="s">
        <v>24421</v>
      </c>
      <c r="QJG1" s="24" t="s">
        <v>24422</v>
      </c>
      <c r="QJH1" s="24" t="s">
        <v>24423</v>
      </c>
      <c r="QJI1" s="24" t="s">
        <v>24424</v>
      </c>
      <c r="QJJ1" s="24" t="s">
        <v>24425</v>
      </c>
      <c r="QJK1" s="24" t="s">
        <v>24426</v>
      </c>
      <c r="QJL1" s="24" t="s">
        <v>24427</v>
      </c>
      <c r="QJM1" s="24" t="s">
        <v>24428</v>
      </c>
      <c r="QJN1" s="24" t="s">
        <v>24429</v>
      </c>
      <c r="QJO1" s="24" t="s">
        <v>24430</v>
      </c>
      <c r="QJP1" s="24" t="s">
        <v>24431</v>
      </c>
      <c r="QJQ1" s="24" t="s">
        <v>24432</v>
      </c>
      <c r="QJR1" s="24" t="s">
        <v>24433</v>
      </c>
      <c r="QJS1" s="24" t="s">
        <v>24434</v>
      </c>
      <c r="QJT1" s="24" t="s">
        <v>24435</v>
      </c>
      <c r="QJU1" s="24" t="s">
        <v>24436</v>
      </c>
      <c r="QJV1" s="24" t="s">
        <v>24437</v>
      </c>
      <c r="QJW1" s="24" t="s">
        <v>24438</v>
      </c>
      <c r="QJX1" s="24" t="s">
        <v>24439</v>
      </c>
      <c r="QJY1" s="24" t="s">
        <v>24440</v>
      </c>
      <c r="QJZ1" s="24" t="s">
        <v>24441</v>
      </c>
      <c r="QKA1" s="24" t="s">
        <v>24442</v>
      </c>
      <c r="QKB1" s="24" t="s">
        <v>24443</v>
      </c>
      <c r="QKC1" s="24" t="s">
        <v>24444</v>
      </c>
      <c r="QKD1" s="24" t="s">
        <v>24445</v>
      </c>
      <c r="QKE1" s="24" t="s">
        <v>24446</v>
      </c>
      <c r="QKF1" s="24" t="s">
        <v>24447</v>
      </c>
      <c r="QKG1" s="24" t="s">
        <v>24448</v>
      </c>
      <c r="QKH1" s="24" t="s">
        <v>24449</v>
      </c>
      <c r="QKI1" s="24" t="s">
        <v>24450</v>
      </c>
      <c r="QKJ1" s="24" t="s">
        <v>24451</v>
      </c>
      <c r="QKK1" s="24" t="s">
        <v>24452</v>
      </c>
      <c r="QKL1" s="24" t="s">
        <v>24453</v>
      </c>
      <c r="QKM1" s="24" t="s">
        <v>24454</v>
      </c>
      <c r="QKN1" s="24" t="s">
        <v>24455</v>
      </c>
      <c r="QKO1" s="24" t="s">
        <v>24456</v>
      </c>
      <c r="QKP1" s="24" t="s">
        <v>24457</v>
      </c>
      <c r="QKQ1" s="24" t="s">
        <v>24458</v>
      </c>
      <c r="QKR1" s="24" t="s">
        <v>24459</v>
      </c>
      <c r="QKS1" s="24" t="s">
        <v>24460</v>
      </c>
      <c r="QKT1" s="24" t="s">
        <v>24461</v>
      </c>
      <c r="QKU1" s="24" t="s">
        <v>24462</v>
      </c>
      <c r="QKV1" s="24" t="s">
        <v>24463</v>
      </c>
      <c r="QKW1" s="24" t="s">
        <v>24464</v>
      </c>
      <c r="QKX1" s="24" t="s">
        <v>24465</v>
      </c>
      <c r="QKY1" s="24" t="s">
        <v>24466</v>
      </c>
      <c r="QKZ1" s="24" t="s">
        <v>24467</v>
      </c>
      <c r="QLA1" s="24" t="s">
        <v>24468</v>
      </c>
      <c r="QLB1" s="24" t="s">
        <v>24469</v>
      </c>
      <c r="QLC1" s="24" t="s">
        <v>24470</v>
      </c>
      <c r="QLD1" s="24" t="s">
        <v>24471</v>
      </c>
      <c r="QLE1" s="24" t="s">
        <v>24472</v>
      </c>
      <c r="QLF1" s="24" t="s">
        <v>24473</v>
      </c>
      <c r="QLG1" s="24" t="s">
        <v>24474</v>
      </c>
      <c r="QLH1" s="24" t="s">
        <v>24475</v>
      </c>
      <c r="QLI1" s="24" t="s">
        <v>24476</v>
      </c>
      <c r="QLJ1" s="24" t="s">
        <v>24477</v>
      </c>
      <c r="QLK1" s="24" t="s">
        <v>24478</v>
      </c>
      <c r="QLL1" s="24" t="s">
        <v>24479</v>
      </c>
      <c r="QLM1" s="24" t="s">
        <v>24480</v>
      </c>
      <c r="QLN1" s="24" t="s">
        <v>24481</v>
      </c>
      <c r="QLO1" s="24" t="s">
        <v>24482</v>
      </c>
      <c r="QLP1" s="24" t="s">
        <v>24483</v>
      </c>
      <c r="QLQ1" s="24" t="s">
        <v>24484</v>
      </c>
      <c r="QLR1" s="24" t="s">
        <v>24485</v>
      </c>
      <c r="QLS1" s="24" t="s">
        <v>24486</v>
      </c>
      <c r="QLT1" s="24" t="s">
        <v>24487</v>
      </c>
      <c r="QLU1" s="24" t="s">
        <v>24488</v>
      </c>
      <c r="QLV1" s="24" t="s">
        <v>24489</v>
      </c>
      <c r="QLW1" s="24" t="s">
        <v>24490</v>
      </c>
      <c r="QLX1" s="24" t="s">
        <v>24491</v>
      </c>
      <c r="QLY1" s="24" t="s">
        <v>24492</v>
      </c>
      <c r="QLZ1" s="24" t="s">
        <v>24493</v>
      </c>
      <c r="QMA1" s="24" t="s">
        <v>24494</v>
      </c>
      <c r="QMB1" s="24" t="s">
        <v>24495</v>
      </c>
      <c r="QMC1" s="24" t="s">
        <v>24496</v>
      </c>
      <c r="QMD1" s="24" t="s">
        <v>24497</v>
      </c>
      <c r="QME1" s="24" t="s">
        <v>24498</v>
      </c>
      <c r="QMF1" s="24" t="s">
        <v>24499</v>
      </c>
      <c r="QMG1" s="24" t="s">
        <v>24500</v>
      </c>
      <c r="QMH1" s="24" t="s">
        <v>24501</v>
      </c>
      <c r="QMI1" s="24" t="s">
        <v>24502</v>
      </c>
      <c r="QMJ1" s="24" t="s">
        <v>24503</v>
      </c>
      <c r="QMK1" s="24" t="s">
        <v>24504</v>
      </c>
      <c r="QML1" s="24" t="s">
        <v>24505</v>
      </c>
      <c r="QMM1" s="24" t="s">
        <v>24506</v>
      </c>
      <c r="QMN1" s="24" t="s">
        <v>24507</v>
      </c>
      <c r="QMO1" s="24" t="s">
        <v>24508</v>
      </c>
      <c r="QMP1" s="24" t="s">
        <v>24509</v>
      </c>
      <c r="QMQ1" s="24" t="s">
        <v>24510</v>
      </c>
      <c r="QMR1" s="24" t="s">
        <v>24511</v>
      </c>
      <c r="QMS1" s="24" t="s">
        <v>24512</v>
      </c>
      <c r="QMT1" s="24" t="s">
        <v>24513</v>
      </c>
      <c r="QMU1" s="24" t="s">
        <v>24514</v>
      </c>
      <c r="QMV1" s="24" t="s">
        <v>24515</v>
      </c>
      <c r="QMW1" s="24" t="s">
        <v>24516</v>
      </c>
      <c r="QMX1" s="24" t="s">
        <v>24517</v>
      </c>
      <c r="QMY1" s="24" t="s">
        <v>24518</v>
      </c>
      <c r="QMZ1" s="24" t="s">
        <v>24519</v>
      </c>
      <c r="QNA1" s="24" t="s">
        <v>24520</v>
      </c>
      <c r="QNB1" s="24" t="s">
        <v>24521</v>
      </c>
      <c r="QNC1" s="24" t="s">
        <v>24522</v>
      </c>
      <c r="QND1" s="24" t="s">
        <v>24523</v>
      </c>
      <c r="QNE1" s="24" t="s">
        <v>24524</v>
      </c>
      <c r="QNF1" s="24" t="s">
        <v>24525</v>
      </c>
      <c r="QNG1" s="24" t="s">
        <v>24526</v>
      </c>
      <c r="QNH1" s="24" t="s">
        <v>24527</v>
      </c>
      <c r="QNI1" s="24" t="s">
        <v>24528</v>
      </c>
      <c r="QNJ1" s="24" t="s">
        <v>24529</v>
      </c>
      <c r="QNK1" s="24" t="s">
        <v>24530</v>
      </c>
      <c r="QNL1" s="24" t="s">
        <v>24531</v>
      </c>
      <c r="QNM1" s="24" t="s">
        <v>24532</v>
      </c>
      <c r="QNN1" s="24" t="s">
        <v>24533</v>
      </c>
      <c r="QNO1" s="24" t="s">
        <v>24534</v>
      </c>
      <c r="QNP1" s="24" t="s">
        <v>24535</v>
      </c>
      <c r="QNQ1" s="24" t="s">
        <v>24536</v>
      </c>
      <c r="QNR1" s="24" t="s">
        <v>24537</v>
      </c>
      <c r="QNS1" s="24" t="s">
        <v>24538</v>
      </c>
      <c r="QNT1" s="24" t="s">
        <v>24539</v>
      </c>
      <c r="QNU1" s="24" t="s">
        <v>24540</v>
      </c>
      <c r="QNV1" s="24" t="s">
        <v>24541</v>
      </c>
      <c r="QNW1" s="24" t="s">
        <v>24542</v>
      </c>
      <c r="QNX1" s="24" t="s">
        <v>24543</v>
      </c>
      <c r="QNY1" s="24" t="s">
        <v>24544</v>
      </c>
      <c r="QNZ1" s="24" t="s">
        <v>24545</v>
      </c>
      <c r="QOA1" s="24" t="s">
        <v>24546</v>
      </c>
      <c r="QOB1" s="24" t="s">
        <v>24547</v>
      </c>
      <c r="QOC1" s="24" t="s">
        <v>24548</v>
      </c>
      <c r="QOD1" s="24" t="s">
        <v>24549</v>
      </c>
      <c r="QOE1" s="24" t="s">
        <v>24550</v>
      </c>
      <c r="QOF1" s="24" t="s">
        <v>24551</v>
      </c>
      <c r="QOG1" s="24" t="s">
        <v>24552</v>
      </c>
      <c r="QOH1" s="24" t="s">
        <v>24553</v>
      </c>
      <c r="QOI1" s="24" t="s">
        <v>24554</v>
      </c>
      <c r="QOJ1" s="24" t="s">
        <v>24555</v>
      </c>
      <c r="QOK1" s="24" t="s">
        <v>24556</v>
      </c>
      <c r="QOL1" s="24" t="s">
        <v>24557</v>
      </c>
      <c r="QOM1" s="24" t="s">
        <v>24558</v>
      </c>
      <c r="QON1" s="24" t="s">
        <v>24559</v>
      </c>
      <c r="QOO1" s="24" t="s">
        <v>24560</v>
      </c>
      <c r="QOP1" s="24" t="s">
        <v>24561</v>
      </c>
      <c r="QOQ1" s="24" t="s">
        <v>24562</v>
      </c>
      <c r="QOR1" s="24" t="s">
        <v>24563</v>
      </c>
      <c r="QOS1" s="24" t="s">
        <v>24564</v>
      </c>
      <c r="QOT1" s="24" t="s">
        <v>24565</v>
      </c>
      <c r="QOU1" s="24" t="s">
        <v>24566</v>
      </c>
      <c r="QOV1" s="24" t="s">
        <v>24567</v>
      </c>
      <c r="QOW1" s="24" t="s">
        <v>24568</v>
      </c>
      <c r="QOX1" s="24" t="s">
        <v>24569</v>
      </c>
      <c r="QOY1" s="24" t="s">
        <v>24570</v>
      </c>
      <c r="QOZ1" s="24" t="s">
        <v>24571</v>
      </c>
      <c r="QPA1" s="24" t="s">
        <v>24572</v>
      </c>
      <c r="QPB1" s="24" t="s">
        <v>24573</v>
      </c>
      <c r="QPC1" s="24" t="s">
        <v>24574</v>
      </c>
      <c r="QPD1" s="24" t="s">
        <v>24575</v>
      </c>
      <c r="QPE1" s="24" t="s">
        <v>24576</v>
      </c>
      <c r="QPF1" s="24" t="s">
        <v>24577</v>
      </c>
      <c r="QPG1" s="24" t="s">
        <v>24578</v>
      </c>
      <c r="QPH1" s="24" t="s">
        <v>24579</v>
      </c>
      <c r="QPI1" s="24" t="s">
        <v>24580</v>
      </c>
      <c r="QPJ1" s="24" t="s">
        <v>24581</v>
      </c>
      <c r="QPK1" s="24" t="s">
        <v>24582</v>
      </c>
      <c r="QPL1" s="24" t="s">
        <v>24583</v>
      </c>
      <c r="QPM1" s="24" t="s">
        <v>24584</v>
      </c>
      <c r="QPN1" s="24" t="s">
        <v>24585</v>
      </c>
      <c r="QPO1" s="24" t="s">
        <v>24586</v>
      </c>
      <c r="QPP1" s="24" t="s">
        <v>24587</v>
      </c>
      <c r="QPQ1" s="24" t="s">
        <v>24588</v>
      </c>
      <c r="QPR1" s="24" t="s">
        <v>24589</v>
      </c>
      <c r="QPS1" s="24" t="s">
        <v>24590</v>
      </c>
      <c r="QPT1" s="24" t="s">
        <v>24591</v>
      </c>
      <c r="QPU1" s="24" t="s">
        <v>24592</v>
      </c>
      <c r="QPV1" s="24" t="s">
        <v>24593</v>
      </c>
      <c r="QPW1" s="24" t="s">
        <v>24594</v>
      </c>
      <c r="QPX1" s="24" t="s">
        <v>24595</v>
      </c>
      <c r="QPY1" s="24" t="s">
        <v>24596</v>
      </c>
      <c r="QPZ1" s="24" t="s">
        <v>24597</v>
      </c>
      <c r="QQA1" s="24" t="s">
        <v>24598</v>
      </c>
      <c r="QQB1" s="24" t="s">
        <v>24599</v>
      </c>
      <c r="QQC1" s="24" t="s">
        <v>24600</v>
      </c>
      <c r="QQD1" s="24" t="s">
        <v>24601</v>
      </c>
      <c r="QQE1" s="24" t="s">
        <v>24602</v>
      </c>
      <c r="QQF1" s="24" t="s">
        <v>24603</v>
      </c>
      <c r="QQG1" s="24" t="s">
        <v>24604</v>
      </c>
      <c r="QQH1" s="24" t="s">
        <v>24605</v>
      </c>
      <c r="QQI1" s="24" t="s">
        <v>24606</v>
      </c>
      <c r="QQJ1" s="24" t="s">
        <v>24607</v>
      </c>
      <c r="QQK1" s="24" t="s">
        <v>24608</v>
      </c>
      <c r="QQL1" s="24" t="s">
        <v>24609</v>
      </c>
      <c r="QQM1" s="24" t="s">
        <v>24610</v>
      </c>
      <c r="QQN1" s="24" t="s">
        <v>24611</v>
      </c>
      <c r="QQO1" s="24" t="s">
        <v>24612</v>
      </c>
      <c r="QQP1" s="24" t="s">
        <v>24613</v>
      </c>
      <c r="QQQ1" s="24" t="s">
        <v>24614</v>
      </c>
      <c r="QQR1" s="24" t="s">
        <v>24615</v>
      </c>
      <c r="QQS1" s="24" t="s">
        <v>24616</v>
      </c>
      <c r="QQT1" s="24" t="s">
        <v>24617</v>
      </c>
      <c r="QQU1" s="24" t="s">
        <v>24618</v>
      </c>
      <c r="QQV1" s="24" t="s">
        <v>24619</v>
      </c>
      <c r="QQW1" s="24" t="s">
        <v>24620</v>
      </c>
      <c r="QQX1" s="24" t="s">
        <v>24621</v>
      </c>
      <c r="QQY1" s="24" t="s">
        <v>24622</v>
      </c>
      <c r="QQZ1" s="24" t="s">
        <v>24623</v>
      </c>
      <c r="QRA1" s="24" t="s">
        <v>24624</v>
      </c>
      <c r="QRB1" s="24" t="s">
        <v>24625</v>
      </c>
      <c r="QRC1" s="24" t="s">
        <v>24626</v>
      </c>
      <c r="QRD1" s="24" t="s">
        <v>24627</v>
      </c>
      <c r="QRE1" s="24" t="s">
        <v>24628</v>
      </c>
      <c r="QRF1" s="24" t="s">
        <v>24629</v>
      </c>
      <c r="QRG1" s="24" t="s">
        <v>24630</v>
      </c>
      <c r="QRH1" s="24" t="s">
        <v>24631</v>
      </c>
      <c r="QRI1" s="24" t="s">
        <v>24632</v>
      </c>
      <c r="QRJ1" s="24" t="s">
        <v>24633</v>
      </c>
      <c r="QRK1" s="24" t="s">
        <v>24634</v>
      </c>
      <c r="QRL1" s="24" t="s">
        <v>24635</v>
      </c>
      <c r="QRM1" s="24" t="s">
        <v>24636</v>
      </c>
      <c r="QRN1" s="24" t="s">
        <v>24637</v>
      </c>
      <c r="QRO1" s="24" t="s">
        <v>24638</v>
      </c>
      <c r="QRP1" s="24" t="s">
        <v>24639</v>
      </c>
      <c r="QRQ1" s="24" t="s">
        <v>24640</v>
      </c>
      <c r="QRR1" s="24" t="s">
        <v>24641</v>
      </c>
      <c r="QRS1" s="24" t="s">
        <v>24642</v>
      </c>
      <c r="QRT1" s="24" t="s">
        <v>24643</v>
      </c>
      <c r="QRU1" s="24" t="s">
        <v>24644</v>
      </c>
      <c r="QRV1" s="24" t="s">
        <v>24645</v>
      </c>
      <c r="QRW1" s="24" t="s">
        <v>24646</v>
      </c>
      <c r="QRX1" s="24" t="s">
        <v>24647</v>
      </c>
      <c r="QRY1" s="24" t="s">
        <v>24648</v>
      </c>
      <c r="QRZ1" s="24" t="s">
        <v>24649</v>
      </c>
      <c r="QSA1" s="24" t="s">
        <v>24650</v>
      </c>
      <c r="QSB1" s="24" t="s">
        <v>24651</v>
      </c>
      <c r="QSC1" s="24" t="s">
        <v>24652</v>
      </c>
      <c r="QSD1" s="24" t="s">
        <v>24653</v>
      </c>
      <c r="QSE1" s="24" t="s">
        <v>24654</v>
      </c>
      <c r="QSF1" s="24" t="s">
        <v>24655</v>
      </c>
      <c r="QSG1" s="24" t="s">
        <v>24656</v>
      </c>
      <c r="QSH1" s="24" t="s">
        <v>24657</v>
      </c>
      <c r="QSI1" s="24" t="s">
        <v>24658</v>
      </c>
      <c r="QSJ1" s="24" t="s">
        <v>24659</v>
      </c>
      <c r="QSK1" s="24" t="s">
        <v>24660</v>
      </c>
      <c r="QSL1" s="24" t="s">
        <v>24661</v>
      </c>
      <c r="QSM1" s="24" t="s">
        <v>24662</v>
      </c>
      <c r="QSN1" s="24" t="s">
        <v>24663</v>
      </c>
      <c r="QSO1" s="24" t="s">
        <v>24664</v>
      </c>
      <c r="QSP1" s="24" t="s">
        <v>24665</v>
      </c>
      <c r="QSQ1" s="24" t="s">
        <v>24666</v>
      </c>
      <c r="QSR1" s="24" t="s">
        <v>24667</v>
      </c>
      <c r="QSS1" s="24" t="s">
        <v>24668</v>
      </c>
      <c r="QST1" s="24" t="s">
        <v>24669</v>
      </c>
      <c r="QSU1" s="24" t="s">
        <v>24670</v>
      </c>
      <c r="QSV1" s="24" t="s">
        <v>24671</v>
      </c>
      <c r="QSW1" s="24" t="s">
        <v>24672</v>
      </c>
      <c r="QSX1" s="24" t="s">
        <v>24673</v>
      </c>
      <c r="QSY1" s="24" t="s">
        <v>24674</v>
      </c>
      <c r="QSZ1" s="24" t="s">
        <v>24675</v>
      </c>
      <c r="QTA1" s="24" t="s">
        <v>24676</v>
      </c>
      <c r="QTB1" s="24" t="s">
        <v>24677</v>
      </c>
      <c r="QTC1" s="24" t="s">
        <v>24678</v>
      </c>
      <c r="QTD1" s="24" t="s">
        <v>24679</v>
      </c>
      <c r="QTE1" s="24" t="s">
        <v>24680</v>
      </c>
      <c r="QTF1" s="24" t="s">
        <v>24681</v>
      </c>
      <c r="QTG1" s="24" t="s">
        <v>24682</v>
      </c>
      <c r="QTH1" s="24" t="s">
        <v>24683</v>
      </c>
      <c r="QTI1" s="24" t="s">
        <v>24684</v>
      </c>
      <c r="QTJ1" s="24" t="s">
        <v>24685</v>
      </c>
      <c r="QTK1" s="24" t="s">
        <v>24686</v>
      </c>
      <c r="QTL1" s="24" t="s">
        <v>24687</v>
      </c>
      <c r="QTM1" s="24" t="s">
        <v>24688</v>
      </c>
      <c r="QTN1" s="24" t="s">
        <v>24689</v>
      </c>
      <c r="QTO1" s="24" t="s">
        <v>24690</v>
      </c>
      <c r="QTP1" s="24" t="s">
        <v>24691</v>
      </c>
      <c r="QTQ1" s="24" t="s">
        <v>24692</v>
      </c>
      <c r="QTR1" s="24" t="s">
        <v>24693</v>
      </c>
      <c r="QTS1" s="24" t="s">
        <v>24694</v>
      </c>
      <c r="QTT1" s="24" t="s">
        <v>24695</v>
      </c>
      <c r="QTU1" s="24" t="s">
        <v>24696</v>
      </c>
      <c r="QTV1" s="24" t="s">
        <v>24697</v>
      </c>
      <c r="QTW1" s="24" t="s">
        <v>24698</v>
      </c>
      <c r="QTX1" s="24" t="s">
        <v>24699</v>
      </c>
      <c r="QTY1" s="24" t="s">
        <v>24700</v>
      </c>
      <c r="QTZ1" s="24" t="s">
        <v>24701</v>
      </c>
      <c r="QUA1" s="24" t="s">
        <v>24702</v>
      </c>
      <c r="QUB1" s="24" t="s">
        <v>24703</v>
      </c>
      <c r="QUC1" s="24" t="s">
        <v>24704</v>
      </c>
      <c r="QUD1" s="24" t="s">
        <v>24705</v>
      </c>
      <c r="QUE1" s="24" t="s">
        <v>24706</v>
      </c>
      <c r="QUF1" s="24" t="s">
        <v>24707</v>
      </c>
      <c r="QUG1" s="24" t="s">
        <v>24708</v>
      </c>
      <c r="QUH1" s="24" t="s">
        <v>24709</v>
      </c>
      <c r="QUI1" s="24" t="s">
        <v>24710</v>
      </c>
      <c r="QUJ1" s="24" t="s">
        <v>24711</v>
      </c>
      <c r="QUK1" s="24" t="s">
        <v>24712</v>
      </c>
      <c r="QUL1" s="24" t="s">
        <v>24713</v>
      </c>
      <c r="QUM1" s="24" t="s">
        <v>24714</v>
      </c>
      <c r="QUN1" s="24" t="s">
        <v>24715</v>
      </c>
      <c r="QUO1" s="24" t="s">
        <v>24716</v>
      </c>
      <c r="QUP1" s="24" t="s">
        <v>24717</v>
      </c>
      <c r="QUQ1" s="24" t="s">
        <v>24718</v>
      </c>
      <c r="QUR1" s="24" t="s">
        <v>24719</v>
      </c>
      <c r="QUS1" s="24" t="s">
        <v>24720</v>
      </c>
      <c r="QUT1" s="24" t="s">
        <v>24721</v>
      </c>
      <c r="QUU1" s="24" t="s">
        <v>24722</v>
      </c>
      <c r="QUV1" s="24" t="s">
        <v>24723</v>
      </c>
      <c r="QUW1" s="24" t="s">
        <v>24724</v>
      </c>
      <c r="QUX1" s="24" t="s">
        <v>24725</v>
      </c>
      <c r="QUY1" s="24" t="s">
        <v>24726</v>
      </c>
      <c r="QUZ1" s="24" t="s">
        <v>24727</v>
      </c>
      <c r="QVA1" s="24" t="s">
        <v>24728</v>
      </c>
      <c r="QVB1" s="24" t="s">
        <v>24729</v>
      </c>
      <c r="QVC1" s="24" t="s">
        <v>24730</v>
      </c>
      <c r="QVD1" s="24" t="s">
        <v>24731</v>
      </c>
      <c r="QVE1" s="24" t="s">
        <v>24732</v>
      </c>
      <c r="QVF1" s="24" t="s">
        <v>24733</v>
      </c>
      <c r="QVG1" s="24" t="s">
        <v>24734</v>
      </c>
      <c r="QVH1" s="24" t="s">
        <v>24735</v>
      </c>
      <c r="QVI1" s="24" t="s">
        <v>24736</v>
      </c>
      <c r="QVJ1" s="24" t="s">
        <v>24737</v>
      </c>
      <c r="QVK1" s="24" t="s">
        <v>24738</v>
      </c>
      <c r="QVL1" s="24" t="s">
        <v>24739</v>
      </c>
      <c r="QVM1" s="24" t="s">
        <v>24740</v>
      </c>
      <c r="QVN1" s="24" t="s">
        <v>24741</v>
      </c>
      <c r="QVO1" s="24" t="s">
        <v>24742</v>
      </c>
      <c r="QVP1" s="24" t="s">
        <v>24743</v>
      </c>
      <c r="QVQ1" s="24" t="s">
        <v>24744</v>
      </c>
      <c r="QVR1" s="24" t="s">
        <v>24745</v>
      </c>
      <c r="QVS1" s="24" t="s">
        <v>24746</v>
      </c>
      <c r="QVT1" s="24" t="s">
        <v>24747</v>
      </c>
      <c r="QVU1" s="24" t="s">
        <v>24748</v>
      </c>
      <c r="QVV1" s="24" t="s">
        <v>24749</v>
      </c>
      <c r="QVW1" s="24" t="s">
        <v>24750</v>
      </c>
      <c r="QVX1" s="24" t="s">
        <v>24751</v>
      </c>
      <c r="QVY1" s="24" t="s">
        <v>24752</v>
      </c>
      <c r="QVZ1" s="24" t="s">
        <v>24753</v>
      </c>
      <c r="QWA1" s="24" t="s">
        <v>24754</v>
      </c>
      <c r="QWB1" s="24" t="s">
        <v>24755</v>
      </c>
      <c r="QWC1" s="24" t="s">
        <v>24756</v>
      </c>
      <c r="QWD1" s="24" t="s">
        <v>24757</v>
      </c>
      <c r="QWE1" s="24" t="s">
        <v>24758</v>
      </c>
      <c r="QWF1" s="24" t="s">
        <v>24759</v>
      </c>
      <c r="QWG1" s="24" t="s">
        <v>24760</v>
      </c>
      <c r="QWH1" s="24" t="s">
        <v>24761</v>
      </c>
      <c r="QWI1" s="24" t="s">
        <v>24762</v>
      </c>
      <c r="QWJ1" s="24" t="s">
        <v>24763</v>
      </c>
      <c r="QWK1" s="24" t="s">
        <v>24764</v>
      </c>
      <c r="QWL1" s="24" t="s">
        <v>24765</v>
      </c>
      <c r="QWM1" s="24" t="s">
        <v>24766</v>
      </c>
      <c r="QWN1" s="24" t="s">
        <v>24767</v>
      </c>
      <c r="QWO1" s="24" t="s">
        <v>24768</v>
      </c>
      <c r="QWP1" s="24" t="s">
        <v>24769</v>
      </c>
      <c r="QWQ1" s="24" t="s">
        <v>24770</v>
      </c>
      <c r="QWR1" s="24" t="s">
        <v>24771</v>
      </c>
      <c r="QWS1" s="24" t="s">
        <v>24772</v>
      </c>
      <c r="QWT1" s="24" t="s">
        <v>24773</v>
      </c>
      <c r="QWU1" s="24" t="s">
        <v>24774</v>
      </c>
      <c r="QWV1" s="24" t="s">
        <v>24775</v>
      </c>
      <c r="QWW1" s="24" t="s">
        <v>24776</v>
      </c>
      <c r="QWX1" s="24" t="s">
        <v>24777</v>
      </c>
      <c r="QWY1" s="24" t="s">
        <v>24778</v>
      </c>
      <c r="QWZ1" s="24" t="s">
        <v>24779</v>
      </c>
      <c r="QXA1" s="24" t="s">
        <v>24780</v>
      </c>
      <c r="QXB1" s="24" t="s">
        <v>24781</v>
      </c>
      <c r="QXC1" s="24" t="s">
        <v>24782</v>
      </c>
      <c r="QXD1" s="24" t="s">
        <v>24783</v>
      </c>
      <c r="QXE1" s="24" t="s">
        <v>24784</v>
      </c>
      <c r="QXF1" s="24" t="s">
        <v>24785</v>
      </c>
      <c r="QXG1" s="24" t="s">
        <v>24786</v>
      </c>
      <c r="QXH1" s="24" t="s">
        <v>24787</v>
      </c>
      <c r="QXI1" s="24" t="s">
        <v>24788</v>
      </c>
      <c r="QXJ1" s="24" t="s">
        <v>24789</v>
      </c>
      <c r="QXK1" s="24" t="s">
        <v>24790</v>
      </c>
      <c r="QXL1" s="24" t="s">
        <v>24791</v>
      </c>
      <c r="QXM1" s="24" t="s">
        <v>24792</v>
      </c>
      <c r="QXN1" s="24" t="s">
        <v>24793</v>
      </c>
      <c r="QXO1" s="24" t="s">
        <v>24794</v>
      </c>
      <c r="QXP1" s="24" t="s">
        <v>24795</v>
      </c>
      <c r="QXQ1" s="24" t="s">
        <v>24796</v>
      </c>
      <c r="QXR1" s="24" t="s">
        <v>24797</v>
      </c>
      <c r="QXS1" s="24" t="s">
        <v>24798</v>
      </c>
      <c r="QXT1" s="24" t="s">
        <v>24799</v>
      </c>
      <c r="QXU1" s="24" t="s">
        <v>24800</v>
      </c>
      <c r="QXV1" s="24" t="s">
        <v>24801</v>
      </c>
      <c r="QXW1" s="24" t="s">
        <v>24802</v>
      </c>
      <c r="QXX1" s="24" t="s">
        <v>24803</v>
      </c>
      <c r="QXY1" s="24" t="s">
        <v>24804</v>
      </c>
      <c r="QXZ1" s="24" t="s">
        <v>24805</v>
      </c>
      <c r="QYA1" s="24" t="s">
        <v>24806</v>
      </c>
      <c r="QYB1" s="24" t="s">
        <v>24807</v>
      </c>
      <c r="QYC1" s="24" t="s">
        <v>24808</v>
      </c>
      <c r="QYD1" s="24" t="s">
        <v>24809</v>
      </c>
      <c r="QYE1" s="24" t="s">
        <v>24810</v>
      </c>
      <c r="QYF1" s="24" t="s">
        <v>24811</v>
      </c>
      <c r="QYG1" s="24" t="s">
        <v>24812</v>
      </c>
      <c r="QYH1" s="24" t="s">
        <v>24813</v>
      </c>
      <c r="QYI1" s="24" t="s">
        <v>24814</v>
      </c>
      <c r="QYJ1" s="24" t="s">
        <v>24815</v>
      </c>
      <c r="QYK1" s="24" t="s">
        <v>24816</v>
      </c>
      <c r="QYL1" s="24" t="s">
        <v>24817</v>
      </c>
      <c r="QYM1" s="24" t="s">
        <v>24818</v>
      </c>
      <c r="QYN1" s="24" t="s">
        <v>24819</v>
      </c>
      <c r="QYO1" s="24" t="s">
        <v>24820</v>
      </c>
      <c r="QYP1" s="24" t="s">
        <v>24821</v>
      </c>
      <c r="QYQ1" s="24" t="s">
        <v>24822</v>
      </c>
      <c r="QYR1" s="24" t="s">
        <v>24823</v>
      </c>
      <c r="QYS1" s="24" t="s">
        <v>24824</v>
      </c>
      <c r="QYT1" s="24" t="s">
        <v>24825</v>
      </c>
      <c r="QYU1" s="24" t="s">
        <v>24826</v>
      </c>
      <c r="QYV1" s="24" t="s">
        <v>24827</v>
      </c>
      <c r="QYW1" s="24" t="s">
        <v>24828</v>
      </c>
      <c r="QYX1" s="24" t="s">
        <v>24829</v>
      </c>
      <c r="QYY1" s="24" t="s">
        <v>24830</v>
      </c>
      <c r="QYZ1" s="24" t="s">
        <v>24831</v>
      </c>
      <c r="QZA1" s="24" t="s">
        <v>24832</v>
      </c>
      <c r="QZB1" s="24" t="s">
        <v>24833</v>
      </c>
      <c r="QZC1" s="24" t="s">
        <v>24834</v>
      </c>
      <c r="QZD1" s="24" t="s">
        <v>24835</v>
      </c>
      <c r="QZE1" s="24" t="s">
        <v>24836</v>
      </c>
      <c r="QZF1" s="24" t="s">
        <v>24837</v>
      </c>
      <c r="QZG1" s="24" t="s">
        <v>24838</v>
      </c>
      <c r="QZH1" s="24" t="s">
        <v>24839</v>
      </c>
      <c r="QZI1" s="24" t="s">
        <v>24840</v>
      </c>
      <c r="QZJ1" s="24" t="s">
        <v>24841</v>
      </c>
      <c r="QZK1" s="24" t="s">
        <v>24842</v>
      </c>
      <c r="QZL1" s="24" t="s">
        <v>24843</v>
      </c>
      <c r="QZM1" s="24" t="s">
        <v>24844</v>
      </c>
      <c r="QZN1" s="24" t="s">
        <v>24845</v>
      </c>
      <c r="QZO1" s="24" t="s">
        <v>24846</v>
      </c>
      <c r="QZP1" s="24" t="s">
        <v>24847</v>
      </c>
      <c r="QZQ1" s="24" t="s">
        <v>24848</v>
      </c>
      <c r="QZR1" s="24" t="s">
        <v>24849</v>
      </c>
      <c r="QZS1" s="24" t="s">
        <v>24850</v>
      </c>
      <c r="QZT1" s="24" t="s">
        <v>24851</v>
      </c>
      <c r="QZU1" s="24" t="s">
        <v>24852</v>
      </c>
      <c r="QZV1" s="24" t="s">
        <v>24853</v>
      </c>
      <c r="QZW1" s="24" t="s">
        <v>24854</v>
      </c>
      <c r="QZX1" s="24" t="s">
        <v>24855</v>
      </c>
      <c r="QZY1" s="24" t="s">
        <v>24856</v>
      </c>
      <c r="QZZ1" s="24" t="s">
        <v>24857</v>
      </c>
      <c r="RAA1" s="24" t="s">
        <v>24858</v>
      </c>
      <c r="RAB1" s="24" t="s">
        <v>24859</v>
      </c>
      <c r="RAC1" s="24" t="s">
        <v>24860</v>
      </c>
      <c r="RAD1" s="24" t="s">
        <v>24861</v>
      </c>
      <c r="RAE1" s="24" t="s">
        <v>24862</v>
      </c>
      <c r="RAF1" s="24" t="s">
        <v>24863</v>
      </c>
      <c r="RAG1" s="24" t="s">
        <v>24864</v>
      </c>
      <c r="RAH1" s="24" t="s">
        <v>24865</v>
      </c>
      <c r="RAI1" s="24" t="s">
        <v>24866</v>
      </c>
      <c r="RAJ1" s="24" t="s">
        <v>24867</v>
      </c>
      <c r="RAK1" s="24" t="s">
        <v>24868</v>
      </c>
      <c r="RAL1" s="24" t="s">
        <v>24869</v>
      </c>
      <c r="RAM1" s="24" t="s">
        <v>24870</v>
      </c>
      <c r="RAN1" s="24" t="s">
        <v>24871</v>
      </c>
      <c r="RAO1" s="24" t="s">
        <v>24872</v>
      </c>
      <c r="RAP1" s="24" t="s">
        <v>24873</v>
      </c>
      <c r="RAQ1" s="24" t="s">
        <v>24874</v>
      </c>
      <c r="RAR1" s="24" t="s">
        <v>24875</v>
      </c>
      <c r="RAS1" s="24" t="s">
        <v>24876</v>
      </c>
      <c r="RAT1" s="24" t="s">
        <v>24877</v>
      </c>
      <c r="RAU1" s="24" t="s">
        <v>24878</v>
      </c>
      <c r="RAV1" s="24" t="s">
        <v>24879</v>
      </c>
      <c r="RAW1" s="24" t="s">
        <v>24880</v>
      </c>
      <c r="RAX1" s="24" t="s">
        <v>24881</v>
      </c>
      <c r="RAY1" s="24" t="s">
        <v>24882</v>
      </c>
      <c r="RAZ1" s="24" t="s">
        <v>24883</v>
      </c>
      <c r="RBA1" s="24" t="s">
        <v>24884</v>
      </c>
      <c r="RBB1" s="24" t="s">
        <v>24885</v>
      </c>
      <c r="RBC1" s="24" t="s">
        <v>24886</v>
      </c>
      <c r="RBD1" s="24" t="s">
        <v>24887</v>
      </c>
      <c r="RBE1" s="24" t="s">
        <v>24888</v>
      </c>
      <c r="RBF1" s="24" t="s">
        <v>24889</v>
      </c>
      <c r="RBG1" s="24" t="s">
        <v>24890</v>
      </c>
      <c r="RBH1" s="24" t="s">
        <v>24891</v>
      </c>
      <c r="RBI1" s="24" t="s">
        <v>24892</v>
      </c>
      <c r="RBJ1" s="24" t="s">
        <v>24893</v>
      </c>
      <c r="RBK1" s="24" t="s">
        <v>24894</v>
      </c>
      <c r="RBL1" s="24" t="s">
        <v>24895</v>
      </c>
      <c r="RBM1" s="24" t="s">
        <v>24896</v>
      </c>
      <c r="RBN1" s="24" t="s">
        <v>24897</v>
      </c>
      <c r="RBO1" s="24" t="s">
        <v>24898</v>
      </c>
      <c r="RBP1" s="24" t="s">
        <v>24899</v>
      </c>
      <c r="RBQ1" s="24" t="s">
        <v>24900</v>
      </c>
      <c r="RBR1" s="24" t="s">
        <v>24901</v>
      </c>
      <c r="RBS1" s="24" t="s">
        <v>24902</v>
      </c>
      <c r="RBT1" s="24" t="s">
        <v>24903</v>
      </c>
      <c r="RBU1" s="24" t="s">
        <v>24904</v>
      </c>
      <c r="RBV1" s="24" t="s">
        <v>24905</v>
      </c>
      <c r="RBW1" s="24" t="s">
        <v>24906</v>
      </c>
      <c r="RBX1" s="24" t="s">
        <v>24907</v>
      </c>
      <c r="RBY1" s="24" t="s">
        <v>24908</v>
      </c>
      <c r="RBZ1" s="24" t="s">
        <v>24909</v>
      </c>
      <c r="RCA1" s="24" t="s">
        <v>24910</v>
      </c>
      <c r="RCB1" s="24" t="s">
        <v>24911</v>
      </c>
      <c r="RCC1" s="24" t="s">
        <v>24912</v>
      </c>
      <c r="RCD1" s="24" t="s">
        <v>24913</v>
      </c>
      <c r="RCE1" s="24" t="s">
        <v>24914</v>
      </c>
      <c r="RCF1" s="24" t="s">
        <v>24915</v>
      </c>
      <c r="RCG1" s="24" t="s">
        <v>24916</v>
      </c>
      <c r="RCH1" s="24" t="s">
        <v>24917</v>
      </c>
      <c r="RCI1" s="24" t="s">
        <v>24918</v>
      </c>
      <c r="RCJ1" s="24" t="s">
        <v>24919</v>
      </c>
      <c r="RCK1" s="24" t="s">
        <v>24920</v>
      </c>
      <c r="RCL1" s="24" t="s">
        <v>24921</v>
      </c>
      <c r="RCM1" s="24" t="s">
        <v>24922</v>
      </c>
      <c r="RCN1" s="24" t="s">
        <v>24923</v>
      </c>
      <c r="RCO1" s="24" t="s">
        <v>24924</v>
      </c>
      <c r="RCP1" s="24" t="s">
        <v>24925</v>
      </c>
      <c r="RCQ1" s="24" t="s">
        <v>24926</v>
      </c>
      <c r="RCR1" s="24" t="s">
        <v>24927</v>
      </c>
      <c r="RCS1" s="24" t="s">
        <v>24928</v>
      </c>
      <c r="RCT1" s="24" t="s">
        <v>24929</v>
      </c>
      <c r="RCU1" s="24" t="s">
        <v>24930</v>
      </c>
      <c r="RCV1" s="24" t="s">
        <v>24931</v>
      </c>
      <c r="RCW1" s="24" t="s">
        <v>24932</v>
      </c>
      <c r="RCX1" s="24" t="s">
        <v>24933</v>
      </c>
      <c r="RCY1" s="24" t="s">
        <v>24934</v>
      </c>
      <c r="RCZ1" s="24" t="s">
        <v>24935</v>
      </c>
      <c r="RDA1" s="24" t="s">
        <v>24936</v>
      </c>
      <c r="RDB1" s="24" t="s">
        <v>24937</v>
      </c>
      <c r="RDC1" s="24" t="s">
        <v>24938</v>
      </c>
      <c r="RDD1" s="24" t="s">
        <v>24939</v>
      </c>
      <c r="RDE1" s="24" t="s">
        <v>24940</v>
      </c>
      <c r="RDF1" s="24" t="s">
        <v>24941</v>
      </c>
      <c r="RDG1" s="24" t="s">
        <v>24942</v>
      </c>
      <c r="RDH1" s="24" t="s">
        <v>24943</v>
      </c>
      <c r="RDI1" s="24" t="s">
        <v>24944</v>
      </c>
      <c r="RDJ1" s="24" t="s">
        <v>24945</v>
      </c>
      <c r="RDK1" s="24" t="s">
        <v>24946</v>
      </c>
      <c r="RDL1" s="24" t="s">
        <v>24947</v>
      </c>
      <c r="RDM1" s="24" t="s">
        <v>24948</v>
      </c>
      <c r="RDN1" s="24" t="s">
        <v>24949</v>
      </c>
      <c r="RDO1" s="24" t="s">
        <v>24950</v>
      </c>
      <c r="RDP1" s="24" t="s">
        <v>24951</v>
      </c>
      <c r="RDQ1" s="24" t="s">
        <v>24952</v>
      </c>
      <c r="RDR1" s="24" t="s">
        <v>24953</v>
      </c>
      <c r="RDS1" s="24" t="s">
        <v>24954</v>
      </c>
      <c r="RDT1" s="24" t="s">
        <v>24955</v>
      </c>
      <c r="RDU1" s="24" t="s">
        <v>24956</v>
      </c>
      <c r="RDV1" s="24" t="s">
        <v>24957</v>
      </c>
      <c r="RDW1" s="24" t="s">
        <v>24958</v>
      </c>
      <c r="RDX1" s="24" t="s">
        <v>24959</v>
      </c>
      <c r="RDY1" s="24" t="s">
        <v>24960</v>
      </c>
      <c r="RDZ1" s="24" t="s">
        <v>24961</v>
      </c>
      <c r="REA1" s="24" t="s">
        <v>24962</v>
      </c>
      <c r="REB1" s="24" t="s">
        <v>24963</v>
      </c>
      <c r="REC1" s="24" t="s">
        <v>24964</v>
      </c>
      <c r="RED1" s="24" t="s">
        <v>24965</v>
      </c>
      <c r="REE1" s="24" t="s">
        <v>24966</v>
      </c>
      <c r="REF1" s="24" t="s">
        <v>24967</v>
      </c>
      <c r="REG1" s="24" t="s">
        <v>24968</v>
      </c>
      <c r="REH1" s="24" t="s">
        <v>24969</v>
      </c>
      <c r="REI1" s="24" t="s">
        <v>24970</v>
      </c>
      <c r="REJ1" s="24" t="s">
        <v>24971</v>
      </c>
      <c r="REK1" s="24" t="s">
        <v>24972</v>
      </c>
      <c r="REL1" s="24" t="s">
        <v>24973</v>
      </c>
      <c r="REM1" s="24" t="s">
        <v>24974</v>
      </c>
      <c r="REN1" s="24" t="s">
        <v>24975</v>
      </c>
      <c r="REO1" s="24" t="s">
        <v>24976</v>
      </c>
      <c r="REP1" s="24" t="s">
        <v>24977</v>
      </c>
      <c r="REQ1" s="24" t="s">
        <v>24978</v>
      </c>
      <c r="RER1" s="24" t="s">
        <v>24979</v>
      </c>
      <c r="RES1" s="24" t="s">
        <v>24980</v>
      </c>
      <c r="RET1" s="24" t="s">
        <v>24981</v>
      </c>
      <c r="REU1" s="24" t="s">
        <v>24982</v>
      </c>
      <c r="REV1" s="24" t="s">
        <v>24983</v>
      </c>
      <c r="REW1" s="24" t="s">
        <v>24984</v>
      </c>
      <c r="REX1" s="24" t="s">
        <v>24985</v>
      </c>
      <c r="REY1" s="24" t="s">
        <v>24986</v>
      </c>
      <c r="REZ1" s="24" t="s">
        <v>24987</v>
      </c>
      <c r="RFA1" s="24" t="s">
        <v>24988</v>
      </c>
      <c r="RFB1" s="24" t="s">
        <v>24989</v>
      </c>
      <c r="RFC1" s="24" t="s">
        <v>24990</v>
      </c>
      <c r="RFD1" s="24" t="s">
        <v>24991</v>
      </c>
      <c r="RFE1" s="24" t="s">
        <v>24992</v>
      </c>
      <c r="RFF1" s="24" t="s">
        <v>24993</v>
      </c>
      <c r="RFG1" s="24" t="s">
        <v>24994</v>
      </c>
      <c r="RFH1" s="24" t="s">
        <v>24995</v>
      </c>
      <c r="RFI1" s="24" t="s">
        <v>24996</v>
      </c>
      <c r="RFJ1" s="24" t="s">
        <v>24997</v>
      </c>
      <c r="RFK1" s="24" t="s">
        <v>24998</v>
      </c>
      <c r="RFL1" s="24" t="s">
        <v>24999</v>
      </c>
      <c r="RFM1" s="24" t="s">
        <v>25000</v>
      </c>
      <c r="RFN1" s="24" t="s">
        <v>25001</v>
      </c>
      <c r="RFO1" s="24" t="s">
        <v>25002</v>
      </c>
      <c r="RFP1" s="24" t="s">
        <v>25003</v>
      </c>
      <c r="RFQ1" s="24" t="s">
        <v>25004</v>
      </c>
      <c r="RFR1" s="24" t="s">
        <v>25005</v>
      </c>
      <c r="RFS1" s="24" t="s">
        <v>25006</v>
      </c>
      <c r="RFT1" s="24" t="s">
        <v>25007</v>
      </c>
      <c r="RFU1" s="24" t="s">
        <v>25008</v>
      </c>
      <c r="RFV1" s="24" t="s">
        <v>25009</v>
      </c>
      <c r="RFW1" s="24" t="s">
        <v>25010</v>
      </c>
      <c r="RFX1" s="24" t="s">
        <v>25011</v>
      </c>
      <c r="RFY1" s="24" t="s">
        <v>25012</v>
      </c>
      <c r="RFZ1" s="24" t="s">
        <v>25013</v>
      </c>
      <c r="RGA1" s="24" t="s">
        <v>25014</v>
      </c>
      <c r="RGB1" s="24" t="s">
        <v>25015</v>
      </c>
      <c r="RGC1" s="24" t="s">
        <v>25016</v>
      </c>
      <c r="RGD1" s="24" t="s">
        <v>25017</v>
      </c>
      <c r="RGE1" s="24" t="s">
        <v>25018</v>
      </c>
      <c r="RGF1" s="24" t="s">
        <v>25019</v>
      </c>
      <c r="RGG1" s="24" t="s">
        <v>25020</v>
      </c>
      <c r="RGH1" s="24" t="s">
        <v>25021</v>
      </c>
      <c r="RGI1" s="24" t="s">
        <v>25022</v>
      </c>
      <c r="RGJ1" s="24" t="s">
        <v>25023</v>
      </c>
      <c r="RGK1" s="24" t="s">
        <v>25024</v>
      </c>
      <c r="RGL1" s="24" t="s">
        <v>25025</v>
      </c>
      <c r="RGM1" s="24" t="s">
        <v>25026</v>
      </c>
      <c r="RGN1" s="24" t="s">
        <v>25027</v>
      </c>
      <c r="RGO1" s="24" t="s">
        <v>25028</v>
      </c>
      <c r="RGP1" s="24" t="s">
        <v>25029</v>
      </c>
      <c r="RGQ1" s="24" t="s">
        <v>25030</v>
      </c>
      <c r="RGR1" s="24" t="s">
        <v>25031</v>
      </c>
      <c r="RGS1" s="24" t="s">
        <v>25032</v>
      </c>
      <c r="RGT1" s="24" t="s">
        <v>25033</v>
      </c>
      <c r="RGU1" s="24" t="s">
        <v>25034</v>
      </c>
      <c r="RGV1" s="24" t="s">
        <v>25035</v>
      </c>
      <c r="RGW1" s="24" t="s">
        <v>25036</v>
      </c>
      <c r="RGX1" s="24" t="s">
        <v>25037</v>
      </c>
      <c r="RGY1" s="24" t="s">
        <v>25038</v>
      </c>
      <c r="RGZ1" s="24" t="s">
        <v>25039</v>
      </c>
      <c r="RHA1" s="24" t="s">
        <v>25040</v>
      </c>
      <c r="RHB1" s="24" t="s">
        <v>25041</v>
      </c>
      <c r="RHC1" s="24" t="s">
        <v>25042</v>
      </c>
      <c r="RHD1" s="24" t="s">
        <v>25043</v>
      </c>
      <c r="RHE1" s="24" t="s">
        <v>25044</v>
      </c>
      <c r="RHF1" s="24" t="s">
        <v>25045</v>
      </c>
      <c r="RHG1" s="24" t="s">
        <v>25046</v>
      </c>
      <c r="RHH1" s="24" t="s">
        <v>25047</v>
      </c>
      <c r="RHI1" s="24" t="s">
        <v>25048</v>
      </c>
      <c r="RHJ1" s="24" t="s">
        <v>25049</v>
      </c>
      <c r="RHK1" s="24" t="s">
        <v>25050</v>
      </c>
      <c r="RHL1" s="24" t="s">
        <v>25051</v>
      </c>
      <c r="RHM1" s="24" t="s">
        <v>25052</v>
      </c>
      <c r="RHN1" s="24" t="s">
        <v>25053</v>
      </c>
      <c r="RHO1" s="24" t="s">
        <v>25054</v>
      </c>
      <c r="RHP1" s="24" t="s">
        <v>25055</v>
      </c>
      <c r="RHQ1" s="24" t="s">
        <v>25056</v>
      </c>
      <c r="RHR1" s="24" t="s">
        <v>25057</v>
      </c>
      <c r="RHS1" s="24" t="s">
        <v>25058</v>
      </c>
      <c r="RHT1" s="24" t="s">
        <v>25059</v>
      </c>
      <c r="RHU1" s="24" t="s">
        <v>25060</v>
      </c>
      <c r="RHV1" s="24" t="s">
        <v>25061</v>
      </c>
      <c r="RHW1" s="24" t="s">
        <v>25062</v>
      </c>
      <c r="RHX1" s="24" t="s">
        <v>25063</v>
      </c>
      <c r="RHY1" s="24" t="s">
        <v>25064</v>
      </c>
      <c r="RHZ1" s="24" t="s">
        <v>25065</v>
      </c>
      <c r="RIA1" s="24" t="s">
        <v>25066</v>
      </c>
      <c r="RIB1" s="24" t="s">
        <v>25067</v>
      </c>
      <c r="RIC1" s="24" t="s">
        <v>25068</v>
      </c>
      <c r="RID1" s="24" t="s">
        <v>25069</v>
      </c>
      <c r="RIE1" s="24" t="s">
        <v>25070</v>
      </c>
      <c r="RIF1" s="24" t="s">
        <v>25071</v>
      </c>
      <c r="RIG1" s="24" t="s">
        <v>25072</v>
      </c>
      <c r="RIH1" s="24" t="s">
        <v>25073</v>
      </c>
      <c r="RII1" s="24" t="s">
        <v>25074</v>
      </c>
      <c r="RIJ1" s="24" t="s">
        <v>25075</v>
      </c>
      <c r="RIK1" s="24" t="s">
        <v>25076</v>
      </c>
      <c r="RIL1" s="24" t="s">
        <v>25077</v>
      </c>
      <c r="RIM1" s="24" t="s">
        <v>25078</v>
      </c>
      <c r="RIN1" s="24" t="s">
        <v>25079</v>
      </c>
      <c r="RIO1" s="24" t="s">
        <v>25080</v>
      </c>
      <c r="RIP1" s="24" t="s">
        <v>25081</v>
      </c>
      <c r="RIQ1" s="24" t="s">
        <v>25082</v>
      </c>
      <c r="RIR1" s="24" t="s">
        <v>25083</v>
      </c>
      <c r="RIS1" s="24" t="s">
        <v>25084</v>
      </c>
      <c r="RIT1" s="24" t="s">
        <v>25085</v>
      </c>
      <c r="RIU1" s="24" t="s">
        <v>25086</v>
      </c>
      <c r="RIV1" s="24" t="s">
        <v>25087</v>
      </c>
      <c r="RIW1" s="24" t="s">
        <v>25088</v>
      </c>
      <c r="RIX1" s="24" t="s">
        <v>25089</v>
      </c>
      <c r="RIY1" s="24" t="s">
        <v>25090</v>
      </c>
      <c r="RIZ1" s="24" t="s">
        <v>25091</v>
      </c>
      <c r="RJA1" s="24" t="s">
        <v>25092</v>
      </c>
      <c r="RJB1" s="24" t="s">
        <v>25093</v>
      </c>
      <c r="RJC1" s="24" t="s">
        <v>25094</v>
      </c>
      <c r="RJD1" s="24" t="s">
        <v>25095</v>
      </c>
      <c r="RJE1" s="24" t="s">
        <v>25096</v>
      </c>
      <c r="RJF1" s="24" t="s">
        <v>25097</v>
      </c>
      <c r="RJG1" s="24" t="s">
        <v>25098</v>
      </c>
      <c r="RJH1" s="24" t="s">
        <v>25099</v>
      </c>
      <c r="RJI1" s="24" t="s">
        <v>25100</v>
      </c>
      <c r="RJJ1" s="24" t="s">
        <v>25101</v>
      </c>
      <c r="RJK1" s="24" t="s">
        <v>25102</v>
      </c>
      <c r="RJL1" s="24" t="s">
        <v>25103</v>
      </c>
      <c r="RJM1" s="24" t="s">
        <v>25104</v>
      </c>
      <c r="RJN1" s="24" t="s">
        <v>25105</v>
      </c>
      <c r="RJO1" s="24" t="s">
        <v>25106</v>
      </c>
      <c r="RJP1" s="24" t="s">
        <v>25107</v>
      </c>
      <c r="RJQ1" s="24" t="s">
        <v>25108</v>
      </c>
      <c r="RJR1" s="24" t="s">
        <v>25109</v>
      </c>
      <c r="RJS1" s="24" t="s">
        <v>25110</v>
      </c>
      <c r="RJT1" s="24" t="s">
        <v>25111</v>
      </c>
      <c r="RJU1" s="24" t="s">
        <v>25112</v>
      </c>
      <c r="RJV1" s="24" t="s">
        <v>25113</v>
      </c>
      <c r="RJW1" s="24" t="s">
        <v>25114</v>
      </c>
      <c r="RJX1" s="24" t="s">
        <v>25115</v>
      </c>
      <c r="RJY1" s="24" t="s">
        <v>25116</v>
      </c>
      <c r="RJZ1" s="24" t="s">
        <v>25117</v>
      </c>
      <c r="RKA1" s="24" t="s">
        <v>25118</v>
      </c>
      <c r="RKB1" s="24" t="s">
        <v>25119</v>
      </c>
      <c r="RKC1" s="24" t="s">
        <v>25120</v>
      </c>
      <c r="RKD1" s="24" t="s">
        <v>25121</v>
      </c>
      <c r="RKE1" s="24" t="s">
        <v>25122</v>
      </c>
      <c r="RKF1" s="24" t="s">
        <v>25123</v>
      </c>
      <c r="RKG1" s="24" t="s">
        <v>25124</v>
      </c>
      <c r="RKH1" s="24" t="s">
        <v>25125</v>
      </c>
      <c r="RKI1" s="24" t="s">
        <v>25126</v>
      </c>
      <c r="RKJ1" s="24" t="s">
        <v>25127</v>
      </c>
      <c r="RKK1" s="24" t="s">
        <v>25128</v>
      </c>
      <c r="RKL1" s="24" t="s">
        <v>25129</v>
      </c>
      <c r="RKM1" s="24" t="s">
        <v>25130</v>
      </c>
      <c r="RKN1" s="24" t="s">
        <v>25131</v>
      </c>
      <c r="RKO1" s="24" t="s">
        <v>25132</v>
      </c>
      <c r="RKP1" s="24" t="s">
        <v>25133</v>
      </c>
      <c r="RKQ1" s="24" t="s">
        <v>25134</v>
      </c>
      <c r="RKR1" s="24" t="s">
        <v>25135</v>
      </c>
      <c r="RKS1" s="24" t="s">
        <v>25136</v>
      </c>
      <c r="RKT1" s="24" t="s">
        <v>25137</v>
      </c>
      <c r="RKU1" s="24" t="s">
        <v>25138</v>
      </c>
      <c r="RKV1" s="24" t="s">
        <v>25139</v>
      </c>
      <c r="RKW1" s="24" t="s">
        <v>25140</v>
      </c>
      <c r="RKX1" s="24" t="s">
        <v>25141</v>
      </c>
      <c r="RKY1" s="24" t="s">
        <v>25142</v>
      </c>
      <c r="RKZ1" s="24" t="s">
        <v>25143</v>
      </c>
      <c r="RLA1" s="24" t="s">
        <v>25144</v>
      </c>
      <c r="RLB1" s="24" t="s">
        <v>25145</v>
      </c>
      <c r="RLC1" s="24" t="s">
        <v>25146</v>
      </c>
      <c r="RLD1" s="24" t="s">
        <v>25147</v>
      </c>
      <c r="RLE1" s="24" t="s">
        <v>25148</v>
      </c>
      <c r="RLF1" s="24" t="s">
        <v>25149</v>
      </c>
      <c r="RLG1" s="24" t="s">
        <v>25150</v>
      </c>
      <c r="RLH1" s="24" t="s">
        <v>25151</v>
      </c>
      <c r="RLI1" s="24" t="s">
        <v>25152</v>
      </c>
      <c r="RLJ1" s="24" t="s">
        <v>25153</v>
      </c>
      <c r="RLK1" s="24" t="s">
        <v>25154</v>
      </c>
      <c r="RLL1" s="24" t="s">
        <v>25155</v>
      </c>
      <c r="RLM1" s="24" t="s">
        <v>25156</v>
      </c>
      <c r="RLN1" s="24" t="s">
        <v>25157</v>
      </c>
      <c r="RLO1" s="24" t="s">
        <v>25158</v>
      </c>
      <c r="RLP1" s="24" t="s">
        <v>25159</v>
      </c>
      <c r="RLQ1" s="24" t="s">
        <v>25160</v>
      </c>
      <c r="RLR1" s="24" t="s">
        <v>25161</v>
      </c>
      <c r="RLS1" s="24" t="s">
        <v>25162</v>
      </c>
      <c r="RLT1" s="24" t="s">
        <v>25163</v>
      </c>
      <c r="RLU1" s="24" t="s">
        <v>25164</v>
      </c>
      <c r="RLV1" s="24" t="s">
        <v>25165</v>
      </c>
      <c r="RLW1" s="24" t="s">
        <v>25166</v>
      </c>
      <c r="RLX1" s="24" t="s">
        <v>25167</v>
      </c>
      <c r="RLY1" s="24" t="s">
        <v>25168</v>
      </c>
      <c r="RLZ1" s="24" t="s">
        <v>25169</v>
      </c>
      <c r="RMA1" s="24" t="s">
        <v>25170</v>
      </c>
      <c r="RMB1" s="24" t="s">
        <v>25171</v>
      </c>
      <c r="RMC1" s="24" t="s">
        <v>25172</v>
      </c>
      <c r="RMD1" s="24" t="s">
        <v>25173</v>
      </c>
      <c r="RME1" s="24" t="s">
        <v>25174</v>
      </c>
      <c r="RMF1" s="24" t="s">
        <v>25175</v>
      </c>
      <c r="RMG1" s="24" t="s">
        <v>25176</v>
      </c>
      <c r="RMH1" s="24" t="s">
        <v>25177</v>
      </c>
      <c r="RMI1" s="24" t="s">
        <v>25178</v>
      </c>
      <c r="RMJ1" s="24" t="s">
        <v>25179</v>
      </c>
      <c r="RMK1" s="24" t="s">
        <v>25180</v>
      </c>
      <c r="RML1" s="24" t="s">
        <v>25181</v>
      </c>
      <c r="RMM1" s="24" t="s">
        <v>25182</v>
      </c>
      <c r="RMN1" s="24" t="s">
        <v>25183</v>
      </c>
      <c r="RMO1" s="24" t="s">
        <v>25184</v>
      </c>
      <c r="RMP1" s="24" t="s">
        <v>25185</v>
      </c>
      <c r="RMQ1" s="24" t="s">
        <v>25186</v>
      </c>
      <c r="RMR1" s="24" t="s">
        <v>25187</v>
      </c>
      <c r="RMS1" s="24" t="s">
        <v>25188</v>
      </c>
      <c r="RMT1" s="24" t="s">
        <v>25189</v>
      </c>
      <c r="RMU1" s="24" t="s">
        <v>25190</v>
      </c>
      <c r="RMV1" s="24" t="s">
        <v>25191</v>
      </c>
      <c r="RMW1" s="24" t="s">
        <v>25192</v>
      </c>
      <c r="RMX1" s="24" t="s">
        <v>25193</v>
      </c>
      <c r="RMY1" s="24" t="s">
        <v>25194</v>
      </c>
      <c r="RMZ1" s="24" t="s">
        <v>25195</v>
      </c>
      <c r="RNA1" s="24" t="s">
        <v>25196</v>
      </c>
      <c r="RNB1" s="24" t="s">
        <v>25197</v>
      </c>
      <c r="RNC1" s="24" t="s">
        <v>25198</v>
      </c>
      <c r="RND1" s="24" t="s">
        <v>25199</v>
      </c>
      <c r="RNE1" s="24" t="s">
        <v>25200</v>
      </c>
      <c r="RNF1" s="24" t="s">
        <v>25201</v>
      </c>
      <c r="RNG1" s="24" t="s">
        <v>25202</v>
      </c>
      <c r="RNH1" s="24" t="s">
        <v>25203</v>
      </c>
      <c r="RNI1" s="24" t="s">
        <v>25204</v>
      </c>
      <c r="RNJ1" s="24" t="s">
        <v>25205</v>
      </c>
      <c r="RNK1" s="24" t="s">
        <v>25206</v>
      </c>
      <c r="RNL1" s="24" t="s">
        <v>25207</v>
      </c>
      <c r="RNM1" s="24" t="s">
        <v>25208</v>
      </c>
      <c r="RNN1" s="24" t="s">
        <v>25209</v>
      </c>
      <c r="RNO1" s="24" t="s">
        <v>25210</v>
      </c>
      <c r="RNP1" s="24" t="s">
        <v>25211</v>
      </c>
      <c r="RNQ1" s="24" t="s">
        <v>25212</v>
      </c>
      <c r="RNR1" s="24" t="s">
        <v>25213</v>
      </c>
      <c r="RNS1" s="24" t="s">
        <v>25214</v>
      </c>
      <c r="RNT1" s="24" t="s">
        <v>25215</v>
      </c>
      <c r="RNU1" s="24" t="s">
        <v>25216</v>
      </c>
      <c r="RNV1" s="24" t="s">
        <v>25217</v>
      </c>
      <c r="RNW1" s="24" t="s">
        <v>25218</v>
      </c>
      <c r="RNX1" s="24" t="s">
        <v>25219</v>
      </c>
      <c r="RNY1" s="24" t="s">
        <v>25220</v>
      </c>
      <c r="RNZ1" s="24" t="s">
        <v>25221</v>
      </c>
      <c r="ROA1" s="24" t="s">
        <v>25222</v>
      </c>
      <c r="ROB1" s="24" t="s">
        <v>25223</v>
      </c>
      <c r="ROC1" s="24" t="s">
        <v>25224</v>
      </c>
      <c r="ROD1" s="24" t="s">
        <v>25225</v>
      </c>
      <c r="ROE1" s="24" t="s">
        <v>25226</v>
      </c>
      <c r="ROF1" s="24" t="s">
        <v>25227</v>
      </c>
      <c r="ROG1" s="24" t="s">
        <v>25228</v>
      </c>
      <c r="ROH1" s="24" t="s">
        <v>25229</v>
      </c>
      <c r="ROI1" s="24" t="s">
        <v>25230</v>
      </c>
      <c r="ROJ1" s="24" t="s">
        <v>25231</v>
      </c>
      <c r="ROK1" s="24" t="s">
        <v>25232</v>
      </c>
      <c r="ROL1" s="24" t="s">
        <v>25233</v>
      </c>
      <c r="ROM1" s="24" t="s">
        <v>25234</v>
      </c>
      <c r="RON1" s="24" t="s">
        <v>25235</v>
      </c>
      <c r="ROO1" s="24" t="s">
        <v>25236</v>
      </c>
      <c r="ROP1" s="24" t="s">
        <v>25237</v>
      </c>
      <c r="ROQ1" s="24" t="s">
        <v>25238</v>
      </c>
      <c r="ROR1" s="24" t="s">
        <v>25239</v>
      </c>
      <c r="ROS1" s="24" t="s">
        <v>25240</v>
      </c>
      <c r="ROT1" s="24" t="s">
        <v>25241</v>
      </c>
      <c r="ROU1" s="24" t="s">
        <v>25242</v>
      </c>
      <c r="ROV1" s="24" t="s">
        <v>25243</v>
      </c>
      <c r="ROW1" s="24" t="s">
        <v>25244</v>
      </c>
      <c r="ROX1" s="24" t="s">
        <v>25245</v>
      </c>
      <c r="ROY1" s="24" t="s">
        <v>25246</v>
      </c>
      <c r="ROZ1" s="24" t="s">
        <v>25247</v>
      </c>
      <c r="RPA1" s="24" t="s">
        <v>25248</v>
      </c>
      <c r="RPB1" s="24" t="s">
        <v>25249</v>
      </c>
      <c r="RPC1" s="24" t="s">
        <v>25250</v>
      </c>
      <c r="RPD1" s="24" t="s">
        <v>25251</v>
      </c>
      <c r="RPE1" s="24" t="s">
        <v>25252</v>
      </c>
      <c r="RPF1" s="24" t="s">
        <v>25253</v>
      </c>
      <c r="RPG1" s="24" t="s">
        <v>25254</v>
      </c>
      <c r="RPH1" s="24" t="s">
        <v>25255</v>
      </c>
      <c r="RPI1" s="24" t="s">
        <v>25256</v>
      </c>
      <c r="RPJ1" s="24" t="s">
        <v>25257</v>
      </c>
      <c r="RPK1" s="24" t="s">
        <v>25258</v>
      </c>
      <c r="RPL1" s="24" t="s">
        <v>25259</v>
      </c>
      <c r="RPM1" s="24" t="s">
        <v>25260</v>
      </c>
      <c r="RPN1" s="24" t="s">
        <v>25261</v>
      </c>
      <c r="RPO1" s="24" t="s">
        <v>25262</v>
      </c>
      <c r="RPP1" s="24" t="s">
        <v>25263</v>
      </c>
      <c r="RPQ1" s="24" t="s">
        <v>25264</v>
      </c>
      <c r="RPR1" s="24" t="s">
        <v>25265</v>
      </c>
      <c r="RPS1" s="24" t="s">
        <v>25266</v>
      </c>
      <c r="RPT1" s="24" t="s">
        <v>25267</v>
      </c>
      <c r="RPU1" s="24" t="s">
        <v>25268</v>
      </c>
      <c r="RPV1" s="24" t="s">
        <v>25269</v>
      </c>
      <c r="RPW1" s="24" t="s">
        <v>25270</v>
      </c>
      <c r="RPX1" s="24" t="s">
        <v>25271</v>
      </c>
      <c r="RPY1" s="24" t="s">
        <v>25272</v>
      </c>
      <c r="RPZ1" s="24" t="s">
        <v>25273</v>
      </c>
      <c r="RQA1" s="24" t="s">
        <v>25274</v>
      </c>
      <c r="RQB1" s="24" t="s">
        <v>25275</v>
      </c>
      <c r="RQC1" s="24" t="s">
        <v>25276</v>
      </c>
      <c r="RQD1" s="24" t="s">
        <v>25277</v>
      </c>
      <c r="RQE1" s="24" t="s">
        <v>25278</v>
      </c>
      <c r="RQF1" s="24" t="s">
        <v>25279</v>
      </c>
      <c r="RQG1" s="24" t="s">
        <v>25280</v>
      </c>
      <c r="RQH1" s="24" t="s">
        <v>25281</v>
      </c>
      <c r="RQI1" s="24" t="s">
        <v>25282</v>
      </c>
      <c r="RQJ1" s="24" t="s">
        <v>25283</v>
      </c>
      <c r="RQK1" s="24" t="s">
        <v>25284</v>
      </c>
      <c r="RQL1" s="24" t="s">
        <v>25285</v>
      </c>
      <c r="RQM1" s="24" t="s">
        <v>25286</v>
      </c>
      <c r="RQN1" s="24" t="s">
        <v>25287</v>
      </c>
      <c r="RQO1" s="24" t="s">
        <v>25288</v>
      </c>
      <c r="RQP1" s="24" t="s">
        <v>25289</v>
      </c>
      <c r="RQQ1" s="24" t="s">
        <v>25290</v>
      </c>
      <c r="RQR1" s="24" t="s">
        <v>25291</v>
      </c>
      <c r="RQS1" s="24" t="s">
        <v>25292</v>
      </c>
      <c r="RQT1" s="24" t="s">
        <v>25293</v>
      </c>
      <c r="RQU1" s="24" t="s">
        <v>25294</v>
      </c>
      <c r="RQV1" s="24" t="s">
        <v>25295</v>
      </c>
      <c r="RQW1" s="24" t="s">
        <v>25296</v>
      </c>
      <c r="RQX1" s="24" t="s">
        <v>25297</v>
      </c>
      <c r="RQY1" s="24" t="s">
        <v>25298</v>
      </c>
      <c r="RQZ1" s="24" t="s">
        <v>25299</v>
      </c>
      <c r="RRA1" s="24" t="s">
        <v>25300</v>
      </c>
      <c r="RRB1" s="24" t="s">
        <v>25301</v>
      </c>
      <c r="RRC1" s="24" t="s">
        <v>25302</v>
      </c>
      <c r="RRD1" s="24" t="s">
        <v>25303</v>
      </c>
      <c r="RRE1" s="24" t="s">
        <v>25304</v>
      </c>
      <c r="RRF1" s="24" t="s">
        <v>25305</v>
      </c>
      <c r="RRG1" s="24" t="s">
        <v>25306</v>
      </c>
      <c r="RRH1" s="24" t="s">
        <v>25307</v>
      </c>
      <c r="RRI1" s="24" t="s">
        <v>25308</v>
      </c>
      <c r="RRJ1" s="24" t="s">
        <v>25309</v>
      </c>
      <c r="RRK1" s="24" t="s">
        <v>25310</v>
      </c>
      <c r="RRL1" s="24" t="s">
        <v>25311</v>
      </c>
      <c r="RRM1" s="24" t="s">
        <v>25312</v>
      </c>
      <c r="RRN1" s="24" t="s">
        <v>25313</v>
      </c>
      <c r="RRO1" s="24" t="s">
        <v>25314</v>
      </c>
      <c r="RRP1" s="24" t="s">
        <v>25315</v>
      </c>
      <c r="RRQ1" s="24" t="s">
        <v>25316</v>
      </c>
      <c r="RRR1" s="24" t="s">
        <v>25317</v>
      </c>
      <c r="RRS1" s="24" t="s">
        <v>25318</v>
      </c>
      <c r="RRT1" s="24" t="s">
        <v>25319</v>
      </c>
      <c r="RRU1" s="24" t="s">
        <v>25320</v>
      </c>
      <c r="RRV1" s="24" t="s">
        <v>25321</v>
      </c>
      <c r="RRW1" s="24" t="s">
        <v>25322</v>
      </c>
      <c r="RRX1" s="24" t="s">
        <v>25323</v>
      </c>
      <c r="RRY1" s="24" t="s">
        <v>25324</v>
      </c>
      <c r="RRZ1" s="24" t="s">
        <v>25325</v>
      </c>
      <c r="RSA1" s="24" t="s">
        <v>25326</v>
      </c>
      <c r="RSB1" s="24" t="s">
        <v>25327</v>
      </c>
      <c r="RSC1" s="24" t="s">
        <v>25328</v>
      </c>
      <c r="RSD1" s="24" t="s">
        <v>25329</v>
      </c>
      <c r="RSE1" s="24" t="s">
        <v>25330</v>
      </c>
      <c r="RSF1" s="24" t="s">
        <v>25331</v>
      </c>
      <c r="RSG1" s="24" t="s">
        <v>25332</v>
      </c>
      <c r="RSH1" s="24" t="s">
        <v>25333</v>
      </c>
      <c r="RSI1" s="24" t="s">
        <v>25334</v>
      </c>
      <c r="RSJ1" s="24" t="s">
        <v>25335</v>
      </c>
      <c r="RSK1" s="24" t="s">
        <v>25336</v>
      </c>
      <c r="RSL1" s="24" t="s">
        <v>25337</v>
      </c>
      <c r="RSM1" s="24" t="s">
        <v>25338</v>
      </c>
      <c r="RSN1" s="24" t="s">
        <v>25339</v>
      </c>
      <c r="RSO1" s="24" t="s">
        <v>25340</v>
      </c>
      <c r="RSP1" s="24" t="s">
        <v>25341</v>
      </c>
      <c r="RSQ1" s="24" t="s">
        <v>25342</v>
      </c>
      <c r="RSR1" s="24" t="s">
        <v>25343</v>
      </c>
      <c r="RSS1" s="24" t="s">
        <v>25344</v>
      </c>
      <c r="RST1" s="24" t="s">
        <v>25345</v>
      </c>
      <c r="RSU1" s="24" t="s">
        <v>25346</v>
      </c>
      <c r="RSV1" s="24" t="s">
        <v>25347</v>
      </c>
      <c r="RSW1" s="24" t="s">
        <v>25348</v>
      </c>
      <c r="RSX1" s="24" t="s">
        <v>25349</v>
      </c>
      <c r="RSY1" s="24" t="s">
        <v>25350</v>
      </c>
      <c r="RSZ1" s="24" t="s">
        <v>25351</v>
      </c>
      <c r="RTA1" s="24" t="s">
        <v>25352</v>
      </c>
      <c r="RTB1" s="24" t="s">
        <v>25353</v>
      </c>
      <c r="RTC1" s="24" t="s">
        <v>25354</v>
      </c>
      <c r="RTD1" s="24" t="s">
        <v>25355</v>
      </c>
      <c r="RTE1" s="24" t="s">
        <v>25356</v>
      </c>
      <c r="RTF1" s="24" t="s">
        <v>25357</v>
      </c>
      <c r="RTG1" s="24" t="s">
        <v>25358</v>
      </c>
      <c r="RTH1" s="24" t="s">
        <v>25359</v>
      </c>
      <c r="RTI1" s="24" t="s">
        <v>25360</v>
      </c>
      <c r="RTJ1" s="24" t="s">
        <v>25361</v>
      </c>
      <c r="RTK1" s="24" t="s">
        <v>25362</v>
      </c>
      <c r="RTL1" s="24" t="s">
        <v>25363</v>
      </c>
      <c r="RTM1" s="24" t="s">
        <v>25364</v>
      </c>
      <c r="RTN1" s="24" t="s">
        <v>25365</v>
      </c>
      <c r="RTO1" s="24" t="s">
        <v>25366</v>
      </c>
      <c r="RTP1" s="24" t="s">
        <v>25367</v>
      </c>
      <c r="RTQ1" s="24" t="s">
        <v>25368</v>
      </c>
      <c r="RTR1" s="24" t="s">
        <v>25369</v>
      </c>
      <c r="RTS1" s="24" t="s">
        <v>25370</v>
      </c>
      <c r="RTT1" s="24" t="s">
        <v>25371</v>
      </c>
      <c r="RTU1" s="24" t="s">
        <v>25372</v>
      </c>
      <c r="RTV1" s="24" t="s">
        <v>25373</v>
      </c>
      <c r="RTW1" s="24" t="s">
        <v>25374</v>
      </c>
      <c r="RTX1" s="24" t="s">
        <v>25375</v>
      </c>
      <c r="RTY1" s="24" t="s">
        <v>25376</v>
      </c>
      <c r="RTZ1" s="24" t="s">
        <v>25377</v>
      </c>
      <c r="RUA1" s="24" t="s">
        <v>25378</v>
      </c>
      <c r="RUB1" s="24" t="s">
        <v>25379</v>
      </c>
      <c r="RUC1" s="24" t="s">
        <v>25380</v>
      </c>
      <c r="RUD1" s="24" t="s">
        <v>25381</v>
      </c>
      <c r="RUE1" s="24" t="s">
        <v>25382</v>
      </c>
      <c r="RUF1" s="24" t="s">
        <v>25383</v>
      </c>
      <c r="RUG1" s="24" t="s">
        <v>25384</v>
      </c>
      <c r="RUH1" s="24" t="s">
        <v>25385</v>
      </c>
      <c r="RUI1" s="24" t="s">
        <v>25386</v>
      </c>
      <c r="RUJ1" s="24" t="s">
        <v>25387</v>
      </c>
      <c r="RUK1" s="24" t="s">
        <v>25388</v>
      </c>
      <c r="RUL1" s="24" t="s">
        <v>25389</v>
      </c>
      <c r="RUM1" s="24" t="s">
        <v>25390</v>
      </c>
      <c r="RUN1" s="24" t="s">
        <v>25391</v>
      </c>
      <c r="RUO1" s="24" t="s">
        <v>25392</v>
      </c>
      <c r="RUP1" s="24" t="s">
        <v>25393</v>
      </c>
      <c r="RUQ1" s="24" t="s">
        <v>25394</v>
      </c>
      <c r="RUR1" s="24" t="s">
        <v>25395</v>
      </c>
      <c r="RUS1" s="24" t="s">
        <v>25396</v>
      </c>
      <c r="RUT1" s="24" t="s">
        <v>25397</v>
      </c>
      <c r="RUU1" s="24" t="s">
        <v>25398</v>
      </c>
      <c r="RUV1" s="24" t="s">
        <v>25399</v>
      </c>
      <c r="RUW1" s="24" t="s">
        <v>25400</v>
      </c>
      <c r="RUX1" s="24" t="s">
        <v>25401</v>
      </c>
      <c r="RUY1" s="24" t="s">
        <v>25402</v>
      </c>
      <c r="RUZ1" s="24" t="s">
        <v>25403</v>
      </c>
      <c r="RVA1" s="24" t="s">
        <v>25404</v>
      </c>
      <c r="RVB1" s="24" t="s">
        <v>25405</v>
      </c>
      <c r="RVC1" s="24" t="s">
        <v>25406</v>
      </c>
      <c r="RVD1" s="24" t="s">
        <v>25407</v>
      </c>
      <c r="RVE1" s="24" t="s">
        <v>25408</v>
      </c>
      <c r="RVF1" s="24" t="s">
        <v>25409</v>
      </c>
      <c r="RVG1" s="24" t="s">
        <v>25410</v>
      </c>
      <c r="RVH1" s="24" t="s">
        <v>25411</v>
      </c>
      <c r="RVI1" s="24" t="s">
        <v>25412</v>
      </c>
      <c r="RVJ1" s="24" t="s">
        <v>25413</v>
      </c>
      <c r="RVK1" s="24" t="s">
        <v>25414</v>
      </c>
      <c r="RVL1" s="24" t="s">
        <v>25415</v>
      </c>
      <c r="RVM1" s="24" t="s">
        <v>25416</v>
      </c>
      <c r="RVN1" s="24" t="s">
        <v>25417</v>
      </c>
      <c r="RVO1" s="24" t="s">
        <v>25418</v>
      </c>
      <c r="RVP1" s="24" t="s">
        <v>25419</v>
      </c>
      <c r="RVQ1" s="24" t="s">
        <v>25420</v>
      </c>
      <c r="RVR1" s="24" t="s">
        <v>25421</v>
      </c>
      <c r="RVS1" s="24" t="s">
        <v>25422</v>
      </c>
      <c r="RVT1" s="24" t="s">
        <v>25423</v>
      </c>
      <c r="RVU1" s="24" t="s">
        <v>25424</v>
      </c>
      <c r="RVV1" s="24" t="s">
        <v>25425</v>
      </c>
      <c r="RVW1" s="24" t="s">
        <v>25426</v>
      </c>
      <c r="RVX1" s="24" t="s">
        <v>25427</v>
      </c>
      <c r="RVY1" s="24" t="s">
        <v>25428</v>
      </c>
      <c r="RVZ1" s="24" t="s">
        <v>25429</v>
      </c>
      <c r="RWA1" s="24" t="s">
        <v>25430</v>
      </c>
      <c r="RWB1" s="24" t="s">
        <v>25431</v>
      </c>
      <c r="RWC1" s="24" t="s">
        <v>25432</v>
      </c>
      <c r="RWD1" s="24" t="s">
        <v>25433</v>
      </c>
      <c r="RWE1" s="24" t="s">
        <v>25434</v>
      </c>
      <c r="RWF1" s="24" t="s">
        <v>25435</v>
      </c>
      <c r="RWG1" s="24" t="s">
        <v>25436</v>
      </c>
      <c r="RWH1" s="24" t="s">
        <v>25437</v>
      </c>
      <c r="RWI1" s="24" t="s">
        <v>25438</v>
      </c>
      <c r="RWJ1" s="24" t="s">
        <v>25439</v>
      </c>
      <c r="RWK1" s="24" t="s">
        <v>25440</v>
      </c>
      <c r="RWL1" s="24" t="s">
        <v>25441</v>
      </c>
      <c r="RWM1" s="24" t="s">
        <v>25442</v>
      </c>
      <c r="RWN1" s="24" t="s">
        <v>25443</v>
      </c>
      <c r="RWO1" s="24" t="s">
        <v>25444</v>
      </c>
      <c r="RWP1" s="24" t="s">
        <v>25445</v>
      </c>
      <c r="RWQ1" s="24" t="s">
        <v>25446</v>
      </c>
      <c r="RWR1" s="24" t="s">
        <v>25447</v>
      </c>
      <c r="RWS1" s="24" t="s">
        <v>25448</v>
      </c>
      <c r="RWT1" s="24" t="s">
        <v>25449</v>
      </c>
      <c r="RWU1" s="24" t="s">
        <v>25450</v>
      </c>
      <c r="RWV1" s="24" t="s">
        <v>25451</v>
      </c>
      <c r="RWW1" s="24" t="s">
        <v>25452</v>
      </c>
      <c r="RWX1" s="24" t="s">
        <v>25453</v>
      </c>
      <c r="RWY1" s="24" t="s">
        <v>25454</v>
      </c>
      <c r="RWZ1" s="24" t="s">
        <v>25455</v>
      </c>
      <c r="RXA1" s="24" t="s">
        <v>25456</v>
      </c>
      <c r="RXB1" s="24" t="s">
        <v>25457</v>
      </c>
      <c r="RXC1" s="24" t="s">
        <v>25458</v>
      </c>
      <c r="RXD1" s="24" t="s">
        <v>25459</v>
      </c>
      <c r="RXE1" s="24" t="s">
        <v>25460</v>
      </c>
      <c r="RXF1" s="24" t="s">
        <v>25461</v>
      </c>
      <c r="RXG1" s="24" t="s">
        <v>25462</v>
      </c>
      <c r="RXH1" s="24" t="s">
        <v>25463</v>
      </c>
      <c r="RXI1" s="24" t="s">
        <v>25464</v>
      </c>
      <c r="RXJ1" s="24" t="s">
        <v>25465</v>
      </c>
      <c r="RXK1" s="24" t="s">
        <v>25466</v>
      </c>
      <c r="RXL1" s="24" t="s">
        <v>25467</v>
      </c>
      <c r="RXM1" s="24" t="s">
        <v>25468</v>
      </c>
      <c r="RXN1" s="24" t="s">
        <v>25469</v>
      </c>
      <c r="RXO1" s="24" t="s">
        <v>25470</v>
      </c>
      <c r="RXP1" s="24" t="s">
        <v>25471</v>
      </c>
      <c r="RXQ1" s="24" t="s">
        <v>25472</v>
      </c>
      <c r="RXR1" s="24" t="s">
        <v>25473</v>
      </c>
      <c r="RXS1" s="24" t="s">
        <v>25474</v>
      </c>
      <c r="RXT1" s="24" t="s">
        <v>25475</v>
      </c>
      <c r="RXU1" s="24" t="s">
        <v>25476</v>
      </c>
      <c r="RXV1" s="24" t="s">
        <v>25477</v>
      </c>
      <c r="RXW1" s="24" t="s">
        <v>25478</v>
      </c>
      <c r="RXX1" s="24" t="s">
        <v>25479</v>
      </c>
      <c r="RXY1" s="24" t="s">
        <v>25480</v>
      </c>
      <c r="RXZ1" s="24" t="s">
        <v>25481</v>
      </c>
      <c r="RYA1" s="24" t="s">
        <v>25482</v>
      </c>
      <c r="RYB1" s="24" t="s">
        <v>25483</v>
      </c>
      <c r="RYC1" s="24" t="s">
        <v>25484</v>
      </c>
      <c r="RYD1" s="24" t="s">
        <v>25485</v>
      </c>
      <c r="RYE1" s="24" t="s">
        <v>25486</v>
      </c>
      <c r="RYF1" s="24" t="s">
        <v>25487</v>
      </c>
      <c r="RYG1" s="24" t="s">
        <v>25488</v>
      </c>
      <c r="RYH1" s="24" t="s">
        <v>25489</v>
      </c>
      <c r="RYI1" s="24" t="s">
        <v>25490</v>
      </c>
      <c r="RYJ1" s="24" t="s">
        <v>25491</v>
      </c>
      <c r="RYK1" s="24" t="s">
        <v>25492</v>
      </c>
      <c r="RYL1" s="24" t="s">
        <v>25493</v>
      </c>
      <c r="RYM1" s="24" t="s">
        <v>25494</v>
      </c>
      <c r="RYN1" s="24" t="s">
        <v>25495</v>
      </c>
      <c r="RYO1" s="24" t="s">
        <v>25496</v>
      </c>
      <c r="RYP1" s="24" t="s">
        <v>25497</v>
      </c>
      <c r="RYQ1" s="24" t="s">
        <v>25498</v>
      </c>
      <c r="RYR1" s="24" t="s">
        <v>25499</v>
      </c>
      <c r="RYS1" s="24" t="s">
        <v>25500</v>
      </c>
      <c r="RYT1" s="24" t="s">
        <v>25501</v>
      </c>
      <c r="RYU1" s="24" t="s">
        <v>25502</v>
      </c>
      <c r="RYV1" s="24" t="s">
        <v>25503</v>
      </c>
      <c r="RYW1" s="24" t="s">
        <v>25504</v>
      </c>
      <c r="RYX1" s="24" t="s">
        <v>25505</v>
      </c>
      <c r="RYY1" s="24" t="s">
        <v>25506</v>
      </c>
      <c r="RYZ1" s="24" t="s">
        <v>25507</v>
      </c>
      <c r="RZA1" s="24" t="s">
        <v>25508</v>
      </c>
      <c r="RZB1" s="24" t="s">
        <v>25509</v>
      </c>
      <c r="RZC1" s="24" t="s">
        <v>25510</v>
      </c>
      <c r="RZD1" s="24" t="s">
        <v>25511</v>
      </c>
      <c r="RZE1" s="24" t="s">
        <v>25512</v>
      </c>
      <c r="RZF1" s="24" t="s">
        <v>25513</v>
      </c>
      <c r="RZG1" s="24" t="s">
        <v>25514</v>
      </c>
      <c r="RZH1" s="24" t="s">
        <v>25515</v>
      </c>
      <c r="RZI1" s="24" t="s">
        <v>25516</v>
      </c>
      <c r="RZJ1" s="24" t="s">
        <v>25517</v>
      </c>
      <c r="RZK1" s="24" t="s">
        <v>25518</v>
      </c>
      <c r="RZL1" s="24" t="s">
        <v>25519</v>
      </c>
      <c r="RZM1" s="24" t="s">
        <v>25520</v>
      </c>
      <c r="RZN1" s="24" t="s">
        <v>25521</v>
      </c>
      <c r="RZO1" s="24" t="s">
        <v>25522</v>
      </c>
      <c r="RZP1" s="24" t="s">
        <v>25523</v>
      </c>
      <c r="RZQ1" s="24" t="s">
        <v>25524</v>
      </c>
      <c r="RZR1" s="24" t="s">
        <v>25525</v>
      </c>
      <c r="RZS1" s="24" t="s">
        <v>25526</v>
      </c>
      <c r="RZT1" s="24" t="s">
        <v>25527</v>
      </c>
      <c r="RZU1" s="24" t="s">
        <v>25528</v>
      </c>
      <c r="RZV1" s="24" t="s">
        <v>25529</v>
      </c>
      <c r="RZW1" s="24" t="s">
        <v>25530</v>
      </c>
      <c r="RZX1" s="24" t="s">
        <v>25531</v>
      </c>
      <c r="RZY1" s="24" t="s">
        <v>25532</v>
      </c>
      <c r="RZZ1" s="24" t="s">
        <v>25533</v>
      </c>
      <c r="SAA1" s="24" t="s">
        <v>25534</v>
      </c>
      <c r="SAB1" s="24" t="s">
        <v>25535</v>
      </c>
      <c r="SAC1" s="24" t="s">
        <v>25536</v>
      </c>
      <c r="SAD1" s="24" t="s">
        <v>25537</v>
      </c>
      <c r="SAE1" s="24" t="s">
        <v>25538</v>
      </c>
      <c r="SAF1" s="24" t="s">
        <v>25539</v>
      </c>
      <c r="SAG1" s="24" t="s">
        <v>25540</v>
      </c>
      <c r="SAH1" s="24" t="s">
        <v>25541</v>
      </c>
      <c r="SAI1" s="24" t="s">
        <v>25542</v>
      </c>
      <c r="SAJ1" s="24" t="s">
        <v>25543</v>
      </c>
      <c r="SAK1" s="24" t="s">
        <v>25544</v>
      </c>
      <c r="SAL1" s="24" t="s">
        <v>25545</v>
      </c>
      <c r="SAM1" s="24" t="s">
        <v>25546</v>
      </c>
      <c r="SAN1" s="24" t="s">
        <v>25547</v>
      </c>
      <c r="SAO1" s="24" t="s">
        <v>25548</v>
      </c>
      <c r="SAP1" s="24" t="s">
        <v>25549</v>
      </c>
      <c r="SAQ1" s="24" t="s">
        <v>25550</v>
      </c>
      <c r="SAR1" s="24" t="s">
        <v>25551</v>
      </c>
      <c r="SAS1" s="24" t="s">
        <v>25552</v>
      </c>
      <c r="SAT1" s="24" t="s">
        <v>25553</v>
      </c>
      <c r="SAU1" s="24" t="s">
        <v>25554</v>
      </c>
      <c r="SAV1" s="24" t="s">
        <v>25555</v>
      </c>
      <c r="SAW1" s="24" t="s">
        <v>25556</v>
      </c>
      <c r="SAX1" s="24" t="s">
        <v>25557</v>
      </c>
      <c r="SAY1" s="24" t="s">
        <v>25558</v>
      </c>
      <c r="SAZ1" s="24" t="s">
        <v>25559</v>
      </c>
      <c r="SBA1" s="24" t="s">
        <v>25560</v>
      </c>
      <c r="SBB1" s="24" t="s">
        <v>25561</v>
      </c>
      <c r="SBC1" s="24" t="s">
        <v>25562</v>
      </c>
      <c r="SBD1" s="24" t="s">
        <v>25563</v>
      </c>
      <c r="SBE1" s="24" t="s">
        <v>25564</v>
      </c>
      <c r="SBF1" s="24" t="s">
        <v>25565</v>
      </c>
      <c r="SBG1" s="24" t="s">
        <v>25566</v>
      </c>
      <c r="SBH1" s="24" t="s">
        <v>25567</v>
      </c>
      <c r="SBI1" s="24" t="s">
        <v>25568</v>
      </c>
      <c r="SBJ1" s="24" t="s">
        <v>25569</v>
      </c>
      <c r="SBK1" s="24" t="s">
        <v>25570</v>
      </c>
      <c r="SBL1" s="24" t="s">
        <v>25571</v>
      </c>
      <c r="SBM1" s="24" t="s">
        <v>25572</v>
      </c>
      <c r="SBN1" s="24" t="s">
        <v>25573</v>
      </c>
      <c r="SBO1" s="24" t="s">
        <v>25574</v>
      </c>
      <c r="SBP1" s="24" t="s">
        <v>25575</v>
      </c>
      <c r="SBQ1" s="24" t="s">
        <v>25576</v>
      </c>
      <c r="SBR1" s="24" t="s">
        <v>25577</v>
      </c>
      <c r="SBS1" s="24" t="s">
        <v>25578</v>
      </c>
      <c r="SBT1" s="24" t="s">
        <v>25579</v>
      </c>
      <c r="SBU1" s="24" t="s">
        <v>25580</v>
      </c>
      <c r="SBV1" s="24" t="s">
        <v>25581</v>
      </c>
      <c r="SBW1" s="24" t="s">
        <v>25582</v>
      </c>
      <c r="SBX1" s="24" t="s">
        <v>25583</v>
      </c>
      <c r="SBY1" s="24" t="s">
        <v>25584</v>
      </c>
      <c r="SBZ1" s="24" t="s">
        <v>25585</v>
      </c>
      <c r="SCA1" s="24" t="s">
        <v>25586</v>
      </c>
      <c r="SCB1" s="24" t="s">
        <v>25587</v>
      </c>
      <c r="SCC1" s="24" t="s">
        <v>25588</v>
      </c>
      <c r="SCD1" s="24" t="s">
        <v>25589</v>
      </c>
      <c r="SCE1" s="24" t="s">
        <v>25590</v>
      </c>
      <c r="SCF1" s="24" t="s">
        <v>25591</v>
      </c>
      <c r="SCG1" s="24" t="s">
        <v>25592</v>
      </c>
      <c r="SCH1" s="24" t="s">
        <v>25593</v>
      </c>
      <c r="SCI1" s="24" t="s">
        <v>25594</v>
      </c>
      <c r="SCJ1" s="24" t="s">
        <v>25595</v>
      </c>
      <c r="SCK1" s="24" t="s">
        <v>25596</v>
      </c>
      <c r="SCL1" s="24" t="s">
        <v>25597</v>
      </c>
      <c r="SCM1" s="24" t="s">
        <v>25598</v>
      </c>
      <c r="SCN1" s="24" t="s">
        <v>25599</v>
      </c>
      <c r="SCO1" s="24" t="s">
        <v>25600</v>
      </c>
      <c r="SCP1" s="24" t="s">
        <v>25601</v>
      </c>
      <c r="SCQ1" s="24" t="s">
        <v>25602</v>
      </c>
      <c r="SCR1" s="24" t="s">
        <v>25603</v>
      </c>
      <c r="SCS1" s="24" t="s">
        <v>25604</v>
      </c>
      <c r="SCT1" s="24" t="s">
        <v>25605</v>
      </c>
      <c r="SCU1" s="24" t="s">
        <v>25606</v>
      </c>
      <c r="SCV1" s="24" t="s">
        <v>25607</v>
      </c>
      <c r="SCW1" s="24" t="s">
        <v>25608</v>
      </c>
      <c r="SCX1" s="24" t="s">
        <v>25609</v>
      </c>
      <c r="SCY1" s="24" t="s">
        <v>25610</v>
      </c>
      <c r="SCZ1" s="24" t="s">
        <v>25611</v>
      </c>
      <c r="SDA1" s="24" t="s">
        <v>25612</v>
      </c>
      <c r="SDB1" s="24" t="s">
        <v>25613</v>
      </c>
      <c r="SDC1" s="24" t="s">
        <v>25614</v>
      </c>
      <c r="SDD1" s="24" t="s">
        <v>25615</v>
      </c>
      <c r="SDE1" s="24" t="s">
        <v>25616</v>
      </c>
      <c r="SDF1" s="24" t="s">
        <v>25617</v>
      </c>
      <c r="SDG1" s="24" t="s">
        <v>25618</v>
      </c>
      <c r="SDH1" s="24" t="s">
        <v>25619</v>
      </c>
      <c r="SDI1" s="24" t="s">
        <v>25620</v>
      </c>
      <c r="SDJ1" s="24" t="s">
        <v>25621</v>
      </c>
      <c r="SDK1" s="24" t="s">
        <v>25622</v>
      </c>
      <c r="SDL1" s="24" t="s">
        <v>25623</v>
      </c>
      <c r="SDM1" s="24" t="s">
        <v>25624</v>
      </c>
      <c r="SDN1" s="24" t="s">
        <v>25625</v>
      </c>
      <c r="SDO1" s="24" t="s">
        <v>25626</v>
      </c>
      <c r="SDP1" s="24" t="s">
        <v>25627</v>
      </c>
      <c r="SDQ1" s="24" t="s">
        <v>25628</v>
      </c>
      <c r="SDR1" s="24" t="s">
        <v>25629</v>
      </c>
      <c r="SDS1" s="24" t="s">
        <v>25630</v>
      </c>
      <c r="SDT1" s="24" t="s">
        <v>25631</v>
      </c>
      <c r="SDU1" s="24" t="s">
        <v>25632</v>
      </c>
      <c r="SDV1" s="24" t="s">
        <v>25633</v>
      </c>
      <c r="SDW1" s="24" t="s">
        <v>25634</v>
      </c>
      <c r="SDX1" s="24" t="s">
        <v>25635</v>
      </c>
      <c r="SDY1" s="24" t="s">
        <v>25636</v>
      </c>
      <c r="SDZ1" s="24" t="s">
        <v>25637</v>
      </c>
      <c r="SEA1" s="24" t="s">
        <v>25638</v>
      </c>
      <c r="SEB1" s="24" t="s">
        <v>25639</v>
      </c>
      <c r="SEC1" s="24" t="s">
        <v>25640</v>
      </c>
      <c r="SED1" s="24" t="s">
        <v>25641</v>
      </c>
      <c r="SEE1" s="24" t="s">
        <v>25642</v>
      </c>
      <c r="SEF1" s="24" t="s">
        <v>25643</v>
      </c>
      <c r="SEG1" s="24" t="s">
        <v>25644</v>
      </c>
      <c r="SEH1" s="24" t="s">
        <v>25645</v>
      </c>
      <c r="SEI1" s="24" t="s">
        <v>25646</v>
      </c>
      <c r="SEJ1" s="24" t="s">
        <v>25647</v>
      </c>
      <c r="SEK1" s="24" t="s">
        <v>25648</v>
      </c>
      <c r="SEL1" s="24" t="s">
        <v>25649</v>
      </c>
      <c r="SEM1" s="24" t="s">
        <v>25650</v>
      </c>
      <c r="SEN1" s="24" t="s">
        <v>25651</v>
      </c>
      <c r="SEO1" s="24" t="s">
        <v>25652</v>
      </c>
      <c r="SEP1" s="24" t="s">
        <v>25653</v>
      </c>
      <c r="SEQ1" s="24" t="s">
        <v>25654</v>
      </c>
      <c r="SER1" s="24" t="s">
        <v>25655</v>
      </c>
      <c r="SES1" s="24" t="s">
        <v>25656</v>
      </c>
      <c r="SET1" s="24" t="s">
        <v>25657</v>
      </c>
      <c r="SEU1" s="24" t="s">
        <v>25658</v>
      </c>
      <c r="SEV1" s="24" t="s">
        <v>25659</v>
      </c>
      <c r="SEW1" s="24" t="s">
        <v>25660</v>
      </c>
      <c r="SEX1" s="24" t="s">
        <v>25661</v>
      </c>
      <c r="SEY1" s="24" t="s">
        <v>25662</v>
      </c>
      <c r="SEZ1" s="24" t="s">
        <v>25663</v>
      </c>
      <c r="SFA1" s="24" t="s">
        <v>25664</v>
      </c>
      <c r="SFB1" s="24" t="s">
        <v>25665</v>
      </c>
      <c r="SFC1" s="24" t="s">
        <v>25666</v>
      </c>
      <c r="SFD1" s="24" t="s">
        <v>25667</v>
      </c>
      <c r="SFE1" s="24" t="s">
        <v>25668</v>
      </c>
      <c r="SFF1" s="24" t="s">
        <v>25669</v>
      </c>
      <c r="SFG1" s="24" t="s">
        <v>25670</v>
      </c>
      <c r="SFH1" s="24" t="s">
        <v>25671</v>
      </c>
      <c r="SFI1" s="24" t="s">
        <v>25672</v>
      </c>
      <c r="SFJ1" s="24" t="s">
        <v>25673</v>
      </c>
      <c r="SFK1" s="24" t="s">
        <v>25674</v>
      </c>
      <c r="SFL1" s="24" t="s">
        <v>25675</v>
      </c>
      <c r="SFM1" s="24" t="s">
        <v>25676</v>
      </c>
      <c r="SFN1" s="24" t="s">
        <v>25677</v>
      </c>
      <c r="SFO1" s="24" t="s">
        <v>25678</v>
      </c>
      <c r="SFP1" s="24" t="s">
        <v>25679</v>
      </c>
      <c r="SFQ1" s="24" t="s">
        <v>25680</v>
      </c>
      <c r="SFR1" s="24" t="s">
        <v>25681</v>
      </c>
      <c r="SFS1" s="24" t="s">
        <v>25682</v>
      </c>
      <c r="SFT1" s="24" t="s">
        <v>25683</v>
      </c>
      <c r="SFU1" s="24" t="s">
        <v>25684</v>
      </c>
      <c r="SFV1" s="24" t="s">
        <v>25685</v>
      </c>
      <c r="SFW1" s="24" t="s">
        <v>25686</v>
      </c>
      <c r="SFX1" s="24" t="s">
        <v>25687</v>
      </c>
      <c r="SFY1" s="24" t="s">
        <v>25688</v>
      </c>
      <c r="SFZ1" s="24" t="s">
        <v>25689</v>
      </c>
      <c r="SGA1" s="24" t="s">
        <v>25690</v>
      </c>
      <c r="SGB1" s="24" t="s">
        <v>25691</v>
      </c>
      <c r="SGC1" s="24" t="s">
        <v>25692</v>
      </c>
      <c r="SGD1" s="24" t="s">
        <v>25693</v>
      </c>
      <c r="SGE1" s="24" t="s">
        <v>25694</v>
      </c>
      <c r="SGF1" s="24" t="s">
        <v>25695</v>
      </c>
      <c r="SGG1" s="24" t="s">
        <v>25696</v>
      </c>
      <c r="SGH1" s="24" t="s">
        <v>25697</v>
      </c>
      <c r="SGI1" s="24" t="s">
        <v>25698</v>
      </c>
      <c r="SGJ1" s="24" t="s">
        <v>25699</v>
      </c>
      <c r="SGK1" s="24" t="s">
        <v>25700</v>
      </c>
      <c r="SGL1" s="24" t="s">
        <v>25701</v>
      </c>
      <c r="SGM1" s="24" t="s">
        <v>25702</v>
      </c>
      <c r="SGN1" s="24" t="s">
        <v>25703</v>
      </c>
      <c r="SGO1" s="24" t="s">
        <v>25704</v>
      </c>
      <c r="SGP1" s="24" t="s">
        <v>25705</v>
      </c>
      <c r="SGQ1" s="24" t="s">
        <v>25706</v>
      </c>
      <c r="SGR1" s="24" t="s">
        <v>25707</v>
      </c>
      <c r="SGS1" s="24" t="s">
        <v>25708</v>
      </c>
      <c r="SGT1" s="24" t="s">
        <v>25709</v>
      </c>
      <c r="SGU1" s="24" t="s">
        <v>25710</v>
      </c>
      <c r="SGV1" s="24" t="s">
        <v>25711</v>
      </c>
      <c r="SGW1" s="24" t="s">
        <v>25712</v>
      </c>
      <c r="SGX1" s="24" t="s">
        <v>25713</v>
      </c>
      <c r="SGY1" s="24" t="s">
        <v>25714</v>
      </c>
      <c r="SGZ1" s="24" t="s">
        <v>25715</v>
      </c>
      <c r="SHA1" s="24" t="s">
        <v>25716</v>
      </c>
      <c r="SHB1" s="24" t="s">
        <v>25717</v>
      </c>
      <c r="SHC1" s="24" t="s">
        <v>25718</v>
      </c>
      <c r="SHD1" s="24" t="s">
        <v>25719</v>
      </c>
      <c r="SHE1" s="24" t="s">
        <v>25720</v>
      </c>
      <c r="SHF1" s="24" t="s">
        <v>25721</v>
      </c>
      <c r="SHG1" s="24" t="s">
        <v>25722</v>
      </c>
      <c r="SHH1" s="24" t="s">
        <v>25723</v>
      </c>
      <c r="SHI1" s="24" t="s">
        <v>25724</v>
      </c>
      <c r="SHJ1" s="24" t="s">
        <v>25725</v>
      </c>
      <c r="SHK1" s="24" t="s">
        <v>25726</v>
      </c>
      <c r="SHL1" s="24" t="s">
        <v>25727</v>
      </c>
      <c r="SHM1" s="24" t="s">
        <v>25728</v>
      </c>
      <c r="SHN1" s="24" t="s">
        <v>25729</v>
      </c>
      <c r="SHO1" s="24" t="s">
        <v>25730</v>
      </c>
      <c r="SHP1" s="24" t="s">
        <v>25731</v>
      </c>
      <c r="SHQ1" s="24" t="s">
        <v>25732</v>
      </c>
      <c r="SHR1" s="24" t="s">
        <v>25733</v>
      </c>
      <c r="SHS1" s="24" t="s">
        <v>25734</v>
      </c>
      <c r="SHT1" s="24" t="s">
        <v>25735</v>
      </c>
      <c r="SHU1" s="24" t="s">
        <v>25736</v>
      </c>
      <c r="SHV1" s="24" t="s">
        <v>25737</v>
      </c>
      <c r="SHW1" s="24" t="s">
        <v>25738</v>
      </c>
      <c r="SHX1" s="24" t="s">
        <v>25739</v>
      </c>
      <c r="SHY1" s="24" t="s">
        <v>25740</v>
      </c>
      <c r="SHZ1" s="24" t="s">
        <v>25741</v>
      </c>
      <c r="SIA1" s="24" t="s">
        <v>25742</v>
      </c>
      <c r="SIB1" s="24" t="s">
        <v>25743</v>
      </c>
      <c r="SIC1" s="24" t="s">
        <v>25744</v>
      </c>
      <c r="SID1" s="24" t="s">
        <v>25745</v>
      </c>
      <c r="SIE1" s="24" t="s">
        <v>25746</v>
      </c>
      <c r="SIF1" s="24" t="s">
        <v>25747</v>
      </c>
      <c r="SIG1" s="24" t="s">
        <v>25748</v>
      </c>
      <c r="SIH1" s="24" t="s">
        <v>25749</v>
      </c>
      <c r="SII1" s="24" t="s">
        <v>25750</v>
      </c>
      <c r="SIJ1" s="24" t="s">
        <v>25751</v>
      </c>
      <c r="SIK1" s="24" t="s">
        <v>25752</v>
      </c>
      <c r="SIL1" s="24" t="s">
        <v>25753</v>
      </c>
      <c r="SIM1" s="24" t="s">
        <v>25754</v>
      </c>
      <c r="SIN1" s="24" t="s">
        <v>25755</v>
      </c>
      <c r="SIO1" s="24" t="s">
        <v>25756</v>
      </c>
      <c r="SIP1" s="24" t="s">
        <v>25757</v>
      </c>
      <c r="SIQ1" s="24" t="s">
        <v>25758</v>
      </c>
      <c r="SIR1" s="24" t="s">
        <v>25759</v>
      </c>
      <c r="SIS1" s="24" t="s">
        <v>25760</v>
      </c>
      <c r="SIT1" s="24" t="s">
        <v>25761</v>
      </c>
      <c r="SIU1" s="24" t="s">
        <v>25762</v>
      </c>
      <c r="SIV1" s="24" t="s">
        <v>25763</v>
      </c>
      <c r="SIW1" s="24" t="s">
        <v>25764</v>
      </c>
      <c r="SIX1" s="24" t="s">
        <v>25765</v>
      </c>
      <c r="SIY1" s="24" t="s">
        <v>25766</v>
      </c>
      <c r="SIZ1" s="24" t="s">
        <v>25767</v>
      </c>
      <c r="SJA1" s="24" t="s">
        <v>25768</v>
      </c>
      <c r="SJB1" s="24" t="s">
        <v>25769</v>
      </c>
      <c r="SJC1" s="24" t="s">
        <v>25770</v>
      </c>
      <c r="SJD1" s="24" t="s">
        <v>25771</v>
      </c>
      <c r="SJE1" s="24" t="s">
        <v>25772</v>
      </c>
      <c r="SJF1" s="24" t="s">
        <v>25773</v>
      </c>
      <c r="SJG1" s="24" t="s">
        <v>25774</v>
      </c>
      <c r="SJH1" s="24" t="s">
        <v>25775</v>
      </c>
      <c r="SJI1" s="24" t="s">
        <v>25776</v>
      </c>
      <c r="SJJ1" s="24" t="s">
        <v>25777</v>
      </c>
      <c r="SJK1" s="24" t="s">
        <v>25778</v>
      </c>
      <c r="SJL1" s="24" t="s">
        <v>25779</v>
      </c>
      <c r="SJM1" s="24" t="s">
        <v>25780</v>
      </c>
      <c r="SJN1" s="24" t="s">
        <v>25781</v>
      </c>
      <c r="SJO1" s="24" t="s">
        <v>25782</v>
      </c>
      <c r="SJP1" s="24" t="s">
        <v>25783</v>
      </c>
      <c r="SJQ1" s="24" t="s">
        <v>25784</v>
      </c>
      <c r="SJR1" s="24" t="s">
        <v>25785</v>
      </c>
      <c r="SJS1" s="24" t="s">
        <v>25786</v>
      </c>
      <c r="SJT1" s="24" t="s">
        <v>25787</v>
      </c>
      <c r="SJU1" s="24" t="s">
        <v>25788</v>
      </c>
      <c r="SJV1" s="24" t="s">
        <v>25789</v>
      </c>
      <c r="SJW1" s="24" t="s">
        <v>25790</v>
      </c>
      <c r="SJX1" s="24" t="s">
        <v>25791</v>
      </c>
      <c r="SJY1" s="24" t="s">
        <v>25792</v>
      </c>
      <c r="SJZ1" s="24" t="s">
        <v>25793</v>
      </c>
      <c r="SKA1" s="24" t="s">
        <v>25794</v>
      </c>
      <c r="SKB1" s="24" t="s">
        <v>25795</v>
      </c>
      <c r="SKC1" s="24" t="s">
        <v>25796</v>
      </c>
      <c r="SKD1" s="24" t="s">
        <v>25797</v>
      </c>
      <c r="SKE1" s="24" t="s">
        <v>25798</v>
      </c>
      <c r="SKF1" s="24" t="s">
        <v>25799</v>
      </c>
      <c r="SKG1" s="24" t="s">
        <v>25800</v>
      </c>
      <c r="SKH1" s="24" t="s">
        <v>25801</v>
      </c>
      <c r="SKI1" s="24" t="s">
        <v>25802</v>
      </c>
      <c r="SKJ1" s="24" t="s">
        <v>25803</v>
      </c>
      <c r="SKK1" s="24" t="s">
        <v>25804</v>
      </c>
      <c r="SKL1" s="24" t="s">
        <v>25805</v>
      </c>
      <c r="SKM1" s="24" t="s">
        <v>25806</v>
      </c>
      <c r="SKN1" s="24" t="s">
        <v>25807</v>
      </c>
      <c r="SKO1" s="24" t="s">
        <v>25808</v>
      </c>
      <c r="SKP1" s="24" t="s">
        <v>25809</v>
      </c>
      <c r="SKQ1" s="24" t="s">
        <v>25810</v>
      </c>
      <c r="SKR1" s="24" t="s">
        <v>25811</v>
      </c>
      <c r="SKS1" s="24" t="s">
        <v>25812</v>
      </c>
      <c r="SKT1" s="24" t="s">
        <v>25813</v>
      </c>
      <c r="SKU1" s="24" t="s">
        <v>25814</v>
      </c>
      <c r="SKV1" s="24" t="s">
        <v>25815</v>
      </c>
      <c r="SKW1" s="24" t="s">
        <v>25816</v>
      </c>
      <c r="SKX1" s="24" t="s">
        <v>25817</v>
      </c>
      <c r="SKY1" s="24" t="s">
        <v>25818</v>
      </c>
      <c r="SKZ1" s="24" t="s">
        <v>25819</v>
      </c>
      <c r="SLA1" s="24" t="s">
        <v>25820</v>
      </c>
      <c r="SLB1" s="24" t="s">
        <v>25821</v>
      </c>
      <c r="SLC1" s="24" t="s">
        <v>25822</v>
      </c>
      <c r="SLD1" s="24" t="s">
        <v>25823</v>
      </c>
      <c r="SLE1" s="24" t="s">
        <v>25824</v>
      </c>
      <c r="SLF1" s="24" t="s">
        <v>25825</v>
      </c>
      <c r="SLG1" s="24" t="s">
        <v>25826</v>
      </c>
      <c r="SLH1" s="24" t="s">
        <v>25827</v>
      </c>
      <c r="SLI1" s="24" t="s">
        <v>25828</v>
      </c>
      <c r="SLJ1" s="24" t="s">
        <v>25829</v>
      </c>
      <c r="SLK1" s="24" t="s">
        <v>25830</v>
      </c>
      <c r="SLL1" s="24" t="s">
        <v>25831</v>
      </c>
      <c r="SLM1" s="24" t="s">
        <v>25832</v>
      </c>
      <c r="SLN1" s="24" t="s">
        <v>25833</v>
      </c>
      <c r="SLO1" s="24" t="s">
        <v>25834</v>
      </c>
      <c r="SLP1" s="24" t="s">
        <v>25835</v>
      </c>
      <c r="SLQ1" s="24" t="s">
        <v>25836</v>
      </c>
      <c r="SLR1" s="24" t="s">
        <v>25837</v>
      </c>
      <c r="SLS1" s="24" t="s">
        <v>25838</v>
      </c>
      <c r="SLT1" s="24" t="s">
        <v>25839</v>
      </c>
      <c r="SLU1" s="24" t="s">
        <v>25840</v>
      </c>
      <c r="SLV1" s="24" t="s">
        <v>25841</v>
      </c>
      <c r="SLW1" s="24" t="s">
        <v>25842</v>
      </c>
      <c r="SLX1" s="24" t="s">
        <v>25843</v>
      </c>
      <c r="SLY1" s="24" t="s">
        <v>25844</v>
      </c>
      <c r="SLZ1" s="24" t="s">
        <v>25845</v>
      </c>
      <c r="SMA1" s="24" t="s">
        <v>25846</v>
      </c>
      <c r="SMB1" s="24" t="s">
        <v>25847</v>
      </c>
      <c r="SMC1" s="24" t="s">
        <v>25848</v>
      </c>
      <c r="SMD1" s="24" t="s">
        <v>25849</v>
      </c>
      <c r="SME1" s="24" t="s">
        <v>25850</v>
      </c>
      <c r="SMF1" s="24" t="s">
        <v>25851</v>
      </c>
      <c r="SMG1" s="24" t="s">
        <v>25852</v>
      </c>
      <c r="SMH1" s="24" t="s">
        <v>25853</v>
      </c>
      <c r="SMI1" s="24" t="s">
        <v>25854</v>
      </c>
      <c r="SMJ1" s="24" t="s">
        <v>25855</v>
      </c>
      <c r="SMK1" s="24" t="s">
        <v>25856</v>
      </c>
      <c r="SML1" s="24" t="s">
        <v>25857</v>
      </c>
      <c r="SMM1" s="24" t="s">
        <v>25858</v>
      </c>
      <c r="SMN1" s="24" t="s">
        <v>25859</v>
      </c>
      <c r="SMO1" s="24" t="s">
        <v>25860</v>
      </c>
      <c r="SMP1" s="24" t="s">
        <v>25861</v>
      </c>
      <c r="SMQ1" s="24" t="s">
        <v>25862</v>
      </c>
      <c r="SMR1" s="24" t="s">
        <v>25863</v>
      </c>
      <c r="SMS1" s="24" t="s">
        <v>25864</v>
      </c>
      <c r="SMT1" s="24" t="s">
        <v>25865</v>
      </c>
      <c r="SMU1" s="24" t="s">
        <v>25866</v>
      </c>
      <c r="SMV1" s="24" t="s">
        <v>25867</v>
      </c>
      <c r="SMW1" s="24" t="s">
        <v>25868</v>
      </c>
      <c r="SMX1" s="24" t="s">
        <v>25869</v>
      </c>
      <c r="SMY1" s="24" t="s">
        <v>25870</v>
      </c>
      <c r="SMZ1" s="24" t="s">
        <v>25871</v>
      </c>
      <c r="SNA1" s="24" t="s">
        <v>25872</v>
      </c>
      <c r="SNB1" s="24" t="s">
        <v>25873</v>
      </c>
      <c r="SNC1" s="24" t="s">
        <v>25874</v>
      </c>
      <c r="SND1" s="24" t="s">
        <v>25875</v>
      </c>
      <c r="SNE1" s="24" t="s">
        <v>25876</v>
      </c>
      <c r="SNF1" s="24" t="s">
        <v>25877</v>
      </c>
      <c r="SNG1" s="24" t="s">
        <v>25878</v>
      </c>
      <c r="SNH1" s="24" t="s">
        <v>25879</v>
      </c>
      <c r="SNI1" s="24" t="s">
        <v>25880</v>
      </c>
      <c r="SNJ1" s="24" t="s">
        <v>25881</v>
      </c>
      <c r="SNK1" s="24" t="s">
        <v>25882</v>
      </c>
      <c r="SNL1" s="24" t="s">
        <v>25883</v>
      </c>
      <c r="SNM1" s="24" t="s">
        <v>25884</v>
      </c>
      <c r="SNN1" s="24" t="s">
        <v>25885</v>
      </c>
      <c r="SNO1" s="24" t="s">
        <v>25886</v>
      </c>
      <c r="SNP1" s="24" t="s">
        <v>25887</v>
      </c>
      <c r="SNQ1" s="24" t="s">
        <v>25888</v>
      </c>
      <c r="SNR1" s="24" t="s">
        <v>25889</v>
      </c>
      <c r="SNS1" s="24" t="s">
        <v>25890</v>
      </c>
      <c r="SNT1" s="24" t="s">
        <v>25891</v>
      </c>
      <c r="SNU1" s="24" t="s">
        <v>25892</v>
      </c>
      <c r="SNV1" s="24" t="s">
        <v>25893</v>
      </c>
      <c r="SNW1" s="24" t="s">
        <v>25894</v>
      </c>
      <c r="SNX1" s="24" t="s">
        <v>25895</v>
      </c>
      <c r="SNY1" s="24" t="s">
        <v>25896</v>
      </c>
      <c r="SNZ1" s="24" t="s">
        <v>25897</v>
      </c>
      <c r="SOA1" s="24" t="s">
        <v>25898</v>
      </c>
      <c r="SOB1" s="24" t="s">
        <v>25899</v>
      </c>
      <c r="SOC1" s="24" t="s">
        <v>25900</v>
      </c>
      <c r="SOD1" s="24" t="s">
        <v>25901</v>
      </c>
      <c r="SOE1" s="24" t="s">
        <v>25902</v>
      </c>
      <c r="SOF1" s="24" t="s">
        <v>25903</v>
      </c>
      <c r="SOG1" s="24" t="s">
        <v>25904</v>
      </c>
      <c r="SOH1" s="24" t="s">
        <v>25905</v>
      </c>
      <c r="SOI1" s="24" t="s">
        <v>25906</v>
      </c>
      <c r="SOJ1" s="24" t="s">
        <v>25907</v>
      </c>
      <c r="SOK1" s="24" t="s">
        <v>25908</v>
      </c>
      <c r="SOL1" s="24" t="s">
        <v>25909</v>
      </c>
      <c r="SOM1" s="24" t="s">
        <v>25910</v>
      </c>
      <c r="SON1" s="24" t="s">
        <v>25911</v>
      </c>
      <c r="SOO1" s="24" t="s">
        <v>25912</v>
      </c>
      <c r="SOP1" s="24" t="s">
        <v>25913</v>
      </c>
      <c r="SOQ1" s="24" t="s">
        <v>25914</v>
      </c>
      <c r="SOR1" s="24" t="s">
        <v>25915</v>
      </c>
      <c r="SOS1" s="24" t="s">
        <v>25916</v>
      </c>
      <c r="SOT1" s="24" t="s">
        <v>25917</v>
      </c>
      <c r="SOU1" s="24" t="s">
        <v>25918</v>
      </c>
      <c r="SOV1" s="24" t="s">
        <v>25919</v>
      </c>
      <c r="SOW1" s="24" t="s">
        <v>25920</v>
      </c>
      <c r="SOX1" s="24" t="s">
        <v>25921</v>
      </c>
      <c r="SOY1" s="24" t="s">
        <v>25922</v>
      </c>
      <c r="SOZ1" s="24" t="s">
        <v>25923</v>
      </c>
      <c r="SPA1" s="24" t="s">
        <v>25924</v>
      </c>
      <c r="SPB1" s="24" t="s">
        <v>25925</v>
      </c>
      <c r="SPC1" s="24" t="s">
        <v>25926</v>
      </c>
      <c r="SPD1" s="24" t="s">
        <v>25927</v>
      </c>
      <c r="SPE1" s="24" t="s">
        <v>25928</v>
      </c>
      <c r="SPF1" s="24" t="s">
        <v>25929</v>
      </c>
      <c r="SPG1" s="24" t="s">
        <v>25930</v>
      </c>
      <c r="SPH1" s="24" t="s">
        <v>25931</v>
      </c>
      <c r="SPI1" s="24" t="s">
        <v>25932</v>
      </c>
      <c r="SPJ1" s="24" t="s">
        <v>25933</v>
      </c>
      <c r="SPK1" s="24" t="s">
        <v>25934</v>
      </c>
      <c r="SPL1" s="24" t="s">
        <v>25935</v>
      </c>
      <c r="SPM1" s="24" t="s">
        <v>25936</v>
      </c>
      <c r="SPN1" s="24" t="s">
        <v>25937</v>
      </c>
      <c r="SPO1" s="24" t="s">
        <v>25938</v>
      </c>
      <c r="SPP1" s="24" t="s">
        <v>25939</v>
      </c>
      <c r="SPQ1" s="24" t="s">
        <v>25940</v>
      </c>
      <c r="SPR1" s="24" t="s">
        <v>25941</v>
      </c>
      <c r="SPS1" s="24" t="s">
        <v>25942</v>
      </c>
      <c r="SPT1" s="24" t="s">
        <v>25943</v>
      </c>
      <c r="SPU1" s="24" t="s">
        <v>25944</v>
      </c>
      <c r="SPV1" s="24" t="s">
        <v>25945</v>
      </c>
      <c r="SPW1" s="24" t="s">
        <v>25946</v>
      </c>
      <c r="SPX1" s="24" t="s">
        <v>25947</v>
      </c>
      <c r="SPY1" s="24" t="s">
        <v>25948</v>
      </c>
      <c r="SPZ1" s="24" t="s">
        <v>25949</v>
      </c>
      <c r="SQA1" s="24" t="s">
        <v>25950</v>
      </c>
      <c r="SQB1" s="24" t="s">
        <v>25951</v>
      </c>
      <c r="SQC1" s="24" t="s">
        <v>25952</v>
      </c>
      <c r="SQD1" s="24" t="s">
        <v>25953</v>
      </c>
      <c r="SQE1" s="24" t="s">
        <v>25954</v>
      </c>
      <c r="SQF1" s="24" t="s">
        <v>25955</v>
      </c>
      <c r="SQG1" s="24" t="s">
        <v>25956</v>
      </c>
      <c r="SQH1" s="24" t="s">
        <v>25957</v>
      </c>
      <c r="SQI1" s="24" t="s">
        <v>25958</v>
      </c>
      <c r="SQJ1" s="24" t="s">
        <v>25959</v>
      </c>
      <c r="SQK1" s="24" t="s">
        <v>25960</v>
      </c>
      <c r="SQL1" s="24" t="s">
        <v>25961</v>
      </c>
      <c r="SQM1" s="24" t="s">
        <v>25962</v>
      </c>
      <c r="SQN1" s="24" t="s">
        <v>25963</v>
      </c>
      <c r="SQO1" s="24" t="s">
        <v>25964</v>
      </c>
      <c r="SQP1" s="24" t="s">
        <v>25965</v>
      </c>
      <c r="SQQ1" s="24" t="s">
        <v>25966</v>
      </c>
      <c r="SQR1" s="24" t="s">
        <v>25967</v>
      </c>
      <c r="SQS1" s="24" t="s">
        <v>25968</v>
      </c>
      <c r="SQT1" s="24" t="s">
        <v>25969</v>
      </c>
      <c r="SQU1" s="24" t="s">
        <v>25970</v>
      </c>
      <c r="SQV1" s="24" t="s">
        <v>25971</v>
      </c>
      <c r="SQW1" s="24" t="s">
        <v>25972</v>
      </c>
      <c r="SQX1" s="24" t="s">
        <v>25973</v>
      </c>
      <c r="SQY1" s="24" t="s">
        <v>25974</v>
      </c>
      <c r="SQZ1" s="24" t="s">
        <v>25975</v>
      </c>
      <c r="SRA1" s="24" t="s">
        <v>25976</v>
      </c>
      <c r="SRB1" s="24" t="s">
        <v>25977</v>
      </c>
      <c r="SRC1" s="24" t="s">
        <v>25978</v>
      </c>
      <c r="SRD1" s="24" t="s">
        <v>25979</v>
      </c>
      <c r="SRE1" s="24" t="s">
        <v>25980</v>
      </c>
      <c r="SRF1" s="24" t="s">
        <v>25981</v>
      </c>
      <c r="SRG1" s="24" t="s">
        <v>25982</v>
      </c>
      <c r="SRH1" s="24" t="s">
        <v>25983</v>
      </c>
      <c r="SRI1" s="24" t="s">
        <v>25984</v>
      </c>
      <c r="SRJ1" s="24" t="s">
        <v>25985</v>
      </c>
      <c r="SRK1" s="24" t="s">
        <v>25986</v>
      </c>
      <c r="SRL1" s="24" t="s">
        <v>25987</v>
      </c>
      <c r="SRM1" s="24" t="s">
        <v>25988</v>
      </c>
      <c r="SRN1" s="24" t="s">
        <v>25989</v>
      </c>
      <c r="SRO1" s="24" t="s">
        <v>25990</v>
      </c>
      <c r="SRP1" s="24" t="s">
        <v>25991</v>
      </c>
      <c r="SRQ1" s="24" t="s">
        <v>25992</v>
      </c>
      <c r="SRR1" s="24" t="s">
        <v>25993</v>
      </c>
      <c r="SRS1" s="24" t="s">
        <v>25994</v>
      </c>
      <c r="SRT1" s="24" t="s">
        <v>25995</v>
      </c>
      <c r="SRU1" s="24" t="s">
        <v>25996</v>
      </c>
      <c r="SRV1" s="24" t="s">
        <v>25997</v>
      </c>
      <c r="SRW1" s="24" t="s">
        <v>25998</v>
      </c>
      <c r="SRX1" s="24" t="s">
        <v>25999</v>
      </c>
      <c r="SRY1" s="24" t="s">
        <v>26000</v>
      </c>
      <c r="SRZ1" s="24" t="s">
        <v>26001</v>
      </c>
      <c r="SSA1" s="24" t="s">
        <v>26002</v>
      </c>
      <c r="SSB1" s="24" t="s">
        <v>26003</v>
      </c>
      <c r="SSC1" s="24" t="s">
        <v>26004</v>
      </c>
      <c r="SSD1" s="24" t="s">
        <v>26005</v>
      </c>
      <c r="SSE1" s="24" t="s">
        <v>26006</v>
      </c>
      <c r="SSF1" s="24" t="s">
        <v>26007</v>
      </c>
      <c r="SSG1" s="24" t="s">
        <v>26008</v>
      </c>
      <c r="SSH1" s="24" t="s">
        <v>26009</v>
      </c>
      <c r="SSI1" s="24" t="s">
        <v>26010</v>
      </c>
      <c r="SSJ1" s="24" t="s">
        <v>26011</v>
      </c>
      <c r="SSK1" s="24" t="s">
        <v>26012</v>
      </c>
      <c r="SSL1" s="24" t="s">
        <v>26013</v>
      </c>
      <c r="SSM1" s="24" t="s">
        <v>26014</v>
      </c>
      <c r="SSN1" s="24" t="s">
        <v>26015</v>
      </c>
      <c r="SSO1" s="24" t="s">
        <v>26016</v>
      </c>
      <c r="SSP1" s="24" t="s">
        <v>26017</v>
      </c>
      <c r="SSQ1" s="24" t="s">
        <v>26018</v>
      </c>
      <c r="SSR1" s="24" t="s">
        <v>26019</v>
      </c>
      <c r="SSS1" s="24" t="s">
        <v>26020</v>
      </c>
      <c r="SST1" s="24" t="s">
        <v>26021</v>
      </c>
      <c r="SSU1" s="24" t="s">
        <v>26022</v>
      </c>
      <c r="SSV1" s="24" t="s">
        <v>26023</v>
      </c>
      <c r="SSW1" s="24" t="s">
        <v>26024</v>
      </c>
      <c r="SSX1" s="24" t="s">
        <v>26025</v>
      </c>
      <c r="SSY1" s="24" t="s">
        <v>26026</v>
      </c>
      <c r="SSZ1" s="24" t="s">
        <v>26027</v>
      </c>
      <c r="STA1" s="24" t="s">
        <v>26028</v>
      </c>
      <c r="STB1" s="24" t="s">
        <v>26029</v>
      </c>
      <c r="STC1" s="24" t="s">
        <v>26030</v>
      </c>
      <c r="STD1" s="24" t="s">
        <v>26031</v>
      </c>
      <c r="STE1" s="24" t="s">
        <v>26032</v>
      </c>
      <c r="STF1" s="24" t="s">
        <v>26033</v>
      </c>
      <c r="STG1" s="24" t="s">
        <v>26034</v>
      </c>
      <c r="STH1" s="24" t="s">
        <v>26035</v>
      </c>
      <c r="STI1" s="24" t="s">
        <v>26036</v>
      </c>
      <c r="STJ1" s="24" t="s">
        <v>26037</v>
      </c>
      <c r="STK1" s="24" t="s">
        <v>26038</v>
      </c>
      <c r="STL1" s="24" t="s">
        <v>26039</v>
      </c>
      <c r="STM1" s="24" t="s">
        <v>26040</v>
      </c>
      <c r="STN1" s="24" t="s">
        <v>26041</v>
      </c>
      <c r="STO1" s="24" t="s">
        <v>26042</v>
      </c>
      <c r="STP1" s="24" t="s">
        <v>26043</v>
      </c>
      <c r="STQ1" s="24" t="s">
        <v>26044</v>
      </c>
      <c r="STR1" s="24" t="s">
        <v>26045</v>
      </c>
      <c r="STS1" s="24" t="s">
        <v>26046</v>
      </c>
      <c r="STT1" s="24" t="s">
        <v>26047</v>
      </c>
      <c r="STU1" s="24" t="s">
        <v>26048</v>
      </c>
      <c r="STV1" s="24" t="s">
        <v>26049</v>
      </c>
      <c r="STW1" s="24" t="s">
        <v>26050</v>
      </c>
      <c r="STX1" s="24" t="s">
        <v>26051</v>
      </c>
      <c r="STY1" s="24" t="s">
        <v>26052</v>
      </c>
      <c r="STZ1" s="24" t="s">
        <v>26053</v>
      </c>
      <c r="SUA1" s="24" t="s">
        <v>26054</v>
      </c>
      <c r="SUB1" s="24" t="s">
        <v>26055</v>
      </c>
      <c r="SUC1" s="24" t="s">
        <v>26056</v>
      </c>
      <c r="SUD1" s="24" t="s">
        <v>26057</v>
      </c>
      <c r="SUE1" s="24" t="s">
        <v>26058</v>
      </c>
      <c r="SUF1" s="24" t="s">
        <v>26059</v>
      </c>
      <c r="SUG1" s="24" t="s">
        <v>26060</v>
      </c>
      <c r="SUH1" s="24" t="s">
        <v>26061</v>
      </c>
      <c r="SUI1" s="24" t="s">
        <v>26062</v>
      </c>
      <c r="SUJ1" s="24" t="s">
        <v>26063</v>
      </c>
      <c r="SUK1" s="24" t="s">
        <v>26064</v>
      </c>
      <c r="SUL1" s="24" t="s">
        <v>26065</v>
      </c>
      <c r="SUM1" s="24" t="s">
        <v>26066</v>
      </c>
      <c r="SUN1" s="24" t="s">
        <v>26067</v>
      </c>
      <c r="SUO1" s="24" t="s">
        <v>26068</v>
      </c>
      <c r="SUP1" s="24" t="s">
        <v>26069</v>
      </c>
      <c r="SUQ1" s="24" t="s">
        <v>26070</v>
      </c>
      <c r="SUR1" s="24" t="s">
        <v>26071</v>
      </c>
      <c r="SUS1" s="24" t="s">
        <v>26072</v>
      </c>
      <c r="SUT1" s="24" t="s">
        <v>26073</v>
      </c>
      <c r="SUU1" s="24" t="s">
        <v>26074</v>
      </c>
      <c r="SUV1" s="24" t="s">
        <v>26075</v>
      </c>
      <c r="SUW1" s="24" t="s">
        <v>26076</v>
      </c>
      <c r="SUX1" s="24" t="s">
        <v>26077</v>
      </c>
      <c r="SUY1" s="24" t="s">
        <v>26078</v>
      </c>
      <c r="SUZ1" s="24" t="s">
        <v>26079</v>
      </c>
      <c r="SVA1" s="24" t="s">
        <v>26080</v>
      </c>
      <c r="SVB1" s="24" t="s">
        <v>26081</v>
      </c>
      <c r="SVC1" s="24" t="s">
        <v>26082</v>
      </c>
      <c r="SVD1" s="24" t="s">
        <v>26083</v>
      </c>
      <c r="SVE1" s="24" t="s">
        <v>26084</v>
      </c>
      <c r="SVF1" s="24" t="s">
        <v>26085</v>
      </c>
      <c r="SVG1" s="24" t="s">
        <v>26086</v>
      </c>
      <c r="SVH1" s="24" t="s">
        <v>26087</v>
      </c>
      <c r="SVI1" s="24" t="s">
        <v>26088</v>
      </c>
      <c r="SVJ1" s="24" t="s">
        <v>26089</v>
      </c>
      <c r="SVK1" s="24" t="s">
        <v>26090</v>
      </c>
      <c r="SVL1" s="24" t="s">
        <v>26091</v>
      </c>
      <c r="SVM1" s="24" t="s">
        <v>26092</v>
      </c>
      <c r="SVN1" s="24" t="s">
        <v>26093</v>
      </c>
      <c r="SVO1" s="24" t="s">
        <v>26094</v>
      </c>
      <c r="SVP1" s="24" t="s">
        <v>26095</v>
      </c>
      <c r="SVQ1" s="24" t="s">
        <v>26096</v>
      </c>
      <c r="SVR1" s="24" t="s">
        <v>26097</v>
      </c>
      <c r="SVS1" s="24" t="s">
        <v>26098</v>
      </c>
      <c r="SVT1" s="24" t="s">
        <v>26099</v>
      </c>
      <c r="SVU1" s="24" t="s">
        <v>26100</v>
      </c>
      <c r="SVV1" s="24" t="s">
        <v>26101</v>
      </c>
      <c r="SVW1" s="24" t="s">
        <v>26102</v>
      </c>
      <c r="SVX1" s="24" t="s">
        <v>26103</v>
      </c>
      <c r="SVY1" s="24" t="s">
        <v>26104</v>
      </c>
      <c r="SVZ1" s="24" t="s">
        <v>26105</v>
      </c>
      <c r="SWA1" s="24" t="s">
        <v>26106</v>
      </c>
      <c r="SWB1" s="24" t="s">
        <v>26107</v>
      </c>
      <c r="SWC1" s="24" t="s">
        <v>26108</v>
      </c>
      <c r="SWD1" s="24" t="s">
        <v>26109</v>
      </c>
      <c r="SWE1" s="24" t="s">
        <v>26110</v>
      </c>
      <c r="SWF1" s="24" t="s">
        <v>26111</v>
      </c>
      <c r="SWG1" s="24" t="s">
        <v>26112</v>
      </c>
      <c r="SWH1" s="24" t="s">
        <v>26113</v>
      </c>
      <c r="SWI1" s="24" t="s">
        <v>26114</v>
      </c>
      <c r="SWJ1" s="24" t="s">
        <v>26115</v>
      </c>
      <c r="SWK1" s="24" t="s">
        <v>26116</v>
      </c>
      <c r="SWL1" s="24" t="s">
        <v>26117</v>
      </c>
      <c r="SWM1" s="24" t="s">
        <v>26118</v>
      </c>
      <c r="SWN1" s="24" t="s">
        <v>26119</v>
      </c>
      <c r="SWO1" s="24" t="s">
        <v>26120</v>
      </c>
      <c r="SWP1" s="24" t="s">
        <v>26121</v>
      </c>
      <c r="SWQ1" s="24" t="s">
        <v>26122</v>
      </c>
      <c r="SWR1" s="24" t="s">
        <v>26123</v>
      </c>
      <c r="SWS1" s="24" t="s">
        <v>26124</v>
      </c>
      <c r="SWT1" s="24" t="s">
        <v>26125</v>
      </c>
      <c r="SWU1" s="24" t="s">
        <v>26126</v>
      </c>
      <c r="SWV1" s="24" t="s">
        <v>26127</v>
      </c>
      <c r="SWW1" s="24" t="s">
        <v>26128</v>
      </c>
      <c r="SWX1" s="24" t="s">
        <v>26129</v>
      </c>
      <c r="SWY1" s="24" t="s">
        <v>26130</v>
      </c>
      <c r="SWZ1" s="24" t="s">
        <v>26131</v>
      </c>
      <c r="SXA1" s="24" t="s">
        <v>26132</v>
      </c>
      <c r="SXB1" s="24" t="s">
        <v>26133</v>
      </c>
      <c r="SXC1" s="24" t="s">
        <v>26134</v>
      </c>
      <c r="SXD1" s="24" t="s">
        <v>26135</v>
      </c>
      <c r="SXE1" s="24" t="s">
        <v>26136</v>
      </c>
      <c r="SXF1" s="24" t="s">
        <v>26137</v>
      </c>
      <c r="SXG1" s="24" t="s">
        <v>26138</v>
      </c>
      <c r="SXH1" s="24" t="s">
        <v>26139</v>
      </c>
      <c r="SXI1" s="24" t="s">
        <v>26140</v>
      </c>
      <c r="SXJ1" s="24" t="s">
        <v>26141</v>
      </c>
      <c r="SXK1" s="24" t="s">
        <v>26142</v>
      </c>
      <c r="SXL1" s="24" t="s">
        <v>26143</v>
      </c>
      <c r="SXM1" s="24" t="s">
        <v>26144</v>
      </c>
      <c r="SXN1" s="24" t="s">
        <v>26145</v>
      </c>
      <c r="SXO1" s="24" t="s">
        <v>26146</v>
      </c>
      <c r="SXP1" s="24" t="s">
        <v>26147</v>
      </c>
      <c r="SXQ1" s="24" t="s">
        <v>26148</v>
      </c>
      <c r="SXR1" s="24" t="s">
        <v>26149</v>
      </c>
      <c r="SXS1" s="24" t="s">
        <v>26150</v>
      </c>
      <c r="SXT1" s="24" t="s">
        <v>26151</v>
      </c>
      <c r="SXU1" s="24" t="s">
        <v>26152</v>
      </c>
      <c r="SXV1" s="24" t="s">
        <v>26153</v>
      </c>
      <c r="SXW1" s="24" t="s">
        <v>26154</v>
      </c>
      <c r="SXX1" s="24" t="s">
        <v>26155</v>
      </c>
      <c r="SXY1" s="24" t="s">
        <v>26156</v>
      </c>
      <c r="SXZ1" s="24" t="s">
        <v>26157</v>
      </c>
      <c r="SYA1" s="24" t="s">
        <v>26158</v>
      </c>
      <c r="SYB1" s="24" t="s">
        <v>26159</v>
      </c>
      <c r="SYC1" s="24" t="s">
        <v>26160</v>
      </c>
      <c r="SYD1" s="24" t="s">
        <v>26161</v>
      </c>
      <c r="SYE1" s="24" t="s">
        <v>26162</v>
      </c>
      <c r="SYF1" s="24" t="s">
        <v>26163</v>
      </c>
      <c r="SYG1" s="24" t="s">
        <v>26164</v>
      </c>
      <c r="SYH1" s="24" t="s">
        <v>26165</v>
      </c>
      <c r="SYI1" s="24" t="s">
        <v>26166</v>
      </c>
      <c r="SYJ1" s="24" t="s">
        <v>26167</v>
      </c>
      <c r="SYK1" s="24" t="s">
        <v>26168</v>
      </c>
      <c r="SYL1" s="24" t="s">
        <v>26169</v>
      </c>
      <c r="SYM1" s="24" t="s">
        <v>26170</v>
      </c>
      <c r="SYN1" s="24" t="s">
        <v>26171</v>
      </c>
      <c r="SYO1" s="24" t="s">
        <v>26172</v>
      </c>
      <c r="SYP1" s="24" t="s">
        <v>26173</v>
      </c>
      <c r="SYQ1" s="24" t="s">
        <v>26174</v>
      </c>
      <c r="SYR1" s="24" t="s">
        <v>26175</v>
      </c>
      <c r="SYS1" s="24" t="s">
        <v>26176</v>
      </c>
      <c r="SYT1" s="24" t="s">
        <v>26177</v>
      </c>
      <c r="SYU1" s="24" t="s">
        <v>26178</v>
      </c>
      <c r="SYV1" s="24" t="s">
        <v>26179</v>
      </c>
      <c r="SYW1" s="24" t="s">
        <v>26180</v>
      </c>
      <c r="SYX1" s="24" t="s">
        <v>26181</v>
      </c>
      <c r="SYY1" s="24" t="s">
        <v>26182</v>
      </c>
      <c r="SYZ1" s="24" t="s">
        <v>26183</v>
      </c>
      <c r="SZA1" s="24" t="s">
        <v>26184</v>
      </c>
      <c r="SZB1" s="24" t="s">
        <v>26185</v>
      </c>
      <c r="SZC1" s="24" t="s">
        <v>26186</v>
      </c>
      <c r="SZD1" s="24" t="s">
        <v>26187</v>
      </c>
      <c r="SZE1" s="24" t="s">
        <v>26188</v>
      </c>
      <c r="SZF1" s="24" t="s">
        <v>26189</v>
      </c>
      <c r="SZG1" s="24" t="s">
        <v>26190</v>
      </c>
      <c r="SZH1" s="24" t="s">
        <v>26191</v>
      </c>
      <c r="SZI1" s="24" t="s">
        <v>26192</v>
      </c>
      <c r="SZJ1" s="24" t="s">
        <v>26193</v>
      </c>
      <c r="SZK1" s="24" t="s">
        <v>26194</v>
      </c>
      <c r="SZL1" s="24" t="s">
        <v>26195</v>
      </c>
      <c r="SZM1" s="24" t="s">
        <v>26196</v>
      </c>
      <c r="SZN1" s="24" t="s">
        <v>26197</v>
      </c>
      <c r="SZO1" s="24" t="s">
        <v>26198</v>
      </c>
      <c r="SZP1" s="24" t="s">
        <v>26199</v>
      </c>
      <c r="SZQ1" s="24" t="s">
        <v>26200</v>
      </c>
      <c r="SZR1" s="24" t="s">
        <v>26201</v>
      </c>
      <c r="SZS1" s="24" t="s">
        <v>26202</v>
      </c>
      <c r="SZT1" s="24" t="s">
        <v>26203</v>
      </c>
      <c r="SZU1" s="24" t="s">
        <v>26204</v>
      </c>
      <c r="SZV1" s="24" t="s">
        <v>26205</v>
      </c>
      <c r="SZW1" s="24" t="s">
        <v>26206</v>
      </c>
      <c r="SZX1" s="24" t="s">
        <v>26207</v>
      </c>
      <c r="SZY1" s="24" t="s">
        <v>26208</v>
      </c>
      <c r="SZZ1" s="24" t="s">
        <v>26209</v>
      </c>
      <c r="TAA1" s="24" t="s">
        <v>26210</v>
      </c>
      <c r="TAB1" s="24" t="s">
        <v>26211</v>
      </c>
      <c r="TAC1" s="24" t="s">
        <v>26212</v>
      </c>
      <c r="TAD1" s="24" t="s">
        <v>26213</v>
      </c>
      <c r="TAE1" s="24" t="s">
        <v>26214</v>
      </c>
      <c r="TAF1" s="24" t="s">
        <v>26215</v>
      </c>
      <c r="TAG1" s="24" t="s">
        <v>26216</v>
      </c>
      <c r="TAH1" s="24" t="s">
        <v>26217</v>
      </c>
      <c r="TAI1" s="24" t="s">
        <v>26218</v>
      </c>
      <c r="TAJ1" s="24" t="s">
        <v>26219</v>
      </c>
      <c r="TAK1" s="24" t="s">
        <v>26220</v>
      </c>
      <c r="TAL1" s="24" t="s">
        <v>26221</v>
      </c>
      <c r="TAM1" s="24" t="s">
        <v>26222</v>
      </c>
      <c r="TAN1" s="24" t="s">
        <v>26223</v>
      </c>
      <c r="TAO1" s="24" t="s">
        <v>26224</v>
      </c>
      <c r="TAP1" s="24" t="s">
        <v>26225</v>
      </c>
      <c r="TAQ1" s="24" t="s">
        <v>26226</v>
      </c>
      <c r="TAR1" s="24" t="s">
        <v>26227</v>
      </c>
      <c r="TAS1" s="24" t="s">
        <v>26228</v>
      </c>
      <c r="TAT1" s="24" t="s">
        <v>26229</v>
      </c>
      <c r="TAU1" s="24" t="s">
        <v>26230</v>
      </c>
      <c r="TAV1" s="24" t="s">
        <v>26231</v>
      </c>
      <c r="TAW1" s="24" t="s">
        <v>26232</v>
      </c>
      <c r="TAX1" s="24" t="s">
        <v>26233</v>
      </c>
      <c r="TAY1" s="24" t="s">
        <v>26234</v>
      </c>
      <c r="TAZ1" s="24" t="s">
        <v>26235</v>
      </c>
      <c r="TBA1" s="24" t="s">
        <v>26236</v>
      </c>
      <c r="TBB1" s="24" t="s">
        <v>26237</v>
      </c>
      <c r="TBC1" s="24" t="s">
        <v>26238</v>
      </c>
      <c r="TBD1" s="24" t="s">
        <v>26239</v>
      </c>
      <c r="TBE1" s="24" t="s">
        <v>26240</v>
      </c>
      <c r="TBF1" s="24" t="s">
        <v>26241</v>
      </c>
      <c r="TBG1" s="24" t="s">
        <v>26242</v>
      </c>
      <c r="TBH1" s="24" t="s">
        <v>26243</v>
      </c>
      <c r="TBI1" s="24" t="s">
        <v>26244</v>
      </c>
      <c r="TBJ1" s="24" t="s">
        <v>26245</v>
      </c>
      <c r="TBK1" s="24" t="s">
        <v>26246</v>
      </c>
      <c r="TBL1" s="24" t="s">
        <v>26247</v>
      </c>
      <c r="TBM1" s="24" t="s">
        <v>26248</v>
      </c>
      <c r="TBN1" s="24" t="s">
        <v>26249</v>
      </c>
      <c r="TBO1" s="24" t="s">
        <v>26250</v>
      </c>
      <c r="TBP1" s="24" t="s">
        <v>26251</v>
      </c>
      <c r="TBQ1" s="24" t="s">
        <v>26252</v>
      </c>
      <c r="TBR1" s="24" t="s">
        <v>26253</v>
      </c>
      <c r="TBS1" s="24" t="s">
        <v>26254</v>
      </c>
      <c r="TBT1" s="24" t="s">
        <v>26255</v>
      </c>
      <c r="TBU1" s="24" t="s">
        <v>26256</v>
      </c>
      <c r="TBV1" s="24" t="s">
        <v>26257</v>
      </c>
      <c r="TBW1" s="24" t="s">
        <v>26258</v>
      </c>
      <c r="TBX1" s="24" t="s">
        <v>26259</v>
      </c>
      <c r="TBY1" s="24" t="s">
        <v>26260</v>
      </c>
      <c r="TBZ1" s="24" t="s">
        <v>26261</v>
      </c>
      <c r="TCA1" s="24" t="s">
        <v>26262</v>
      </c>
      <c r="TCB1" s="24" t="s">
        <v>26263</v>
      </c>
      <c r="TCC1" s="24" t="s">
        <v>26264</v>
      </c>
      <c r="TCD1" s="24" t="s">
        <v>26265</v>
      </c>
      <c r="TCE1" s="24" t="s">
        <v>26266</v>
      </c>
      <c r="TCF1" s="24" t="s">
        <v>26267</v>
      </c>
      <c r="TCG1" s="24" t="s">
        <v>26268</v>
      </c>
      <c r="TCH1" s="24" t="s">
        <v>26269</v>
      </c>
      <c r="TCI1" s="24" t="s">
        <v>26270</v>
      </c>
      <c r="TCJ1" s="24" t="s">
        <v>26271</v>
      </c>
      <c r="TCK1" s="24" t="s">
        <v>26272</v>
      </c>
      <c r="TCL1" s="24" t="s">
        <v>26273</v>
      </c>
      <c r="TCM1" s="24" t="s">
        <v>26274</v>
      </c>
      <c r="TCN1" s="24" t="s">
        <v>26275</v>
      </c>
      <c r="TCO1" s="24" t="s">
        <v>26276</v>
      </c>
      <c r="TCP1" s="24" t="s">
        <v>26277</v>
      </c>
      <c r="TCQ1" s="24" t="s">
        <v>26278</v>
      </c>
      <c r="TCR1" s="24" t="s">
        <v>26279</v>
      </c>
      <c r="TCS1" s="24" t="s">
        <v>26280</v>
      </c>
      <c r="TCT1" s="24" t="s">
        <v>26281</v>
      </c>
      <c r="TCU1" s="24" t="s">
        <v>26282</v>
      </c>
      <c r="TCV1" s="24" t="s">
        <v>26283</v>
      </c>
      <c r="TCW1" s="24" t="s">
        <v>26284</v>
      </c>
      <c r="TCX1" s="24" t="s">
        <v>26285</v>
      </c>
      <c r="TCY1" s="24" t="s">
        <v>26286</v>
      </c>
      <c r="TCZ1" s="24" t="s">
        <v>26287</v>
      </c>
      <c r="TDA1" s="24" t="s">
        <v>26288</v>
      </c>
      <c r="TDB1" s="24" t="s">
        <v>26289</v>
      </c>
      <c r="TDC1" s="24" t="s">
        <v>26290</v>
      </c>
      <c r="TDD1" s="24" t="s">
        <v>26291</v>
      </c>
      <c r="TDE1" s="24" t="s">
        <v>26292</v>
      </c>
      <c r="TDF1" s="24" t="s">
        <v>26293</v>
      </c>
      <c r="TDG1" s="24" t="s">
        <v>26294</v>
      </c>
      <c r="TDH1" s="24" t="s">
        <v>26295</v>
      </c>
      <c r="TDI1" s="24" t="s">
        <v>26296</v>
      </c>
      <c r="TDJ1" s="24" t="s">
        <v>26297</v>
      </c>
      <c r="TDK1" s="24" t="s">
        <v>26298</v>
      </c>
      <c r="TDL1" s="24" t="s">
        <v>26299</v>
      </c>
      <c r="TDM1" s="24" t="s">
        <v>26300</v>
      </c>
      <c r="TDN1" s="24" t="s">
        <v>26301</v>
      </c>
      <c r="TDO1" s="24" t="s">
        <v>26302</v>
      </c>
      <c r="TDP1" s="24" t="s">
        <v>26303</v>
      </c>
      <c r="TDQ1" s="24" t="s">
        <v>26304</v>
      </c>
      <c r="TDR1" s="24" t="s">
        <v>26305</v>
      </c>
      <c r="TDS1" s="24" t="s">
        <v>26306</v>
      </c>
      <c r="TDT1" s="24" t="s">
        <v>26307</v>
      </c>
      <c r="TDU1" s="24" t="s">
        <v>26308</v>
      </c>
      <c r="TDV1" s="24" t="s">
        <v>26309</v>
      </c>
      <c r="TDW1" s="24" t="s">
        <v>26310</v>
      </c>
      <c r="TDX1" s="24" t="s">
        <v>26311</v>
      </c>
      <c r="TDY1" s="24" t="s">
        <v>26312</v>
      </c>
      <c r="TDZ1" s="24" t="s">
        <v>26313</v>
      </c>
      <c r="TEA1" s="24" t="s">
        <v>26314</v>
      </c>
      <c r="TEB1" s="24" t="s">
        <v>26315</v>
      </c>
      <c r="TEC1" s="24" t="s">
        <v>26316</v>
      </c>
      <c r="TED1" s="24" t="s">
        <v>26317</v>
      </c>
      <c r="TEE1" s="24" t="s">
        <v>26318</v>
      </c>
      <c r="TEF1" s="24" t="s">
        <v>26319</v>
      </c>
      <c r="TEG1" s="24" t="s">
        <v>26320</v>
      </c>
      <c r="TEH1" s="24" t="s">
        <v>26321</v>
      </c>
      <c r="TEI1" s="24" t="s">
        <v>26322</v>
      </c>
      <c r="TEJ1" s="24" t="s">
        <v>26323</v>
      </c>
      <c r="TEK1" s="24" t="s">
        <v>26324</v>
      </c>
      <c r="TEL1" s="24" t="s">
        <v>26325</v>
      </c>
      <c r="TEM1" s="24" t="s">
        <v>26326</v>
      </c>
      <c r="TEN1" s="24" t="s">
        <v>26327</v>
      </c>
      <c r="TEO1" s="24" t="s">
        <v>26328</v>
      </c>
      <c r="TEP1" s="24" t="s">
        <v>26329</v>
      </c>
      <c r="TEQ1" s="24" t="s">
        <v>26330</v>
      </c>
      <c r="TER1" s="24" t="s">
        <v>26331</v>
      </c>
      <c r="TES1" s="24" t="s">
        <v>26332</v>
      </c>
      <c r="TET1" s="24" t="s">
        <v>26333</v>
      </c>
      <c r="TEU1" s="24" t="s">
        <v>26334</v>
      </c>
      <c r="TEV1" s="24" t="s">
        <v>26335</v>
      </c>
      <c r="TEW1" s="24" t="s">
        <v>26336</v>
      </c>
      <c r="TEX1" s="24" t="s">
        <v>26337</v>
      </c>
      <c r="TEY1" s="24" t="s">
        <v>26338</v>
      </c>
      <c r="TEZ1" s="24" t="s">
        <v>26339</v>
      </c>
      <c r="TFA1" s="24" t="s">
        <v>26340</v>
      </c>
      <c r="TFB1" s="24" t="s">
        <v>26341</v>
      </c>
      <c r="TFC1" s="24" t="s">
        <v>26342</v>
      </c>
      <c r="TFD1" s="24" t="s">
        <v>26343</v>
      </c>
      <c r="TFE1" s="24" t="s">
        <v>26344</v>
      </c>
      <c r="TFF1" s="24" t="s">
        <v>26345</v>
      </c>
      <c r="TFG1" s="24" t="s">
        <v>26346</v>
      </c>
      <c r="TFH1" s="24" t="s">
        <v>26347</v>
      </c>
      <c r="TFI1" s="24" t="s">
        <v>26348</v>
      </c>
      <c r="TFJ1" s="24" t="s">
        <v>26349</v>
      </c>
      <c r="TFK1" s="24" t="s">
        <v>26350</v>
      </c>
      <c r="TFL1" s="24" t="s">
        <v>26351</v>
      </c>
      <c r="TFM1" s="24" t="s">
        <v>26352</v>
      </c>
      <c r="TFN1" s="24" t="s">
        <v>26353</v>
      </c>
      <c r="TFO1" s="24" t="s">
        <v>26354</v>
      </c>
      <c r="TFP1" s="24" t="s">
        <v>26355</v>
      </c>
      <c r="TFQ1" s="24" t="s">
        <v>26356</v>
      </c>
      <c r="TFR1" s="24" t="s">
        <v>26357</v>
      </c>
      <c r="TFS1" s="24" t="s">
        <v>26358</v>
      </c>
      <c r="TFT1" s="24" t="s">
        <v>26359</v>
      </c>
      <c r="TFU1" s="24" t="s">
        <v>26360</v>
      </c>
      <c r="TFV1" s="24" t="s">
        <v>26361</v>
      </c>
      <c r="TFW1" s="24" t="s">
        <v>26362</v>
      </c>
      <c r="TFX1" s="24" t="s">
        <v>26363</v>
      </c>
      <c r="TFY1" s="24" t="s">
        <v>26364</v>
      </c>
      <c r="TFZ1" s="24" t="s">
        <v>26365</v>
      </c>
      <c r="TGA1" s="24" t="s">
        <v>26366</v>
      </c>
      <c r="TGB1" s="24" t="s">
        <v>26367</v>
      </c>
      <c r="TGC1" s="24" t="s">
        <v>26368</v>
      </c>
      <c r="TGD1" s="24" t="s">
        <v>26369</v>
      </c>
      <c r="TGE1" s="24" t="s">
        <v>26370</v>
      </c>
      <c r="TGF1" s="24" t="s">
        <v>26371</v>
      </c>
      <c r="TGG1" s="24" t="s">
        <v>26372</v>
      </c>
      <c r="TGH1" s="24" t="s">
        <v>26373</v>
      </c>
      <c r="TGI1" s="24" t="s">
        <v>26374</v>
      </c>
      <c r="TGJ1" s="24" t="s">
        <v>26375</v>
      </c>
      <c r="TGK1" s="24" t="s">
        <v>26376</v>
      </c>
      <c r="TGL1" s="24" t="s">
        <v>26377</v>
      </c>
      <c r="TGM1" s="24" t="s">
        <v>26378</v>
      </c>
      <c r="TGN1" s="24" t="s">
        <v>26379</v>
      </c>
      <c r="TGO1" s="24" t="s">
        <v>26380</v>
      </c>
      <c r="TGP1" s="24" t="s">
        <v>26381</v>
      </c>
      <c r="TGQ1" s="24" t="s">
        <v>26382</v>
      </c>
      <c r="TGR1" s="24" t="s">
        <v>26383</v>
      </c>
      <c r="TGS1" s="24" t="s">
        <v>26384</v>
      </c>
      <c r="TGT1" s="24" t="s">
        <v>26385</v>
      </c>
      <c r="TGU1" s="24" t="s">
        <v>26386</v>
      </c>
      <c r="TGV1" s="24" t="s">
        <v>26387</v>
      </c>
      <c r="TGW1" s="24" t="s">
        <v>26388</v>
      </c>
      <c r="TGX1" s="24" t="s">
        <v>26389</v>
      </c>
      <c r="TGY1" s="24" t="s">
        <v>26390</v>
      </c>
      <c r="TGZ1" s="24" t="s">
        <v>26391</v>
      </c>
      <c r="THA1" s="24" t="s">
        <v>26392</v>
      </c>
      <c r="THB1" s="24" t="s">
        <v>26393</v>
      </c>
      <c r="THC1" s="24" t="s">
        <v>26394</v>
      </c>
      <c r="THD1" s="24" t="s">
        <v>26395</v>
      </c>
      <c r="THE1" s="24" t="s">
        <v>26396</v>
      </c>
      <c r="THF1" s="24" t="s">
        <v>26397</v>
      </c>
      <c r="THG1" s="24" t="s">
        <v>26398</v>
      </c>
      <c r="THH1" s="24" t="s">
        <v>26399</v>
      </c>
      <c r="THI1" s="24" t="s">
        <v>26400</v>
      </c>
      <c r="THJ1" s="24" t="s">
        <v>26401</v>
      </c>
      <c r="THK1" s="24" t="s">
        <v>26402</v>
      </c>
      <c r="THL1" s="24" t="s">
        <v>26403</v>
      </c>
      <c r="THM1" s="24" t="s">
        <v>26404</v>
      </c>
      <c r="THN1" s="24" t="s">
        <v>26405</v>
      </c>
      <c r="THO1" s="24" t="s">
        <v>26406</v>
      </c>
      <c r="THP1" s="24" t="s">
        <v>26407</v>
      </c>
      <c r="THQ1" s="24" t="s">
        <v>26408</v>
      </c>
      <c r="THR1" s="24" t="s">
        <v>26409</v>
      </c>
      <c r="THS1" s="24" t="s">
        <v>26410</v>
      </c>
      <c r="THT1" s="24" t="s">
        <v>26411</v>
      </c>
      <c r="THU1" s="24" t="s">
        <v>26412</v>
      </c>
      <c r="THV1" s="24" t="s">
        <v>26413</v>
      </c>
      <c r="THW1" s="24" t="s">
        <v>26414</v>
      </c>
      <c r="THX1" s="24" t="s">
        <v>26415</v>
      </c>
      <c r="THY1" s="24" t="s">
        <v>26416</v>
      </c>
      <c r="THZ1" s="24" t="s">
        <v>26417</v>
      </c>
      <c r="TIA1" s="24" t="s">
        <v>26418</v>
      </c>
      <c r="TIB1" s="24" t="s">
        <v>26419</v>
      </c>
      <c r="TIC1" s="24" t="s">
        <v>26420</v>
      </c>
      <c r="TID1" s="24" t="s">
        <v>26421</v>
      </c>
      <c r="TIE1" s="24" t="s">
        <v>26422</v>
      </c>
      <c r="TIF1" s="24" t="s">
        <v>26423</v>
      </c>
      <c r="TIG1" s="24" t="s">
        <v>26424</v>
      </c>
      <c r="TIH1" s="24" t="s">
        <v>26425</v>
      </c>
      <c r="TII1" s="24" t="s">
        <v>26426</v>
      </c>
      <c r="TIJ1" s="24" t="s">
        <v>26427</v>
      </c>
      <c r="TIK1" s="24" t="s">
        <v>26428</v>
      </c>
      <c r="TIL1" s="24" t="s">
        <v>26429</v>
      </c>
      <c r="TIM1" s="24" t="s">
        <v>26430</v>
      </c>
      <c r="TIN1" s="24" t="s">
        <v>26431</v>
      </c>
      <c r="TIO1" s="24" t="s">
        <v>26432</v>
      </c>
      <c r="TIP1" s="24" t="s">
        <v>26433</v>
      </c>
      <c r="TIQ1" s="24" t="s">
        <v>26434</v>
      </c>
      <c r="TIR1" s="24" t="s">
        <v>26435</v>
      </c>
      <c r="TIS1" s="24" t="s">
        <v>26436</v>
      </c>
      <c r="TIT1" s="24" t="s">
        <v>26437</v>
      </c>
      <c r="TIU1" s="24" t="s">
        <v>26438</v>
      </c>
      <c r="TIV1" s="24" t="s">
        <v>26439</v>
      </c>
      <c r="TIW1" s="24" t="s">
        <v>26440</v>
      </c>
      <c r="TIX1" s="24" t="s">
        <v>26441</v>
      </c>
      <c r="TIY1" s="24" t="s">
        <v>26442</v>
      </c>
      <c r="TIZ1" s="24" t="s">
        <v>26443</v>
      </c>
      <c r="TJA1" s="24" t="s">
        <v>26444</v>
      </c>
      <c r="TJB1" s="24" t="s">
        <v>26445</v>
      </c>
      <c r="TJC1" s="24" t="s">
        <v>26446</v>
      </c>
      <c r="TJD1" s="24" t="s">
        <v>26447</v>
      </c>
      <c r="TJE1" s="24" t="s">
        <v>26448</v>
      </c>
      <c r="TJF1" s="24" t="s">
        <v>26449</v>
      </c>
      <c r="TJG1" s="24" t="s">
        <v>26450</v>
      </c>
      <c r="TJH1" s="24" t="s">
        <v>26451</v>
      </c>
      <c r="TJI1" s="24" t="s">
        <v>26452</v>
      </c>
      <c r="TJJ1" s="24" t="s">
        <v>26453</v>
      </c>
      <c r="TJK1" s="24" t="s">
        <v>26454</v>
      </c>
      <c r="TJL1" s="24" t="s">
        <v>26455</v>
      </c>
      <c r="TJM1" s="24" t="s">
        <v>26456</v>
      </c>
      <c r="TJN1" s="24" t="s">
        <v>26457</v>
      </c>
      <c r="TJO1" s="24" t="s">
        <v>26458</v>
      </c>
      <c r="TJP1" s="24" t="s">
        <v>26459</v>
      </c>
      <c r="TJQ1" s="24" t="s">
        <v>26460</v>
      </c>
      <c r="TJR1" s="24" t="s">
        <v>26461</v>
      </c>
      <c r="TJS1" s="24" t="s">
        <v>26462</v>
      </c>
      <c r="TJT1" s="24" t="s">
        <v>26463</v>
      </c>
      <c r="TJU1" s="24" t="s">
        <v>26464</v>
      </c>
      <c r="TJV1" s="24" t="s">
        <v>26465</v>
      </c>
      <c r="TJW1" s="24" t="s">
        <v>26466</v>
      </c>
      <c r="TJX1" s="24" t="s">
        <v>26467</v>
      </c>
      <c r="TJY1" s="24" t="s">
        <v>26468</v>
      </c>
      <c r="TJZ1" s="24" t="s">
        <v>26469</v>
      </c>
      <c r="TKA1" s="24" t="s">
        <v>26470</v>
      </c>
      <c r="TKB1" s="24" t="s">
        <v>26471</v>
      </c>
      <c r="TKC1" s="24" t="s">
        <v>26472</v>
      </c>
      <c r="TKD1" s="24" t="s">
        <v>26473</v>
      </c>
      <c r="TKE1" s="24" t="s">
        <v>26474</v>
      </c>
      <c r="TKF1" s="24" t="s">
        <v>26475</v>
      </c>
      <c r="TKG1" s="24" t="s">
        <v>26476</v>
      </c>
      <c r="TKH1" s="24" t="s">
        <v>26477</v>
      </c>
      <c r="TKI1" s="24" t="s">
        <v>26478</v>
      </c>
      <c r="TKJ1" s="24" t="s">
        <v>26479</v>
      </c>
      <c r="TKK1" s="24" t="s">
        <v>26480</v>
      </c>
      <c r="TKL1" s="24" t="s">
        <v>26481</v>
      </c>
      <c r="TKM1" s="24" t="s">
        <v>26482</v>
      </c>
      <c r="TKN1" s="24" t="s">
        <v>26483</v>
      </c>
      <c r="TKO1" s="24" t="s">
        <v>26484</v>
      </c>
      <c r="TKP1" s="24" t="s">
        <v>26485</v>
      </c>
      <c r="TKQ1" s="24" t="s">
        <v>26486</v>
      </c>
      <c r="TKR1" s="24" t="s">
        <v>26487</v>
      </c>
      <c r="TKS1" s="24" t="s">
        <v>26488</v>
      </c>
      <c r="TKT1" s="24" t="s">
        <v>26489</v>
      </c>
      <c r="TKU1" s="24" t="s">
        <v>26490</v>
      </c>
      <c r="TKV1" s="24" t="s">
        <v>26491</v>
      </c>
      <c r="TKW1" s="24" t="s">
        <v>26492</v>
      </c>
      <c r="TKX1" s="24" t="s">
        <v>26493</v>
      </c>
      <c r="TKY1" s="24" t="s">
        <v>26494</v>
      </c>
      <c r="TKZ1" s="24" t="s">
        <v>26495</v>
      </c>
      <c r="TLA1" s="24" t="s">
        <v>26496</v>
      </c>
      <c r="TLB1" s="24" t="s">
        <v>26497</v>
      </c>
      <c r="TLC1" s="24" t="s">
        <v>26498</v>
      </c>
      <c r="TLD1" s="24" t="s">
        <v>26499</v>
      </c>
      <c r="TLE1" s="24" t="s">
        <v>26500</v>
      </c>
      <c r="TLF1" s="24" t="s">
        <v>26501</v>
      </c>
      <c r="TLG1" s="24" t="s">
        <v>26502</v>
      </c>
      <c r="TLH1" s="24" t="s">
        <v>26503</v>
      </c>
      <c r="TLI1" s="24" t="s">
        <v>26504</v>
      </c>
      <c r="TLJ1" s="24" t="s">
        <v>26505</v>
      </c>
      <c r="TLK1" s="24" t="s">
        <v>26506</v>
      </c>
      <c r="TLL1" s="24" t="s">
        <v>26507</v>
      </c>
      <c r="TLM1" s="24" t="s">
        <v>26508</v>
      </c>
      <c r="TLN1" s="24" t="s">
        <v>26509</v>
      </c>
      <c r="TLO1" s="24" t="s">
        <v>26510</v>
      </c>
      <c r="TLP1" s="24" t="s">
        <v>26511</v>
      </c>
      <c r="TLQ1" s="24" t="s">
        <v>26512</v>
      </c>
      <c r="TLR1" s="24" t="s">
        <v>26513</v>
      </c>
      <c r="TLS1" s="24" t="s">
        <v>26514</v>
      </c>
      <c r="TLT1" s="24" t="s">
        <v>26515</v>
      </c>
      <c r="TLU1" s="24" t="s">
        <v>26516</v>
      </c>
      <c r="TLV1" s="24" t="s">
        <v>26517</v>
      </c>
      <c r="TLW1" s="24" t="s">
        <v>26518</v>
      </c>
      <c r="TLX1" s="24" t="s">
        <v>26519</v>
      </c>
      <c r="TLY1" s="24" t="s">
        <v>26520</v>
      </c>
      <c r="TLZ1" s="24" t="s">
        <v>26521</v>
      </c>
      <c r="TMA1" s="24" t="s">
        <v>26522</v>
      </c>
      <c r="TMB1" s="24" t="s">
        <v>26523</v>
      </c>
      <c r="TMC1" s="24" t="s">
        <v>26524</v>
      </c>
      <c r="TMD1" s="24" t="s">
        <v>26525</v>
      </c>
      <c r="TME1" s="24" t="s">
        <v>26526</v>
      </c>
      <c r="TMF1" s="24" t="s">
        <v>26527</v>
      </c>
      <c r="TMG1" s="24" t="s">
        <v>26528</v>
      </c>
      <c r="TMH1" s="24" t="s">
        <v>26529</v>
      </c>
      <c r="TMI1" s="24" t="s">
        <v>26530</v>
      </c>
      <c r="TMJ1" s="24" t="s">
        <v>26531</v>
      </c>
      <c r="TMK1" s="24" t="s">
        <v>26532</v>
      </c>
      <c r="TML1" s="24" t="s">
        <v>26533</v>
      </c>
      <c r="TMM1" s="24" t="s">
        <v>26534</v>
      </c>
      <c r="TMN1" s="24" t="s">
        <v>26535</v>
      </c>
      <c r="TMO1" s="24" t="s">
        <v>26536</v>
      </c>
      <c r="TMP1" s="24" t="s">
        <v>26537</v>
      </c>
      <c r="TMQ1" s="24" t="s">
        <v>26538</v>
      </c>
      <c r="TMR1" s="24" t="s">
        <v>26539</v>
      </c>
      <c r="TMS1" s="24" t="s">
        <v>26540</v>
      </c>
      <c r="TMT1" s="24" t="s">
        <v>26541</v>
      </c>
      <c r="TMU1" s="24" t="s">
        <v>26542</v>
      </c>
      <c r="TMV1" s="24" t="s">
        <v>26543</v>
      </c>
      <c r="TMW1" s="24" t="s">
        <v>26544</v>
      </c>
      <c r="TMX1" s="24" t="s">
        <v>26545</v>
      </c>
      <c r="TMY1" s="24" t="s">
        <v>26546</v>
      </c>
      <c r="TMZ1" s="24" t="s">
        <v>26547</v>
      </c>
      <c r="TNA1" s="24" t="s">
        <v>26548</v>
      </c>
      <c r="TNB1" s="24" t="s">
        <v>26549</v>
      </c>
      <c r="TNC1" s="24" t="s">
        <v>26550</v>
      </c>
      <c r="TND1" s="24" t="s">
        <v>26551</v>
      </c>
      <c r="TNE1" s="24" t="s">
        <v>26552</v>
      </c>
      <c r="TNF1" s="24" t="s">
        <v>26553</v>
      </c>
      <c r="TNG1" s="24" t="s">
        <v>26554</v>
      </c>
      <c r="TNH1" s="24" t="s">
        <v>26555</v>
      </c>
      <c r="TNI1" s="24" t="s">
        <v>26556</v>
      </c>
      <c r="TNJ1" s="24" t="s">
        <v>26557</v>
      </c>
      <c r="TNK1" s="24" t="s">
        <v>26558</v>
      </c>
      <c r="TNL1" s="24" t="s">
        <v>26559</v>
      </c>
      <c r="TNM1" s="24" t="s">
        <v>26560</v>
      </c>
      <c r="TNN1" s="24" t="s">
        <v>26561</v>
      </c>
      <c r="TNO1" s="24" t="s">
        <v>26562</v>
      </c>
      <c r="TNP1" s="24" t="s">
        <v>26563</v>
      </c>
      <c r="TNQ1" s="24" t="s">
        <v>26564</v>
      </c>
      <c r="TNR1" s="24" t="s">
        <v>26565</v>
      </c>
      <c r="TNS1" s="24" t="s">
        <v>26566</v>
      </c>
      <c r="TNT1" s="24" t="s">
        <v>26567</v>
      </c>
      <c r="TNU1" s="24" t="s">
        <v>26568</v>
      </c>
      <c r="TNV1" s="24" t="s">
        <v>26569</v>
      </c>
      <c r="TNW1" s="24" t="s">
        <v>26570</v>
      </c>
      <c r="TNX1" s="24" t="s">
        <v>26571</v>
      </c>
      <c r="TNY1" s="24" t="s">
        <v>26572</v>
      </c>
      <c r="TNZ1" s="24" t="s">
        <v>26573</v>
      </c>
      <c r="TOA1" s="24" t="s">
        <v>26574</v>
      </c>
      <c r="TOB1" s="24" t="s">
        <v>26575</v>
      </c>
      <c r="TOC1" s="24" t="s">
        <v>26576</v>
      </c>
      <c r="TOD1" s="24" t="s">
        <v>26577</v>
      </c>
      <c r="TOE1" s="24" t="s">
        <v>26578</v>
      </c>
      <c r="TOF1" s="24" t="s">
        <v>26579</v>
      </c>
      <c r="TOG1" s="24" t="s">
        <v>26580</v>
      </c>
      <c r="TOH1" s="24" t="s">
        <v>26581</v>
      </c>
      <c r="TOI1" s="24" t="s">
        <v>26582</v>
      </c>
      <c r="TOJ1" s="24" t="s">
        <v>26583</v>
      </c>
      <c r="TOK1" s="24" t="s">
        <v>26584</v>
      </c>
      <c r="TOL1" s="24" t="s">
        <v>26585</v>
      </c>
      <c r="TOM1" s="24" t="s">
        <v>26586</v>
      </c>
      <c r="TON1" s="24" t="s">
        <v>26587</v>
      </c>
      <c r="TOO1" s="24" t="s">
        <v>26588</v>
      </c>
      <c r="TOP1" s="24" t="s">
        <v>26589</v>
      </c>
      <c r="TOQ1" s="24" t="s">
        <v>26590</v>
      </c>
      <c r="TOR1" s="24" t="s">
        <v>26591</v>
      </c>
      <c r="TOS1" s="24" t="s">
        <v>26592</v>
      </c>
      <c r="TOT1" s="24" t="s">
        <v>26593</v>
      </c>
      <c r="TOU1" s="24" t="s">
        <v>26594</v>
      </c>
      <c r="TOV1" s="24" t="s">
        <v>26595</v>
      </c>
      <c r="TOW1" s="24" t="s">
        <v>26596</v>
      </c>
      <c r="TOX1" s="24" t="s">
        <v>26597</v>
      </c>
      <c r="TOY1" s="24" t="s">
        <v>26598</v>
      </c>
      <c r="TOZ1" s="24" t="s">
        <v>26599</v>
      </c>
      <c r="TPA1" s="24" t="s">
        <v>26600</v>
      </c>
      <c r="TPB1" s="24" t="s">
        <v>26601</v>
      </c>
      <c r="TPC1" s="24" t="s">
        <v>26602</v>
      </c>
      <c r="TPD1" s="24" t="s">
        <v>26603</v>
      </c>
      <c r="TPE1" s="24" t="s">
        <v>26604</v>
      </c>
      <c r="TPF1" s="24" t="s">
        <v>26605</v>
      </c>
      <c r="TPG1" s="24" t="s">
        <v>26606</v>
      </c>
      <c r="TPH1" s="24" t="s">
        <v>26607</v>
      </c>
      <c r="TPI1" s="24" t="s">
        <v>26608</v>
      </c>
      <c r="TPJ1" s="24" t="s">
        <v>26609</v>
      </c>
      <c r="TPK1" s="24" t="s">
        <v>26610</v>
      </c>
      <c r="TPL1" s="24" t="s">
        <v>26611</v>
      </c>
      <c r="TPM1" s="24" t="s">
        <v>26612</v>
      </c>
      <c r="TPN1" s="24" t="s">
        <v>26613</v>
      </c>
      <c r="TPO1" s="24" t="s">
        <v>26614</v>
      </c>
      <c r="TPP1" s="24" t="s">
        <v>26615</v>
      </c>
      <c r="TPQ1" s="24" t="s">
        <v>26616</v>
      </c>
      <c r="TPR1" s="24" t="s">
        <v>26617</v>
      </c>
      <c r="TPS1" s="24" t="s">
        <v>26618</v>
      </c>
      <c r="TPT1" s="24" t="s">
        <v>26619</v>
      </c>
      <c r="TPU1" s="24" t="s">
        <v>26620</v>
      </c>
      <c r="TPV1" s="24" t="s">
        <v>26621</v>
      </c>
      <c r="TPW1" s="24" t="s">
        <v>26622</v>
      </c>
      <c r="TPX1" s="24" t="s">
        <v>26623</v>
      </c>
      <c r="TPY1" s="24" t="s">
        <v>26624</v>
      </c>
      <c r="TPZ1" s="24" t="s">
        <v>26625</v>
      </c>
      <c r="TQA1" s="24" t="s">
        <v>26626</v>
      </c>
      <c r="TQB1" s="24" t="s">
        <v>26627</v>
      </c>
      <c r="TQC1" s="24" t="s">
        <v>26628</v>
      </c>
      <c r="TQD1" s="24" t="s">
        <v>26629</v>
      </c>
      <c r="TQE1" s="24" t="s">
        <v>26630</v>
      </c>
      <c r="TQF1" s="24" t="s">
        <v>26631</v>
      </c>
      <c r="TQG1" s="24" t="s">
        <v>26632</v>
      </c>
      <c r="TQH1" s="24" t="s">
        <v>26633</v>
      </c>
      <c r="TQI1" s="24" t="s">
        <v>26634</v>
      </c>
      <c r="TQJ1" s="24" t="s">
        <v>26635</v>
      </c>
      <c r="TQK1" s="24" t="s">
        <v>26636</v>
      </c>
      <c r="TQL1" s="24" t="s">
        <v>26637</v>
      </c>
      <c r="TQM1" s="24" t="s">
        <v>26638</v>
      </c>
      <c r="TQN1" s="24" t="s">
        <v>26639</v>
      </c>
      <c r="TQO1" s="24" t="s">
        <v>26640</v>
      </c>
      <c r="TQP1" s="24" t="s">
        <v>26641</v>
      </c>
      <c r="TQQ1" s="24" t="s">
        <v>26642</v>
      </c>
      <c r="TQR1" s="24" t="s">
        <v>26643</v>
      </c>
      <c r="TQS1" s="24" t="s">
        <v>26644</v>
      </c>
      <c r="TQT1" s="24" t="s">
        <v>26645</v>
      </c>
      <c r="TQU1" s="24" t="s">
        <v>26646</v>
      </c>
      <c r="TQV1" s="24" t="s">
        <v>26647</v>
      </c>
      <c r="TQW1" s="24" t="s">
        <v>26648</v>
      </c>
      <c r="TQX1" s="24" t="s">
        <v>26649</v>
      </c>
      <c r="TQY1" s="24" t="s">
        <v>26650</v>
      </c>
      <c r="TQZ1" s="24" t="s">
        <v>26651</v>
      </c>
      <c r="TRA1" s="24" t="s">
        <v>26652</v>
      </c>
      <c r="TRB1" s="24" t="s">
        <v>26653</v>
      </c>
      <c r="TRC1" s="24" t="s">
        <v>26654</v>
      </c>
      <c r="TRD1" s="24" t="s">
        <v>26655</v>
      </c>
      <c r="TRE1" s="24" t="s">
        <v>26656</v>
      </c>
      <c r="TRF1" s="24" t="s">
        <v>26657</v>
      </c>
      <c r="TRG1" s="24" t="s">
        <v>26658</v>
      </c>
      <c r="TRH1" s="24" t="s">
        <v>26659</v>
      </c>
      <c r="TRI1" s="24" t="s">
        <v>26660</v>
      </c>
      <c r="TRJ1" s="24" t="s">
        <v>26661</v>
      </c>
      <c r="TRK1" s="24" t="s">
        <v>26662</v>
      </c>
      <c r="TRL1" s="24" t="s">
        <v>26663</v>
      </c>
      <c r="TRM1" s="24" t="s">
        <v>26664</v>
      </c>
      <c r="TRN1" s="24" t="s">
        <v>26665</v>
      </c>
      <c r="TRO1" s="24" t="s">
        <v>26666</v>
      </c>
      <c r="TRP1" s="24" t="s">
        <v>26667</v>
      </c>
      <c r="TRQ1" s="24" t="s">
        <v>26668</v>
      </c>
      <c r="TRR1" s="24" t="s">
        <v>26669</v>
      </c>
      <c r="TRS1" s="24" t="s">
        <v>26670</v>
      </c>
      <c r="TRT1" s="24" t="s">
        <v>26671</v>
      </c>
      <c r="TRU1" s="24" t="s">
        <v>26672</v>
      </c>
      <c r="TRV1" s="24" t="s">
        <v>26673</v>
      </c>
      <c r="TRW1" s="24" t="s">
        <v>26674</v>
      </c>
      <c r="TRX1" s="24" t="s">
        <v>26675</v>
      </c>
      <c r="TRY1" s="24" t="s">
        <v>26676</v>
      </c>
      <c r="TRZ1" s="24" t="s">
        <v>26677</v>
      </c>
      <c r="TSA1" s="24" t="s">
        <v>26678</v>
      </c>
      <c r="TSB1" s="24" t="s">
        <v>26679</v>
      </c>
      <c r="TSC1" s="24" t="s">
        <v>26680</v>
      </c>
      <c r="TSD1" s="24" t="s">
        <v>26681</v>
      </c>
      <c r="TSE1" s="24" t="s">
        <v>26682</v>
      </c>
      <c r="TSF1" s="24" t="s">
        <v>26683</v>
      </c>
      <c r="TSG1" s="24" t="s">
        <v>26684</v>
      </c>
      <c r="TSH1" s="24" t="s">
        <v>26685</v>
      </c>
      <c r="TSI1" s="24" t="s">
        <v>26686</v>
      </c>
      <c r="TSJ1" s="24" t="s">
        <v>26687</v>
      </c>
      <c r="TSK1" s="24" t="s">
        <v>26688</v>
      </c>
      <c r="TSL1" s="24" t="s">
        <v>26689</v>
      </c>
      <c r="TSM1" s="24" t="s">
        <v>26690</v>
      </c>
      <c r="TSN1" s="24" t="s">
        <v>26691</v>
      </c>
      <c r="TSO1" s="24" t="s">
        <v>26692</v>
      </c>
      <c r="TSP1" s="24" t="s">
        <v>26693</v>
      </c>
      <c r="TSQ1" s="24" t="s">
        <v>26694</v>
      </c>
      <c r="TSR1" s="24" t="s">
        <v>26695</v>
      </c>
      <c r="TSS1" s="24" t="s">
        <v>26696</v>
      </c>
      <c r="TST1" s="24" t="s">
        <v>26697</v>
      </c>
      <c r="TSU1" s="24" t="s">
        <v>26698</v>
      </c>
      <c r="TSV1" s="24" t="s">
        <v>26699</v>
      </c>
      <c r="TSW1" s="24" t="s">
        <v>26700</v>
      </c>
      <c r="TSX1" s="24" t="s">
        <v>26701</v>
      </c>
      <c r="TSY1" s="24" t="s">
        <v>26702</v>
      </c>
      <c r="TSZ1" s="24" t="s">
        <v>26703</v>
      </c>
      <c r="TTA1" s="24" t="s">
        <v>26704</v>
      </c>
      <c r="TTB1" s="24" t="s">
        <v>26705</v>
      </c>
      <c r="TTC1" s="24" t="s">
        <v>26706</v>
      </c>
      <c r="TTD1" s="24" t="s">
        <v>26707</v>
      </c>
      <c r="TTE1" s="24" t="s">
        <v>26708</v>
      </c>
      <c r="TTF1" s="24" t="s">
        <v>26709</v>
      </c>
      <c r="TTG1" s="24" t="s">
        <v>26710</v>
      </c>
      <c r="TTH1" s="24" t="s">
        <v>26711</v>
      </c>
      <c r="TTI1" s="24" t="s">
        <v>26712</v>
      </c>
      <c r="TTJ1" s="24" t="s">
        <v>26713</v>
      </c>
      <c r="TTK1" s="24" t="s">
        <v>26714</v>
      </c>
      <c r="TTL1" s="24" t="s">
        <v>26715</v>
      </c>
      <c r="TTM1" s="24" t="s">
        <v>26716</v>
      </c>
      <c r="TTN1" s="24" t="s">
        <v>26717</v>
      </c>
      <c r="TTO1" s="24" t="s">
        <v>26718</v>
      </c>
      <c r="TTP1" s="24" t="s">
        <v>26719</v>
      </c>
      <c r="TTQ1" s="24" t="s">
        <v>26720</v>
      </c>
      <c r="TTR1" s="24" t="s">
        <v>26721</v>
      </c>
      <c r="TTS1" s="24" t="s">
        <v>26722</v>
      </c>
      <c r="TTT1" s="24" t="s">
        <v>26723</v>
      </c>
      <c r="TTU1" s="24" t="s">
        <v>26724</v>
      </c>
      <c r="TTV1" s="24" t="s">
        <v>26725</v>
      </c>
      <c r="TTW1" s="24" t="s">
        <v>26726</v>
      </c>
      <c r="TTX1" s="24" t="s">
        <v>26727</v>
      </c>
      <c r="TTY1" s="24" t="s">
        <v>26728</v>
      </c>
      <c r="TTZ1" s="24" t="s">
        <v>26729</v>
      </c>
      <c r="TUA1" s="24" t="s">
        <v>26730</v>
      </c>
      <c r="TUB1" s="24" t="s">
        <v>26731</v>
      </c>
      <c r="TUC1" s="24" t="s">
        <v>26732</v>
      </c>
      <c r="TUD1" s="24" t="s">
        <v>26733</v>
      </c>
      <c r="TUE1" s="24" t="s">
        <v>26734</v>
      </c>
      <c r="TUF1" s="24" t="s">
        <v>26735</v>
      </c>
      <c r="TUG1" s="24" t="s">
        <v>26736</v>
      </c>
      <c r="TUH1" s="24" t="s">
        <v>26737</v>
      </c>
      <c r="TUI1" s="24" t="s">
        <v>26738</v>
      </c>
      <c r="TUJ1" s="24" t="s">
        <v>26739</v>
      </c>
      <c r="TUK1" s="24" t="s">
        <v>26740</v>
      </c>
      <c r="TUL1" s="24" t="s">
        <v>26741</v>
      </c>
      <c r="TUM1" s="24" t="s">
        <v>26742</v>
      </c>
      <c r="TUN1" s="24" t="s">
        <v>26743</v>
      </c>
      <c r="TUO1" s="24" t="s">
        <v>26744</v>
      </c>
      <c r="TUP1" s="24" t="s">
        <v>26745</v>
      </c>
      <c r="TUQ1" s="24" t="s">
        <v>26746</v>
      </c>
      <c r="TUR1" s="24" t="s">
        <v>26747</v>
      </c>
      <c r="TUS1" s="24" t="s">
        <v>26748</v>
      </c>
      <c r="TUT1" s="24" t="s">
        <v>26749</v>
      </c>
      <c r="TUU1" s="24" t="s">
        <v>26750</v>
      </c>
      <c r="TUV1" s="24" t="s">
        <v>26751</v>
      </c>
      <c r="TUW1" s="24" t="s">
        <v>26752</v>
      </c>
      <c r="TUX1" s="24" t="s">
        <v>26753</v>
      </c>
      <c r="TUY1" s="24" t="s">
        <v>26754</v>
      </c>
      <c r="TUZ1" s="24" t="s">
        <v>26755</v>
      </c>
      <c r="TVA1" s="24" t="s">
        <v>26756</v>
      </c>
      <c r="TVB1" s="24" t="s">
        <v>26757</v>
      </c>
      <c r="TVC1" s="24" t="s">
        <v>26758</v>
      </c>
      <c r="TVD1" s="24" t="s">
        <v>26759</v>
      </c>
      <c r="TVE1" s="24" t="s">
        <v>26760</v>
      </c>
      <c r="TVF1" s="24" t="s">
        <v>26761</v>
      </c>
      <c r="TVG1" s="24" t="s">
        <v>26762</v>
      </c>
      <c r="TVH1" s="24" t="s">
        <v>26763</v>
      </c>
      <c r="TVI1" s="24" t="s">
        <v>26764</v>
      </c>
      <c r="TVJ1" s="24" t="s">
        <v>26765</v>
      </c>
      <c r="TVK1" s="24" t="s">
        <v>26766</v>
      </c>
      <c r="TVL1" s="24" t="s">
        <v>26767</v>
      </c>
      <c r="TVM1" s="24" t="s">
        <v>26768</v>
      </c>
      <c r="TVN1" s="24" t="s">
        <v>26769</v>
      </c>
      <c r="TVO1" s="24" t="s">
        <v>26770</v>
      </c>
      <c r="TVP1" s="24" t="s">
        <v>26771</v>
      </c>
      <c r="TVQ1" s="24" t="s">
        <v>26772</v>
      </c>
      <c r="TVR1" s="24" t="s">
        <v>26773</v>
      </c>
      <c r="TVS1" s="24" t="s">
        <v>26774</v>
      </c>
      <c r="TVT1" s="24" t="s">
        <v>26775</v>
      </c>
      <c r="TVU1" s="24" t="s">
        <v>26776</v>
      </c>
      <c r="TVV1" s="24" t="s">
        <v>26777</v>
      </c>
      <c r="TVW1" s="24" t="s">
        <v>26778</v>
      </c>
      <c r="TVX1" s="24" t="s">
        <v>26779</v>
      </c>
      <c r="TVY1" s="24" t="s">
        <v>26780</v>
      </c>
      <c r="TVZ1" s="24" t="s">
        <v>26781</v>
      </c>
      <c r="TWA1" s="24" t="s">
        <v>26782</v>
      </c>
      <c r="TWB1" s="24" t="s">
        <v>26783</v>
      </c>
      <c r="TWC1" s="24" t="s">
        <v>26784</v>
      </c>
      <c r="TWD1" s="24" t="s">
        <v>26785</v>
      </c>
      <c r="TWE1" s="24" t="s">
        <v>26786</v>
      </c>
      <c r="TWF1" s="24" t="s">
        <v>26787</v>
      </c>
      <c r="TWG1" s="24" t="s">
        <v>26788</v>
      </c>
      <c r="TWH1" s="24" t="s">
        <v>26789</v>
      </c>
      <c r="TWI1" s="24" t="s">
        <v>26790</v>
      </c>
      <c r="TWJ1" s="24" t="s">
        <v>26791</v>
      </c>
      <c r="TWK1" s="24" t="s">
        <v>26792</v>
      </c>
      <c r="TWL1" s="24" t="s">
        <v>26793</v>
      </c>
      <c r="TWM1" s="24" t="s">
        <v>26794</v>
      </c>
      <c r="TWN1" s="24" t="s">
        <v>26795</v>
      </c>
      <c r="TWO1" s="24" t="s">
        <v>26796</v>
      </c>
      <c r="TWP1" s="24" t="s">
        <v>26797</v>
      </c>
      <c r="TWQ1" s="24" t="s">
        <v>26798</v>
      </c>
      <c r="TWR1" s="24" t="s">
        <v>26799</v>
      </c>
      <c r="TWS1" s="24" t="s">
        <v>26800</v>
      </c>
      <c r="TWT1" s="24" t="s">
        <v>26801</v>
      </c>
      <c r="TWU1" s="24" t="s">
        <v>26802</v>
      </c>
      <c r="TWV1" s="24" t="s">
        <v>26803</v>
      </c>
      <c r="TWW1" s="24" t="s">
        <v>26804</v>
      </c>
      <c r="TWX1" s="24" t="s">
        <v>26805</v>
      </c>
      <c r="TWY1" s="24" t="s">
        <v>26806</v>
      </c>
      <c r="TWZ1" s="24" t="s">
        <v>26807</v>
      </c>
      <c r="TXA1" s="24" t="s">
        <v>26808</v>
      </c>
      <c r="TXB1" s="24" t="s">
        <v>26809</v>
      </c>
      <c r="TXC1" s="24" t="s">
        <v>26810</v>
      </c>
      <c r="TXD1" s="24" t="s">
        <v>26811</v>
      </c>
      <c r="TXE1" s="24" t="s">
        <v>26812</v>
      </c>
      <c r="TXF1" s="24" t="s">
        <v>26813</v>
      </c>
      <c r="TXG1" s="24" t="s">
        <v>26814</v>
      </c>
      <c r="TXH1" s="24" t="s">
        <v>26815</v>
      </c>
      <c r="TXI1" s="24" t="s">
        <v>26816</v>
      </c>
      <c r="TXJ1" s="24" t="s">
        <v>26817</v>
      </c>
      <c r="TXK1" s="24" t="s">
        <v>26818</v>
      </c>
      <c r="TXL1" s="24" t="s">
        <v>26819</v>
      </c>
      <c r="TXM1" s="24" t="s">
        <v>26820</v>
      </c>
      <c r="TXN1" s="24" t="s">
        <v>26821</v>
      </c>
      <c r="TXO1" s="24" t="s">
        <v>26822</v>
      </c>
      <c r="TXP1" s="24" t="s">
        <v>26823</v>
      </c>
      <c r="TXQ1" s="24" t="s">
        <v>26824</v>
      </c>
      <c r="TXR1" s="24" t="s">
        <v>26825</v>
      </c>
      <c r="TXS1" s="24" t="s">
        <v>26826</v>
      </c>
      <c r="TXT1" s="24" t="s">
        <v>26827</v>
      </c>
      <c r="TXU1" s="24" t="s">
        <v>26828</v>
      </c>
      <c r="TXV1" s="24" t="s">
        <v>26829</v>
      </c>
      <c r="TXW1" s="24" t="s">
        <v>26830</v>
      </c>
      <c r="TXX1" s="24" t="s">
        <v>26831</v>
      </c>
      <c r="TXY1" s="24" t="s">
        <v>26832</v>
      </c>
      <c r="TXZ1" s="24" t="s">
        <v>26833</v>
      </c>
      <c r="TYA1" s="24" t="s">
        <v>26834</v>
      </c>
      <c r="TYB1" s="24" t="s">
        <v>26835</v>
      </c>
      <c r="TYC1" s="24" t="s">
        <v>26836</v>
      </c>
      <c r="TYD1" s="24" t="s">
        <v>26837</v>
      </c>
      <c r="TYE1" s="24" t="s">
        <v>26838</v>
      </c>
      <c r="TYF1" s="24" t="s">
        <v>26839</v>
      </c>
      <c r="TYG1" s="24" t="s">
        <v>26840</v>
      </c>
      <c r="TYH1" s="24" t="s">
        <v>26841</v>
      </c>
      <c r="TYI1" s="24" t="s">
        <v>26842</v>
      </c>
      <c r="TYJ1" s="24" t="s">
        <v>26843</v>
      </c>
      <c r="TYK1" s="24" t="s">
        <v>26844</v>
      </c>
      <c r="TYL1" s="24" t="s">
        <v>26845</v>
      </c>
      <c r="TYM1" s="24" t="s">
        <v>26846</v>
      </c>
      <c r="TYN1" s="24" t="s">
        <v>26847</v>
      </c>
      <c r="TYO1" s="24" t="s">
        <v>26848</v>
      </c>
      <c r="TYP1" s="24" t="s">
        <v>26849</v>
      </c>
      <c r="TYQ1" s="24" t="s">
        <v>26850</v>
      </c>
      <c r="TYR1" s="24" t="s">
        <v>26851</v>
      </c>
      <c r="TYS1" s="24" t="s">
        <v>26852</v>
      </c>
      <c r="TYT1" s="24" t="s">
        <v>26853</v>
      </c>
      <c r="TYU1" s="24" t="s">
        <v>26854</v>
      </c>
      <c r="TYV1" s="24" t="s">
        <v>26855</v>
      </c>
      <c r="TYW1" s="24" t="s">
        <v>26856</v>
      </c>
      <c r="TYX1" s="24" t="s">
        <v>26857</v>
      </c>
      <c r="TYY1" s="24" t="s">
        <v>26858</v>
      </c>
      <c r="TYZ1" s="24" t="s">
        <v>26859</v>
      </c>
      <c r="TZA1" s="24" t="s">
        <v>26860</v>
      </c>
      <c r="TZB1" s="24" t="s">
        <v>26861</v>
      </c>
      <c r="TZC1" s="24" t="s">
        <v>26862</v>
      </c>
      <c r="TZD1" s="24" t="s">
        <v>26863</v>
      </c>
      <c r="TZE1" s="24" t="s">
        <v>26864</v>
      </c>
      <c r="TZF1" s="24" t="s">
        <v>26865</v>
      </c>
      <c r="TZG1" s="24" t="s">
        <v>26866</v>
      </c>
      <c r="TZH1" s="24" t="s">
        <v>26867</v>
      </c>
      <c r="TZI1" s="24" t="s">
        <v>26868</v>
      </c>
      <c r="TZJ1" s="24" t="s">
        <v>26869</v>
      </c>
      <c r="TZK1" s="24" t="s">
        <v>26870</v>
      </c>
      <c r="TZL1" s="24" t="s">
        <v>26871</v>
      </c>
      <c r="TZM1" s="24" t="s">
        <v>26872</v>
      </c>
      <c r="TZN1" s="24" t="s">
        <v>26873</v>
      </c>
      <c r="TZO1" s="24" t="s">
        <v>26874</v>
      </c>
      <c r="TZP1" s="24" t="s">
        <v>26875</v>
      </c>
      <c r="TZQ1" s="24" t="s">
        <v>26876</v>
      </c>
      <c r="TZR1" s="24" t="s">
        <v>26877</v>
      </c>
      <c r="TZS1" s="24" t="s">
        <v>26878</v>
      </c>
      <c r="TZT1" s="24" t="s">
        <v>26879</v>
      </c>
      <c r="TZU1" s="24" t="s">
        <v>26880</v>
      </c>
      <c r="TZV1" s="24" t="s">
        <v>26881</v>
      </c>
      <c r="TZW1" s="24" t="s">
        <v>26882</v>
      </c>
      <c r="TZX1" s="24" t="s">
        <v>26883</v>
      </c>
      <c r="TZY1" s="24" t="s">
        <v>26884</v>
      </c>
      <c r="TZZ1" s="24" t="s">
        <v>26885</v>
      </c>
      <c r="UAA1" s="24" t="s">
        <v>26886</v>
      </c>
      <c r="UAB1" s="24" t="s">
        <v>26887</v>
      </c>
      <c r="UAC1" s="24" t="s">
        <v>26888</v>
      </c>
      <c r="UAD1" s="24" t="s">
        <v>26889</v>
      </c>
      <c r="UAE1" s="24" t="s">
        <v>26890</v>
      </c>
      <c r="UAF1" s="24" t="s">
        <v>26891</v>
      </c>
      <c r="UAG1" s="24" t="s">
        <v>26892</v>
      </c>
      <c r="UAH1" s="24" t="s">
        <v>26893</v>
      </c>
      <c r="UAI1" s="24" t="s">
        <v>26894</v>
      </c>
      <c r="UAJ1" s="24" t="s">
        <v>26895</v>
      </c>
      <c r="UAK1" s="24" t="s">
        <v>26896</v>
      </c>
      <c r="UAL1" s="24" t="s">
        <v>26897</v>
      </c>
      <c r="UAM1" s="24" t="s">
        <v>26898</v>
      </c>
      <c r="UAN1" s="24" t="s">
        <v>26899</v>
      </c>
      <c r="UAO1" s="24" t="s">
        <v>26900</v>
      </c>
      <c r="UAP1" s="24" t="s">
        <v>26901</v>
      </c>
      <c r="UAQ1" s="24" t="s">
        <v>26902</v>
      </c>
      <c r="UAR1" s="24" t="s">
        <v>26903</v>
      </c>
      <c r="UAS1" s="24" t="s">
        <v>26904</v>
      </c>
      <c r="UAT1" s="24" t="s">
        <v>26905</v>
      </c>
      <c r="UAU1" s="24" t="s">
        <v>26906</v>
      </c>
      <c r="UAV1" s="24" t="s">
        <v>26907</v>
      </c>
      <c r="UAW1" s="24" t="s">
        <v>26908</v>
      </c>
      <c r="UAX1" s="24" t="s">
        <v>26909</v>
      </c>
      <c r="UAY1" s="24" t="s">
        <v>26910</v>
      </c>
      <c r="UAZ1" s="24" t="s">
        <v>26911</v>
      </c>
      <c r="UBA1" s="24" t="s">
        <v>26912</v>
      </c>
      <c r="UBB1" s="24" t="s">
        <v>26913</v>
      </c>
      <c r="UBC1" s="24" t="s">
        <v>26914</v>
      </c>
      <c r="UBD1" s="24" t="s">
        <v>26915</v>
      </c>
      <c r="UBE1" s="24" t="s">
        <v>26916</v>
      </c>
      <c r="UBF1" s="24" t="s">
        <v>26917</v>
      </c>
      <c r="UBG1" s="24" t="s">
        <v>26918</v>
      </c>
      <c r="UBH1" s="24" t="s">
        <v>26919</v>
      </c>
      <c r="UBI1" s="24" t="s">
        <v>26920</v>
      </c>
      <c r="UBJ1" s="24" t="s">
        <v>26921</v>
      </c>
      <c r="UBK1" s="24" t="s">
        <v>26922</v>
      </c>
      <c r="UBL1" s="24" t="s">
        <v>26923</v>
      </c>
      <c r="UBM1" s="24" t="s">
        <v>26924</v>
      </c>
      <c r="UBN1" s="24" t="s">
        <v>26925</v>
      </c>
      <c r="UBO1" s="24" t="s">
        <v>26926</v>
      </c>
      <c r="UBP1" s="24" t="s">
        <v>26927</v>
      </c>
      <c r="UBQ1" s="24" t="s">
        <v>26928</v>
      </c>
      <c r="UBR1" s="24" t="s">
        <v>26929</v>
      </c>
      <c r="UBS1" s="24" t="s">
        <v>26930</v>
      </c>
      <c r="UBT1" s="24" t="s">
        <v>26931</v>
      </c>
      <c r="UBU1" s="24" t="s">
        <v>26932</v>
      </c>
      <c r="UBV1" s="24" t="s">
        <v>26933</v>
      </c>
      <c r="UBW1" s="24" t="s">
        <v>26934</v>
      </c>
      <c r="UBX1" s="24" t="s">
        <v>26935</v>
      </c>
      <c r="UBY1" s="24" t="s">
        <v>26936</v>
      </c>
      <c r="UBZ1" s="24" t="s">
        <v>26937</v>
      </c>
      <c r="UCA1" s="24" t="s">
        <v>26938</v>
      </c>
      <c r="UCB1" s="24" t="s">
        <v>26939</v>
      </c>
      <c r="UCC1" s="24" t="s">
        <v>26940</v>
      </c>
      <c r="UCD1" s="24" t="s">
        <v>26941</v>
      </c>
      <c r="UCE1" s="24" t="s">
        <v>26942</v>
      </c>
      <c r="UCF1" s="24" t="s">
        <v>26943</v>
      </c>
      <c r="UCG1" s="24" t="s">
        <v>26944</v>
      </c>
      <c r="UCH1" s="24" t="s">
        <v>26945</v>
      </c>
      <c r="UCI1" s="24" t="s">
        <v>26946</v>
      </c>
      <c r="UCJ1" s="24" t="s">
        <v>26947</v>
      </c>
      <c r="UCK1" s="24" t="s">
        <v>26948</v>
      </c>
      <c r="UCL1" s="24" t="s">
        <v>26949</v>
      </c>
      <c r="UCM1" s="24" t="s">
        <v>26950</v>
      </c>
      <c r="UCN1" s="24" t="s">
        <v>26951</v>
      </c>
      <c r="UCO1" s="24" t="s">
        <v>26952</v>
      </c>
      <c r="UCP1" s="24" t="s">
        <v>26953</v>
      </c>
      <c r="UCQ1" s="24" t="s">
        <v>26954</v>
      </c>
      <c r="UCR1" s="24" t="s">
        <v>26955</v>
      </c>
      <c r="UCS1" s="24" t="s">
        <v>26956</v>
      </c>
      <c r="UCT1" s="24" t="s">
        <v>26957</v>
      </c>
      <c r="UCU1" s="24" t="s">
        <v>26958</v>
      </c>
      <c r="UCV1" s="24" t="s">
        <v>26959</v>
      </c>
      <c r="UCW1" s="24" t="s">
        <v>26960</v>
      </c>
      <c r="UCX1" s="24" t="s">
        <v>26961</v>
      </c>
      <c r="UCY1" s="24" t="s">
        <v>26962</v>
      </c>
      <c r="UCZ1" s="24" t="s">
        <v>26963</v>
      </c>
      <c r="UDA1" s="24" t="s">
        <v>26964</v>
      </c>
      <c r="UDB1" s="24" t="s">
        <v>26965</v>
      </c>
      <c r="UDC1" s="24" t="s">
        <v>26966</v>
      </c>
      <c r="UDD1" s="24" t="s">
        <v>26967</v>
      </c>
      <c r="UDE1" s="24" t="s">
        <v>26968</v>
      </c>
      <c r="UDF1" s="24" t="s">
        <v>26969</v>
      </c>
      <c r="UDG1" s="24" t="s">
        <v>26970</v>
      </c>
      <c r="UDH1" s="24" t="s">
        <v>26971</v>
      </c>
      <c r="UDI1" s="24" t="s">
        <v>26972</v>
      </c>
      <c r="UDJ1" s="24" t="s">
        <v>26973</v>
      </c>
      <c r="UDK1" s="24" t="s">
        <v>26974</v>
      </c>
      <c r="UDL1" s="24" t="s">
        <v>26975</v>
      </c>
      <c r="UDM1" s="24" t="s">
        <v>26976</v>
      </c>
      <c r="UDN1" s="24" t="s">
        <v>26977</v>
      </c>
      <c r="UDO1" s="24" t="s">
        <v>26978</v>
      </c>
      <c r="UDP1" s="24" t="s">
        <v>26979</v>
      </c>
      <c r="UDQ1" s="24" t="s">
        <v>26980</v>
      </c>
      <c r="UDR1" s="24" t="s">
        <v>26981</v>
      </c>
      <c r="UDS1" s="24" t="s">
        <v>26982</v>
      </c>
      <c r="UDT1" s="24" t="s">
        <v>26983</v>
      </c>
      <c r="UDU1" s="24" t="s">
        <v>26984</v>
      </c>
      <c r="UDV1" s="24" t="s">
        <v>26985</v>
      </c>
      <c r="UDW1" s="24" t="s">
        <v>26986</v>
      </c>
      <c r="UDX1" s="24" t="s">
        <v>26987</v>
      </c>
      <c r="UDY1" s="24" t="s">
        <v>26988</v>
      </c>
      <c r="UDZ1" s="24" t="s">
        <v>26989</v>
      </c>
      <c r="UEA1" s="24" t="s">
        <v>26990</v>
      </c>
      <c r="UEB1" s="24" t="s">
        <v>26991</v>
      </c>
      <c r="UEC1" s="24" t="s">
        <v>26992</v>
      </c>
      <c r="UED1" s="24" t="s">
        <v>26993</v>
      </c>
      <c r="UEE1" s="24" t="s">
        <v>26994</v>
      </c>
      <c r="UEF1" s="24" t="s">
        <v>26995</v>
      </c>
      <c r="UEG1" s="24" t="s">
        <v>26996</v>
      </c>
      <c r="UEH1" s="24" t="s">
        <v>26997</v>
      </c>
      <c r="UEI1" s="24" t="s">
        <v>26998</v>
      </c>
      <c r="UEJ1" s="24" t="s">
        <v>26999</v>
      </c>
      <c r="UEK1" s="24" t="s">
        <v>27000</v>
      </c>
      <c r="UEL1" s="24" t="s">
        <v>27001</v>
      </c>
      <c r="UEM1" s="24" t="s">
        <v>27002</v>
      </c>
      <c r="UEN1" s="24" t="s">
        <v>27003</v>
      </c>
      <c r="UEO1" s="24" t="s">
        <v>27004</v>
      </c>
      <c r="UEP1" s="24" t="s">
        <v>27005</v>
      </c>
      <c r="UEQ1" s="24" t="s">
        <v>27006</v>
      </c>
      <c r="UER1" s="24" t="s">
        <v>27007</v>
      </c>
      <c r="UES1" s="24" t="s">
        <v>27008</v>
      </c>
      <c r="UET1" s="24" t="s">
        <v>27009</v>
      </c>
      <c r="UEU1" s="24" t="s">
        <v>27010</v>
      </c>
      <c r="UEV1" s="24" t="s">
        <v>27011</v>
      </c>
      <c r="UEW1" s="24" t="s">
        <v>27012</v>
      </c>
      <c r="UEX1" s="24" t="s">
        <v>27013</v>
      </c>
      <c r="UEY1" s="24" t="s">
        <v>27014</v>
      </c>
      <c r="UEZ1" s="24" t="s">
        <v>27015</v>
      </c>
      <c r="UFA1" s="24" t="s">
        <v>27016</v>
      </c>
      <c r="UFB1" s="24" t="s">
        <v>27017</v>
      </c>
      <c r="UFC1" s="24" t="s">
        <v>27018</v>
      </c>
      <c r="UFD1" s="24" t="s">
        <v>27019</v>
      </c>
      <c r="UFE1" s="24" t="s">
        <v>27020</v>
      </c>
      <c r="UFF1" s="24" t="s">
        <v>27021</v>
      </c>
      <c r="UFG1" s="24" t="s">
        <v>27022</v>
      </c>
      <c r="UFH1" s="24" t="s">
        <v>27023</v>
      </c>
      <c r="UFI1" s="24" t="s">
        <v>27024</v>
      </c>
      <c r="UFJ1" s="24" t="s">
        <v>27025</v>
      </c>
      <c r="UFK1" s="24" t="s">
        <v>27026</v>
      </c>
      <c r="UFL1" s="24" t="s">
        <v>27027</v>
      </c>
      <c r="UFM1" s="24" t="s">
        <v>27028</v>
      </c>
      <c r="UFN1" s="24" t="s">
        <v>27029</v>
      </c>
      <c r="UFO1" s="24" t="s">
        <v>27030</v>
      </c>
      <c r="UFP1" s="24" t="s">
        <v>27031</v>
      </c>
      <c r="UFQ1" s="24" t="s">
        <v>27032</v>
      </c>
      <c r="UFR1" s="24" t="s">
        <v>27033</v>
      </c>
      <c r="UFS1" s="24" t="s">
        <v>27034</v>
      </c>
      <c r="UFT1" s="24" t="s">
        <v>27035</v>
      </c>
      <c r="UFU1" s="24" t="s">
        <v>27036</v>
      </c>
      <c r="UFV1" s="24" t="s">
        <v>27037</v>
      </c>
      <c r="UFW1" s="24" t="s">
        <v>27038</v>
      </c>
      <c r="UFX1" s="24" t="s">
        <v>27039</v>
      </c>
      <c r="UFY1" s="24" t="s">
        <v>27040</v>
      </c>
      <c r="UFZ1" s="24" t="s">
        <v>27041</v>
      </c>
      <c r="UGA1" s="24" t="s">
        <v>27042</v>
      </c>
      <c r="UGB1" s="24" t="s">
        <v>27043</v>
      </c>
      <c r="UGC1" s="24" t="s">
        <v>27044</v>
      </c>
      <c r="UGD1" s="24" t="s">
        <v>27045</v>
      </c>
      <c r="UGE1" s="24" t="s">
        <v>27046</v>
      </c>
      <c r="UGF1" s="24" t="s">
        <v>27047</v>
      </c>
      <c r="UGG1" s="24" t="s">
        <v>27048</v>
      </c>
      <c r="UGH1" s="24" t="s">
        <v>27049</v>
      </c>
      <c r="UGI1" s="24" t="s">
        <v>27050</v>
      </c>
      <c r="UGJ1" s="24" t="s">
        <v>27051</v>
      </c>
      <c r="UGK1" s="24" t="s">
        <v>27052</v>
      </c>
      <c r="UGL1" s="24" t="s">
        <v>27053</v>
      </c>
      <c r="UGM1" s="24" t="s">
        <v>27054</v>
      </c>
      <c r="UGN1" s="24" t="s">
        <v>27055</v>
      </c>
      <c r="UGO1" s="24" t="s">
        <v>27056</v>
      </c>
      <c r="UGP1" s="24" t="s">
        <v>27057</v>
      </c>
      <c r="UGQ1" s="24" t="s">
        <v>27058</v>
      </c>
      <c r="UGR1" s="24" t="s">
        <v>27059</v>
      </c>
      <c r="UGS1" s="24" t="s">
        <v>27060</v>
      </c>
      <c r="UGT1" s="24" t="s">
        <v>27061</v>
      </c>
      <c r="UGU1" s="24" t="s">
        <v>27062</v>
      </c>
      <c r="UGV1" s="24" t="s">
        <v>27063</v>
      </c>
      <c r="UGW1" s="24" t="s">
        <v>27064</v>
      </c>
      <c r="UGX1" s="24" t="s">
        <v>27065</v>
      </c>
      <c r="UGY1" s="24" t="s">
        <v>27066</v>
      </c>
      <c r="UGZ1" s="24" t="s">
        <v>27067</v>
      </c>
      <c r="UHA1" s="24" t="s">
        <v>27068</v>
      </c>
      <c r="UHB1" s="24" t="s">
        <v>27069</v>
      </c>
      <c r="UHC1" s="24" t="s">
        <v>27070</v>
      </c>
      <c r="UHD1" s="24" t="s">
        <v>27071</v>
      </c>
      <c r="UHE1" s="24" t="s">
        <v>27072</v>
      </c>
      <c r="UHF1" s="24" t="s">
        <v>27073</v>
      </c>
      <c r="UHG1" s="24" t="s">
        <v>27074</v>
      </c>
      <c r="UHH1" s="24" t="s">
        <v>27075</v>
      </c>
      <c r="UHI1" s="24" t="s">
        <v>27076</v>
      </c>
      <c r="UHJ1" s="24" t="s">
        <v>27077</v>
      </c>
      <c r="UHK1" s="24" t="s">
        <v>27078</v>
      </c>
      <c r="UHL1" s="24" t="s">
        <v>27079</v>
      </c>
      <c r="UHM1" s="24" t="s">
        <v>27080</v>
      </c>
      <c r="UHN1" s="24" t="s">
        <v>27081</v>
      </c>
      <c r="UHO1" s="24" t="s">
        <v>27082</v>
      </c>
      <c r="UHP1" s="24" t="s">
        <v>27083</v>
      </c>
      <c r="UHQ1" s="24" t="s">
        <v>27084</v>
      </c>
      <c r="UHR1" s="24" t="s">
        <v>27085</v>
      </c>
      <c r="UHS1" s="24" t="s">
        <v>27086</v>
      </c>
      <c r="UHT1" s="24" t="s">
        <v>27087</v>
      </c>
      <c r="UHU1" s="24" t="s">
        <v>27088</v>
      </c>
      <c r="UHV1" s="24" t="s">
        <v>27089</v>
      </c>
      <c r="UHW1" s="24" t="s">
        <v>27090</v>
      </c>
      <c r="UHX1" s="24" t="s">
        <v>27091</v>
      </c>
      <c r="UHY1" s="24" t="s">
        <v>27092</v>
      </c>
      <c r="UHZ1" s="24" t="s">
        <v>27093</v>
      </c>
      <c r="UIA1" s="24" t="s">
        <v>27094</v>
      </c>
      <c r="UIB1" s="24" t="s">
        <v>27095</v>
      </c>
      <c r="UIC1" s="24" t="s">
        <v>27096</v>
      </c>
      <c r="UID1" s="24" t="s">
        <v>27097</v>
      </c>
      <c r="UIE1" s="24" t="s">
        <v>27098</v>
      </c>
      <c r="UIF1" s="24" t="s">
        <v>27099</v>
      </c>
      <c r="UIG1" s="24" t="s">
        <v>27100</v>
      </c>
      <c r="UIH1" s="24" t="s">
        <v>27101</v>
      </c>
      <c r="UII1" s="24" t="s">
        <v>27102</v>
      </c>
      <c r="UIJ1" s="24" t="s">
        <v>27103</v>
      </c>
      <c r="UIK1" s="24" t="s">
        <v>27104</v>
      </c>
      <c r="UIL1" s="24" t="s">
        <v>27105</v>
      </c>
      <c r="UIM1" s="24" t="s">
        <v>27106</v>
      </c>
      <c r="UIN1" s="24" t="s">
        <v>27107</v>
      </c>
      <c r="UIO1" s="24" t="s">
        <v>27108</v>
      </c>
      <c r="UIP1" s="24" t="s">
        <v>27109</v>
      </c>
      <c r="UIQ1" s="24" t="s">
        <v>27110</v>
      </c>
      <c r="UIR1" s="24" t="s">
        <v>27111</v>
      </c>
      <c r="UIS1" s="24" t="s">
        <v>27112</v>
      </c>
      <c r="UIT1" s="24" t="s">
        <v>27113</v>
      </c>
      <c r="UIU1" s="24" t="s">
        <v>27114</v>
      </c>
      <c r="UIV1" s="24" t="s">
        <v>27115</v>
      </c>
      <c r="UIW1" s="24" t="s">
        <v>27116</v>
      </c>
      <c r="UIX1" s="24" t="s">
        <v>27117</v>
      </c>
      <c r="UIY1" s="24" t="s">
        <v>27118</v>
      </c>
      <c r="UIZ1" s="24" t="s">
        <v>27119</v>
      </c>
      <c r="UJA1" s="24" t="s">
        <v>27120</v>
      </c>
      <c r="UJB1" s="24" t="s">
        <v>27121</v>
      </c>
      <c r="UJC1" s="24" t="s">
        <v>27122</v>
      </c>
      <c r="UJD1" s="24" t="s">
        <v>27123</v>
      </c>
      <c r="UJE1" s="24" t="s">
        <v>27124</v>
      </c>
      <c r="UJF1" s="24" t="s">
        <v>27125</v>
      </c>
      <c r="UJG1" s="24" t="s">
        <v>27126</v>
      </c>
      <c r="UJH1" s="24" t="s">
        <v>27127</v>
      </c>
      <c r="UJI1" s="24" t="s">
        <v>27128</v>
      </c>
      <c r="UJJ1" s="24" t="s">
        <v>27129</v>
      </c>
      <c r="UJK1" s="24" t="s">
        <v>27130</v>
      </c>
      <c r="UJL1" s="24" t="s">
        <v>27131</v>
      </c>
      <c r="UJM1" s="24" t="s">
        <v>27132</v>
      </c>
      <c r="UJN1" s="24" t="s">
        <v>27133</v>
      </c>
      <c r="UJO1" s="24" t="s">
        <v>27134</v>
      </c>
      <c r="UJP1" s="24" t="s">
        <v>27135</v>
      </c>
      <c r="UJQ1" s="24" t="s">
        <v>27136</v>
      </c>
      <c r="UJR1" s="24" t="s">
        <v>27137</v>
      </c>
      <c r="UJS1" s="24" t="s">
        <v>27138</v>
      </c>
      <c r="UJT1" s="24" t="s">
        <v>27139</v>
      </c>
      <c r="UJU1" s="24" t="s">
        <v>27140</v>
      </c>
      <c r="UJV1" s="24" t="s">
        <v>27141</v>
      </c>
      <c r="UJW1" s="24" t="s">
        <v>27142</v>
      </c>
      <c r="UJX1" s="24" t="s">
        <v>27143</v>
      </c>
      <c r="UJY1" s="24" t="s">
        <v>27144</v>
      </c>
      <c r="UJZ1" s="24" t="s">
        <v>27145</v>
      </c>
      <c r="UKA1" s="24" t="s">
        <v>27146</v>
      </c>
      <c r="UKB1" s="24" t="s">
        <v>27147</v>
      </c>
      <c r="UKC1" s="24" t="s">
        <v>27148</v>
      </c>
      <c r="UKD1" s="24" t="s">
        <v>27149</v>
      </c>
      <c r="UKE1" s="24" t="s">
        <v>27150</v>
      </c>
      <c r="UKF1" s="24" t="s">
        <v>27151</v>
      </c>
      <c r="UKG1" s="24" t="s">
        <v>27152</v>
      </c>
      <c r="UKH1" s="24" t="s">
        <v>27153</v>
      </c>
      <c r="UKI1" s="24" t="s">
        <v>27154</v>
      </c>
      <c r="UKJ1" s="24" t="s">
        <v>27155</v>
      </c>
      <c r="UKK1" s="24" t="s">
        <v>27156</v>
      </c>
      <c r="UKL1" s="24" t="s">
        <v>27157</v>
      </c>
      <c r="UKM1" s="24" t="s">
        <v>27158</v>
      </c>
      <c r="UKN1" s="24" t="s">
        <v>27159</v>
      </c>
      <c r="UKO1" s="24" t="s">
        <v>27160</v>
      </c>
      <c r="UKP1" s="24" t="s">
        <v>27161</v>
      </c>
      <c r="UKQ1" s="24" t="s">
        <v>27162</v>
      </c>
      <c r="UKR1" s="24" t="s">
        <v>27163</v>
      </c>
      <c r="UKS1" s="24" t="s">
        <v>27164</v>
      </c>
      <c r="UKT1" s="24" t="s">
        <v>27165</v>
      </c>
      <c r="UKU1" s="24" t="s">
        <v>27166</v>
      </c>
      <c r="UKV1" s="24" t="s">
        <v>27167</v>
      </c>
      <c r="UKW1" s="24" t="s">
        <v>27168</v>
      </c>
      <c r="UKX1" s="24" t="s">
        <v>27169</v>
      </c>
      <c r="UKY1" s="24" t="s">
        <v>27170</v>
      </c>
      <c r="UKZ1" s="24" t="s">
        <v>27171</v>
      </c>
      <c r="ULA1" s="24" t="s">
        <v>27172</v>
      </c>
      <c r="ULB1" s="24" t="s">
        <v>27173</v>
      </c>
      <c r="ULC1" s="24" t="s">
        <v>27174</v>
      </c>
      <c r="ULD1" s="24" t="s">
        <v>27175</v>
      </c>
      <c r="ULE1" s="24" t="s">
        <v>27176</v>
      </c>
      <c r="ULF1" s="24" t="s">
        <v>27177</v>
      </c>
      <c r="ULG1" s="24" t="s">
        <v>27178</v>
      </c>
      <c r="ULH1" s="24" t="s">
        <v>27179</v>
      </c>
      <c r="ULI1" s="24" t="s">
        <v>27180</v>
      </c>
      <c r="ULJ1" s="24" t="s">
        <v>27181</v>
      </c>
      <c r="ULK1" s="24" t="s">
        <v>27182</v>
      </c>
      <c r="ULL1" s="24" t="s">
        <v>27183</v>
      </c>
      <c r="ULM1" s="24" t="s">
        <v>27184</v>
      </c>
      <c r="ULN1" s="24" t="s">
        <v>27185</v>
      </c>
      <c r="ULO1" s="24" t="s">
        <v>27186</v>
      </c>
      <c r="ULP1" s="24" t="s">
        <v>27187</v>
      </c>
      <c r="ULQ1" s="24" t="s">
        <v>27188</v>
      </c>
      <c r="ULR1" s="24" t="s">
        <v>27189</v>
      </c>
      <c r="ULS1" s="24" t="s">
        <v>27190</v>
      </c>
      <c r="ULT1" s="24" t="s">
        <v>27191</v>
      </c>
      <c r="ULU1" s="24" t="s">
        <v>27192</v>
      </c>
      <c r="ULV1" s="24" t="s">
        <v>27193</v>
      </c>
      <c r="ULW1" s="24" t="s">
        <v>27194</v>
      </c>
      <c r="ULX1" s="24" t="s">
        <v>27195</v>
      </c>
      <c r="ULY1" s="24" t="s">
        <v>27196</v>
      </c>
      <c r="ULZ1" s="24" t="s">
        <v>27197</v>
      </c>
      <c r="UMA1" s="24" t="s">
        <v>27198</v>
      </c>
      <c r="UMB1" s="24" t="s">
        <v>27199</v>
      </c>
      <c r="UMC1" s="24" t="s">
        <v>27200</v>
      </c>
      <c r="UMD1" s="24" t="s">
        <v>27201</v>
      </c>
      <c r="UME1" s="24" t="s">
        <v>27202</v>
      </c>
      <c r="UMF1" s="24" t="s">
        <v>27203</v>
      </c>
      <c r="UMG1" s="24" t="s">
        <v>27204</v>
      </c>
      <c r="UMH1" s="24" t="s">
        <v>27205</v>
      </c>
      <c r="UMI1" s="24" t="s">
        <v>27206</v>
      </c>
      <c r="UMJ1" s="24" t="s">
        <v>27207</v>
      </c>
      <c r="UMK1" s="24" t="s">
        <v>27208</v>
      </c>
      <c r="UML1" s="24" t="s">
        <v>27209</v>
      </c>
      <c r="UMM1" s="24" t="s">
        <v>27210</v>
      </c>
      <c r="UMN1" s="24" t="s">
        <v>27211</v>
      </c>
      <c r="UMO1" s="24" t="s">
        <v>27212</v>
      </c>
      <c r="UMP1" s="24" t="s">
        <v>27213</v>
      </c>
      <c r="UMQ1" s="24" t="s">
        <v>27214</v>
      </c>
      <c r="UMR1" s="24" t="s">
        <v>27215</v>
      </c>
      <c r="UMS1" s="24" t="s">
        <v>27216</v>
      </c>
      <c r="UMT1" s="24" t="s">
        <v>27217</v>
      </c>
      <c r="UMU1" s="24" t="s">
        <v>27218</v>
      </c>
      <c r="UMV1" s="24" t="s">
        <v>27219</v>
      </c>
      <c r="UMW1" s="24" t="s">
        <v>27220</v>
      </c>
      <c r="UMX1" s="24" t="s">
        <v>27221</v>
      </c>
      <c r="UMY1" s="24" t="s">
        <v>27222</v>
      </c>
      <c r="UMZ1" s="24" t="s">
        <v>27223</v>
      </c>
      <c r="UNA1" s="24" t="s">
        <v>27224</v>
      </c>
      <c r="UNB1" s="24" t="s">
        <v>27225</v>
      </c>
      <c r="UNC1" s="24" t="s">
        <v>27226</v>
      </c>
      <c r="UND1" s="24" t="s">
        <v>27227</v>
      </c>
      <c r="UNE1" s="24" t="s">
        <v>27228</v>
      </c>
      <c r="UNF1" s="24" t="s">
        <v>27229</v>
      </c>
      <c r="UNG1" s="24" t="s">
        <v>27230</v>
      </c>
      <c r="UNH1" s="24" t="s">
        <v>27231</v>
      </c>
      <c r="UNI1" s="24" t="s">
        <v>27232</v>
      </c>
      <c r="UNJ1" s="24" t="s">
        <v>27233</v>
      </c>
      <c r="UNK1" s="24" t="s">
        <v>27234</v>
      </c>
      <c r="UNL1" s="24" t="s">
        <v>27235</v>
      </c>
      <c r="UNM1" s="24" t="s">
        <v>27236</v>
      </c>
      <c r="UNN1" s="24" t="s">
        <v>27237</v>
      </c>
      <c r="UNO1" s="24" t="s">
        <v>27238</v>
      </c>
      <c r="UNP1" s="24" t="s">
        <v>27239</v>
      </c>
      <c r="UNQ1" s="24" t="s">
        <v>27240</v>
      </c>
      <c r="UNR1" s="24" t="s">
        <v>27241</v>
      </c>
      <c r="UNS1" s="24" t="s">
        <v>27242</v>
      </c>
      <c r="UNT1" s="24" t="s">
        <v>27243</v>
      </c>
      <c r="UNU1" s="24" t="s">
        <v>27244</v>
      </c>
      <c r="UNV1" s="24" t="s">
        <v>27245</v>
      </c>
      <c r="UNW1" s="24" t="s">
        <v>27246</v>
      </c>
      <c r="UNX1" s="24" t="s">
        <v>27247</v>
      </c>
      <c r="UNY1" s="24" t="s">
        <v>27248</v>
      </c>
      <c r="UNZ1" s="24" t="s">
        <v>27249</v>
      </c>
      <c r="UOA1" s="24" t="s">
        <v>27250</v>
      </c>
      <c r="UOB1" s="24" t="s">
        <v>27251</v>
      </c>
      <c r="UOC1" s="24" t="s">
        <v>27252</v>
      </c>
      <c r="UOD1" s="24" t="s">
        <v>27253</v>
      </c>
      <c r="UOE1" s="24" t="s">
        <v>27254</v>
      </c>
      <c r="UOF1" s="24" t="s">
        <v>27255</v>
      </c>
      <c r="UOG1" s="24" t="s">
        <v>27256</v>
      </c>
      <c r="UOH1" s="24" t="s">
        <v>27257</v>
      </c>
      <c r="UOI1" s="24" t="s">
        <v>27258</v>
      </c>
      <c r="UOJ1" s="24" t="s">
        <v>27259</v>
      </c>
      <c r="UOK1" s="24" t="s">
        <v>27260</v>
      </c>
      <c r="UOL1" s="24" t="s">
        <v>27261</v>
      </c>
      <c r="UOM1" s="24" t="s">
        <v>27262</v>
      </c>
      <c r="UON1" s="24" t="s">
        <v>27263</v>
      </c>
      <c r="UOO1" s="24" t="s">
        <v>27264</v>
      </c>
      <c r="UOP1" s="24" t="s">
        <v>27265</v>
      </c>
      <c r="UOQ1" s="24" t="s">
        <v>27266</v>
      </c>
      <c r="UOR1" s="24" t="s">
        <v>27267</v>
      </c>
      <c r="UOS1" s="24" t="s">
        <v>27268</v>
      </c>
      <c r="UOT1" s="24" t="s">
        <v>27269</v>
      </c>
      <c r="UOU1" s="24" t="s">
        <v>27270</v>
      </c>
      <c r="UOV1" s="24" t="s">
        <v>27271</v>
      </c>
      <c r="UOW1" s="24" t="s">
        <v>27272</v>
      </c>
      <c r="UOX1" s="24" t="s">
        <v>27273</v>
      </c>
      <c r="UOY1" s="24" t="s">
        <v>27274</v>
      </c>
      <c r="UOZ1" s="24" t="s">
        <v>27275</v>
      </c>
      <c r="UPA1" s="24" t="s">
        <v>27276</v>
      </c>
      <c r="UPB1" s="24" t="s">
        <v>27277</v>
      </c>
      <c r="UPC1" s="24" t="s">
        <v>27278</v>
      </c>
      <c r="UPD1" s="24" t="s">
        <v>27279</v>
      </c>
      <c r="UPE1" s="24" t="s">
        <v>27280</v>
      </c>
      <c r="UPF1" s="24" t="s">
        <v>27281</v>
      </c>
      <c r="UPG1" s="24" t="s">
        <v>27282</v>
      </c>
      <c r="UPH1" s="24" t="s">
        <v>27283</v>
      </c>
      <c r="UPI1" s="24" t="s">
        <v>27284</v>
      </c>
      <c r="UPJ1" s="24" t="s">
        <v>27285</v>
      </c>
      <c r="UPK1" s="24" t="s">
        <v>27286</v>
      </c>
      <c r="UPL1" s="24" t="s">
        <v>27287</v>
      </c>
      <c r="UPM1" s="24" t="s">
        <v>27288</v>
      </c>
      <c r="UPN1" s="24" t="s">
        <v>27289</v>
      </c>
      <c r="UPO1" s="24" t="s">
        <v>27290</v>
      </c>
      <c r="UPP1" s="24" t="s">
        <v>27291</v>
      </c>
      <c r="UPQ1" s="24" t="s">
        <v>27292</v>
      </c>
      <c r="UPR1" s="24" t="s">
        <v>27293</v>
      </c>
      <c r="UPS1" s="24" t="s">
        <v>27294</v>
      </c>
      <c r="UPT1" s="24" t="s">
        <v>27295</v>
      </c>
      <c r="UPU1" s="24" t="s">
        <v>27296</v>
      </c>
      <c r="UPV1" s="24" t="s">
        <v>27297</v>
      </c>
      <c r="UPW1" s="24" t="s">
        <v>27298</v>
      </c>
      <c r="UPX1" s="24" t="s">
        <v>27299</v>
      </c>
      <c r="UPY1" s="24" t="s">
        <v>27300</v>
      </c>
      <c r="UPZ1" s="24" t="s">
        <v>27301</v>
      </c>
      <c r="UQA1" s="24" t="s">
        <v>27302</v>
      </c>
      <c r="UQB1" s="24" t="s">
        <v>27303</v>
      </c>
      <c r="UQC1" s="24" t="s">
        <v>27304</v>
      </c>
      <c r="UQD1" s="24" t="s">
        <v>27305</v>
      </c>
      <c r="UQE1" s="24" t="s">
        <v>27306</v>
      </c>
      <c r="UQF1" s="24" t="s">
        <v>27307</v>
      </c>
      <c r="UQG1" s="24" t="s">
        <v>27308</v>
      </c>
      <c r="UQH1" s="24" t="s">
        <v>27309</v>
      </c>
      <c r="UQI1" s="24" t="s">
        <v>27310</v>
      </c>
      <c r="UQJ1" s="24" t="s">
        <v>27311</v>
      </c>
      <c r="UQK1" s="24" t="s">
        <v>27312</v>
      </c>
      <c r="UQL1" s="24" t="s">
        <v>27313</v>
      </c>
      <c r="UQM1" s="24" t="s">
        <v>27314</v>
      </c>
      <c r="UQN1" s="24" t="s">
        <v>27315</v>
      </c>
      <c r="UQO1" s="24" t="s">
        <v>27316</v>
      </c>
      <c r="UQP1" s="24" t="s">
        <v>27317</v>
      </c>
      <c r="UQQ1" s="24" t="s">
        <v>27318</v>
      </c>
      <c r="UQR1" s="24" t="s">
        <v>27319</v>
      </c>
      <c r="UQS1" s="24" t="s">
        <v>27320</v>
      </c>
      <c r="UQT1" s="24" t="s">
        <v>27321</v>
      </c>
      <c r="UQU1" s="24" t="s">
        <v>27322</v>
      </c>
      <c r="UQV1" s="24" t="s">
        <v>27323</v>
      </c>
      <c r="UQW1" s="24" t="s">
        <v>27324</v>
      </c>
      <c r="UQX1" s="24" t="s">
        <v>27325</v>
      </c>
      <c r="UQY1" s="24" t="s">
        <v>27326</v>
      </c>
      <c r="UQZ1" s="24" t="s">
        <v>27327</v>
      </c>
      <c r="URA1" s="24" t="s">
        <v>27328</v>
      </c>
      <c r="URB1" s="24" t="s">
        <v>27329</v>
      </c>
      <c r="URC1" s="24" t="s">
        <v>27330</v>
      </c>
      <c r="URD1" s="24" t="s">
        <v>27331</v>
      </c>
      <c r="URE1" s="24" t="s">
        <v>27332</v>
      </c>
      <c r="URF1" s="24" t="s">
        <v>27333</v>
      </c>
      <c r="URG1" s="24" t="s">
        <v>27334</v>
      </c>
      <c r="URH1" s="24" t="s">
        <v>27335</v>
      </c>
      <c r="URI1" s="24" t="s">
        <v>27336</v>
      </c>
      <c r="URJ1" s="24" t="s">
        <v>27337</v>
      </c>
      <c r="URK1" s="24" t="s">
        <v>27338</v>
      </c>
      <c r="URL1" s="24" t="s">
        <v>27339</v>
      </c>
      <c r="URM1" s="24" t="s">
        <v>27340</v>
      </c>
      <c r="URN1" s="24" t="s">
        <v>27341</v>
      </c>
      <c r="URO1" s="24" t="s">
        <v>27342</v>
      </c>
      <c r="URP1" s="24" t="s">
        <v>27343</v>
      </c>
      <c r="URQ1" s="24" t="s">
        <v>27344</v>
      </c>
      <c r="URR1" s="24" t="s">
        <v>27345</v>
      </c>
      <c r="URS1" s="24" t="s">
        <v>27346</v>
      </c>
      <c r="URT1" s="24" t="s">
        <v>27347</v>
      </c>
      <c r="URU1" s="24" t="s">
        <v>27348</v>
      </c>
      <c r="URV1" s="24" t="s">
        <v>27349</v>
      </c>
      <c r="URW1" s="24" t="s">
        <v>27350</v>
      </c>
      <c r="URX1" s="24" t="s">
        <v>27351</v>
      </c>
      <c r="URY1" s="24" t="s">
        <v>27352</v>
      </c>
      <c r="URZ1" s="24" t="s">
        <v>27353</v>
      </c>
      <c r="USA1" s="24" t="s">
        <v>27354</v>
      </c>
      <c r="USB1" s="24" t="s">
        <v>27355</v>
      </c>
      <c r="USC1" s="24" t="s">
        <v>27356</v>
      </c>
      <c r="USD1" s="24" t="s">
        <v>27357</v>
      </c>
      <c r="USE1" s="24" t="s">
        <v>27358</v>
      </c>
      <c r="USF1" s="24" t="s">
        <v>27359</v>
      </c>
      <c r="USG1" s="24" t="s">
        <v>27360</v>
      </c>
      <c r="USH1" s="24" t="s">
        <v>27361</v>
      </c>
      <c r="USI1" s="24" t="s">
        <v>27362</v>
      </c>
      <c r="USJ1" s="24" t="s">
        <v>27363</v>
      </c>
      <c r="USK1" s="24" t="s">
        <v>27364</v>
      </c>
      <c r="USL1" s="24" t="s">
        <v>27365</v>
      </c>
      <c r="USM1" s="24" t="s">
        <v>27366</v>
      </c>
      <c r="USN1" s="24" t="s">
        <v>27367</v>
      </c>
      <c r="USO1" s="24" t="s">
        <v>27368</v>
      </c>
      <c r="USP1" s="24" t="s">
        <v>27369</v>
      </c>
      <c r="USQ1" s="24" t="s">
        <v>27370</v>
      </c>
      <c r="USR1" s="24" t="s">
        <v>27371</v>
      </c>
      <c r="USS1" s="24" t="s">
        <v>27372</v>
      </c>
      <c r="UST1" s="24" t="s">
        <v>27373</v>
      </c>
      <c r="USU1" s="24" t="s">
        <v>27374</v>
      </c>
      <c r="USV1" s="24" t="s">
        <v>27375</v>
      </c>
      <c r="USW1" s="24" t="s">
        <v>27376</v>
      </c>
      <c r="USX1" s="24" t="s">
        <v>27377</v>
      </c>
      <c r="USY1" s="24" t="s">
        <v>27378</v>
      </c>
      <c r="USZ1" s="24" t="s">
        <v>27379</v>
      </c>
      <c r="UTA1" s="24" t="s">
        <v>27380</v>
      </c>
      <c r="UTB1" s="24" t="s">
        <v>27381</v>
      </c>
      <c r="UTC1" s="24" t="s">
        <v>27382</v>
      </c>
      <c r="UTD1" s="24" t="s">
        <v>27383</v>
      </c>
      <c r="UTE1" s="24" t="s">
        <v>27384</v>
      </c>
      <c r="UTF1" s="24" t="s">
        <v>27385</v>
      </c>
      <c r="UTG1" s="24" t="s">
        <v>27386</v>
      </c>
      <c r="UTH1" s="24" t="s">
        <v>27387</v>
      </c>
      <c r="UTI1" s="24" t="s">
        <v>27388</v>
      </c>
      <c r="UTJ1" s="24" t="s">
        <v>27389</v>
      </c>
      <c r="UTK1" s="24" t="s">
        <v>27390</v>
      </c>
      <c r="UTL1" s="24" t="s">
        <v>27391</v>
      </c>
      <c r="UTM1" s="24" t="s">
        <v>27392</v>
      </c>
      <c r="UTN1" s="24" t="s">
        <v>27393</v>
      </c>
      <c r="UTO1" s="24" t="s">
        <v>27394</v>
      </c>
      <c r="UTP1" s="24" t="s">
        <v>27395</v>
      </c>
      <c r="UTQ1" s="24" t="s">
        <v>27396</v>
      </c>
      <c r="UTR1" s="24" t="s">
        <v>27397</v>
      </c>
      <c r="UTS1" s="24" t="s">
        <v>27398</v>
      </c>
      <c r="UTT1" s="24" t="s">
        <v>27399</v>
      </c>
      <c r="UTU1" s="24" t="s">
        <v>27400</v>
      </c>
      <c r="UTV1" s="24" t="s">
        <v>27401</v>
      </c>
      <c r="UTW1" s="24" t="s">
        <v>27402</v>
      </c>
      <c r="UTX1" s="24" t="s">
        <v>27403</v>
      </c>
      <c r="UTY1" s="24" t="s">
        <v>27404</v>
      </c>
      <c r="UTZ1" s="24" t="s">
        <v>27405</v>
      </c>
      <c r="UUA1" s="24" t="s">
        <v>27406</v>
      </c>
      <c r="UUB1" s="24" t="s">
        <v>27407</v>
      </c>
      <c r="UUC1" s="24" t="s">
        <v>27408</v>
      </c>
      <c r="UUD1" s="24" t="s">
        <v>27409</v>
      </c>
      <c r="UUE1" s="24" t="s">
        <v>27410</v>
      </c>
      <c r="UUF1" s="24" t="s">
        <v>27411</v>
      </c>
      <c r="UUG1" s="24" t="s">
        <v>27412</v>
      </c>
      <c r="UUH1" s="24" t="s">
        <v>27413</v>
      </c>
      <c r="UUI1" s="24" t="s">
        <v>27414</v>
      </c>
      <c r="UUJ1" s="24" t="s">
        <v>27415</v>
      </c>
      <c r="UUK1" s="24" t="s">
        <v>27416</v>
      </c>
      <c r="UUL1" s="24" t="s">
        <v>27417</v>
      </c>
      <c r="UUM1" s="24" t="s">
        <v>27418</v>
      </c>
      <c r="UUN1" s="24" t="s">
        <v>27419</v>
      </c>
      <c r="UUO1" s="24" t="s">
        <v>27420</v>
      </c>
      <c r="UUP1" s="24" t="s">
        <v>27421</v>
      </c>
      <c r="UUQ1" s="24" t="s">
        <v>27422</v>
      </c>
      <c r="UUR1" s="24" t="s">
        <v>27423</v>
      </c>
      <c r="UUS1" s="24" t="s">
        <v>27424</v>
      </c>
      <c r="UUT1" s="24" t="s">
        <v>27425</v>
      </c>
      <c r="UUU1" s="24" t="s">
        <v>27426</v>
      </c>
      <c r="UUV1" s="24" t="s">
        <v>27427</v>
      </c>
      <c r="UUW1" s="24" t="s">
        <v>27428</v>
      </c>
      <c r="UUX1" s="24" t="s">
        <v>27429</v>
      </c>
      <c r="UUY1" s="24" t="s">
        <v>27430</v>
      </c>
      <c r="UUZ1" s="24" t="s">
        <v>27431</v>
      </c>
      <c r="UVA1" s="24" t="s">
        <v>27432</v>
      </c>
      <c r="UVB1" s="24" t="s">
        <v>27433</v>
      </c>
      <c r="UVC1" s="24" t="s">
        <v>27434</v>
      </c>
      <c r="UVD1" s="24" t="s">
        <v>27435</v>
      </c>
      <c r="UVE1" s="24" t="s">
        <v>27436</v>
      </c>
      <c r="UVF1" s="24" t="s">
        <v>27437</v>
      </c>
      <c r="UVG1" s="24" t="s">
        <v>27438</v>
      </c>
      <c r="UVH1" s="24" t="s">
        <v>27439</v>
      </c>
      <c r="UVI1" s="24" t="s">
        <v>27440</v>
      </c>
      <c r="UVJ1" s="24" t="s">
        <v>27441</v>
      </c>
      <c r="UVK1" s="24" t="s">
        <v>27442</v>
      </c>
      <c r="UVL1" s="24" t="s">
        <v>27443</v>
      </c>
      <c r="UVM1" s="24" t="s">
        <v>27444</v>
      </c>
      <c r="UVN1" s="24" t="s">
        <v>27445</v>
      </c>
      <c r="UVO1" s="24" t="s">
        <v>27446</v>
      </c>
      <c r="UVP1" s="24" t="s">
        <v>27447</v>
      </c>
      <c r="UVQ1" s="24" t="s">
        <v>27448</v>
      </c>
      <c r="UVR1" s="24" t="s">
        <v>27449</v>
      </c>
      <c r="UVS1" s="24" t="s">
        <v>27450</v>
      </c>
      <c r="UVT1" s="24" t="s">
        <v>27451</v>
      </c>
      <c r="UVU1" s="24" t="s">
        <v>27452</v>
      </c>
      <c r="UVV1" s="24" t="s">
        <v>27453</v>
      </c>
      <c r="UVW1" s="24" t="s">
        <v>27454</v>
      </c>
      <c r="UVX1" s="24" t="s">
        <v>27455</v>
      </c>
      <c r="UVY1" s="24" t="s">
        <v>27456</v>
      </c>
      <c r="UVZ1" s="24" t="s">
        <v>27457</v>
      </c>
      <c r="UWA1" s="24" t="s">
        <v>27458</v>
      </c>
      <c r="UWB1" s="24" t="s">
        <v>27459</v>
      </c>
      <c r="UWC1" s="24" t="s">
        <v>27460</v>
      </c>
      <c r="UWD1" s="24" t="s">
        <v>27461</v>
      </c>
      <c r="UWE1" s="24" t="s">
        <v>27462</v>
      </c>
      <c r="UWF1" s="24" t="s">
        <v>27463</v>
      </c>
      <c r="UWG1" s="24" t="s">
        <v>27464</v>
      </c>
      <c r="UWH1" s="24" t="s">
        <v>27465</v>
      </c>
      <c r="UWI1" s="24" t="s">
        <v>27466</v>
      </c>
      <c r="UWJ1" s="24" t="s">
        <v>27467</v>
      </c>
      <c r="UWK1" s="24" t="s">
        <v>27468</v>
      </c>
      <c r="UWL1" s="24" t="s">
        <v>27469</v>
      </c>
      <c r="UWM1" s="24" t="s">
        <v>27470</v>
      </c>
      <c r="UWN1" s="24" t="s">
        <v>27471</v>
      </c>
      <c r="UWO1" s="24" t="s">
        <v>27472</v>
      </c>
      <c r="UWP1" s="24" t="s">
        <v>27473</v>
      </c>
      <c r="UWQ1" s="24" t="s">
        <v>27474</v>
      </c>
      <c r="UWR1" s="24" t="s">
        <v>27475</v>
      </c>
      <c r="UWS1" s="24" t="s">
        <v>27476</v>
      </c>
      <c r="UWT1" s="24" t="s">
        <v>27477</v>
      </c>
      <c r="UWU1" s="24" t="s">
        <v>27478</v>
      </c>
      <c r="UWV1" s="24" t="s">
        <v>27479</v>
      </c>
      <c r="UWW1" s="24" t="s">
        <v>27480</v>
      </c>
      <c r="UWX1" s="24" t="s">
        <v>27481</v>
      </c>
      <c r="UWY1" s="24" t="s">
        <v>27482</v>
      </c>
      <c r="UWZ1" s="24" t="s">
        <v>27483</v>
      </c>
      <c r="UXA1" s="24" t="s">
        <v>27484</v>
      </c>
      <c r="UXB1" s="24" t="s">
        <v>27485</v>
      </c>
      <c r="UXC1" s="24" t="s">
        <v>27486</v>
      </c>
      <c r="UXD1" s="24" t="s">
        <v>27487</v>
      </c>
      <c r="UXE1" s="24" t="s">
        <v>27488</v>
      </c>
      <c r="UXF1" s="24" t="s">
        <v>27489</v>
      </c>
      <c r="UXG1" s="24" t="s">
        <v>27490</v>
      </c>
      <c r="UXH1" s="24" t="s">
        <v>27491</v>
      </c>
      <c r="UXI1" s="24" t="s">
        <v>27492</v>
      </c>
      <c r="UXJ1" s="24" t="s">
        <v>27493</v>
      </c>
      <c r="UXK1" s="24" t="s">
        <v>27494</v>
      </c>
      <c r="UXL1" s="24" t="s">
        <v>27495</v>
      </c>
      <c r="UXM1" s="24" t="s">
        <v>27496</v>
      </c>
      <c r="UXN1" s="24" t="s">
        <v>27497</v>
      </c>
      <c r="UXO1" s="24" t="s">
        <v>27498</v>
      </c>
      <c r="UXP1" s="24" t="s">
        <v>27499</v>
      </c>
      <c r="UXQ1" s="24" t="s">
        <v>27500</v>
      </c>
      <c r="UXR1" s="24" t="s">
        <v>27501</v>
      </c>
      <c r="UXS1" s="24" t="s">
        <v>27502</v>
      </c>
      <c r="UXT1" s="24" t="s">
        <v>27503</v>
      </c>
      <c r="UXU1" s="24" t="s">
        <v>27504</v>
      </c>
      <c r="UXV1" s="24" t="s">
        <v>27505</v>
      </c>
      <c r="UXW1" s="24" t="s">
        <v>27506</v>
      </c>
      <c r="UXX1" s="24" t="s">
        <v>27507</v>
      </c>
      <c r="UXY1" s="24" t="s">
        <v>27508</v>
      </c>
      <c r="UXZ1" s="24" t="s">
        <v>27509</v>
      </c>
      <c r="UYA1" s="24" t="s">
        <v>27510</v>
      </c>
      <c r="UYB1" s="24" t="s">
        <v>27511</v>
      </c>
      <c r="UYC1" s="24" t="s">
        <v>27512</v>
      </c>
      <c r="UYD1" s="24" t="s">
        <v>27513</v>
      </c>
      <c r="UYE1" s="24" t="s">
        <v>27514</v>
      </c>
      <c r="UYF1" s="24" t="s">
        <v>27515</v>
      </c>
      <c r="UYG1" s="24" t="s">
        <v>27516</v>
      </c>
      <c r="UYH1" s="24" t="s">
        <v>27517</v>
      </c>
      <c r="UYI1" s="24" t="s">
        <v>27518</v>
      </c>
      <c r="UYJ1" s="24" t="s">
        <v>27519</v>
      </c>
      <c r="UYK1" s="24" t="s">
        <v>27520</v>
      </c>
      <c r="UYL1" s="24" t="s">
        <v>27521</v>
      </c>
      <c r="UYM1" s="24" t="s">
        <v>27522</v>
      </c>
      <c r="UYN1" s="24" t="s">
        <v>27523</v>
      </c>
      <c r="UYO1" s="24" t="s">
        <v>27524</v>
      </c>
      <c r="UYP1" s="24" t="s">
        <v>27525</v>
      </c>
      <c r="UYQ1" s="24" t="s">
        <v>27526</v>
      </c>
      <c r="UYR1" s="24" t="s">
        <v>27527</v>
      </c>
      <c r="UYS1" s="24" t="s">
        <v>27528</v>
      </c>
      <c r="UYT1" s="24" t="s">
        <v>27529</v>
      </c>
      <c r="UYU1" s="24" t="s">
        <v>27530</v>
      </c>
      <c r="UYV1" s="24" t="s">
        <v>27531</v>
      </c>
      <c r="UYW1" s="24" t="s">
        <v>27532</v>
      </c>
      <c r="UYX1" s="24" t="s">
        <v>27533</v>
      </c>
      <c r="UYY1" s="24" t="s">
        <v>27534</v>
      </c>
      <c r="UYZ1" s="24" t="s">
        <v>27535</v>
      </c>
      <c r="UZA1" s="24" t="s">
        <v>27536</v>
      </c>
      <c r="UZB1" s="24" t="s">
        <v>27537</v>
      </c>
      <c r="UZC1" s="24" t="s">
        <v>27538</v>
      </c>
      <c r="UZD1" s="24" t="s">
        <v>27539</v>
      </c>
      <c r="UZE1" s="24" t="s">
        <v>27540</v>
      </c>
      <c r="UZF1" s="24" t="s">
        <v>27541</v>
      </c>
      <c r="UZG1" s="24" t="s">
        <v>27542</v>
      </c>
      <c r="UZH1" s="24" t="s">
        <v>27543</v>
      </c>
      <c r="UZI1" s="24" t="s">
        <v>27544</v>
      </c>
      <c r="UZJ1" s="24" t="s">
        <v>27545</v>
      </c>
      <c r="UZK1" s="24" t="s">
        <v>27546</v>
      </c>
      <c r="UZL1" s="24" t="s">
        <v>27547</v>
      </c>
      <c r="UZM1" s="24" t="s">
        <v>27548</v>
      </c>
      <c r="UZN1" s="24" t="s">
        <v>27549</v>
      </c>
      <c r="UZO1" s="24" t="s">
        <v>27550</v>
      </c>
      <c r="UZP1" s="24" t="s">
        <v>27551</v>
      </c>
      <c r="UZQ1" s="24" t="s">
        <v>27552</v>
      </c>
      <c r="UZR1" s="24" t="s">
        <v>27553</v>
      </c>
      <c r="UZS1" s="24" t="s">
        <v>27554</v>
      </c>
      <c r="UZT1" s="24" t="s">
        <v>27555</v>
      </c>
      <c r="UZU1" s="24" t="s">
        <v>27556</v>
      </c>
      <c r="UZV1" s="24" t="s">
        <v>27557</v>
      </c>
      <c r="UZW1" s="24" t="s">
        <v>27558</v>
      </c>
      <c r="UZX1" s="24" t="s">
        <v>27559</v>
      </c>
      <c r="UZY1" s="24" t="s">
        <v>27560</v>
      </c>
      <c r="UZZ1" s="24" t="s">
        <v>27561</v>
      </c>
      <c r="VAA1" s="24" t="s">
        <v>27562</v>
      </c>
      <c r="VAB1" s="24" t="s">
        <v>27563</v>
      </c>
      <c r="VAC1" s="24" t="s">
        <v>27564</v>
      </c>
      <c r="VAD1" s="24" t="s">
        <v>27565</v>
      </c>
      <c r="VAE1" s="24" t="s">
        <v>27566</v>
      </c>
      <c r="VAF1" s="24" t="s">
        <v>27567</v>
      </c>
      <c r="VAG1" s="24" t="s">
        <v>27568</v>
      </c>
      <c r="VAH1" s="24" t="s">
        <v>27569</v>
      </c>
      <c r="VAI1" s="24" t="s">
        <v>27570</v>
      </c>
      <c r="VAJ1" s="24" t="s">
        <v>27571</v>
      </c>
      <c r="VAK1" s="24" t="s">
        <v>27572</v>
      </c>
      <c r="VAL1" s="24" t="s">
        <v>27573</v>
      </c>
      <c r="VAM1" s="24" t="s">
        <v>27574</v>
      </c>
      <c r="VAN1" s="24" t="s">
        <v>27575</v>
      </c>
      <c r="VAO1" s="24" t="s">
        <v>27576</v>
      </c>
      <c r="VAP1" s="24" t="s">
        <v>27577</v>
      </c>
      <c r="VAQ1" s="24" t="s">
        <v>27578</v>
      </c>
      <c r="VAR1" s="24" t="s">
        <v>27579</v>
      </c>
      <c r="VAS1" s="24" t="s">
        <v>27580</v>
      </c>
      <c r="VAT1" s="24" t="s">
        <v>27581</v>
      </c>
      <c r="VAU1" s="24" t="s">
        <v>27582</v>
      </c>
      <c r="VAV1" s="24" t="s">
        <v>27583</v>
      </c>
      <c r="VAW1" s="24" t="s">
        <v>27584</v>
      </c>
      <c r="VAX1" s="24" t="s">
        <v>27585</v>
      </c>
      <c r="VAY1" s="24" t="s">
        <v>27586</v>
      </c>
      <c r="VAZ1" s="24" t="s">
        <v>27587</v>
      </c>
      <c r="VBA1" s="24" t="s">
        <v>27588</v>
      </c>
      <c r="VBB1" s="24" t="s">
        <v>27589</v>
      </c>
      <c r="VBC1" s="24" t="s">
        <v>27590</v>
      </c>
      <c r="VBD1" s="24" t="s">
        <v>27591</v>
      </c>
      <c r="VBE1" s="24" t="s">
        <v>27592</v>
      </c>
      <c r="VBF1" s="24" t="s">
        <v>27593</v>
      </c>
      <c r="VBG1" s="24" t="s">
        <v>27594</v>
      </c>
      <c r="VBH1" s="24" t="s">
        <v>27595</v>
      </c>
      <c r="VBI1" s="24" t="s">
        <v>27596</v>
      </c>
      <c r="VBJ1" s="24" t="s">
        <v>27597</v>
      </c>
      <c r="VBK1" s="24" t="s">
        <v>27598</v>
      </c>
      <c r="VBL1" s="24" t="s">
        <v>27599</v>
      </c>
      <c r="VBM1" s="24" t="s">
        <v>27600</v>
      </c>
      <c r="VBN1" s="24" t="s">
        <v>27601</v>
      </c>
      <c r="VBO1" s="24" t="s">
        <v>27602</v>
      </c>
      <c r="VBP1" s="24" t="s">
        <v>27603</v>
      </c>
      <c r="VBQ1" s="24" t="s">
        <v>27604</v>
      </c>
      <c r="VBR1" s="24" t="s">
        <v>27605</v>
      </c>
      <c r="VBS1" s="24" t="s">
        <v>27606</v>
      </c>
      <c r="VBT1" s="24" t="s">
        <v>27607</v>
      </c>
      <c r="VBU1" s="24" t="s">
        <v>27608</v>
      </c>
      <c r="VBV1" s="24" t="s">
        <v>27609</v>
      </c>
      <c r="VBW1" s="24" t="s">
        <v>27610</v>
      </c>
      <c r="VBX1" s="24" t="s">
        <v>27611</v>
      </c>
      <c r="VBY1" s="24" t="s">
        <v>27612</v>
      </c>
      <c r="VBZ1" s="24" t="s">
        <v>27613</v>
      </c>
      <c r="VCA1" s="24" t="s">
        <v>27614</v>
      </c>
      <c r="VCB1" s="24" t="s">
        <v>27615</v>
      </c>
      <c r="VCC1" s="24" t="s">
        <v>27616</v>
      </c>
      <c r="VCD1" s="24" t="s">
        <v>27617</v>
      </c>
      <c r="VCE1" s="24" t="s">
        <v>27618</v>
      </c>
      <c r="VCF1" s="24" t="s">
        <v>27619</v>
      </c>
      <c r="VCG1" s="24" t="s">
        <v>27620</v>
      </c>
      <c r="VCH1" s="24" t="s">
        <v>27621</v>
      </c>
      <c r="VCI1" s="24" t="s">
        <v>27622</v>
      </c>
      <c r="VCJ1" s="24" t="s">
        <v>27623</v>
      </c>
      <c r="VCK1" s="24" t="s">
        <v>27624</v>
      </c>
      <c r="VCL1" s="24" t="s">
        <v>27625</v>
      </c>
      <c r="VCM1" s="24" t="s">
        <v>27626</v>
      </c>
      <c r="VCN1" s="24" t="s">
        <v>27627</v>
      </c>
      <c r="VCO1" s="24" t="s">
        <v>27628</v>
      </c>
      <c r="VCP1" s="24" t="s">
        <v>27629</v>
      </c>
      <c r="VCQ1" s="24" t="s">
        <v>27630</v>
      </c>
      <c r="VCR1" s="24" t="s">
        <v>27631</v>
      </c>
      <c r="VCS1" s="24" t="s">
        <v>27632</v>
      </c>
      <c r="VCT1" s="24" t="s">
        <v>27633</v>
      </c>
      <c r="VCU1" s="24" t="s">
        <v>27634</v>
      </c>
      <c r="VCV1" s="24" t="s">
        <v>27635</v>
      </c>
      <c r="VCW1" s="24" t="s">
        <v>27636</v>
      </c>
      <c r="VCX1" s="24" t="s">
        <v>27637</v>
      </c>
      <c r="VCY1" s="24" t="s">
        <v>27638</v>
      </c>
      <c r="VCZ1" s="24" t="s">
        <v>27639</v>
      </c>
      <c r="VDA1" s="24" t="s">
        <v>27640</v>
      </c>
      <c r="VDB1" s="24" t="s">
        <v>27641</v>
      </c>
      <c r="VDC1" s="24" t="s">
        <v>27642</v>
      </c>
      <c r="VDD1" s="24" t="s">
        <v>27643</v>
      </c>
      <c r="VDE1" s="24" t="s">
        <v>27644</v>
      </c>
      <c r="VDF1" s="24" t="s">
        <v>27645</v>
      </c>
      <c r="VDG1" s="24" t="s">
        <v>27646</v>
      </c>
      <c r="VDH1" s="24" t="s">
        <v>27647</v>
      </c>
      <c r="VDI1" s="24" t="s">
        <v>27648</v>
      </c>
      <c r="VDJ1" s="24" t="s">
        <v>27649</v>
      </c>
      <c r="VDK1" s="24" t="s">
        <v>27650</v>
      </c>
      <c r="VDL1" s="24" t="s">
        <v>27651</v>
      </c>
      <c r="VDM1" s="24" t="s">
        <v>27652</v>
      </c>
      <c r="VDN1" s="24" t="s">
        <v>27653</v>
      </c>
      <c r="VDO1" s="24" t="s">
        <v>27654</v>
      </c>
      <c r="VDP1" s="24" t="s">
        <v>27655</v>
      </c>
      <c r="VDQ1" s="24" t="s">
        <v>27656</v>
      </c>
      <c r="VDR1" s="24" t="s">
        <v>27657</v>
      </c>
      <c r="VDS1" s="24" t="s">
        <v>27658</v>
      </c>
      <c r="VDT1" s="24" t="s">
        <v>27659</v>
      </c>
      <c r="VDU1" s="24" t="s">
        <v>27660</v>
      </c>
      <c r="VDV1" s="24" t="s">
        <v>27661</v>
      </c>
      <c r="VDW1" s="24" t="s">
        <v>27662</v>
      </c>
      <c r="VDX1" s="24" t="s">
        <v>27663</v>
      </c>
      <c r="VDY1" s="24" t="s">
        <v>27664</v>
      </c>
      <c r="VDZ1" s="24" t="s">
        <v>27665</v>
      </c>
      <c r="VEA1" s="24" t="s">
        <v>27666</v>
      </c>
      <c r="VEB1" s="24" t="s">
        <v>27667</v>
      </c>
      <c r="VEC1" s="24" t="s">
        <v>27668</v>
      </c>
      <c r="VED1" s="24" t="s">
        <v>27669</v>
      </c>
      <c r="VEE1" s="24" t="s">
        <v>27670</v>
      </c>
      <c r="VEF1" s="24" t="s">
        <v>27671</v>
      </c>
      <c r="VEG1" s="24" t="s">
        <v>27672</v>
      </c>
      <c r="VEH1" s="24" t="s">
        <v>27673</v>
      </c>
      <c r="VEI1" s="24" t="s">
        <v>27674</v>
      </c>
      <c r="VEJ1" s="24" t="s">
        <v>27675</v>
      </c>
      <c r="VEK1" s="24" t="s">
        <v>27676</v>
      </c>
      <c r="VEL1" s="24" t="s">
        <v>27677</v>
      </c>
      <c r="VEM1" s="24" t="s">
        <v>27678</v>
      </c>
      <c r="VEN1" s="24" t="s">
        <v>27679</v>
      </c>
      <c r="VEO1" s="24" t="s">
        <v>27680</v>
      </c>
      <c r="VEP1" s="24" t="s">
        <v>27681</v>
      </c>
      <c r="VEQ1" s="24" t="s">
        <v>27682</v>
      </c>
      <c r="VER1" s="24" t="s">
        <v>27683</v>
      </c>
      <c r="VES1" s="24" t="s">
        <v>27684</v>
      </c>
      <c r="VET1" s="24" t="s">
        <v>27685</v>
      </c>
      <c r="VEU1" s="24" t="s">
        <v>27686</v>
      </c>
      <c r="VEV1" s="24" t="s">
        <v>27687</v>
      </c>
      <c r="VEW1" s="24" t="s">
        <v>27688</v>
      </c>
      <c r="VEX1" s="24" t="s">
        <v>27689</v>
      </c>
      <c r="VEY1" s="24" t="s">
        <v>27690</v>
      </c>
      <c r="VEZ1" s="24" t="s">
        <v>27691</v>
      </c>
      <c r="VFA1" s="24" t="s">
        <v>27692</v>
      </c>
      <c r="VFB1" s="24" t="s">
        <v>27693</v>
      </c>
      <c r="VFC1" s="24" t="s">
        <v>27694</v>
      </c>
      <c r="VFD1" s="24" t="s">
        <v>27695</v>
      </c>
      <c r="VFE1" s="24" t="s">
        <v>27696</v>
      </c>
      <c r="VFF1" s="24" t="s">
        <v>27697</v>
      </c>
      <c r="VFG1" s="24" t="s">
        <v>27698</v>
      </c>
      <c r="VFH1" s="24" t="s">
        <v>27699</v>
      </c>
      <c r="VFI1" s="24" t="s">
        <v>27700</v>
      </c>
      <c r="VFJ1" s="24" t="s">
        <v>27701</v>
      </c>
      <c r="VFK1" s="24" t="s">
        <v>27702</v>
      </c>
      <c r="VFL1" s="24" t="s">
        <v>27703</v>
      </c>
      <c r="VFM1" s="24" t="s">
        <v>27704</v>
      </c>
      <c r="VFN1" s="24" t="s">
        <v>27705</v>
      </c>
      <c r="VFO1" s="24" t="s">
        <v>27706</v>
      </c>
      <c r="VFP1" s="24" t="s">
        <v>27707</v>
      </c>
      <c r="VFQ1" s="24" t="s">
        <v>27708</v>
      </c>
      <c r="VFR1" s="24" t="s">
        <v>27709</v>
      </c>
      <c r="VFS1" s="24" t="s">
        <v>27710</v>
      </c>
      <c r="VFT1" s="24" t="s">
        <v>27711</v>
      </c>
      <c r="VFU1" s="24" t="s">
        <v>27712</v>
      </c>
      <c r="VFV1" s="24" t="s">
        <v>27713</v>
      </c>
      <c r="VFW1" s="24" t="s">
        <v>27714</v>
      </c>
      <c r="VFX1" s="24" t="s">
        <v>27715</v>
      </c>
      <c r="VFY1" s="24" t="s">
        <v>27716</v>
      </c>
      <c r="VFZ1" s="24" t="s">
        <v>27717</v>
      </c>
      <c r="VGA1" s="24" t="s">
        <v>27718</v>
      </c>
      <c r="VGB1" s="24" t="s">
        <v>27719</v>
      </c>
      <c r="VGC1" s="24" t="s">
        <v>27720</v>
      </c>
      <c r="VGD1" s="24" t="s">
        <v>27721</v>
      </c>
      <c r="VGE1" s="24" t="s">
        <v>27722</v>
      </c>
      <c r="VGF1" s="24" t="s">
        <v>27723</v>
      </c>
      <c r="VGG1" s="24" t="s">
        <v>27724</v>
      </c>
      <c r="VGH1" s="24" t="s">
        <v>27725</v>
      </c>
      <c r="VGI1" s="24" t="s">
        <v>27726</v>
      </c>
      <c r="VGJ1" s="24" t="s">
        <v>27727</v>
      </c>
      <c r="VGK1" s="24" t="s">
        <v>27728</v>
      </c>
      <c r="VGL1" s="24" t="s">
        <v>27729</v>
      </c>
      <c r="VGM1" s="24" t="s">
        <v>27730</v>
      </c>
      <c r="VGN1" s="24" t="s">
        <v>27731</v>
      </c>
      <c r="VGO1" s="24" t="s">
        <v>27732</v>
      </c>
      <c r="VGP1" s="24" t="s">
        <v>27733</v>
      </c>
      <c r="VGQ1" s="24" t="s">
        <v>27734</v>
      </c>
      <c r="VGR1" s="24" t="s">
        <v>27735</v>
      </c>
      <c r="VGS1" s="24" t="s">
        <v>27736</v>
      </c>
      <c r="VGT1" s="24" t="s">
        <v>27737</v>
      </c>
      <c r="VGU1" s="24" t="s">
        <v>27738</v>
      </c>
      <c r="VGV1" s="24" t="s">
        <v>27739</v>
      </c>
      <c r="VGW1" s="24" t="s">
        <v>27740</v>
      </c>
      <c r="VGX1" s="24" t="s">
        <v>27741</v>
      </c>
      <c r="VGY1" s="24" t="s">
        <v>27742</v>
      </c>
      <c r="VGZ1" s="24" t="s">
        <v>27743</v>
      </c>
      <c r="VHA1" s="24" t="s">
        <v>27744</v>
      </c>
      <c r="VHB1" s="24" t="s">
        <v>27745</v>
      </c>
      <c r="VHC1" s="24" t="s">
        <v>27746</v>
      </c>
      <c r="VHD1" s="24" t="s">
        <v>27747</v>
      </c>
      <c r="VHE1" s="24" t="s">
        <v>27748</v>
      </c>
      <c r="VHF1" s="24" t="s">
        <v>27749</v>
      </c>
      <c r="VHG1" s="24" t="s">
        <v>27750</v>
      </c>
      <c r="VHH1" s="24" t="s">
        <v>27751</v>
      </c>
      <c r="VHI1" s="24" t="s">
        <v>27752</v>
      </c>
      <c r="VHJ1" s="24" t="s">
        <v>27753</v>
      </c>
      <c r="VHK1" s="24" t="s">
        <v>27754</v>
      </c>
      <c r="VHL1" s="24" t="s">
        <v>27755</v>
      </c>
      <c r="VHM1" s="24" t="s">
        <v>27756</v>
      </c>
      <c r="VHN1" s="24" t="s">
        <v>27757</v>
      </c>
      <c r="VHO1" s="24" t="s">
        <v>27758</v>
      </c>
      <c r="VHP1" s="24" t="s">
        <v>27759</v>
      </c>
      <c r="VHQ1" s="24" t="s">
        <v>27760</v>
      </c>
      <c r="VHR1" s="24" t="s">
        <v>27761</v>
      </c>
      <c r="VHS1" s="24" t="s">
        <v>27762</v>
      </c>
      <c r="VHT1" s="24" t="s">
        <v>27763</v>
      </c>
      <c r="VHU1" s="24" t="s">
        <v>27764</v>
      </c>
      <c r="VHV1" s="24" t="s">
        <v>27765</v>
      </c>
      <c r="VHW1" s="24" t="s">
        <v>27766</v>
      </c>
      <c r="VHX1" s="24" t="s">
        <v>27767</v>
      </c>
      <c r="VHY1" s="24" t="s">
        <v>27768</v>
      </c>
      <c r="VHZ1" s="24" t="s">
        <v>27769</v>
      </c>
      <c r="VIA1" s="24" t="s">
        <v>27770</v>
      </c>
      <c r="VIB1" s="24" t="s">
        <v>27771</v>
      </c>
      <c r="VIC1" s="24" t="s">
        <v>27772</v>
      </c>
      <c r="VID1" s="24" t="s">
        <v>27773</v>
      </c>
      <c r="VIE1" s="24" t="s">
        <v>27774</v>
      </c>
      <c r="VIF1" s="24" t="s">
        <v>27775</v>
      </c>
      <c r="VIG1" s="24" t="s">
        <v>27776</v>
      </c>
      <c r="VIH1" s="24" t="s">
        <v>27777</v>
      </c>
      <c r="VII1" s="24" t="s">
        <v>27778</v>
      </c>
      <c r="VIJ1" s="24" t="s">
        <v>27779</v>
      </c>
      <c r="VIK1" s="24" t="s">
        <v>27780</v>
      </c>
      <c r="VIL1" s="24" t="s">
        <v>27781</v>
      </c>
      <c r="VIM1" s="24" t="s">
        <v>27782</v>
      </c>
      <c r="VIN1" s="24" t="s">
        <v>27783</v>
      </c>
      <c r="VIO1" s="24" t="s">
        <v>27784</v>
      </c>
      <c r="VIP1" s="24" t="s">
        <v>27785</v>
      </c>
      <c r="VIQ1" s="24" t="s">
        <v>27786</v>
      </c>
      <c r="VIR1" s="24" t="s">
        <v>27787</v>
      </c>
      <c r="VIS1" s="24" t="s">
        <v>27788</v>
      </c>
      <c r="VIT1" s="24" t="s">
        <v>27789</v>
      </c>
      <c r="VIU1" s="24" t="s">
        <v>27790</v>
      </c>
      <c r="VIV1" s="24" t="s">
        <v>27791</v>
      </c>
      <c r="VIW1" s="24" t="s">
        <v>27792</v>
      </c>
      <c r="VIX1" s="24" t="s">
        <v>27793</v>
      </c>
      <c r="VIY1" s="24" t="s">
        <v>27794</v>
      </c>
      <c r="VIZ1" s="24" t="s">
        <v>27795</v>
      </c>
      <c r="VJA1" s="24" t="s">
        <v>27796</v>
      </c>
      <c r="VJB1" s="24" t="s">
        <v>27797</v>
      </c>
      <c r="VJC1" s="24" t="s">
        <v>27798</v>
      </c>
      <c r="VJD1" s="24" t="s">
        <v>27799</v>
      </c>
      <c r="VJE1" s="24" t="s">
        <v>27800</v>
      </c>
      <c r="VJF1" s="24" t="s">
        <v>27801</v>
      </c>
      <c r="VJG1" s="24" t="s">
        <v>27802</v>
      </c>
      <c r="VJH1" s="24" t="s">
        <v>27803</v>
      </c>
      <c r="VJI1" s="24" t="s">
        <v>27804</v>
      </c>
      <c r="VJJ1" s="24" t="s">
        <v>27805</v>
      </c>
      <c r="VJK1" s="24" t="s">
        <v>27806</v>
      </c>
      <c r="VJL1" s="24" t="s">
        <v>27807</v>
      </c>
      <c r="VJM1" s="24" t="s">
        <v>27808</v>
      </c>
      <c r="VJN1" s="24" t="s">
        <v>27809</v>
      </c>
      <c r="VJO1" s="24" t="s">
        <v>27810</v>
      </c>
      <c r="VJP1" s="24" t="s">
        <v>27811</v>
      </c>
      <c r="VJQ1" s="24" t="s">
        <v>27812</v>
      </c>
      <c r="VJR1" s="24" t="s">
        <v>27813</v>
      </c>
      <c r="VJS1" s="24" t="s">
        <v>27814</v>
      </c>
      <c r="VJT1" s="24" t="s">
        <v>27815</v>
      </c>
      <c r="VJU1" s="24" t="s">
        <v>27816</v>
      </c>
      <c r="VJV1" s="24" t="s">
        <v>27817</v>
      </c>
      <c r="VJW1" s="24" t="s">
        <v>27818</v>
      </c>
      <c r="VJX1" s="24" t="s">
        <v>27819</v>
      </c>
      <c r="VJY1" s="24" t="s">
        <v>27820</v>
      </c>
      <c r="VJZ1" s="24" t="s">
        <v>27821</v>
      </c>
      <c r="VKA1" s="24" t="s">
        <v>27822</v>
      </c>
      <c r="VKB1" s="24" t="s">
        <v>27823</v>
      </c>
      <c r="VKC1" s="24" t="s">
        <v>27824</v>
      </c>
      <c r="VKD1" s="24" t="s">
        <v>27825</v>
      </c>
      <c r="VKE1" s="24" t="s">
        <v>27826</v>
      </c>
      <c r="VKF1" s="24" t="s">
        <v>27827</v>
      </c>
      <c r="VKG1" s="24" t="s">
        <v>27828</v>
      </c>
      <c r="VKH1" s="24" t="s">
        <v>27829</v>
      </c>
      <c r="VKI1" s="24" t="s">
        <v>27830</v>
      </c>
      <c r="VKJ1" s="24" t="s">
        <v>27831</v>
      </c>
      <c r="VKK1" s="24" t="s">
        <v>27832</v>
      </c>
      <c r="VKL1" s="24" t="s">
        <v>27833</v>
      </c>
      <c r="VKM1" s="24" t="s">
        <v>27834</v>
      </c>
      <c r="VKN1" s="24" t="s">
        <v>27835</v>
      </c>
      <c r="VKO1" s="24" t="s">
        <v>27836</v>
      </c>
      <c r="VKP1" s="24" t="s">
        <v>27837</v>
      </c>
      <c r="VKQ1" s="24" t="s">
        <v>27838</v>
      </c>
      <c r="VKR1" s="24" t="s">
        <v>27839</v>
      </c>
      <c r="VKS1" s="24" t="s">
        <v>27840</v>
      </c>
      <c r="VKT1" s="24" t="s">
        <v>27841</v>
      </c>
      <c r="VKU1" s="24" t="s">
        <v>27842</v>
      </c>
      <c r="VKV1" s="24" t="s">
        <v>27843</v>
      </c>
      <c r="VKW1" s="24" t="s">
        <v>27844</v>
      </c>
      <c r="VKX1" s="24" t="s">
        <v>27845</v>
      </c>
      <c r="VKY1" s="24" t="s">
        <v>27846</v>
      </c>
      <c r="VKZ1" s="24" t="s">
        <v>27847</v>
      </c>
      <c r="VLA1" s="24" t="s">
        <v>27848</v>
      </c>
      <c r="VLB1" s="24" t="s">
        <v>27849</v>
      </c>
      <c r="VLC1" s="24" t="s">
        <v>27850</v>
      </c>
      <c r="VLD1" s="24" t="s">
        <v>27851</v>
      </c>
      <c r="VLE1" s="24" t="s">
        <v>27852</v>
      </c>
      <c r="VLF1" s="24" t="s">
        <v>27853</v>
      </c>
      <c r="VLG1" s="24" t="s">
        <v>27854</v>
      </c>
      <c r="VLH1" s="24" t="s">
        <v>27855</v>
      </c>
      <c r="VLI1" s="24" t="s">
        <v>27856</v>
      </c>
      <c r="VLJ1" s="24" t="s">
        <v>27857</v>
      </c>
      <c r="VLK1" s="24" t="s">
        <v>27858</v>
      </c>
      <c r="VLL1" s="24" t="s">
        <v>27859</v>
      </c>
      <c r="VLM1" s="24" t="s">
        <v>27860</v>
      </c>
      <c r="VLN1" s="24" t="s">
        <v>27861</v>
      </c>
      <c r="VLO1" s="24" t="s">
        <v>27862</v>
      </c>
      <c r="VLP1" s="24" t="s">
        <v>27863</v>
      </c>
      <c r="VLQ1" s="24" t="s">
        <v>27864</v>
      </c>
      <c r="VLR1" s="24" t="s">
        <v>27865</v>
      </c>
      <c r="VLS1" s="24" t="s">
        <v>27866</v>
      </c>
      <c r="VLT1" s="24" t="s">
        <v>27867</v>
      </c>
      <c r="VLU1" s="24" t="s">
        <v>27868</v>
      </c>
      <c r="VLV1" s="24" t="s">
        <v>27869</v>
      </c>
      <c r="VLW1" s="24" t="s">
        <v>27870</v>
      </c>
      <c r="VLX1" s="24" t="s">
        <v>27871</v>
      </c>
      <c r="VLY1" s="24" t="s">
        <v>27872</v>
      </c>
      <c r="VLZ1" s="24" t="s">
        <v>27873</v>
      </c>
      <c r="VMA1" s="24" t="s">
        <v>27874</v>
      </c>
      <c r="VMB1" s="24" t="s">
        <v>27875</v>
      </c>
      <c r="VMC1" s="24" t="s">
        <v>27876</v>
      </c>
      <c r="VMD1" s="24" t="s">
        <v>27877</v>
      </c>
      <c r="VME1" s="24" t="s">
        <v>27878</v>
      </c>
      <c r="VMF1" s="24" t="s">
        <v>27879</v>
      </c>
      <c r="VMG1" s="24" t="s">
        <v>27880</v>
      </c>
      <c r="VMH1" s="24" t="s">
        <v>27881</v>
      </c>
      <c r="VMI1" s="24" t="s">
        <v>27882</v>
      </c>
      <c r="VMJ1" s="24" t="s">
        <v>27883</v>
      </c>
      <c r="VMK1" s="24" t="s">
        <v>27884</v>
      </c>
      <c r="VML1" s="24" t="s">
        <v>27885</v>
      </c>
      <c r="VMM1" s="24" t="s">
        <v>27886</v>
      </c>
      <c r="VMN1" s="24" t="s">
        <v>27887</v>
      </c>
      <c r="VMO1" s="24" t="s">
        <v>27888</v>
      </c>
      <c r="VMP1" s="24" t="s">
        <v>27889</v>
      </c>
      <c r="VMQ1" s="24" t="s">
        <v>27890</v>
      </c>
      <c r="VMR1" s="24" t="s">
        <v>27891</v>
      </c>
      <c r="VMS1" s="24" t="s">
        <v>27892</v>
      </c>
      <c r="VMT1" s="24" t="s">
        <v>27893</v>
      </c>
      <c r="VMU1" s="24" t="s">
        <v>27894</v>
      </c>
      <c r="VMV1" s="24" t="s">
        <v>27895</v>
      </c>
      <c r="VMW1" s="24" t="s">
        <v>27896</v>
      </c>
      <c r="VMX1" s="24" t="s">
        <v>27897</v>
      </c>
      <c r="VMY1" s="24" t="s">
        <v>27898</v>
      </c>
      <c r="VMZ1" s="24" t="s">
        <v>27899</v>
      </c>
      <c r="VNA1" s="24" t="s">
        <v>27900</v>
      </c>
      <c r="VNB1" s="24" t="s">
        <v>27901</v>
      </c>
      <c r="VNC1" s="24" t="s">
        <v>27902</v>
      </c>
      <c r="VND1" s="24" t="s">
        <v>27903</v>
      </c>
      <c r="VNE1" s="24" t="s">
        <v>27904</v>
      </c>
      <c r="VNF1" s="24" t="s">
        <v>27905</v>
      </c>
      <c r="VNG1" s="24" t="s">
        <v>27906</v>
      </c>
      <c r="VNH1" s="24" t="s">
        <v>27907</v>
      </c>
      <c r="VNI1" s="24" t="s">
        <v>27908</v>
      </c>
      <c r="VNJ1" s="24" t="s">
        <v>27909</v>
      </c>
      <c r="VNK1" s="24" t="s">
        <v>27910</v>
      </c>
      <c r="VNL1" s="24" t="s">
        <v>27911</v>
      </c>
      <c r="VNM1" s="24" t="s">
        <v>27912</v>
      </c>
      <c r="VNN1" s="24" t="s">
        <v>27913</v>
      </c>
      <c r="VNO1" s="24" t="s">
        <v>27914</v>
      </c>
      <c r="VNP1" s="24" t="s">
        <v>27915</v>
      </c>
      <c r="VNQ1" s="24" t="s">
        <v>27916</v>
      </c>
      <c r="VNR1" s="24" t="s">
        <v>27917</v>
      </c>
      <c r="VNS1" s="24" t="s">
        <v>27918</v>
      </c>
      <c r="VNT1" s="24" t="s">
        <v>27919</v>
      </c>
      <c r="VNU1" s="24" t="s">
        <v>27920</v>
      </c>
      <c r="VNV1" s="24" t="s">
        <v>27921</v>
      </c>
      <c r="VNW1" s="24" t="s">
        <v>27922</v>
      </c>
      <c r="VNX1" s="24" t="s">
        <v>27923</v>
      </c>
      <c r="VNY1" s="24" t="s">
        <v>27924</v>
      </c>
      <c r="VNZ1" s="24" t="s">
        <v>27925</v>
      </c>
      <c r="VOA1" s="24" t="s">
        <v>27926</v>
      </c>
      <c r="VOB1" s="24" t="s">
        <v>27927</v>
      </c>
      <c r="VOC1" s="24" t="s">
        <v>27928</v>
      </c>
      <c r="VOD1" s="24" t="s">
        <v>27929</v>
      </c>
      <c r="VOE1" s="24" t="s">
        <v>27930</v>
      </c>
      <c r="VOF1" s="24" t="s">
        <v>27931</v>
      </c>
      <c r="VOG1" s="24" t="s">
        <v>27932</v>
      </c>
      <c r="VOH1" s="24" t="s">
        <v>27933</v>
      </c>
      <c r="VOI1" s="24" t="s">
        <v>27934</v>
      </c>
      <c r="VOJ1" s="24" t="s">
        <v>27935</v>
      </c>
      <c r="VOK1" s="24" t="s">
        <v>27936</v>
      </c>
      <c r="VOL1" s="24" t="s">
        <v>27937</v>
      </c>
      <c r="VOM1" s="24" t="s">
        <v>27938</v>
      </c>
      <c r="VON1" s="24" t="s">
        <v>27939</v>
      </c>
      <c r="VOO1" s="24" t="s">
        <v>27940</v>
      </c>
      <c r="VOP1" s="24" t="s">
        <v>27941</v>
      </c>
      <c r="VOQ1" s="24" t="s">
        <v>27942</v>
      </c>
      <c r="VOR1" s="24" t="s">
        <v>27943</v>
      </c>
      <c r="VOS1" s="24" t="s">
        <v>27944</v>
      </c>
      <c r="VOT1" s="24" t="s">
        <v>27945</v>
      </c>
      <c r="VOU1" s="24" t="s">
        <v>27946</v>
      </c>
      <c r="VOV1" s="24" t="s">
        <v>27947</v>
      </c>
      <c r="VOW1" s="24" t="s">
        <v>27948</v>
      </c>
      <c r="VOX1" s="24" t="s">
        <v>27949</v>
      </c>
      <c r="VOY1" s="24" t="s">
        <v>27950</v>
      </c>
      <c r="VOZ1" s="24" t="s">
        <v>27951</v>
      </c>
      <c r="VPA1" s="24" t="s">
        <v>27952</v>
      </c>
      <c r="VPB1" s="24" t="s">
        <v>27953</v>
      </c>
      <c r="VPC1" s="24" t="s">
        <v>27954</v>
      </c>
      <c r="VPD1" s="24" t="s">
        <v>27955</v>
      </c>
      <c r="VPE1" s="24" t="s">
        <v>27956</v>
      </c>
      <c r="VPF1" s="24" t="s">
        <v>27957</v>
      </c>
      <c r="VPG1" s="24" t="s">
        <v>27958</v>
      </c>
      <c r="VPH1" s="24" t="s">
        <v>27959</v>
      </c>
      <c r="VPI1" s="24" t="s">
        <v>27960</v>
      </c>
      <c r="VPJ1" s="24" t="s">
        <v>27961</v>
      </c>
      <c r="VPK1" s="24" t="s">
        <v>27962</v>
      </c>
      <c r="VPL1" s="24" t="s">
        <v>27963</v>
      </c>
      <c r="VPM1" s="24" t="s">
        <v>27964</v>
      </c>
      <c r="VPN1" s="24" t="s">
        <v>27965</v>
      </c>
      <c r="VPO1" s="24" t="s">
        <v>27966</v>
      </c>
      <c r="VPP1" s="24" t="s">
        <v>27967</v>
      </c>
      <c r="VPQ1" s="24" t="s">
        <v>27968</v>
      </c>
      <c r="VPR1" s="24" t="s">
        <v>27969</v>
      </c>
      <c r="VPS1" s="24" t="s">
        <v>27970</v>
      </c>
      <c r="VPT1" s="24" t="s">
        <v>27971</v>
      </c>
      <c r="VPU1" s="24" t="s">
        <v>27972</v>
      </c>
      <c r="VPV1" s="24" t="s">
        <v>27973</v>
      </c>
      <c r="VPW1" s="24" t="s">
        <v>27974</v>
      </c>
      <c r="VPX1" s="24" t="s">
        <v>27975</v>
      </c>
      <c r="VPY1" s="24" t="s">
        <v>27976</v>
      </c>
      <c r="VPZ1" s="24" t="s">
        <v>27977</v>
      </c>
      <c r="VQA1" s="24" t="s">
        <v>27978</v>
      </c>
      <c r="VQB1" s="24" t="s">
        <v>27979</v>
      </c>
      <c r="VQC1" s="24" t="s">
        <v>27980</v>
      </c>
      <c r="VQD1" s="24" t="s">
        <v>27981</v>
      </c>
      <c r="VQE1" s="24" t="s">
        <v>27982</v>
      </c>
      <c r="VQF1" s="24" t="s">
        <v>27983</v>
      </c>
      <c r="VQG1" s="24" t="s">
        <v>27984</v>
      </c>
      <c r="VQH1" s="24" t="s">
        <v>27985</v>
      </c>
      <c r="VQI1" s="24" t="s">
        <v>27986</v>
      </c>
      <c r="VQJ1" s="24" t="s">
        <v>27987</v>
      </c>
      <c r="VQK1" s="24" t="s">
        <v>27988</v>
      </c>
      <c r="VQL1" s="24" t="s">
        <v>27989</v>
      </c>
      <c r="VQM1" s="24" t="s">
        <v>27990</v>
      </c>
      <c r="VQN1" s="24" t="s">
        <v>27991</v>
      </c>
      <c r="VQO1" s="24" t="s">
        <v>27992</v>
      </c>
      <c r="VQP1" s="24" t="s">
        <v>27993</v>
      </c>
      <c r="VQQ1" s="24" t="s">
        <v>27994</v>
      </c>
      <c r="VQR1" s="24" t="s">
        <v>27995</v>
      </c>
      <c r="VQS1" s="24" t="s">
        <v>27996</v>
      </c>
      <c r="VQT1" s="24" t="s">
        <v>27997</v>
      </c>
      <c r="VQU1" s="24" t="s">
        <v>27998</v>
      </c>
      <c r="VQV1" s="24" t="s">
        <v>27999</v>
      </c>
      <c r="VQW1" s="24" t="s">
        <v>28000</v>
      </c>
      <c r="VQX1" s="24" t="s">
        <v>28001</v>
      </c>
      <c r="VQY1" s="24" t="s">
        <v>28002</v>
      </c>
      <c r="VQZ1" s="24" t="s">
        <v>28003</v>
      </c>
      <c r="VRA1" s="24" t="s">
        <v>28004</v>
      </c>
      <c r="VRB1" s="24" t="s">
        <v>28005</v>
      </c>
      <c r="VRC1" s="24" t="s">
        <v>28006</v>
      </c>
      <c r="VRD1" s="24" t="s">
        <v>28007</v>
      </c>
      <c r="VRE1" s="24" t="s">
        <v>28008</v>
      </c>
      <c r="VRF1" s="24" t="s">
        <v>28009</v>
      </c>
      <c r="VRG1" s="24" t="s">
        <v>28010</v>
      </c>
      <c r="VRH1" s="24" t="s">
        <v>28011</v>
      </c>
      <c r="VRI1" s="24" t="s">
        <v>28012</v>
      </c>
      <c r="VRJ1" s="24" t="s">
        <v>28013</v>
      </c>
      <c r="VRK1" s="24" t="s">
        <v>28014</v>
      </c>
      <c r="VRL1" s="24" t="s">
        <v>28015</v>
      </c>
      <c r="VRM1" s="24" t="s">
        <v>28016</v>
      </c>
      <c r="VRN1" s="24" t="s">
        <v>28017</v>
      </c>
      <c r="VRO1" s="24" t="s">
        <v>28018</v>
      </c>
      <c r="VRP1" s="24" t="s">
        <v>28019</v>
      </c>
      <c r="VRQ1" s="24" t="s">
        <v>28020</v>
      </c>
      <c r="VRR1" s="24" t="s">
        <v>28021</v>
      </c>
      <c r="VRS1" s="24" t="s">
        <v>28022</v>
      </c>
      <c r="VRT1" s="24" t="s">
        <v>28023</v>
      </c>
      <c r="VRU1" s="24" t="s">
        <v>28024</v>
      </c>
      <c r="VRV1" s="24" t="s">
        <v>28025</v>
      </c>
      <c r="VRW1" s="24" t="s">
        <v>28026</v>
      </c>
      <c r="VRX1" s="24" t="s">
        <v>28027</v>
      </c>
      <c r="VRY1" s="24" t="s">
        <v>28028</v>
      </c>
      <c r="VRZ1" s="24" t="s">
        <v>28029</v>
      </c>
      <c r="VSA1" s="24" t="s">
        <v>28030</v>
      </c>
      <c r="VSB1" s="24" t="s">
        <v>28031</v>
      </c>
      <c r="VSC1" s="24" t="s">
        <v>28032</v>
      </c>
      <c r="VSD1" s="24" t="s">
        <v>28033</v>
      </c>
      <c r="VSE1" s="24" t="s">
        <v>28034</v>
      </c>
      <c r="VSF1" s="24" t="s">
        <v>28035</v>
      </c>
      <c r="VSG1" s="24" t="s">
        <v>28036</v>
      </c>
      <c r="VSH1" s="24" t="s">
        <v>28037</v>
      </c>
      <c r="VSI1" s="24" t="s">
        <v>28038</v>
      </c>
      <c r="VSJ1" s="24" t="s">
        <v>28039</v>
      </c>
      <c r="VSK1" s="24" t="s">
        <v>28040</v>
      </c>
      <c r="VSL1" s="24" t="s">
        <v>28041</v>
      </c>
      <c r="VSM1" s="24" t="s">
        <v>28042</v>
      </c>
      <c r="VSN1" s="24" t="s">
        <v>28043</v>
      </c>
      <c r="VSO1" s="24" t="s">
        <v>28044</v>
      </c>
      <c r="VSP1" s="24" t="s">
        <v>28045</v>
      </c>
      <c r="VSQ1" s="24" t="s">
        <v>28046</v>
      </c>
      <c r="VSR1" s="24" t="s">
        <v>28047</v>
      </c>
      <c r="VSS1" s="24" t="s">
        <v>28048</v>
      </c>
      <c r="VST1" s="24" t="s">
        <v>28049</v>
      </c>
      <c r="VSU1" s="24" t="s">
        <v>28050</v>
      </c>
      <c r="VSV1" s="24" t="s">
        <v>28051</v>
      </c>
      <c r="VSW1" s="24" t="s">
        <v>28052</v>
      </c>
      <c r="VSX1" s="24" t="s">
        <v>28053</v>
      </c>
      <c r="VSY1" s="24" t="s">
        <v>28054</v>
      </c>
      <c r="VSZ1" s="24" t="s">
        <v>28055</v>
      </c>
      <c r="VTA1" s="24" t="s">
        <v>28056</v>
      </c>
      <c r="VTB1" s="24" t="s">
        <v>28057</v>
      </c>
      <c r="VTC1" s="24" t="s">
        <v>28058</v>
      </c>
      <c r="VTD1" s="24" t="s">
        <v>28059</v>
      </c>
      <c r="VTE1" s="24" t="s">
        <v>28060</v>
      </c>
      <c r="VTF1" s="24" t="s">
        <v>28061</v>
      </c>
      <c r="VTG1" s="24" t="s">
        <v>28062</v>
      </c>
      <c r="VTH1" s="24" t="s">
        <v>28063</v>
      </c>
      <c r="VTI1" s="24" t="s">
        <v>28064</v>
      </c>
      <c r="VTJ1" s="24" t="s">
        <v>28065</v>
      </c>
      <c r="VTK1" s="24" t="s">
        <v>28066</v>
      </c>
      <c r="VTL1" s="24" t="s">
        <v>28067</v>
      </c>
      <c r="VTM1" s="24" t="s">
        <v>28068</v>
      </c>
      <c r="VTN1" s="24" t="s">
        <v>28069</v>
      </c>
      <c r="VTO1" s="24" t="s">
        <v>28070</v>
      </c>
      <c r="VTP1" s="24" t="s">
        <v>28071</v>
      </c>
      <c r="VTQ1" s="24" t="s">
        <v>28072</v>
      </c>
      <c r="VTR1" s="24" t="s">
        <v>28073</v>
      </c>
      <c r="VTS1" s="24" t="s">
        <v>28074</v>
      </c>
      <c r="VTT1" s="24" t="s">
        <v>28075</v>
      </c>
      <c r="VTU1" s="24" t="s">
        <v>28076</v>
      </c>
      <c r="VTV1" s="24" t="s">
        <v>28077</v>
      </c>
      <c r="VTW1" s="24" t="s">
        <v>28078</v>
      </c>
      <c r="VTX1" s="24" t="s">
        <v>28079</v>
      </c>
      <c r="VTY1" s="24" t="s">
        <v>28080</v>
      </c>
      <c r="VTZ1" s="24" t="s">
        <v>28081</v>
      </c>
      <c r="VUA1" s="24" t="s">
        <v>28082</v>
      </c>
      <c r="VUB1" s="24" t="s">
        <v>28083</v>
      </c>
      <c r="VUC1" s="24" t="s">
        <v>28084</v>
      </c>
      <c r="VUD1" s="24" t="s">
        <v>28085</v>
      </c>
      <c r="VUE1" s="24" t="s">
        <v>28086</v>
      </c>
      <c r="VUF1" s="24" t="s">
        <v>28087</v>
      </c>
      <c r="VUG1" s="24" t="s">
        <v>28088</v>
      </c>
      <c r="VUH1" s="24" t="s">
        <v>28089</v>
      </c>
      <c r="VUI1" s="24" t="s">
        <v>28090</v>
      </c>
      <c r="VUJ1" s="24" t="s">
        <v>28091</v>
      </c>
      <c r="VUK1" s="24" t="s">
        <v>28092</v>
      </c>
      <c r="VUL1" s="24" t="s">
        <v>28093</v>
      </c>
      <c r="VUM1" s="24" t="s">
        <v>28094</v>
      </c>
      <c r="VUN1" s="24" t="s">
        <v>28095</v>
      </c>
      <c r="VUO1" s="24" t="s">
        <v>28096</v>
      </c>
      <c r="VUP1" s="24" t="s">
        <v>28097</v>
      </c>
      <c r="VUQ1" s="24" t="s">
        <v>28098</v>
      </c>
      <c r="VUR1" s="24" t="s">
        <v>28099</v>
      </c>
      <c r="VUS1" s="24" t="s">
        <v>28100</v>
      </c>
      <c r="VUT1" s="24" t="s">
        <v>28101</v>
      </c>
      <c r="VUU1" s="24" t="s">
        <v>28102</v>
      </c>
      <c r="VUV1" s="24" t="s">
        <v>28103</v>
      </c>
      <c r="VUW1" s="24" t="s">
        <v>28104</v>
      </c>
      <c r="VUX1" s="24" t="s">
        <v>28105</v>
      </c>
      <c r="VUY1" s="24" t="s">
        <v>28106</v>
      </c>
      <c r="VUZ1" s="24" t="s">
        <v>28107</v>
      </c>
      <c r="VVA1" s="24" t="s">
        <v>28108</v>
      </c>
      <c r="VVB1" s="24" t="s">
        <v>28109</v>
      </c>
      <c r="VVC1" s="24" t="s">
        <v>28110</v>
      </c>
      <c r="VVD1" s="24" t="s">
        <v>28111</v>
      </c>
      <c r="VVE1" s="24" t="s">
        <v>28112</v>
      </c>
      <c r="VVF1" s="24" t="s">
        <v>28113</v>
      </c>
      <c r="VVG1" s="24" t="s">
        <v>28114</v>
      </c>
      <c r="VVH1" s="24" t="s">
        <v>28115</v>
      </c>
      <c r="VVI1" s="24" t="s">
        <v>28116</v>
      </c>
      <c r="VVJ1" s="24" t="s">
        <v>28117</v>
      </c>
      <c r="VVK1" s="24" t="s">
        <v>28118</v>
      </c>
      <c r="VVL1" s="24" t="s">
        <v>28119</v>
      </c>
      <c r="VVM1" s="24" t="s">
        <v>28120</v>
      </c>
      <c r="VVN1" s="24" t="s">
        <v>28121</v>
      </c>
      <c r="VVO1" s="24" t="s">
        <v>28122</v>
      </c>
      <c r="VVP1" s="24" t="s">
        <v>28123</v>
      </c>
      <c r="VVQ1" s="24" t="s">
        <v>28124</v>
      </c>
      <c r="VVR1" s="24" t="s">
        <v>28125</v>
      </c>
      <c r="VVS1" s="24" t="s">
        <v>28126</v>
      </c>
      <c r="VVT1" s="24" t="s">
        <v>28127</v>
      </c>
      <c r="VVU1" s="24" t="s">
        <v>28128</v>
      </c>
      <c r="VVV1" s="24" t="s">
        <v>28129</v>
      </c>
      <c r="VVW1" s="24" t="s">
        <v>28130</v>
      </c>
      <c r="VVX1" s="24" t="s">
        <v>28131</v>
      </c>
      <c r="VVY1" s="24" t="s">
        <v>28132</v>
      </c>
      <c r="VVZ1" s="24" t="s">
        <v>28133</v>
      </c>
      <c r="VWA1" s="24" t="s">
        <v>28134</v>
      </c>
      <c r="VWB1" s="24" t="s">
        <v>28135</v>
      </c>
      <c r="VWC1" s="24" t="s">
        <v>28136</v>
      </c>
      <c r="VWD1" s="24" t="s">
        <v>28137</v>
      </c>
      <c r="VWE1" s="24" t="s">
        <v>28138</v>
      </c>
      <c r="VWF1" s="24" t="s">
        <v>28139</v>
      </c>
      <c r="VWG1" s="24" t="s">
        <v>28140</v>
      </c>
      <c r="VWH1" s="24" t="s">
        <v>28141</v>
      </c>
      <c r="VWI1" s="24" t="s">
        <v>28142</v>
      </c>
      <c r="VWJ1" s="24" t="s">
        <v>28143</v>
      </c>
      <c r="VWK1" s="24" t="s">
        <v>28144</v>
      </c>
      <c r="VWL1" s="24" t="s">
        <v>28145</v>
      </c>
      <c r="VWM1" s="24" t="s">
        <v>28146</v>
      </c>
      <c r="VWN1" s="24" t="s">
        <v>28147</v>
      </c>
      <c r="VWO1" s="24" t="s">
        <v>28148</v>
      </c>
      <c r="VWP1" s="24" t="s">
        <v>28149</v>
      </c>
      <c r="VWQ1" s="24" t="s">
        <v>28150</v>
      </c>
      <c r="VWR1" s="24" t="s">
        <v>28151</v>
      </c>
      <c r="VWS1" s="24" t="s">
        <v>28152</v>
      </c>
      <c r="VWT1" s="24" t="s">
        <v>28153</v>
      </c>
      <c r="VWU1" s="24" t="s">
        <v>28154</v>
      </c>
      <c r="VWV1" s="24" t="s">
        <v>28155</v>
      </c>
      <c r="VWW1" s="24" t="s">
        <v>28156</v>
      </c>
      <c r="VWX1" s="24" t="s">
        <v>28157</v>
      </c>
      <c r="VWY1" s="24" t="s">
        <v>28158</v>
      </c>
      <c r="VWZ1" s="24" t="s">
        <v>28159</v>
      </c>
      <c r="VXA1" s="24" t="s">
        <v>28160</v>
      </c>
      <c r="VXB1" s="24" t="s">
        <v>28161</v>
      </c>
      <c r="VXC1" s="24" t="s">
        <v>28162</v>
      </c>
      <c r="VXD1" s="24" t="s">
        <v>28163</v>
      </c>
      <c r="VXE1" s="24" t="s">
        <v>28164</v>
      </c>
      <c r="VXF1" s="24" t="s">
        <v>28165</v>
      </c>
      <c r="VXG1" s="24" t="s">
        <v>28166</v>
      </c>
      <c r="VXH1" s="24" t="s">
        <v>28167</v>
      </c>
      <c r="VXI1" s="24" t="s">
        <v>28168</v>
      </c>
      <c r="VXJ1" s="24" t="s">
        <v>28169</v>
      </c>
      <c r="VXK1" s="24" t="s">
        <v>28170</v>
      </c>
      <c r="VXL1" s="24" t="s">
        <v>28171</v>
      </c>
      <c r="VXM1" s="24" t="s">
        <v>28172</v>
      </c>
      <c r="VXN1" s="24" t="s">
        <v>28173</v>
      </c>
      <c r="VXO1" s="24" t="s">
        <v>28174</v>
      </c>
      <c r="VXP1" s="24" t="s">
        <v>28175</v>
      </c>
      <c r="VXQ1" s="24" t="s">
        <v>28176</v>
      </c>
      <c r="VXR1" s="24" t="s">
        <v>28177</v>
      </c>
      <c r="VXS1" s="24" t="s">
        <v>28178</v>
      </c>
      <c r="VXT1" s="24" t="s">
        <v>28179</v>
      </c>
      <c r="VXU1" s="24" t="s">
        <v>28180</v>
      </c>
      <c r="VXV1" s="24" t="s">
        <v>28181</v>
      </c>
      <c r="VXW1" s="24" t="s">
        <v>28182</v>
      </c>
      <c r="VXX1" s="24" t="s">
        <v>28183</v>
      </c>
      <c r="VXY1" s="24" t="s">
        <v>28184</v>
      </c>
      <c r="VXZ1" s="24" t="s">
        <v>28185</v>
      </c>
      <c r="VYA1" s="24" t="s">
        <v>28186</v>
      </c>
      <c r="VYB1" s="24" t="s">
        <v>28187</v>
      </c>
      <c r="VYC1" s="24" t="s">
        <v>28188</v>
      </c>
      <c r="VYD1" s="24" t="s">
        <v>28189</v>
      </c>
      <c r="VYE1" s="24" t="s">
        <v>28190</v>
      </c>
      <c r="VYF1" s="24" t="s">
        <v>28191</v>
      </c>
      <c r="VYG1" s="24" t="s">
        <v>28192</v>
      </c>
      <c r="VYH1" s="24" t="s">
        <v>28193</v>
      </c>
      <c r="VYI1" s="24" t="s">
        <v>28194</v>
      </c>
      <c r="VYJ1" s="24" t="s">
        <v>28195</v>
      </c>
      <c r="VYK1" s="24" t="s">
        <v>28196</v>
      </c>
      <c r="VYL1" s="24" t="s">
        <v>28197</v>
      </c>
      <c r="VYM1" s="24" t="s">
        <v>28198</v>
      </c>
      <c r="VYN1" s="24" t="s">
        <v>28199</v>
      </c>
      <c r="VYO1" s="24" t="s">
        <v>28200</v>
      </c>
      <c r="VYP1" s="24" t="s">
        <v>28201</v>
      </c>
      <c r="VYQ1" s="24" t="s">
        <v>28202</v>
      </c>
      <c r="VYR1" s="24" t="s">
        <v>28203</v>
      </c>
      <c r="VYS1" s="24" t="s">
        <v>28204</v>
      </c>
      <c r="VYT1" s="24" t="s">
        <v>28205</v>
      </c>
      <c r="VYU1" s="24" t="s">
        <v>28206</v>
      </c>
      <c r="VYV1" s="24" t="s">
        <v>28207</v>
      </c>
      <c r="VYW1" s="24" t="s">
        <v>28208</v>
      </c>
      <c r="VYX1" s="24" t="s">
        <v>28209</v>
      </c>
      <c r="VYY1" s="24" t="s">
        <v>28210</v>
      </c>
      <c r="VYZ1" s="24" t="s">
        <v>28211</v>
      </c>
      <c r="VZA1" s="24" t="s">
        <v>28212</v>
      </c>
      <c r="VZB1" s="24" t="s">
        <v>28213</v>
      </c>
      <c r="VZC1" s="24" t="s">
        <v>28214</v>
      </c>
      <c r="VZD1" s="24" t="s">
        <v>28215</v>
      </c>
      <c r="VZE1" s="24" t="s">
        <v>28216</v>
      </c>
      <c r="VZF1" s="24" t="s">
        <v>28217</v>
      </c>
      <c r="VZG1" s="24" t="s">
        <v>28218</v>
      </c>
      <c r="VZH1" s="24" t="s">
        <v>28219</v>
      </c>
      <c r="VZI1" s="24" t="s">
        <v>28220</v>
      </c>
      <c r="VZJ1" s="24" t="s">
        <v>28221</v>
      </c>
      <c r="VZK1" s="24" t="s">
        <v>28222</v>
      </c>
      <c r="VZL1" s="24" t="s">
        <v>28223</v>
      </c>
      <c r="VZM1" s="24" t="s">
        <v>28224</v>
      </c>
      <c r="VZN1" s="24" t="s">
        <v>28225</v>
      </c>
      <c r="VZO1" s="24" t="s">
        <v>28226</v>
      </c>
      <c r="VZP1" s="24" t="s">
        <v>28227</v>
      </c>
      <c r="VZQ1" s="24" t="s">
        <v>28228</v>
      </c>
      <c r="VZR1" s="24" t="s">
        <v>28229</v>
      </c>
      <c r="VZS1" s="24" t="s">
        <v>28230</v>
      </c>
      <c r="VZT1" s="24" t="s">
        <v>28231</v>
      </c>
      <c r="VZU1" s="24" t="s">
        <v>28232</v>
      </c>
      <c r="VZV1" s="24" t="s">
        <v>28233</v>
      </c>
      <c r="VZW1" s="24" t="s">
        <v>28234</v>
      </c>
      <c r="VZX1" s="24" t="s">
        <v>28235</v>
      </c>
      <c r="VZY1" s="24" t="s">
        <v>28236</v>
      </c>
      <c r="VZZ1" s="24" t="s">
        <v>28237</v>
      </c>
      <c r="WAA1" s="24" t="s">
        <v>28238</v>
      </c>
      <c r="WAB1" s="24" t="s">
        <v>28239</v>
      </c>
      <c r="WAC1" s="24" t="s">
        <v>28240</v>
      </c>
      <c r="WAD1" s="24" t="s">
        <v>28241</v>
      </c>
      <c r="WAE1" s="24" t="s">
        <v>28242</v>
      </c>
      <c r="WAF1" s="24" t="s">
        <v>28243</v>
      </c>
      <c r="WAG1" s="24" t="s">
        <v>28244</v>
      </c>
      <c r="WAH1" s="24" t="s">
        <v>28245</v>
      </c>
      <c r="WAI1" s="24" t="s">
        <v>28246</v>
      </c>
      <c r="WAJ1" s="24" t="s">
        <v>28247</v>
      </c>
      <c r="WAK1" s="24" t="s">
        <v>28248</v>
      </c>
      <c r="WAL1" s="24" t="s">
        <v>28249</v>
      </c>
      <c r="WAM1" s="24" t="s">
        <v>28250</v>
      </c>
      <c r="WAN1" s="24" t="s">
        <v>28251</v>
      </c>
      <c r="WAO1" s="24" t="s">
        <v>28252</v>
      </c>
      <c r="WAP1" s="24" t="s">
        <v>28253</v>
      </c>
      <c r="WAQ1" s="24" t="s">
        <v>28254</v>
      </c>
      <c r="WAR1" s="24" t="s">
        <v>28255</v>
      </c>
      <c r="WAS1" s="24" t="s">
        <v>28256</v>
      </c>
      <c r="WAT1" s="24" t="s">
        <v>28257</v>
      </c>
      <c r="WAU1" s="24" t="s">
        <v>28258</v>
      </c>
      <c r="WAV1" s="24" t="s">
        <v>28259</v>
      </c>
      <c r="WAW1" s="24" t="s">
        <v>28260</v>
      </c>
      <c r="WAX1" s="24" t="s">
        <v>28261</v>
      </c>
      <c r="WAY1" s="24" t="s">
        <v>28262</v>
      </c>
      <c r="WAZ1" s="24" t="s">
        <v>28263</v>
      </c>
      <c r="WBA1" s="24" t="s">
        <v>28264</v>
      </c>
      <c r="WBB1" s="24" t="s">
        <v>28265</v>
      </c>
      <c r="WBC1" s="24" t="s">
        <v>28266</v>
      </c>
      <c r="WBD1" s="24" t="s">
        <v>28267</v>
      </c>
      <c r="WBE1" s="24" t="s">
        <v>28268</v>
      </c>
      <c r="WBF1" s="24" t="s">
        <v>28269</v>
      </c>
      <c r="WBG1" s="24" t="s">
        <v>28270</v>
      </c>
      <c r="WBH1" s="24" t="s">
        <v>28271</v>
      </c>
      <c r="WBI1" s="24" t="s">
        <v>28272</v>
      </c>
      <c r="WBJ1" s="24" t="s">
        <v>28273</v>
      </c>
      <c r="WBK1" s="24" t="s">
        <v>28274</v>
      </c>
      <c r="WBL1" s="24" t="s">
        <v>28275</v>
      </c>
      <c r="WBM1" s="24" t="s">
        <v>28276</v>
      </c>
      <c r="WBN1" s="24" t="s">
        <v>28277</v>
      </c>
      <c r="WBO1" s="24" t="s">
        <v>28278</v>
      </c>
      <c r="WBP1" s="24" t="s">
        <v>28279</v>
      </c>
      <c r="WBQ1" s="24" t="s">
        <v>28280</v>
      </c>
      <c r="WBR1" s="24" t="s">
        <v>28281</v>
      </c>
      <c r="WBS1" s="24" t="s">
        <v>28282</v>
      </c>
      <c r="WBT1" s="24" t="s">
        <v>28283</v>
      </c>
      <c r="WBU1" s="24" t="s">
        <v>28284</v>
      </c>
      <c r="WBV1" s="24" t="s">
        <v>28285</v>
      </c>
      <c r="WBW1" s="24" t="s">
        <v>28286</v>
      </c>
      <c r="WBX1" s="24" t="s">
        <v>28287</v>
      </c>
      <c r="WBY1" s="24" t="s">
        <v>28288</v>
      </c>
      <c r="WBZ1" s="24" t="s">
        <v>28289</v>
      </c>
      <c r="WCA1" s="24" t="s">
        <v>28290</v>
      </c>
      <c r="WCB1" s="24" t="s">
        <v>28291</v>
      </c>
      <c r="WCC1" s="24" t="s">
        <v>28292</v>
      </c>
      <c r="WCD1" s="24" t="s">
        <v>28293</v>
      </c>
      <c r="WCE1" s="24" t="s">
        <v>28294</v>
      </c>
      <c r="WCF1" s="24" t="s">
        <v>28295</v>
      </c>
      <c r="WCG1" s="24" t="s">
        <v>28296</v>
      </c>
      <c r="WCH1" s="24" t="s">
        <v>28297</v>
      </c>
      <c r="WCI1" s="24" t="s">
        <v>28298</v>
      </c>
      <c r="WCJ1" s="24" t="s">
        <v>28299</v>
      </c>
      <c r="WCK1" s="24" t="s">
        <v>28300</v>
      </c>
      <c r="WCL1" s="24" t="s">
        <v>28301</v>
      </c>
      <c r="WCM1" s="24" t="s">
        <v>28302</v>
      </c>
      <c r="WCN1" s="24" t="s">
        <v>28303</v>
      </c>
      <c r="WCO1" s="24" t="s">
        <v>28304</v>
      </c>
      <c r="WCP1" s="24" t="s">
        <v>28305</v>
      </c>
      <c r="WCQ1" s="24" t="s">
        <v>28306</v>
      </c>
      <c r="WCR1" s="24" t="s">
        <v>28307</v>
      </c>
      <c r="WCS1" s="24" t="s">
        <v>28308</v>
      </c>
      <c r="WCT1" s="24" t="s">
        <v>28309</v>
      </c>
      <c r="WCU1" s="24" t="s">
        <v>28310</v>
      </c>
      <c r="WCV1" s="24" t="s">
        <v>28311</v>
      </c>
      <c r="WCW1" s="24" t="s">
        <v>28312</v>
      </c>
      <c r="WCX1" s="24" t="s">
        <v>28313</v>
      </c>
      <c r="WCY1" s="24" t="s">
        <v>28314</v>
      </c>
      <c r="WCZ1" s="24" t="s">
        <v>28315</v>
      </c>
      <c r="WDA1" s="24" t="s">
        <v>28316</v>
      </c>
      <c r="WDB1" s="24" t="s">
        <v>28317</v>
      </c>
      <c r="WDC1" s="24" t="s">
        <v>28318</v>
      </c>
      <c r="WDD1" s="24" t="s">
        <v>28319</v>
      </c>
      <c r="WDE1" s="24" t="s">
        <v>28320</v>
      </c>
      <c r="WDF1" s="24" t="s">
        <v>28321</v>
      </c>
      <c r="WDG1" s="24" t="s">
        <v>28322</v>
      </c>
      <c r="WDH1" s="24" t="s">
        <v>28323</v>
      </c>
      <c r="WDI1" s="24" t="s">
        <v>28324</v>
      </c>
      <c r="WDJ1" s="24" t="s">
        <v>28325</v>
      </c>
      <c r="WDK1" s="24" t="s">
        <v>28326</v>
      </c>
      <c r="WDL1" s="24" t="s">
        <v>28327</v>
      </c>
      <c r="WDM1" s="24" t="s">
        <v>28328</v>
      </c>
      <c r="WDN1" s="24" t="s">
        <v>28329</v>
      </c>
      <c r="WDO1" s="24" t="s">
        <v>28330</v>
      </c>
      <c r="WDP1" s="24" t="s">
        <v>28331</v>
      </c>
      <c r="WDQ1" s="24" t="s">
        <v>28332</v>
      </c>
      <c r="WDR1" s="24" t="s">
        <v>28333</v>
      </c>
      <c r="WDS1" s="24" t="s">
        <v>28334</v>
      </c>
      <c r="WDT1" s="24" t="s">
        <v>28335</v>
      </c>
      <c r="WDU1" s="24" t="s">
        <v>28336</v>
      </c>
      <c r="WDV1" s="24" t="s">
        <v>28337</v>
      </c>
      <c r="WDW1" s="24" t="s">
        <v>28338</v>
      </c>
      <c r="WDX1" s="24" t="s">
        <v>28339</v>
      </c>
      <c r="WDY1" s="24" t="s">
        <v>28340</v>
      </c>
      <c r="WDZ1" s="24" t="s">
        <v>28341</v>
      </c>
      <c r="WEA1" s="24" t="s">
        <v>28342</v>
      </c>
      <c r="WEB1" s="24" t="s">
        <v>28343</v>
      </c>
      <c r="WEC1" s="24" t="s">
        <v>28344</v>
      </c>
      <c r="WED1" s="24" t="s">
        <v>28345</v>
      </c>
      <c r="WEE1" s="24" t="s">
        <v>28346</v>
      </c>
      <c r="WEF1" s="24" t="s">
        <v>28347</v>
      </c>
      <c r="WEG1" s="24" t="s">
        <v>28348</v>
      </c>
      <c r="WEH1" s="24" t="s">
        <v>28349</v>
      </c>
      <c r="WEI1" s="24" t="s">
        <v>28350</v>
      </c>
      <c r="WEJ1" s="24" t="s">
        <v>28351</v>
      </c>
      <c r="WEK1" s="24" t="s">
        <v>28352</v>
      </c>
      <c r="WEL1" s="24" t="s">
        <v>28353</v>
      </c>
      <c r="WEM1" s="24" t="s">
        <v>28354</v>
      </c>
      <c r="WEN1" s="24" t="s">
        <v>28355</v>
      </c>
      <c r="WEO1" s="24" t="s">
        <v>28356</v>
      </c>
      <c r="WEP1" s="24" t="s">
        <v>28357</v>
      </c>
      <c r="WEQ1" s="24" t="s">
        <v>28358</v>
      </c>
      <c r="WER1" s="24" t="s">
        <v>28359</v>
      </c>
      <c r="WES1" s="24" t="s">
        <v>28360</v>
      </c>
      <c r="WET1" s="24" t="s">
        <v>28361</v>
      </c>
      <c r="WEU1" s="24" t="s">
        <v>28362</v>
      </c>
      <c r="WEV1" s="24" t="s">
        <v>28363</v>
      </c>
      <c r="WEW1" s="24" t="s">
        <v>28364</v>
      </c>
      <c r="WEX1" s="24" t="s">
        <v>28365</v>
      </c>
      <c r="WEY1" s="24" t="s">
        <v>28366</v>
      </c>
      <c r="WEZ1" s="24" t="s">
        <v>28367</v>
      </c>
      <c r="WFA1" s="24" t="s">
        <v>28368</v>
      </c>
      <c r="WFB1" s="24" t="s">
        <v>28369</v>
      </c>
      <c r="WFC1" s="24" t="s">
        <v>28370</v>
      </c>
      <c r="WFD1" s="24" t="s">
        <v>28371</v>
      </c>
      <c r="WFE1" s="24" t="s">
        <v>28372</v>
      </c>
      <c r="WFF1" s="24" t="s">
        <v>28373</v>
      </c>
      <c r="WFG1" s="24" t="s">
        <v>28374</v>
      </c>
      <c r="WFH1" s="24" t="s">
        <v>28375</v>
      </c>
      <c r="WFI1" s="24" t="s">
        <v>28376</v>
      </c>
      <c r="WFJ1" s="24" t="s">
        <v>28377</v>
      </c>
      <c r="WFK1" s="24" t="s">
        <v>28378</v>
      </c>
      <c r="WFL1" s="24" t="s">
        <v>28379</v>
      </c>
      <c r="WFM1" s="24" t="s">
        <v>28380</v>
      </c>
      <c r="WFN1" s="24" t="s">
        <v>28381</v>
      </c>
      <c r="WFO1" s="24" t="s">
        <v>28382</v>
      </c>
      <c r="WFP1" s="24" t="s">
        <v>28383</v>
      </c>
      <c r="WFQ1" s="24" t="s">
        <v>28384</v>
      </c>
      <c r="WFR1" s="24" t="s">
        <v>28385</v>
      </c>
      <c r="WFS1" s="24" t="s">
        <v>28386</v>
      </c>
      <c r="WFT1" s="24" t="s">
        <v>28387</v>
      </c>
      <c r="WFU1" s="24" t="s">
        <v>28388</v>
      </c>
      <c r="WFV1" s="24" t="s">
        <v>28389</v>
      </c>
      <c r="WFW1" s="24" t="s">
        <v>28390</v>
      </c>
      <c r="WFX1" s="24" t="s">
        <v>28391</v>
      </c>
      <c r="WFY1" s="24" t="s">
        <v>28392</v>
      </c>
      <c r="WFZ1" s="24" t="s">
        <v>28393</v>
      </c>
      <c r="WGA1" s="24" t="s">
        <v>28394</v>
      </c>
      <c r="WGB1" s="24" t="s">
        <v>28395</v>
      </c>
      <c r="WGC1" s="24" t="s">
        <v>28396</v>
      </c>
      <c r="WGD1" s="24" t="s">
        <v>28397</v>
      </c>
      <c r="WGE1" s="24" t="s">
        <v>28398</v>
      </c>
      <c r="WGF1" s="24" t="s">
        <v>28399</v>
      </c>
      <c r="WGG1" s="24" t="s">
        <v>28400</v>
      </c>
      <c r="WGH1" s="24" t="s">
        <v>28401</v>
      </c>
      <c r="WGI1" s="24" t="s">
        <v>28402</v>
      </c>
      <c r="WGJ1" s="24" t="s">
        <v>28403</v>
      </c>
      <c r="WGK1" s="24" t="s">
        <v>28404</v>
      </c>
      <c r="WGL1" s="24" t="s">
        <v>28405</v>
      </c>
      <c r="WGM1" s="24" t="s">
        <v>28406</v>
      </c>
      <c r="WGN1" s="24" t="s">
        <v>28407</v>
      </c>
      <c r="WGO1" s="24" t="s">
        <v>28408</v>
      </c>
      <c r="WGP1" s="24" t="s">
        <v>28409</v>
      </c>
      <c r="WGQ1" s="24" t="s">
        <v>28410</v>
      </c>
      <c r="WGR1" s="24" t="s">
        <v>28411</v>
      </c>
      <c r="WGS1" s="24" t="s">
        <v>28412</v>
      </c>
      <c r="WGT1" s="24" t="s">
        <v>28413</v>
      </c>
      <c r="WGU1" s="24" t="s">
        <v>28414</v>
      </c>
      <c r="WGV1" s="24" t="s">
        <v>28415</v>
      </c>
      <c r="WGW1" s="24" t="s">
        <v>28416</v>
      </c>
      <c r="WGX1" s="24" t="s">
        <v>28417</v>
      </c>
      <c r="WGY1" s="24" t="s">
        <v>28418</v>
      </c>
      <c r="WGZ1" s="24" t="s">
        <v>28419</v>
      </c>
      <c r="WHA1" s="24" t="s">
        <v>28420</v>
      </c>
      <c r="WHB1" s="24" t="s">
        <v>28421</v>
      </c>
      <c r="WHC1" s="24" t="s">
        <v>28422</v>
      </c>
      <c r="WHD1" s="24" t="s">
        <v>28423</v>
      </c>
      <c r="WHE1" s="24" t="s">
        <v>28424</v>
      </c>
      <c r="WHF1" s="24" t="s">
        <v>28425</v>
      </c>
      <c r="WHG1" s="24" t="s">
        <v>28426</v>
      </c>
      <c r="WHH1" s="24" t="s">
        <v>28427</v>
      </c>
      <c r="WHI1" s="24" t="s">
        <v>28428</v>
      </c>
      <c r="WHJ1" s="24" t="s">
        <v>28429</v>
      </c>
      <c r="WHK1" s="24" t="s">
        <v>28430</v>
      </c>
      <c r="WHL1" s="24" t="s">
        <v>28431</v>
      </c>
      <c r="WHM1" s="24" t="s">
        <v>28432</v>
      </c>
      <c r="WHN1" s="24" t="s">
        <v>28433</v>
      </c>
      <c r="WHO1" s="24" t="s">
        <v>28434</v>
      </c>
      <c r="WHP1" s="24" t="s">
        <v>28435</v>
      </c>
      <c r="WHQ1" s="24" t="s">
        <v>28436</v>
      </c>
      <c r="WHR1" s="24" t="s">
        <v>28437</v>
      </c>
      <c r="WHS1" s="24" t="s">
        <v>28438</v>
      </c>
      <c r="WHT1" s="24" t="s">
        <v>28439</v>
      </c>
      <c r="WHU1" s="24" t="s">
        <v>28440</v>
      </c>
      <c r="WHV1" s="24" t="s">
        <v>28441</v>
      </c>
      <c r="WHW1" s="24" t="s">
        <v>28442</v>
      </c>
      <c r="WHX1" s="24" t="s">
        <v>28443</v>
      </c>
      <c r="WHY1" s="24" t="s">
        <v>28444</v>
      </c>
      <c r="WHZ1" s="24" t="s">
        <v>28445</v>
      </c>
      <c r="WIA1" s="24" t="s">
        <v>28446</v>
      </c>
      <c r="WIB1" s="24" t="s">
        <v>28447</v>
      </c>
      <c r="WIC1" s="24" t="s">
        <v>28448</v>
      </c>
      <c r="WID1" s="24" t="s">
        <v>28449</v>
      </c>
      <c r="WIE1" s="24" t="s">
        <v>28450</v>
      </c>
      <c r="WIF1" s="24" t="s">
        <v>28451</v>
      </c>
      <c r="WIG1" s="24" t="s">
        <v>28452</v>
      </c>
      <c r="WIH1" s="24" t="s">
        <v>28453</v>
      </c>
      <c r="WII1" s="24" t="s">
        <v>28454</v>
      </c>
      <c r="WIJ1" s="24" t="s">
        <v>28455</v>
      </c>
      <c r="WIK1" s="24" t="s">
        <v>28456</v>
      </c>
      <c r="WIL1" s="24" t="s">
        <v>28457</v>
      </c>
      <c r="WIM1" s="24" t="s">
        <v>28458</v>
      </c>
      <c r="WIN1" s="24" t="s">
        <v>28459</v>
      </c>
      <c r="WIO1" s="24" t="s">
        <v>28460</v>
      </c>
      <c r="WIP1" s="24" t="s">
        <v>28461</v>
      </c>
      <c r="WIQ1" s="24" t="s">
        <v>28462</v>
      </c>
      <c r="WIR1" s="24" t="s">
        <v>28463</v>
      </c>
      <c r="WIS1" s="24" t="s">
        <v>28464</v>
      </c>
      <c r="WIT1" s="24" t="s">
        <v>28465</v>
      </c>
      <c r="WIU1" s="24" t="s">
        <v>28466</v>
      </c>
      <c r="WIV1" s="24" t="s">
        <v>28467</v>
      </c>
      <c r="WIW1" s="24" t="s">
        <v>28468</v>
      </c>
      <c r="WIX1" s="24" t="s">
        <v>28469</v>
      </c>
      <c r="WIY1" s="24" t="s">
        <v>28470</v>
      </c>
      <c r="WIZ1" s="24" t="s">
        <v>28471</v>
      </c>
      <c r="WJA1" s="24" t="s">
        <v>28472</v>
      </c>
      <c r="WJB1" s="24" t="s">
        <v>28473</v>
      </c>
      <c r="WJC1" s="24" t="s">
        <v>28474</v>
      </c>
      <c r="WJD1" s="24" t="s">
        <v>28475</v>
      </c>
      <c r="WJE1" s="24" t="s">
        <v>28476</v>
      </c>
      <c r="WJF1" s="24" t="s">
        <v>28477</v>
      </c>
      <c r="WJG1" s="24" t="s">
        <v>28478</v>
      </c>
      <c r="WJH1" s="24" t="s">
        <v>28479</v>
      </c>
      <c r="WJI1" s="24" t="s">
        <v>28480</v>
      </c>
      <c r="WJJ1" s="24" t="s">
        <v>28481</v>
      </c>
      <c r="WJK1" s="24" t="s">
        <v>28482</v>
      </c>
      <c r="WJL1" s="24" t="s">
        <v>28483</v>
      </c>
      <c r="WJM1" s="24" t="s">
        <v>28484</v>
      </c>
      <c r="WJN1" s="24" t="s">
        <v>28485</v>
      </c>
      <c r="WJO1" s="24" t="s">
        <v>28486</v>
      </c>
      <c r="WJP1" s="24" t="s">
        <v>28487</v>
      </c>
      <c r="WJQ1" s="24" t="s">
        <v>28488</v>
      </c>
      <c r="WJR1" s="24" t="s">
        <v>28489</v>
      </c>
      <c r="WJS1" s="24" t="s">
        <v>28490</v>
      </c>
      <c r="WJT1" s="24" t="s">
        <v>28491</v>
      </c>
      <c r="WJU1" s="24" t="s">
        <v>28492</v>
      </c>
      <c r="WJV1" s="24" t="s">
        <v>28493</v>
      </c>
      <c r="WJW1" s="24" t="s">
        <v>28494</v>
      </c>
      <c r="WJX1" s="24" t="s">
        <v>28495</v>
      </c>
      <c r="WJY1" s="24" t="s">
        <v>28496</v>
      </c>
      <c r="WJZ1" s="24" t="s">
        <v>28497</v>
      </c>
      <c r="WKA1" s="24" t="s">
        <v>28498</v>
      </c>
      <c r="WKB1" s="24" t="s">
        <v>28499</v>
      </c>
      <c r="WKC1" s="24" t="s">
        <v>28500</v>
      </c>
      <c r="WKD1" s="24" t="s">
        <v>28501</v>
      </c>
      <c r="WKE1" s="24" t="s">
        <v>28502</v>
      </c>
      <c r="WKF1" s="24" t="s">
        <v>28503</v>
      </c>
      <c r="WKG1" s="24" t="s">
        <v>28504</v>
      </c>
      <c r="WKH1" s="24" t="s">
        <v>28505</v>
      </c>
      <c r="WKI1" s="24" t="s">
        <v>28506</v>
      </c>
      <c r="WKJ1" s="24" t="s">
        <v>28507</v>
      </c>
      <c r="WKK1" s="24" t="s">
        <v>28508</v>
      </c>
      <c r="WKL1" s="24" t="s">
        <v>28509</v>
      </c>
      <c r="WKM1" s="24" t="s">
        <v>28510</v>
      </c>
      <c r="WKN1" s="24" t="s">
        <v>28511</v>
      </c>
      <c r="WKO1" s="24" t="s">
        <v>28512</v>
      </c>
      <c r="WKP1" s="24" t="s">
        <v>28513</v>
      </c>
      <c r="WKQ1" s="24" t="s">
        <v>28514</v>
      </c>
      <c r="WKR1" s="24" t="s">
        <v>28515</v>
      </c>
      <c r="WKS1" s="24" t="s">
        <v>28516</v>
      </c>
      <c r="WKT1" s="24" t="s">
        <v>28517</v>
      </c>
      <c r="WKU1" s="24" t="s">
        <v>28518</v>
      </c>
      <c r="WKV1" s="24" t="s">
        <v>28519</v>
      </c>
      <c r="WKW1" s="24" t="s">
        <v>28520</v>
      </c>
      <c r="WKX1" s="24" t="s">
        <v>28521</v>
      </c>
      <c r="WKY1" s="24" t="s">
        <v>28522</v>
      </c>
      <c r="WKZ1" s="24" t="s">
        <v>28523</v>
      </c>
      <c r="WLA1" s="24" t="s">
        <v>28524</v>
      </c>
      <c r="WLB1" s="24" t="s">
        <v>28525</v>
      </c>
      <c r="WLC1" s="24" t="s">
        <v>28526</v>
      </c>
      <c r="WLD1" s="24" t="s">
        <v>28527</v>
      </c>
      <c r="WLE1" s="24" t="s">
        <v>28528</v>
      </c>
      <c r="WLF1" s="24" t="s">
        <v>28529</v>
      </c>
      <c r="WLG1" s="24" t="s">
        <v>28530</v>
      </c>
      <c r="WLH1" s="24" t="s">
        <v>28531</v>
      </c>
      <c r="WLI1" s="24" t="s">
        <v>28532</v>
      </c>
      <c r="WLJ1" s="24" t="s">
        <v>28533</v>
      </c>
      <c r="WLK1" s="24" t="s">
        <v>28534</v>
      </c>
      <c r="WLL1" s="24" t="s">
        <v>28535</v>
      </c>
      <c r="WLM1" s="24" t="s">
        <v>28536</v>
      </c>
      <c r="WLN1" s="24" t="s">
        <v>28537</v>
      </c>
      <c r="WLO1" s="24" t="s">
        <v>28538</v>
      </c>
      <c r="WLP1" s="24" t="s">
        <v>28539</v>
      </c>
      <c r="WLQ1" s="24" t="s">
        <v>28540</v>
      </c>
      <c r="WLR1" s="24" t="s">
        <v>28541</v>
      </c>
      <c r="WLS1" s="24" t="s">
        <v>28542</v>
      </c>
      <c r="WLT1" s="24" t="s">
        <v>28543</v>
      </c>
      <c r="WLU1" s="24" t="s">
        <v>28544</v>
      </c>
      <c r="WLV1" s="24" t="s">
        <v>28545</v>
      </c>
      <c r="WLW1" s="24" t="s">
        <v>28546</v>
      </c>
      <c r="WLX1" s="24" t="s">
        <v>28547</v>
      </c>
      <c r="WLY1" s="24" t="s">
        <v>28548</v>
      </c>
      <c r="WLZ1" s="24" t="s">
        <v>28549</v>
      </c>
      <c r="WMA1" s="24" t="s">
        <v>28550</v>
      </c>
      <c r="WMB1" s="24" t="s">
        <v>28551</v>
      </c>
      <c r="WMC1" s="24" t="s">
        <v>28552</v>
      </c>
      <c r="WMD1" s="24" t="s">
        <v>28553</v>
      </c>
      <c r="WME1" s="24" t="s">
        <v>28554</v>
      </c>
      <c r="WMF1" s="24" t="s">
        <v>28555</v>
      </c>
      <c r="WMG1" s="24" t="s">
        <v>28556</v>
      </c>
      <c r="WMH1" s="24" t="s">
        <v>28557</v>
      </c>
      <c r="WMI1" s="24" t="s">
        <v>28558</v>
      </c>
      <c r="WMJ1" s="24" t="s">
        <v>28559</v>
      </c>
      <c r="WMK1" s="24" t="s">
        <v>28560</v>
      </c>
      <c r="WML1" s="24" t="s">
        <v>28561</v>
      </c>
      <c r="WMM1" s="24" t="s">
        <v>28562</v>
      </c>
      <c r="WMN1" s="24" t="s">
        <v>28563</v>
      </c>
      <c r="WMO1" s="24" t="s">
        <v>28564</v>
      </c>
      <c r="WMP1" s="24" t="s">
        <v>28565</v>
      </c>
      <c r="WMQ1" s="24" t="s">
        <v>28566</v>
      </c>
      <c r="WMR1" s="24" t="s">
        <v>28567</v>
      </c>
      <c r="WMS1" s="24" t="s">
        <v>28568</v>
      </c>
      <c r="WMT1" s="24" t="s">
        <v>28569</v>
      </c>
      <c r="WMU1" s="24" t="s">
        <v>28570</v>
      </c>
      <c r="WMV1" s="24" t="s">
        <v>28571</v>
      </c>
      <c r="WMW1" s="24" t="s">
        <v>28572</v>
      </c>
      <c r="WMX1" s="24" t="s">
        <v>28573</v>
      </c>
      <c r="WMY1" s="24" t="s">
        <v>28574</v>
      </c>
      <c r="WMZ1" s="24" t="s">
        <v>28575</v>
      </c>
      <c r="WNA1" s="24" t="s">
        <v>28576</v>
      </c>
      <c r="WNB1" s="24" t="s">
        <v>28577</v>
      </c>
      <c r="WNC1" s="24" t="s">
        <v>28578</v>
      </c>
      <c r="WND1" s="24" t="s">
        <v>28579</v>
      </c>
      <c r="WNE1" s="24" t="s">
        <v>28580</v>
      </c>
      <c r="WNF1" s="24" t="s">
        <v>28581</v>
      </c>
      <c r="WNG1" s="24" t="s">
        <v>28582</v>
      </c>
      <c r="WNH1" s="24" t="s">
        <v>28583</v>
      </c>
      <c r="WNI1" s="24" t="s">
        <v>28584</v>
      </c>
      <c r="WNJ1" s="24" t="s">
        <v>28585</v>
      </c>
      <c r="WNK1" s="24" t="s">
        <v>28586</v>
      </c>
      <c r="WNL1" s="24" t="s">
        <v>28587</v>
      </c>
      <c r="WNM1" s="24" t="s">
        <v>28588</v>
      </c>
      <c r="WNN1" s="24" t="s">
        <v>28589</v>
      </c>
      <c r="WNO1" s="24" t="s">
        <v>28590</v>
      </c>
      <c r="WNP1" s="24" t="s">
        <v>28591</v>
      </c>
      <c r="WNQ1" s="24" t="s">
        <v>28592</v>
      </c>
      <c r="WNR1" s="24" t="s">
        <v>28593</v>
      </c>
      <c r="WNS1" s="24" t="s">
        <v>28594</v>
      </c>
      <c r="WNT1" s="24" t="s">
        <v>28595</v>
      </c>
      <c r="WNU1" s="24" t="s">
        <v>28596</v>
      </c>
      <c r="WNV1" s="24" t="s">
        <v>28597</v>
      </c>
      <c r="WNW1" s="24" t="s">
        <v>28598</v>
      </c>
      <c r="WNX1" s="24" t="s">
        <v>28599</v>
      </c>
      <c r="WNY1" s="24" t="s">
        <v>28600</v>
      </c>
      <c r="WNZ1" s="24" t="s">
        <v>28601</v>
      </c>
      <c r="WOA1" s="24" t="s">
        <v>28602</v>
      </c>
      <c r="WOB1" s="24" t="s">
        <v>28603</v>
      </c>
      <c r="WOC1" s="24" t="s">
        <v>28604</v>
      </c>
      <c r="WOD1" s="24" t="s">
        <v>28605</v>
      </c>
      <c r="WOE1" s="24" t="s">
        <v>28606</v>
      </c>
      <c r="WOF1" s="24" t="s">
        <v>28607</v>
      </c>
      <c r="WOG1" s="24" t="s">
        <v>28608</v>
      </c>
      <c r="WOH1" s="24" t="s">
        <v>28609</v>
      </c>
      <c r="WOI1" s="24" t="s">
        <v>28610</v>
      </c>
      <c r="WOJ1" s="24" t="s">
        <v>28611</v>
      </c>
      <c r="WOK1" s="24" t="s">
        <v>28612</v>
      </c>
      <c r="WOL1" s="24" t="s">
        <v>28613</v>
      </c>
      <c r="WOM1" s="24" t="s">
        <v>28614</v>
      </c>
      <c r="WON1" s="24" t="s">
        <v>28615</v>
      </c>
      <c r="WOO1" s="24" t="s">
        <v>28616</v>
      </c>
      <c r="WOP1" s="24" t="s">
        <v>28617</v>
      </c>
      <c r="WOQ1" s="24" t="s">
        <v>28618</v>
      </c>
      <c r="WOR1" s="24" t="s">
        <v>28619</v>
      </c>
      <c r="WOS1" s="24" t="s">
        <v>28620</v>
      </c>
      <c r="WOT1" s="24" t="s">
        <v>28621</v>
      </c>
      <c r="WOU1" s="24" t="s">
        <v>28622</v>
      </c>
      <c r="WOV1" s="24" t="s">
        <v>28623</v>
      </c>
      <c r="WOW1" s="24" t="s">
        <v>28624</v>
      </c>
      <c r="WOX1" s="24" t="s">
        <v>28625</v>
      </c>
      <c r="WOY1" s="24" t="s">
        <v>28626</v>
      </c>
      <c r="WOZ1" s="24" t="s">
        <v>28627</v>
      </c>
      <c r="WPA1" s="24" t="s">
        <v>28628</v>
      </c>
      <c r="WPB1" s="24" t="s">
        <v>28629</v>
      </c>
      <c r="WPC1" s="24" t="s">
        <v>28630</v>
      </c>
      <c r="WPD1" s="24" t="s">
        <v>28631</v>
      </c>
      <c r="WPE1" s="24" t="s">
        <v>28632</v>
      </c>
      <c r="WPF1" s="24" t="s">
        <v>28633</v>
      </c>
      <c r="WPG1" s="24" t="s">
        <v>28634</v>
      </c>
      <c r="WPH1" s="24" t="s">
        <v>28635</v>
      </c>
      <c r="WPI1" s="24" t="s">
        <v>28636</v>
      </c>
      <c r="WPJ1" s="24" t="s">
        <v>28637</v>
      </c>
      <c r="WPK1" s="24" t="s">
        <v>28638</v>
      </c>
      <c r="WPL1" s="24" t="s">
        <v>28639</v>
      </c>
      <c r="WPM1" s="24" t="s">
        <v>28640</v>
      </c>
      <c r="WPN1" s="24" t="s">
        <v>28641</v>
      </c>
      <c r="WPO1" s="24" t="s">
        <v>28642</v>
      </c>
      <c r="WPP1" s="24" t="s">
        <v>28643</v>
      </c>
      <c r="WPQ1" s="24" t="s">
        <v>28644</v>
      </c>
      <c r="WPR1" s="24" t="s">
        <v>28645</v>
      </c>
      <c r="WPS1" s="24" t="s">
        <v>28646</v>
      </c>
      <c r="WPT1" s="24" t="s">
        <v>28647</v>
      </c>
      <c r="WPU1" s="24" t="s">
        <v>28648</v>
      </c>
      <c r="WPV1" s="24" t="s">
        <v>28649</v>
      </c>
      <c r="WPW1" s="24" t="s">
        <v>28650</v>
      </c>
      <c r="WPX1" s="24" t="s">
        <v>28651</v>
      </c>
      <c r="WPY1" s="24" t="s">
        <v>28652</v>
      </c>
      <c r="WPZ1" s="24" t="s">
        <v>28653</v>
      </c>
      <c r="WQA1" s="24" t="s">
        <v>28654</v>
      </c>
      <c r="WQB1" s="24" t="s">
        <v>28655</v>
      </c>
      <c r="WQC1" s="24" t="s">
        <v>28656</v>
      </c>
      <c r="WQD1" s="24" t="s">
        <v>28657</v>
      </c>
      <c r="WQE1" s="24" t="s">
        <v>28658</v>
      </c>
      <c r="WQF1" s="24" t="s">
        <v>28659</v>
      </c>
      <c r="WQG1" s="24" t="s">
        <v>28660</v>
      </c>
      <c r="WQH1" s="24" t="s">
        <v>28661</v>
      </c>
      <c r="WQI1" s="24" t="s">
        <v>28662</v>
      </c>
      <c r="WQJ1" s="24" t="s">
        <v>28663</v>
      </c>
      <c r="WQK1" s="24" t="s">
        <v>28664</v>
      </c>
      <c r="WQL1" s="24" t="s">
        <v>28665</v>
      </c>
      <c r="WQM1" s="24" t="s">
        <v>28666</v>
      </c>
      <c r="WQN1" s="24" t="s">
        <v>28667</v>
      </c>
      <c r="WQO1" s="24" t="s">
        <v>28668</v>
      </c>
      <c r="WQP1" s="24" t="s">
        <v>28669</v>
      </c>
      <c r="WQQ1" s="24" t="s">
        <v>28670</v>
      </c>
      <c r="WQR1" s="24" t="s">
        <v>28671</v>
      </c>
      <c r="WQS1" s="24" t="s">
        <v>28672</v>
      </c>
      <c r="WQT1" s="24" t="s">
        <v>28673</v>
      </c>
      <c r="WQU1" s="24" t="s">
        <v>28674</v>
      </c>
      <c r="WQV1" s="24" t="s">
        <v>28675</v>
      </c>
      <c r="WQW1" s="24" t="s">
        <v>28676</v>
      </c>
      <c r="WQX1" s="24" t="s">
        <v>28677</v>
      </c>
      <c r="WQY1" s="24" t="s">
        <v>28678</v>
      </c>
      <c r="WQZ1" s="24" t="s">
        <v>28679</v>
      </c>
      <c r="WRA1" s="24" t="s">
        <v>28680</v>
      </c>
      <c r="WRB1" s="24" t="s">
        <v>28681</v>
      </c>
      <c r="WRC1" s="24" t="s">
        <v>28682</v>
      </c>
      <c r="WRD1" s="24" t="s">
        <v>28683</v>
      </c>
      <c r="WRE1" s="24" t="s">
        <v>28684</v>
      </c>
      <c r="WRF1" s="24" t="s">
        <v>28685</v>
      </c>
      <c r="WRG1" s="24" t="s">
        <v>28686</v>
      </c>
      <c r="WRH1" s="24" t="s">
        <v>28687</v>
      </c>
      <c r="WRI1" s="24" t="s">
        <v>28688</v>
      </c>
      <c r="WRJ1" s="24" t="s">
        <v>28689</v>
      </c>
      <c r="WRK1" s="24" t="s">
        <v>28690</v>
      </c>
      <c r="WRL1" s="24" t="s">
        <v>28691</v>
      </c>
      <c r="WRM1" s="24" t="s">
        <v>28692</v>
      </c>
      <c r="WRN1" s="24" t="s">
        <v>28693</v>
      </c>
      <c r="WRO1" s="24" t="s">
        <v>28694</v>
      </c>
      <c r="WRP1" s="24" t="s">
        <v>28695</v>
      </c>
      <c r="WRQ1" s="24" t="s">
        <v>28696</v>
      </c>
      <c r="WRR1" s="24" t="s">
        <v>28697</v>
      </c>
      <c r="WRS1" s="24" t="s">
        <v>28698</v>
      </c>
      <c r="WRT1" s="24" t="s">
        <v>28699</v>
      </c>
      <c r="WRU1" s="24" t="s">
        <v>28700</v>
      </c>
      <c r="WRV1" s="24" t="s">
        <v>28701</v>
      </c>
      <c r="WRW1" s="24" t="s">
        <v>28702</v>
      </c>
      <c r="WRX1" s="24" t="s">
        <v>28703</v>
      </c>
      <c r="WRY1" s="24" t="s">
        <v>28704</v>
      </c>
      <c r="WRZ1" s="24" t="s">
        <v>28705</v>
      </c>
      <c r="WSA1" s="24" t="s">
        <v>28706</v>
      </c>
      <c r="WSB1" s="24" t="s">
        <v>28707</v>
      </c>
      <c r="WSC1" s="24" t="s">
        <v>28708</v>
      </c>
      <c r="WSD1" s="24" t="s">
        <v>28709</v>
      </c>
      <c r="WSE1" s="24" t="s">
        <v>28710</v>
      </c>
      <c r="WSF1" s="24" t="s">
        <v>28711</v>
      </c>
      <c r="WSG1" s="24" t="s">
        <v>28712</v>
      </c>
      <c r="WSH1" s="24" t="s">
        <v>28713</v>
      </c>
      <c r="WSI1" s="24" t="s">
        <v>28714</v>
      </c>
      <c r="WSJ1" s="24" t="s">
        <v>28715</v>
      </c>
      <c r="WSK1" s="24" t="s">
        <v>28716</v>
      </c>
      <c r="WSL1" s="24" t="s">
        <v>28717</v>
      </c>
      <c r="WSM1" s="24" t="s">
        <v>28718</v>
      </c>
      <c r="WSN1" s="24" t="s">
        <v>28719</v>
      </c>
      <c r="WSO1" s="24" t="s">
        <v>28720</v>
      </c>
      <c r="WSP1" s="24" t="s">
        <v>28721</v>
      </c>
      <c r="WSQ1" s="24" t="s">
        <v>28722</v>
      </c>
      <c r="WSR1" s="24" t="s">
        <v>28723</v>
      </c>
      <c r="WSS1" s="24" t="s">
        <v>28724</v>
      </c>
      <c r="WST1" s="24" t="s">
        <v>28725</v>
      </c>
      <c r="WSU1" s="24" t="s">
        <v>28726</v>
      </c>
      <c r="WSV1" s="24" t="s">
        <v>28727</v>
      </c>
      <c r="WSW1" s="24" t="s">
        <v>28728</v>
      </c>
      <c r="WSX1" s="24" t="s">
        <v>28729</v>
      </c>
      <c r="WSY1" s="24" t="s">
        <v>28730</v>
      </c>
      <c r="WSZ1" s="24" t="s">
        <v>28731</v>
      </c>
      <c r="WTA1" s="24" t="s">
        <v>28732</v>
      </c>
      <c r="WTB1" s="24" t="s">
        <v>28733</v>
      </c>
      <c r="WTC1" s="24" t="s">
        <v>28734</v>
      </c>
      <c r="WTD1" s="24" t="s">
        <v>28735</v>
      </c>
      <c r="WTE1" s="24" t="s">
        <v>28736</v>
      </c>
      <c r="WTF1" s="24" t="s">
        <v>28737</v>
      </c>
      <c r="WTG1" s="24" t="s">
        <v>28738</v>
      </c>
      <c r="WTH1" s="24" t="s">
        <v>28739</v>
      </c>
      <c r="WTI1" s="24" t="s">
        <v>28740</v>
      </c>
      <c r="WTJ1" s="24" t="s">
        <v>28741</v>
      </c>
      <c r="WTK1" s="24" t="s">
        <v>28742</v>
      </c>
      <c r="WTL1" s="24" t="s">
        <v>28743</v>
      </c>
      <c r="WTM1" s="24" t="s">
        <v>28744</v>
      </c>
      <c r="WTN1" s="24" t="s">
        <v>28745</v>
      </c>
      <c r="WTO1" s="24" t="s">
        <v>28746</v>
      </c>
      <c r="WTP1" s="24" t="s">
        <v>28747</v>
      </c>
      <c r="WTQ1" s="24" t="s">
        <v>28748</v>
      </c>
      <c r="WTR1" s="24" t="s">
        <v>28749</v>
      </c>
      <c r="WTS1" s="24" t="s">
        <v>28750</v>
      </c>
      <c r="WTT1" s="24" t="s">
        <v>28751</v>
      </c>
      <c r="WTU1" s="24" t="s">
        <v>28752</v>
      </c>
      <c r="WTV1" s="24" t="s">
        <v>28753</v>
      </c>
      <c r="WTW1" s="24" t="s">
        <v>28754</v>
      </c>
      <c r="WTX1" s="24" t="s">
        <v>28755</v>
      </c>
      <c r="WTY1" s="24" t="s">
        <v>28756</v>
      </c>
      <c r="WTZ1" s="24" t="s">
        <v>28757</v>
      </c>
      <c r="WUA1" s="24" t="s">
        <v>28758</v>
      </c>
      <c r="WUB1" s="24" t="s">
        <v>28759</v>
      </c>
      <c r="WUC1" s="24" t="s">
        <v>28760</v>
      </c>
      <c r="WUD1" s="24" t="s">
        <v>28761</v>
      </c>
      <c r="WUE1" s="24" t="s">
        <v>28762</v>
      </c>
      <c r="WUF1" s="24" t="s">
        <v>28763</v>
      </c>
      <c r="WUG1" s="24" t="s">
        <v>28764</v>
      </c>
      <c r="WUH1" s="24" t="s">
        <v>28765</v>
      </c>
      <c r="WUI1" s="24" t="s">
        <v>28766</v>
      </c>
      <c r="WUJ1" s="24" t="s">
        <v>28767</v>
      </c>
      <c r="WUK1" s="24" t="s">
        <v>28768</v>
      </c>
      <c r="WUL1" s="24" t="s">
        <v>28769</v>
      </c>
      <c r="WUM1" s="24" t="s">
        <v>28770</v>
      </c>
      <c r="WUN1" s="24" t="s">
        <v>28771</v>
      </c>
      <c r="WUO1" s="24" t="s">
        <v>28772</v>
      </c>
      <c r="WUP1" s="24" t="s">
        <v>28773</v>
      </c>
      <c r="WUQ1" s="24" t="s">
        <v>28774</v>
      </c>
      <c r="WUR1" s="24" t="s">
        <v>28775</v>
      </c>
      <c r="WUS1" s="24" t="s">
        <v>28776</v>
      </c>
      <c r="WUT1" s="24" t="s">
        <v>28777</v>
      </c>
      <c r="WUU1" s="24" t="s">
        <v>28778</v>
      </c>
      <c r="WUV1" s="24" t="s">
        <v>28779</v>
      </c>
      <c r="WUW1" s="24" t="s">
        <v>28780</v>
      </c>
      <c r="WUX1" s="24" t="s">
        <v>28781</v>
      </c>
      <c r="WUY1" s="24" t="s">
        <v>28782</v>
      </c>
      <c r="WUZ1" s="24" t="s">
        <v>28783</v>
      </c>
      <c r="WVA1" s="24" t="s">
        <v>28784</v>
      </c>
      <c r="WVB1" s="24" t="s">
        <v>28785</v>
      </c>
      <c r="WVC1" s="24" t="s">
        <v>28786</v>
      </c>
      <c r="WVD1" s="24" t="s">
        <v>28787</v>
      </c>
      <c r="WVE1" s="24" t="s">
        <v>28788</v>
      </c>
      <c r="WVF1" s="24" t="s">
        <v>28789</v>
      </c>
      <c r="WVG1" s="24" t="s">
        <v>28790</v>
      </c>
      <c r="WVH1" s="24" t="s">
        <v>28791</v>
      </c>
      <c r="WVI1" s="24" t="s">
        <v>28792</v>
      </c>
      <c r="WVJ1" s="24" t="s">
        <v>28793</v>
      </c>
      <c r="WVK1" s="24" t="s">
        <v>28794</v>
      </c>
      <c r="WVL1" s="24" t="s">
        <v>28795</v>
      </c>
      <c r="WVM1" s="24" t="s">
        <v>28796</v>
      </c>
      <c r="WVN1" s="24" t="s">
        <v>28797</v>
      </c>
      <c r="WVO1" s="24" t="s">
        <v>28798</v>
      </c>
      <c r="WVP1" s="24" t="s">
        <v>28799</v>
      </c>
      <c r="WVQ1" s="24" t="s">
        <v>28800</v>
      </c>
      <c r="WVR1" s="24" t="s">
        <v>28801</v>
      </c>
      <c r="WVS1" s="24" t="s">
        <v>28802</v>
      </c>
      <c r="WVT1" s="24" t="s">
        <v>28803</v>
      </c>
      <c r="WVU1" s="24" t="s">
        <v>28804</v>
      </c>
      <c r="WVV1" s="24" t="s">
        <v>28805</v>
      </c>
      <c r="WVW1" s="24" t="s">
        <v>28806</v>
      </c>
      <c r="WVX1" s="24" t="s">
        <v>28807</v>
      </c>
      <c r="WVY1" s="24" t="s">
        <v>28808</v>
      </c>
      <c r="WVZ1" s="24" t="s">
        <v>28809</v>
      </c>
      <c r="WWA1" s="24" t="s">
        <v>28810</v>
      </c>
      <c r="WWB1" s="24" t="s">
        <v>28811</v>
      </c>
      <c r="WWC1" s="24" t="s">
        <v>28812</v>
      </c>
      <c r="WWD1" s="24" t="s">
        <v>28813</v>
      </c>
      <c r="WWE1" s="24" t="s">
        <v>28814</v>
      </c>
      <c r="WWF1" s="24" t="s">
        <v>28815</v>
      </c>
      <c r="WWG1" s="24" t="s">
        <v>28816</v>
      </c>
      <c r="WWH1" s="24" t="s">
        <v>28817</v>
      </c>
      <c r="WWI1" s="24" t="s">
        <v>28818</v>
      </c>
      <c r="WWJ1" s="24" t="s">
        <v>28819</v>
      </c>
      <c r="WWK1" s="24" t="s">
        <v>28820</v>
      </c>
      <c r="WWL1" s="24" t="s">
        <v>28821</v>
      </c>
      <c r="WWM1" s="24" t="s">
        <v>28822</v>
      </c>
      <c r="WWN1" s="24" t="s">
        <v>28823</v>
      </c>
      <c r="WWO1" s="24" t="s">
        <v>28824</v>
      </c>
      <c r="WWP1" s="24" t="s">
        <v>28825</v>
      </c>
      <c r="WWQ1" s="24" t="s">
        <v>28826</v>
      </c>
      <c r="WWR1" s="24" t="s">
        <v>28827</v>
      </c>
      <c r="WWS1" s="24" t="s">
        <v>28828</v>
      </c>
      <c r="WWT1" s="24" t="s">
        <v>28829</v>
      </c>
      <c r="WWU1" s="24" t="s">
        <v>28830</v>
      </c>
      <c r="WWV1" s="24" t="s">
        <v>28831</v>
      </c>
      <c r="WWW1" s="24" t="s">
        <v>28832</v>
      </c>
      <c r="WWX1" s="24" t="s">
        <v>28833</v>
      </c>
      <c r="WWY1" s="24" t="s">
        <v>28834</v>
      </c>
      <c r="WWZ1" s="24" t="s">
        <v>28835</v>
      </c>
      <c r="WXA1" s="24" t="s">
        <v>28836</v>
      </c>
      <c r="WXB1" s="24" t="s">
        <v>28837</v>
      </c>
      <c r="WXC1" s="24" t="s">
        <v>28838</v>
      </c>
      <c r="WXD1" s="24" t="s">
        <v>28839</v>
      </c>
      <c r="WXE1" s="24" t="s">
        <v>28840</v>
      </c>
      <c r="WXF1" s="24" t="s">
        <v>28841</v>
      </c>
      <c r="WXG1" s="24" t="s">
        <v>28842</v>
      </c>
      <c r="WXH1" s="24" t="s">
        <v>28843</v>
      </c>
      <c r="WXI1" s="24" t="s">
        <v>28844</v>
      </c>
      <c r="WXJ1" s="24" t="s">
        <v>28845</v>
      </c>
      <c r="WXK1" s="24" t="s">
        <v>28846</v>
      </c>
      <c r="WXL1" s="24" t="s">
        <v>28847</v>
      </c>
      <c r="WXM1" s="24" t="s">
        <v>28848</v>
      </c>
      <c r="WXN1" s="24" t="s">
        <v>28849</v>
      </c>
      <c r="WXO1" s="24" t="s">
        <v>28850</v>
      </c>
      <c r="WXP1" s="24" t="s">
        <v>28851</v>
      </c>
      <c r="WXQ1" s="24" t="s">
        <v>28852</v>
      </c>
      <c r="WXR1" s="24" t="s">
        <v>28853</v>
      </c>
      <c r="WXS1" s="24" t="s">
        <v>28854</v>
      </c>
      <c r="WXT1" s="24" t="s">
        <v>28855</v>
      </c>
      <c r="WXU1" s="24" t="s">
        <v>28856</v>
      </c>
      <c r="WXV1" s="24" t="s">
        <v>28857</v>
      </c>
      <c r="WXW1" s="24" t="s">
        <v>28858</v>
      </c>
      <c r="WXX1" s="24" t="s">
        <v>28859</v>
      </c>
      <c r="WXY1" s="24" t="s">
        <v>28860</v>
      </c>
      <c r="WXZ1" s="24" t="s">
        <v>28861</v>
      </c>
      <c r="WYA1" s="24" t="s">
        <v>28862</v>
      </c>
      <c r="WYB1" s="24" t="s">
        <v>28863</v>
      </c>
      <c r="WYC1" s="24" t="s">
        <v>28864</v>
      </c>
      <c r="WYD1" s="24" t="s">
        <v>28865</v>
      </c>
      <c r="WYE1" s="24" t="s">
        <v>28866</v>
      </c>
      <c r="WYF1" s="24" t="s">
        <v>28867</v>
      </c>
      <c r="WYG1" s="24" t="s">
        <v>28868</v>
      </c>
      <c r="WYH1" s="24" t="s">
        <v>28869</v>
      </c>
      <c r="WYI1" s="24" t="s">
        <v>28870</v>
      </c>
      <c r="WYJ1" s="24" t="s">
        <v>28871</v>
      </c>
      <c r="WYK1" s="24" t="s">
        <v>28872</v>
      </c>
      <c r="WYL1" s="24" t="s">
        <v>28873</v>
      </c>
      <c r="WYM1" s="24" t="s">
        <v>28874</v>
      </c>
      <c r="WYN1" s="24" t="s">
        <v>28875</v>
      </c>
      <c r="WYO1" s="24" t="s">
        <v>28876</v>
      </c>
      <c r="WYP1" s="24" t="s">
        <v>28877</v>
      </c>
      <c r="WYQ1" s="24" t="s">
        <v>28878</v>
      </c>
      <c r="WYR1" s="24" t="s">
        <v>28879</v>
      </c>
      <c r="WYS1" s="24" t="s">
        <v>28880</v>
      </c>
      <c r="WYT1" s="24" t="s">
        <v>28881</v>
      </c>
      <c r="WYU1" s="24" t="s">
        <v>28882</v>
      </c>
      <c r="WYV1" s="24" t="s">
        <v>28883</v>
      </c>
      <c r="WYW1" s="24" t="s">
        <v>28884</v>
      </c>
      <c r="WYX1" s="24" t="s">
        <v>28885</v>
      </c>
      <c r="WYY1" s="24" t="s">
        <v>28886</v>
      </c>
      <c r="WYZ1" s="24" t="s">
        <v>28887</v>
      </c>
      <c r="WZA1" s="24" t="s">
        <v>28888</v>
      </c>
      <c r="WZB1" s="24" t="s">
        <v>28889</v>
      </c>
      <c r="WZC1" s="24" t="s">
        <v>28890</v>
      </c>
      <c r="WZD1" s="24" t="s">
        <v>28891</v>
      </c>
      <c r="WZE1" s="24" t="s">
        <v>28892</v>
      </c>
      <c r="WZF1" s="24" t="s">
        <v>28893</v>
      </c>
      <c r="WZG1" s="24" t="s">
        <v>28894</v>
      </c>
      <c r="WZH1" s="24" t="s">
        <v>28895</v>
      </c>
      <c r="WZI1" s="24" t="s">
        <v>28896</v>
      </c>
      <c r="WZJ1" s="24" t="s">
        <v>28897</v>
      </c>
      <c r="WZK1" s="24" t="s">
        <v>28898</v>
      </c>
      <c r="WZL1" s="24" t="s">
        <v>28899</v>
      </c>
      <c r="WZM1" s="24" t="s">
        <v>28900</v>
      </c>
      <c r="WZN1" s="24" t="s">
        <v>28901</v>
      </c>
      <c r="WZO1" s="24" t="s">
        <v>28902</v>
      </c>
      <c r="WZP1" s="24" t="s">
        <v>28903</v>
      </c>
      <c r="WZQ1" s="24" t="s">
        <v>28904</v>
      </c>
      <c r="WZR1" s="24" t="s">
        <v>28905</v>
      </c>
      <c r="WZS1" s="24" t="s">
        <v>28906</v>
      </c>
      <c r="WZT1" s="24" t="s">
        <v>28907</v>
      </c>
      <c r="WZU1" s="24" t="s">
        <v>28908</v>
      </c>
      <c r="WZV1" s="24" t="s">
        <v>28909</v>
      </c>
      <c r="WZW1" s="24" t="s">
        <v>28910</v>
      </c>
      <c r="WZX1" s="24" t="s">
        <v>28911</v>
      </c>
      <c r="WZY1" s="24" t="s">
        <v>28912</v>
      </c>
      <c r="WZZ1" s="24" t="s">
        <v>28913</v>
      </c>
      <c r="XAA1" s="24" t="s">
        <v>28914</v>
      </c>
      <c r="XAB1" s="24" t="s">
        <v>28915</v>
      </c>
      <c r="XAC1" s="24" t="s">
        <v>28916</v>
      </c>
      <c r="XAD1" s="24" t="s">
        <v>28917</v>
      </c>
      <c r="XAE1" s="24" t="s">
        <v>28918</v>
      </c>
      <c r="XAF1" s="24" t="s">
        <v>28919</v>
      </c>
      <c r="XAG1" s="24" t="s">
        <v>28920</v>
      </c>
      <c r="XAH1" s="24" t="s">
        <v>28921</v>
      </c>
      <c r="XAI1" s="24" t="s">
        <v>28922</v>
      </c>
      <c r="XAJ1" s="24" t="s">
        <v>28923</v>
      </c>
      <c r="XAK1" s="24" t="s">
        <v>28924</v>
      </c>
      <c r="XAL1" s="24" t="s">
        <v>28925</v>
      </c>
      <c r="XAM1" s="24" t="s">
        <v>28926</v>
      </c>
      <c r="XAN1" s="24" t="s">
        <v>28927</v>
      </c>
      <c r="XAO1" s="24" t="s">
        <v>28928</v>
      </c>
      <c r="XAP1" s="24" t="s">
        <v>28929</v>
      </c>
      <c r="XAQ1" s="24" t="s">
        <v>28930</v>
      </c>
      <c r="XAR1" s="24" t="s">
        <v>28931</v>
      </c>
      <c r="XAS1" s="24" t="s">
        <v>28932</v>
      </c>
      <c r="XAT1" s="24" t="s">
        <v>28933</v>
      </c>
      <c r="XAU1" s="24" t="s">
        <v>28934</v>
      </c>
      <c r="XAV1" s="24" t="s">
        <v>28935</v>
      </c>
      <c r="XAW1" s="24" t="s">
        <v>28936</v>
      </c>
      <c r="XAX1" s="24" t="s">
        <v>28937</v>
      </c>
      <c r="XAY1" s="24" t="s">
        <v>28938</v>
      </c>
      <c r="XAZ1" s="24" t="s">
        <v>28939</v>
      </c>
      <c r="XBA1" s="24" t="s">
        <v>28940</v>
      </c>
      <c r="XBB1" s="24" t="s">
        <v>28941</v>
      </c>
      <c r="XBC1" s="24" t="s">
        <v>28942</v>
      </c>
      <c r="XBD1" s="24" t="s">
        <v>28943</v>
      </c>
      <c r="XBE1" s="24" t="s">
        <v>28944</v>
      </c>
      <c r="XBF1" s="24" t="s">
        <v>28945</v>
      </c>
      <c r="XBG1" s="24" t="s">
        <v>28946</v>
      </c>
      <c r="XBH1" s="24" t="s">
        <v>28947</v>
      </c>
      <c r="XBI1" s="24" t="s">
        <v>28948</v>
      </c>
      <c r="XBJ1" s="24" t="s">
        <v>28949</v>
      </c>
      <c r="XBK1" s="24" t="s">
        <v>28950</v>
      </c>
      <c r="XBL1" s="24" t="s">
        <v>28951</v>
      </c>
      <c r="XBM1" s="24" t="s">
        <v>28952</v>
      </c>
      <c r="XBN1" s="24" t="s">
        <v>28953</v>
      </c>
      <c r="XBO1" s="24" t="s">
        <v>28954</v>
      </c>
      <c r="XBP1" s="24" t="s">
        <v>28955</v>
      </c>
      <c r="XBQ1" s="24" t="s">
        <v>28956</v>
      </c>
      <c r="XBR1" s="24" t="s">
        <v>28957</v>
      </c>
      <c r="XBS1" s="24" t="s">
        <v>28958</v>
      </c>
      <c r="XBT1" s="24" t="s">
        <v>28959</v>
      </c>
      <c r="XBU1" s="24" t="s">
        <v>28960</v>
      </c>
      <c r="XBV1" s="24" t="s">
        <v>28961</v>
      </c>
      <c r="XBW1" s="24" t="s">
        <v>28962</v>
      </c>
      <c r="XBX1" s="24" t="s">
        <v>28963</v>
      </c>
      <c r="XBY1" s="24" t="s">
        <v>28964</v>
      </c>
      <c r="XBZ1" s="24" t="s">
        <v>28965</v>
      </c>
      <c r="XCA1" s="24" t="s">
        <v>28966</v>
      </c>
      <c r="XCB1" s="24" t="s">
        <v>28967</v>
      </c>
      <c r="XCC1" s="24" t="s">
        <v>28968</v>
      </c>
      <c r="XCD1" s="24" t="s">
        <v>28969</v>
      </c>
      <c r="XCE1" s="24" t="s">
        <v>28970</v>
      </c>
      <c r="XCF1" s="24" t="s">
        <v>28971</v>
      </c>
      <c r="XCG1" s="24" t="s">
        <v>28972</v>
      </c>
      <c r="XCH1" s="24" t="s">
        <v>28973</v>
      </c>
      <c r="XCI1" s="24" t="s">
        <v>28974</v>
      </c>
      <c r="XCJ1" s="24" t="s">
        <v>28975</v>
      </c>
      <c r="XCK1" s="24" t="s">
        <v>28976</v>
      </c>
      <c r="XCL1" s="24" t="s">
        <v>28977</v>
      </c>
      <c r="XCM1" s="24" t="s">
        <v>28978</v>
      </c>
      <c r="XCN1" s="24" t="s">
        <v>28979</v>
      </c>
      <c r="XCO1" s="24" t="s">
        <v>28980</v>
      </c>
      <c r="XCP1" s="24" t="s">
        <v>28981</v>
      </c>
      <c r="XCQ1" s="24" t="s">
        <v>28982</v>
      </c>
      <c r="XCR1" s="24" t="s">
        <v>28983</v>
      </c>
      <c r="XCS1" s="24" t="s">
        <v>28984</v>
      </c>
      <c r="XCT1" s="24" t="s">
        <v>28985</v>
      </c>
      <c r="XCU1" s="24" t="s">
        <v>28986</v>
      </c>
      <c r="XCV1" s="24" t="s">
        <v>28987</v>
      </c>
      <c r="XCW1" s="24" t="s">
        <v>28988</v>
      </c>
      <c r="XCX1" s="24" t="s">
        <v>28989</v>
      </c>
      <c r="XCY1" s="24" t="s">
        <v>28990</v>
      </c>
      <c r="XCZ1" s="24" t="s">
        <v>28991</v>
      </c>
      <c r="XDA1" s="24" t="s">
        <v>28992</v>
      </c>
      <c r="XDB1" s="24" t="s">
        <v>28993</v>
      </c>
      <c r="XDC1" s="24" t="s">
        <v>28994</v>
      </c>
      <c r="XDD1" s="24" t="s">
        <v>28995</v>
      </c>
      <c r="XDE1" s="24" t="s">
        <v>28996</v>
      </c>
      <c r="XDF1" s="24" t="s">
        <v>28997</v>
      </c>
      <c r="XDG1" s="24" t="s">
        <v>28998</v>
      </c>
      <c r="XDH1" s="24" t="s">
        <v>28999</v>
      </c>
      <c r="XDI1" s="24" t="s">
        <v>29000</v>
      </c>
      <c r="XDJ1" s="24" t="s">
        <v>29001</v>
      </c>
      <c r="XDK1" s="24" t="s">
        <v>29002</v>
      </c>
      <c r="XDL1" s="24" t="s">
        <v>29003</v>
      </c>
      <c r="XDM1" s="24" t="s">
        <v>29004</v>
      </c>
      <c r="XDN1" s="24" t="s">
        <v>29005</v>
      </c>
      <c r="XDO1" s="24" t="s">
        <v>29006</v>
      </c>
      <c r="XDP1" s="24" t="s">
        <v>29007</v>
      </c>
      <c r="XDQ1" s="24" t="s">
        <v>29008</v>
      </c>
      <c r="XDR1" s="24" t="s">
        <v>29009</v>
      </c>
      <c r="XDS1" s="24" t="s">
        <v>29010</v>
      </c>
      <c r="XDT1" s="24" t="s">
        <v>29011</v>
      </c>
      <c r="XDU1" s="24" t="s">
        <v>29012</v>
      </c>
      <c r="XDV1" s="24" t="s">
        <v>29013</v>
      </c>
      <c r="XDW1" s="24" t="s">
        <v>29014</v>
      </c>
      <c r="XDX1" s="24" t="s">
        <v>29015</v>
      </c>
      <c r="XDY1" s="24" t="s">
        <v>29016</v>
      </c>
      <c r="XDZ1" s="24" t="s">
        <v>29017</v>
      </c>
      <c r="XEA1" s="24" t="s">
        <v>29018</v>
      </c>
      <c r="XEB1" s="24" t="s">
        <v>29019</v>
      </c>
      <c r="XEC1" s="24" t="s">
        <v>29020</v>
      </c>
      <c r="XED1" s="24" t="s">
        <v>29021</v>
      </c>
      <c r="XEE1" s="24" t="s">
        <v>29022</v>
      </c>
      <c r="XEF1" s="24" t="s">
        <v>29023</v>
      </c>
      <c r="XEG1" s="24" t="s">
        <v>29024</v>
      </c>
      <c r="XEH1" s="24" t="s">
        <v>29025</v>
      </c>
      <c r="XEI1" s="24" t="s">
        <v>29026</v>
      </c>
      <c r="XEJ1" s="24" t="s">
        <v>29027</v>
      </c>
      <c r="XEK1" s="24" t="s">
        <v>29028</v>
      </c>
      <c r="XEL1" s="24" t="s">
        <v>29029</v>
      </c>
      <c r="XEM1" s="24" t="s">
        <v>29030</v>
      </c>
      <c r="XEN1" s="24" t="s">
        <v>29031</v>
      </c>
      <c r="XEO1" s="24" t="s">
        <v>29032</v>
      </c>
      <c r="XEP1" s="24" t="s">
        <v>29033</v>
      </c>
      <c r="XEQ1" s="24" t="s">
        <v>29034</v>
      </c>
      <c r="XER1" s="24" t="s">
        <v>29035</v>
      </c>
      <c r="XES1" s="24" t="s">
        <v>29036</v>
      </c>
      <c r="XET1" s="24" t="s">
        <v>29037</v>
      </c>
      <c r="XEU1" s="24" t="s">
        <v>29038</v>
      </c>
      <c r="XEV1" s="24" t="s">
        <v>29039</v>
      </c>
      <c r="XEW1" s="24" t="s">
        <v>29040</v>
      </c>
      <c r="XEX1" s="24" t="s">
        <v>29041</v>
      </c>
      <c r="XEY1" s="24" t="s">
        <v>29042</v>
      </c>
      <c r="XEZ1" s="24" t="s">
        <v>29043</v>
      </c>
      <c r="XFA1" s="24" t="s">
        <v>29044</v>
      </c>
      <c r="XFB1" s="24" t="s">
        <v>29045</v>
      </c>
    </row>
    <row r="2" spans="1:16382" ht="15.75" hidden="1" thickTop="1" x14ac:dyDescent="0.25">
      <c r="A2">
        <v>100013</v>
      </c>
      <c r="B2" t="s">
        <v>371</v>
      </c>
      <c r="C2" s="1" t="s">
        <v>6958</v>
      </c>
      <c r="D2">
        <v>0</v>
      </c>
      <c r="E2" t="s">
        <v>371</v>
      </c>
      <c r="F2" t="s">
        <v>6958</v>
      </c>
      <c r="G2" s="26">
        <v>0</v>
      </c>
      <c r="H2" s="3">
        <v>0</v>
      </c>
      <c r="I2" s="3">
        <v>0</v>
      </c>
      <c r="J2" s="6">
        <v>0</v>
      </c>
      <c r="K2" s="6">
        <v>0</v>
      </c>
      <c r="L2" s="3">
        <f t="shared" ref="L2:L48" si="0">SUM(H2:K2)</f>
        <v>0</v>
      </c>
      <c r="M2" s="3"/>
      <c r="N2" s="3">
        <f t="shared" ref="N2:N48" si="1">L2+G2</f>
        <v>0</v>
      </c>
      <c r="S2" s="3">
        <f>100%-Table34[[#This Row],[PDF_initial fee]]</f>
        <v>1</v>
      </c>
      <c r="T2" s="3"/>
    </row>
    <row r="3" spans="1:16382" ht="15.75" hidden="1" thickTop="1" x14ac:dyDescent="0.25">
      <c r="A3">
        <v>100556</v>
      </c>
      <c r="B3" t="s">
        <v>372</v>
      </c>
      <c r="C3" t="s">
        <v>10884</v>
      </c>
      <c r="D3">
        <v>3</v>
      </c>
      <c r="E3" t="s">
        <v>372</v>
      </c>
      <c r="F3" t="s">
        <v>3</v>
      </c>
      <c r="I3" s="21"/>
      <c r="K3" s="3"/>
      <c r="L3" s="3">
        <f t="shared" si="0"/>
        <v>0</v>
      </c>
      <c r="M3" s="3"/>
      <c r="N3" s="3">
        <f t="shared" si="1"/>
        <v>0</v>
      </c>
      <c r="S3" s="3">
        <f>100%-Table34[[#This Row],[PDF_initial fee]]</f>
        <v>1</v>
      </c>
      <c r="T3" s="3"/>
    </row>
    <row r="4" spans="1:16382" ht="15.75" hidden="1" thickTop="1" x14ac:dyDescent="0.25">
      <c r="A4">
        <v>100747</v>
      </c>
      <c r="B4" t="s">
        <v>373</v>
      </c>
      <c r="C4" t="s">
        <v>6958</v>
      </c>
      <c r="D4">
        <v>0</v>
      </c>
      <c r="E4" t="s">
        <v>373</v>
      </c>
      <c r="F4" t="s">
        <v>29046</v>
      </c>
      <c r="H4" s="21">
        <v>0</v>
      </c>
      <c r="I4" s="21">
        <v>0</v>
      </c>
      <c r="J4" s="21">
        <v>0</v>
      </c>
      <c r="K4" s="21">
        <v>0</v>
      </c>
      <c r="L4" s="3">
        <f t="shared" si="0"/>
        <v>0</v>
      </c>
      <c r="M4" s="3"/>
      <c r="N4" s="3">
        <f t="shared" si="1"/>
        <v>0</v>
      </c>
      <c r="S4" s="3">
        <f>100%-Table34[[#This Row],[PDF_initial fee]]</f>
        <v>1</v>
      </c>
      <c r="T4" s="3"/>
    </row>
    <row r="5" spans="1:16382" ht="15.75" hidden="1" thickTop="1" x14ac:dyDescent="0.25">
      <c r="A5">
        <v>100825</v>
      </c>
      <c r="B5" t="s">
        <v>374</v>
      </c>
      <c r="C5" t="s">
        <v>29047</v>
      </c>
      <c r="D5">
        <v>9</v>
      </c>
      <c r="E5" t="s">
        <v>374</v>
      </c>
      <c r="F5" t="s">
        <v>3</v>
      </c>
      <c r="H5" s="21">
        <v>0</v>
      </c>
      <c r="I5" s="21">
        <v>0</v>
      </c>
      <c r="J5" s="21">
        <v>0</v>
      </c>
      <c r="K5" s="21">
        <v>0</v>
      </c>
      <c r="L5" s="3">
        <f t="shared" si="0"/>
        <v>0</v>
      </c>
      <c r="M5" s="3"/>
      <c r="N5" s="3">
        <f t="shared" si="1"/>
        <v>0</v>
      </c>
      <c r="S5" s="3">
        <f>100%-Table34[[#This Row],[PDF_initial fee]]</f>
        <v>1</v>
      </c>
      <c r="T5" s="3"/>
    </row>
    <row r="6" spans="1:16382" ht="15.75" hidden="1" thickTop="1" x14ac:dyDescent="0.25">
      <c r="A6">
        <v>101092</v>
      </c>
      <c r="B6" t="s">
        <v>375</v>
      </c>
      <c r="C6" t="s">
        <v>6958</v>
      </c>
      <c r="D6">
        <v>0</v>
      </c>
      <c r="E6" t="s">
        <v>375</v>
      </c>
      <c r="F6" t="s">
        <v>29046</v>
      </c>
      <c r="G6" s="27"/>
      <c r="L6" s="3">
        <f t="shared" si="0"/>
        <v>0</v>
      </c>
      <c r="M6" s="3"/>
      <c r="N6" s="3">
        <f t="shared" si="1"/>
        <v>0</v>
      </c>
      <c r="S6" s="3">
        <f>100%-Table34[[#This Row],[PDF_initial fee]]</f>
        <v>1</v>
      </c>
      <c r="T6" s="3"/>
    </row>
    <row r="7" spans="1:16382" ht="15.75" hidden="1" thickTop="1" x14ac:dyDescent="0.25">
      <c r="A7">
        <v>101180</v>
      </c>
      <c r="B7" t="s">
        <v>376</v>
      </c>
      <c r="C7" t="s">
        <v>9939</v>
      </c>
      <c r="D7">
        <v>2</v>
      </c>
      <c r="E7" t="s">
        <v>376</v>
      </c>
      <c r="F7" t="s">
        <v>3</v>
      </c>
      <c r="H7" s="21">
        <v>0</v>
      </c>
      <c r="I7" s="21">
        <v>0</v>
      </c>
      <c r="J7" s="21">
        <v>0</v>
      </c>
      <c r="K7" s="21">
        <v>0</v>
      </c>
      <c r="L7" s="3">
        <f t="shared" si="0"/>
        <v>0</v>
      </c>
      <c r="M7" s="3"/>
      <c r="N7" s="3">
        <f t="shared" si="1"/>
        <v>0</v>
      </c>
      <c r="S7" s="3">
        <f>100%-Table34[[#This Row],[PDF_initial fee]]</f>
        <v>1</v>
      </c>
      <c r="T7" s="3"/>
    </row>
    <row r="8" spans="1:16382" ht="15.75" hidden="1" thickTop="1" x14ac:dyDescent="0.25">
      <c r="A8">
        <v>102577</v>
      </c>
      <c r="B8" t="s">
        <v>377</v>
      </c>
      <c r="C8" s="1" t="s">
        <v>29048</v>
      </c>
      <c r="D8">
        <v>1</v>
      </c>
      <c r="E8" t="s">
        <v>377</v>
      </c>
      <c r="F8" t="s">
        <v>3</v>
      </c>
      <c r="G8" s="1"/>
      <c r="H8" s="21">
        <v>0</v>
      </c>
      <c r="I8" s="21">
        <v>0</v>
      </c>
      <c r="J8" s="21">
        <v>0</v>
      </c>
      <c r="K8" s="21">
        <v>0</v>
      </c>
      <c r="L8" s="3">
        <f t="shared" si="0"/>
        <v>0</v>
      </c>
      <c r="M8" s="3"/>
      <c r="N8" s="3">
        <f t="shared" si="1"/>
        <v>0</v>
      </c>
      <c r="O8" t="s">
        <v>29049</v>
      </c>
      <c r="S8" s="3">
        <f>100%-Table34[[#This Row],[PDF_initial fee]]</f>
        <v>1</v>
      </c>
      <c r="T8" s="3"/>
    </row>
    <row r="9" spans="1:16382" ht="15.75" thickTop="1" x14ac:dyDescent="0.25">
      <c r="A9">
        <v>144745</v>
      </c>
      <c r="B9" t="s">
        <v>61</v>
      </c>
      <c r="C9" s="1" t="s">
        <v>10475</v>
      </c>
      <c r="D9">
        <v>1</v>
      </c>
      <c r="E9" t="s">
        <v>61</v>
      </c>
      <c r="F9" t="s">
        <v>3</v>
      </c>
      <c r="G9" s="3">
        <v>1.4E-3</v>
      </c>
      <c r="H9" s="3"/>
      <c r="I9" s="3"/>
      <c r="J9" s="6">
        <v>1.8499999999999999E-2</v>
      </c>
      <c r="K9" s="6">
        <v>1.7500000000000002E-2</v>
      </c>
      <c r="L9" s="3">
        <f t="shared" si="0"/>
        <v>3.6000000000000004E-2</v>
      </c>
      <c r="M9" s="3"/>
      <c r="N9" s="3">
        <f t="shared" si="1"/>
        <v>3.7400000000000003E-2</v>
      </c>
      <c r="P9" s="1" t="s">
        <v>29050</v>
      </c>
      <c r="Q9" t="s">
        <v>31787</v>
      </c>
      <c r="R9" s="30">
        <v>0.33333333333333348</v>
      </c>
      <c r="S9" s="89">
        <f>100%-Table34[[#This Row],[PDF_initial fee]]</f>
        <v>0.98150000000000004</v>
      </c>
      <c r="T9" s="89">
        <f>(1-Table34[[#This Row],[PDF ongoing fee]])^5</f>
        <v>0.91550937355400397</v>
      </c>
      <c r="U9" s="26">
        <f>(1+Table34[[#This Row],[Net 5yrs return (mostly up to 28th of Feb 2026)]])*Table34[[#This Row],[Investment after initial charge]]*Table34[[#This Row],[Cummulative 5yrs ongoing advice charge]]-1</f>
        <v>0.19809660019100672</v>
      </c>
      <c r="W9" t="s">
        <v>29051</v>
      </c>
      <c r="X9"/>
      <c r="Y9" s="30"/>
      <c r="AA9" t="s">
        <v>29052</v>
      </c>
    </row>
    <row r="10" spans="1:16382" ht="17.25" customHeight="1" x14ac:dyDescent="0.25">
      <c r="A10">
        <v>141726</v>
      </c>
      <c r="B10" t="s">
        <v>55</v>
      </c>
      <c r="C10" s="1" t="s">
        <v>29053</v>
      </c>
      <c r="D10">
        <v>10</v>
      </c>
      <c r="E10" t="s">
        <v>55</v>
      </c>
      <c r="F10" t="s">
        <v>3</v>
      </c>
      <c r="G10" s="3">
        <v>1.4E-3</v>
      </c>
      <c r="H10" s="3">
        <v>0</v>
      </c>
      <c r="I10" s="3">
        <v>0</v>
      </c>
      <c r="J10" s="6">
        <v>4.4999999999999998E-2</v>
      </c>
      <c r="K10" s="6">
        <v>2.5000000000000001E-2</v>
      </c>
      <c r="L10" s="3">
        <f t="shared" si="0"/>
        <v>7.0000000000000007E-2</v>
      </c>
      <c r="M10" s="3"/>
      <c r="N10" s="3">
        <f t="shared" si="1"/>
        <v>7.1400000000000005E-2</v>
      </c>
      <c r="P10" s="1" t="s">
        <v>29054</v>
      </c>
      <c r="Q10" t="s">
        <v>31787</v>
      </c>
      <c r="R10" s="30">
        <v>0.33333333333333348</v>
      </c>
      <c r="S10" s="89">
        <f>100%-Table34[[#This Row],[PDF_initial fee]]</f>
        <v>0.95499999999999996</v>
      </c>
      <c r="T10" s="89">
        <f>(1-Table34[[#This Row],[PDF ongoing fee]])^5</f>
        <v>0.88109569335937488</v>
      </c>
      <c r="U10" s="26">
        <f>(1+Table34[[#This Row],[Net 5yrs return (mostly up to 28th of Feb 2026)]])*Table34[[#This Row],[Investment after initial charge]]*Table34[[#This Row],[Cummulative 5yrs ongoing advice charge]]-1</f>
        <v>0.12192851621093737</v>
      </c>
      <c r="V10" s="10">
        <v>637676</v>
      </c>
      <c r="W10" t="s">
        <v>29051</v>
      </c>
      <c r="X10" s="10">
        <v>612117</v>
      </c>
      <c r="Y10" s="30">
        <f>X10/V10</f>
        <v>0.95991851661345262</v>
      </c>
      <c r="AA10" s="1" t="s">
        <v>29055</v>
      </c>
      <c r="AB10" t="s">
        <v>29056</v>
      </c>
    </row>
    <row r="11" spans="1:16382" hidden="1" x14ac:dyDescent="0.25">
      <c r="A11">
        <v>104673</v>
      </c>
      <c r="B11" t="s">
        <v>379</v>
      </c>
      <c r="C11" t="s">
        <v>12226</v>
      </c>
      <c r="D11">
        <v>3</v>
      </c>
      <c r="E11" t="s">
        <v>379</v>
      </c>
      <c r="F11" t="s">
        <v>3</v>
      </c>
      <c r="H11" s="21">
        <v>0</v>
      </c>
      <c r="I11" s="21">
        <v>0</v>
      </c>
      <c r="J11" s="21">
        <v>0</v>
      </c>
      <c r="K11" s="21">
        <v>0</v>
      </c>
      <c r="L11" s="3">
        <f t="shared" si="0"/>
        <v>0</v>
      </c>
      <c r="M11" s="3"/>
      <c r="N11" s="3">
        <f t="shared" si="1"/>
        <v>0</v>
      </c>
      <c r="S11" s="89">
        <f>100%-Table34[[#This Row],[PDF_initial fee]]</f>
        <v>1</v>
      </c>
      <c r="T11" s="3"/>
    </row>
    <row r="12" spans="1:16382" hidden="1" x14ac:dyDescent="0.25">
      <c r="A12">
        <v>104753</v>
      </c>
      <c r="B12" t="s">
        <v>380</v>
      </c>
      <c r="C12" t="s">
        <v>12432</v>
      </c>
      <c r="D12">
        <v>4</v>
      </c>
      <c r="E12" t="s">
        <v>380</v>
      </c>
      <c r="F12" t="s">
        <v>3</v>
      </c>
      <c r="H12" s="21">
        <v>0</v>
      </c>
      <c r="I12" s="21">
        <v>0</v>
      </c>
      <c r="J12" s="21">
        <v>0</v>
      </c>
      <c r="K12" s="21">
        <v>0</v>
      </c>
      <c r="L12" s="3">
        <f t="shared" si="0"/>
        <v>0</v>
      </c>
      <c r="M12" s="3"/>
      <c r="N12" s="3">
        <f t="shared" si="1"/>
        <v>0</v>
      </c>
      <c r="S12" s="89">
        <f>100%-Table34[[#This Row],[PDF_initial fee]]</f>
        <v>1</v>
      </c>
      <c r="T12" s="3"/>
    </row>
    <row r="13" spans="1:16382" hidden="1" x14ac:dyDescent="0.25">
      <c r="A13">
        <v>104961</v>
      </c>
      <c r="B13" t="s">
        <v>381</v>
      </c>
      <c r="C13" t="s">
        <v>10607</v>
      </c>
      <c r="D13">
        <v>0</v>
      </c>
      <c r="E13" t="s">
        <v>381</v>
      </c>
      <c r="F13" t="s">
        <v>3</v>
      </c>
      <c r="H13" s="21">
        <v>0</v>
      </c>
      <c r="I13" s="21">
        <v>0</v>
      </c>
      <c r="J13" s="21">
        <v>0</v>
      </c>
      <c r="K13" s="21">
        <v>0</v>
      </c>
      <c r="L13" s="3">
        <f t="shared" si="0"/>
        <v>0</v>
      </c>
      <c r="M13" s="3"/>
      <c r="N13" s="3">
        <f t="shared" si="1"/>
        <v>0</v>
      </c>
      <c r="S13" s="89">
        <f>100%-Table34[[#This Row],[PDF_initial fee]]</f>
        <v>1</v>
      </c>
      <c r="T13" s="3"/>
    </row>
    <row r="14" spans="1:16382" hidden="1" x14ac:dyDescent="0.25">
      <c r="A14">
        <v>105662</v>
      </c>
      <c r="B14" t="s">
        <v>382</v>
      </c>
      <c r="C14" t="s">
        <v>6958</v>
      </c>
      <c r="D14">
        <v>1</v>
      </c>
      <c r="E14" t="s">
        <v>382</v>
      </c>
      <c r="F14" t="s">
        <v>29046</v>
      </c>
      <c r="H14" s="21">
        <v>0</v>
      </c>
      <c r="I14" s="21">
        <v>0</v>
      </c>
      <c r="J14" s="21">
        <v>0</v>
      </c>
      <c r="K14" s="21">
        <v>0</v>
      </c>
      <c r="L14" s="3">
        <f t="shared" si="0"/>
        <v>0</v>
      </c>
      <c r="M14" s="3"/>
      <c r="N14" s="3">
        <f t="shared" si="1"/>
        <v>0</v>
      </c>
      <c r="S14" s="89">
        <f>100%-Table34[[#This Row],[PDF_initial fee]]</f>
        <v>1</v>
      </c>
      <c r="T14" s="3"/>
    </row>
    <row r="15" spans="1:16382" hidden="1" x14ac:dyDescent="0.25">
      <c r="A15">
        <v>105795</v>
      </c>
      <c r="B15" t="s">
        <v>383</v>
      </c>
      <c r="C15" t="s">
        <v>7827</v>
      </c>
      <c r="D15">
        <v>1</v>
      </c>
      <c r="E15" t="s">
        <v>383</v>
      </c>
      <c r="F15" t="s">
        <v>3</v>
      </c>
      <c r="H15" s="21">
        <v>0</v>
      </c>
      <c r="I15" s="21">
        <v>0</v>
      </c>
      <c r="J15" s="21">
        <v>0</v>
      </c>
      <c r="K15" s="21">
        <v>0</v>
      </c>
      <c r="L15" s="3">
        <f t="shared" si="0"/>
        <v>0</v>
      </c>
      <c r="M15" s="3"/>
      <c r="N15" s="3">
        <f t="shared" si="1"/>
        <v>0</v>
      </c>
      <c r="S15" s="89">
        <f>100%-Table34[[#This Row],[PDF_initial fee]]</f>
        <v>1</v>
      </c>
      <c r="T15" s="3"/>
    </row>
    <row r="16" spans="1:16382" hidden="1" x14ac:dyDescent="0.25">
      <c r="A16">
        <v>106043</v>
      </c>
      <c r="B16" t="s">
        <v>384</v>
      </c>
      <c r="C16" t="s">
        <v>10585</v>
      </c>
      <c r="D16">
        <v>2</v>
      </c>
      <c r="E16" t="s">
        <v>384</v>
      </c>
      <c r="F16" t="s">
        <v>3</v>
      </c>
      <c r="L16" s="3">
        <f t="shared" si="0"/>
        <v>0</v>
      </c>
      <c r="M16" s="3"/>
      <c r="N16" s="3">
        <f t="shared" si="1"/>
        <v>0</v>
      </c>
      <c r="S16" s="89">
        <f>100%-Table34[[#This Row],[PDF_initial fee]]</f>
        <v>1</v>
      </c>
      <c r="T16" s="3"/>
    </row>
    <row r="17" spans="1:28" x14ac:dyDescent="0.25">
      <c r="A17">
        <v>474899</v>
      </c>
      <c r="B17" t="s">
        <v>187</v>
      </c>
      <c r="C17" s="1" t="s">
        <v>7923</v>
      </c>
      <c r="D17">
        <v>3</v>
      </c>
      <c r="E17" t="s">
        <v>187</v>
      </c>
      <c r="F17" t="s">
        <v>3</v>
      </c>
      <c r="G17" s="3">
        <v>1.4E-3</v>
      </c>
      <c r="H17" s="3">
        <v>1.4999999999999999E-2</v>
      </c>
      <c r="I17" s="3">
        <v>5.0000000000000001E-3</v>
      </c>
      <c r="J17" s="6"/>
      <c r="K17" s="6"/>
      <c r="L17" s="3">
        <f t="shared" si="0"/>
        <v>0.02</v>
      </c>
      <c r="M17" s="3"/>
      <c r="N17" s="3">
        <f t="shared" si="1"/>
        <v>2.1399999999999999E-2</v>
      </c>
      <c r="P17" s="31" t="s">
        <v>29057</v>
      </c>
      <c r="Q17" t="s">
        <v>31787</v>
      </c>
      <c r="R17" s="30">
        <v>0.33333333333333348</v>
      </c>
      <c r="S17" s="89">
        <f>100%-Table34[[#This Row],[InitialFee]]</f>
        <v>0.98499999999999999</v>
      </c>
      <c r="T17" s="89">
        <f>(1-Table34[[#This Row],[OngoingFee (plus Platform fee)]])^5</f>
        <v>0.97524875312187509</v>
      </c>
      <c r="U17" s="26">
        <f>(1+Table34[[#This Row],[Net 5yrs return (mostly up to 28th of Feb 2026)]])*Table34[[#This Row],[Investment after initial charge]]*Table34[[#This Row],[Cummulative 5yrs ongoing advice charge]]-1</f>
        <v>0.28082669576672936</v>
      </c>
      <c r="V17">
        <f>126124+49755</f>
        <v>175879</v>
      </c>
      <c r="W17" t="s">
        <v>29051</v>
      </c>
      <c r="X17" s="9">
        <v>126124</v>
      </c>
      <c r="Y17" s="30">
        <f>X17/V17</f>
        <v>0.71710664718357509</v>
      </c>
      <c r="AA17" s="1" t="s">
        <v>29058</v>
      </c>
    </row>
    <row r="18" spans="1:28" x14ac:dyDescent="0.25">
      <c r="A18">
        <v>605092</v>
      </c>
      <c r="B18" t="s">
        <v>248</v>
      </c>
      <c r="C18" s="1" t="s">
        <v>10845</v>
      </c>
      <c r="D18">
        <v>1</v>
      </c>
      <c r="E18" t="s">
        <v>248</v>
      </c>
      <c r="F18" t="s">
        <v>3</v>
      </c>
      <c r="G18" s="3">
        <v>1.4E-3</v>
      </c>
      <c r="H18" s="3"/>
      <c r="I18" s="3"/>
      <c r="J18" s="6">
        <f>1.975%+2.25%</f>
        <v>4.2249999999999996E-2</v>
      </c>
      <c r="K18" s="6">
        <f>(235*12)/100000</f>
        <v>2.8199999999999999E-2</v>
      </c>
      <c r="L18" s="3">
        <f t="shared" si="0"/>
        <v>7.0449999999999999E-2</v>
      </c>
      <c r="M18" s="3"/>
      <c r="N18" s="3">
        <f t="shared" si="1"/>
        <v>7.1849999999999997E-2</v>
      </c>
      <c r="O18" t="s">
        <v>29059</v>
      </c>
      <c r="P18" s="1" t="s">
        <v>29060</v>
      </c>
      <c r="Q18" t="s">
        <v>31787</v>
      </c>
      <c r="R18" s="30">
        <v>0.33333333333333348</v>
      </c>
      <c r="S18" s="89">
        <f>100%-Table34[[#This Row],[PDF_initial fee]]</f>
        <v>0.95774999999999999</v>
      </c>
      <c r="T18" s="89">
        <f>(1-Table34[[#This Row],[PDF ongoing fee]])^5</f>
        <v>0.86673128651942022</v>
      </c>
      <c r="U18" s="26">
        <f>(1+Table34[[#This Row],[Net 5yrs return (mostly up to 28th of Feb 2026)]])*Table34[[#This Row],[Investment after initial charge]]*Table34[[#This Row],[Cummulative 5yrs ongoing advice charge]]-1</f>
        <v>0.10681585288529982</v>
      </c>
      <c r="V18">
        <f>35485+1438</f>
        <v>36923</v>
      </c>
      <c r="W18" t="s">
        <v>29051</v>
      </c>
      <c r="X18" s="92">
        <v>28065</v>
      </c>
      <c r="Y18" s="30">
        <f>X18/V18</f>
        <v>0.76009533353194481</v>
      </c>
      <c r="AA18" s="1" t="s">
        <v>29061</v>
      </c>
      <c r="AB18" t="s">
        <v>29056</v>
      </c>
    </row>
    <row r="19" spans="1:28" hidden="1" x14ac:dyDescent="0.25">
      <c r="A19">
        <v>109987</v>
      </c>
      <c r="B19" t="s">
        <v>385</v>
      </c>
      <c r="C19" t="s">
        <v>8061</v>
      </c>
      <c r="D19">
        <v>0</v>
      </c>
      <c r="E19" t="s">
        <v>385</v>
      </c>
      <c r="F19" t="s">
        <v>3</v>
      </c>
      <c r="H19" s="21">
        <v>0</v>
      </c>
      <c r="I19" s="21">
        <v>0</v>
      </c>
      <c r="J19" s="21">
        <v>0</v>
      </c>
      <c r="K19" s="21">
        <v>0</v>
      </c>
      <c r="L19" s="3">
        <f t="shared" si="0"/>
        <v>0</v>
      </c>
      <c r="M19" s="3"/>
      <c r="N19" s="3">
        <f t="shared" si="1"/>
        <v>0</v>
      </c>
      <c r="S19" s="89">
        <f>100%-Table34[[#This Row],[PDF_initial fee]]</f>
        <v>1</v>
      </c>
      <c r="T19" s="3"/>
    </row>
    <row r="20" spans="1:28" hidden="1" x14ac:dyDescent="0.25">
      <c r="A20">
        <v>110008</v>
      </c>
      <c r="B20" t="s">
        <v>386</v>
      </c>
      <c r="C20" t="s">
        <v>29062</v>
      </c>
      <c r="D20">
        <v>0</v>
      </c>
      <c r="E20" t="s">
        <v>386</v>
      </c>
      <c r="F20" t="s">
        <v>3</v>
      </c>
      <c r="H20" s="3">
        <v>0</v>
      </c>
      <c r="I20" s="3">
        <v>0</v>
      </c>
      <c r="J20" s="3">
        <v>0</v>
      </c>
      <c r="K20" s="3">
        <v>0</v>
      </c>
      <c r="L20" s="3">
        <f t="shared" si="0"/>
        <v>0</v>
      </c>
      <c r="M20" s="3"/>
      <c r="N20" s="3">
        <f t="shared" si="1"/>
        <v>0</v>
      </c>
      <c r="S20" s="89">
        <f>100%-Table34[[#This Row],[PDF_initial fee]]</f>
        <v>1</v>
      </c>
      <c r="T20" s="3"/>
    </row>
    <row r="21" spans="1:28" hidden="1" x14ac:dyDescent="0.25">
      <c r="A21">
        <v>110015</v>
      </c>
      <c r="B21" t="s">
        <v>387</v>
      </c>
      <c r="C21" t="s">
        <v>29063</v>
      </c>
      <c r="D21">
        <v>0</v>
      </c>
      <c r="E21" t="s">
        <v>387</v>
      </c>
      <c r="F21" t="s">
        <v>3</v>
      </c>
      <c r="H21" s="21">
        <v>0</v>
      </c>
      <c r="I21" s="21">
        <v>0</v>
      </c>
      <c r="J21" s="21">
        <v>0</v>
      </c>
      <c r="K21" s="21">
        <v>0</v>
      </c>
      <c r="L21" s="3">
        <f t="shared" si="0"/>
        <v>0</v>
      </c>
      <c r="M21" s="3"/>
      <c r="N21" s="3">
        <f t="shared" si="1"/>
        <v>0</v>
      </c>
      <c r="O21" s="21"/>
      <c r="S21" s="89">
        <f>100%-Table34[[#This Row],[PDF_initial fee]]</f>
        <v>1</v>
      </c>
      <c r="T21" s="3"/>
    </row>
    <row r="22" spans="1:28" hidden="1" x14ac:dyDescent="0.25">
      <c r="A22">
        <v>110053</v>
      </c>
      <c r="B22" t="s">
        <v>388</v>
      </c>
      <c r="C22" t="s">
        <v>12612</v>
      </c>
      <c r="D22">
        <v>0</v>
      </c>
      <c r="E22" t="s">
        <v>388</v>
      </c>
      <c r="F22" t="s">
        <v>3</v>
      </c>
      <c r="L22" s="3">
        <f t="shared" si="0"/>
        <v>0</v>
      </c>
      <c r="M22" s="3"/>
      <c r="N22" s="3">
        <f t="shared" si="1"/>
        <v>0</v>
      </c>
      <c r="S22" s="89">
        <f>100%-Table34[[#This Row],[PDF_initial fee]]</f>
        <v>1</v>
      </c>
      <c r="T22" s="3"/>
    </row>
    <row r="23" spans="1:28" hidden="1" x14ac:dyDescent="0.25">
      <c r="A23">
        <v>110058</v>
      </c>
      <c r="B23" t="s">
        <v>389</v>
      </c>
      <c r="C23" t="s">
        <v>12155</v>
      </c>
      <c r="D23">
        <v>0</v>
      </c>
      <c r="E23" t="s">
        <v>389</v>
      </c>
      <c r="F23" t="s">
        <v>3</v>
      </c>
      <c r="H23" s="21">
        <v>0</v>
      </c>
      <c r="I23" s="21">
        <v>0</v>
      </c>
      <c r="J23" s="21">
        <v>0</v>
      </c>
      <c r="K23" s="21">
        <v>0</v>
      </c>
      <c r="L23" s="3">
        <f t="shared" si="0"/>
        <v>0</v>
      </c>
      <c r="M23" s="3"/>
      <c r="N23" s="3">
        <f t="shared" si="1"/>
        <v>0</v>
      </c>
      <c r="S23" s="89">
        <f>100%-Table34[[#This Row],[PDF_initial fee]]</f>
        <v>1</v>
      </c>
      <c r="T23" s="3"/>
    </row>
    <row r="24" spans="1:28" hidden="1" x14ac:dyDescent="0.25">
      <c r="A24">
        <v>110379</v>
      </c>
      <c r="B24" t="s">
        <v>390</v>
      </c>
      <c r="C24" t="s">
        <v>29064</v>
      </c>
      <c r="D24">
        <v>1</v>
      </c>
      <c r="E24" t="s">
        <v>390</v>
      </c>
      <c r="F24" t="s">
        <v>3</v>
      </c>
      <c r="H24" s="3">
        <v>0</v>
      </c>
      <c r="I24" s="3">
        <v>0</v>
      </c>
      <c r="J24" s="3">
        <v>0</v>
      </c>
      <c r="K24" s="3">
        <v>0</v>
      </c>
      <c r="L24" s="3">
        <f t="shared" si="0"/>
        <v>0</v>
      </c>
      <c r="M24" s="3"/>
      <c r="N24" s="3">
        <f t="shared" si="1"/>
        <v>0</v>
      </c>
      <c r="S24" s="89">
        <f>100%-Table34[[#This Row],[PDF_initial fee]]</f>
        <v>1</v>
      </c>
      <c r="T24" s="3"/>
    </row>
    <row r="25" spans="1:28" hidden="1" x14ac:dyDescent="0.25">
      <c r="A25">
        <v>110982</v>
      </c>
      <c r="B25" t="s">
        <v>392</v>
      </c>
      <c r="C25" t="s">
        <v>29065</v>
      </c>
      <c r="D25">
        <v>1</v>
      </c>
      <c r="E25" t="s">
        <v>392</v>
      </c>
      <c r="F25" t="s">
        <v>3</v>
      </c>
      <c r="H25" s="21">
        <v>0</v>
      </c>
      <c r="I25" s="21">
        <v>0</v>
      </c>
      <c r="J25" s="21">
        <v>0</v>
      </c>
      <c r="K25" s="21">
        <v>0</v>
      </c>
      <c r="L25" s="3">
        <f t="shared" si="0"/>
        <v>0</v>
      </c>
      <c r="M25" s="3"/>
      <c r="N25" s="3">
        <f t="shared" si="1"/>
        <v>0</v>
      </c>
      <c r="O25" s="21"/>
      <c r="S25" s="89">
        <f>100%-Table34[[#This Row],[PDF_initial fee]]</f>
        <v>1</v>
      </c>
      <c r="T25" s="3"/>
    </row>
    <row r="26" spans="1:28" hidden="1" x14ac:dyDescent="0.25">
      <c r="A26">
        <v>110992</v>
      </c>
      <c r="B26" t="s">
        <v>393</v>
      </c>
      <c r="C26" s="1" t="s">
        <v>29066</v>
      </c>
      <c r="D26">
        <v>1</v>
      </c>
      <c r="E26" t="s">
        <v>393</v>
      </c>
      <c r="F26" t="s">
        <v>3</v>
      </c>
      <c r="G26" s="1"/>
      <c r="H26" s="21">
        <v>0</v>
      </c>
      <c r="I26" s="21">
        <v>0</v>
      </c>
      <c r="J26" s="21">
        <v>0</v>
      </c>
      <c r="K26" s="21">
        <v>0</v>
      </c>
      <c r="L26" s="3">
        <f t="shared" si="0"/>
        <v>0</v>
      </c>
      <c r="M26" s="3"/>
      <c r="N26" s="3">
        <f t="shared" si="1"/>
        <v>0</v>
      </c>
      <c r="O26" t="s">
        <v>29049</v>
      </c>
      <c r="S26" s="89">
        <f>100%-Table34[[#This Row],[PDF_initial fee]]</f>
        <v>1</v>
      </c>
      <c r="T26" s="3"/>
    </row>
    <row r="27" spans="1:28" hidden="1" x14ac:dyDescent="0.25">
      <c r="A27">
        <v>112064</v>
      </c>
      <c r="B27" t="s">
        <v>394</v>
      </c>
      <c r="C27" t="s">
        <v>29067</v>
      </c>
      <c r="D27">
        <v>0</v>
      </c>
      <c r="E27" t="s">
        <v>394</v>
      </c>
      <c r="F27" t="s">
        <v>29068</v>
      </c>
      <c r="H27" s="21">
        <v>0</v>
      </c>
      <c r="I27" s="21">
        <v>0</v>
      </c>
      <c r="J27" s="21">
        <v>0</v>
      </c>
      <c r="K27" s="21">
        <v>0</v>
      </c>
      <c r="L27" s="3">
        <f t="shared" si="0"/>
        <v>0</v>
      </c>
      <c r="M27" s="3"/>
      <c r="N27" s="3">
        <f t="shared" si="1"/>
        <v>0</v>
      </c>
      <c r="O27" t="s">
        <v>29049</v>
      </c>
      <c r="S27" s="89">
        <f>100%-Table34[[#This Row],[PDF_initial fee]]</f>
        <v>1</v>
      </c>
      <c r="T27" s="3"/>
    </row>
    <row r="28" spans="1:28" hidden="1" x14ac:dyDescent="0.25">
      <c r="A28">
        <v>112543</v>
      </c>
      <c r="B28" t="s">
        <v>395</v>
      </c>
      <c r="C28" t="s">
        <v>29069</v>
      </c>
      <c r="D28">
        <v>3</v>
      </c>
      <c r="E28" t="s">
        <v>395</v>
      </c>
      <c r="F28" t="s">
        <v>3</v>
      </c>
      <c r="H28" s="3">
        <v>0</v>
      </c>
      <c r="I28" s="3">
        <v>0</v>
      </c>
      <c r="J28" s="3">
        <v>0</v>
      </c>
      <c r="K28" s="3">
        <v>0</v>
      </c>
      <c r="L28" s="3">
        <f t="shared" si="0"/>
        <v>0</v>
      </c>
      <c r="M28" s="3"/>
      <c r="N28" s="3">
        <f t="shared" si="1"/>
        <v>0</v>
      </c>
      <c r="S28" s="89">
        <f>100%-Table34[[#This Row],[PDF_initial fee]]</f>
        <v>1</v>
      </c>
      <c r="T28" s="3"/>
    </row>
    <row r="29" spans="1:28" hidden="1" x14ac:dyDescent="0.25">
      <c r="A29">
        <v>112720</v>
      </c>
      <c r="B29" t="s">
        <v>396</v>
      </c>
      <c r="C29" t="s">
        <v>12330</v>
      </c>
      <c r="D29">
        <v>2</v>
      </c>
      <c r="E29" t="s">
        <v>396</v>
      </c>
      <c r="F29" t="s">
        <v>3</v>
      </c>
      <c r="H29" s="21">
        <v>0</v>
      </c>
      <c r="I29" s="21">
        <v>0</v>
      </c>
      <c r="J29" s="21">
        <v>0</v>
      </c>
      <c r="K29" s="21">
        <v>0</v>
      </c>
      <c r="L29" s="3">
        <f t="shared" si="0"/>
        <v>0</v>
      </c>
      <c r="M29" s="3"/>
      <c r="N29" s="3">
        <f t="shared" si="1"/>
        <v>0</v>
      </c>
      <c r="S29" s="89">
        <f>100%-Table34[[#This Row],[PDF_initial fee]]</f>
        <v>1</v>
      </c>
      <c r="T29" s="3"/>
    </row>
    <row r="30" spans="1:28" hidden="1" x14ac:dyDescent="0.25">
      <c r="A30">
        <v>112887</v>
      </c>
      <c r="B30" t="s">
        <v>397</v>
      </c>
      <c r="C30" t="s">
        <v>29070</v>
      </c>
      <c r="D30">
        <v>2</v>
      </c>
      <c r="E30" t="s">
        <v>397</v>
      </c>
      <c r="F30" t="s">
        <v>3</v>
      </c>
      <c r="H30" s="21">
        <v>0</v>
      </c>
      <c r="I30" s="21">
        <v>0</v>
      </c>
      <c r="J30" s="21">
        <v>0</v>
      </c>
      <c r="K30" s="21">
        <v>0</v>
      </c>
      <c r="L30" s="3">
        <f t="shared" si="0"/>
        <v>0</v>
      </c>
      <c r="M30" s="3"/>
      <c r="N30" s="3">
        <f t="shared" si="1"/>
        <v>0</v>
      </c>
      <c r="O30" s="21"/>
      <c r="S30" s="89">
        <f>100%-Table34[[#This Row],[PDF_initial fee]]</f>
        <v>1</v>
      </c>
      <c r="T30" s="3"/>
    </row>
    <row r="31" spans="1:28" hidden="1" x14ac:dyDescent="0.25">
      <c r="A31">
        <v>112937</v>
      </c>
      <c r="B31" t="s">
        <v>398</v>
      </c>
      <c r="C31" t="s">
        <v>29071</v>
      </c>
      <c r="D31">
        <v>9</v>
      </c>
      <c r="E31" t="s">
        <v>398</v>
      </c>
      <c r="F31" t="s">
        <v>3</v>
      </c>
      <c r="L31" s="3">
        <f t="shared" si="0"/>
        <v>0</v>
      </c>
      <c r="M31" s="3"/>
      <c r="N31" s="3">
        <f t="shared" si="1"/>
        <v>0</v>
      </c>
      <c r="S31" s="89">
        <f>100%-Table34[[#This Row],[PDF_initial fee]]</f>
        <v>1</v>
      </c>
      <c r="T31" s="3"/>
    </row>
    <row r="32" spans="1:28" hidden="1" x14ac:dyDescent="0.25">
      <c r="A32">
        <v>113007</v>
      </c>
      <c r="B32" t="s">
        <v>399</v>
      </c>
      <c r="C32" t="s">
        <v>29072</v>
      </c>
      <c r="D32">
        <v>2</v>
      </c>
      <c r="E32" t="s">
        <v>399</v>
      </c>
      <c r="F32" t="s">
        <v>3</v>
      </c>
      <c r="H32" s="3">
        <v>0</v>
      </c>
      <c r="I32" s="3">
        <v>0</v>
      </c>
      <c r="J32" s="3">
        <v>0</v>
      </c>
      <c r="K32" s="3">
        <v>0</v>
      </c>
      <c r="L32" s="3">
        <f t="shared" si="0"/>
        <v>0</v>
      </c>
      <c r="M32" s="3"/>
      <c r="N32" s="3">
        <f t="shared" si="1"/>
        <v>0</v>
      </c>
      <c r="S32" s="89">
        <f>100%-Table34[[#This Row],[PDF_initial fee]]</f>
        <v>1</v>
      </c>
      <c r="T32" s="3"/>
    </row>
    <row r="33" spans="1:27" hidden="1" x14ac:dyDescent="0.25">
      <c r="A33">
        <v>113038</v>
      </c>
      <c r="B33" t="s">
        <v>400</v>
      </c>
      <c r="C33" t="s">
        <v>9811</v>
      </c>
      <c r="D33">
        <v>1</v>
      </c>
      <c r="E33" t="s">
        <v>400</v>
      </c>
      <c r="F33" t="s">
        <v>3</v>
      </c>
      <c r="H33" s="21">
        <v>0</v>
      </c>
      <c r="I33" s="21">
        <v>0</v>
      </c>
      <c r="J33" s="21">
        <v>0</v>
      </c>
      <c r="K33" s="21">
        <v>0</v>
      </c>
      <c r="L33" s="3">
        <f t="shared" si="0"/>
        <v>0</v>
      </c>
      <c r="M33" s="3"/>
      <c r="N33" s="3">
        <f t="shared" si="1"/>
        <v>0</v>
      </c>
      <c r="S33" s="89">
        <f>100%-Table34[[#This Row],[PDF_initial fee]]</f>
        <v>1</v>
      </c>
      <c r="T33" s="3"/>
    </row>
    <row r="34" spans="1:27" hidden="1" x14ac:dyDescent="0.25">
      <c r="A34">
        <v>113475</v>
      </c>
      <c r="B34" t="s">
        <v>401</v>
      </c>
      <c r="C34" t="s">
        <v>29073</v>
      </c>
      <c r="D34">
        <v>1</v>
      </c>
      <c r="E34" t="s">
        <v>401</v>
      </c>
      <c r="F34" t="s">
        <v>3</v>
      </c>
      <c r="H34" s="21">
        <v>0</v>
      </c>
      <c r="I34" s="21">
        <v>0</v>
      </c>
      <c r="J34" s="21">
        <v>0</v>
      </c>
      <c r="K34" s="21">
        <v>0</v>
      </c>
      <c r="L34" s="3">
        <f t="shared" si="0"/>
        <v>0</v>
      </c>
      <c r="M34" s="3"/>
      <c r="N34" s="3">
        <f t="shared" si="1"/>
        <v>0</v>
      </c>
      <c r="S34" s="89">
        <f>100%-Table34[[#This Row],[PDF_initial fee]]</f>
        <v>1</v>
      </c>
      <c r="T34" s="3"/>
    </row>
    <row r="35" spans="1:27" hidden="1" x14ac:dyDescent="0.25">
      <c r="A35">
        <v>113831</v>
      </c>
      <c r="B35" t="s">
        <v>402</v>
      </c>
      <c r="C35" t="s">
        <v>6958</v>
      </c>
      <c r="D35">
        <v>2</v>
      </c>
      <c r="E35" t="s">
        <v>402</v>
      </c>
      <c r="F35" t="s">
        <v>29046</v>
      </c>
      <c r="H35" s="21">
        <v>0</v>
      </c>
      <c r="I35" s="21">
        <v>0</v>
      </c>
      <c r="J35" s="21">
        <v>0</v>
      </c>
      <c r="K35" s="21">
        <v>0</v>
      </c>
      <c r="L35" s="3">
        <f t="shared" si="0"/>
        <v>0</v>
      </c>
      <c r="M35" s="3"/>
      <c r="N35" s="3">
        <f t="shared" si="1"/>
        <v>0</v>
      </c>
      <c r="S35" s="89">
        <f>100%-Table34[[#This Row],[PDF_initial fee]]</f>
        <v>1</v>
      </c>
      <c r="T35" s="3"/>
    </row>
    <row r="36" spans="1:27" hidden="1" x14ac:dyDescent="0.25">
      <c r="A36">
        <v>113991</v>
      </c>
      <c r="B36" t="s">
        <v>403</v>
      </c>
      <c r="C36" t="s">
        <v>29074</v>
      </c>
      <c r="D36">
        <v>0</v>
      </c>
      <c r="E36" t="s">
        <v>403</v>
      </c>
      <c r="F36" t="s">
        <v>3</v>
      </c>
      <c r="H36" s="21">
        <v>0</v>
      </c>
      <c r="I36" s="21">
        <v>0</v>
      </c>
      <c r="J36" s="21">
        <v>0</v>
      </c>
      <c r="K36" s="21">
        <v>0</v>
      </c>
      <c r="L36" s="3">
        <f t="shared" si="0"/>
        <v>0</v>
      </c>
      <c r="M36" s="3"/>
      <c r="N36" s="3">
        <f t="shared" si="1"/>
        <v>0</v>
      </c>
      <c r="O36" s="21"/>
      <c r="S36" s="89">
        <f>100%-Table34[[#This Row],[PDF_initial fee]]</f>
        <v>1</v>
      </c>
      <c r="T36" s="3"/>
    </row>
    <row r="37" spans="1:27" hidden="1" x14ac:dyDescent="0.25">
      <c r="A37">
        <v>114008</v>
      </c>
      <c r="B37" t="s">
        <v>404</v>
      </c>
      <c r="C37" t="s">
        <v>29075</v>
      </c>
      <c r="D37">
        <v>0</v>
      </c>
      <c r="E37" t="s">
        <v>404</v>
      </c>
      <c r="F37" t="s">
        <v>3</v>
      </c>
      <c r="H37" s="21">
        <v>0</v>
      </c>
      <c r="I37" s="21">
        <v>0</v>
      </c>
      <c r="J37" s="21">
        <v>0</v>
      </c>
      <c r="K37" s="21">
        <v>0</v>
      </c>
      <c r="L37" s="3">
        <f t="shared" si="0"/>
        <v>0</v>
      </c>
      <c r="M37" s="3"/>
      <c r="N37" s="3">
        <f t="shared" si="1"/>
        <v>0</v>
      </c>
      <c r="O37" s="21"/>
      <c r="S37" s="89">
        <f>100%-Table34[[#This Row],[PDF_initial fee]]</f>
        <v>1</v>
      </c>
      <c r="T37" s="3"/>
    </row>
    <row r="38" spans="1:27" hidden="1" x14ac:dyDescent="0.25">
      <c r="A38">
        <v>114159</v>
      </c>
      <c r="B38" t="s">
        <v>405</v>
      </c>
      <c r="C38" t="s">
        <v>29076</v>
      </c>
      <c r="D38">
        <v>0</v>
      </c>
      <c r="E38" t="s">
        <v>405</v>
      </c>
      <c r="F38" t="s">
        <v>3</v>
      </c>
      <c r="H38" s="21">
        <v>0</v>
      </c>
      <c r="I38" s="21">
        <v>0</v>
      </c>
      <c r="J38" s="21">
        <v>0</v>
      </c>
      <c r="K38" s="21">
        <v>0</v>
      </c>
      <c r="L38" s="3">
        <f t="shared" si="0"/>
        <v>0</v>
      </c>
      <c r="M38" s="3"/>
      <c r="N38" s="3">
        <f t="shared" si="1"/>
        <v>0</v>
      </c>
      <c r="O38" s="21"/>
      <c r="S38" s="89">
        <f>100%-Table34[[#This Row],[PDF_initial fee]]</f>
        <v>1</v>
      </c>
      <c r="T38" s="3"/>
    </row>
    <row r="39" spans="1:27" ht="45.4" customHeight="1" x14ac:dyDescent="0.25">
      <c r="A39">
        <v>114216</v>
      </c>
      <c r="B39" t="s">
        <v>406</v>
      </c>
      <c r="C39" s="1" t="s">
        <v>29077</v>
      </c>
      <c r="D39">
        <v>7</v>
      </c>
      <c r="E39" t="s">
        <v>406</v>
      </c>
      <c r="F39" t="s">
        <v>6</v>
      </c>
      <c r="G39" s="3">
        <v>1.35E-2</v>
      </c>
      <c r="H39" s="3">
        <v>1.95E-2</v>
      </c>
      <c r="I39" s="3">
        <v>2.5000000000000001E-3</v>
      </c>
      <c r="J39" s="6">
        <v>0</v>
      </c>
      <c r="K39" s="6"/>
      <c r="L39" s="3">
        <f t="shared" si="0"/>
        <v>2.1999999999999999E-2</v>
      </c>
      <c r="M39" s="3"/>
      <c r="N39" s="3">
        <f t="shared" si="1"/>
        <v>3.5499999999999997E-2</v>
      </c>
      <c r="O39" t="s">
        <v>29078</v>
      </c>
      <c r="P39" s="1" t="s">
        <v>29079</v>
      </c>
      <c r="Q39" s="101" t="s">
        <v>31789</v>
      </c>
      <c r="R39" s="89">
        <v>0.15</v>
      </c>
      <c r="S39" s="89">
        <f>100%-Table34[[#This Row],[InitialFee]]</f>
        <v>0.98050000000000004</v>
      </c>
      <c r="T39" s="89">
        <f>(1-Table34[[#This Row],[OngoingFee (plus Platform fee)]])^5</f>
        <v>0.98756234394521514</v>
      </c>
      <c r="U39" s="26">
        <f>(1+Table34[[#This Row],[Net 5yrs return (mostly up to 28th of Feb 2026)]])*Table34[[#This Row],[Investment after initial charge]]*Table34[[#This Row],[Cummulative 5yrs ongoing advice charge]]-1</f>
        <v>0.113550609974026</v>
      </c>
      <c r="V39" s="91">
        <v>727330000000</v>
      </c>
      <c r="W39" s="91" t="s">
        <v>29081</v>
      </c>
      <c r="X39" s="91">
        <v>67922000000</v>
      </c>
      <c r="Y39" s="30">
        <f>X39/V39</f>
        <v>9.3385395900072873E-2</v>
      </c>
      <c r="Z39" s="91"/>
      <c r="AA39" s="1" t="s">
        <v>29082</v>
      </c>
    </row>
    <row r="40" spans="1:27" hidden="1" x14ac:dyDescent="0.25">
      <c r="A40">
        <v>114276</v>
      </c>
      <c r="B40" t="s">
        <v>407</v>
      </c>
      <c r="C40" s="1" t="s">
        <v>29083</v>
      </c>
      <c r="D40">
        <v>21</v>
      </c>
      <c r="E40" t="s">
        <v>407</v>
      </c>
      <c r="F40" t="s">
        <v>6</v>
      </c>
      <c r="H40" s="3">
        <v>0</v>
      </c>
      <c r="I40" s="32">
        <v>0</v>
      </c>
      <c r="J40" s="32">
        <v>0</v>
      </c>
      <c r="K40" s="32">
        <v>0</v>
      </c>
      <c r="L40" s="3">
        <f t="shared" si="0"/>
        <v>0</v>
      </c>
      <c r="M40" s="3"/>
      <c r="N40" s="3">
        <f t="shared" si="1"/>
        <v>0</v>
      </c>
      <c r="O40" s="21"/>
      <c r="S40" s="89">
        <f>100%-Table34[[#This Row],[PDF_initial fee]]</f>
        <v>1</v>
      </c>
      <c r="T40" s="3"/>
    </row>
    <row r="41" spans="1:27" hidden="1" x14ac:dyDescent="0.25">
      <c r="A41">
        <v>114318</v>
      </c>
      <c r="B41" t="s">
        <v>408</v>
      </c>
      <c r="C41" t="s">
        <v>29084</v>
      </c>
      <c r="D41">
        <v>4</v>
      </c>
      <c r="E41" t="s">
        <v>408</v>
      </c>
      <c r="F41" t="s">
        <v>3</v>
      </c>
      <c r="H41" s="3">
        <v>0</v>
      </c>
      <c r="I41" s="3">
        <v>0</v>
      </c>
      <c r="J41" s="3">
        <v>0</v>
      </c>
      <c r="K41" s="3">
        <v>0</v>
      </c>
      <c r="L41" s="3">
        <f t="shared" si="0"/>
        <v>0</v>
      </c>
      <c r="M41" s="3"/>
      <c r="N41" s="3">
        <f t="shared" si="1"/>
        <v>0</v>
      </c>
      <c r="S41" s="89">
        <f>100%-Table34[[#This Row],[PDF_initial fee]]</f>
        <v>1</v>
      </c>
      <c r="T41" s="3"/>
    </row>
    <row r="42" spans="1:27" hidden="1" x14ac:dyDescent="0.25">
      <c r="A42">
        <v>114322</v>
      </c>
      <c r="B42" t="s">
        <v>409</v>
      </c>
      <c r="C42" t="s">
        <v>29085</v>
      </c>
      <c r="D42">
        <v>15</v>
      </c>
      <c r="E42" t="s">
        <v>409</v>
      </c>
      <c r="F42" t="s">
        <v>3</v>
      </c>
      <c r="H42" s="3">
        <v>0</v>
      </c>
      <c r="I42" s="33">
        <v>0</v>
      </c>
      <c r="J42" s="33">
        <v>0</v>
      </c>
      <c r="K42" s="33">
        <v>0</v>
      </c>
      <c r="L42" s="3">
        <f t="shared" si="0"/>
        <v>0</v>
      </c>
      <c r="M42" s="3"/>
      <c r="N42" s="3">
        <f t="shared" si="1"/>
        <v>0</v>
      </c>
      <c r="S42" s="89">
        <f>100%-Table34[[#This Row],[PDF_initial fee]]</f>
        <v>1</v>
      </c>
      <c r="T42" s="3"/>
    </row>
    <row r="43" spans="1:27" hidden="1" x14ac:dyDescent="0.25">
      <c r="A43">
        <v>114324</v>
      </c>
      <c r="B43" t="s">
        <v>410</v>
      </c>
      <c r="C43" t="s">
        <v>29086</v>
      </c>
      <c r="D43">
        <v>11</v>
      </c>
      <c r="E43" t="s">
        <v>410</v>
      </c>
      <c r="F43" t="s">
        <v>6</v>
      </c>
      <c r="H43" s="3">
        <v>0</v>
      </c>
      <c r="I43" s="21">
        <v>0</v>
      </c>
      <c r="J43" s="21">
        <v>0</v>
      </c>
      <c r="K43" s="21">
        <v>0</v>
      </c>
      <c r="L43" s="3">
        <f t="shared" si="0"/>
        <v>0</v>
      </c>
      <c r="M43" s="3"/>
      <c r="N43" s="3">
        <f t="shared" si="1"/>
        <v>0</v>
      </c>
      <c r="O43" s="21"/>
      <c r="S43" s="89">
        <f>100%-Table34[[#This Row],[PDF_initial fee]]</f>
        <v>1</v>
      </c>
      <c r="T43" s="3"/>
    </row>
    <row r="44" spans="1:27" hidden="1" x14ac:dyDescent="0.25">
      <c r="A44">
        <v>114341</v>
      </c>
      <c r="B44" t="s">
        <v>411</v>
      </c>
      <c r="C44" t="s">
        <v>8701</v>
      </c>
      <c r="D44">
        <v>3</v>
      </c>
      <c r="E44" t="s">
        <v>411</v>
      </c>
      <c r="F44" t="s">
        <v>3</v>
      </c>
      <c r="H44" s="3"/>
      <c r="L44" s="3">
        <f t="shared" si="0"/>
        <v>0</v>
      </c>
      <c r="M44" s="3"/>
      <c r="N44" s="3">
        <f t="shared" si="1"/>
        <v>0</v>
      </c>
      <c r="S44" s="89">
        <f>100%-Table34[[#This Row],[PDF_initial fee]]</f>
        <v>1</v>
      </c>
      <c r="T44" s="3"/>
    </row>
    <row r="45" spans="1:27" hidden="1" x14ac:dyDescent="0.25">
      <c r="A45">
        <v>114354</v>
      </c>
      <c r="B45" t="s">
        <v>412</v>
      </c>
      <c r="C45" t="s">
        <v>12204</v>
      </c>
      <c r="D45">
        <v>2</v>
      </c>
      <c r="E45" t="s">
        <v>412</v>
      </c>
      <c r="F45" t="s">
        <v>3</v>
      </c>
      <c r="H45" s="3">
        <v>0</v>
      </c>
      <c r="I45" s="21">
        <v>0</v>
      </c>
      <c r="J45" s="21">
        <v>0</v>
      </c>
      <c r="K45" s="21">
        <v>0</v>
      </c>
      <c r="L45" s="3">
        <f t="shared" si="0"/>
        <v>0</v>
      </c>
      <c r="M45" s="3"/>
      <c r="N45" s="3">
        <f t="shared" si="1"/>
        <v>0</v>
      </c>
      <c r="S45" s="89">
        <f>100%-Table34[[#This Row],[PDF_initial fee]]</f>
        <v>1</v>
      </c>
      <c r="T45" s="3"/>
    </row>
    <row r="46" spans="1:27" hidden="1" x14ac:dyDescent="0.25">
      <c r="A46">
        <v>114360</v>
      </c>
      <c r="B46" t="s">
        <v>413</v>
      </c>
      <c r="C46" t="s">
        <v>8438</v>
      </c>
      <c r="D46">
        <v>4</v>
      </c>
      <c r="E46" t="s">
        <v>413</v>
      </c>
      <c r="F46" t="s">
        <v>3</v>
      </c>
      <c r="H46" s="3">
        <v>0</v>
      </c>
      <c r="I46" s="21">
        <v>0</v>
      </c>
      <c r="J46" s="21">
        <v>0</v>
      </c>
      <c r="K46" s="21">
        <v>0</v>
      </c>
      <c r="L46" s="3">
        <f t="shared" si="0"/>
        <v>0</v>
      </c>
      <c r="M46" s="3"/>
      <c r="N46" s="3">
        <f t="shared" si="1"/>
        <v>0</v>
      </c>
      <c r="S46" s="89">
        <f>100%-Table34[[#This Row],[PDF_initial fee]]</f>
        <v>1</v>
      </c>
      <c r="T46" s="3"/>
    </row>
    <row r="47" spans="1:27" hidden="1" x14ac:dyDescent="0.25">
      <c r="A47">
        <v>114370</v>
      </c>
      <c r="B47" t="s">
        <v>414</v>
      </c>
      <c r="C47" t="s">
        <v>29087</v>
      </c>
      <c r="D47">
        <v>2</v>
      </c>
      <c r="E47" t="s">
        <v>414</v>
      </c>
      <c r="F47" t="s">
        <v>3</v>
      </c>
      <c r="H47" s="3">
        <v>0</v>
      </c>
      <c r="I47" s="3">
        <v>0</v>
      </c>
      <c r="J47" s="3">
        <v>0</v>
      </c>
      <c r="K47" s="3">
        <v>0</v>
      </c>
      <c r="L47" s="3">
        <f t="shared" si="0"/>
        <v>0</v>
      </c>
      <c r="M47" s="3"/>
      <c r="N47" s="3">
        <f t="shared" si="1"/>
        <v>0</v>
      </c>
      <c r="S47" s="89">
        <f>100%-Table34[[#This Row],[PDF_initial fee]]</f>
        <v>1</v>
      </c>
      <c r="T47" s="3"/>
    </row>
    <row r="48" spans="1:27" hidden="1" x14ac:dyDescent="0.25">
      <c r="A48">
        <v>114390</v>
      </c>
      <c r="B48" t="s">
        <v>415</v>
      </c>
      <c r="C48" t="s">
        <v>9818</v>
      </c>
      <c r="D48">
        <v>2</v>
      </c>
      <c r="E48" t="s">
        <v>415</v>
      </c>
      <c r="F48" t="s">
        <v>3</v>
      </c>
      <c r="H48" s="3">
        <v>0</v>
      </c>
      <c r="I48" s="21">
        <v>0</v>
      </c>
      <c r="J48" s="21">
        <v>0</v>
      </c>
      <c r="K48" s="21">
        <v>0</v>
      </c>
      <c r="L48" s="3">
        <f t="shared" si="0"/>
        <v>0</v>
      </c>
      <c r="M48" s="3"/>
      <c r="N48" s="3">
        <f t="shared" si="1"/>
        <v>0</v>
      </c>
      <c r="S48" s="89">
        <f>100%-Table34[[#This Row],[PDF_initial fee]]</f>
        <v>1</v>
      </c>
      <c r="T48" s="3"/>
    </row>
    <row r="49" spans="1:28" hidden="1" x14ac:dyDescent="0.25">
      <c r="A49">
        <v>137472</v>
      </c>
      <c r="B49" t="s">
        <v>50</v>
      </c>
      <c r="C49" s="1" t="s">
        <v>29088</v>
      </c>
      <c r="D49">
        <v>2</v>
      </c>
      <c r="E49" t="s">
        <v>50</v>
      </c>
      <c r="F49" t="s">
        <v>3</v>
      </c>
      <c r="G49" s="3"/>
      <c r="H49" s="3"/>
      <c r="I49" s="3"/>
      <c r="J49" s="6"/>
      <c r="K49" s="6"/>
      <c r="L49" s="3"/>
      <c r="M49" s="3"/>
      <c r="N49" s="3"/>
      <c r="P49" s="1" t="s">
        <v>29089</v>
      </c>
      <c r="S49" s="89">
        <f>100%-Table34[[#This Row],[PDF_initial fee]]</f>
        <v>1</v>
      </c>
      <c r="T49" s="3"/>
      <c r="V49" s="10">
        <v>209303</v>
      </c>
      <c r="W49" t="s">
        <v>29051</v>
      </c>
      <c r="X49" s="10">
        <v>194205</v>
      </c>
      <c r="Y49" s="30">
        <f>X49/V49</f>
        <v>0.92786534354500416</v>
      </c>
      <c r="AA49" s="1" t="s">
        <v>29090</v>
      </c>
    </row>
    <row r="50" spans="1:28" hidden="1" x14ac:dyDescent="0.25">
      <c r="A50">
        <v>114402</v>
      </c>
      <c r="B50" t="s">
        <v>416</v>
      </c>
      <c r="C50" t="s">
        <v>29091</v>
      </c>
      <c r="D50">
        <v>0</v>
      </c>
      <c r="E50" t="s">
        <v>416</v>
      </c>
      <c r="F50" t="s">
        <v>6</v>
      </c>
      <c r="H50" s="3">
        <v>0</v>
      </c>
      <c r="I50" s="3">
        <v>0</v>
      </c>
      <c r="J50" s="3">
        <v>0</v>
      </c>
      <c r="K50" s="3">
        <v>0</v>
      </c>
      <c r="L50" s="3">
        <f t="shared" ref="L50:L77" si="2">SUM(H50:K50)</f>
        <v>0</v>
      </c>
      <c r="M50" s="3"/>
      <c r="N50" s="3">
        <f t="shared" ref="N50:N77" si="3">L50+G50</f>
        <v>0</v>
      </c>
      <c r="S50" s="89">
        <f>100%-Table34[[#This Row],[PDF_initial fee]]</f>
        <v>1</v>
      </c>
      <c r="T50" s="3"/>
      <c r="Z50" t="s">
        <v>12692</v>
      </c>
    </row>
    <row r="51" spans="1:28" hidden="1" x14ac:dyDescent="0.25">
      <c r="A51">
        <v>114423</v>
      </c>
      <c r="B51" t="s">
        <v>417</v>
      </c>
      <c r="C51" t="s">
        <v>7056</v>
      </c>
      <c r="D51">
        <v>11</v>
      </c>
      <c r="E51" t="s">
        <v>417</v>
      </c>
      <c r="F51" t="s">
        <v>3</v>
      </c>
      <c r="H51" s="3">
        <v>0</v>
      </c>
      <c r="I51" s="21">
        <v>0</v>
      </c>
      <c r="J51" s="21">
        <v>0</v>
      </c>
      <c r="K51" s="21">
        <v>0</v>
      </c>
      <c r="L51" s="3">
        <f t="shared" si="2"/>
        <v>0</v>
      </c>
      <c r="M51" s="3"/>
      <c r="N51" s="3">
        <f t="shared" si="3"/>
        <v>0</v>
      </c>
      <c r="S51" s="89">
        <f>100%-Table34[[#This Row],[PDF_initial fee]]</f>
        <v>1</v>
      </c>
      <c r="T51" s="3"/>
    </row>
    <row r="52" spans="1:28" hidden="1" x14ac:dyDescent="0.25">
      <c r="A52">
        <v>114428</v>
      </c>
      <c r="B52" t="s">
        <v>418</v>
      </c>
      <c r="C52" t="s">
        <v>10352</v>
      </c>
      <c r="D52">
        <v>7</v>
      </c>
      <c r="E52" t="s">
        <v>418</v>
      </c>
      <c r="F52" t="s">
        <v>3</v>
      </c>
      <c r="H52" s="3">
        <v>0</v>
      </c>
      <c r="I52" s="21">
        <v>0</v>
      </c>
      <c r="J52" s="21">
        <v>0</v>
      </c>
      <c r="K52" s="21">
        <v>0</v>
      </c>
      <c r="L52" s="3">
        <f t="shared" si="2"/>
        <v>0</v>
      </c>
      <c r="M52" s="3"/>
      <c r="N52" s="3">
        <f t="shared" si="3"/>
        <v>0</v>
      </c>
      <c r="S52" s="89">
        <f>100%-Table34[[#This Row],[PDF_initial fee]]</f>
        <v>1</v>
      </c>
      <c r="T52" s="3"/>
    </row>
    <row r="53" spans="1:28" hidden="1" x14ac:dyDescent="0.25">
      <c r="A53">
        <v>114526</v>
      </c>
      <c r="B53" t="s">
        <v>419</v>
      </c>
      <c r="C53" t="s">
        <v>7040</v>
      </c>
      <c r="D53">
        <v>2</v>
      </c>
      <c r="E53" t="s">
        <v>419</v>
      </c>
      <c r="F53" t="s">
        <v>3</v>
      </c>
      <c r="H53" s="3">
        <v>0</v>
      </c>
      <c r="I53" s="21">
        <v>0</v>
      </c>
      <c r="J53" s="21">
        <v>0</v>
      </c>
      <c r="K53" s="21">
        <v>0</v>
      </c>
      <c r="L53" s="3">
        <f t="shared" si="2"/>
        <v>0</v>
      </c>
      <c r="M53" s="3"/>
      <c r="N53" s="3">
        <f t="shared" si="3"/>
        <v>0</v>
      </c>
      <c r="S53" s="89">
        <f>100%-Table34[[#This Row],[PDF_initial fee]]</f>
        <v>1</v>
      </c>
      <c r="T53" s="3"/>
    </row>
    <row r="54" spans="1:28" hidden="1" x14ac:dyDescent="0.25">
      <c r="A54">
        <v>114543</v>
      </c>
      <c r="B54" t="s">
        <v>420</v>
      </c>
      <c r="C54" t="s">
        <v>8846</v>
      </c>
      <c r="D54">
        <v>4</v>
      </c>
      <c r="E54" t="s">
        <v>420</v>
      </c>
      <c r="F54" t="s">
        <v>3</v>
      </c>
      <c r="H54" s="3">
        <v>0</v>
      </c>
      <c r="I54" s="21">
        <v>0</v>
      </c>
      <c r="J54" s="21">
        <v>0</v>
      </c>
      <c r="K54" s="21">
        <v>0</v>
      </c>
      <c r="L54" s="3">
        <f t="shared" si="2"/>
        <v>0</v>
      </c>
      <c r="M54" s="3"/>
      <c r="N54" s="3">
        <f t="shared" si="3"/>
        <v>0</v>
      </c>
      <c r="S54" s="89">
        <f>100%-Table34[[#This Row],[PDF_initial fee]]</f>
        <v>1</v>
      </c>
      <c r="T54" s="3"/>
    </row>
    <row r="55" spans="1:28" x14ac:dyDescent="0.25">
      <c r="A55">
        <v>826457</v>
      </c>
      <c r="B55" t="s">
        <v>315</v>
      </c>
      <c r="C55" s="1" t="s">
        <v>29092</v>
      </c>
      <c r="D55">
        <v>9</v>
      </c>
      <c r="E55" t="s">
        <v>315</v>
      </c>
      <c r="F55" t="s">
        <v>3</v>
      </c>
      <c r="G55" s="3">
        <v>1.4E-3</v>
      </c>
      <c r="H55" s="3">
        <v>0.01</v>
      </c>
      <c r="I55" s="3">
        <v>7.4999999999999997E-3</v>
      </c>
      <c r="J55" s="6">
        <v>0</v>
      </c>
      <c r="K55" s="6"/>
      <c r="L55" s="3">
        <f t="shared" si="2"/>
        <v>1.7500000000000002E-2</v>
      </c>
      <c r="M55" s="3"/>
      <c r="N55" s="3">
        <f t="shared" si="3"/>
        <v>1.89E-2</v>
      </c>
      <c r="O55" s="1"/>
      <c r="P55" s="31" t="s">
        <v>29093</v>
      </c>
      <c r="Q55" t="s">
        <v>31787</v>
      </c>
      <c r="R55" s="30">
        <v>0.33333333333333348</v>
      </c>
      <c r="S55" s="89">
        <f>100%-Table34[[#This Row],[InitialFee]]</f>
        <v>0.99</v>
      </c>
      <c r="T55" s="89">
        <f>(1-Table34[[#This Row],[OngoingFee (plus Platform fee)]])^5</f>
        <v>0.9630582970465823</v>
      </c>
      <c r="U55" s="26">
        <f>(1+Table34[[#This Row],[Net 5yrs return (mostly up to 28th of Feb 2026)]])*Table34[[#This Row],[Investment after initial charge]]*Table34[[#This Row],[Cummulative 5yrs ongoing advice charge]]-1</f>
        <v>0.27123695210148879</v>
      </c>
      <c r="V55" s="10">
        <f>451814+1486163</f>
        <v>1937977</v>
      </c>
      <c r="W55" t="s">
        <v>29051</v>
      </c>
      <c r="X55" s="9">
        <v>1765811</v>
      </c>
      <c r="Y55" s="30">
        <f>X55/V55</f>
        <v>0.91116200037461748</v>
      </c>
      <c r="AA55" s="1" t="s">
        <v>29094</v>
      </c>
    </row>
    <row r="56" spans="1:28" hidden="1" x14ac:dyDescent="0.25">
      <c r="A56">
        <v>114617</v>
      </c>
      <c r="B56" t="s">
        <v>421</v>
      </c>
      <c r="C56" t="s">
        <v>7528</v>
      </c>
      <c r="D56">
        <v>8</v>
      </c>
      <c r="E56" t="s">
        <v>421</v>
      </c>
      <c r="F56" t="s">
        <v>3</v>
      </c>
      <c r="H56" s="3">
        <v>0</v>
      </c>
      <c r="I56" s="21">
        <v>0</v>
      </c>
      <c r="J56" s="21">
        <v>0</v>
      </c>
      <c r="K56" s="21">
        <v>0</v>
      </c>
      <c r="L56" s="3">
        <f t="shared" si="2"/>
        <v>0</v>
      </c>
      <c r="M56" s="3"/>
      <c r="N56" s="3">
        <f t="shared" si="3"/>
        <v>0</v>
      </c>
      <c r="S56" s="89">
        <f>100%-Table34[[#This Row],[PDF_initial fee]]</f>
        <v>1</v>
      </c>
      <c r="T56" s="3"/>
    </row>
    <row r="57" spans="1:28" hidden="1" x14ac:dyDescent="0.25">
      <c r="A57">
        <v>114640</v>
      </c>
      <c r="B57" t="s">
        <v>423</v>
      </c>
      <c r="C57" t="s">
        <v>6958</v>
      </c>
      <c r="D57">
        <v>1</v>
      </c>
      <c r="E57" t="s">
        <v>423</v>
      </c>
      <c r="F57" t="s">
        <v>6958</v>
      </c>
      <c r="H57" s="3">
        <v>0</v>
      </c>
      <c r="I57" s="21">
        <v>0</v>
      </c>
      <c r="J57" s="21">
        <v>0</v>
      </c>
      <c r="K57" s="21">
        <v>0</v>
      </c>
      <c r="L57" s="3">
        <f t="shared" si="2"/>
        <v>0</v>
      </c>
      <c r="M57" s="3"/>
      <c r="N57" s="3">
        <f t="shared" si="3"/>
        <v>0</v>
      </c>
      <c r="S57" s="89">
        <f>100%-Table34[[#This Row],[PDF_initial fee]]</f>
        <v>1</v>
      </c>
      <c r="T57" s="3"/>
    </row>
    <row r="58" spans="1:28" hidden="1" x14ac:dyDescent="0.25">
      <c r="A58">
        <v>114650</v>
      </c>
      <c r="B58" t="s">
        <v>424</v>
      </c>
      <c r="C58" t="s">
        <v>29095</v>
      </c>
      <c r="D58">
        <v>22</v>
      </c>
      <c r="E58" t="s">
        <v>424</v>
      </c>
      <c r="F58" t="s">
        <v>29096</v>
      </c>
      <c r="H58" s="3"/>
      <c r="I58" s="3"/>
      <c r="J58" s="3"/>
      <c r="K58" s="3"/>
      <c r="L58" s="3">
        <f t="shared" si="2"/>
        <v>0</v>
      </c>
      <c r="M58" s="3"/>
      <c r="N58" s="3">
        <f t="shared" si="3"/>
        <v>0</v>
      </c>
      <c r="O58" t="s">
        <v>29097</v>
      </c>
      <c r="S58" s="89">
        <f>100%-Table34[[#This Row],[PDF_initial fee]]</f>
        <v>1</v>
      </c>
      <c r="T58" s="3"/>
    </row>
    <row r="59" spans="1:28" hidden="1" x14ac:dyDescent="0.25">
      <c r="A59">
        <v>114694</v>
      </c>
      <c r="B59" t="s">
        <v>425</v>
      </c>
      <c r="C59" t="s">
        <v>7040</v>
      </c>
      <c r="D59">
        <v>82</v>
      </c>
      <c r="E59" t="s">
        <v>425</v>
      </c>
      <c r="F59" t="s">
        <v>6</v>
      </c>
      <c r="H59" s="3"/>
      <c r="L59" s="3">
        <f t="shared" si="2"/>
        <v>0</v>
      </c>
      <c r="M59" s="3"/>
      <c r="N59" s="3">
        <f t="shared" si="3"/>
        <v>0</v>
      </c>
      <c r="S59" s="89">
        <f>100%-Table34[[#This Row],[PDF_initial fee]]</f>
        <v>1</v>
      </c>
      <c r="T59" s="3"/>
    </row>
    <row r="60" spans="1:28" x14ac:dyDescent="0.25">
      <c r="A60">
        <v>769033</v>
      </c>
      <c r="B60" t="s">
        <v>289</v>
      </c>
      <c r="C60" s="1" t="s">
        <v>7101</v>
      </c>
      <c r="D60">
        <v>4</v>
      </c>
      <c r="E60" t="s">
        <v>289</v>
      </c>
      <c r="F60" t="s">
        <v>3</v>
      </c>
      <c r="G60" s="3">
        <v>1.4E-3</v>
      </c>
      <c r="H60" s="3">
        <v>0</v>
      </c>
      <c r="I60" s="3">
        <v>9.9000000000000005E-2</v>
      </c>
      <c r="J60" s="6">
        <v>0</v>
      </c>
      <c r="K60" s="6">
        <v>0</v>
      </c>
      <c r="L60" s="3">
        <f t="shared" si="2"/>
        <v>9.9000000000000005E-2</v>
      </c>
      <c r="M60" s="3"/>
      <c r="N60" s="3">
        <f t="shared" si="3"/>
        <v>0.1004</v>
      </c>
      <c r="O60" t="s">
        <v>31788</v>
      </c>
      <c r="P60" s="1" t="s">
        <v>29098</v>
      </c>
      <c r="Q60" t="s">
        <v>31787</v>
      </c>
      <c r="R60" s="89">
        <v>0.33333333333333348</v>
      </c>
      <c r="S60" s="99">
        <f>100%-Table34[[#This Row],[InitialFee]]</f>
        <v>1</v>
      </c>
      <c r="T60" s="99">
        <f>(1-Table34[[#This Row],[OngoingFee (plus Platform fee)]])^5</f>
        <v>0.59377779810450104</v>
      </c>
      <c r="U60" s="26">
        <f>(1+Table34[[#This Row],[Net 5yrs return (mostly up to 28th of Feb 2026)]])*Table34[[#This Row],[Investment after initial charge]]*Table34[[#This Row],[Cummulative 5yrs ongoing advice charge]]-1</f>
        <v>-0.20829626919399857</v>
      </c>
      <c r="V60" s="9">
        <f>287038+6160</f>
        <v>293198</v>
      </c>
      <c r="W60" t="s">
        <v>29051</v>
      </c>
      <c r="X60" s="9">
        <v>287038</v>
      </c>
      <c r="Y60" s="30">
        <f>X60/V60</f>
        <v>0.97899030689158861</v>
      </c>
      <c r="AA60" s="1" t="s">
        <v>29099</v>
      </c>
      <c r="AB60" t="s">
        <v>29056</v>
      </c>
    </row>
    <row r="61" spans="1:28" hidden="1" x14ac:dyDescent="0.25">
      <c r="A61">
        <v>114778</v>
      </c>
      <c r="B61" t="s">
        <v>426</v>
      </c>
      <c r="C61" t="s">
        <v>29100</v>
      </c>
      <c r="D61">
        <v>12</v>
      </c>
      <c r="E61" t="s">
        <v>426</v>
      </c>
      <c r="F61" t="s">
        <v>3</v>
      </c>
      <c r="H61" s="3">
        <v>0</v>
      </c>
      <c r="I61" s="3">
        <v>0</v>
      </c>
      <c r="J61" s="3">
        <v>0</v>
      </c>
      <c r="K61" s="3">
        <v>0</v>
      </c>
      <c r="L61" s="3">
        <f t="shared" si="2"/>
        <v>0</v>
      </c>
      <c r="M61" s="3"/>
      <c r="N61" s="3">
        <f t="shared" si="3"/>
        <v>0</v>
      </c>
      <c r="R61" s="89"/>
      <c r="S61" s="3">
        <f>100%-Table34[[#This Row],[PDF_initial fee]]</f>
        <v>1</v>
      </c>
      <c r="T61" s="3"/>
    </row>
    <row r="62" spans="1:28" hidden="1" x14ac:dyDescent="0.25">
      <c r="A62">
        <v>114800</v>
      </c>
      <c r="B62" t="s">
        <v>427</v>
      </c>
      <c r="C62" s="1" t="s">
        <v>29101</v>
      </c>
      <c r="D62">
        <v>8</v>
      </c>
      <c r="E62" t="s">
        <v>427</v>
      </c>
      <c r="F62" t="s">
        <v>3</v>
      </c>
      <c r="G62" s="1"/>
      <c r="H62" s="3">
        <v>0</v>
      </c>
      <c r="I62" s="3">
        <v>0</v>
      </c>
      <c r="J62" s="3">
        <v>0</v>
      </c>
      <c r="K62" s="3">
        <v>0</v>
      </c>
      <c r="L62" s="3">
        <f t="shared" si="2"/>
        <v>0</v>
      </c>
      <c r="M62" s="3"/>
      <c r="N62" s="3">
        <f t="shared" si="3"/>
        <v>0</v>
      </c>
      <c r="R62" s="89"/>
      <c r="S62" s="3">
        <f>100%-Table34[[#This Row],[PDF_initial fee]]</f>
        <v>1</v>
      </c>
      <c r="T62" s="3"/>
    </row>
    <row r="63" spans="1:28" hidden="1" x14ac:dyDescent="0.25">
      <c r="A63">
        <v>114852</v>
      </c>
      <c r="B63" t="s">
        <v>428</v>
      </c>
      <c r="C63" t="s">
        <v>29102</v>
      </c>
      <c r="D63">
        <v>4</v>
      </c>
      <c r="E63" t="s">
        <v>428</v>
      </c>
      <c r="F63" t="s">
        <v>3</v>
      </c>
      <c r="H63" s="3">
        <v>0</v>
      </c>
      <c r="I63" s="21">
        <v>0</v>
      </c>
      <c r="J63" s="21">
        <v>0</v>
      </c>
      <c r="K63" s="21">
        <v>0</v>
      </c>
      <c r="L63" s="3">
        <f t="shared" si="2"/>
        <v>0</v>
      </c>
      <c r="M63" s="3"/>
      <c r="N63" s="3">
        <f t="shared" si="3"/>
        <v>0</v>
      </c>
      <c r="O63" s="21"/>
      <c r="R63" s="89"/>
      <c r="S63" s="3">
        <f>100%-Table34[[#This Row],[PDF_initial fee]]</f>
        <v>1</v>
      </c>
      <c r="T63" s="3"/>
    </row>
    <row r="64" spans="1:28" hidden="1" x14ac:dyDescent="0.25">
      <c r="A64">
        <v>114943</v>
      </c>
      <c r="B64" t="s">
        <v>429</v>
      </c>
      <c r="C64" t="s">
        <v>10999</v>
      </c>
      <c r="D64">
        <v>1</v>
      </c>
      <c r="E64" t="s">
        <v>429</v>
      </c>
      <c r="F64" t="s">
        <v>3</v>
      </c>
      <c r="H64" s="3">
        <v>0</v>
      </c>
      <c r="I64" s="21">
        <v>0</v>
      </c>
      <c r="J64" s="21">
        <v>0</v>
      </c>
      <c r="K64" s="21">
        <v>0</v>
      </c>
      <c r="L64" s="3">
        <f t="shared" si="2"/>
        <v>0</v>
      </c>
      <c r="M64" s="3"/>
      <c r="N64" s="3">
        <f t="shared" si="3"/>
        <v>0</v>
      </c>
      <c r="R64" s="89"/>
      <c r="S64" s="3">
        <f>100%-Table34[[#This Row],[PDF_initial fee]]</f>
        <v>1</v>
      </c>
      <c r="T64" s="3"/>
    </row>
    <row r="65" spans="1:28" hidden="1" x14ac:dyDescent="0.25">
      <c r="A65">
        <v>114952</v>
      </c>
      <c r="B65" t="s">
        <v>430</v>
      </c>
      <c r="C65" t="s">
        <v>7986</v>
      </c>
      <c r="D65">
        <v>0</v>
      </c>
      <c r="E65" t="s">
        <v>430</v>
      </c>
      <c r="F65" t="s">
        <v>3</v>
      </c>
      <c r="H65" s="3">
        <v>0</v>
      </c>
      <c r="I65" s="21">
        <v>0</v>
      </c>
      <c r="J65" s="21">
        <v>0</v>
      </c>
      <c r="K65" s="21">
        <v>0</v>
      </c>
      <c r="L65" s="3">
        <f t="shared" si="2"/>
        <v>0</v>
      </c>
      <c r="M65" s="3"/>
      <c r="N65" s="3">
        <f t="shared" si="3"/>
        <v>0</v>
      </c>
      <c r="R65" s="89"/>
      <c r="S65" s="3">
        <f>100%-Table34[[#This Row],[PDF_initial fee]]</f>
        <v>1</v>
      </c>
      <c r="T65" s="3"/>
    </row>
    <row r="66" spans="1:28" hidden="1" x14ac:dyDescent="0.25">
      <c r="A66">
        <v>114975</v>
      </c>
      <c r="B66" t="s">
        <v>431</v>
      </c>
      <c r="C66" t="s">
        <v>11232</v>
      </c>
      <c r="D66">
        <v>1</v>
      </c>
      <c r="E66" t="s">
        <v>431</v>
      </c>
      <c r="F66" t="s">
        <v>3</v>
      </c>
      <c r="H66" s="3">
        <v>0</v>
      </c>
      <c r="I66" s="21">
        <v>0</v>
      </c>
      <c r="J66" s="21">
        <v>0</v>
      </c>
      <c r="K66" s="21">
        <v>0</v>
      </c>
      <c r="L66" s="3">
        <f t="shared" si="2"/>
        <v>0</v>
      </c>
      <c r="M66" s="3"/>
      <c r="N66" s="3">
        <f t="shared" si="3"/>
        <v>0</v>
      </c>
      <c r="R66" s="89"/>
      <c r="S66" s="3">
        <f>100%-Table34[[#This Row],[PDF_initial fee]]</f>
        <v>1</v>
      </c>
      <c r="T66" s="3"/>
    </row>
    <row r="67" spans="1:28" hidden="1" x14ac:dyDescent="0.25">
      <c r="A67">
        <v>114986</v>
      </c>
      <c r="B67" t="s">
        <v>432</v>
      </c>
      <c r="C67" t="s">
        <v>6958</v>
      </c>
      <c r="D67">
        <v>1</v>
      </c>
      <c r="E67" t="s">
        <v>432</v>
      </c>
      <c r="F67" t="s">
        <v>6958</v>
      </c>
      <c r="G67" s="27"/>
      <c r="H67" s="3"/>
      <c r="L67" s="3">
        <f t="shared" si="2"/>
        <v>0</v>
      </c>
      <c r="M67" s="3"/>
      <c r="N67" s="3">
        <f t="shared" si="3"/>
        <v>0</v>
      </c>
      <c r="R67" s="89"/>
      <c r="S67" s="3">
        <f>100%-Table34[[#This Row],[PDF_initial fee]]</f>
        <v>1</v>
      </c>
      <c r="T67" s="3"/>
    </row>
    <row r="68" spans="1:28" hidden="1" x14ac:dyDescent="0.25">
      <c r="A68">
        <v>114997</v>
      </c>
      <c r="B68" t="s">
        <v>433</v>
      </c>
      <c r="C68" t="s">
        <v>9694</v>
      </c>
      <c r="D68">
        <v>1</v>
      </c>
      <c r="E68" t="s">
        <v>433</v>
      </c>
      <c r="F68" t="s">
        <v>3</v>
      </c>
      <c r="H68" s="3">
        <v>0</v>
      </c>
      <c r="I68" s="21">
        <v>0</v>
      </c>
      <c r="J68" s="21">
        <v>0</v>
      </c>
      <c r="K68" s="21">
        <v>0</v>
      </c>
      <c r="L68" s="3">
        <f t="shared" si="2"/>
        <v>0</v>
      </c>
      <c r="M68" s="3"/>
      <c r="N68" s="3">
        <f t="shared" si="3"/>
        <v>0</v>
      </c>
      <c r="R68" s="89"/>
      <c r="S68" s="3">
        <f>100%-Table34[[#This Row],[PDF_initial fee]]</f>
        <v>1</v>
      </c>
      <c r="T68" s="3"/>
    </row>
    <row r="69" spans="1:28" hidden="1" x14ac:dyDescent="0.25">
      <c r="A69">
        <v>115020</v>
      </c>
      <c r="B69" t="s">
        <v>434</v>
      </c>
      <c r="C69" t="s">
        <v>10017</v>
      </c>
      <c r="D69">
        <v>3</v>
      </c>
      <c r="E69" t="s">
        <v>434</v>
      </c>
      <c r="F69" t="s">
        <v>3</v>
      </c>
      <c r="H69" s="3">
        <v>0</v>
      </c>
      <c r="I69" s="21">
        <v>0</v>
      </c>
      <c r="J69" s="21">
        <v>0</v>
      </c>
      <c r="K69" s="21">
        <v>0</v>
      </c>
      <c r="L69" s="3">
        <f t="shared" si="2"/>
        <v>0</v>
      </c>
      <c r="M69" s="3"/>
      <c r="N69" s="3">
        <f t="shared" si="3"/>
        <v>0</v>
      </c>
      <c r="R69" s="89"/>
      <c r="S69" s="3">
        <f>100%-Table34[[#This Row],[PDF_initial fee]]</f>
        <v>1</v>
      </c>
      <c r="T69" s="3"/>
    </row>
    <row r="70" spans="1:28" hidden="1" x14ac:dyDescent="0.25">
      <c r="A70">
        <v>115045</v>
      </c>
      <c r="B70" t="s">
        <v>435</v>
      </c>
      <c r="C70" t="s">
        <v>7929</v>
      </c>
      <c r="D70">
        <v>2</v>
      </c>
      <c r="E70" t="s">
        <v>435</v>
      </c>
      <c r="F70" t="s">
        <v>3</v>
      </c>
      <c r="H70" s="3">
        <v>0</v>
      </c>
      <c r="I70" s="21">
        <v>0</v>
      </c>
      <c r="J70" s="21">
        <v>0</v>
      </c>
      <c r="K70" s="21">
        <v>0</v>
      </c>
      <c r="L70" s="3">
        <f t="shared" si="2"/>
        <v>0</v>
      </c>
      <c r="M70" s="3"/>
      <c r="N70" s="3">
        <f t="shared" si="3"/>
        <v>0</v>
      </c>
      <c r="R70" s="89"/>
      <c r="S70" s="3">
        <f>100%-Table34[[#This Row],[PDF_initial fee]]</f>
        <v>1</v>
      </c>
      <c r="T70" s="3"/>
    </row>
    <row r="71" spans="1:28" hidden="1" x14ac:dyDescent="0.25">
      <c r="A71">
        <v>115057</v>
      </c>
      <c r="B71" t="s">
        <v>436</v>
      </c>
      <c r="C71" t="s">
        <v>29103</v>
      </c>
      <c r="D71">
        <v>3</v>
      </c>
      <c r="E71" t="s">
        <v>436</v>
      </c>
      <c r="F71" t="s">
        <v>29104</v>
      </c>
      <c r="H71" s="3"/>
      <c r="L71" s="3">
        <f t="shared" si="2"/>
        <v>0</v>
      </c>
      <c r="M71" s="3"/>
      <c r="N71" s="3">
        <f t="shared" si="3"/>
        <v>0</v>
      </c>
      <c r="R71" s="89"/>
      <c r="S71" s="3">
        <f>100%-Table34[[#This Row],[PDF_initial fee]]</f>
        <v>1</v>
      </c>
      <c r="T71" s="3"/>
    </row>
    <row r="72" spans="1:28" hidden="1" x14ac:dyDescent="0.25">
      <c r="A72">
        <v>115088</v>
      </c>
      <c r="B72" t="s">
        <v>437</v>
      </c>
      <c r="C72" t="s">
        <v>29105</v>
      </c>
      <c r="D72">
        <v>3</v>
      </c>
      <c r="E72" t="s">
        <v>437</v>
      </c>
      <c r="F72" t="s">
        <v>3</v>
      </c>
      <c r="H72" s="3">
        <v>0</v>
      </c>
      <c r="I72" s="21">
        <v>0</v>
      </c>
      <c r="J72" s="21">
        <v>0</v>
      </c>
      <c r="K72" s="21">
        <v>0</v>
      </c>
      <c r="L72" s="3">
        <f t="shared" si="2"/>
        <v>0</v>
      </c>
      <c r="M72" s="3"/>
      <c r="N72" s="3">
        <f t="shared" si="3"/>
        <v>0</v>
      </c>
      <c r="O72" s="21"/>
      <c r="R72" s="89"/>
      <c r="S72" s="3">
        <f>100%-Table34[[#This Row],[PDF_initial fee]]</f>
        <v>1</v>
      </c>
      <c r="T72" s="3"/>
    </row>
    <row r="73" spans="1:28" hidden="1" x14ac:dyDescent="0.25">
      <c r="A73">
        <v>115092</v>
      </c>
      <c r="B73" t="s">
        <v>438</v>
      </c>
      <c r="C73" t="s">
        <v>6958</v>
      </c>
      <c r="D73">
        <v>2</v>
      </c>
      <c r="E73" t="s">
        <v>438</v>
      </c>
      <c r="F73" t="s">
        <v>6958</v>
      </c>
      <c r="G73" s="27"/>
      <c r="H73" s="3"/>
      <c r="L73" s="3">
        <f t="shared" si="2"/>
        <v>0</v>
      </c>
      <c r="M73" s="3"/>
      <c r="N73" s="3">
        <f t="shared" si="3"/>
        <v>0</v>
      </c>
      <c r="R73" s="89"/>
      <c r="S73" s="3">
        <f>100%-Table34[[#This Row],[PDF_initial fee]]</f>
        <v>1</v>
      </c>
      <c r="T73" s="3"/>
    </row>
    <row r="74" spans="1:28" hidden="1" x14ac:dyDescent="0.25">
      <c r="A74">
        <v>115134</v>
      </c>
      <c r="B74" t="s">
        <v>439</v>
      </c>
      <c r="C74" t="s">
        <v>29106</v>
      </c>
      <c r="D74">
        <v>5</v>
      </c>
      <c r="E74" t="s">
        <v>439</v>
      </c>
      <c r="F74" t="s">
        <v>3</v>
      </c>
      <c r="H74" s="3">
        <v>0</v>
      </c>
      <c r="I74" s="3">
        <v>0</v>
      </c>
      <c r="J74" s="3">
        <v>0</v>
      </c>
      <c r="K74" s="3">
        <v>0</v>
      </c>
      <c r="L74" s="3">
        <f t="shared" si="2"/>
        <v>0</v>
      </c>
      <c r="M74" s="3"/>
      <c r="N74" s="3">
        <f t="shared" si="3"/>
        <v>0</v>
      </c>
      <c r="R74" s="89"/>
      <c r="S74" s="3">
        <f>100%-Table34[[#This Row],[PDF_initial fee]]</f>
        <v>1</v>
      </c>
      <c r="T74" s="3"/>
    </row>
    <row r="75" spans="1:28" hidden="1" x14ac:dyDescent="0.25">
      <c r="A75">
        <v>115180</v>
      </c>
      <c r="B75" t="s">
        <v>440</v>
      </c>
      <c r="C75" t="s">
        <v>29107</v>
      </c>
      <c r="D75">
        <v>9</v>
      </c>
      <c r="E75" t="s">
        <v>440</v>
      </c>
      <c r="F75" t="s">
        <v>3</v>
      </c>
      <c r="H75" s="3">
        <v>0</v>
      </c>
      <c r="I75" s="3">
        <v>0</v>
      </c>
      <c r="J75" s="3">
        <v>0</v>
      </c>
      <c r="K75" s="3">
        <v>0</v>
      </c>
      <c r="L75" s="3">
        <f t="shared" si="2"/>
        <v>0</v>
      </c>
      <c r="M75" s="3"/>
      <c r="N75" s="3">
        <f t="shared" si="3"/>
        <v>0</v>
      </c>
      <c r="R75" s="89"/>
      <c r="S75" s="3">
        <f>100%-Table34[[#This Row],[PDF_initial fee]]</f>
        <v>1</v>
      </c>
      <c r="T75" s="3"/>
    </row>
    <row r="76" spans="1:28" x14ac:dyDescent="0.25">
      <c r="A76">
        <v>125569</v>
      </c>
      <c r="B76" t="s">
        <v>32</v>
      </c>
      <c r="C76" s="1" t="s">
        <v>29108</v>
      </c>
      <c r="D76">
        <v>4</v>
      </c>
      <c r="E76" t="s">
        <v>32</v>
      </c>
      <c r="F76" t="s">
        <v>6</v>
      </c>
      <c r="G76" s="3">
        <v>5.0000000000000001E-3</v>
      </c>
      <c r="H76" s="3">
        <v>0</v>
      </c>
      <c r="I76" s="3">
        <v>0</v>
      </c>
      <c r="J76" s="6">
        <v>3.5000000000000003E-2</v>
      </c>
      <c r="K76" s="6">
        <v>0.01</v>
      </c>
      <c r="L76" s="3">
        <f t="shared" si="2"/>
        <v>4.5000000000000005E-2</v>
      </c>
      <c r="M76" s="3"/>
      <c r="N76" s="3">
        <f t="shared" si="3"/>
        <v>0.05</v>
      </c>
      <c r="P76" s="1" t="s">
        <v>29109</v>
      </c>
      <c r="Q76" s="1" t="s">
        <v>29110</v>
      </c>
      <c r="R76" s="89">
        <v>0.32179999999999997</v>
      </c>
      <c r="S76" s="89">
        <f>100%-Table34[[#This Row],[PDF_initial fee]]</f>
        <v>0.96499999999999997</v>
      </c>
      <c r="T76" s="89">
        <f>(1-Table34[[#This Row],[PDF ongoing fee]])^5</f>
        <v>0.95099004989999991</v>
      </c>
      <c r="U76" s="26">
        <f>(1+Table34[[#This Row],[Net 5yrs return (mostly up to 28th of Feb 2026)]])*Table34[[#This Row],[Investment after initial charge]]*Table34[[#This Row],[Cummulative 5yrs ongoing advice charge]]-1</f>
        <v>0.21302299527929636</v>
      </c>
      <c r="V76" s="9">
        <f>2619215+454657</f>
        <v>3073872</v>
      </c>
      <c r="W76" t="s">
        <v>29051</v>
      </c>
      <c r="X76" s="9">
        <v>2579320</v>
      </c>
      <c r="Y76" s="30">
        <f>X76/V76</f>
        <v>0.83911106252960432</v>
      </c>
      <c r="Z76" t="s">
        <v>12692</v>
      </c>
      <c r="AA76" s="1" t="s">
        <v>29111</v>
      </c>
      <c r="AB76" t="s">
        <v>29056</v>
      </c>
    </row>
    <row r="77" spans="1:28" x14ac:dyDescent="0.25">
      <c r="A77">
        <v>131706</v>
      </c>
      <c r="B77" t="s">
        <v>39</v>
      </c>
      <c r="C77" s="1" t="s">
        <v>9824</v>
      </c>
      <c r="D77">
        <v>6</v>
      </c>
      <c r="E77" t="s">
        <v>39</v>
      </c>
      <c r="F77" t="s">
        <v>6</v>
      </c>
      <c r="G77" s="3">
        <v>5.0000000000000001E-3</v>
      </c>
      <c r="H77" s="3">
        <v>0</v>
      </c>
      <c r="I77" s="3">
        <v>0</v>
      </c>
      <c r="J77" s="6">
        <v>3.5000000000000003E-2</v>
      </c>
      <c r="K77" s="6">
        <v>0.01</v>
      </c>
      <c r="L77" s="3">
        <f t="shared" si="2"/>
        <v>4.5000000000000005E-2</v>
      </c>
      <c r="M77" s="3"/>
      <c r="N77" s="3">
        <f t="shared" si="3"/>
        <v>0.05</v>
      </c>
      <c r="P77" s="1" t="s">
        <v>29109</v>
      </c>
      <c r="Q77" s="1" t="s">
        <v>29110</v>
      </c>
      <c r="R77" s="89">
        <v>0.32179999999999997</v>
      </c>
      <c r="S77" s="89">
        <f>100%-Table34[[#This Row],[PDF_initial fee]]</f>
        <v>0.96499999999999997</v>
      </c>
      <c r="T77" s="89">
        <f>(1-Table34[[#This Row],[PDF ongoing fee]])^5</f>
        <v>0.95099004989999991</v>
      </c>
      <c r="U77" s="26">
        <f>(1+Table34[[#This Row],[Net 5yrs return (mostly up to 28th of Feb 2026)]])*Table34[[#This Row],[Investment after initial charge]]*Table34[[#This Row],[Cummulative 5yrs ongoing advice charge]]-1</f>
        <v>0.21302299527929636</v>
      </c>
      <c r="V77" s="10">
        <f>3860221+476311</f>
        <v>4336532</v>
      </c>
      <c r="W77" t="s">
        <v>29051</v>
      </c>
      <c r="X77" s="10">
        <v>3856536</v>
      </c>
      <c r="Y77" s="30">
        <f>X77/V77</f>
        <v>0.88931339605011561</v>
      </c>
      <c r="Z77" t="s">
        <v>12692</v>
      </c>
      <c r="AA77" s="1" t="s">
        <v>29112</v>
      </c>
      <c r="AB77" t="s">
        <v>29056</v>
      </c>
    </row>
    <row r="78" spans="1:28" s="34" customFormat="1" hidden="1" x14ac:dyDescent="0.25">
      <c r="A78" s="34">
        <v>115248</v>
      </c>
      <c r="B78" s="34" t="s">
        <v>441</v>
      </c>
      <c r="C78" s="35" t="s">
        <v>29113</v>
      </c>
      <c r="D78" s="34">
        <v>0</v>
      </c>
      <c r="E78" s="34" t="s">
        <v>441</v>
      </c>
      <c r="F78" s="34" t="s">
        <v>29114</v>
      </c>
      <c r="G78" s="29"/>
      <c r="H78" s="36"/>
      <c r="I78" s="36"/>
      <c r="J78" s="37"/>
      <c r="K78" s="37"/>
      <c r="L78" s="36"/>
      <c r="M78" s="36"/>
      <c r="N78" s="36"/>
      <c r="O78" s="34" t="s">
        <v>29115</v>
      </c>
      <c r="P78" s="35" t="s">
        <v>29116</v>
      </c>
      <c r="Q78" s="1"/>
      <c r="R78" s="89"/>
      <c r="S78" s="26">
        <f>100%-Table34[[#This Row],[PDF_initial fee]]</f>
        <v>1</v>
      </c>
      <c r="T78" s="26"/>
      <c r="U78" s="1"/>
      <c r="V78" s="38">
        <v>1499.2</v>
      </c>
      <c r="W78" s="38" t="s">
        <v>29081</v>
      </c>
      <c r="X78" s="38">
        <v>390</v>
      </c>
      <c r="Y78" s="38">
        <f>X78/V78</f>
        <v>0.26013874066168624</v>
      </c>
      <c r="Z78" s="38"/>
      <c r="AA78" s="34" t="s">
        <v>29117</v>
      </c>
    </row>
    <row r="79" spans="1:28" hidden="1" x14ac:dyDescent="0.25">
      <c r="A79">
        <v>115308</v>
      </c>
      <c r="B79" t="s">
        <v>442</v>
      </c>
      <c r="C79" t="s">
        <v>29119</v>
      </c>
      <c r="D79">
        <v>0</v>
      </c>
      <c r="E79" t="s">
        <v>442</v>
      </c>
      <c r="F79" t="s">
        <v>29120</v>
      </c>
      <c r="H79" s="3">
        <v>0</v>
      </c>
      <c r="I79" s="21">
        <v>0</v>
      </c>
      <c r="J79" s="21">
        <v>0</v>
      </c>
      <c r="K79" s="21">
        <v>0</v>
      </c>
      <c r="L79" s="3">
        <f t="shared" ref="L79:L110" si="4">SUM(H79:K79)</f>
        <v>0</v>
      </c>
      <c r="M79" s="3"/>
      <c r="N79" s="3">
        <f t="shared" ref="N79:N110" si="5">L79+G79</f>
        <v>0</v>
      </c>
      <c r="O79" s="21"/>
      <c r="R79" s="89"/>
      <c r="S79" s="3">
        <f>100%-Table34[[#This Row],[PDF_initial fee]]</f>
        <v>1</v>
      </c>
      <c r="T79" s="3"/>
    </row>
    <row r="80" spans="1:28" hidden="1" x14ac:dyDescent="0.25">
      <c r="A80">
        <v>116018</v>
      </c>
      <c r="B80" t="s">
        <v>443</v>
      </c>
      <c r="C80" t="s">
        <v>9802</v>
      </c>
      <c r="D80">
        <v>1</v>
      </c>
      <c r="E80" t="s">
        <v>443</v>
      </c>
      <c r="F80" t="s">
        <v>3</v>
      </c>
      <c r="H80" s="3">
        <v>0</v>
      </c>
      <c r="I80" s="21">
        <v>0</v>
      </c>
      <c r="J80" s="21">
        <v>0</v>
      </c>
      <c r="K80" s="21">
        <v>0</v>
      </c>
      <c r="L80" s="3">
        <f t="shared" si="4"/>
        <v>0</v>
      </c>
      <c r="M80" s="3"/>
      <c r="N80" s="3">
        <f t="shared" si="5"/>
        <v>0</v>
      </c>
      <c r="R80" s="89"/>
      <c r="S80" s="3">
        <f>100%-Table34[[#This Row],[PDF_initial fee]]</f>
        <v>1</v>
      </c>
      <c r="T80" s="3"/>
    </row>
    <row r="81" spans="1:28" hidden="1" x14ac:dyDescent="0.25">
      <c r="A81">
        <v>116031</v>
      </c>
      <c r="B81" t="s">
        <v>444</v>
      </c>
      <c r="C81" t="s">
        <v>29122</v>
      </c>
      <c r="D81">
        <v>3</v>
      </c>
      <c r="E81" t="s">
        <v>444</v>
      </c>
      <c r="F81" t="s">
        <v>3</v>
      </c>
      <c r="H81" s="3">
        <v>0</v>
      </c>
      <c r="I81" s="3">
        <v>0</v>
      </c>
      <c r="J81" s="3">
        <v>0</v>
      </c>
      <c r="K81" s="3">
        <v>0</v>
      </c>
      <c r="L81" s="3">
        <f t="shared" si="4"/>
        <v>0</v>
      </c>
      <c r="M81" s="3"/>
      <c r="N81" s="3">
        <f t="shared" si="5"/>
        <v>0</v>
      </c>
      <c r="R81" s="89"/>
      <c r="S81" s="3">
        <f>100%-Table34[[#This Row],[PDF_initial fee]]</f>
        <v>1</v>
      </c>
      <c r="T81" s="3"/>
    </row>
    <row r="82" spans="1:28" hidden="1" x14ac:dyDescent="0.25">
      <c r="A82">
        <v>116140</v>
      </c>
      <c r="B82" t="s">
        <v>445</v>
      </c>
      <c r="C82" t="s">
        <v>6958</v>
      </c>
      <c r="D82">
        <v>1</v>
      </c>
      <c r="E82" t="s">
        <v>445</v>
      </c>
      <c r="F82" t="s">
        <v>6958</v>
      </c>
      <c r="H82" s="3">
        <v>0</v>
      </c>
      <c r="I82" s="21">
        <v>0</v>
      </c>
      <c r="J82" s="21">
        <v>0</v>
      </c>
      <c r="K82" s="21">
        <v>0</v>
      </c>
      <c r="L82" s="3">
        <f t="shared" si="4"/>
        <v>0</v>
      </c>
      <c r="M82" s="3"/>
      <c r="N82" s="3">
        <f t="shared" si="5"/>
        <v>0</v>
      </c>
      <c r="R82" s="89"/>
      <c r="S82" s="3">
        <f>100%-Table34[[#This Row],[PDF_initial fee]]</f>
        <v>1</v>
      </c>
      <c r="T82" s="3"/>
    </row>
    <row r="83" spans="1:28" hidden="1" x14ac:dyDescent="0.25">
      <c r="A83">
        <v>116245</v>
      </c>
      <c r="B83" t="s">
        <v>446</v>
      </c>
      <c r="C83" t="s">
        <v>29123</v>
      </c>
      <c r="D83">
        <v>0</v>
      </c>
      <c r="E83" t="s">
        <v>446</v>
      </c>
      <c r="F83" t="s">
        <v>29124</v>
      </c>
      <c r="H83" s="3"/>
      <c r="L83" s="3">
        <f t="shared" si="4"/>
        <v>0</v>
      </c>
      <c r="M83" s="3"/>
      <c r="N83" s="3">
        <f t="shared" si="5"/>
        <v>0</v>
      </c>
      <c r="R83" s="89"/>
      <c r="S83" s="3">
        <f>100%-Table34[[#This Row],[PDF_initial fee]]</f>
        <v>1</v>
      </c>
      <c r="T83" s="3"/>
    </row>
    <row r="84" spans="1:28" hidden="1" x14ac:dyDescent="0.25">
      <c r="A84">
        <v>116306</v>
      </c>
      <c r="B84" t="s">
        <v>447</v>
      </c>
      <c r="C84" t="s">
        <v>29125</v>
      </c>
      <c r="D84">
        <v>4</v>
      </c>
      <c r="E84" t="s">
        <v>447</v>
      </c>
      <c r="F84" t="s">
        <v>3</v>
      </c>
      <c r="H84" s="3">
        <v>0</v>
      </c>
      <c r="I84" s="21">
        <v>0</v>
      </c>
      <c r="J84" s="21">
        <v>0</v>
      </c>
      <c r="K84" s="21">
        <v>0</v>
      </c>
      <c r="L84" s="3">
        <f t="shared" si="4"/>
        <v>0</v>
      </c>
      <c r="M84" s="3"/>
      <c r="N84" s="3">
        <f t="shared" si="5"/>
        <v>0</v>
      </c>
      <c r="R84" s="89"/>
      <c r="S84" s="3">
        <f>100%-Table34[[#This Row],[PDF_initial fee]]</f>
        <v>1</v>
      </c>
      <c r="T84" s="3"/>
    </row>
    <row r="85" spans="1:28" x14ac:dyDescent="0.25">
      <c r="A85">
        <v>126756</v>
      </c>
      <c r="B85" t="s">
        <v>36</v>
      </c>
      <c r="C85" s="1" t="s">
        <v>7410</v>
      </c>
      <c r="D85">
        <v>3</v>
      </c>
      <c r="E85" t="s">
        <v>36</v>
      </c>
      <c r="F85" t="s">
        <v>6</v>
      </c>
      <c r="G85" s="3">
        <v>3.2000000000000002E-3</v>
      </c>
      <c r="H85" s="3">
        <v>0</v>
      </c>
      <c r="I85" s="3">
        <v>0</v>
      </c>
      <c r="J85" s="6">
        <v>3.5000000000000003E-2</v>
      </c>
      <c r="K85" s="6">
        <v>0.01</v>
      </c>
      <c r="L85" s="3">
        <f t="shared" si="4"/>
        <v>4.5000000000000005E-2</v>
      </c>
      <c r="M85" s="3"/>
      <c r="N85" s="3">
        <f t="shared" si="5"/>
        <v>4.8200000000000007E-2</v>
      </c>
      <c r="P85" s="1" t="s">
        <v>29109</v>
      </c>
      <c r="Q85" s="1" t="s">
        <v>29110</v>
      </c>
      <c r="R85" s="89">
        <v>0.32179999999999997</v>
      </c>
      <c r="S85" s="89">
        <f>100%-Table34[[#This Row],[PDF_initial fee]]</f>
        <v>0.96499999999999997</v>
      </c>
      <c r="T85" s="89">
        <f>(1-Table34[[#This Row],[PDF ongoing fee]])^5</f>
        <v>0.95099004989999991</v>
      </c>
      <c r="U85" s="26">
        <f>(1+Table34[[#This Row],[Net 5yrs return (mostly up to 28th of Feb 2026)]])*Table34[[#This Row],[Investment after initial charge]]*Table34[[#This Row],[Cummulative 5yrs ongoing advice charge]]-1</f>
        <v>0.21302299527929636</v>
      </c>
      <c r="V85" s="10">
        <v>1581293</v>
      </c>
      <c r="W85" t="s">
        <v>29051</v>
      </c>
      <c r="X85" s="10">
        <v>1287353</v>
      </c>
      <c r="Y85" s="30">
        <f>X85/V85</f>
        <v>0.81411414582876163</v>
      </c>
      <c r="Z85" t="s">
        <v>12692</v>
      </c>
      <c r="AA85" s="1" t="s">
        <v>29126</v>
      </c>
      <c r="AB85" t="s">
        <v>29056</v>
      </c>
    </row>
    <row r="86" spans="1:28" hidden="1" x14ac:dyDescent="0.25">
      <c r="A86">
        <v>116320</v>
      </c>
      <c r="B86" t="s">
        <v>449</v>
      </c>
      <c r="C86" t="s">
        <v>29127</v>
      </c>
      <c r="D86">
        <v>5</v>
      </c>
      <c r="E86" t="s">
        <v>449</v>
      </c>
      <c r="F86" t="s">
        <v>3</v>
      </c>
      <c r="H86" s="3">
        <v>0</v>
      </c>
      <c r="I86" s="21">
        <v>0</v>
      </c>
      <c r="J86" s="21">
        <v>0</v>
      </c>
      <c r="K86" s="21">
        <v>0</v>
      </c>
      <c r="L86" s="3">
        <f t="shared" si="4"/>
        <v>0</v>
      </c>
      <c r="M86" s="3"/>
      <c r="N86" s="3">
        <f t="shared" si="5"/>
        <v>0</v>
      </c>
      <c r="R86" s="89"/>
      <c r="S86" s="3">
        <f>100%-Table34[[#This Row],[PDF_initial fee]]</f>
        <v>1</v>
      </c>
      <c r="T86" s="3"/>
    </row>
    <row r="87" spans="1:28" x14ac:dyDescent="0.25">
      <c r="A87">
        <v>209530</v>
      </c>
      <c r="B87" t="s">
        <v>112</v>
      </c>
      <c r="C87" s="1" t="s">
        <v>8331</v>
      </c>
      <c r="D87">
        <v>10</v>
      </c>
      <c r="E87" t="s">
        <v>112</v>
      </c>
      <c r="F87" t="s">
        <v>6</v>
      </c>
      <c r="G87" s="3">
        <v>5.0000000000000001E-3</v>
      </c>
      <c r="H87" s="3">
        <v>0</v>
      </c>
      <c r="I87" s="3">
        <v>0</v>
      </c>
      <c r="J87" s="6">
        <v>3.5000000000000003E-2</v>
      </c>
      <c r="K87" s="6">
        <v>0.01</v>
      </c>
      <c r="L87" s="3">
        <f t="shared" si="4"/>
        <v>4.5000000000000005E-2</v>
      </c>
      <c r="M87" s="3"/>
      <c r="N87" s="3">
        <f t="shared" si="5"/>
        <v>0.05</v>
      </c>
      <c r="O87" t="s">
        <v>29128</v>
      </c>
      <c r="P87" s="1" t="s">
        <v>29109</v>
      </c>
      <c r="Q87" s="1" t="s">
        <v>29110</v>
      </c>
      <c r="R87" s="89">
        <v>0.32179999999999997</v>
      </c>
      <c r="S87" s="89">
        <f>100%-Table34[[#This Row],[PDF_initial fee]]</f>
        <v>0.96499999999999997</v>
      </c>
      <c r="T87" s="89">
        <f>(1-Table34[[#This Row],[PDF ongoing fee]])^5</f>
        <v>0.95099004989999991</v>
      </c>
      <c r="U87" s="26">
        <f>(1+Table34[[#This Row],[Net 5yrs return (mostly up to 28th of Feb 2026)]])*Table34[[#This Row],[Investment after initial charge]]*Table34[[#This Row],[Cummulative 5yrs ongoing advice charge]]-1</f>
        <v>0.21302299527929636</v>
      </c>
      <c r="V87" s="10">
        <f>6931906+1668788</f>
        <v>8600694</v>
      </c>
      <c r="W87" t="s">
        <v>29051</v>
      </c>
      <c r="X87" s="10">
        <v>6321947</v>
      </c>
      <c r="Y87" s="30">
        <f>X87/V87</f>
        <v>0.73505079938897955</v>
      </c>
      <c r="Z87" t="s">
        <v>12692</v>
      </c>
      <c r="AA87" s="1" t="s">
        <v>29129</v>
      </c>
      <c r="AB87" t="s">
        <v>29056</v>
      </c>
    </row>
    <row r="88" spans="1:28" hidden="1" x14ac:dyDescent="0.25">
      <c r="A88">
        <v>116337</v>
      </c>
      <c r="B88" t="s">
        <v>451</v>
      </c>
      <c r="C88" s="39" t="s">
        <v>8245</v>
      </c>
      <c r="D88">
        <v>4</v>
      </c>
      <c r="E88" t="s">
        <v>451</v>
      </c>
      <c r="F88" t="s">
        <v>29114</v>
      </c>
      <c r="G88" s="39"/>
      <c r="H88" s="3"/>
      <c r="I88" s="40"/>
      <c r="J88" s="39"/>
      <c r="K88" s="39"/>
      <c r="L88" s="3">
        <f t="shared" si="4"/>
        <v>0</v>
      </c>
      <c r="M88" s="3"/>
      <c r="N88" s="3">
        <f t="shared" si="5"/>
        <v>0</v>
      </c>
      <c r="R88" s="89"/>
      <c r="S88" s="3">
        <f>100%-Table34[[#This Row],[PDF_initial fee]]</f>
        <v>1</v>
      </c>
      <c r="T88" s="3"/>
    </row>
    <row r="89" spans="1:28" hidden="1" x14ac:dyDescent="0.25">
      <c r="A89">
        <v>116355</v>
      </c>
      <c r="B89" t="s">
        <v>452</v>
      </c>
      <c r="C89" t="s">
        <v>29130</v>
      </c>
      <c r="D89">
        <v>1</v>
      </c>
      <c r="E89" t="s">
        <v>452</v>
      </c>
      <c r="F89" t="s">
        <v>29124</v>
      </c>
      <c r="H89" s="3">
        <v>0</v>
      </c>
      <c r="I89" s="21">
        <v>0</v>
      </c>
      <c r="J89" s="21">
        <v>0</v>
      </c>
      <c r="K89" s="21">
        <v>0</v>
      </c>
      <c r="L89" s="3">
        <f t="shared" si="4"/>
        <v>0</v>
      </c>
      <c r="M89" s="3"/>
      <c r="N89" s="3">
        <f t="shared" si="5"/>
        <v>0</v>
      </c>
      <c r="R89" s="89"/>
      <c r="S89" s="3">
        <f>100%-Table34[[#This Row],[PDF_initial fee]]</f>
        <v>1</v>
      </c>
      <c r="T89" s="3"/>
    </row>
    <row r="90" spans="1:28" hidden="1" x14ac:dyDescent="0.25">
      <c r="A90">
        <v>116358</v>
      </c>
      <c r="B90" t="s">
        <v>453</v>
      </c>
      <c r="C90" t="s">
        <v>7655</v>
      </c>
      <c r="D90">
        <v>3</v>
      </c>
      <c r="E90" t="s">
        <v>453</v>
      </c>
      <c r="F90" t="s">
        <v>3</v>
      </c>
      <c r="H90" s="3">
        <v>0</v>
      </c>
      <c r="I90" s="21">
        <v>0</v>
      </c>
      <c r="J90" s="21">
        <v>0</v>
      </c>
      <c r="K90" s="21">
        <v>0</v>
      </c>
      <c r="L90" s="3">
        <f t="shared" si="4"/>
        <v>0</v>
      </c>
      <c r="M90" s="3"/>
      <c r="N90" s="3">
        <f t="shared" si="5"/>
        <v>0</v>
      </c>
      <c r="R90" s="89"/>
      <c r="S90" s="3">
        <f>100%-Table34[[#This Row],[PDF_initial fee]]</f>
        <v>1</v>
      </c>
      <c r="T90" s="3"/>
    </row>
    <row r="91" spans="1:28" x14ac:dyDescent="0.25">
      <c r="A91">
        <v>136914</v>
      </c>
      <c r="B91" t="s">
        <v>49</v>
      </c>
      <c r="C91" s="1" t="s">
        <v>29131</v>
      </c>
      <c r="D91">
        <v>8</v>
      </c>
      <c r="E91" t="s">
        <v>49</v>
      </c>
      <c r="F91" t="s">
        <v>6</v>
      </c>
      <c r="G91" s="3">
        <v>3.2000000000000002E-3</v>
      </c>
      <c r="H91" s="3">
        <v>0</v>
      </c>
      <c r="I91" s="3">
        <v>0</v>
      </c>
      <c r="J91" s="6">
        <v>3.5000000000000003E-2</v>
      </c>
      <c r="K91" s="6">
        <v>0.01</v>
      </c>
      <c r="L91" s="3">
        <f t="shared" si="4"/>
        <v>4.5000000000000005E-2</v>
      </c>
      <c r="M91" s="3"/>
      <c r="N91" s="3">
        <f t="shared" si="5"/>
        <v>4.8200000000000007E-2</v>
      </c>
      <c r="P91" s="1" t="s">
        <v>29109</v>
      </c>
      <c r="Q91" s="1" t="s">
        <v>29110</v>
      </c>
      <c r="R91" s="89">
        <v>0.32179999999999997</v>
      </c>
      <c r="S91" s="89">
        <f>100%-Table34[[#This Row],[PDF_initial fee]]</f>
        <v>0.96499999999999997</v>
      </c>
      <c r="T91" s="89">
        <f>(1-Table34[[#This Row],[PDF ongoing fee]])^5</f>
        <v>0.95099004989999991</v>
      </c>
      <c r="U91" s="26">
        <f>(1+Table34[[#This Row],[Net 5yrs return (mostly up to 28th of Feb 2026)]])*Table34[[#This Row],[Investment after initial charge]]*Table34[[#This Row],[Cummulative 5yrs ongoing advice charge]]-1</f>
        <v>0.21302299527929636</v>
      </c>
      <c r="V91" s="10">
        <v>1581293</v>
      </c>
      <c r="W91" t="s">
        <v>29051</v>
      </c>
      <c r="X91" s="10">
        <v>1287353</v>
      </c>
      <c r="Y91" s="30">
        <f>X91/V91</f>
        <v>0.81411414582876163</v>
      </c>
      <c r="Z91" t="s">
        <v>12692</v>
      </c>
      <c r="AA91" s="1" t="s">
        <v>29132</v>
      </c>
      <c r="AB91" t="s">
        <v>29056</v>
      </c>
    </row>
    <row r="92" spans="1:28" hidden="1" x14ac:dyDescent="0.25">
      <c r="A92">
        <v>116404</v>
      </c>
      <c r="B92" t="s">
        <v>454</v>
      </c>
      <c r="C92" t="s">
        <v>29133</v>
      </c>
      <c r="D92">
        <v>30</v>
      </c>
      <c r="E92" t="s">
        <v>454</v>
      </c>
      <c r="H92" s="3">
        <v>0</v>
      </c>
      <c r="I92" s="21">
        <v>0</v>
      </c>
      <c r="J92" s="21">
        <v>0</v>
      </c>
      <c r="K92" s="21">
        <v>0</v>
      </c>
      <c r="L92" s="3">
        <f t="shared" si="4"/>
        <v>0</v>
      </c>
      <c r="M92" s="3"/>
      <c r="N92" s="3">
        <f t="shared" si="5"/>
        <v>0</v>
      </c>
      <c r="O92" s="21"/>
      <c r="R92" s="89"/>
      <c r="S92" s="3">
        <f>100%-Table34[[#This Row],[PDF_initial fee]]</f>
        <v>1</v>
      </c>
      <c r="T92" s="3"/>
    </row>
    <row r="93" spans="1:28" hidden="1" x14ac:dyDescent="0.25">
      <c r="A93">
        <v>116445</v>
      </c>
      <c r="B93" t="s">
        <v>455</v>
      </c>
      <c r="C93" t="s">
        <v>12003</v>
      </c>
      <c r="D93">
        <v>1</v>
      </c>
      <c r="E93" t="s">
        <v>455</v>
      </c>
      <c r="F93" t="s">
        <v>3</v>
      </c>
      <c r="H93" s="3">
        <v>0</v>
      </c>
      <c r="I93" s="21">
        <v>0</v>
      </c>
      <c r="J93" s="21">
        <v>0</v>
      </c>
      <c r="K93" s="21">
        <v>0</v>
      </c>
      <c r="L93" s="3">
        <f t="shared" si="4"/>
        <v>0</v>
      </c>
      <c r="M93" s="3"/>
      <c r="N93" s="3">
        <f t="shared" si="5"/>
        <v>0</v>
      </c>
      <c r="R93" s="89"/>
      <c r="S93" s="3">
        <f>100%-Table34[[#This Row],[PDF_initial fee]]</f>
        <v>1</v>
      </c>
      <c r="T93" s="3"/>
    </row>
    <row r="94" spans="1:28" hidden="1" x14ac:dyDescent="0.25">
      <c r="A94">
        <v>116460</v>
      </c>
      <c r="B94" t="s">
        <v>456</v>
      </c>
      <c r="C94" t="s">
        <v>29134</v>
      </c>
      <c r="D94">
        <v>74</v>
      </c>
      <c r="E94" t="s">
        <v>456</v>
      </c>
      <c r="F94" t="s">
        <v>6</v>
      </c>
      <c r="H94" s="3">
        <v>0</v>
      </c>
      <c r="I94" s="3">
        <v>0</v>
      </c>
      <c r="J94" s="3">
        <v>0</v>
      </c>
      <c r="K94" s="3">
        <v>0</v>
      </c>
      <c r="L94" s="3">
        <f t="shared" si="4"/>
        <v>0</v>
      </c>
      <c r="M94" s="3"/>
      <c r="N94" s="3">
        <f t="shared" si="5"/>
        <v>0</v>
      </c>
      <c r="R94" s="89"/>
      <c r="S94" s="3">
        <f>100%-Table34[[#This Row],[PDF_initial fee]]</f>
        <v>1</v>
      </c>
      <c r="T94" s="3"/>
    </row>
    <row r="95" spans="1:28" x14ac:dyDescent="0.25">
      <c r="A95">
        <v>148204</v>
      </c>
      <c r="B95" t="s">
        <v>69</v>
      </c>
      <c r="C95" s="1" t="s">
        <v>7653</v>
      </c>
      <c r="D95">
        <v>1</v>
      </c>
      <c r="E95" t="s">
        <v>69</v>
      </c>
      <c r="F95" t="s">
        <v>6</v>
      </c>
      <c r="G95" s="3">
        <v>3.2000000000000002E-3</v>
      </c>
      <c r="H95" s="3">
        <v>0</v>
      </c>
      <c r="I95" s="3">
        <v>0</v>
      </c>
      <c r="J95" s="6">
        <v>3.5000000000000003E-2</v>
      </c>
      <c r="K95" s="6">
        <v>0.01</v>
      </c>
      <c r="L95" s="3">
        <f t="shared" si="4"/>
        <v>4.5000000000000005E-2</v>
      </c>
      <c r="M95" s="3"/>
      <c r="N95" s="3">
        <f t="shared" si="5"/>
        <v>4.8200000000000007E-2</v>
      </c>
      <c r="P95" s="1" t="s">
        <v>29109</v>
      </c>
      <c r="Q95" s="1" t="s">
        <v>29110</v>
      </c>
      <c r="R95" s="89">
        <v>0.32179999999999997</v>
      </c>
      <c r="S95" s="89">
        <f>100%-Table34[[#This Row],[PDF_initial fee]]</f>
        <v>0.96499999999999997</v>
      </c>
      <c r="T95" s="89">
        <f>(1-Table34[[#This Row],[PDF ongoing fee]])^5</f>
        <v>0.95099004989999991</v>
      </c>
      <c r="U95" s="26">
        <f>(1+Table34[[#This Row],[Net 5yrs return (mostly up to 28th of Feb 2026)]])*Table34[[#This Row],[Investment after initial charge]]*Table34[[#This Row],[Cummulative 5yrs ongoing advice charge]]-1</f>
        <v>0.21302299527929636</v>
      </c>
      <c r="V95" s="10">
        <v>1581293</v>
      </c>
      <c r="W95" t="s">
        <v>29051</v>
      </c>
      <c r="X95" s="10">
        <v>1287353</v>
      </c>
      <c r="Y95" s="30">
        <f>X95/V95</f>
        <v>0.81411414582876163</v>
      </c>
      <c r="Z95" t="s">
        <v>12692</v>
      </c>
      <c r="AA95" s="1" t="s">
        <v>29132</v>
      </c>
      <c r="AB95" t="s">
        <v>29056</v>
      </c>
    </row>
    <row r="96" spans="1:28" hidden="1" x14ac:dyDescent="0.25">
      <c r="A96">
        <v>116686</v>
      </c>
      <c r="B96" t="s">
        <v>457</v>
      </c>
      <c r="C96" t="s">
        <v>11480</v>
      </c>
      <c r="D96">
        <v>2</v>
      </c>
      <c r="E96" t="s">
        <v>457</v>
      </c>
      <c r="F96" t="s">
        <v>3</v>
      </c>
      <c r="H96" s="3">
        <v>0</v>
      </c>
      <c r="I96" s="21">
        <v>0</v>
      </c>
      <c r="J96" s="21">
        <v>0</v>
      </c>
      <c r="K96" s="21">
        <v>0</v>
      </c>
      <c r="L96" s="3">
        <f t="shared" si="4"/>
        <v>0</v>
      </c>
      <c r="M96" s="3"/>
      <c r="N96" s="3">
        <f t="shared" si="5"/>
        <v>0</v>
      </c>
      <c r="R96" s="89"/>
      <c r="S96" s="3">
        <f>100%-Table34[[#This Row],[PDF_initial fee]]</f>
        <v>1</v>
      </c>
      <c r="T96" s="3"/>
    </row>
    <row r="97" spans="1:28" hidden="1" x14ac:dyDescent="0.25">
      <c r="A97">
        <v>116734</v>
      </c>
      <c r="B97" t="s">
        <v>458</v>
      </c>
      <c r="C97" t="s">
        <v>7784</v>
      </c>
      <c r="D97">
        <v>3</v>
      </c>
      <c r="E97" t="s">
        <v>458</v>
      </c>
      <c r="F97" t="s">
        <v>3</v>
      </c>
      <c r="H97" s="3">
        <v>0</v>
      </c>
      <c r="I97" s="21">
        <v>0</v>
      </c>
      <c r="J97" s="21">
        <v>0</v>
      </c>
      <c r="K97" s="21">
        <v>0</v>
      </c>
      <c r="L97" s="3">
        <f t="shared" si="4"/>
        <v>0</v>
      </c>
      <c r="M97" s="3"/>
      <c r="N97" s="3">
        <f t="shared" si="5"/>
        <v>0</v>
      </c>
      <c r="R97" s="89"/>
      <c r="S97" s="3">
        <f>100%-Table34[[#This Row],[PDF_initial fee]]</f>
        <v>1</v>
      </c>
      <c r="T97" s="3"/>
    </row>
    <row r="98" spans="1:28" hidden="1" x14ac:dyDescent="0.25">
      <c r="A98">
        <v>116769</v>
      </c>
      <c r="B98" t="s">
        <v>459</v>
      </c>
      <c r="C98" t="s">
        <v>9869</v>
      </c>
      <c r="D98">
        <v>5</v>
      </c>
      <c r="E98" t="s">
        <v>459</v>
      </c>
      <c r="F98" t="s">
        <v>29104</v>
      </c>
      <c r="H98" s="3">
        <v>0</v>
      </c>
      <c r="I98" s="21">
        <v>0</v>
      </c>
      <c r="J98" s="21">
        <v>0</v>
      </c>
      <c r="K98" s="21">
        <v>0</v>
      </c>
      <c r="L98" s="3">
        <f t="shared" si="4"/>
        <v>0</v>
      </c>
      <c r="M98" s="3"/>
      <c r="N98" s="3">
        <f t="shared" si="5"/>
        <v>0</v>
      </c>
      <c r="R98" s="89"/>
      <c r="S98" s="3">
        <f>100%-Table34[[#This Row],[PDF_initial fee]]</f>
        <v>1</v>
      </c>
      <c r="T98" s="3"/>
    </row>
    <row r="99" spans="1:28" x14ac:dyDescent="0.25">
      <c r="A99">
        <v>155099</v>
      </c>
      <c r="B99" t="s">
        <v>73</v>
      </c>
      <c r="C99" s="1" t="s">
        <v>7410</v>
      </c>
      <c r="D99">
        <v>4</v>
      </c>
      <c r="E99" t="s">
        <v>73</v>
      </c>
      <c r="F99" t="s">
        <v>6</v>
      </c>
      <c r="G99" s="3">
        <v>3.2000000000000002E-3</v>
      </c>
      <c r="H99" s="3">
        <v>0</v>
      </c>
      <c r="I99" s="3">
        <v>0</v>
      </c>
      <c r="J99" s="6">
        <v>3.5000000000000003E-2</v>
      </c>
      <c r="K99" s="6">
        <v>0.01</v>
      </c>
      <c r="L99" s="3">
        <f t="shared" si="4"/>
        <v>4.5000000000000005E-2</v>
      </c>
      <c r="M99" s="3"/>
      <c r="N99" s="3">
        <f t="shared" si="5"/>
        <v>4.8200000000000007E-2</v>
      </c>
      <c r="P99" s="1" t="s">
        <v>29109</v>
      </c>
      <c r="Q99" s="1" t="s">
        <v>29110</v>
      </c>
      <c r="R99" s="89">
        <v>0.32179999999999997</v>
      </c>
      <c r="S99" s="89">
        <f>100%-Table34[[#This Row],[PDF_initial fee]]</f>
        <v>0.96499999999999997</v>
      </c>
      <c r="T99" s="89">
        <f>(1-Table34[[#This Row],[PDF ongoing fee]])^5</f>
        <v>0.95099004989999991</v>
      </c>
      <c r="U99" s="26">
        <f>(1+Table34[[#This Row],[Net 5yrs return (mostly up to 28th of Feb 2026)]])*Table34[[#This Row],[Investment after initial charge]]*Table34[[#This Row],[Cummulative 5yrs ongoing advice charge]]-1</f>
        <v>0.21302299527929636</v>
      </c>
      <c r="V99" s="10">
        <v>1581293</v>
      </c>
      <c r="W99" t="s">
        <v>29051</v>
      </c>
      <c r="X99" s="10">
        <v>1287353</v>
      </c>
      <c r="Y99" s="30">
        <f>X99/V99</f>
        <v>0.81411414582876163</v>
      </c>
      <c r="Z99" t="s">
        <v>12692</v>
      </c>
      <c r="AA99" s="1" t="s">
        <v>29132</v>
      </c>
      <c r="AB99" t="s">
        <v>29056</v>
      </c>
    </row>
    <row r="100" spans="1:28" hidden="1" x14ac:dyDescent="0.25">
      <c r="A100">
        <v>117672</v>
      </c>
      <c r="B100" t="s">
        <v>460</v>
      </c>
      <c r="C100" t="s">
        <v>29135</v>
      </c>
      <c r="D100">
        <v>0</v>
      </c>
      <c r="E100" t="s">
        <v>460</v>
      </c>
      <c r="F100" t="s">
        <v>29136</v>
      </c>
      <c r="H100" s="3"/>
      <c r="L100" s="3">
        <f t="shared" si="4"/>
        <v>0</v>
      </c>
      <c r="M100" s="3"/>
      <c r="N100" s="3">
        <f t="shared" si="5"/>
        <v>0</v>
      </c>
      <c r="O100" t="s">
        <v>29137</v>
      </c>
      <c r="R100" s="89"/>
      <c r="S100" s="3">
        <f>100%-Table34[[#This Row],[PDF_initial fee]]</f>
        <v>1</v>
      </c>
      <c r="T100" s="3"/>
    </row>
    <row r="101" spans="1:28" hidden="1" x14ac:dyDescent="0.25">
      <c r="A101">
        <v>117954</v>
      </c>
      <c r="B101" t="s">
        <v>461</v>
      </c>
      <c r="C101" t="s">
        <v>7748</v>
      </c>
      <c r="D101">
        <v>3</v>
      </c>
      <c r="E101" t="s">
        <v>461</v>
      </c>
      <c r="F101" t="s">
        <v>3</v>
      </c>
      <c r="H101" s="3"/>
      <c r="K101" s="21"/>
      <c r="L101" s="3">
        <f t="shared" si="4"/>
        <v>0</v>
      </c>
      <c r="M101" s="3"/>
      <c r="N101" s="3">
        <f t="shared" si="5"/>
        <v>0</v>
      </c>
      <c r="R101" s="89"/>
      <c r="S101" s="3">
        <f>100%-Table34[[#This Row],[PDF_initial fee]]</f>
        <v>1</v>
      </c>
      <c r="T101" s="3"/>
    </row>
    <row r="102" spans="1:28" hidden="1" x14ac:dyDescent="0.25">
      <c r="A102">
        <v>118061</v>
      </c>
      <c r="B102" t="s">
        <v>462</v>
      </c>
      <c r="C102" t="s">
        <v>29138</v>
      </c>
      <c r="D102">
        <v>5</v>
      </c>
      <c r="E102" t="s">
        <v>462</v>
      </c>
      <c r="F102" t="s">
        <v>3</v>
      </c>
      <c r="H102" s="3"/>
      <c r="I102" s="39"/>
      <c r="J102" s="39">
        <v>0</v>
      </c>
      <c r="K102" s="39"/>
      <c r="L102" s="3">
        <f t="shared" si="4"/>
        <v>0</v>
      </c>
      <c r="M102" s="3"/>
      <c r="N102" s="3">
        <f t="shared" si="5"/>
        <v>0</v>
      </c>
      <c r="R102" s="89"/>
      <c r="S102" s="3">
        <f>100%-Table34[[#This Row],[PDF_initial fee]]</f>
        <v>1</v>
      </c>
      <c r="T102" s="3"/>
    </row>
    <row r="103" spans="1:28" hidden="1" x14ac:dyDescent="0.25">
      <c r="A103">
        <v>118068</v>
      </c>
      <c r="B103" t="s">
        <v>463</v>
      </c>
      <c r="C103" t="s">
        <v>8420</v>
      </c>
      <c r="D103">
        <v>1</v>
      </c>
      <c r="E103" t="s">
        <v>463</v>
      </c>
      <c r="F103" t="s">
        <v>29139</v>
      </c>
      <c r="H103" s="3">
        <v>0</v>
      </c>
      <c r="I103" s="21">
        <v>0</v>
      </c>
      <c r="J103" s="21">
        <v>0</v>
      </c>
      <c r="K103" s="21">
        <v>0</v>
      </c>
      <c r="L103" s="3">
        <f t="shared" si="4"/>
        <v>0</v>
      </c>
      <c r="M103" s="3"/>
      <c r="N103" s="3">
        <f t="shared" si="5"/>
        <v>0</v>
      </c>
      <c r="R103" s="89"/>
      <c r="S103" s="3">
        <f>100%-Table34[[#This Row],[PDF_initial fee]]</f>
        <v>1</v>
      </c>
      <c r="T103" s="3"/>
    </row>
    <row r="104" spans="1:28" hidden="1" x14ac:dyDescent="0.25">
      <c r="A104">
        <v>118099</v>
      </c>
      <c r="B104" t="s">
        <v>464</v>
      </c>
      <c r="C104" t="s">
        <v>9186</v>
      </c>
      <c r="D104">
        <v>3</v>
      </c>
      <c r="E104" t="s">
        <v>464</v>
      </c>
      <c r="F104" t="s">
        <v>3</v>
      </c>
      <c r="H104" s="3">
        <v>0</v>
      </c>
      <c r="I104" s="21">
        <v>0</v>
      </c>
      <c r="J104" s="21">
        <v>0</v>
      </c>
      <c r="K104" s="21">
        <v>0</v>
      </c>
      <c r="L104" s="3">
        <f t="shared" si="4"/>
        <v>0</v>
      </c>
      <c r="M104" s="3"/>
      <c r="N104" s="3">
        <f t="shared" si="5"/>
        <v>0</v>
      </c>
      <c r="R104" s="89"/>
      <c r="S104" s="3">
        <f>100%-Table34[[#This Row],[PDF_initial fee]]</f>
        <v>1</v>
      </c>
      <c r="T104" s="3"/>
    </row>
    <row r="105" spans="1:28" hidden="1" x14ac:dyDescent="0.25">
      <c r="A105">
        <v>118158</v>
      </c>
      <c r="B105" t="s">
        <v>465</v>
      </c>
      <c r="C105" t="s">
        <v>29140</v>
      </c>
      <c r="D105">
        <v>6</v>
      </c>
      <c r="E105" t="s">
        <v>465</v>
      </c>
      <c r="F105" t="s">
        <v>3</v>
      </c>
      <c r="H105" s="3">
        <v>0</v>
      </c>
      <c r="I105" s="3">
        <v>0</v>
      </c>
      <c r="J105" s="3">
        <v>0</v>
      </c>
      <c r="K105" s="3">
        <v>0</v>
      </c>
      <c r="L105" s="3">
        <f t="shared" si="4"/>
        <v>0</v>
      </c>
      <c r="M105" s="3"/>
      <c r="N105" s="3">
        <f t="shared" si="5"/>
        <v>0</v>
      </c>
      <c r="R105" s="89"/>
      <c r="S105" s="3">
        <f>100%-Table34[[#This Row],[PDF_initial fee]]</f>
        <v>1</v>
      </c>
      <c r="T105" s="3"/>
    </row>
    <row r="106" spans="1:28" hidden="1" x14ac:dyDescent="0.25">
      <c r="A106">
        <v>118162</v>
      </c>
      <c r="B106" t="s">
        <v>467</v>
      </c>
      <c r="C106" t="s">
        <v>12570</v>
      </c>
      <c r="D106">
        <v>2</v>
      </c>
      <c r="E106" t="s">
        <v>467</v>
      </c>
      <c r="F106" t="s">
        <v>3</v>
      </c>
      <c r="H106" s="3">
        <v>0</v>
      </c>
      <c r="I106" s="21">
        <v>0</v>
      </c>
      <c r="J106" s="21">
        <v>0</v>
      </c>
      <c r="K106" s="21">
        <v>0</v>
      </c>
      <c r="L106" s="3">
        <f t="shared" si="4"/>
        <v>0</v>
      </c>
      <c r="M106" s="3"/>
      <c r="N106" s="3">
        <f t="shared" si="5"/>
        <v>0</v>
      </c>
      <c r="R106" s="89"/>
      <c r="S106" s="3">
        <f>100%-Table34[[#This Row],[PDF_initial fee]]</f>
        <v>1</v>
      </c>
      <c r="T106" s="3"/>
    </row>
    <row r="107" spans="1:28" hidden="1" x14ac:dyDescent="0.25">
      <c r="A107">
        <v>118176</v>
      </c>
      <c r="B107" t="s">
        <v>468</v>
      </c>
      <c r="C107" t="s">
        <v>29141</v>
      </c>
      <c r="D107">
        <v>5</v>
      </c>
      <c r="E107" t="s">
        <v>468</v>
      </c>
      <c r="F107" t="s">
        <v>3</v>
      </c>
      <c r="H107" s="3">
        <v>0</v>
      </c>
      <c r="I107" s="21">
        <v>0</v>
      </c>
      <c r="J107" s="21">
        <v>0</v>
      </c>
      <c r="K107" s="21">
        <v>0</v>
      </c>
      <c r="L107" s="3">
        <f t="shared" si="4"/>
        <v>0</v>
      </c>
      <c r="M107" s="3"/>
      <c r="N107" s="3">
        <f t="shared" si="5"/>
        <v>0</v>
      </c>
      <c r="R107" s="89"/>
      <c r="S107" s="3">
        <f>100%-Table34[[#This Row],[PDF_initial fee]]</f>
        <v>1</v>
      </c>
      <c r="T107" s="3"/>
    </row>
    <row r="108" spans="1:28" hidden="1" x14ac:dyDescent="0.25">
      <c r="A108">
        <v>118361</v>
      </c>
      <c r="B108" t="s">
        <v>469</v>
      </c>
      <c r="C108" t="s">
        <v>29142</v>
      </c>
      <c r="D108">
        <v>1</v>
      </c>
      <c r="E108" t="s">
        <v>469</v>
      </c>
      <c r="F108" t="s">
        <v>29124</v>
      </c>
      <c r="H108" s="3">
        <v>0</v>
      </c>
      <c r="I108" s="21">
        <v>0</v>
      </c>
      <c r="J108" s="21">
        <v>0</v>
      </c>
      <c r="K108" s="21">
        <v>0</v>
      </c>
      <c r="L108" s="3">
        <f t="shared" si="4"/>
        <v>0</v>
      </c>
      <c r="M108" s="3"/>
      <c r="N108" s="3">
        <f t="shared" si="5"/>
        <v>0</v>
      </c>
      <c r="R108" s="89"/>
      <c r="S108" s="3">
        <f>100%-Table34[[#This Row],[PDF_initial fee]]</f>
        <v>1</v>
      </c>
      <c r="T108" s="3"/>
    </row>
    <row r="109" spans="1:28" hidden="1" x14ac:dyDescent="0.25">
      <c r="A109">
        <v>118396</v>
      </c>
      <c r="B109" t="s">
        <v>470</v>
      </c>
      <c r="C109" t="s">
        <v>29143</v>
      </c>
      <c r="D109">
        <v>2</v>
      </c>
      <c r="E109" t="s">
        <v>470</v>
      </c>
      <c r="F109" t="s">
        <v>3</v>
      </c>
      <c r="H109" s="3">
        <v>0</v>
      </c>
      <c r="I109" s="21">
        <v>0</v>
      </c>
      <c r="J109" s="21">
        <v>0</v>
      </c>
      <c r="K109" s="21">
        <v>0</v>
      </c>
      <c r="L109" s="3">
        <f t="shared" si="4"/>
        <v>0</v>
      </c>
      <c r="M109" s="3"/>
      <c r="N109" s="3">
        <f t="shared" si="5"/>
        <v>0</v>
      </c>
      <c r="R109" s="89"/>
      <c r="S109" s="3">
        <f>100%-Table34[[#This Row],[PDF_initial fee]]</f>
        <v>1</v>
      </c>
      <c r="T109" s="3"/>
    </row>
    <row r="110" spans="1:28" hidden="1" x14ac:dyDescent="0.25">
      <c r="A110">
        <v>118513</v>
      </c>
      <c r="B110" t="s">
        <v>471</v>
      </c>
      <c r="C110" t="s">
        <v>9753</v>
      </c>
      <c r="D110">
        <v>4</v>
      </c>
      <c r="E110" t="s">
        <v>471</v>
      </c>
      <c r="F110" t="s">
        <v>3</v>
      </c>
      <c r="H110" s="3">
        <v>0</v>
      </c>
      <c r="I110" s="21">
        <v>0</v>
      </c>
      <c r="J110" s="21">
        <v>0</v>
      </c>
      <c r="K110" s="21">
        <v>0</v>
      </c>
      <c r="L110" s="3">
        <f t="shared" si="4"/>
        <v>0</v>
      </c>
      <c r="M110" s="3"/>
      <c r="N110" s="3">
        <f t="shared" si="5"/>
        <v>0</v>
      </c>
      <c r="R110" s="89"/>
      <c r="S110" s="3">
        <f>100%-Table34[[#This Row],[PDF_initial fee]]</f>
        <v>1</v>
      </c>
      <c r="T110" s="3"/>
    </row>
    <row r="111" spans="1:28" hidden="1" x14ac:dyDescent="0.25">
      <c r="A111">
        <v>118720</v>
      </c>
      <c r="B111" t="s">
        <v>472</v>
      </c>
      <c r="C111" t="s">
        <v>9415</v>
      </c>
      <c r="D111">
        <v>1</v>
      </c>
      <c r="E111" t="s">
        <v>472</v>
      </c>
      <c r="F111" t="s">
        <v>29124</v>
      </c>
      <c r="H111" s="3">
        <v>0</v>
      </c>
      <c r="I111" s="21">
        <v>0</v>
      </c>
      <c r="J111" s="21">
        <v>0</v>
      </c>
      <c r="K111" s="21">
        <v>0</v>
      </c>
      <c r="L111" s="3">
        <f t="shared" ref="L111:L142" si="6">SUM(H111:K111)</f>
        <v>0</v>
      </c>
      <c r="M111" s="3"/>
      <c r="N111" s="3">
        <f t="shared" ref="N111:N142" si="7">L111+G111</f>
        <v>0</v>
      </c>
      <c r="R111" s="89"/>
      <c r="S111" s="3">
        <f>100%-Table34[[#This Row],[PDF_initial fee]]</f>
        <v>1</v>
      </c>
      <c r="T111" s="3"/>
    </row>
    <row r="112" spans="1:28" hidden="1" x14ac:dyDescent="0.25">
      <c r="A112">
        <v>118803</v>
      </c>
      <c r="B112" t="s">
        <v>473</v>
      </c>
      <c r="C112" t="s">
        <v>6958</v>
      </c>
      <c r="D112">
        <v>1</v>
      </c>
      <c r="E112" t="s">
        <v>473</v>
      </c>
      <c r="F112" t="s">
        <v>6958</v>
      </c>
      <c r="H112" s="3">
        <v>0</v>
      </c>
      <c r="I112" s="21">
        <v>0</v>
      </c>
      <c r="J112" s="21">
        <v>0</v>
      </c>
      <c r="K112" s="21">
        <v>0</v>
      </c>
      <c r="L112" s="3">
        <f t="shared" si="6"/>
        <v>0</v>
      </c>
      <c r="M112" s="3"/>
      <c r="N112" s="3">
        <f t="shared" si="7"/>
        <v>0</v>
      </c>
      <c r="R112" s="89"/>
      <c r="S112" s="3">
        <f>100%-Table34[[#This Row],[PDF_initial fee]]</f>
        <v>1</v>
      </c>
      <c r="T112" s="3"/>
    </row>
    <row r="113" spans="1:28" hidden="1" x14ac:dyDescent="0.25">
      <c r="A113">
        <v>118992</v>
      </c>
      <c r="B113" t="s">
        <v>474</v>
      </c>
      <c r="C113" t="s">
        <v>29144</v>
      </c>
      <c r="D113">
        <v>1</v>
      </c>
      <c r="E113" t="s">
        <v>474</v>
      </c>
      <c r="F113" t="s">
        <v>29124</v>
      </c>
      <c r="H113" s="3">
        <v>0</v>
      </c>
      <c r="I113" s="3">
        <v>0</v>
      </c>
      <c r="J113" s="3">
        <v>0</v>
      </c>
      <c r="K113" s="3">
        <v>0</v>
      </c>
      <c r="L113" s="3">
        <f t="shared" si="6"/>
        <v>0</v>
      </c>
      <c r="M113" s="3"/>
      <c r="N113" s="3">
        <f t="shared" si="7"/>
        <v>0</v>
      </c>
      <c r="R113" s="89"/>
      <c r="S113" s="3">
        <f>100%-Table34[[#This Row],[PDF_initial fee]]</f>
        <v>1</v>
      </c>
      <c r="T113" s="3"/>
    </row>
    <row r="114" spans="1:28" hidden="1" x14ac:dyDescent="0.25">
      <c r="A114">
        <v>119136</v>
      </c>
      <c r="B114" t="s">
        <v>475</v>
      </c>
      <c r="C114" t="s">
        <v>29145</v>
      </c>
      <c r="D114">
        <v>1</v>
      </c>
      <c r="E114" t="s">
        <v>475</v>
      </c>
      <c r="F114" t="s">
        <v>29104</v>
      </c>
      <c r="H114" s="3">
        <v>0</v>
      </c>
      <c r="I114" s="21">
        <v>0</v>
      </c>
      <c r="J114" s="21">
        <v>0</v>
      </c>
      <c r="K114" s="21">
        <v>0</v>
      </c>
      <c r="L114" s="3">
        <f t="shared" si="6"/>
        <v>0</v>
      </c>
      <c r="M114" s="3"/>
      <c r="N114" s="3">
        <f t="shared" si="7"/>
        <v>0</v>
      </c>
      <c r="R114" s="89"/>
      <c r="S114" s="3">
        <f>100%-Table34[[#This Row],[PDF_initial fee]]</f>
        <v>1</v>
      </c>
      <c r="T114" s="3"/>
    </row>
    <row r="115" spans="1:28" hidden="1" x14ac:dyDescent="0.25">
      <c r="A115">
        <v>119193</v>
      </c>
      <c r="B115" t="s">
        <v>476</v>
      </c>
      <c r="C115" t="s">
        <v>29146</v>
      </c>
      <c r="D115">
        <v>0</v>
      </c>
      <c r="E115" t="s">
        <v>476</v>
      </c>
      <c r="F115" t="s">
        <v>29147</v>
      </c>
      <c r="H115" s="3">
        <v>0</v>
      </c>
      <c r="I115" s="21">
        <v>0</v>
      </c>
      <c r="J115" s="21">
        <v>0</v>
      </c>
      <c r="K115" s="21">
        <v>0</v>
      </c>
      <c r="L115" s="3">
        <f t="shared" si="6"/>
        <v>0</v>
      </c>
      <c r="M115" s="3"/>
      <c r="N115" s="3">
        <f t="shared" si="7"/>
        <v>0</v>
      </c>
      <c r="O115" s="21"/>
      <c r="R115" s="89"/>
      <c r="S115" s="3">
        <f>100%-Table34[[#This Row],[PDF_initial fee]]</f>
        <v>1</v>
      </c>
      <c r="T115" s="3"/>
    </row>
    <row r="116" spans="1:28" hidden="1" x14ac:dyDescent="0.25">
      <c r="A116">
        <v>119250</v>
      </c>
      <c r="B116" s="41" t="s">
        <v>477</v>
      </c>
      <c r="C116" s="1" t="s">
        <v>29148</v>
      </c>
      <c r="D116">
        <v>97</v>
      </c>
      <c r="E116" t="s">
        <v>477</v>
      </c>
      <c r="F116" t="s">
        <v>29149</v>
      </c>
      <c r="H116" s="3">
        <v>0</v>
      </c>
      <c r="I116" s="3">
        <v>0</v>
      </c>
      <c r="J116" s="3">
        <v>0</v>
      </c>
      <c r="K116">
        <v>0</v>
      </c>
      <c r="L116" s="3">
        <f t="shared" si="6"/>
        <v>0</v>
      </c>
      <c r="M116" s="3"/>
      <c r="N116" s="3">
        <f t="shared" si="7"/>
        <v>0</v>
      </c>
      <c r="O116" t="s">
        <v>29150</v>
      </c>
      <c r="P116" s="22" t="s">
        <v>29151</v>
      </c>
      <c r="R116" s="89"/>
      <c r="S116" s="3">
        <f>100%-Table34[[#This Row],[PDF_initial fee]]</f>
        <v>1</v>
      </c>
      <c r="T116" s="3"/>
    </row>
    <row r="117" spans="1:28" x14ac:dyDescent="0.25">
      <c r="A117">
        <v>195273</v>
      </c>
      <c r="B117" t="s">
        <v>105</v>
      </c>
      <c r="C117" s="1" t="s">
        <v>29152</v>
      </c>
      <c r="D117" s="1">
        <v>6</v>
      </c>
      <c r="E117" t="s">
        <v>105</v>
      </c>
      <c r="F117" t="s">
        <v>6</v>
      </c>
      <c r="G117" s="3">
        <v>3.2000000000000002E-3</v>
      </c>
      <c r="H117" s="3">
        <v>0</v>
      </c>
      <c r="I117" s="3">
        <v>0</v>
      </c>
      <c r="J117" s="6">
        <v>3.5000000000000003E-2</v>
      </c>
      <c r="K117" s="6">
        <v>0.01</v>
      </c>
      <c r="L117" s="3">
        <f t="shared" si="6"/>
        <v>4.5000000000000005E-2</v>
      </c>
      <c r="M117" s="3"/>
      <c r="N117" s="3">
        <f t="shared" si="7"/>
        <v>4.8200000000000007E-2</v>
      </c>
      <c r="P117" s="1" t="s">
        <v>29109</v>
      </c>
      <c r="Q117" s="1" t="s">
        <v>29110</v>
      </c>
      <c r="R117" s="89">
        <v>0.32179999999999997</v>
      </c>
      <c r="S117" s="89">
        <f>100%-Table34[[#This Row],[PDF_initial fee]]</f>
        <v>0.96499999999999997</v>
      </c>
      <c r="T117" s="89">
        <f>(1-Table34[[#This Row],[PDF ongoing fee]])^5</f>
        <v>0.95099004989999991</v>
      </c>
      <c r="U117" s="26">
        <f>(1+Table34[[#This Row],[Net 5yrs return (mostly up to 28th of Feb 2026)]])*Table34[[#This Row],[Investment after initial charge]]*Table34[[#This Row],[Cummulative 5yrs ongoing advice charge]]-1</f>
        <v>0.21302299527929636</v>
      </c>
      <c r="V117" s="10">
        <f>224206+43232</f>
        <v>267438</v>
      </c>
      <c r="W117" t="s">
        <v>29051</v>
      </c>
      <c r="X117" s="10">
        <v>226100</v>
      </c>
      <c r="Y117" s="30">
        <f>X117/V117</f>
        <v>0.84542959489676117</v>
      </c>
      <c r="Z117" t="s">
        <v>12692</v>
      </c>
      <c r="AA117" s="1" t="s">
        <v>29153</v>
      </c>
      <c r="AB117" t="s">
        <v>29056</v>
      </c>
    </row>
    <row r="118" spans="1:28" hidden="1" x14ac:dyDescent="0.25">
      <c r="A118">
        <v>119281</v>
      </c>
      <c r="B118" t="s">
        <v>478</v>
      </c>
      <c r="C118" t="s">
        <v>29154</v>
      </c>
      <c r="D118">
        <v>0</v>
      </c>
      <c r="E118" t="s">
        <v>478</v>
      </c>
      <c r="F118" t="s">
        <v>29147</v>
      </c>
      <c r="H118" s="3">
        <v>0</v>
      </c>
      <c r="I118" s="21">
        <v>0</v>
      </c>
      <c r="J118" s="21">
        <v>0</v>
      </c>
      <c r="K118" s="21">
        <v>0</v>
      </c>
      <c r="L118" s="3">
        <f t="shared" si="6"/>
        <v>0</v>
      </c>
      <c r="M118" s="3"/>
      <c r="N118" s="3">
        <f t="shared" si="7"/>
        <v>0</v>
      </c>
      <c r="O118" s="21"/>
      <c r="R118" s="89"/>
      <c r="S118" s="3">
        <f>100%-Table34[[#This Row],[PDF_initial fee]]</f>
        <v>1</v>
      </c>
      <c r="T118" s="3"/>
    </row>
    <row r="119" spans="1:28" hidden="1" x14ac:dyDescent="0.25">
      <c r="A119">
        <v>119319</v>
      </c>
      <c r="B119" t="s">
        <v>479</v>
      </c>
      <c r="C119" t="s">
        <v>29155</v>
      </c>
      <c r="D119">
        <v>0</v>
      </c>
      <c r="E119" t="s">
        <v>479</v>
      </c>
      <c r="F119" t="s">
        <v>6</v>
      </c>
      <c r="H119" s="3">
        <v>0</v>
      </c>
      <c r="I119" s="21">
        <v>0</v>
      </c>
      <c r="J119" s="21">
        <v>0</v>
      </c>
      <c r="K119" s="21">
        <v>0</v>
      </c>
      <c r="L119" s="3">
        <f t="shared" si="6"/>
        <v>0</v>
      </c>
      <c r="M119" s="3"/>
      <c r="N119" s="3">
        <f t="shared" si="7"/>
        <v>0</v>
      </c>
      <c r="O119" s="21"/>
      <c r="R119" s="89"/>
      <c r="S119" s="3">
        <f>100%-Table34[[#This Row],[PDF_initial fee]]</f>
        <v>1</v>
      </c>
      <c r="T119" s="3"/>
    </row>
    <row r="120" spans="1:28" hidden="1" x14ac:dyDescent="0.25">
      <c r="A120">
        <v>119329</v>
      </c>
      <c r="B120" t="s">
        <v>480</v>
      </c>
      <c r="C120" t="s">
        <v>7628</v>
      </c>
      <c r="D120">
        <v>87</v>
      </c>
      <c r="E120" t="s">
        <v>480</v>
      </c>
      <c r="F120" t="s">
        <v>6</v>
      </c>
      <c r="H120" s="3">
        <v>0</v>
      </c>
      <c r="I120" s="21">
        <v>0</v>
      </c>
      <c r="J120" s="21">
        <v>0</v>
      </c>
      <c r="K120" s="21">
        <v>0</v>
      </c>
      <c r="L120" s="3">
        <f t="shared" si="6"/>
        <v>0</v>
      </c>
      <c r="M120" s="3"/>
      <c r="N120" s="3">
        <f t="shared" si="7"/>
        <v>0</v>
      </c>
      <c r="R120" s="89"/>
      <c r="S120" s="3">
        <f>100%-Table34[[#This Row],[PDF_initial fee]]</f>
        <v>1</v>
      </c>
      <c r="T120" s="3"/>
    </row>
    <row r="121" spans="1:28" hidden="1" x14ac:dyDescent="0.25">
      <c r="A121">
        <v>119368</v>
      </c>
      <c r="B121" t="s">
        <v>481</v>
      </c>
      <c r="C121" t="s">
        <v>29156</v>
      </c>
      <c r="D121">
        <v>0</v>
      </c>
      <c r="E121" t="s">
        <v>481</v>
      </c>
      <c r="F121" t="s">
        <v>29147</v>
      </c>
      <c r="H121" s="3">
        <v>0</v>
      </c>
      <c r="I121" s="21">
        <v>0</v>
      </c>
      <c r="J121" s="21">
        <v>0</v>
      </c>
      <c r="K121" s="21">
        <v>0</v>
      </c>
      <c r="L121" s="3">
        <f t="shared" si="6"/>
        <v>0</v>
      </c>
      <c r="M121" s="3"/>
      <c r="N121" s="3">
        <f t="shared" si="7"/>
        <v>0</v>
      </c>
      <c r="O121" s="21"/>
      <c r="R121" s="89"/>
      <c r="S121" s="3">
        <f>100%-Table34[[#This Row],[PDF_initial fee]]</f>
        <v>1</v>
      </c>
      <c r="T121" s="3"/>
    </row>
    <row r="122" spans="1:28" x14ac:dyDescent="0.25">
      <c r="A122">
        <v>209451</v>
      </c>
      <c r="B122" t="s">
        <v>111</v>
      </c>
      <c r="C122" s="1" t="s">
        <v>29131</v>
      </c>
      <c r="D122">
        <v>12</v>
      </c>
      <c r="E122" t="s">
        <v>111</v>
      </c>
      <c r="F122" t="s">
        <v>6</v>
      </c>
      <c r="G122" s="3">
        <v>3.2000000000000002E-3</v>
      </c>
      <c r="H122" s="3">
        <v>0</v>
      </c>
      <c r="I122" s="3">
        <v>0</v>
      </c>
      <c r="J122" s="6">
        <v>3.5000000000000003E-2</v>
      </c>
      <c r="K122" s="6">
        <v>0.01</v>
      </c>
      <c r="L122" s="3">
        <f t="shared" si="6"/>
        <v>4.5000000000000005E-2</v>
      </c>
      <c r="M122" s="3"/>
      <c r="N122" s="3">
        <f t="shared" si="7"/>
        <v>4.8200000000000007E-2</v>
      </c>
      <c r="P122" s="1" t="s">
        <v>29109</v>
      </c>
      <c r="Q122" s="1" t="s">
        <v>29110</v>
      </c>
      <c r="R122" s="89">
        <v>0.32179999999999997</v>
      </c>
      <c r="S122" s="89">
        <f>100%-Table34[[#This Row],[PDF_initial fee]]</f>
        <v>0.96499999999999997</v>
      </c>
      <c r="T122" s="89">
        <f>(1-Table34[[#This Row],[PDF ongoing fee]])^5</f>
        <v>0.95099004989999991</v>
      </c>
      <c r="U122" s="26">
        <f>(1+Table34[[#This Row],[Net 5yrs return (mostly up to 28th of Feb 2026)]])*Table34[[#This Row],[Investment after initial charge]]*Table34[[#This Row],[Cummulative 5yrs ongoing advice charge]]-1</f>
        <v>0.21302299527929636</v>
      </c>
      <c r="V122" s="10">
        <v>1581293</v>
      </c>
      <c r="W122" t="s">
        <v>29051</v>
      </c>
      <c r="X122" s="10">
        <v>1287353</v>
      </c>
      <c r="Y122" s="30">
        <f>X122/V122</f>
        <v>0.81411414582876163</v>
      </c>
      <c r="Z122" t="s">
        <v>12692</v>
      </c>
      <c r="AA122" s="1" t="s">
        <v>29132</v>
      </c>
      <c r="AB122" t="s">
        <v>29056</v>
      </c>
    </row>
    <row r="123" spans="1:28" hidden="1" x14ac:dyDescent="0.25">
      <c r="A123">
        <v>120918</v>
      </c>
      <c r="B123" t="s">
        <v>483</v>
      </c>
      <c r="C123" s="1" t="s">
        <v>29157</v>
      </c>
      <c r="D123">
        <v>4</v>
      </c>
      <c r="E123" t="s">
        <v>483</v>
      </c>
      <c r="G123" s="1"/>
      <c r="H123" s="3">
        <v>0</v>
      </c>
      <c r="I123" s="3">
        <v>0</v>
      </c>
      <c r="J123" s="3">
        <v>0</v>
      </c>
      <c r="K123" s="3">
        <v>0</v>
      </c>
      <c r="L123" s="3">
        <f t="shared" si="6"/>
        <v>0</v>
      </c>
      <c r="M123" s="3"/>
      <c r="N123" s="3">
        <f t="shared" si="7"/>
        <v>0</v>
      </c>
      <c r="R123" s="89"/>
      <c r="S123" s="3">
        <f>100%-Table34[[#This Row],[PDF_initial fee]]</f>
        <v>1</v>
      </c>
      <c r="T123" s="3"/>
    </row>
    <row r="124" spans="1:28" x14ac:dyDescent="0.25">
      <c r="A124">
        <v>432503</v>
      </c>
      <c r="B124" t="s">
        <v>156</v>
      </c>
      <c r="C124" s="1" t="s">
        <v>29131</v>
      </c>
      <c r="D124">
        <v>19</v>
      </c>
      <c r="E124" t="s">
        <v>156</v>
      </c>
      <c r="F124" t="s">
        <v>6</v>
      </c>
      <c r="G124" s="3">
        <v>5.0000000000000001E-3</v>
      </c>
      <c r="H124" s="3">
        <v>0</v>
      </c>
      <c r="I124" s="3">
        <v>0</v>
      </c>
      <c r="J124" s="6">
        <v>3.5000000000000003E-2</v>
      </c>
      <c r="K124" s="6">
        <v>0.01</v>
      </c>
      <c r="L124" s="3">
        <f t="shared" si="6"/>
        <v>4.5000000000000005E-2</v>
      </c>
      <c r="M124" s="3"/>
      <c r="N124" s="3">
        <f t="shared" si="7"/>
        <v>0.05</v>
      </c>
      <c r="P124" s="1" t="s">
        <v>29109</v>
      </c>
      <c r="Q124" s="1" t="s">
        <v>29110</v>
      </c>
      <c r="R124" s="89">
        <v>0.32179999999999997</v>
      </c>
      <c r="S124" s="89">
        <f>100%-Table34[[#This Row],[PDF_initial fee]]</f>
        <v>0.96499999999999997</v>
      </c>
      <c r="T124" s="89">
        <f>(1-Table34[[#This Row],[PDF ongoing fee]])^5</f>
        <v>0.95099004989999991</v>
      </c>
      <c r="U124" s="26">
        <f>(1+Table34[[#This Row],[Net 5yrs return (mostly up to 28th of Feb 2026)]])*Table34[[#This Row],[Investment after initial charge]]*Table34[[#This Row],[Cummulative 5yrs ongoing advice charge]]-1</f>
        <v>0.21302299527929636</v>
      </c>
      <c r="V124" s="10">
        <f>6741492+1952787</f>
        <v>8694279</v>
      </c>
      <c r="W124" t="s">
        <v>29051</v>
      </c>
      <c r="X124" s="10">
        <f>6238498</f>
        <v>6238498</v>
      </c>
      <c r="Y124" s="30">
        <f>X124/V124</f>
        <v>0.71754058042075719</v>
      </c>
      <c r="Z124" t="s">
        <v>12692</v>
      </c>
      <c r="AA124" s="1" t="s">
        <v>29158</v>
      </c>
      <c r="AB124" t="s">
        <v>29056</v>
      </c>
    </row>
    <row r="125" spans="1:28" hidden="1" x14ac:dyDescent="0.25">
      <c r="A125">
        <v>120973</v>
      </c>
      <c r="B125" t="s">
        <v>484</v>
      </c>
      <c r="C125" t="s">
        <v>6958</v>
      </c>
      <c r="D125">
        <v>2</v>
      </c>
      <c r="E125" t="s">
        <v>484</v>
      </c>
      <c r="F125" t="s">
        <v>6958</v>
      </c>
      <c r="H125" s="3">
        <v>0</v>
      </c>
      <c r="I125" s="21">
        <v>0</v>
      </c>
      <c r="J125" s="21">
        <v>0</v>
      </c>
      <c r="K125" s="21">
        <v>0</v>
      </c>
      <c r="L125" s="3">
        <f t="shared" si="6"/>
        <v>0</v>
      </c>
      <c r="M125" s="3"/>
      <c r="N125" s="3">
        <f t="shared" si="7"/>
        <v>0</v>
      </c>
      <c r="R125" s="89"/>
      <c r="S125" s="3">
        <f>100%-Table34[[#This Row],[PDF_initial fee]]</f>
        <v>1</v>
      </c>
      <c r="T125" s="3"/>
    </row>
    <row r="126" spans="1:28" hidden="1" x14ac:dyDescent="0.25">
      <c r="A126">
        <v>120982</v>
      </c>
      <c r="B126" t="s">
        <v>485</v>
      </c>
      <c r="C126" s="1" t="s">
        <v>29159</v>
      </c>
      <c r="D126">
        <v>0</v>
      </c>
      <c r="E126" t="s">
        <v>485</v>
      </c>
      <c r="F126" t="s">
        <v>29136</v>
      </c>
      <c r="G126" s="1"/>
      <c r="H126" s="3">
        <v>0</v>
      </c>
      <c r="I126" s="21">
        <v>0</v>
      </c>
      <c r="J126" s="21">
        <v>0</v>
      </c>
      <c r="K126" s="21">
        <v>0</v>
      </c>
      <c r="L126" s="3">
        <f t="shared" si="6"/>
        <v>0</v>
      </c>
      <c r="M126" s="3"/>
      <c r="N126" s="3">
        <f t="shared" si="7"/>
        <v>0</v>
      </c>
      <c r="R126" s="89"/>
      <c r="S126" s="3">
        <f>100%-Table34[[#This Row],[PDF_initial fee]]</f>
        <v>1</v>
      </c>
      <c r="T126" s="3"/>
    </row>
    <row r="127" spans="1:28" hidden="1" x14ac:dyDescent="0.25">
      <c r="A127">
        <v>121020</v>
      </c>
      <c r="B127" t="s">
        <v>487</v>
      </c>
      <c r="C127" t="s">
        <v>6958</v>
      </c>
      <c r="D127">
        <v>1</v>
      </c>
      <c r="E127" t="s">
        <v>487</v>
      </c>
      <c r="F127" t="s">
        <v>6958</v>
      </c>
      <c r="H127" s="3">
        <v>0</v>
      </c>
      <c r="I127" s="21">
        <v>0</v>
      </c>
      <c r="J127" s="21">
        <v>0</v>
      </c>
      <c r="K127" s="21">
        <v>0</v>
      </c>
      <c r="L127" s="3">
        <f t="shared" si="6"/>
        <v>0</v>
      </c>
      <c r="M127" s="3"/>
      <c r="N127" s="3">
        <f t="shared" si="7"/>
        <v>0</v>
      </c>
      <c r="R127" s="89"/>
      <c r="S127" s="3">
        <f>100%-Table34[[#This Row],[PDF_initial fee]]</f>
        <v>1</v>
      </c>
      <c r="T127" s="3"/>
    </row>
    <row r="128" spans="1:28" hidden="1" x14ac:dyDescent="0.25">
      <c r="A128">
        <v>121023</v>
      </c>
      <c r="B128" t="s">
        <v>488</v>
      </c>
      <c r="C128" t="s">
        <v>29160</v>
      </c>
      <c r="D128">
        <v>4</v>
      </c>
      <c r="E128" t="s">
        <v>488</v>
      </c>
      <c r="H128" s="3">
        <v>0</v>
      </c>
      <c r="I128" s="3">
        <v>0</v>
      </c>
      <c r="J128" s="3">
        <v>0</v>
      </c>
      <c r="K128" s="3">
        <v>0</v>
      </c>
      <c r="L128" s="3">
        <f t="shared" si="6"/>
        <v>0</v>
      </c>
      <c r="M128" s="3"/>
      <c r="N128" s="3">
        <f t="shared" si="7"/>
        <v>0</v>
      </c>
      <c r="R128" s="89"/>
      <c r="S128" s="3">
        <f>100%-Table34[[#This Row],[PDF_initial fee]]</f>
        <v>1</v>
      </c>
      <c r="T128" s="3"/>
    </row>
    <row r="129" spans="1:28" hidden="1" x14ac:dyDescent="0.25">
      <c r="A129">
        <v>121066</v>
      </c>
      <c r="B129" t="s">
        <v>489</v>
      </c>
      <c r="C129" t="s">
        <v>29161</v>
      </c>
      <c r="D129">
        <v>17</v>
      </c>
      <c r="E129" t="s">
        <v>489</v>
      </c>
      <c r="F129" t="s">
        <v>6</v>
      </c>
      <c r="H129" s="3"/>
      <c r="L129" s="3">
        <f t="shared" si="6"/>
        <v>0</v>
      </c>
      <c r="M129" s="3"/>
      <c r="N129" s="3">
        <f t="shared" si="7"/>
        <v>0</v>
      </c>
      <c r="O129" t="s">
        <v>29162</v>
      </c>
      <c r="P129" s="1" t="s">
        <v>29163</v>
      </c>
      <c r="R129" s="89"/>
      <c r="S129" s="3">
        <f>100%-Table34[[#This Row],[PDF_initial fee]]</f>
        <v>1</v>
      </c>
      <c r="T129" s="3"/>
      <c r="V129" t="s">
        <v>29163</v>
      </c>
    </row>
    <row r="130" spans="1:28" hidden="1" x14ac:dyDescent="0.25">
      <c r="A130">
        <v>121074</v>
      </c>
      <c r="B130" t="s">
        <v>490</v>
      </c>
      <c r="C130" t="s">
        <v>29164</v>
      </c>
      <c r="D130">
        <v>4</v>
      </c>
      <c r="E130" t="s">
        <v>490</v>
      </c>
      <c r="H130" s="3"/>
      <c r="L130" s="3">
        <f t="shared" si="6"/>
        <v>0</v>
      </c>
      <c r="M130" s="3"/>
      <c r="N130" s="3">
        <f t="shared" si="7"/>
        <v>0</v>
      </c>
      <c r="R130" s="89"/>
      <c r="S130" s="3">
        <f>100%-Table34[[#This Row],[PDF_initial fee]]</f>
        <v>1</v>
      </c>
      <c r="T130" s="3"/>
    </row>
    <row r="131" spans="1:28" hidden="1" x14ac:dyDescent="0.25">
      <c r="A131">
        <v>121212</v>
      </c>
      <c r="B131" t="s">
        <v>491</v>
      </c>
      <c r="C131" t="s">
        <v>7327</v>
      </c>
      <c r="D131">
        <v>2</v>
      </c>
      <c r="E131" t="s">
        <v>491</v>
      </c>
      <c r="H131" s="3"/>
      <c r="L131" s="3">
        <f t="shared" si="6"/>
        <v>0</v>
      </c>
      <c r="M131" s="3"/>
      <c r="N131" s="3">
        <f t="shared" si="7"/>
        <v>0</v>
      </c>
      <c r="R131" s="89"/>
      <c r="S131" s="3">
        <f>100%-Table34[[#This Row],[PDF_initial fee]]</f>
        <v>1</v>
      </c>
      <c r="T131" s="3"/>
    </row>
    <row r="132" spans="1:28" hidden="1" x14ac:dyDescent="0.25">
      <c r="A132">
        <v>121225</v>
      </c>
      <c r="B132" t="s">
        <v>492</v>
      </c>
      <c r="C132" t="s">
        <v>10914</v>
      </c>
      <c r="D132">
        <v>1</v>
      </c>
      <c r="E132" t="s">
        <v>492</v>
      </c>
      <c r="H132" s="3">
        <v>0</v>
      </c>
      <c r="I132" s="21">
        <v>0</v>
      </c>
      <c r="J132" s="21">
        <v>0</v>
      </c>
      <c r="K132" s="21">
        <v>0</v>
      </c>
      <c r="L132" s="3">
        <f t="shared" si="6"/>
        <v>0</v>
      </c>
      <c r="M132" s="3"/>
      <c r="N132" s="3">
        <f t="shared" si="7"/>
        <v>0</v>
      </c>
      <c r="R132" s="89"/>
      <c r="S132" s="3">
        <f>100%-Table34[[#This Row],[PDF_initial fee]]</f>
        <v>1</v>
      </c>
      <c r="T132" s="3"/>
    </row>
    <row r="133" spans="1:28" x14ac:dyDescent="0.25">
      <c r="A133">
        <v>401162</v>
      </c>
      <c r="B133" t="s">
        <v>143</v>
      </c>
      <c r="C133" s="1" t="s">
        <v>7117</v>
      </c>
      <c r="D133">
        <v>5</v>
      </c>
      <c r="E133" t="s">
        <v>143</v>
      </c>
      <c r="F133" t="s">
        <v>6</v>
      </c>
      <c r="G133" s="3">
        <v>3.2000000000000002E-3</v>
      </c>
      <c r="H133" s="3">
        <v>0</v>
      </c>
      <c r="I133" s="3">
        <v>0</v>
      </c>
      <c r="J133" s="6">
        <v>3.5000000000000003E-2</v>
      </c>
      <c r="K133" s="6">
        <v>0.01</v>
      </c>
      <c r="L133" s="3">
        <f t="shared" si="6"/>
        <v>4.5000000000000005E-2</v>
      </c>
      <c r="M133" s="3"/>
      <c r="N133" s="3">
        <f t="shared" si="7"/>
        <v>4.8200000000000007E-2</v>
      </c>
      <c r="P133" s="1" t="s">
        <v>29109</v>
      </c>
      <c r="Q133" s="1" t="s">
        <v>29110</v>
      </c>
      <c r="R133" s="89">
        <v>0.32179999999999997</v>
      </c>
      <c r="S133" s="89">
        <f>100%-Table34[[#This Row],[PDF_initial fee]]</f>
        <v>0.96499999999999997</v>
      </c>
      <c r="T133" s="89">
        <f>(1-Table34[[#This Row],[PDF ongoing fee]])^5</f>
        <v>0.95099004989999991</v>
      </c>
      <c r="U133" s="26">
        <f>(1+Table34[[#This Row],[Net 5yrs return (mostly up to 28th of Feb 2026)]])*Table34[[#This Row],[Investment after initial charge]]*Table34[[#This Row],[Cummulative 5yrs ongoing advice charge]]-1</f>
        <v>0.21302299527929636</v>
      </c>
      <c r="V133" s="10">
        <f>1416945+54196</f>
        <v>1471141</v>
      </c>
      <c r="W133" t="s">
        <v>29051</v>
      </c>
      <c r="X133" s="10">
        <v>1022853</v>
      </c>
      <c r="Y133" s="30">
        <f>X133/V133</f>
        <v>0.69527869864275416</v>
      </c>
      <c r="Z133" t="s">
        <v>12692</v>
      </c>
      <c r="AA133" s="1" t="s">
        <v>29165</v>
      </c>
      <c r="AB133" t="s">
        <v>29056</v>
      </c>
    </row>
    <row r="134" spans="1:28" hidden="1" x14ac:dyDescent="0.25">
      <c r="A134">
        <v>121356</v>
      </c>
      <c r="B134" t="s">
        <v>493</v>
      </c>
      <c r="C134" t="s">
        <v>12553</v>
      </c>
      <c r="D134">
        <v>2</v>
      </c>
      <c r="E134" t="s">
        <v>493</v>
      </c>
      <c r="H134" s="3">
        <v>0</v>
      </c>
      <c r="I134" s="21">
        <v>0</v>
      </c>
      <c r="J134" s="21">
        <v>0</v>
      </c>
      <c r="K134" s="21">
        <v>0</v>
      </c>
      <c r="L134" s="3">
        <f t="shared" si="6"/>
        <v>0</v>
      </c>
      <c r="M134" s="3"/>
      <c r="N134" s="3">
        <f t="shared" si="7"/>
        <v>0</v>
      </c>
      <c r="R134" s="89"/>
      <c r="S134" s="3">
        <f>100%-Table34[[#This Row],[PDF_initial fee]]</f>
        <v>1</v>
      </c>
      <c r="T134" s="3"/>
    </row>
    <row r="135" spans="1:28" hidden="1" x14ac:dyDescent="0.25">
      <c r="A135">
        <v>121398</v>
      </c>
      <c r="B135" t="s">
        <v>494</v>
      </c>
      <c r="C135" t="s">
        <v>29166</v>
      </c>
      <c r="D135">
        <v>5</v>
      </c>
      <c r="E135" t="s">
        <v>494</v>
      </c>
      <c r="H135" s="3">
        <v>0</v>
      </c>
      <c r="I135" s="21">
        <v>0</v>
      </c>
      <c r="J135" s="21">
        <v>0</v>
      </c>
      <c r="K135" s="21">
        <v>0</v>
      </c>
      <c r="L135" s="3">
        <f t="shared" si="6"/>
        <v>0</v>
      </c>
      <c r="M135" s="3"/>
      <c r="N135" s="3">
        <f t="shared" si="7"/>
        <v>0</v>
      </c>
      <c r="O135" s="21"/>
      <c r="R135" s="89"/>
      <c r="S135" s="3">
        <f>100%-Table34[[#This Row],[PDF_initial fee]]</f>
        <v>1</v>
      </c>
      <c r="T135" s="3"/>
    </row>
    <row r="136" spans="1:28" hidden="1" x14ac:dyDescent="0.25">
      <c r="A136">
        <v>121412</v>
      </c>
      <c r="B136" t="s">
        <v>495</v>
      </c>
      <c r="C136" t="s">
        <v>6958</v>
      </c>
      <c r="D136">
        <v>0</v>
      </c>
      <c r="E136" t="s">
        <v>495</v>
      </c>
      <c r="F136" t="s">
        <v>6958</v>
      </c>
      <c r="H136" s="3">
        <v>0</v>
      </c>
      <c r="I136" s="21">
        <v>0</v>
      </c>
      <c r="J136" s="21">
        <v>0</v>
      </c>
      <c r="K136" s="21">
        <v>0</v>
      </c>
      <c r="L136" s="3">
        <f t="shared" si="6"/>
        <v>0</v>
      </c>
      <c r="M136" s="3"/>
      <c r="N136" s="3">
        <f t="shared" si="7"/>
        <v>0</v>
      </c>
      <c r="R136" s="89"/>
      <c r="S136" s="3">
        <f>100%-Table34[[#This Row],[PDF_initial fee]]</f>
        <v>1</v>
      </c>
      <c r="T136" s="3"/>
    </row>
    <row r="137" spans="1:28" hidden="1" x14ac:dyDescent="0.25">
      <c r="A137">
        <v>121418</v>
      </c>
      <c r="B137" t="s">
        <v>496</v>
      </c>
      <c r="C137" t="s">
        <v>10216</v>
      </c>
      <c r="D137">
        <v>9</v>
      </c>
      <c r="E137" t="s">
        <v>496</v>
      </c>
      <c r="H137" s="3">
        <v>0</v>
      </c>
      <c r="I137" s="21">
        <v>0</v>
      </c>
      <c r="J137" s="21">
        <v>0</v>
      </c>
      <c r="K137" s="21">
        <v>0</v>
      </c>
      <c r="L137" s="3">
        <f t="shared" si="6"/>
        <v>0</v>
      </c>
      <c r="M137" s="3"/>
      <c r="N137" s="3">
        <f t="shared" si="7"/>
        <v>0</v>
      </c>
      <c r="R137" s="89"/>
      <c r="S137" s="3">
        <f>100%-Table34[[#This Row],[PDF_initial fee]]</f>
        <v>1</v>
      </c>
      <c r="T137" s="3"/>
    </row>
    <row r="138" spans="1:28" hidden="1" x14ac:dyDescent="0.25">
      <c r="A138">
        <v>121492</v>
      </c>
      <c r="B138" t="s">
        <v>497</v>
      </c>
      <c r="C138" t="s">
        <v>6958</v>
      </c>
      <c r="D138">
        <v>1</v>
      </c>
      <c r="E138" t="s">
        <v>497</v>
      </c>
      <c r="F138" t="s">
        <v>6958</v>
      </c>
      <c r="H138" s="3">
        <v>0</v>
      </c>
      <c r="I138" s="21">
        <v>0</v>
      </c>
      <c r="J138" s="21">
        <v>0</v>
      </c>
      <c r="K138" s="21">
        <v>0</v>
      </c>
      <c r="L138" s="3">
        <f t="shared" si="6"/>
        <v>0</v>
      </c>
      <c r="M138" s="3"/>
      <c r="N138" s="3">
        <f t="shared" si="7"/>
        <v>0</v>
      </c>
      <c r="R138" s="89"/>
      <c r="S138" s="3">
        <f>100%-Table34[[#This Row],[PDF_initial fee]]</f>
        <v>1</v>
      </c>
      <c r="T138" s="3"/>
    </row>
    <row r="139" spans="1:28" hidden="1" x14ac:dyDescent="0.25">
      <c r="A139">
        <v>121535</v>
      </c>
      <c r="B139" t="s">
        <v>498</v>
      </c>
      <c r="C139" t="s">
        <v>10706</v>
      </c>
      <c r="D139">
        <v>1</v>
      </c>
      <c r="E139" t="s">
        <v>498</v>
      </c>
      <c r="H139" s="3"/>
      <c r="L139" s="3">
        <f t="shared" si="6"/>
        <v>0</v>
      </c>
      <c r="M139" s="3"/>
      <c r="N139" s="3">
        <f t="shared" si="7"/>
        <v>0</v>
      </c>
      <c r="R139" s="89"/>
      <c r="S139" s="3">
        <f>100%-Table34[[#This Row],[PDF_initial fee]]</f>
        <v>1</v>
      </c>
      <c r="T139" s="3"/>
    </row>
    <row r="140" spans="1:28" hidden="1" x14ac:dyDescent="0.25">
      <c r="A140">
        <v>121551</v>
      </c>
      <c r="B140" t="s">
        <v>499</v>
      </c>
      <c r="C140" t="s">
        <v>6958</v>
      </c>
      <c r="D140">
        <v>1</v>
      </c>
      <c r="E140" t="s">
        <v>499</v>
      </c>
      <c r="F140" t="s">
        <v>6958</v>
      </c>
      <c r="H140" s="3">
        <v>0</v>
      </c>
      <c r="I140" s="21">
        <v>0</v>
      </c>
      <c r="J140" s="21">
        <v>0</v>
      </c>
      <c r="K140" s="21">
        <v>0</v>
      </c>
      <c r="L140" s="3">
        <f t="shared" si="6"/>
        <v>0</v>
      </c>
      <c r="M140" s="3"/>
      <c r="N140" s="3">
        <f t="shared" si="7"/>
        <v>0</v>
      </c>
      <c r="R140" s="89"/>
      <c r="S140" s="3">
        <f>100%-Table34[[#This Row],[PDF_initial fee]]</f>
        <v>1</v>
      </c>
      <c r="T140" s="3"/>
    </row>
    <row r="141" spans="1:28" hidden="1" x14ac:dyDescent="0.25">
      <c r="A141">
        <v>121662</v>
      </c>
      <c r="B141" t="s">
        <v>501</v>
      </c>
      <c r="C141" t="s">
        <v>6958</v>
      </c>
      <c r="D141">
        <v>1</v>
      </c>
      <c r="E141" t="s">
        <v>501</v>
      </c>
      <c r="F141" t="s">
        <v>6958</v>
      </c>
      <c r="H141" s="3">
        <v>0</v>
      </c>
      <c r="I141" s="3">
        <v>0</v>
      </c>
      <c r="J141" s="3">
        <v>0</v>
      </c>
      <c r="K141" s="3">
        <v>0</v>
      </c>
      <c r="L141" s="3">
        <f t="shared" si="6"/>
        <v>0</v>
      </c>
      <c r="M141" s="3"/>
      <c r="N141" s="3">
        <f t="shared" si="7"/>
        <v>0</v>
      </c>
      <c r="R141" s="89"/>
      <c r="S141" s="3">
        <f>100%-Table34[[#This Row],[PDF_initial fee]]</f>
        <v>1</v>
      </c>
      <c r="T141" s="3"/>
    </row>
    <row r="142" spans="1:28" x14ac:dyDescent="0.25">
      <c r="A142">
        <v>456896</v>
      </c>
      <c r="B142" t="s">
        <v>176</v>
      </c>
      <c r="C142" s="1" t="s">
        <v>29167</v>
      </c>
      <c r="D142">
        <v>22</v>
      </c>
      <c r="E142" t="s">
        <v>176</v>
      </c>
      <c r="F142" t="s">
        <v>6</v>
      </c>
      <c r="G142" s="3">
        <v>5.0000000000000001E-3</v>
      </c>
      <c r="H142" s="3">
        <v>0</v>
      </c>
      <c r="I142" s="3">
        <v>0</v>
      </c>
      <c r="J142" s="6">
        <v>3.5000000000000003E-2</v>
      </c>
      <c r="K142" s="6">
        <v>0.01</v>
      </c>
      <c r="L142" s="3">
        <f t="shared" si="6"/>
        <v>4.5000000000000005E-2</v>
      </c>
      <c r="M142" s="3"/>
      <c r="N142" s="3">
        <f t="shared" si="7"/>
        <v>0.05</v>
      </c>
      <c r="P142" s="1" t="s">
        <v>29109</v>
      </c>
      <c r="Q142" s="1" t="s">
        <v>29110</v>
      </c>
      <c r="R142" s="89">
        <v>0.32179999999999997</v>
      </c>
      <c r="S142" s="89">
        <f>100%-Table34[[#This Row],[PDF_initial fee]]</f>
        <v>0.96499999999999997</v>
      </c>
      <c r="T142" s="89">
        <f>(1-Table34[[#This Row],[PDF ongoing fee]])^5</f>
        <v>0.95099004989999991</v>
      </c>
      <c r="U142" s="26">
        <f>(1+Table34[[#This Row],[Net 5yrs return (mostly up to 28th of Feb 2026)]])*Table34[[#This Row],[Investment after initial charge]]*Table34[[#This Row],[Cummulative 5yrs ongoing advice charge]]-1</f>
        <v>0.21302299527929636</v>
      </c>
      <c r="V142" s="10">
        <f>7845371+2924698</f>
        <v>10770069</v>
      </c>
      <c r="W142" t="s">
        <v>29051</v>
      </c>
      <c r="X142" s="10">
        <v>6527956</v>
      </c>
      <c r="Y142" s="30">
        <f>X142/V142</f>
        <v>0.60612016506115229</v>
      </c>
      <c r="Z142" t="s">
        <v>12692</v>
      </c>
      <c r="AA142" s="1" t="s">
        <v>29168</v>
      </c>
      <c r="AB142" t="s">
        <v>29056</v>
      </c>
    </row>
    <row r="143" spans="1:28" hidden="1" x14ac:dyDescent="0.25">
      <c r="A143">
        <v>121715</v>
      </c>
      <c r="B143" t="s">
        <v>502</v>
      </c>
      <c r="C143" t="s">
        <v>6958</v>
      </c>
      <c r="D143">
        <v>2</v>
      </c>
      <c r="E143" t="s">
        <v>502</v>
      </c>
      <c r="F143" t="s">
        <v>6958</v>
      </c>
      <c r="H143" s="3"/>
      <c r="L143" s="3">
        <f t="shared" ref="L143:L174" si="8">SUM(H143:K143)</f>
        <v>0</v>
      </c>
      <c r="M143" s="3"/>
      <c r="N143" s="3">
        <f t="shared" ref="N143:N174" si="9">L143+G143</f>
        <v>0</v>
      </c>
      <c r="R143" s="89"/>
      <c r="S143" s="3">
        <f>100%-Table34[[#This Row],[PDF_initial fee]]</f>
        <v>1</v>
      </c>
      <c r="T143" s="3"/>
    </row>
    <row r="144" spans="1:28" hidden="1" x14ac:dyDescent="0.25">
      <c r="A144">
        <v>121738</v>
      </c>
      <c r="B144" t="s">
        <v>503</v>
      </c>
      <c r="C144" t="s">
        <v>6958</v>
      </c>
      <c r="D144">
        <v>2</v>
      </c>
      <c r="E144" t="s">
        <v>503</v>
      </c>
      <c r="F144" t="s">
        <v>6958</v>
      </c>
      <c r="H144" s="3"/>
      <c r="L144" s="3">
        <f t="shared" si="8"/>
        <v>0</v>
      </c>
      <c r="M144" s="3"/>
      <c r="N144" s="3">
        <f t="shared" si="9"/>
        <v>0</v>
      </c>
      <c r="R144" s="89"/>
      <c r="S144" s="3">
        <f>100%-Table34[[#This Row],[PDF_initial fee]]</f>
        <v>1</v>
      </c>
      <c r="T144" s="3"/>
    </row>
    <row r="145" spans="1:30" hidden="1" x14ac:dyDescent="0.25">
      <c r="A145">
        <v>121743</v>
      </c>
      <c r="B145" t="s">
        <v>504</v>
      </c>
      <c r="C145" t="s">
        <v>6958</v>
      </c>
      <c r="D145">
        <v>1</v>
      </c>
      <c r="E145" t="s">
        <v>504</v>
      </c>
      <c r="F145" t="s">
        <v>6958</v>
      </c>
      <c r="H145" s="3">
        <v>0</v>
      </c>
      <c r="I145" s="21">
        <v>0</v>
      </c>
      <c r="J145" s="21">
        <v>0</v>
      </c>
      <c r="K145" s="21">
        <v>0</v>
      </c>
      <c r="L145" s="3">
        <f t="shared" si="8"/>
        <v>0</v>
      </c>
      <c r="M145" s="3"/>
      <c r="N145" s="3">
        <f t="shared" si="9"/>
        <v>0</v>
      </c>
      <c r="O145" s="21"/>
      <c r="R145" s="89"/>
      <c r="S145" s="3">
        <f>100%-Table34[[#This Row],[PDF_initial fee]]</f>
        <v>1</v>
      </c>
      <c r="T145" s="3"/>
    </row>
    <row r="146" spans="1:30" hidden="1" x14ac:dyDescent="0.25">
      <c r="A146">
        <v>121754</v>
      </c>
      <c r="B146" t="s">
        <v>505</v>
      </c>
      <c r="C146" t="s">
        <v>6958</v>
      </c>
      <c r="D146">
        <v>2</v>
      </c>
      <c r="E146" t="s">
        <v>505</v>
      </c>
      <c r="F146" t="s">
        <v>6958</v>
      </c>
      <c r="H146" s="3">
        <v>0</v>
      </c>
      <c r="I146" s="3">
        <v>0</v>
      </c>
      <c r="J146" s="3">
        <v>0</v>
      </c>
      <c r="K146" s="3">
        <v>0</v>
      </c>
      <c r="L146" s="3">
        <f t="shared" si="8"/>
        <v>0</v>
      </c>
      <c r="M146" s="3"/>
      <c r="N146" s="3">
        <f t="shared" si="9"/>
        <v>0</v>
      </c>
      <c r="R146" s="89"/>
      <c r="S146" s="3">
        <f>100%-Table34[[#This Row],[PDF_initial fee]]</f>
        <v>1</v>
      </c>
      <c r="T146" s="3"/>
    </row>
    <row r="147" spans="1:30" hidden="1" x14ac:dyDescent="0.25">
      <c r="A147">
        <v>121873</v>
      </c>
      <c r="B147" t="s">
        <v>506</v>
      </c>
      <c r="C147" t="s">
        <v>8134</v>
      </c>
      <c r="D147">
        <v>0</v>
      </c>
      <c r="E147" t="s">
        <v>506</v>
      </c>
      <c r="F147" t="s">
        <v>29136</v>
      </c>
      <c r="H147" s="3">
        <v>0</v>
      </c>
      <c r="I147" s="21">
        <v>0</v>
      </c>
      <c r="J147" s="21">
        <v>0</v>
      </c>
      <c r="K147" s="21">
        <v>0</v>
      </c>
      <c r="L147" s="3">
        <f t="shared" si="8"/>
        <v>0</v>
      </c>
      <c r="M147" s="3"/>
      <c r="N147" s="3">
        <f t="shared" si="9"/>
        <v>0</v>
      </c>
      <c r="R147" s="89"/>
      <c r="S147" s="3">
        <f>100%-Table34[[#This Row],[PDF_initial fee]]</f>
        <v>1</v>
      </c>
      <c r="T147" s="3"/>
    </row>
    <row r="148" spans="1:30" x14ac:dyDescent="0.25">
      <c r="A148">
        <v>478217</v>
      </c>
      <c r="B148" t="s">
        <v>189</v>
      </c>
      <c r="C148" s="1" t="s">
        <v>29169</v>
      </c>
      <c r="D148">
        <v>14</v>
      </c>
      <c r="E148" t="s">
        <v>189</v>
      </c>
      <c r="F148" t="s">
        <v>6</v>
      </c>
      <c r="G148" s="3">
        <v>5.0000000000000001E-3</v>
      </c>
      <c r="H148" s="3">
        <v>0</v>
      </c>
      <c r="I148" s="3">
        <v>0</v>
      </c>
      <c r="J148" s="6">
        <v>3.5000000000000003E-2</v>
      </c>
      <c r="K148" s="6">
        <v>0.01</v>
      </c>
      <c r="L148" s="3">
        <f t="shared" si="8"/>
        <v>4.5000000000000005E-2</v>
      </c>
      <c r="M148" s="3"/>
      <c r="N148" s="3">
        <f t="shared" si="9"/>
        <v>0.05</v>
      </c>
      <c r="P148" s="1" t="s">
        <v>29109</v>
      </c>
      <c r="Q148" s="1" t="s">
        <v>29110</v>
      </c>
      <c r="R148" s="89">
        <v>0.32179999999999997</v>
      </c>
      <c r="S148" s="89">
        <f>100%-Table34[[#This Row],[PDF_initial fee]]</f>
        <v>0.96499999999999997</v>
      </c>
      <c r="T148" s="89">
        <f>(1-Table34[[#This Row],[PDF ongoing fee]])^5</f>
        <v>0.95099004989999991</v>
      </c>
      <c r="U148" s="26">
        <f>(1+Table34[[#This Row],[Net 5yrs return (mostly up to 28th of Feb 2026)]])*Table34[[#This Row],[Investment after initial charge]]*Table34[[#This Row],[Cummulative 5yrs ongoing advice charge]]-1</f>
        <v>0.21302299527929636</v>
      </c>
      <c r="V148" s="10">
        <f>6503772+2933883</f>
        <v>9437655</v>
      </c>
      <c r="W148" t="s">
        <v>29051</v>
      </c>
      <c r="X148" s="10">
        <v>6324075</v>
      </c>
      <c r="Y148" s="30">
        <f>X148/V148</f>
        <v>0.67008965680563659</v>
      </c>
      <c r="Z148" t="s">
        <v>12692</v>
      </c>
      <c r="AA148" s="1" t="s">
        <v>29170</v>
      </c>
      <c r="AB148" t="s">
        <v>29056</v>
      </c>
    </row>
    <row r="149" spans="1:30" hidden="1" x14ac:dyDescent="0.25">
      <c r="A149" s="42">
        <v>121882</v>
      </c>
      <c r="B149" t="s">
        <v>507</v>
      </c>
      <c r="C149" t="s">
        <v>29171</v>
      </c>
      <c r="D149">
        <v>1</v>
      </c>
      <c r="E149" t="s">
        <v>507</v>
      </c>
      <c r="F149" t="s">
        <v>29136</v>
      </c>
      <c r="H149" s="3">
        <v>0</v>
      </c>
      <c r="I149" s="21">
        <v>0</v>
      </c>
      <c r="J149" s="21">
        <v>0</v>
      </c>
      <c r="K149" s="21">
        <v>0</v>
      </c>
      <c r="L149" s="3">
        <f t="shared" si="8"/>
        <v>0</v>
      </c>
      <c r="M149" s="3"/>
      <c r="N149" s="3">
        <f t="shared" si="9"/>
        <v>0</v>
      </c>
      <c r="O149" s="21"/>
      <c r="R149" s="89"/>
      <c r="S149" s="3">
        <f>100%-Table34[[#This Row],[PDF_initial fee]]</f>
        <v>1</v>
      </c>
      <c r="T149" s="3"/>
    </row>
    <row r="150" spans="1:30" hidden="1" x14ac:dyDescent="0.25">
      <c r="A150">
        <v>121885</v>
      </c>
      <c r="B150" t="s">
        <v>508</v>
      </c>
      <c r="C150" t="s">
        <v>12125</v>
      </c>
      <c r="D150">
        <v>0</v>
      </c>
      <c r="E150" t="s">
        <v>508</v>
      </c>
      <c r="F150" t="s">
        <v>29136</v>
      </c>
      <c r="H150" s="3">
        <v>0</v>
      </c>
      <c r="I150" s="21">
        <v>0</v>
      </c>
      <c r="J150" s="21">
        <v>0</v>
      </c>
      <c r="K150" s="21">
        <v>0</v>
      </c>
      <c r="L150" s="3">
        <f t="shared" si="8"/>
        <v>0</v>
      </c>
      <c r="M150" s="3"/>
      <c r="N150" s="3">
        <f t="shared" si="9"/>
        <v>0</v>
      </c>
      <c r="R150" s="89"/>
      <c r="S150" s="3">
        <f>100%-Table34[[#This Row],[PDF_initial fee]]</f>
        <v>1</v>
      </c>
      <c r="T150" s="3"/>
    </row>
    <row r="151" spans="1:30" hidden="1" x14ac:dyDescent="0.25">
      <c r="A151">
        <v>121926</v>
      </c>
      <c r="B151" t="s">
        <v>509</v>
      </c>
      <c r="C151" t="s">
        <v>29172</v>
      </c>
      <c r="D151">
        <v>0</v>
      </c>
      <c r="E151" t="s">
        <v>509</v>
      </c>
      <c r="F151" t="s">
        <v>6</v>
      </c>
      <c r="H151" s="3">
        <v>0</v>
      </c>
      <c r="I151" s="21">
        <v>0</v>
      </c>
      <c r="J151" s="21">
        <v>0</v>
      </c>
      <c r="K151" s="21">
        <v>0</v>
      </c>
      <c r="L151" s="3">
        <f t="shared" si="8"/>
        <v>0</v>
      </c>
      <c r="M151" s="3"/>
      <c r="N151" s="3">
        <f t="shared" si="9"/>
        <v>0</v>
      </c>
      <c r="R151" s="89"/>
      <c r="S151" s="3">
        <f>100%-Table34[[#This Row],[PDF_initial fee]]</f>
        <v>1</v>
      </c>
      <c r="T151" s="3"/>
    </row>
    <row r="152" spans="1:30" hidden="1" x14ac:dyDescent="0.25">
      <c r="A152">
        <v>121935</v>
      </c>
      <c r="B152" t="s">
        <v>510</v>
      </c>
      <c r="C152" t="s">
        <v>29173</v>
      </c>
      <c r="D152">
        <v>30</v>
      </c>
      <c r="E152" t="s">
        <v>510</v>
      </c>
      <c r="F152" t="s">
        <v>6</v>
      </c>
      <c r="H152" s="3">
        <v>0</v>
      </c>
      <c r="I152" s="21">
        <v>0</v>
      </c>
      <c r="J152" s="21">
        <v>0</v>
      </c>
      <c r="K152" s="21">
        <v>0</v>
      </c>
      <c r="L152" s="3">
        <f t="shared" si="8"/>
        <v>0</v>
      </c>
      <c r="M152" s="3"/>
      <c r="N152" s="3">
        <f t="shared" si="9"/>
        <v>0</v>
      </c>
      <c r="O152" s="21"/>
      <c r="R152" s="89"/>
      <c r="S152" s="3">
        <f>100%-Table34[[#This Row],[PDF_initial fee]]</f>
        <v>1</v>
      </c>
      <c r="T152" s="3"/>
    </row>
    <row r="153" spans="1:30" x14ac:dyDescent="0.25">
      <c r="A153">
        <v>486512</v>
      </c>
      <c r="B153" t="s">
        <v>193</v>
      </c>
      <c r="C153" s="1" t="s">
        <v>29174</v>
      </c>
      <c r="D153">
        <v>26</v>
      </c>
      <c r="E153" t="s">
        <v>193</v>
      </c>
      <c r="F153" t="s">
        <v>6</v>
      </c>
      <c r="G153" s="3">
        <v>5.0000000000000001E-3</v>
      </c>
      <c r="H153" s="3">
        <v>0</v>
      </c>
      <c r="I153" s="3">
        <v>0</v>
      </c>
      <c r="J153" s="6">
        <v>3.5000000000000003E-2</v>
      </c>
      <c r="K153" s="6">
        <v>0.01</v>
      </c>
      <c r="L153" s="3">
        <f t="shared" si="8"/>
        <v>4.5000000000000005E-2</v>
      </c>
      <c r="M153" s="3"/>
      <c r="N153" s="3">
        <f t="shared" si="9"/>
        <v>0.05</v>
      </c>
      <c r="P153" s="1" t="s">
        <v>29109</v>
      </c>
      <c r="Q153" s="1" t="s">
        <v>29110</v>
      </c>
      <c r="R153" s="89">
        <v>0.32179999999999997</v>
      </c>
      <c r="S153" s="89">
        <f>100%-Table34[[#This Row],[PDF_initial fee]]</f>
        <v>0.96499999999999997</v>
      </c>
      <c r="T153" s="89">
        <f>(1-Table34[[#This Row],[PDF ongoing fee]])^5</f>
        <v>0.95099004989999991</v>
      </c>
      <c r="U153" s="26">
        <f>(1+Table34[[#This Row],[Net 5yrs return (mostly up to 28th of Feb 2026)]])*Table34[[#This Row],[Investment after initial charge]]*Table34[[#This Row],[Cummulative 5yrs ongoing advice charge]]-1</f>
        <v>0.21302299527929636</v>
      </c>
      <c r="V153" s="10">
        <f>3486232+920766</f>
        <v>4406998</v>
      </c>
      <c r="W153" t="s">
        <v>29051</v>
      </c>
      <c r="X153" s="10">
        <v>3119891</v>
      </c>
      <c r="Y153" s="30">
        <f>X153/V153</f>
        <v>0.70794018967106409</v>
      </c>
      <c r="Z153" t="s">
        <v>12692</v>
      </c>
      <c r="AA153" s="1" t="s">
        <v>29175</v>
      </c>
      <c r="AB153" t="s">
        <v>29056</v>
      </c>
    </row>
    <row r="154" spans="1:30" hidden="1" x14ac:dyDescent="0.25">
      <c r="A154">
        <v>122229</v>
      </c>
      <c r="B154" t="s">
        <v>512</v>
      </c>
      <c r="C154" t="s">
        <v>6958</v>
      </c>
      <c r="D154">
        <v>0</v>
      </c>
      <c r="E154" t="s">
        <v>512</v>
      </c>
      <c r="F154" t="s">
        <v>6958</v>
      </c>
      <c r="H154" s="3">
        <v>0</v>
      </c>
      <c r="I154" s="21">
        <v>0</v>
      </c>
      <c r="J154" s="21">
        <v>0</v>
      </c>
      <c r="K154" s="21">
        <v>0</v>
      </c>
      <c r="L154" s="3">
        <f t="shared" si="8"/>
        <v>0</v>
      </c>
      <c r="M154" s="3"/>
      <c r="N154" s="3">
        <f t="shared" si="9"/>
        <v>0</v>
      </c>
      <c r="O154" s="21"/>
      <c r="R154" s="89"/>
      <c r="S154" s="3">
        <f>100%-Table34[[#This Row],[PDF_initial fee]]</f>
        <v>1</v>
      </c>
      <c r="T154" s="3"/>
    </row>
    <row r="155" spans="1:30" hidden="1" x14ac:dyDescent="0.25">
      <c r="A155">
        <v>122261</v>
      </c>
      <c r="B155" t="s">
        <v>513</v>
      </c>
      <c r="C155" s="1" t="s">
        <v>29176</v>
      </c>
      <c r="D155">
        <v>0</v>
      </c>
      <c r="E155" t="s">
        <v>513</v>
      </c>
      <c r="F155" t="s">
        <v>29136</v>
      </c>
      <c r="G155" s="1"/>
      <c r="H155" s="3">
        <v>0</v>
      </c>
      <c r="I155" s="3">
        <v>0</v>
      </c>
      <c r="J155" s="3">
        <v>0</v>
      </c>
      <c r="K155" s="3">
        <v>0</v>
      </c>
      <c r="L155" s="3">
        <f t="shared" si="8"/>
        <v>0</v>
      </c>
      <c r="M155" s="3"/>
      <c r="N155" s="3">
        <f t="shared" si="9"/>
        <v>0</v>
      </c>
      <c r="R155" s="89"/>
      <c r="S155" s="3">
        <f>100%-Table34[[#This Row],[PDF_initial fee]]</f>
        <v>1</v>
      </c>
      <c r="T155" s="3"/>
    </row>
    <row r="156" spans="1:30" x14ac:dyDescent="0.25">
      <c r="A156">
        <v>526134</v>
      </c>
      <c r="B156" t="s">
        <v>211</v>
      </c>
      <c r="C156" t="s">
        <v>29177</v>
      </c>
      <c r="D156">
        <v>16</v>
      </c>
      <c r="E156" t="s">
        <v>211</v>
      </c>
      <c r="F156" t="s">
        <v>6</v>
      </c>
      <c r="G156" s="3">
        <v>5.0000000000000001E-3</v>
      </c>
      <c r="H156" s="3">
        <v>0</v>
      </c>
      <c r="I156" s="3">
        <v>0</v>
      </c>
      <c r="J156" s="6">
        <v>3.5000000000000003E-2</v>
      </c>
      <c r="K156" s="6">
        <v>0.01</v>
      </c>
      <c r="L156" s="3">
        <f t="shared" si="8"/>
        <v>4.5000000000000005E-2</v>
      </c>
      <c r="M156" s="3"/>
      <c r="N156" s="3">
        <f t="shared" si="9"/>
        <v>0.05</v>
      </c>
      <c r="P156" s="1" t="s">
        <v>29109</v>
      </c>
      <c r="Q156" s="1" t="s">
        <v>29110</v>
      </c>
      <c r="R156" s="89">
        <v>0.32179999999999997</v>
      </c>
      <c r="S156" s="89">
        <f>100%-Table34[[#This Row],[PDF_initial fee]]</f>
        <v>0.96499999999999997</v>
      </c>
      <c r="T156" s="89">
        <f>(1-Table34[[#This Row],[PDF ongoing fee]])^5</f>
        <v>0.95099004989999991</v>
      </c>
      <c r="U156" s="26">
        <f>(1+Table34[[#This Row],[Net 5yrs return (mostly up to 28th of Feb 2026)]])*Table34[[#This Row],[Investment after initial charge]]*Table34[[#This Row],[Cummulative 5yrs ongoing advice charge]]-1</f>
        <v>0.21302299527929636</v>
      </c>
      <c r="V156" s="10">
        <f>4061179+1644170</f>
        <v>5705349</v>
      </c>
      <c r="W156" t="s">
        <v>29051</v>
      </c>
      <c r="X156" s="10">
        <v>3268024</v>
      </c>
      <c r="Y156" s="30">
        <f>X156/V156</f>
        <v>0.57280001626543797</v>
      </c>
      <c r="Z156" t="s">
        <v>12692</v>
      </c>
      <c r="AA156" s="1" t="s">
        <v>29178</v>
      </c>
      <c r="AB156" t="s">
        <v>29056</v>
      </c>
      <c r="AD156" s="1" t="s">
        <v>29110</v>
      </c>
    </row>
    <row r="157" spans="1:30" hidden="1" x14ac:dyDescent="0.25">
      <c r="A157">
        <v>122330</v>
      </c>
      <c r="B157" t="s">
        <v>514</v>
      </c>
      <c r="C157" t="s">
        <v>29179</v>
      </c>
      <c r="D157">
        <v>3</v>
      </c>
      <c r="E157" t="s">
        <v>514</v>
      </c>
      <c r="H157" s="3">
        <v>0</v>
      </c>
      <c r="I157" s="21">
        <v>0</v>
      </c>
      <c r="J157" s="21">
        <v>0</v>
      </c>
      <c r="K157" s="21">
        <v>0</v>
      </c>
      <c r="L157" s="3">
        <f t="shared" si="8"/>
        <v>0</v>
      </c>
      <c r="M157" s="3"/>
      <c r="N157" s="3">
        <f t="shared" si="9"/>
        <v>0</v>
      </c>
      <c r="O157" s="21"/>
      <c r="R157" s="89"/>
      <c r="S157" s="3">
        <f>100%-Table34[[#This Row],[PDF_initial fee]]</f>
        <v>1</v>
      </c>
      <c r="T157" s="3"/>
    </row>
    <row r="158" spans="1:30" hidden="1" x14ac:dyDescent="0.25">
      <c r="A158">
        <v>122335</v>
      </c>
      <c r="B158" t="s">
        <v>515</v>
      </c>
      <c r="C158" t="s">
        <v>29180</v>
      </c>
      <c r="D158">
        <v>0</v>
      </c>
      <c r="E158" t="s">
        <v>515</v>
      </c>
      <c r="F158" t="s">
        <v>29136</v>
      </c>
      <c r="H158" s="3">
        <v>0</v>
      </c>
      <c r="I158" s="21">
        <v>0</v>
      </c>
      <c r="J158" s="21">
        <v>0</v>
      </c>
      <c r="K158" s="21">
        <v>0</v>
      </c>
      <c r="L158" s="3">
        <f t="shared" si="8"/>
        <v>0</v>
      </c>
      <c r="M158" s="3"/>
      <c r="N158" s="3">
        <f t="shared" si="9"/>
        <v>0</v>
      </c>
      <c r="O158" s="21"/>
      <c r="R158" s="89"/>
      <c r="S158" s="3">
        <f>100%-Table34[[#This Row],[PDF_initial fee]]</f>
        <v>1</v>
      </c>
      <c r="T158" s="3"/>
    </row>
    <row r="159" spans="1:30" hidden="1" x14ac:dyDescent="0.25">
      <c r="A159">
        <v>122336</v>
      </c>
      <c r="B159" t="s">
        <v>516</v>
      </c>
      <c r="C159" t="s">
        <v>6958</v>
      </c>
      <c r="D159">
        <v>0</v>
      </c>
      <c r="E159" t="s">
        <v>516</v>
      </c>
      <c r="F159" t="s">
        <v>6958</v>
      </c>
      <c r="H159" s="3">
        <v>0</v>
      </c>
      <c r="I159" s="21">
        <v>0</v>
      </c>
      <c r="J159" s="21">
        <v>0</v>
      </c>
      <c r="K159" s="21">
        <v>0</v>
      </c>
      <c r="L159" s="3">
        <f t="shared" si="8"/>
        <v>0</v>
      </c>
      <c r="M159" s="3"/>
      <c r="N159" s="3">
        <f t="shared" si="9"/>
        <v>0</v>
      </c>
      <c r="R159" s="89"/>
      <c r="S159" s="3">
        <f>100%-Table34[[#This Row],[PDF_initial fee]]</f>
        <v>1</v>
      </c>
      <c r="T159" s="3"/>
    </row>
    <row r="160" spans="1:30" hidden="1" x14ac:dyDescent="0.25">
      <c r="A160">
        <v>122428</v>
      </c>
      <c r="B160" t="s">
        <v>517</v>
      </c>
      <c r="C160" t="s">
        <v>29181</v>
      </c>
      <c r="D160">
        <v>7</v>
      </c>
      <c r="E160" t="s">
        <v>517</v>
      </c>
      <c r="H160" s="3">
        <v>0</v>
      </c>
      <c r="I160" s="21">
        <v>0</v>
      </c>
      <c r="J160" s="21">
        <v>0</v>
      </c>
      <c r="K160" s="21">
        <v>0</v>
      </c>
      <c r="L160" s="3">
        <f t="shared" si="8"/>
        <v>0</v>
      </c>
      <c r="M160" s="3"/>
      <c r="N160" s="3">
        <f t="shared" si="9"/>
        <v>0</v>
      </c>
      <c r="O160" s="21"/>
      <c r="R160" s="89"/>
      <c r="S160" s="3">
        <f>100%-Table34[[#This Row],[PDF_initial fee]]</f>
        <v>1</v>
      </c>
      <c r="T160" s="3"/>
    </row>
    <row r="161" spans="1:30" hidden="1" x14ac:dyDescent="0.25">
      <c r="A161">
        <v>122451</v>
      </c>
      <c r="B161" t="s">
        <v>518</v>
      </c>
      <c r="C161" t="s">
        <v>12376</v>
      </c>
      <c r="D161">
        <v>0</v>
      </c>
      <c r="E161" t="s">
        <v>518</v>
      </c>
      <c r="F161" t="s">
        <v>29136</v>
      </c>
      <c r="H161" s="3">
        <v>0</v>
      </c>
      <c r="I161" s="21">
        <v>0</v>
      </c>
      <c r="J161" s="21">
        <v>0</v>
      </c>
      <c r="K161" s="21">
        <v>0</v>
      </c>
      <c r="L161" s="3">
        <f t="shared" si="8"/>
        <v>0</v>
      </c>
      <c r="M161" s="3"/>
      <c r="N161" s="3">
        <f t="shared" si="9"/>
        <v>0</v>
      </c>
      <c r="R161" s="89"/>
      <c r="S161" s="3">
        <f>100%-Table34[[#This Row],[PDF_initial fee]]</f>
        <v>1</v>
      </c>
      <c r="T161" s="3"/>
    </row>
    <row r="162" spans="1:30" hidden="1" x14ac:dyDescent="0.25">
      <c r="A162">
        <v>122467</v>
      </c>
      <c r="B162" t="s">
        <v>519</v>
      </c>
      <c r="C162" t="s">
        <v>29182</v>
      </c>
      <c r="D162">
        <v>0</v>
      </c>
      <c r="E162" t="s">
        <v>519</v>
      </c>
      <c r="F162" t="s">
        <v>29136</v>
      </c>
      <c r="H162" s="3">
        <v>0</v>
      </c>
      <c r="I162" s="21">
        <v>0</v>
      </c>
      <c r="J162" s="21">
        <v>0</v>
      </c>
      <c r="K162" s="21">
        <v>0</v>
      </c>
      <c r="L162" s="3">
        <f t="shared" si="8"/>
        <v>0</v>
      </c>
      <c r="M162" s="3"/>
      <c r="N162" s="3">
        <f t="shared" si="9"/>
        <v>0</v>
      </c>
      <c r="O162" s="21"/>
      <c r="R162" s="89"/>
      <c r="S162" s="3">
        <f>100%-Table34[[#This Row],[PDF_initial fee]]</f>
        <v>1</v>
      </c>
      <c r="T162" s="3"/>
    </row>
    <row r="163" spans="1:30" hidden="1" x14ac:dyDescent="0.25">
      <c r="A163">
        <v>122483</v>
      </c>
      <c r="B163" t="s">
        <v>520</v>
      </c>
      <c r="C163" t="s">
        <v>29183</v>
      </c>
      <c r="D163">
        <v>14</v>
      </c>
      <c r="E163" t="s">
        <v>520</v>
      </c>
      <c r="F163" t="s">
        <v>6</v>
      </c>
      <c r="H163" s="3">
        <v>0</v>
      </c>
      <c r="I163" s="21">
        <v>0</v>
      </c>
      <c r="J163" s="21">
        <v>0</v>
      </c>
      <c r="K163" s="21">
        <v>0</v>
      </c>
      <c r="L163" s="3">
        <f t="shared" si="8"/>
        <v>0</v>
      </c>
      <c r="M163" s="3"/>
      <c r="N163" s="3">
        <f t="shared" si="9"/>
        <v>0</v>
      </c>
      <c r="O163" s="21"/>
      <c r="R163" s="89"/>
      <c r="S163" s="3">
        <f>100%-Table34[[#This Row],[PDF_initial fee]]</f>
        <v>1</v>
      </c>
      <c r="T163" s="3"/>
    </row>
    <row r="164" spans="1:30" hidden="1" x14ac:dyDescent="0.25">
      <c r="A164">
        <v>122499</v>
      </c>
      <c r="B164" t="s">
        <v>521</v>
      </c>
      <c r="C164" t="s">
        <v>7661</v>
      </c>
      <c r="D164">
        <v>16</v>
      </c>
      <c r="E164" t="s">
        <v>521</v>
      </c>
      <c r="F164" t="s">
        <v>6</v>
      </c>
      <c r="H164" s="3">
        <v>0</v>
      </c>
      <c r="I164" s="21">
        <v>0</v>
      </c>
      <c r="J164" s="21">
        <v>0</v>
      </c>
      <c r="K164" s="21">
        <v>0</v>
      </c>
      <c r="L164" s="3">
        <f t="shared" si="8"/>
        <v>0</v>
      </c>
      <c r="M164" s="3"/>
      <c r="N164" s="3">
        <f t="shared" si="9"/>
        <v>0</v>
      </c>
      <c r="R164" s="89"/>
      <c r="S164" s="3">
        <f>100%-Table34[[#This Row],[PDF_initial fee]]</f>
        <v>1</v>
      </c>
      <c r="T164" s="3"/>
    </row>
    <row r="165" spans="1:30" hidden="1" x14ac:dyDescent="0.25">
      <c r="A165">
        <v>122528</v>
      </c>
      <c r="B165" t="s">
        <v>522</v>
      </c>
      <c r="C165" t="s">
        <v>6958</v>
      </c>
      <c r="D165">
        <v>1</v>
      </c>
      <c r="E165" t="s">
        <v>522</v>
      </c>
      <c r="F165" t="s">
        <v>6958</v>
      </c>
      <c r="H165" s="3">
        <v>0</v>
      </c>
      <c r="I165" s="21">
        <v>0</v>
      </c>
      <c r="J165" s="21">
        <v>0</v>
      </c>
      <c r="K165" s="21">
        <v>0</v>
      </c>
      <c r="L165" s="3">
        <f t="shared" si="8"/>
        <v>0</v>
      </c>
      <c r="M165" s="3"/>
      <c r="N165" s="3">
        <f t="shared" si="9"/>
        <v>0</v>
      </c>
      <c r="O165" s="21"/>
      <c r="R165" s="89"/>
      <c r="S165" s="3">
        <f>100%-Table34[[#This Row],[PDF_initial fee]]</f>
        <v>1</v>
      </c>
      <c r="T165" s="3"/>
    </row>
    <row r="166" spans="1:30" hidden="1" x14ac:dyDescent="0.25">
      <c r="A166">
        <v>122588</v>
      </c>
      <c r="B166" t="s">
        <v>523</v>
      </c>
      <c r="C166" t="s">
        <v>29184</v>
      </c>
      <c r="D166">
        <v>15</v>
      </c>
      <c r="E166" t="s">
        <v>523</v>
      </c>
      <c r="F166" t="s">
        <v>6</v>
      </c>
      <c r="H166" s="3">
        <v>0</v>
      </c>
      <c r="I166" s="43">
        <v>0</v>
      </c>
      <c r="J166" s="43">
        <v>0</v>
      </c>
      <c r="K166" s="43">
        <v>0</v>
      </c>
      <c r="L166" s="3">
        <f t="shared" si="8"/>
        <v>0</v>
      </c>
      <c r="M166" s="3"/>
      <c r="N166" s="3">
        <f t="shared" si="9"/>
        <v>0</v>
      </c>
      <c r="O166" s="21"/>
      <c r="R166" s="89"/>
      <c r="S166" s="3">
        <f>100%-Table34[[#This Row],[PDF_initial fee]]</f>
        <v>1</v>
      </c>
      <c r="T166" s="3"/>
    </row>
    <row r="167" spans="1:30" x14ac:dyDescent="0.25">
      <c r="A167">
        <v>509960</v>
      </c>
      <c r="B167" t="s">
        <v>200</v>
      </c>
      <c r="C167" s="1" t="s">
        <v>29131</v>
      </c>
      <c r="D167">
        <v>4</v>
      </c>
      <c r="E167" t="s">
        <v>200</v>
      </c>
      <c r="F167" t="s">
        <v>6</v>
      </c>
      <c r="G167" s="3">
        <v>3.2000000000000002E-3</v>
      </c>
      <c r="H167" s="3">
        <v>0</v>
      </c>
      <c r="I167" s="3">
        <v>0</v>
      </c>
      <c r="J167" s="6">
        <v>3.5000000000000003E-2</v>
      </c>
      <c r="K167" s="6">
        <v>0.01</v>
      </c>
      <c r="L167" s="3">
        <f t="shared" si="8"/>
        <v>4.5000000000000005E-2</v>
      </c>
      <c r="M167" s="3"/>
      <c r="N167" s="3">
        <f t="shared" si="9"/>
        <v>4.8200000000000007E-2</v>
      </c>
      <c r="P167" s="1" t="s">
        <v>29109</v>
      </c>
      <c r="Q167" s="1" t="s">
        <v>29110</v>
      </c>
      <c r="R167" s="89">
        <v>0.32179999999999997</v>
      </c>
      <c r="S167" s="89">
        <f>100%-Table34[[#This Row],[PDF_initial fee]]</f>
        <v>0.96499999999999997</v>
      </c>
      <c r="T167" s="89">
        <f>(1-Table34[[#This Row],[PDF ongoing fee]])^5</f>
        <v>0.95099004989999991</v>
      </c>
      <c r="U167" s="26">
        <f>(1+Table34[[#This Row],[Net 5yrs return (mostly up to 28th of Feb 2026)]])*Table34[[#This Row],[Investment after initial charge]]*Table34[[#This Row],[Cummulative 5yrs ongoing advice charge]]-1</f>
        <v>0.21302299527929636</v>
      </c>
      <c r="V167" s="10">
        <v>1581293</v>
      </c>
      <c r="W167" t="s">
        <v>29051</v>
      </c>
      <c r="X167" s="10">
        <v>1287353</v>
      </c>
      <c r="Y167" s="30">
        <f>X167/V167</f>
        <v>0.81411414582876163</v>
      </c>
      <c r="Z167" t="s">
        <v>12692</v>
      </c>
      <c r="AA167" s="1" t="s">
        <v>29132</v>
      </c>
      <c r="AB167" t="s">
        <v>29056</v>
      </c>
    </row>
    <row r="168" spans="1:30" hidden="1" x14ac:dyDescent="0.25">
      <c r="A168">
        <v>123475</v>
      </c>
      <c r="B168" t="s">
        <v>526</v>
      </c>
      <c r="C168" t="s">
        <v>9075</v>
      </c>
      <c r="D168">
        <v>1</v>
      </c>
      <c r="E168" t="s">
        <v>526</v>
      </c>
      <c r="H168" s="3">
        <v>0</v>
      </c>
      <c r="I168" s="21">
        <v>0</v>
      </c>
      <c r="J168" s="21">
        <v>0</v>
      </c>
      <c r="K168" s="21">
        <v>0</v>
      </c>
      <c r="L168" s="3">
        <f t="shared" si="8"/>
        <v>0</v>
      </c>
      <c r="M168" s="3"/>
      <c r="N168" s="3">
        <f t="shared" si="9"/>
        <v>0</v>
      </c>
      <c r="R168" s="89"/>
      <c r="S168" s="3">
        <f>100%-Table34[[#This Row],[PDF_initial fee]]</f>
        <v>1</v>
      </c>
      <c r="T168" s="3"/>
    </row>
    <row r="169" spans="1:30" hidden="1" x14ac:dyDescent="0.25">
      <c r="A169">
        <v>123714</v>
      </c>
      <c r="B169" t="s">
        <v>527</v>
      </c>
      <c r="C169" s="1" t="s">
        <v>29185</v>
      </c>
      <c r="D169">
        <v>0</v>
      </c>
      <c r="E169" t="s">
        <v>527</v>
      </c>
      <c r="F169" t="s">
        <v>29136</v>
      </c>
      <c r="G169" s="1"/>
      <c r="H169" s="3"/>
      <c r="L169" s="3">
        <f t="shared" si="8"/>
        <v>0</v>
      </c>
      <c r="M169" s="3"/>
      <c r="N169" s="3">
        <f t="shared" si="9"/>
        <v>0</v>
      </c>
      <c r="R169" s="89"/>
      <c r="S169" s="3">
        <f>100%-Table34[[#This Row],[PDF_initial fee]]</f>
        <v>1</v>
      </c>
      <c r="T169" s="3"/>
    </row>
    <row r="170" spans="1:30" x14ac:dyDescent="0.25">
      <c r="A170">
        <v>611272</v>
      </c>
      <c r="B170" t="s">
        <v>253</v>
      </c>
      <c r="C170" s="1" t="s">
        <v>29186</v>
      </c>
      <c r="D170">
        <v>8</v>
      </c>
      <c r="E170" t="s">
        <v>253</v>
      </c>
      <c r="F170" t="s">
        <v>6</v>
      </c>
      <c r="G170" s="3">
        <v>5.0000000000000001E-3</v>
      </c>
      <c r="H170" s="3">
        <v>0</v>
      </c>
      <c r="I170" s="3">
        <v>0</v>
      </c>
      <c r="J170" s="6">
        <v>3.5000000000000003E-2</v>
      </c>
      <c r="K170" s="6">
        <v>0.01</v>
      </c>
      <c r="L170" s="3">
        <f t="shared" si="8"/>
        <v>4.5000000000000005E-2</v>
      </c>
      <c r="M170" s="3"/>
      <c r="N170" s="3">
        <f t="shared" si="9"/>
        <v>0.05</v>
      </c>
      <c r="P170" s="1" t="s">
        <v>29109</v>
      </c>
      <c r="Q170" s="1" t="s">
        <v>29110</v>
      </c>
      <c r="R170" s="89">
        <v>0.32179999999999997</v>
      </c>
      <c r="S170" s="89">
        <f>100%-Table34[[#This Row],[PDF_initial fee]]</f>
        <v>0.96499999999999997</v>
      </c>
      <c r="T170" s="89">
        <f>(1-Table34[[#This Row],[PDF ongoing fee]])^5</f>
        <v>0.95099004989999991</v>
      </c>
      <c r="U170" s="26">
        <f>(1+Table34[[#This Row],[Net 5yrs return (mostly up to 28th of Feb 2026)]])*Table34[[#This Row],[Investment after initial charge]]*Table34[[#This Row],[Cummulative 5yrs ongoing advice charge]]-1</f>
        <v>0.21302299527929636</v>
      </c>
      <c r="V170" s="10">
        <f>1682934+5729063</f>
        <v>7411997</v>
      </c>
      <c r="W170" t="s">
        <v>29051</v>
      </c>
      <c r="X170" s="10">
        <v>1553844</v>
      </c>
      <c r="Y170" s="30">
        <f>X170/V170</f>
        <v>0.20963904869362468</v>
      </c>
      <c r="Z170" t="s">
        <v>12692</v>
      </c>
      <c r="AA170" s="1" t="s">
        <v>29187</v>
      </c>
      <c r="AB170" t="s">
        <v>29056</v>
      </c>
      <c r="AD170" s="1" t="s">
        <v>29110</v>
      </c>
    </row>
    <row r="171" spans="1:30" hidden="1" x14ac:dyDescent="0.25">
      <c r="A171">
        <v>124259</v>
      </c>
      <c r="B171" t="s">
        <v>528</v>
      </c>
      <c r="C171" t="s">
        <v>29188</v>
      </c>
      <c r="D171">
        <v>174</v>
      </c>
      <c r="E171" t="s">
        <v>528</v>
      </c>
      <c r="F171" t="s">
        <v>29147</v>
      </c>
      <c r="H171" s="3">
        <v>0</v>
      </c>
      <c r="I171" s="3">
        <v>0</v>
      </c>
      <c r="J171" s="3">
        <v>0</v>
      </c>
      <c r="K171" s="3">
        <v>0</v>
      </c>
      <c r="L171" s="3">
        <f t="shared" si="8"/>
        <v>0</v>
      </c>
      <c r="M171" s="3"/>
      <c r="N171" s="3">
        <f t="shared" si="9"/>
        <v>0</v>
      </c>
      <c r="P171" s="22" t="s">
        <v>29189</v>
      </c>
      <c r="Q171" s="4" t="s">
        <v>29190</v>
      </c>
      <c r="R171" s="89"/>
      <c r="S171" s="88">
        <f>100%-Table34[[#This Row],[PDF_initial fee]]</f>
        <v>1</v>
      </c>
      <c r="T171" s="88"/>
      <c r="U171" s="4"/>
    </row>
    <row r="172" spans="1:30" hidden="1" x14ac:dyDescent="0.25">
      <c r="A172">
        <v>124269</v>
      </c>
      <c r="B172" t="s">
        <v>529</v>
      </c>
      <c r="C172" t="s">
        <v>29191</v>
      </c>
      <c r="D172">
        <v>50</v>
      </c>
      <c r="E172" t="s">
        <v>529</v>
      </c>
      <c r="F172" t="s">
        <v>6</v>
      </c>
      <c r="H172" s="3">
        <v>0</v>
      </c>
      <c r="I172" s="21">
        <v>0</v>
      </c>
      <c r="J172" s="21">
        <v>0</v>
      </c>
      <c r="K172" s="21">
        <v>0</v>
      </c>
      <c r="L172" s="3">
        <f t="shared" si="8"/>
        <v>0</v>
      </c>
      <c r="M172" s="3"/>
      <c r="N172" s="3">
        <f t="shared" si="9"/>
        <v>0</v>
      </c>
      <c r="O172" s="21"/>
      <c r="R172" s="89"/>
      <c r="S172" s="3">
        <f>100%-Table34[[#This Row],[PDF_initial fee]]</f>
        <v>1</v>
      </c>
      <c r="T172" s="3"/>
    </row>
    <row r="173" spans="1:30" hidden="1" x14ac:dyDescent="0.25">
      <c r="A173">
        <v>124279</v>
      </c>
      <c r="B173" t="s">
        <v>530</v>
      </c>
      <c r="C173" t="s">
        <v>29192</v>
      </c>
      <c r="D173">
        <v>17</v>
      </c>
      <c r="E173" t="s">
        <v>530</v>
      </c>
      <c r="F173" t="s">
        <v>6</v>
      </c>
      <c r="H173" s="3">
        <v>0</v>
      </c>
      <c r="I173" s="21">
        <v>0</v>
      </c>
      <c r="J173" s="21">
        <v>0</v>
      </c>
      <c r="K173" s="21">
        <v>0</v>
      </c>
      <c r="L173" s="3">
        <f t="shared" si="8"/>
        <v>0</v>
      </c>
      <c r="M173" s="3"/>
      <c r="N173" s="3">
        <f t="shared" si="9"/>
        <v>0</v>
      </c>
      <c r="O173" s="21"/>
      <c r="R173" s="89"/>
      <c r="S173" s="3">
        <f>100%-Table34[[#This Row],[PDF_initial fee]]</f>
        <v>1</v>
      </c>
      <c r="T173" s="3"/>
    </row>
    <row r="174" spans="1:30" hidden="1" x14ac:dyDescent="0.25">
      <c r="A174">
        <v>124394</v>
      </c>
      <c r="B174" t="s">
        <v>531</v>
      </c>
      <c r="C174" t="s">
        <v>29193</v>
      </c>
      <c r="D174">
        <v>5</v>
      </c>
      <c r="E174" t="s">
        <v>531</v>
      </c>
      <c r="H174" s="3">
        <v>0</v>
      </c>
      <c r="I174" s="21">
        <v>0</v>
      </c>
      <c r="J174" s="21">
        <v>0</v>
      </c>
      <c r="K174" s="21">
        <v>0</v>
      </c>
      <c r="L174" s="3">
        <f t="shared" si="8"/>
        <v>0</v>
      </c>
      <c r="M174" s="3"/>
      <c r="N174" s="3">
        <f t="shared" si="9"/>
        <v>0</v>
      </c>
      <c r="O174" s="21"/>
      <c r="R174" s="89"/>
      <c r="S174" s="3">
        <f>100%-Table34[[#This Row],[PDF_initial fee]]</f>
        <v>1</v>
      </c>
      <c r="T174" s="3"/>
    </row>
    <row r="175" spans="1:30" x14ac:dyDescent="0.25">
      <c r="A175">
        <v>528330</v>
      </c>
      <c r="B175" t="s">
        <v>213</v>
      </c>
      <c r="C175" s="1" t="s">
        <v>29131</v>
      </c>
      <c r="D175">
        <v>3</v>
      </c>
      <c r="E175" t="s">
        <v>213</v>
      </c>
      <c r="F175" t="s">
        <v>6</v>
      </c>
      <c r="G175" s="3">
        <v>3.2000000000000002E-3</v>
      </c>
      <c r="H175" s="3">
        <v>0</v>
      </c>
      <c r="I175" s="3">
        <v>0</v>
      </c>
      <c r="J175" s="6">
        <v>3.5000000000000003E-2</v>
      </c>
      <c r="K175" s="6">
        <v>0.01</v>
      </c>
      <c r="L175" s="3">
        <f t="shared" ref="L175:L188" si="10">SUM(H175:K175)</f>
        <v>4.5000000000000005E-2</v>
      </c>
      <c r="M175" s="3"/>
      <c r="N175" s="3">
        <f t="shared" ref="N175:N188" si="11">L175+G175</f>
        <v>4.8200000000000007E-2</v>
      </c>
      <c r="P175" s="1" t="s">
        <v>29109</v>
      </c>
      <c r="Q175" s="1" t="s">
        <v>29110</v>
      </c>
      <c r="R175" s="89">
        <v>0.32179999999999997</v>
      </c>
      <c r="S175" s="89">
        <f>100%-Table34[[#This Row],[PDF_initial fee]]</f>
        <v>0.96499999999999997</v>
      </c>
      <c r="T175" s="89">
        <f>(1-Table34[[#This Row],[PDF ongoing fee]])^5</f>
        <v>0.95099004989999991</v>
      </c>
      <c r="U175" s="26">
        <f>(1+Table34[[#This Row],[Net 5yrs return (mostly up to 28th of Feb 2026)]])*Table34[[#This Row],[Investment after initial charge]]*Table34[[#This Row],[Cummulative 5yrs ongoing advice charge]]-1</f>
        <v>0.21302299527929636</v>
      </c>
      <c r="V175" s="10">
        <v>1581293</v>
      </c>
      <c r="W175" t="s">
        <v>29051</v>
      </c>
      <c r="X175" s="10">
        <v>1287353</v>
      </c>
      <c r="Y175" s="30">
        <f>X175/V175</f>
        <v>0.81411414582876163</v>
      </c>
      <c r="Z175" t="s">
        <v>12692</v>
      </c>
      <c r="AA175" s="1" t="s">
        <v>29132</v>
      </c>
      <c r="AB175" t="s">
        <v>29056</v>
      </c>
    </row>
    <row r="176" spans="1:30" x14ac:dyDescent="0.25">
      <c r="A176">
        <v>707896</v>
      </c>
      <c r="B176" t="s">
        <v>272</v>
      </c>
      <c r="C176" s="1" t="s">
        <v>29131</v>
      </c>
      <c r="D176">
        <v>16</v>
      </c>
      <c r="E176" t="s">
        <v>272</v>
      </c>
      <c r="F176" t="s">
        <v>6</v>
      </c>
      <c r="G176" s="3">
        <v>5.0000000000000001E-3</v>
      </c>
      <c r="H176" s="3">
        <v>0</v>
      </c>
      <c r="I176" s="3">
        <v>0</v>
      </c>
      <c r="J176" s="6">
        <v>3.5000000000000003E-2</v>
      </c>
      <c r="K176" s="6">
        <v>0.01</v>
      </c>
      <c r="L176" s="3">
        <f t="shared" si="10"/>
        <v>4.5000000000000005E-2</v>
      </c>
      <c r="M176" s="3"/>
      <c r="N176" s="3">
        <f t="shared" si="11"/>
        <v>0.05</v>
      </c>
      <c r="P176" s="1" t="s">
        <v>29109</v>
      </c>
      <c r="Q176" s="1" t="s">
        <v>29110</v>
      </c>
      <c r="R176" s="89">
        <v>0.32179999999999997</v>
      </c>
      <c r="S176" s="89">
        <f>100%-Table34[[#This Row],[PDF_initial fee]]</f>
        <v>0.96499999999999997</v>
      </c>
      <c r="T176" s="89">
        <f>(1-Table34[[#This Row],[PDF ongoing fee]])^5</f>
        <v>0.95099004989999991</v>
      </c>
      <c r="U176" s="26">
        <f>(1+Table34[[#This Row],[Net 5yrs return (mostly up to 28th of Feb 2026)]])*Table34[[#This Row],[Investment after initial charge]]*Table34[[#This Row],[Cummulative 5yrs ongoing advice charge]]-1</f>
        <v>0.21302299527929636</v>
      </c>
      <c r="V176" s="10">
        <f>1492517+1262004</f>
        <v>2754521</v>
      </c>
      <c r="W176" t="s">
        <v>29051</v>
      </c>
      <c r="X176" s="10">
        <v>1373567</v>
      </c>
      <c r="Y176" s="30">
        <f>X176/V176</f>
        <v>0.49865911350830144</v>
      </c>
      <c r="Z176" t="s">
        <v>12692</v>
      </c>
      <c r="AA176" s="1" t="s">
        <v>29194</v>
      </c>
      <c r="AB176" t="s">
        <v>29056</v>
      </c>
      <c r="AD176" s="1" t="s">
        <v>29110</v>
      </c>
    </row>
    <row r="177" spans="1:30" hidden="1" x14ac:dyDescent="0.25">
      <c r="A177">
        <v>124451</v>
      </c>
      <c r="B177" t="s">
        <v>532</v>
      </c>
      <c r="C177" t="s">
        <v>29195</v>
      </c>
      <c r="D177">
        <v>0</v>
      </c>
      <c r="E177" t="s">
        <v>532</v>
      </c>
      <c r="F177" t="s">
        <v>3</v>
      </c>
      <c r="H177" s="3">
        <v>0</v>
      </c>
      <c r="I177" s="21">
        <v>0</v>
      </c>
      <c r="J177" s="21">
        <v>0</v>
      </c>
      <c r="K177" s="21">
        <v>0</v>
      </c>
      <c r="L177" s="3">
        <f t="shared" si="10"/>
        <v>0</v>
      </c>
      <c r="M177" s="3"/>
      <c r="N177" s="3">
        <f t="shared" si="11"/>
        <v>0</v>
      </c>
      <c r="O177" s="21"/>
      <c r="R177" s="89"/>
      <c r="S177" s="3">
        <f>100%-Table34[[#This Row],[PDF_initial fee]]</f>
        <v>1</v>
      </c>
      <c r="T177" s="3"/>
    </row>
    <row r="178" spans="1:30" x14ac:dyDescent="0.25">
      <c r="A178">
        <v>789217</v>
      </c>
      <c r="B178" t="s">
        <v>301</v>
      </c>
      <c r="C178" s="1" t="s">
        <v>7807</v>
      </c>
      <c r="D178">
        <v>8</v>
      </c>
      <c r="E178" t="s">
        <v>301</v>
      </c>
      <c r="F178" t="s">
        <v>6</v>
      </c>
      <c r="G178" s="3">
        <v>5.0000000000000001E-3</v>
      </c>
      <c r="H178" s="3">
        <v>0</v>
      </c>
      <c r="I178" s="3">
        <v>0</v>
      </c>
      <c r="J178" s="6">
        <v>3.5000000000000003E-2</v>
      </c>
      <c r="K178" s="6">
        <v>0.01</v>
      </c>
      <c r="L178" s="3">
        <f t="shared" si="10"/>
        <v>4.5000000000000005E-2</v>
      </c>
      <c r="M178" s="3"/>
      <c r="N178" s="3">
        <f t="shared" si="11"/>
        <v>0.05</v>
      </c>
      <c r="P178" s="1" t="s">
        <v>29109</v>
      </c>
      <c r="Q178" s="1" t="s">
        <v>29110</v>
      </c>
      <c r="R178" s="89">
        <v>0.32179999999999997</v>
      </c>
      <c r="S178" s="89">
        <f>100%-Table34[[#This Row],[PDF_initial fee]]</f>
        <v>0.96499999999999997</v>
      </c>
      <c r="T178" s="89">
        <f>(1-Table34[[#This Row],[PDF ongoing fee]])^5</f>
        <v>0.95099004989999991</v>
      </c>
      <c r="U178" s="26">
        <f>(1+Table34[[#This Row],[Net 5yrs return (mostly up to 28th of Feb 2026)]])*Table34[[#This Row],[Investment after initial charge]]*Table34[[#This Row],[Cummulative 5yrs ongoing advice charge]]-1</f>
        <v>0.21302299527929636</v>
      </c>
      <c r="V178" s="10">
        <f>1405662+322065</f>
        <v>1727727</v>
      </c>
      <c r="W178" t="s">
        <v>29051</v>
      </c>
      <c r="X178" s="10">
        <v>1262678</v>
      </c>
      <c r="Y178" s="30">
        <f>X178/V178</f>
        <v>0.73083189647438518</v>
      </c>
      <c r="Z178" t="s">
        <v>12692</v>
      </c>
      <c r="AA178" s="1" t="s">
        <v>29196</v>
      </c>
      <c r="AB178" t="s">
        <v>29056</v>
      </c>
      <c r="AD178" s="1" t="s">
        <v>29110</v>
      </c>
    </row>
    <row r="179" spans="1:30" hidden="1" x14ac:dyDescent="0.25">
      <c r="A179">
        <v>124543</v>
      </c>
      <c r="B179" t="s">
        <v>533</v>
      </c>
      <c r="C179" t="s">
        <v>29197</v>
      </c>
      <c r="D179">
        <v>9</v>
      </c>
      <c r="E179" t="s">
        <v>533</v>
      </c>
      <c r="H179" s="3">
        <v>0</v>
      </c>
      <c r="I179" s="3">
        <v>0</v>
      </c>
      <c r="J179" s="3">
        <v>0</v>
      </c>
      <c r="K179" s="3">
        <v>0</v>
      </c>
      <c r="L179" s="3">
        <f t="shared" si="10"/>
        <v>0</v>
      </c>
      <c r="M179" s="3"/>
      <c r="N179" s="3">
        <f t="shared" si="11"/>
        <v>0</v>
      </c>
      <c r="R179" s="89"/>
      <c r="S179" s="3">
        <f>100%-Table34[[#This Row],[PDF_initial fee]]</f>
        <v>1</v>
      </c>
      <c r="T179" s="3"/>
    </row>
    <row r="180" spans="1:30" hidden="1" x14ac:dyDescent="0.25">
      <c r="A180">
        <v>124548</v>
      </c>
      <c r="B180" t="s">
        <v>534</v>
      </c>
      <c r="C180" t="s">
        <v>29198</v>
      </c>
      <c r="D180">
        <v>59</v>
      </c>
      <c r="E180" t="s">
        <v>534</v>
      </c>
      <c r="F180" t="s">
        <v>6</v>
      </c>
      <c r="H180" s="21">
        <v>0</v>
      </c>
      <c r="I180" s="21">
        <v>0</v>
      </c>
      <c r="J180" s="21">
        <v>0</v>
      </c>
      <c r="K180" s="21">
        <v>0</v>
      </c>
      <c r="L180" s="3">
        <f t="shared" si="10"/>
        <v>0</v>
      </c>
      <c r="M180" s="3"/>
      <c r="N180" s="3">
        <f t="shared" si="11"/>
        <v>0</v>
      </c>
      <c r="O180" s="21"/>
      <c r="P180" s="22" t="s">
        <v>29199</v>
      </c>
      <c r="R180" s="89"/>
      <c r="S180" s="3">
        <f>100%-Table34[[#This Row],[PDF_initial fee]]</f>
        <v>1</v>
      </c>
      <c r="T180" s="3"/>
    </row>
    <row r="181" spans="1:30" hidden="1" x14ac:dyDescent="0.25">
      <c r="A181">
        <v>124605</v>
      </c>
      <c r="B181" t="s">
        <v>535</v>
      </c>
      <c r="C181" t="s">
        <v>29200</v>
      </c>
      <c r="D181">
        <v>0</v>
      </c>
      <c r="E181" t="s">
        <v>535</v>
      </c>
      <c r="F181" t="s">
        <v>29136</v>
      </c>
      <c r="H181" s="21">
        <v>0</v>
      </c>
      <c r="I181" s="21">
        <v>0</v>
      </c>
      <c r="J181" s="21">
        <v>0</v>
      </c>
      <c r="K181" s="21">
        <v>0</v>
      </c>
      <c r="L181" s="3">
        <f t="shared" si="10"/>
        <v>0</v>
      </c>
      <c r="M181" s="3"/>
      <c r="N181" s="3">
        <f t="shared" si="11"/>
        <v>0</v>
      </c>
      <c r="O181" s="21"/>
      <c r="R181" s="89"/>
      <c r="S181" s="3">
        <f>100%-Table34[[#This Row],[PDF_initial fee]]</f>
        <v>1</v>
      </c>
      <c r="T181" s="3"/>
    </row>
    <row r="182" spans="1:30" hidden="1" x14ac:dyDescent="0.25">
      <c r="A182">
        <v>124704</v>
      </c>
      <c r="B182" t="s">
        <v>537</v>
      </c>
      <c r="C182" t="s">
        <v>29201</v>
      </c>
      <c r="D182">
        <v>140</v>
      </c>
      <c r="E182" t="s">
        <v>537</v>
      </c>
      <c r="F182" t="s">
        <v>6</v>
      </c>
      <c r="G182" s="3">
        <v>1.2500000000000001E-2</v>
      </c>
      <c r="H182" s="44"/>
      <c r="I182" s="21">
        <v>0</v>
      </c>
      <c r="J182" s="44">
        <f>5.75%/2</f>
        <v>2.8750000000000001E-2</v>
      </c>
      <c r="K182" s="21">
        <v>0</v>
      </c>
      <c r="L182" s="3">
        <f t="shared" si="10"/>
        <v>2.8750000000000001E-2</v>
      </c>
      <c r="M182" s="3"/>
      <c r="N182" s="3">
        <f t="shared" si="11"/>
        <v>4.1250000000000002E-2</v>
      </c>
      <c r="O182" t="s">
        <v>29202</v>
      </c>
      <c r="P182" s="1" t="s">
        <v>29203</v>
      </c>
      <c r="Q182" s="1" t="s">
        <v>29204</v>
      </c>
      <c r="R182" s="89"/>
      <c r="S182" s="26">
        <f>100%-Table34[[#This Row],[PDF_initial fee]]</f>
        <v>0.97124999999999995</v>
      </c>
      <c r="T182" s="26"/>
      <c r="U182" s="1"/>
      <c r="V182" s="10">
        <v>684629000</v>
      </c>
      <c r="W182" t="s">
        <v>29081</v>
      </c>
      <c r="X182" s="10">
        <v>517960000</v>
      </c>
      <c r="Y182" s="30">
        <f>Table34[[#This Row],[Total Asset]]/Table34[[#This Row],[Net Asset]]</f>
        <v>1.3217796741061085</v>
      </c>
      <c r="AA182" s="1" t="s">
        <v>29205</v>
      </c>
    </row>
    <row r="183" spans="1:30" hidden="1" x14ac:dyDescent="0.25">
      <c r="A183">
        <v>124784</v>
      </c>
      <c r="B183" t="s">
        <v>538</v>
      </c>
      <c r="C183" t="s">
        <v>29206</v>
      </c>
      <c r="D183">
        <v>0</v>
      </c>
      <c r="E183" t="s">
        <v>538</v>
      </c>
      <c r="F183" t="s">
        <v>29136</v>
      </c>
      <c r="H183" s="21">
        <v>0</v>
      </c>
      <c r="I183" s="3">
        <v>0</v>
      </c>
      <c r="J183" s="3">
        <v>0</v>
      </c>
      <c r="K183">
        <v>0</v>
      </c>
      <c r="L183" s="3">
        <f t="shared" si="10"/>
        <v>0</v>
      </c>
      <c r="M183" s="3"/>
      <c r="N183" s="3">
        <f t="shared" si="11"/>
        <v>0</v>
      </c>
      <c r="R183" s="89"/>
      <c r="S183" s="3">
        <f>100%-Table34[[#This Row],[PDF_initial fee]]</f>
        <v>1</v>
      </c>
      <c r="T183" s="3"/>
    </row>
    <row r="184" spans="1:30" hidden="1" x14ac:dyDescent="0.25">
      <c r="A184">
        <v>124823</v>
      </c>
      <c r="B184" t="s">
        <v>539</v>
      </c>
      <c r="C184" t="s">
        <v>29207</v>
      </c>
      <c r="D184">
        <v>0</v>
      </c>
      <c r="E184" t="s">
        <v>539</v>
      </c>
      <c r="F184" t="s">
        <v>29136</v>
      </c>
      <c r="H184" s="21">
        <v>0</v>
      </c>
      <c r="I184" s="21">
        <v>0</v>
      </c>
      <c r="J184" s="21">
        <v>0</v>
      </c>
      <c r="K184" s="21">
        <v>0</v>
      </c>
      <c r="L184" s="3">
        <f t="shared" si="10"/>
        <v>0</v>
      </c>
      <c r="M184" s="3"/>
      <c r="N184" s="3">
        <f t="shared" si="11"/>
        <v>0</v>
      </c>
      <c r="O184" s="21"/>
      <c r="R184" s="89"/>
      <c r="S184" s="3">
        <f>100%-Table34[[#This Row],[PDF_initial fee]]</f>
        <v>1</v>
      </c>
      <c r="T184" s="3"/>
    </row>
    <row r="185" spans="1:30" hidden="1" x14ac:dyDescent="0.25">
      <c r="A185">
        <v>124866</v>
      </c>
      <c r="B185" t="s">
        <v>540</v>
      </c>
      <c r="C185" t="s">
        <v>29208</v>
      </c>
      <c r="D185">
        <v>0</v>
      </c>
      <c r="E185" t="s">
        <v>540</v>
      </c>
      <c r="F185" t="s">
        <v>29136</v>
      </c>
      <c r="H185" s="21">
        <v>0</v>
      </c>
      <c r="I185" s="3">
        <v>0</v>
      </c>
      <c r="J185" s="3">
        <v>0</v>
      </c>
      <c r="K185">
        <v>0</v>
      </c>
      <c r="L185" s="3">
        <f t="shared" si="10"/>
        <v>0</v>
      </c>
      <c r="M185" s="3"/>
      <c r="N185" s="3">
        <f t="shared" si="11"/>
        <v>0</v>
      </c>
      <c r="R185" s="89"/>
      <c r="S185" s="3">
        <f>100%-Table34[[#This Row],[PDF_initial fee]]</f>
        <v>1</v>
      </c>
      <c r="T185" s="3"/>
    </row>
    <row r="186" spans="1:30" hidden="1" x14ac:dyDescent="0.25">
      <c r="A186">
        <v>124885</v>
      </c>
      <c r="B186" t="s">
        <v>541</v>
      </c>
      <c r="C186" t="s">
        <v>29209</v>
      </c>
      <c r="D186">
        <v>14</v>
      </c>
      <c r="E186" t="s">
        <v>541</v>
      </c>
      <c r="H186" s="21">
        <v>0</v>
      </c>
      <c r="I186" s="21">
        <v>0</v>
      </c>
      <c r="J186" s="21">
        <v>0</v>
      </c>
      <c r="K186" s="21">
        <v>0</v>
      </c>
      <c r="L186" s="3">
        <f t="shared" si="10"/>
        <v>0</v>
      </c>
      <c r="M186" s="3"/>
      <c r="N186" s="3">
        <f t="shared" si="11"/>
        <v>0</v>
      </c>
      <c r="O186" s="21"/>
      <c r="R186" s="89"/>
      <c r="S186" s="3">
        <f>100%-Table34[[#This Row],[PDF_initial fee]]</f>
        <v>1</v>
      </c>
      <c r="T186" s="3"/>
    </row>
    <row r="187" spans="1:30" hidden="1" x14ac:dyDescent="0.25">
      <c r="A187">
        <v>124940</v>
      </c>
      <c r="B187" t="s">
        <v>542</v>
      </c>
      <c r="C187" t="s">
        <v>29210</v>
      </c>
      <c r="D187">
        <v>0</v>
      </c>
      <c r="E187" t="s">
        <v>542</v>
      </c>
      <c r="F187" t="s">
        <v>29136</v>
      </c>
      <c r="H187" s="21">
        <v>0</v>
      </c>
      <c r="I187" s="21">
        <v>0</v>
      </c>
      <c r="J187" s="21">
        <v>0</v>
      </c>
      <c r="K187" s="21">
        <v>0</v>
      </c>
      <c r="L187" s="3">
        <f t="shared" si="10"/>
        <v>0</v>
      </c>
      <c r="M187" s="3"/>
      <c r="N187" s="3">
        <f t="shared" si="11"/>
        <v>0</v>
      </c>
      <c r="O187" s="21"/>
      <c r="R187" s="89"/>
      <c r="S187" s="3">
        <f>100%-Table34[[#This Row],[PDF_initial fee]]</f>
        <v>1</v>
      </c>
      <c r="T187" s="3"/>
    </row>
    <row r="188" spans="1:30" hidden="1" x14ac:dyDescent="0.25">
      <c r="A188">
        <v>124974</v>
      </c>
      <c r="B188" t="s">
        <v>543</v>
      </c>
      <c r="C188" t="s">
        <v>6958</v>
      </c>
      <c r="D188">
        <v>2</v>
      </c>
      <c r="E188" t="s">
        <v>543</v>
      </c>
      <c r="F188" t="s">
        <v>6958</v>
      </c>
      <c r="H188" s="21">
        <v>0</v>
      </c>
      <c r="I188" s="21">
        <v>0</v>
      </c>
      <c r="J188" s="21">
        <v>0</v>
      </c>
      <c r="K188" s="21">
        <v>0</v>
      </c>
      <c r="L188" s="3">
        <f t="shared" si="10"/>
        <v>0</v>
      </c>
      <c r="M188" s="3"/>
      <c r="N188" s="3">
        <f t="shared" si="11"/>
        <v>0</v>
      </c>
      <c r="R188" s="89"/>
      <c r="S188" s="3">
        <f>100%-Table34[[#This Row],[PDF_initial fee]]</f>
        <v>1</v>
      </c>
      <c r="T188" s="3"/>
    </row>
    <row r="189" spans="1:30" hidden="1" x14ac:dyDescent="0.25">
      <c r="A189">
        <v>124984</v>
      </c>
      <c r="B189" t="s">
        <v>544</v>
      </c>
      <c r="C189" s="1" t="s">
        <v>29211</v>
      </c>
      <c r="D189">
        <v>10</v>
      </c>
      <c r="E189" t="s">
        <v>544</v>
      </c>
      <c r="F189" t="s">
        <v>3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/>
      <c r="N189" s="3">
        <v>0</v>
      </c>
      <c r="R189" s="89"/>
      <c r="S189" s="3">
        <f>100%-Table34[[#This Row],[PDF_initial fee]]</f>
        <v>1</v>
      </c>
      <c r="T189" s="3"/>
    </row>
    <row r="190" spans="1:30" hidden="1" x14ac:dyDescent="0.25">
      <c r="A190">
        <v>124995</v>
      </c>
      <c r="B190" t="s">
        <v>545</v>
      </c>
      <c r="C190" t="s">
        <v>8245</v>
      </c>
      <c r="D190">
        <v>21</v>
      </c>
      <c r="E190" t="s">
        <v>545</v>
      </c>
      <c r="F190" t="s">
        <v>6</v>
      </c>
      <c r="H190" s="39"/>
      <c r="I190" s="40"/>
      <c r="J190" s="39"/>
      <c r="K190" s="39"/>
      <c r="L190" s="3">
        <f t="shared" ref="L190:L221" si="12">SUM(H190:K190)</f>
        <v>0</v>
      </c>
      <c r="M190" s="3"/>
      <c r="N190" s="3">
        <f t="shared" ref="N190:N221" si="13">L190+G190</f>
        <v>0</v>
      </c>
      <c r="R190" s="89"/>
      <c r="S190" s="3">
        <f>100%-Table34[[#This Row],[PDF_initial fee]]</f>
        <v>1</v>
      </c>
      <c r="T190" s="3"/>
    </row>
    <row r="191" spans="1:30" hidden="1" x14ac:dyDescent="0.25">
      <c r="A191">
        <v>125041</v>
      </c>
      <c r="B191" t="s">
        <v>546</v>
      </c>
      <c r="C191" t="s">
        <v>11104</v>
      </c>
      <c r="D191">
        <v>3</v>
      </c>
      <c r="E191" t="s">
        <v>546</v>
      </c>
      <c r="H191" s="21">
        <v>0</v>
      </c>
      <c r="I191" s="21">
        <v>0</v>
      </c>
      <c r="J191" s="21">
        <v>0</v>
      </c>
      <c r="K191" s="21">
        <v>0</v>
      </c>
      <c r="L191" s="3">
        <f t="shared" si="12"/>
        <v>0</v>
      </c>
      <c r="M191" s="3"/>
      <c r="N191" s="3">
        <f t="shared" si="13"/>
        <v>0</v>
      </c>
      <c r="R191" s="89"/>
      <c r="S191" s="3">
        <f>100%-Table34[[#This Row],[PDF_initial fee]]</f>
        <v>1</v>
      </c>
      <c r="T191" s="3"/>
    </row>
    <row r="192" spans="1:30" x14ac:dyDescent="0.25">
      <c r="A192">
        <v>979562</v>
      </c>
      <c r="B192" t="s">
        <v>354</v>
      </c>
      <c r="C192" s="1" t="s">
        <v>7807</v>
      </c>
      <c r="D192">
        <v>1</v>
      </c>
      <c r="E192" t="s">
        <v>354</v>
      </c>
      <c r="F192" t="s">
        <v>6</v>
      </c>
      <c r="G192" s="3">
        <v>3.2000000000000002E-3</v>
      </c>
      <c r="H192" s="3">
        <v>0</v>
      </c>
      <c r="I192" s="3">
        <v>0</v>
      </c>
      <c r="J192" s="6">
        <v>3.5000000000000003E-2</v>
      </c>
      <c r="K192" s="6">
        <v>0.01</v>
      </c>
      <c r="L192" s="3">
        <f t="shared" si="12"/>
        <v>4.5000000000000005E-2</v>
      </c>
      <c r="M192" s="3"/>
      <c r="N192" s="3">
        <f t="shared" si="13"/>
        <v>4.8200000000000007E-2</v>
      </c>
      <c r="O192" s="21"/>
      <c r="P192" s="1" t="s">
        <v>29109</v>
      </c>
      <c r="Q192" s="1" t="s">
        <v>29110</v>
      </c>
      <c r="R192" s="89">
        <v>0.32179999999999997</v>
      </c>
      <c r="S192" s="89">
        <f>100%-Table34[[#This Row],[PDF_initial fee]]</f>
        <v>0.96499999999999997</v>
      </c>
      <c r="T192" s="89">
        <f>(1-Table34[[#This Row],[PDF ongoing fee]])^5</f>
        <v>0.95099004989999991</v>
      </c>
      <c r="U192" s="26">
        <f>(1+Table34[[#This Row],[Net 5yrs return (mostly up to 28th of Feb 2026)]])*Table34[[#This Row],[Investment after initial charge]]*Table34[[#This Row],[Cummulative 5yrs ongoing advice charge]]-1</f>
        <v>0.21302299527929636</v>
      </c>
      <c r="V192" s="10">
        <v>1581293</v>
      </c>
      <c r="W192" t="s">
        <v>29051</v>
      </c>
      <c r="X192" s="10">
        <v>1287353</v>
      </c>
      <c r="Y192" s="30">
        <f>X192/V192</f>
        <v>0.81411414582876163</v>
      </c>
      <c r="Z192" t="s">
        <v>12692</v>
      </c>
      <c r="AA192" s="1" t="s">
        <v>29132</v>
      </c>
      <c r="AB192" t="s">
        <v>29056</v>
      </c>
    </row>
    <row r="193" spans="1:29" hidden="1" x14ac:dyDescent="0.25">
      <c r="A193">
        <v>125062</v>
      </c>
      <c r="B193" t="s">
        <v>547</v>
      </c>
      <c r="C193" t="s">
        <v>9707</v>
      </c>
      <c r="D193">
        <v>2</v>
      </c>
      <c r="E193" t="s">
        <v>547</v>
      </c>
      <c r="H193" s="21">
        <v>0</v>
      </c>
      <c r="I193" s="21">
        <v>0</v>
      </c>
      <c r="J193" s="21">
        <v>0</v>
      </c>
      <c r="K193" s="21">
        <v>0</v>
      </c>
      <c r="L193" s="3">
        <f t="shared" si="12"/>
        <v>0</v>
      </c>
      <c r="M193" s="3"/>
      <c r="N193" s="3">
        <f t="shared" si="13"/>
        <v>0</v>
      </c>
      <c r="R193" s="89"/>
      <c r="S193" s="3">
        <f>100%-Table34[[#This Row],[PDF_initial fee]]</f>
        <v>1</v>
      </c>
      <c r="T193" s="3"/>
    </row>
    <row r="194" spans="1:29" hidden="1" x14ac:dyDescent="0.25">
      <c r="A194">
        <v>125073</v>
      </c>
      <c r="B194" t="s">
        <v>548</v>
      </c>
      <c r="C194" t="s">
        <v>6958</v>
      </c>
      <c r="D194">
        <v>1</v>
      </c>
      <c r="E194" t="s">
        <v>548</v>
      </c>
      <c r="F194" t="s">
        <v>6958</v>
      </c>
      <c r="H194" s="21">
        <v>0</v>
      </c>
      <c r="I194" s="21">
        <v>0</v>
      </c>
      <c r="J194" s="21">
        <v>0</v>
      </c>
      <c r="K194" s="21">
        <v>0</v>
      </c>
      <c r="L194" s="3">
        <f t="shared" si="12"/>
        <v>0</v>
      </c>
      <c r="M194" s="3"/>
      <c r="N194" s="3">
        <f t="shared" si="13"/>
        <v>0</v>
      </c>
      <c r="R194" s="89"/>
      <c r="S194" s="3">
        <f>100%-Table34[[#This Row],[PDF_initial fee]]</f>
        <v>1</v>
      </c>
      <c r="T194" s="3"/>
    </row>
    <row r="195" spans="1:29" hidden="1" x14ac:dyDescent="0.25">
      <c r="A195">
        <v>125099</v>
      </c>
      <c r="B195" t="s">
        <v>549</v>
      </c>
      <c r="C195" t="s">
        <v>6958</v>
      </c>
      <c r="D195">
        <v>1</v>
      </c>
      <c r="E195" t="s">
        <v>549</v>
      </c>
      <c r="F195" t="s">
        <v>6958</v>
      </c>
      <c r="H195" s="21">
        <v>0</v>
      </c>
      <c r="I195" s="21">
        <v>0</v>
      </c>
      <c r="J195" s="21">
        <v>0</v>
      </c>
      <c r="K195" s="21">
        <v>0</v>
      </c>
      <c r="L195" s="3">
        <f t="shared" si="12"/>
        <v>0</v>
      </c>
      <c r="M195" s="3"/>
      <c r="N195" s="3">
        <f t="shared" si="13"/>
        <v>0</v>
      </c>
      <c r="R195" s="89"/>
      <c r="S195" s="3">
        <f>100%-Table34[[#This Row],[PDF_initial fee]]</f>
        <v>1</v>
      </c>
      <c r="T195" s="3"/>
    </row>
    <row r="196" spans="1:29" hidden="1" x14ac:dyDescent="0.25">
      <c r="A196">
        <v>125116</v>
      </c>
      <c r="B196" t="s">
        <v>550</v>
      </c>
      <c r="C196" t="s">
        <v>29212</v>
      </c>
      <c r="D196">
        <v>2</v>
      </c>
      <c r="E196" t="s">
        <v>550</v>
      </c>
      <c r="H196" s="21">
        <v>0</v>
      </c>
      <c r="I196" s="21">
        <v>0</v>
      </c>
      <c r="J196" s="21">
        <v>0</v>
      </c>
      <c r="K196" s="21">
        <v>0</v>
      </c>
      <c r="L196" s="3">
        <f t="shared" si="12"/>
        <v>0</v>
      </c>
      <c r="M196" s="3"/>
      <c r="N196" s="3">
        <f t="shared" si="13"/>
        <v>0</v>
      </c>
      <c r="R196" s="89"/>
      <c r="S196" s="3">
        <f>100%-Table34[[#This Row],[PDF_initial fee]]</f>
        <v>1</v>
      </c>
      <c r="T196" s="3"/>
    </row>
    <row r="197" spans="1:29" hidden="1" x14ac:dyDescent="0.25">
      <c r="A197">
        <v>125128</v>
      </c>
      <c r="B197" t="s">
        <v>551</v>
      </c>
      <c r="C197" t="s">
        <v>6958</v>
      </c>
      <c r="D197">
        <v>5</v>
      </c>
      <c r="E197" t="s">
        <v>551</v>
      </c>
      <c r="F197" t="s">
        <v>6958</v>
      </c>
      <c r="H197" s="21">
        <v>0</v>
      </c>
      <c r="I197" s="21">
        <v>0</v>
      </c>
      <c r="J197" s="21">
        <v>0</v>
      </c>
      <c r="K197" s="21">
        <v>0</v>
      </c>
      <c r="L197" s="3">
        <f t="shared" si="12"/>
        <v>0</v>
      </c>
      <c r="M197" s="3"/>
      <c r="N197" s="3">
        <f t="shared" si="13"/>
        <v>0</v>
      </c>
      <c r="R197" s="89"/>
      <c r="S197" s="3">
        <f>100%-Table34[[#This Row],[PDF_initial fee]]</f>
        <v>1</v>
      </c>
      <c r="T197" s="3"/>
    </row>
    <row r="198" spans="1:29" hidden="1" x14ac:dyDescent="0.25">
      <c r="A198">
        <v>125160</v>
      </c>
      <c r="B198" t="s">
        <v>552</v>
      </c>
      <c r="C198" t="s">
        <v>29213</v>
      </c>
      <c r="D198">
        <v>18</v>
      </c>
      <c r="E198" t="s">
        <v>552</v>
      </c>
      <c r="F198" t="s">
        <v>3</v>
      </c>
      <c r="H198" s="3">
        <v>0</v>
      </c>
      <c r="I198" s="3">
        <v>0</v>
      </c>
      <c r="J198" s="3">
        <v>0</v>
      </c>
      <c r="K198" s="3">
        <v>0</v>
      </c>
      <c r="L198" s="3">
        <f t="shared" si="12"/>
        <v>0</v>
      </c>
      <c r="M198" s="3"/>
      <c r="N198" s="3">
        <f t="shared" si="13"/>
        <v>0</v>
      </c>
      <c r="R198" s="89"/>
      <c r="S198" s="3">
        <f>100%-Table34[[#This Row],[PDF_initial fee]]</f>
        <v>1</v>
      </c>
      <c r="T198" s="3"/>
    </row>
    <row r="199" spans="1:29" hidden="1" x14ac:dyDescent="0.25">
      <c r="A199">
        <v>450754</v>
      </c>
      <c r="B199" t="s">
        <v>167</v>
      </c>
      <c r="C199" s="1" t="s">
        <v>29214</v>
      </c>
      <c r="D199">
        <v>91</v>
      </c>
      <c r="E199" t="s">
        <v>167</v>
      </c>
      <c r="F199" t="s">
        <v>6</v>
      </c>
      <c r="G199" s="3">
        <v>8.9999999999999993E-3</v>
      </c>
      <c r="H199">
        <v>0</v>
      </c>
      <c r="I199" s="3">
        <v>1.0999999999999999E-2</v>
      </c>
      <c r="J199" s="6"/>
      <c r="K199" s="6"/>
      <c r="L199" s="3">
        <f t="shared" si="12"/>
        <v>1.0999999999999999E-2</v>
      </c>
      <c r="M199" s="3"/>
      <c r="N199" s="3">
        <f t="shared" si="13"/>
        <v>1.9999999999999997E-2</v>
      </c>
      <c r="P199" s="1" t="s">
        <v>29215</v>
      </c>
      <c r="Q199" s="1" t="s">
        <v>29216</v>
      </c>
      <c r="R199" s="89" t="s">
        <v>369</v>
      </c>
      <c r="S199" s="26">
        <f>100%-Table34[[#This Row],[PDF_initial fee]]</f>
        <v>1</v>
      </c>
      <c r="T199" s="26"/>
      <c r="U199" s="1"/>
      <c r="V199" s="10">
        <f>79755159+36445569</f>
        <v>116200728</v>
      </c>
      <c r="W199" t="s">
        <v>29051</v>
      </c>
      <c r="X199" s="10">
        <v>61257321</v>
      </c>
      <c r="Y199" s="30">
        <f>X199/V199</f>
        <v>0.52716813443716115</v>
      </c>
      <c r="AA199" s="1" t="s">
        <v>29217</v>
      </c>
      <c r="AC199" t="s">
        <v>29218</v>
      </c>
    </row>
    <row r="200" spans="1:29" hidden="1" x14ac:dyDescent="0.25">
      <c r="A200">
        <v>125196</v>
      </c>
      <c r="B200" t="s">
        <v>553</v>
      </c>
      <c r="C200" t="s">
        <v>8599</v>
      </c>
      <c r="D200">
        <v>1</v>
      </c>
      <c r="E200" t="s">
        <v>553</v>
      </c>
      <c r="H200" s="21">
        <v>0</v>
      </c>
      <c r="I200" s="21">
        <v>0</v>
      </c>
      <c r="J200" s="21">
        <v>0</v>
      </c>
      <c r="K200" s="21">
        <v>0</v>
      </c>
      <c r="L200" s="3">
        <f t="shared" si="12"/>
        <v>0</v>
      </c>
      <c r="M200" s="3"/>
      <c r="N200" s="3">
        <f t="shared" si="13"/>
        <v>0</v>
      </c>
      <c r="R200" s="89"/>
      <c r="S200" s="3">
        <f>100%-Table34[[#This Row],[PDF_initial fee]]</f>
        <v>1</v>
      </c>
      <c r="T200" s="3"/>
    </row>
    <row r="201" spans="1:29" hidden="1" x14ac:dyDescent="0.25">
      <c r="A201">
        <v>125247</v>
      </c>
      <c r="B201" t="s">
        <v>554</v>
      </c>
      <c r="C201" t="s">
        <v>8520</v>
      </c>
      <c r="D201">
        <v>3</v>
      </c>
      <c r="E201" t="s">
        <v>554</v>
      </c>
      <c r="H201" s="21">
        <v>0</v>
      </c>
      <c r="I201" s="21">
        <v>0</v>
      </c>
      <c r="J201" s="21">
        <v>0</v>
      </c>
      <c r="K201" s="21">
        <v>0</v>
      </c>
      <c r="L201" s="3">
        <f t="shared" si="12"/>
        <v>0</v>
      </c>
      <c r="M201" s="3"/>
      <c r="N201" s="3">
        <f t="shared" si="13"/>
        <v>0</v>
      </c>
      <c r="R201" s="89"/>
      <c r="S201" s="3">
        <f>100%-Table34[[#This Row],[PDF_initial fee]]</f>
        <v>1</v>
      </c>
      <c r="T201" s="3"/>
    </row>
    <row r="202" spans="1:29" hidden="1" x14ac:dyDescent="0.25">
      <c r="A202">
        <v>125270</v>
      </c>
      <c r="B202" t="s">
        <v>555</v>
      </c>
      <c r="C202" t="s">
        <v>29219</v>
      </c>
      <c r="D202">
        <v>1</v>
      </c>
      <c r="E202" t="s">
        <v>555</v>
      </c>
      <c r="H202" s="21">
        <v>0</v>
      </c>
      <c r="I202" s="21">
        <v>0</v>
      </c>
      <c r="J202" s="21">
        <v>0</v>
      </c>
      <c r="K202" s="21">
        <v>0</v>
      </c>
      <c r="L202" s="3">
        <f t="shared" si="12"/>
        <v>0</v>
      </c>
      <c r="M202" s="3"/>
      <c r="N202" s="3">
        <f t="shared" si="13"/>
        <v>0</v>
      </c>
      <c r="O202" s="21"/>
      <c r="R202" s="89"/>
      <c r="S202" s="3">
        <f>100%-Table34[[#This Row],[PDF_initial fee]]</f>
        <v>1</v>
      </c>
      <c r="T202" s="3"/>
    </row>
    <row r="203" spans="1:29" hidden="1" x14ac:dyDescent="0.25">
      <c r="A203">
        <v>125286</v>
      </c>
      <c r="B203" t="s">
        <v>556</v>
      </c>
      <c r="C203" t="s">
        <v>29220</v>
      </c>
      <c r="D203">
        <v>7</v>
      </c>
      <c r="E203" t="s">
        <v>556</v>
      </c>
      <c r="H203" s="3">
        <v>0</v>
      </c>
      <c r="I203" s="3">
        <v>0</v>
      </c>
      <c r="J203" s="3">
        <v>0</v>
      </c>
      <c r="K203" s="3">
        <v>0</v>
      </c>
      <c r="L203" s="3">
        <f t="shared" si="12"/>
        <v>0</v>
      </c>
      <c r="M203" s="3"/>
      <c r="N203" s="3">
        <f t="shared" si="13"/>
        <v>0</v>
      </c>
      <c r="R203" s="89"/>
      <c r="S203" s="3">
        <f>100%-Table34[[#This Row],[PDF_initial fee]]</f>
        <v>1</v>
      </c>
      <c r="T203" s="3"/>
    </row>
    <row r="204" spans="1:29" hidden="1" x14ac:dyDescent="0.25">
      <c r="A204">
        <v>125322</v>
      </c>
      <c r="B204" t="s">
        <v>557</v>
      </c>
      <c r="C204" t="s">
        <v>29221</v>
      </c>
      <c r="D204">
        <v>6</v>
      </c>
      <c r="E204" t="s">
        <v>557</v>
      </c>
      <c r="H204" s="3">
        <v>0</v>
      </c>
      <c r="I204" s="3">
        <v>0</v>
      </c>
      <c r="J204" s="3">
        <v>0</v>
      </c>
      <c r="K204" s="3">
        <v>0</v>
      </c>
      <c r="L204" s="3">
        <f t="shared" si="12"/>
        <v>0</v>
      </c>
      <c r="M204" s="3"/>
      <c r="N204" s="3">
        <f t="shared" si="13"/>
        <v>0</v>
      </c>
      <c r="R204" s="89"/>
      <c r="S204" s="3">
        <f>100%-Table34[[#This Row],[PDF_initial fee]]</f>
        <v>1</v>
      </c>
      <c r="T204" s="3"/>
    </row>
    <row r="205" spans="1:29" hidden="1" x14ac:dyDescent="0.25">
      <c r="A205">
        <v>125340</v>
      </c>
      <c r="B205" t="s">
        <v>558</v>
      </c>
      <c r="C205" t="s">
        <v>10160</v>
      </c>
      <c r="D205">
        <v>0</v>
      </c>
      <c r="E205" t="s">
        <v>558</v>
      </c>
      <c r="F205" t="s">
        <v>29104</v>
      </c>
      <c r="H205" s="21">
        <v>0</v>
      </c>
      <c r="I205" s="21">
        <v>0</v>
      </c>
      <c r="J205" s="21">
        <v>0</v>
      </c>
      <c r="K205" s="21">
        <v>0</v>
      </c>
      <c r="L205" s="3">
        <f t="shared" si="12"/>
        <v>0</v>
      </c>
      <c r="M205" s="3"/>
      <c r="N205" s="3">
        <f t="shared" si="13"/>
        <v>0</v>
      </c>
      <c r="R205" s="89"/>
      <c r="S205" s="3">
        <f>100%-Table34[[#This Row],[PDF_initial fee]]</f>
        <v>1</v>
      </c>
      <c r="T205" s="3"/>
    </row>
    <row r="206" spans="1:29" hidden="1" x14ac:dyDescent="0.25">
      <c r="A206">
        <v>125376</v>
      </c>
      <c r="B206" t="s">
        <v>559</v>
      </c>
      <c r="C206" t="s">
        <v>9096</v>
      </c>
      <c r="D206">
        <v>6</v>
      </c>
      <c r="E206" t="s">
        <v>559</v>
      </c>
      <c r="H206" s="21">
        <v>0</v>
      </c>
      <c r="I206" s="21">
        <v>0</v>
      </c>
      <c r="J206" s="21">
        <v>0</v>
      </c>
      <c r="K206" s="21">
        <v>0</v>
      </c>
      <c r="L206" s="3">
        <f t="shared" si="12"/>
        <v>0</v>
      </c>
      <c r="M206" s="3"/>
      <c r="N206" s="3">
        <f t="shared" si="13"/>
        <v>0</v>
      </c>
      <c r="R206" s="89"/>
      <c r="S206" s="3">
        <f>100%-Table34[[#This Row],[PDF_initial fee]]</f>
        <v>1</v>
      </c>
      <c r="T206" s="3"/>
    </row>
    <row r="207" spans="1:29" hidden="1" x14ac:dyDescent="0.25">
      <c r="A207">
        <v>125405</v>
      </c>
      <c r="B207" t="s">
        <v>560</v>
      </c>
      <c r="C207" t="s">
        <v>29222</v>
      </c>
      <c r="D207">
        <v>2</v>
      </c>
      <c r="E207" t="s">
        <v>560</v>
      </c>
      <c r="H207" s="3">
        <v>0</v>
      </c>
      <c r="I207" s="3">
        <v>0</v>
      </c>
      <c r="J207" s="3">
        <v>0</v>
      </c>
      <c r="K207" s="3">
        <v>0</v>
      </c>
      <c r="L207" s="3">
        <f t="shared" si="12"/>
        <v>0</v>
      </c>
      <c r="M207" s="3"/>
      <c r="N207" s="3">
        <f t="shared" si="13"/>
        <v>0</v>
      </c>
      <c r="R207" s="89"/>
      <c r="S207" s="3">
        <f>100%-Table34[[#This Row],[PDF_initial fee]]</f>
        <v>1</v>
      </c>
      <c r="T207" s="3"/>
    </row>
    <row r="208" spans="1:29" hidden="1" x14ac:dyDescent="0.25">
      <c r="A208">
        <v>125434</v>
      </c>
      <c r="B208" t="s">
        <v>561</v>
      </c>
      <c r="C208" t="s">
        <v>9918</v>
      </c>
      <c r="D208">
        <v>1</v>
      </c>
      <c r="E208" t="s">
        <v>561</v>
      </c>
      <c r="H208" s="21">
        <v>0</v>
      </c>
      <c r="I208" s="21">
        <v>0</v>
      </c>
      <c r="J208" s="21">
        <v>0</v>
      </c>
      <c r="K208" s="21">
        <v>0</v>
      </c>
      <c r="L208" s="3">
        <f t="shared" si="12"/>
        <v>0</v>
      </c>
      <c r="M208" s="3"/>
      <c r="N208" s="3">
        <f t="shared" si="13"/>
        <v>0</v>
      </c>
      <c r="R208" s="89"/>
      <c r="S208" s="3">
        <f>100%-Table34[[#This Row],[PDF_initial fee]]</f>
        <v>1</v>
      </c>
      <c r="T208" s="3"/>
    </row>
    <row r="209" spans="1:30" hidden="1" x14ac:dyDescent="0.25">
      <c r="A209">
        <v>125435</v>
      </c>
      <c r="B209" t="s">
        <v>562</v>
      </c>
      <c r="C209" t="s">
        <v>6958</v>
      </c>
      <c r="D209">
        <v>1</v>
      </c>
      <c r="E209" t="s">
        <v>562</v>
      </c>
      <c r="F209" t="s">
        <v>6958</v>
      </c>
      <c r="H209" s="21">
        <v>0</v>
      </c>
      <c r="I209" s="21">
        <v>0</v>
      </c>
      <c r="J209" s="21">
        <v>0</v>
      </c>
      <c r="K209" s="21">
        <v>0</v>
      </c>
      <c r="L209" s="3">
        <f t="shared" si="12"/>
        <v>0</v>
      </c>
      <c r="M209" s="3"/>
      <c r="N209" s="3">
        <f t="shared" si="13"/>
        <v>0</v>
      </c>
      <c r="R209" s="89"/>
      <c r="S209" s="3">
        <f>100%-Table34[[#This Row],[PDF_initial fee]]</f>
        <v>1</v>
      </c>
      <c r="T209" s="3"/>
    </row>
    <row r="210" spans="1:30" hidden="1" x14ac:dyDescent="0.25">
      <c r="A210">
        <v>125531</v>
      </c>
      <c r="B210" t="s">
        <v>563</v>
      </c>
      <c r="C210" t="s">
        <v>29223</v>
      </c>
      <c r="D210">
        <v>4</v>
      </c>
      <c r="E210" t="s">
        <v>563</v>
      </c>
      <c r="H210" s="3">
        <v>0</v>
      </c>
      <c r="I210" s="3">
        <v>0</v>
      </c>
      <c r="J210" s="3">
        <v>0</v>
      </c>
      <c r="K210" s="3">
        <v>0</v>
      </c>
      <c r="L210" s="3">
        <f t="shared" si="12"/>
        <v>0</v>
      </c>
      <c r="M210" s="3"/>
      <c r="N210" s="3">
        <f t="shared" si="13"/>
        <v>0</v>
      </c>
      <c r="R210" s="89"/>
      <c r="S210" s="3">
        <f>100%-Table34[[#This Row],[PDF_initial fee]]</f>
        <v>1</v>
      </c>
      <c r="T210" s="3"/>
    </row>
    <row r="211" spans="1:30" x14ac:dyDescent="0.25">
      <c r="A211">
        <v>589124</v>
      </c>
      <c r="B211" t="s">
        <v>243</v>
      </c>
      <c r="C211" t="s">
        <v>29224</v>
      </c>
      <c r="D211">
        <v>31</v>
      </c>
      <c r="E211" t="s">
        <v>243</v>
      </c>
      <c r="F211" t="s">
        <v>6</v>
      </c>
      <c r="G211" s="3">
        <v>6.1999999999999998E-3</v>
      </c>
      <c r="H211" s="3">
        <f>(3.25/2)/100</f>
        <v>1.6250000000000001E-2</v>
      </c>
      <c r="I211" s="3">
        <f>(1.4/2)/100</f>
        <v>6.9999999999999993E-3</v>
      </c>
      <c r="J211" s="6">
        <v>0</v>
      </c>
      <c r="K211" s="6">
        <v>0</v>
      </c>
      <c r="L211" s="3">
        <f t="shared" si="12"/>
        <v>2.325E-2</v>
      </c>
      <c r="M211" s="3"/>
      <c r="N211" s="3">
        <f t="shared" si="13"/>
        <v>2.945E-2</v>
      </c>
      <c r="O211" s="21"/>
      <c r="P211" s="1" t="s">
        <v>29215</v>
      </c>
      <c r="Q211" t="s">
        <v>31774</v>
      </c>
      <c r="R211" s="89">
        <v>0.17399999999999999</v>
      </c>
      <c r="S211" s="89">
        <f>100%-Table34[[#This Row],[InitialFee]]</f>
        <v>0.98375000000000001</v>
      </c>
      <c r="T211" s="89">
        <f>(1-Table34[[#This Row],[OngoingFee (plus Platform fee)]])^5</f>
        <v>0.96548658198819293</v>
      </c>
      <c r="U211" s="26">
        <f>(1+Table34[[#This Row],[Net 5yrs return (mostly up to 28th of Feb 2026)]])*Table34[[#This Row],[Investment after initial charge]]*Table34[[#This Row],[Cummulative 5yrs ongoing advice charge]]-1</f>
        <v>0.11506217698625854</v>
      </c>
      <c r="V211" s="10">
        <v>65744000</v>
      </c>
      <c r="W211" s="10" t="s">
        <v>29051</v>
      </c>
      <c r="X211" s="10">
        <v>25585000</v>
      </c>
      <c r="Y211" s="30">
        <f>X211/V211</f>
        <v>0.38916098807495741</v>
      </c>
      <c r="Z211" s="10" t="s">
        <v>29225</v>
      </c>
      <c r="AA211" s="1" t="s">
        <v>29226</v>
      </c>
      <c r="AD211" s="1" t="s">
        <v>29227</v>
      </c>
    </row>
    <row r="212" spans="1:30" hidden="1" x14ac:dyDescent="0.25">
      <c r="A212">
        <v>125581</v>
      </c>
      <c r="B212" t="s">
        <v>564</v>
      </c>
      <c r="C212" t="s">
        <v>7004</v>
      </c>
      <c r="D212">
        <v>4</v>
      </c>
      <c r="E212" t="s">
        <v>564</v>
      </c>
      <c r="H212" s="21">
        <v>0</v>
      </c>
      <c r="I212" s="21">
        <v>0</v>
      </c>
      <c r="J212" s="21">
        <v>0</v>
      </c>
      <c r="K212" s="21">
        <v>0</v>
      </c>
      <c r="L212" s="3">
        <f t="shared" si="12"/>
        <v>0</v>
      </c>
      <c r="M212" s="3"/>
      <c r="N212" s="3">
        <f t="shared" si="13"/>
        <v>0</v>
      </c>
      <c r="R212" s="89"/>
      <c r="S212" s="89">
        <f>100%-Table34[[#This Row],[PDF_initial fee]]</f>
        <v>1</v>
      </c>
      <c r="T212" s="3"/>
    </row>
    <row r="213" spans="1:30" hidden="1" x14ac:dyDescent="0.25">
      <c r="A213">
        <v>125652</v>
      </c>
      <c r="B213" t="s">
        <v>565</v>
      </c>
      <c r="C213" t="s">
        <v>10961</v>
      </c>
      <c r="D213">
        <v>2</v>
      </c>
      <c r="E213" t="s">
        <v>565</v>
      </c>
      <c r="L213" s="3">
        <f t="shared" si="12"/>
        <v>0</v>
      </c>
      <c r="M213" s="3"/>
      <c r="N213" s="3">
        <f t="shared" si="13"/>
        <v>0</v>
      </c>
      <c r="R213" s="89"/>
      <c r="S213" s="89">
        <f>100%-Table34[[#This Row],[PDF_initial fee]]</f>
        <v>1</v>
      </c>
      <c r="T213" s="3"/>
    </row>
    <row r="214" spans="1:30" hidden="1" x14ac:dyDescent="0.25">
      <c r="A214">
        <v>125693</v>
      </c>
      <c r="B214" t="s">
        <v>567</v>
      </c>
      <c r="C214" t="s">
        <v>29228</v>
      </c>
      <c r="D214">
        <v>2</v>
      </c>
      <c r="E214" t="s">
        <v>567</v>
      </c>
      <c r="H214" s="21">
        <v>0</v>
      </c>
      <c r="I214" s="21">
        <v>0</v>
      </c>
      <c r="J214" s="21">
        <v>0</v>
      </c>
      <c r="K214" s="21">
        <v>0</v>
      </c>
      <c r="L214" s="3">
        <f t="shared" si="12"/>
        <v>0</v>
      </c>
      <c r="M214" s="3"/>
      <c r="N214" s="3">
        <f t="shared" si="13"/>
        <v>0</v>
      </c>
      <c r="R214" s="89"/>
      <c r="S214" s="89">
        <f>100%-Table34[[#This Row],[PDF_initial fee]]</f>
        <v>1</v>
      </c>
      <c r="T214" s="3"/>
    </row>
    <row r="215" spans="1:30" hidden="1" x14ac:dyDescent="0.25">
      <c r="A215">
        <v>125710</v>
      </c>
      <c r="B215" t="s">
        <v>568</v>
      </c>
      <c r="C215" t="s">
        <v>8391</v>
      </c>
      <c r="D215">
        <v>13</v>
      </c>
      <c r="E215" t="s">
        <v>568</v>
      </c>
      <c r="H215" s="21">
        <v>0</v>
      </c>
      <c r="I215" s="21">
        <v>0</v>
      </c>
      <c r="J215" s="21">
        <v>0</v>
      </c>
      <c r="K215" s="21">
        <v>0</v>
      </c>
      <c r="L215" s="3">
        <f t="shared" si="12"/>
        <v>0</v>
      </c>
      <c r="M215" s="3"/>
      <c r="N215" s="3">
        <f t="shared" si="13"/>
        <v>0</v>
      </c>
      <c r="R215" s="89"/>
      <c r="S215" s="89">
        <f>100%-Table34[[#This Row],[PDF_initial fee]]</f>
        <v>1</v>
      </c>
      <c r="T215" s="3"/>
    </row>
    <row r="216" spans="1:30" hidden="1" x14ac:dyDescent="0.25">
      <c r="A216">
        <v>125772</v>
      </c>
      <c r="B216" t="s">
        <v>569</v>
      </c>
      <c r="C216" t="s">
        <v>12242</v>
      </c>
      <c r="D216">
        <v>1</v>
      </c>
      <c r="E216" t="s">
        <v>569</v>
      </c>
      <c r="H216" s="21">
        <v>0</v>
      </c>
      <c r="I216" s="21">
        <v>0</v>
      </c>
      <c r="J216" s="21">
        <v>0</v>
      </c>
      <c r="K216" s="21">
        <v>0</v>
      </c>
      <c r="L216" s="3">
        <f t="shared" si="12"/>
        <v>0</v>
      </c>
      <c r="M216" s="3"/>
      <c r="N216" s="3">
        <f t="shared" si="13"/>
        <v>0</v>
      </c>
      <c r="R216" s="89"/>
      <c r="S216" s="89">
        <f>100%-Table34[[#This Row],[PDF_initial fee]]</f>
        <v>1</v>
      </c>
      <c r="T216" s="3"/>
    </row>
    <row r="217" spans="1:30" hidden="1" x14ac:dyDescent="0.25">
      <c r="A217">
        <v>125891</v>
      </c>
      <c r="B217" t="s">
        <v>570</v>
      </c>
      <c r="C217" t="s">
        <v>29229</v>
      </c>
      <c r="D217">
        <v>3</v>
      </c>
      <c r="E217" t="s">
        <v>570</v>
      </c>
      <c r="H217" s="3">
        <v>0</v>
      </c>
      <c r="I217" s="3">
        <v>0</v>
      </c>
      <c r="J217" s="3">
        <v>0</v>
      </c>
      <c r="K217" s="3">
        <v>0</v>
      </c>
      <c r="L217" s="3">
        <f t="shared" si="12"/>
        <v>0</v>
      </c>
      <c r="M217" s="3"/>
      <c r="N217" s="3">
        <f t="shared" si="13"/>
        <v>0</v>
      </c>
      <c r="R217" s="89"/>
      <c r="S217" s="89">
        <f>100%-Table34[[#This Row],[PDF_initial fee]]</f>
        <v>1</v>
      </c>
      <c r="T217" s="3"/>
    </row>
    <row r="218" spans="1:30" hidden="1" x14ac:dyDescent="0.25">
      <c r="A218">
        <v>125904</v>
      </c>
      <c r="B218" t="s">
        <v>571</v>
      </c>
      <c r="C218" t="s">
        <v>8905</v>
      </c>
      <c r="D218">
        <v>1</v>
      </c>
      <c r="E218" t="s">
        <v>571</v>
      </c>
      <c r="H218" s="21">
        <v>0</v>
      </c>
      <c r="I218" s="21">
        <v>0</v>
      </c>
      <c r="J218" s="21">
        <v>0</v>
      </c>
      <c r="K218" s="21">
        <v>0</v>
      </c>
      <c r="L218" s="3">
        <f t="shared" si="12"/>
        <v>0</v>
      </c>
      <c r="M218" s="3"/>
      <c r="N218" s="3">
        <f t="shared" si="13"/>
        <v>0</v>
      </c>
      <c r="R218" s="89"/>
      <c r="S218" s="89">
        <f>100%-Table34[[#This Row],[PDF_initial fee]]</f>
        <v>1</v>
      </c>
      <c r="T218" s="3"/>
    </row>
    <row r="219" spans="1:30" x14ac:dyDescent="0.25">
      <c r="A219">
        <v>787394</v>
      </c>
      <c r="B219" t="s">
        <v>299</v>
      </c>
      <c r="C219" t="s">
        <v>29230</v>
      </c>
      <c r="D219">
        <v>40</v>
      </c>
      <c r="E219" t="s">
        <v>299</v>
      </c>
      <c r="F219" t="s">
        <v>6</v>
      </c>
      <c r="G219" s="3">
        <v>6.1999999999999998E-3</v>
      </c>
      <c r="H219" s="3">
        <f>(3.25/2)/100</f>
        <v>1.6250000000000001E-2</v>
      </c>
      <c r="I219" s="3">
        <f>(1.4/2)/100</f>
        <v>6.9999999999999993E-3</v>
      </c>
      <c r="J219" s="6">
        <v>0</v>
      </c>
      <c r="K219" s="6">
        <v>0</v>
      </c>
      <c r="L219" s="3">
        <f t="shared" si="12"/>
        <v>2.325E-2</v>
      </c>
      <c r="M219" s="3"/>
      <c r="N219" s="3">
        <f t="shared" si="13"/>
        <v>2.945E-2</v>
      </c>
      <c r="O219" s="21"/>
      <c r="P219" s="1" t="s">
        <v>29215</v>
      </c>
      <c r="Q219" t="s">
        <v>31774</v>
      </c>
      <c r="R219" s="89">
        <v>0.17399999999999999</v>
      </c>
      <c r="S219" s="89">
        <f>100%-Table34[[#This Row],[InitialFee]]</f>
        <v>0.98375000000000001</v>
      </c>
      <c r="T219" s="89">
        <f>(1-Table34[[#This Row],[OngoingFee (plus Platform fee)]])^5</f>
        <v>0.96548658198819293</v>
      </c>
      <c r="U219" s="26">
        <f>(1+Table34[[#This Row],[Net 5yrs return (mostly up to 28th of Feb 2026)]])*Table34[[#This Row],[Investment after initial charge]]*Table34[[#This Row],[Cummulative 5yrs ongoing advice charge]]-1</f>
        <v>0.11506217698625854</v>
      </c>
      <c r="V219" s="10">
        <v>4889000</v>
      </c>
      <c r="W219" s="10" t="s">
        <v>29051</v>
      </c>
      <c r="X219" s="10">
        <v>2773000</v>
      </c>
      <c r="Y219" s="30">
        <f>X219/V219</f>
        <v>0.56719165473511968</v>
      </c>
      <c r="Z219" s="10"/>
      <c r="AA219" s="1" t="s">
        <v>29231</v>
      </c>
      <c r="AD219" s="1" t="s">
        <v>29227</v>
      </c>
    </row>
    <row r="220" spans="1:30" hidden="1" x14ac:dyDescent="0.25">
      <c r="A220">
        <v>125921</v>
      </c>
      <c r="B220" t="s">
        <v>572</v>
      </c>
      <c r="C220" s="1" t="s">
        <v>29232</v>
      </c>
      <c r="D220">
        <v>9</v>
      </c>
      <c r="E220" t="s">
        <v>572</v>
      </c>
      <c r="G220" s="1"/>
      <c r="H220" s="3">
        <v>0</v>
      </c>
      <c r="I220" s="3">
        <v>0</v>
      </c>
      <c r="J220" s="3">
        <v>0</v>
      </c>
      <c r="K220" s="3">
        <v>0</v>
      </c>
      <c r="L220" s="3">
        <f t="shared" si="12"/>
        <v>0</v>
      </c>
      <c r="M220" s="3"/>
      <c r="N220" s="3">
        <f t="shared" si="13"/>
        <v>0</v>
      </c>
      <c r="R220" s="89"/>
      <c r="S220" s="89">
        <f>100%-Table34[[#This Row],[PDF_initial fee]]</f>
        <v>1</v>
      </c>
      <c r="T220" s="3"/>
    </row>
    <row r="221" spans="1:30" hidden="1" x14ac:dyDescent="0.25">
      <c r="A221">
        <v>125931</v>
      </c>
      <c r="B221" t="s">
        <v>573</v>
      </c>
      <c r="C221" t="s">
        <v>7817</v>
      </c>
      <c r="D221">
        <v>5</v>
      </c>
      <c r="E221" t="s">
        <v>573</v>
      </c>
      <c r="L221" s="3">
        <f t="shared" si="12"/>
        <v>0</v>
      </c>
      <c r="M221" s="3"/>
      <c r="N221" s="3">
        <f t="shared" si="13"/>
        <v>0</v>
      </c>
      <c r="R221" s="89"/>
      <c r="S221" s="89">
        <f>100%-Table34[[#This Row],[PDF_initial fee]]</f>
        <v>1</v>
      </c>
      <c r="T221" s="3"/>
    </row>
    <row r="222" spans="1:30" hidden="1" x14ac:dyDescent="0.25">
      <c r="A222">
        <v>125949</v>
      </c>
      <c r="B222" t="s">
        <v>574</v>
      </c>
      <c r="C222" t="s">
        <v>11205</v>
      </c>
      <c r="D222">
        <v>0</v>
      </c>
      <c r="E222" t="s">
        <v>574</v>
      </c>
      <c r="F222" t="s">
        <v>29136</v>
      </c>
      <c r="H222" s="21">
        <v>0</v>
      </c>
      <c r="I222" s="21">
        <v>0</v>
      </c>
      <c r="J222" s="21">
        <v>0</v>
      </c>
      <c r="K222" s="21">
        <v>0</v>
      </c>
      <c r="L222" s="3">
        <f t="shared" ref="L222:L253" si="14">SUM(H222:K222)</f>
        <v>0</v>
      </c>
      <c r="M222" s="3"/>
      <c r="N222" s="3">
        <f t="shared" ref="N222:N253" si="15">L222+G222</f>
        <v>0</v>
      </c>
      <c r="R222" s="89"/>
      <c r="S222" s="89">
        <f>100%-Table34[[#This Row],[PDF_initial fee]]</f>
        <v>1</v>
      </c>
      <c r="T222" s="3"/>
    </row>
    <row r="223" spans="1:30" hidden="1" x14ac:dyDescent="0.25">
      <c r="A223">
        <v>125957</v>
      </c>
      <c r="B223" t="s">
        <v>575</v>
      </c>
      <c r="C223" t="s">
        <v>6958</v>
      </c>
      <c r="D223">
        <v>1</v>
      </c>
      <c r="E223" t="s">
        <v>575</v>
      </c>
      <c r="F223" t="s">
        <v>6958</v>
      </c>
      <c r="L223" s="3">
        <f t="shared" si="14"/>
        <v>0</v>
      </c>
      <c r="M223" s="3"/>
      <c r="N223" s="3">
        <f t="shared" si="15"/>
        <v>0</v>
      </c>
      <c r="R223" s="89"/>
      <c r="S223" s="89">
        <f>100%-Table34[[#This Row],[PDF_initial fee]]</f>
        <v>1</v>
      </c>
      <c r="T223" s="3"/>
    </row>
    <row r="224" spans="1:30" hidden="1" x14ac:dyDescent="0.25">
      <c r="A224">
        <v>126015</v>
      </c>
      <c r="B224" t="s">
        <v>576</v>
      </c>
      <c r="C224" t="s">
        <v>7853</v>
      </c>
      <c r="D224">
        <v>1</v>
      </c>
      <c r="E224" t="s">
        <v>576</v>
      </c>
      <c r="H224" s="21">
        <v>0</v>
      </c>
      <c r="I224" s="21">
        <v>0</v>
      </c>
      <c r="J224" s="21">
        <v>0</v>
      </c>
      <c r="K224" s="21">
        <v>0</v>
      </c>
      <c r="L224" s="3">
        <f t="shared" si="14"/>
        <v>0</v>
      </c>
      <c r="M224" s="3"/>
      <c r="N224" s="3">
        <f t="shared" si="15"/>
        <v>0</v>
      </c>
      <c r="R224" s="89"/>
      <c r="S224" s="89">
        <f>100%-Table34[[#This Row],[PDF_initial fee]]</f>
        <v>1</v>
      </c>
      <c r="T224" s="3"/>
    </row>
    <row r="225" spans="1:30" hidden="1" x14ac:dyDescent="0.25">
      <c r="A225">
        <v>126072</v>
      </c>
      <c r="B225" t="s">
        <v>578</v>
      </c>
      <c r="C225" s="1" t="s">
        <v>6958</v>
      </c>
      <c r="D225">
        <v>1</v>
      </c>
      <c r="E225" t="s">
        <v>578</v>
      </c>
      <c r="F225" t="s">
        <v>6958</v>
      </c>
      <c r="H225" s="21">
        <v>0</v>
      </c>
      <c r="I225" s="21">
        <v>0</v>
      </c>
      <c r="J225" s="21">
        <v>0</v>
      </c>
      <c r="K225" s="21">
        <v>0</v>
      </c>
      <c r="L225" s="3">
        <f t="shared" si="14"/>
        <v>0</v>
      </c>
      <c r="M225" s="3"/>
      <c r="N225" s="3">
        <f t="shared" si="15"/>
        <v>0</v>
      </c>
      <c r="R225" s="89"/>
      <c r="S225" s="89">
        <f>100%-Table34[[#This Row],[PDF_initial fee]]</f>
        <v>1</v>
      </c>
      <c r="T225" s="3"/>
    </row>
    <row r="226" spans="1:30" hidden="1" x14ac:dyDescent="0.25">
      <c r="A226">
        <v>126112</v>
      </c>
      <c r="B226" t="s">
        <v>579</v>
      </c>
      <c r="C226" t="s">
        <v>11375</v>
      </c>
      <c r="D226">
        <v>4</v>
      </c>
      <c r="E226" t="s">
        <v>579</v>
      </c>
      <c r="H226" s="21">
        <v>0</v>
      </c>
      <c r="I226" s="21">
        <v>0</v>
      </c>
      <c r="J226" s="21">
        <v>0</v>
      </c>
      <c r="K226" s="21">
        <v>0</v>
      </c>
      <c r="L226" s="3">
        <f t="shared" si="14"/>
        <v>0</v>
      </c>
      <c r="M226" s="3"/>
      <c r="N226" s="3">
        <f t="shared" si="15"/>
        <v>0</v>
      </c>
      <c r="R226" s="89"/>
      <c r="S226" s="89">
        <f>100%-Table34[[#This Row],[PDF_initial fee]]</f>
        <v>1</v>
      </c>
      <c r="T226" s="3"/>
    </row>
    <row r="227" spans="1:30" hidden="1" x14ac:dyDescent="0.25">
      <c r="A227">
        <v>126123</v>
      </c>
      <c r="B227" t="s">
        <v>580</v>
      </c>
      <c r="C227" t="s">
        <v>8553</v>
      </c>
      <c r="D227">
        <v>6</v>
      </c>
      <c r="E227" t="s">
        <v>580</v>
      </c>
      <c r="H227" s="21">
        <v>0</v>
      </c>
      <c r="I227" s="21">
        <v>0</v>
      </c>
      <c r="J227" s="21">
        <v>0</v>
      </c>
      <c r="K227" s="21">
        <v>0</v>
      </c>
      <c r="L227" s="3">
        <f t="shared" si="14"/>
        <v>0</v>
      </c>
      <c r="M227" s="3"/>
      <c r="N227" s="3">
        <f t="shared" si="15"/>
        <v>0</v>
      </c>
      <c r="R227" s="89"/>
      <c r="S227" s="89">
        <f>100%-Table34[[#This Row],[PDF_initial fee]]</f>
        <v>1</v>
      </c>
      <c r="T227" s="3"/>
    </row>
    <row r="228" spans="1:30" x14ac:dyDescent="0.25">
      <c r="A228">
        <v>228579</v>
      </c>
      <c r="B228" t="s">
        <v>128</v>
      </c>
      <c r="C228" s="1" t="s">
        <v>29233</v>
      </c>
      <c r="D228">
        <v>4</v>
      </c>
      <c r="E228" t="s">
        <v>128</v>
      </c>
      <c r="F228" t="s">
        <v>6</v>
      </c>
      <c r="G228" s="3">
        <v>0.01</v>
      </c>
      <c r="H228" s="3">
        <f>(3/2)%</f>
        <v>1.4999999999999999E-2</v>
      </c>
      <c r="I228" s="3">
        <f>((0.6+1.5)/2)/100</f>
        <v>1.0500000000000001E-2</v>
      </c>
      <c r="J228" s="6">
        <v>0</v>
      </c>
      <c r="K228" s="6">
        <v>0</v>
      </c>
      <c r="L228" s="3">
        <f t="shared" si="14"/>
        <v>2.5500000000000002E-2</v>
      </c>
      <c r="M228" s="3"/>
      <c r="N228" s="3">
        <f t="shared" si="15"/>
        <v>3.5500000000000004E-2</v>
      </c>
      <c r="O228" t="s">
        <v>29234</v>
      </c>
      <c r="P228" s="1" t="s">
        <v>29215</v>
      </c>
      <c r="Q228" s="87" t="s">
        <v>31790</v>
      </c>
      <c r="R228" s="89">
        <v>0.27600000000000002</v>
      </c>
      <c r="S228" s="89">
        <f>100%-Table34[[#This Row],[InitialFee]]</f>
        <v>0.98499999999999999</v>
      </c>
      <c r="T228" s="103">
        <f>(1-Table34[[#This Row],[OngoingFee (plus Platform fee)]])^3</f>
        <v>0.9688295923750001</v>
      </c>
      <c r="U228" s="26">
        <f>(1+Table34[[#This Row],[Net 5yrs return (mostly up to 28th of Feb 2026)]])*Table34[[#This Row],[Investment after initial charge]]*Table34[[#This Row],[Cummulative 5yrs ongoing advice charge]]-1</f>
        <v>0.21768316147244282</v>
      </c>
      <c r="V228" s="10">
        <v>1063799</v>
      </c>
      <c r="W228" s="10" t="s">
        <v>29051</v>
      </c>
      <c r="X228" s="10">
        <v>1028146</v>
      </c>
      <c r="Y228" s="30">
        <f>X228/V228</f>
        <v>0.96648521008197974</v>
      </c>
      <c r="Z228" s="10"/>
      <c r="AA228" s="1" t="s">
        <v>29235</v>
      </c>
      <c r="AD228" s="101" t="s">
        <v>31794</v>
      </c>
    </row>
    <row r="229" spans="1:30" hidden="1" x14ac:dyDescent="0.25">
      <c r="A229">
        <v>126176</v>
      </c>
      <c r="B229" t="s">
        <v>582</v>
      </c>
      <c r="C229" t="s">
        <v>6958</v>
      </c>
      <c r="D229">
        <v>1</v>
      </c>
      <c r="E229" t="s">
        <v>582</v>
      </c>
      <c r="F229" t="s">
        <v>6958</v>
      </c>
      <c r="H229" s="21">
        <v>0</v>
      </c>
      <c r="I229" s="21">
        <v>0</v>
      </c>
      <c r="J229" s="21">
        <v>0</v>
      </c>
      <c r="K229" s="21">
        <v>0</v>
      </c>
      <c r="L229" s="3">
        <f t="shared" si="14"/>
        <v>0</v>
      </c>
      <c r="M229" s="3"/>
      <c r="N229" s="3">
        <f t="shared" si="15"/>
        <v>0</v>
      </c>
      <c r="R229" s="89"/>
      <c r="S229" s="89">
        <f>100%-Table34[[#This Row],[PDF_initial fee]]</f>
        <v>1</v>
      </c>
      <c r="T229" s="3"/>
    </row>
    <row r="230" spans="1:30" hidden="1" x14ac:dyDescent="0.25">
      <c r="A230">
        <v>126243</v>
      </c>
      <c r="B230" t="s">
        <v>583</v>
      </c>
      <c r="C230" t="s">
        <v>6958</v>
      </c>
      <c r="D230">
        <v>1</v>
      </c>
      <c r="E230" t="s">
        <v>583</v>
      </c>
      <c r="F230" t="s">
        <v>6958</v>
      </c>
      <c r="H230" s="21">
        <v>0</v>
      </c>
      <c r="I230" s="21">
        <v>0</v>
      </c>
      <c r="J230" s="21">
        <v>0</v>
      </c>
      <c r="K230" s="21">
        <v>0</v>
      </c>
      <c r="L230" s="3">
        <f t="shared" si="14"/>
        <v>0</v>
      </c>
      <c r="M230" s="3"/>
      <c r="N230" s="3">
        <f t="shared" si="15"/>
        <v>0</v>
      </c>
      <c r="R230" s="89"/>
      <c r="S230" s="89">
        <f>100%-Table34[[#This Row],[PDF_initial fee]]</f>
        <v>1</v>
      </c>
      <c r="T230" s="3"/>
    </row>
    <row r="231" spans="1:30" hidden="1" x14ac:dyDescent="0.25">
      <c r="A231">
        <v>126263</v>
      </c>
      <c r="B231" t="s">
        <v>584</v>
      </c>
      <c r="C231" t="s">
        <v>6958</v>
      </c>
      <c r="D231">
        <v>1</v>
      </c>
      <c r="E231" t="s">
        <v>584</v>
      </c>
      <c r="F231" t="s">
        <v>6958</v>
      </c>
      <c r="H231" s="21">
        <v>0</v>
      </c>
      <c r="I231" s="21">
        <v>0</v>
      </c>
      <c r="J231" s="21">
        <v>0</v>
      </c>
      <c r="K231" s="21">
        <v>0</v>
      </c>
      <c r="L231" s="3">
        <f t="shared" si="14"/>
        <v>0</v>
      </c>
      <c r="M231" s="3"/>
      <c r="N231" s="3">
        <f t="shared" si="15"/>
        <v>0</v>
      </c>
      <c r="R231" s="89"/>
      <c r="S231" s="89">
        <f>100%-Table34[[#This Row],[PDF_initial fee]]</f>
        <v>1</v>
      </c>
      <c r="T231" s="3"/>
    </row>
    <row r="232" spans="1:30" hidden="1" x14ac:dyDescent="0.25">
      <c r="A232">
        <v>126267</v>
      </c>
      <c r="B232" t="s">
        <v>585</v>
      </c>
      <c r="C232" t="s">
        <v>8329</v>
      </c>
      <c r="D232">
        <v>2</v>
      </c>
      <c r="E232" t="s">
        <v>585</v>
      </c>
      <c r="H232" s="21">
        <v>0</v>
      </c>
      <c r="I232" s="21">
        <v>0</v>
      </c>
      <c r="J232" s="21">
        <v>0</v>
      </c>
      <c r="K232" s="21">
        <v>0</v>
      </c>
      <c r="L232" s="3">
        <f t="shared" si="14"/>
        <v>0</v>
      </c>
      <c r="M232" s="3"/>
      <c r="N232" s="3">
        <f t="shared" si="15"/>
        <v>0</v>
      </c>
      <c r="R232" s="89"/>
      <c r="S232" s="89">
        <f>100%-Table34[[#This Row],[PDF_initial fee]]</f>
        <v>1</v>
      </c>
      <c r="T232" s="3"/>
    </row>
    <row r="233" spans="1:30" x14ac:dyDescent="0.25">
      <c r="A233">
        <v>402531</v>
      </c>
      <c r="B233" t="s">
        <v>146</v>
      </c>
      <c r="C233" s="1" t="s">
        <v>29236</v>
      </c>
      <c r="D233">
        <v>3</v>
      </c>
      <c r="E233" t="s">
        <v>146</v>
      </c>
      <c r="F233" t="s">
        <v>6</v>
      </c>
      <c r="G233" s="3">
        <v>0.01</v>
      </c>
      <c r="H233" s="3">
        <f>(3/2)%</f>
        <v>1.4999999999999999E-2</v>
      </c>
      <c r="I233" s="3">
        <f>((0.6+1.5)/2)/100</f>
        <v>1.0500000000000001E-2</v>
      </c>
      <c r="J233" s="6">
        <v>0</v>
      </c>
      <c r="K233" s="6">
        <v>0</v>
      </c>
      <c r="L233" s="3">
        <f t="shared" si="14"/>
        <v>2.5500000000000002E-2</v>
      </c>
      <c r="M233" s="3"/>
      <c r="N233" s="3">
        <f t="shared" si="15"/>
        <v>3.5500000000000004E-2</v>
      </c>
      <c r="O233" s="21"/>
      <c r="P233" s="1" t="s">
        <v>29215</v>
      </c>
      <c r="Q233" s="87" t="s">
        <v>31790</v>
      </c>
      <c r="R233" s="89">
        <v>0.27600000000000002</v>
      </c>
      <c r="S233" s="89">
        <f>100%-Table34[[#This Row],[InitialFee]]</f>
        <v>0.98499999999999999</v>
      </c>
      <c r="T233" s="103">
        <f>(1-Table34[[#This Row],[OngoingFee (plus Platform fee)]])^3</f>
        <v>0.9688295923750001</v>
      </c>
      <c r="U233" s="26">
        <f>(1+Table34[[#This Row],[Net 5yrs return (mostly up to 28th of Feb 2026)]])*Table34[[#This Row],[Investment after initial charge]]*Table34[[#This Row],[Cummulative 5yrs ongoing advice charge]]-1</f>
        <v>0.21768316147244282</v>
      </c>
      <c r="V233" s="10">
        <v>64390152</v>
      </c>
      <c r="W233" s="10" t="s">
        <v>29051</v>
      </c>
      <c r="X233" s="10">
        <v>54399623</v>
      </c>
      <c r="Y233" s="30">
        <f>X233/V233</f>
        <v>0.84484383574680799</v>
      </c>
      <c r="Z233" s="10" t="s">
        <v>29225</v>
      </c>
      <c r="AA233" s="1" t="s">
        <v>29237</v>
      </c>
      <c r="AD233" s="101" t="s">
        <v>31794</v>
      </c>
    </row>
    <row r="234" spans="1:30" hidden="1" x14ac:dyDescent="0.25">
      <c r="A234">
        <v>126350</v>
      </c>
      <c r="B234" t="s">
        <v>586</v>
      </c>
      <c r="C234" t="s">
        <v>6958</v>
      </c>
      <c r="D234">
        <v>1</v>
      </c>
      <c r="E234" t="s">
        <v>586</v>
      </c>
      <c r="F234" t="s">
        <v>6958</v>
      </c>
      <c r="H234" s="21">
        <v>0</v>
      </c>
      <c r="I234" s="21">
        <v>0</v>
      </c>
      <c r="J234" s="21">
        <v>0</v>
      </c>
      <c r="K234" s="21">
        <v>0</v>
      </c>
      <c r="L234" s="3">
        <f t="shared" si="14"/>
        <v>0</v>
      </c>
      <c r="M234" s="3"/>
      <c r="N234" s="3">
        <f t="shared" si="15"/>
        <v>0</v>
      </c>
      <c r="R234" s="89"/>
      <c r="S234" s="89">
        <f>100%-Table34[[#This Row],[PDF_initial fee]]</f>
        <v>1</v>
      </c>
      <c r="T234" s="3"/>
    </row>
    <row r="235" spans="1:30" hidden="1" x14ac:dyDescent="0.25">
      <c r="A235">
        <v>126368</v>
      </c>
      <c r="B235" t="s">
        <v>587</v>
      </c>
      <c r="C235" t="s">
        <v>8012</v>
      </c>
      <c r="D235">
        <v>11</v>
      </c>
      <c r="E235" t="s">
        <v>587</v>
      </c>
      <c r="H235" s="21">
        <v>0</v>
      </c>
      <c r="I235" s="21">
        <v>0</v>
      </c>
      <c r="J235" s="21">
        <v>0</v>
      </c>
      <c r="K235" s="21">
        <v>0</v>
      </c>
      <c r="L235" s="3">
        <f t="shared" si="14"/>
        <v>0</v>
      </c>
      <c r="M235" s="3"/>
      <c r="N235" s="3">
        <f t="shared" si="15"/>
        <v>0</v>
      </c>
      <c r="R235" s="89"/>
      <c r="S235" s="89">
        <f>100%-Table34[[#This Row],[PDF_initial fee]]</f>
        <v>1</v>
      </c>
      <c r="T235" s="3"/>
    </row>
    <row r="236" spans="1:30" hidden="1" x14ac:dyDescent="0.25">
      <c r="A236">
        <v>126386</v>
      </c>
      <c r="B236" t="s">
        <v>588</v>
      </c>
      <c r="C236" t="s">
        <v>29238</v>
      </c>
      <c r="D236">
        <v>2</v>
      </c>
      <c r="E236" t="s">
        <v>588</v>
      </c>
      <c r="H236" s="3">
        <v>0</v>
      </c>
      <c r="I236" s="3">
        <v>0</v>
      </c>
      <c r="J236" s="3">
        <v>0</v>
      </c>
      <c r="K236" s="3">
        <v>0</v>
      </c>
      <c r="L236" s="3">
        <f t="shared" si="14"/>
        <v>0</v>
      </c>
      <c r="M236" s="3"/>
      <c r="N236" s="3">
        <f t="shared" si="15"/>
        <v>0</v>
      </c>
      <c r="R236" s="89"/>
      <c r="S236" s="89">
        <f>100%-Table34[[#This Row],[PDF_initial fee]]</f>
        <v>1</v>
      </c>
      <c r="T236" s="3"/>
    </row>
    <row r="237" spans="1:30" hidden="1" x14ac:dyDescent="0.25">
      <c r="A237">
        <v>126457</v>
      </c>
      <c r="B237" t="s">
        <v>589</v>
      </c>
      <c r="C237" t="s">
        <v>6958</v>
      </c>
      <c r="D237">
        <v>8</v>
      </c>
      <c r="E237" t="s">
        <v>589</v>
      </c>
      <c r="F237" t="s">
        <v>6958</v>
      </c>
      <c r="H237" s="21">
        <v>0</v>
      </c>
      <c r="I237" s="21">
        <v>0</v>
      </c>
      <c r="J237" s="21">
        <v>0</v>
      </c>
      <c r="K237" s="21">
        <v>0</v>
      </c>
      <c r="L237" s="3">
        <f t="shared" si="14"/>
        <v>0</v>
      </c>
      <c r="M237" s="3"/>
      <c r="N237" s="3">
        <f t="shared" si="15"/>
        <v>0</v>
      </c>
      <c r="R237" s="89"/>
      <c r="S237" s="89">
        <f>100%-Table34[[#This Row],[PDF_initial fee]]</f>
        <v>1</v>
      </c>
      <c r="T237" s="3"/>
    </row>
    <row r="238" spans="1:30" hidden="1" x14ac:dyDescent="0.25">
      <c r="A238">
        <v>126671</v>
      </c>
      <c r="B238" t="s">
        <v>590</v>
      </c>
      <c r="C238" t="s">
        <v>6958</v>
      </c>
      <c r="D238">
        <v>0</v>
      </c>
      <c r="E238" t="s">
        <v>590</v>
      </c>
      <c r="F238" t="s">
        <v>6958</v>
      </c>
      <c r="H238" s="21">
        <v>0</v>
      </c>
      <c r="I238" s="21">
        <v>0</v>
      </c>
      <c r="J238" s="21">
        <v>0</v>
      </c>
      <c r="K238" s="21">
        <v>0</v>
      </c>
      <c r="L238" s="3">
        <f t="shared" si="14"/>
        <v>0</v>
      </c>
      <c r="M238" s="3"/>
      <c r="N238" s="3">
        <f t="shared" si="15"/>
        <v>0</v>
      </c>
      <c r="R238" s="89"/>
      <c r="S238" s="89">
        <f>100%-Table34[[#This Row],[PDF_initial fee]]</f>
        <v>1</v>
      </c>
      <c r="T238" s="3"/>
    </row>
    <row r="239" spans="1:30" hidden="1" x14ac:dyDescent="0.25">
      <c r="A239">
        <v>126673</v>
      </c>
      <c r="B239" t="s">
        <v>591</v>
      </c>
      <c r="C239" t="s">
        <v>10909</v>
      </c>
      <c r="D239">
        <v>1</v>
      </c>
      <c r="E239" t="s">
        <v>591</v>
      </c>
      <c r="H239" s="21">
        <v>0</v>
      </c>
      <c r="I239" s="21">
        <v>0</v>
      </c>
      <c r="J239" s="21">
        <v>0</v>
      </c>
      <c r="K239" s="21">
        <v>0</v>
      </c>
      <c r="L239" s="3">
        <f t="shared" si="14"/>
        <v>0</v>
      </c>
      <c r="M239" s="3"/>
      <c r="N239" s="3">
        <f t="shared" si="15"/>
        <v>0</v>
      </c>
      <c r="R239" s="89"/>
      <c r="S239" s="89">
        <f>100%-Table34[[#This Row],[PDF_initial fee]]</f>
        <v>1</v>
      </c>
      <c r="T239" s="3"/>
    </row>
    <row r="240" spans="1:30" hidden="1" x14ac:dyDescent="0.25">
      <c r="A240">
        <v>126698</v>
      </c>
      <c r="B240" t="s">
        <v>592</v>
      </c>
      <c r="C240" s="1" t="s">
        <v>29239</v>
      </c>
      <c r="D240">
        <v>1</v>
      </c>
      <c r="E240" t="s">
        <v>592</v>
      </c>
      <c r="G240" s="1"/>
      <c r="H240" s="21">
        <v>0</v>
      </c>
      <c r="I240" s="21">
        <v>0</v>
      </c>
      <c r="J240" s="21">
        <v>0</v>
      </c>
      <c r="K240" s="21">
        <v>0</v>
      </c>
      <c r="L240" s="3">
        <f t="shared" si="14"/>
        <v>0</v>
      </c>
      <c r="M240" s="3"/>
      <c r="N240" s="3">
        <f t="shared" si="15"/>
        <v>0</v>
      </c>
      <c r="R240" s="89"/>
      <c r="S240" s="89">
        <f>100%-Table34[[#This Row],[PDF_initial fee]]</f>
        <v>1</v>
      </c>
      <c r="T240" s="3"/>
    </row>
    <row r="241" spans="1:30" hidden="1" x14ac:dyDescent="0.25">
      <c r="A241">
        <v>126714</v>
      </c>
      <c r="B241" t="s">
        <v>593</v>
      </c>
      <c r="C241" t="s">
        <v>10132</v>
      </c>
      <c r="D241">
        <v>2</v>
      </c>
      <c r="E241" t="s">
        <v>593</v>
      </c>
      <c r="H241" s="21">
        <v>0</v>
      </c>
      <c r="I241" s="21">
        <v>0</v>
      </c>
      <c r="J241" s="21">
        <v>0</v>
      </c>
      <c r="K241" s="21">
        <v>0</v>
      </c>
      <c r="L241" s="3">
        <f t="shared" si="14"/>
        <v>0</v>
      </c>
      <c r="M241" s="3"/>
      <c r="N241" s="3">
        <f t="shared" si="15"/>
        <v>0</v>
      </c>
      <c r="R241" s="89"/>
      <c r="S241" s="89">
        <f>100%-Table34[[#This Row],[PDF_initial fee]]</f>
        <v>1</v>
      </c>
      <c r="T241" s="3"/>
    </row>
    <row r="242" spans="1:30" x14ac:dyDescent="0.25">
      <c r="A242">
        <v>722703</v>
      </c>
      <c r="B242" t="s">
        <v>277</v>
      </c>
      <c r="C242" s="1" t="s">
        <v>11630</v>
      </c>
      <c r="D242">
        <v>60</v>
      </c>
      <c r="E242" t="s">
        <v>277</v>
      </c>
      <c r="F242" t="s">
        <v>6</v>
      </c>
      <c r="G242" s="3">
        <v>0.01</v>
      </c>
      <c r="H242" s="3">
        <f>(3/2)%</f>
        <v>1.4999999999999999E-2</v>
      </c>
      <c r="I242" s="3">
        <f>((0.6+1.5)/2)/100</f>
        <v>1.0500000000000001E-2</v>
      </c>
      <c r="J242" s="6">
        <v>0</v>
      </c>
      <c r="K242" s="6">
        <v>0</v>
      </c>
      <c r="L242" s="3">
        <f t="shared" si="14"/>
        <v>2.5500000000000002E-2</v>
      </c>
      <c r="M242" s="3"/>
      <c r="N242" s="3">
        <f t="shared" si="15"/>
        <v>3.5500000000000004E-2</v>
      </c>
      <c r="P242" s="1" t="s">
        <v>29215</v>
      </c>
      <c r="Q242" s="87" t="s">
        <v>31790</v>
      </c>
      <c r="R242" s="89">
        <v>0.27600000000000002</v>
      </c>
      <c r="S242" s="89">
        <f>100%-Table34[[#This Row],[InitialFee]]</f>
        <v>0.98499999999999999</v>
      </c>
      <c r="T242" s="103">
        <f>(1-Table34[[#This Row],[OngoingFee (plus Platform fee)]])^3</f>
        <v>0.9688295923750001</v>
      </c>
      <c r="U242" s="26">
        <f>(1+Table34[[#This Row],[Net 5yrs return (mostly up to 28th of Feb 2026)]])*Table34[[#This Row],[Investment after initial charge]]*Table34[[#This Row],[Cummulative 5yrs ongoing advice charge]]-1</f>
        <v>0.21768316147244282</v>
      </c>
      <c r="V242" s="10">
        <v>64390152</v>
      </c>
      <c r="W242" s="10" t="s">
        <v>29051</v>
      </c>
      <c r="X242" s="10">
        <v>54399623</v>
      </c>
      <c r="Y242" s="30">
        <f>X242/V242</f>
        <v>0.84484383574680799</v>
      </c>
      <c r="Z242" s="10"/>
      <c r="AA242" s="1" t="s">
        <v>29237</v>
      </c>
      <c r="AD242" s="101" t="s">
        <v>31794</v>
      </c>
    </row>
    <row r="243" spans="1:30" hidden="1" x14ac:dyDescent="0.25">
      <c r="A243">
        <v>126791</v>
      </c>
      <c r="B243" t="s">
        <v>594</v>
      </c>
      <c r="C243" t="s">
        <v>29240</v>
      </c>
      <c r="D243">
        <v>4</v>
      </c>
      <c r="E243" t="s">
        <v>594</v>
      </c>
      <c r="H243" s="3">
        <v>0</v>
      </c>
      <c r="I243" s="3">
        <v>0</v>
      </c>
      <c r="J243" s="3">
        <v>0</v>
      </c>
      <c r="K243" s="3">
        <v>0</v>
      </c>
      <c r="L243" s="3">
        <f t="shared" si="14"/>
        <v>0</v>
      </c>
      <c r="M243" s="3"/>
      <c r="N243" s="3">
        <f t="shared" si="15"/>
        <v>0</v>
      </c>
      <c r="R243" s="89"/>
      <c r="S243" s="89">
        <f>100%-Table34[[#This Row],[PDF_initial fee]]</f>
        <v>1</v>
      </c>
      <c r="T243" s="3"/>
    </row>
    <row r="244" spans="1:30" x14ac:dyDescent="0.25">
      <c r="A244">
        <v>138197</v>
      </c>
      <c r="B244" t="s">
        <v>53</v>
      </c>
      <c r="C244" s="1" t="s">
        <v>29241</v>
      </c>
      <c r="D244">
        <v>3</v>
      </c>
      <c r="E244" t="s">
        <v>53</v>
      </c>
      <c r="F244" t="s">
        <v>6</v>
      </c>
      <c r="G244" s="3">
        <v>0.01</v>
      </c>
      <c r="H244" s="3">
        <f>(3/2)%</f>
        <v>1.4999999999999999E-2</v>
      </c>
      <c r="I244" s="3">
        <f>((0.6+1.5)/2)/100</f>
        <v>1.0500000000000001E-2</v>
      </c>
      <c r="J244" s="6">
        <v>0</v>
      </c>
      <c r="K244" s="6">
        <v>0</v>
      </c>
      <c r="L244" s="3">
        <f t="shared" si="14"/>
        <v>2.5500000000000002E-2</v>
      </c>
      <c r="M244" s="3"/>
      <c r="N244" s="3">
        <f t="shared" si="15"/>
        <v>3.5500000000000004E-2</v>
      </c>
      <c r="O244" t="s">
        <v>29242</v>
      </c>
      <c r="P244" s="1" t="s">
        <v>29215</v>
      </c>
      <c r="Q244" s="87" t="s">
        <v>31790</v>
      </c>
      <c r="R244" s="89">
        <v>0.27600000000000002</v>
      </c>
      <c r="S244" s="89">
        <f>100%-Table34[[#This Row],[InitialFee]]</f>
        <v>0.98499999999999999</v>
      </c>
      <c r="T244" s="103">
        <f>(1-Table34[[#This Row],[OngoingFee (plus Platform fee)]])^3</f>
        <v>0.9688295923750001</v>
      </c>
      <c r="U244" s="26">
        <f>(1+Table34[[#This Row],[Net 5yrs return (mostly up to 28th of Feb 2026)]])*Table34[[#This Row],[Investment after initial charge]]*Table34[[#This Row],[Cummulative 5yrs ongoing advice charge]]-1</f>
        <v>0.21768316147244282</v>
      </c>
      <c r="V244" s="10">
        <v>379505</v>
      </c>
      <c r="W244" t="s">
        <v>29051</v>
      </c>
      <c r="X244" s="10">
        <v>370452</v>
      </c>
      <c r="Y244" s="30">
        <f>X244/V244</f>
        <v>0.97614524182817086</v>
      </c>
      <c r="AA244" s="1" t="s">
        <v>29243</v>
      </c>
      <c r="AD244" s="101" t="s">
        <v>31794</v>
      </c>
    </row>
    <row r="245" spans="1:30" hidden="1" x14ac:dyDescent="0.25">
      <c r="A245">
        <v>131243</v>
      </c>
      <c r="B245" t="s">
        <v>595</v>
      </c>
      <c r="C245" t="s">
        <v>10287</v>
      </c>
      <c r="D245">
        <v>0</v>
      </c>
      <c r="E245" t="s">
        <v>595</v>
      </c>
      <c r="F245" t="s">
        <v>3</v>
      </c>
      <c r="H245" s="21">
        <v>0</v>
      </c>
      <c r="I245" s="21">
        <v>0</v>
      </c>
      <c r="J245" s="21">
        <v>0</v>
      </c>
      <c r="K245" s="21">
        <v>0</v>
      </c>
      <c r="L245" s="3">
        <f t="shared" si="14"/>
        <v>0</v>
      </c>
      <c r="M245" s="3"/>
      <c r="N245" s="3">
        <f t="shared" si="15"/>
        <v>0</v>
      </c>
      <c r="R245" s="89"/>
      <c r="S245" s="89">
        <f>100%-Table34[[#This Row],[PDF_initial fee]]</f>
        <v>1</v>
      </c>
      <c r="T245" s="3"/>
    </row>
    <row r="246" spans="1:30" hidden="1" x14ac:dyDescent="0.25">
      <c r="A246">
        <v>131250</v>
      </c>
      <c r="B246" t="s">
        <v>596</v>
      </c>
      <c r="C246" t="s">
        <v>9272</v>
      </c>
      <c r="D246">
        <v>1</v>
      </c>
      <c r="E246" t="s">
        <v>596</v>
      </c>
      <c r="H246" s="21">
        <v>0</v>
      </c>
      <c r="I246" s="21">
        <v>0</v>
      </c>
      <c r="J246" s="21">
        <v>0</v>
      </c>
      <c r="K246" s="21">
        <v>0</v>
      </c>
      <c r="L246" s="3">
        <f t="shared" si="14"/>
        <v>0</v>
      </c>
      <c r="M246" s="3"/>
      <c r="N246" s="3">
        <f t="shared" si="15"/>
        <v>0</v>
      </c>
      <c r="R246" s="89"/>
      <c r="S246" s="89">
        <f>100%-Table34[[#This Row],[PDF_initial fee]]</f>
        <v>1</v>
      </c>
      <c r="T246" s="3"/>
    </row>
    <row r="247" spans="1:30" hidden="1" x14ac:dyDescent="0.25">
      <c r="A247">
        <v>131355</v>
      </c>
      <c r="B247" t="s">
        <v>597</v>
      </c>
      <c r="C247" t="s">
        <v>29244</v>
      </c>
      <c r="D247">
        <v>5</v>
      </c>
      <c r="E247" t="s">
        <v>597</v>
      </c>
      <c r="L247" s="3">
        <f t="shared" si="14"/>
        <v>0</v>
      </c>
      <c r="M247" s="3"/>
      <c r="N247" s="3">
        <f t="shared" si="15"/>
        <v>0</v>
      </c>
      <c r="R247" s="89"/>
      <c r="S247" s="89">
        <f>100%-Table34[[#This Row],[PDF_initial fee]]</f>
        <v>1</v>
      </c>
      <c r="T247" s="3"/>
    </row>
    <row r="248" spans="1:30" hidden="1" x14ac:dyDescent="0.25">
      <c r="A248">
        <v>131366</v>
      </c>
      <c r="B248" t="s">
        <v>598</v>
      </c>
      <c r="C248" t="s">
        <v>29245</v>
      </c>
      <c r="D248">
        <v>2</v>
      </c>
      <c r="E248" t="s">
        <v>598</v>
      </c>
      <c r="H248" s="21">
        <v>0</v>
      </c>
      <c r="I248" s="21">
        <v>0</v>
      </c>
      <c r="J248" s="21">
        <v>0</v>
      </c>
      <c r="K248" s="21">
        <v>0</v>
      </c>
      <c r="L248" s="3">
        <f t="shared" si="14"/>
        <v>0</v>
      </c>
      <c r="M248" s="3"/>
      <c r="N248" s="3">
        <f t="shared" si="15"/>
        <v>0</v>
      </c>
      <c r="O248" s="21"/>
      <c r="R248" s="89"/>
      <c r="S248" s="89">
        <f>100%-Table34[[#This Row],[PDF_initial fee]]</f>
        <v>1</v>
      </c>
      <c r="T248" s="3"/>
    </row>
    <row r="249" spans="1:30" hidden="1" x14ac:dyDescent="0.25">
      <c r="A249">
        <v>131372</v>
      </c>
      <c r="B249" t="s">
        <v>599</v>
      </c>
      <c r="C249" t="s">
        <v>6958</v>
      </c>
      <c r="D249">
        <v>1</v>
      </c>
      <c r="E249" t="s">
        <v>599</v>
      </c>
      <c r="F249" t="s">
        <v>6958</v>
      </c>
      <c r="H249" s="21">
        <v>0</v>
      </c>
      <c r="I249" s="21">
        <v>0</v>
      </c>
      <c r="J249" s="21">
        <v>0</v>
      </c>
      <c r="K249" s="21">
        <v>0</v>
      </c>
      <c r="L249" s="3">
        <f t="shared" si="14"/>
        <v>0</v>
      </c>
      <c r="M249" s="3"/>
      <c r="N249" s="3">
        <f t="shared" si="15"/>
        <v>0</v>
      </c>
      <c r="O249" s="21"/>
      <c r="R249" s="89"/>
      <c r="S249" s="89">
        <f>100%-Table34[[#This Row],[PDF_initial fee]]</f>
        <v>1</v>
      </c>
      <c r="T249" s="3"/>
    </row>
    <row r="250" spans="1:30" hidden="1" x14ac:dyDescent="0.25">
      <c r="A250">
        <v>131446</v>
      </c>
      <c r="B250" t="s">
        <v>600</v>
      </c>
      <c r="C250" t="s">
        <v>11255</v>
      </c>
      <c r="D250">
        <v>5</v>
      </c>
      <c r="E250" t="s">
        <v>600</v>
      </c>
      <c r="H250" s="21">
        <v>0</v>
      </c>
      <c r="I250" s="21">
        <v>0</v>
      </c>
      <c r="J250" s="21">
        <v>0</v>
      </c>
      <c r="K250" s="21">
        <v>0</v>
      </c>
      <c r="L250" s="3">
        <f t="shared" si="14"/>
        <v>0</v>
      </c>
      <c r="M250" s="3"/>
      <c r="N250" s="3">
        <f t="shared" si="15"/>
        <v>0</v>
      </c>
      <c r="R250" s="89"/>
      <c r="S250" s="89">
        <f>100%-Table34[[#This Row],[PDF_initial fee]]</f>
        <v>1</v>
      </c>
      <c r="T250" s="3"/>
    </row>
    <row r="251" spans="1:30" x14ac:dyDescent="0.25">
      <c r="A251">
        <v>521077</v>
      </c>
      <c r="B251" t="s">
        <v>207</v>
      </c>
      <c r="C251" s="1" t="s">
        <v>7729</v>
      </c>
      <c r="D251">
        <v>3</v>
      </c>
      <c r="E251" t="s">
        <v>207</v>
      </c>
      <c r="F251" t="s">
        <v>3</v>
      </c>
      <c r="G251" s="3">
        <v>1.4E-3</v>
      </c>
      <c r="H251" s="3">
        <v>0.02</v>
      </c>
      <c r="I251" s="3">
        <v>1.2E-2</v>
      </c>
      <c r="J251" s="6"/>
      <c r="K251" s="6"/>
      <c r="L251" s="3">
        <f t="shared" si="14"/>
        <v>3.2000000000000001E-2</v>
      </c>
      <c r="M251" s="3"/>
      <c r="N251" s="3">
        <f t="shared" si="15"/>
        <v>3.3399999999999999E-2</v>
      </c>
      <c r="P251" s="31" t="s">
        <v>29246</v>
      </c>
      <c r="Q251" t="s">
        <v>31787</v>
      </c>
      <c r="R251" s="89">
        <v>0.33333333333333348</v>
      </c>
      <c r="S251" s="89">
        <f>100%-Table34[[#This Row],[InitialFee]]</f>
        <v>0.98</v>
      </c>
      <c r="T251" s="89">
        <f>(1-Table34[[#This Row],[OngoingFee (plus Platform fee)]])^5</f>
        <v>0.94142282343116801</v>
      </c>
      <c r="U251" s="3">
        <f>(1+Table34[[#This Row],[Net 5yrs return (mostly up to 28th of Feb 2026)]])*Table34[[#This Row],[Investment after initial charge]]*Table34[[#This Row],[Cummulative 5yrs ongoing advice charge]]-1</f>
        <v>0.23012582261672643</v>
      </c>
      <c r="V251" s="10">
        <f>766100+11751</f>
        <v>777851</v>
      </c>
      <c r="W251" t="s">
        <v>29051</v>
      </c>
      <c r="X251" s="9">
        <v>633637</v>
      </c>
      <c r="Y251" s="30">
        <f>X251/V251</f>
        <v>0.81459945413710333</v>
      </c>
      <c r="AA251" s="1" t="s">
        <v>29247</v>
      </c>
    </row>
    <row r="252" spans="1:30" hidden="1" x14ac:dyDescent="0.25">
      <c r="A252">
        <v>131520</v>
      </c>
      <c r="B252" t="s">
        <v>601</v>
      </c>
      <c r="C252" t="s">
        <v>6958</v>
      </c>
      <c r="D252">
        <v>1</v>
      </c>
      <c r="E252" t="s">
        <v>601</v>
      </c>
      <c r="F252" t="s">
        <v>6958</v>
      </c>
      <c r="H252" s="21">
        <v>0</v>
      </c>
      <c r="I252" s="21">
        <v>0</v>
      </c>
      <c r="J252" s="21">
        <v>0</v>
      </c>
      <c r="K252" s="21">
        <v>0</v>
      </c>
      <c r="L252" s="3">
        <f t="shared" si="14"/>
        <v>0</v>
      </c>
      <c r="M252" s="3"/>
      <c r="N252" s="3">
        <f t="shared" si="15"/>
        <v>0</v>
      </c>
      <c r="R252" s="89"/>
      <c r="S252" s="89">
        <f>100%-Table34[[#This Row],[PDF_initial fee]]</f>
        <v>1</v>
      </c>
      <c r="T252" s="89"/>
    </row>
    <row r="253" spans="1:30" hidden="1" x14ac:dyDescent="0.25">
      <c r="A253">
        <v>131526</v>
      </c>
      <c r="B253" t="s">
        <v>602</v>
      </c>
      <c r="C253" t="s">
        <v>10060</v>
      </c>
      <c r="D253">
        <v>1</v>
      </c>
      <c r="E253" t="s">
        <v>602</v>
      </c>
      <c r="H253" s="21">
        <v>0</v>
      </c>
      <c r="I253" s="21">
        <v>0</v>
      </c>
      <c r="J253" s="21">
        <v>0</v>
      </c>
      <c r="K253" s="21">
        <v>0</v>
      </c>
      <c r="L253" s="3">
        <f t="shared" si="14"/>
        <v>0</v>
      </c>
      <c r="M253" s="3"/>
      <c r="N253" s="3">
        <f t="shared" si="15"/>
        <v>0</v>
      </c>
      <c r="R253" s="89"/>
      <c r="S253" s="89">
        <f>100%-Table34[[#This Row],[PDF_initial fee]]</f>
        <v>1</v>
      </c>
      <c r="T253" s="89"/>
    </row>
    <row r="254" spans="1:30" hidden="1" x14ac:dyDescent="0.25">
      <c r="A254">
        <v>131528</v>
      </c>
      <c r="B254" t="s">
        <v>603</v>
      </c>
      <c r="C254" t="s">
        <v>29248</v>
      </c>
      <c r="D254">
        <v>1</v>
      </c>
      <c r="E254" t="s">
        <v>603</v>
      </c>
      <c r="H254" s="3">
        <v>0</v>
      </c>
      <c r="I254" s="3">
        <v>0</v>
      </c>
      <c r="J254" s="3">
        <v>0</v>
      </c>
      <c r="K254" s="3">
        <v>0</v>
      </c>
      <c r="L254" s="3">
        <f t="shared" ref="L254:L278" si="16">SUM(H254:K254)</f>
        <v>0</v>
      </c>
      <c r="M254" s="3"/>
      <c r="N254" s="3">
        <f t="shared" ref="N254:N278" si="17">L254+G254</f>
        <v>0</v>
      </c>
      <c r="R254" s="89"/>
      <c r="S254" s="89">
        <f>100%-Table34[[#This Row],[PDF_initial fee]]</f>
        <v>1</v>
      </c>
      <c r="T254" s="89"/>
    </row>
    <row r="255" spans="1:30" hidden="1" x14ac:dyDescent="0.25">
      <c r="A255">
        <v>131541</v>
      </c>
      <c r="B255" t="s">
        <v>604</v>
      </c>
      <c r="C255" t="s">
        <v>6958</v>
      </c>
      <c r="D255">
        <v>1</v>
      </c>
      <c r="E255" t="s">
        <v>604</v>
      </c>
      <c r="F255" t="s">
        <v>6958</v>
      </c>
      <c r="H255" s="21">
        <v>0</v>
      </c>
      <c r="I255" s="21">
        <v>0</v>
      </c>
      <c r="J255" s="21">
        <v>0</v>
      </c>
      <c r="K255" s="21">
        <v>0</v>
      </c>
      <c r="L255" s="3">
        <f t="shared" si="16"/>
        <v>0</v>
      </c>
      <c r="M255" s="3"/>
      <c r="N255" s="3">
        <f t="shared" si="17"/>
        <v>0</v>
      </c>
      <c r="R255" s="89"/>
      <c r="S255" s="89">
        <f>100%-Table34[[#This Row],[PDF_initial fee]]</f>
        <v>1</v>
      </c>
      <c r="T255" s="89"/>
    </row>
    <row r="256" spans="1:30" hidden="1" x14ac:dyDescent="0.25">
      <c r="A256">
        <v>131560</v>
      </c>
      <c r="B256" t="s">
        <v>605</v>
      </c>
      <c r="C256" t="s">
        <v>10911</v>
      </c>
      <c r="D256">
        <v>1</v>
      </c>
      <c r="E256" t="s">
        <v>605</v>
      </c>
      <c r="H256" s="21">
        <v>0</v>
      </c>
      <c r="I256" s="21">
        <v>0</v>
      </c>
      <c r="J256" s="21">
        <v>0</v>
      </c>
      <c r="K256" s="21">
        <v>0</v>
      </c>
      <c r="L256" s="3">
        <f t="shared" si="16"/>
        <v>0</v>
      </c>
      <c r="M256" s="3"/>
      <c r="N256" s="3">
        <f t="shared" si="17"/>
        <v>0</v>
      </c>
      <c r="R256" s="89"/>
      <c r="S256" s="89">
        <f>100%-Table34[[#This Row],[PDF_initial fee]]</f>
        <v>1</v>
      </c>
      <c r="T256" s="89"/>
    </row>
    <row r="257" spans="1:27" hidden="1" x14ac:dyDescent="0.25">
      <c r="A257">
        <v>131596</v>
      </c>
      <c r="B257" t="s">
        <v>606</v>
      </c>
      <c r="C257" t="s">
        <v>6958</v>
      </c>
      <c r="D257">
        <v>4</v>
      </c>
      <c r="E257" t="s">
        <v>606</v>
      </c>
      <c r="F257" t="s">
        <v>6958</v>
      </c>
      <c r="H257" s="21">
        <v>0</v>
      </c>
      <c r="I257" s="21">
        <v>0</v>
      </c>
      <c r="J257" s="21">
        <v>0</v>
      </c>
      <c r="K257" s="21">
        <v>0</v>
      </c>
      <c r="L257" s="3">
        <f t="shared" si="16"/>
        <v>0</v>
      </c>
      <c r="M257" s="3"/>
      <c r="N257" s="3">
        <f t="shared" si="17"/>
        <v>0</v>
      </c>
      <c r="R257" s="89"/>
      <c r="S257" s="89">
        <f>100%-Table34[[#This Row],[PDF_initial fee]]</f>
        <v>1</v>
      </c>
      <c r="T257" s="89"/>
    </row>
    <row r="258" spans="1:27" hidden="1" x14ac:dyDescent="0.25">
      <c r="A258">
        <v>131690</v>
      </c>
      <c r="B258" t="s">
        <v>607</v>
      </c>
      <c r="C258" t="s">
        <v>9457</v>
      </c>
      <c r="D258">
        <v>4</v>
      </c>
      <c r="E258" t="s">
        <v>607</v>
      </c>
      <c r="H258" s="21">
        <v>0</v>
      </c>
      <c r="I258" s="21">
        <v>0</v>
      </c>
      <c r="J258" s="21">
        <v>0</v>
      </c>
      <c r="K258" s="21">
        <v>0</v>
      </c>
      <c r="L258" s="3">
        <f t="shared" si="16"/>
        <v>0</v>
      </c>
      <c r="M258" s="3"/>
      <c r="N258" s="3">
        <f t="shared" si="17"/>
        <v>0</v>
      </c>
      <c r="R258" s="89"/>
      <c r="S258" s="89">
        <f>100%-Table34[[#This Row],[PDF_initial fee]]</f>
        <v>1</v>
      </c>
      <c r="T258" s="89"/>
    </row>
    <row r="259" spans="1:27" x14ac:dyDescent="0.25">
      <c r="A259">
        <v>998007</v>
      </c>
      <c r="B259" t="s">
        <v>358</v>
      </c>
      <c r="C259" s="1" t="s">
        <v>11570</v>
      </c>
      <c r="D259">
        <v>1</v>
      </c>
      <c r="E259" t="s">
        <v>358</v>
      </c>
      <c r="F259" t="s">
        <v>3</v>
      </c>
      <c r="G259" s="3">
        <v>1.4E-3</v>
      </c>
      <c r="H259" s="3">
        <v>0.01</v>
      </c>
      <c r="I259" s="3">
        <v>0.02</v>
      </c>
      <c r="J259" s="6"/>
      <c r="K259" s="6"/>
      <c r="L259" s="3">
        <f t="shared" si="16"/>
        <v>0.03</v>
      </c>
      <c r="M259" s="3"/>
      <c r="N259" s="3">
        <f t="shared" si="17"/>
        <v>3.1399999999999997E-2</v>
      </c>
      <c r="P259" s="31" t="s">
        <v>29249</v>
      </c>
      <c r="Q259" t="s">
        <v>31787</v>
      </c>
      <c r="R259" s="89">
        <v>0.33333333333333348</v>
      </c>
      <c r="S259" s="89">
        <f>100%-Table34[[#This Row],[InitialFee]]</f>
        <v>0.99</v>
      </c>
      <c r="T259" s="89">
        <f>(1-Table34[[#This Row],[OngoingFee (plus Platform fee)]])^5</f>
        <v>0.90392079679999982</v>
      </c>
      <c r="U259" s="3">
        <f>(1+Table34[[#This Row],[Net 5yrs return (mostly up to 28th of Feb 2026)]])*Table34[[#This Row],[Investment after initial charge]]*Table34[[#This Row],[Cummulative 5yrs ongoing advice charge]]-1</f>
        <v>0.19317545177599982</v>
      </c>
      <c r="V259" s="10">
        <f>26174+131</f>
        <v>26305</v>
      </c>
      <c r="W259" t="s">
        <v>29051</v>
      </c>
      <c r="X259" s="9">
        <v>23352</v>
      </c>
      <c r="Y259" s="30">
        <f>X259/V259</f>
        <v>0.8877399733890895</v>
      </c>
      <c r="AA259" s="1" t="s">
        <v>29250</v>
      </c>
    </row>
    <row r="260" spans="1:27" hidden="1" x14ac:dyDescent="0.25">
      <c r="A260">
        <v>131794</v>
      </c>
      <c r="B260" t="s">
        <v>608</v>
      </c>
      <c r="C260" t="s">
        <v>29251</v>
      </c>
      <c r="D260">
        <v>1</v>
      </c>
      <c r="E260" t="s">
        <v>608</v>
      </c>
      <c r="H260" s="3">
        <v>0</v>
      </c>
      <c r="I260" s="3">
        <v>0</v>
      </c>
      <c r="J260" s="3">
        <v>0</v>
      </c>
      <c r="K260" s="3">
        <v>0</v>
      </c>
      <c r="L260" s="3">
        <f t="shared" si="16"/>
        <v>0</v>
      </c>
      <c r="M260" s="3"/>
      <c r="N260" s="3">
        <f t="shared" si="17"/>
        <v>0</v>
      </c>
      <c r="R260" s="89"/>
      <c r="S260" s="89">
        <f>100%-Table34[[#This Row],[PDF_initial fee]]</f>
        <v>1</v>
      </c>
      <c r="T260" s="89"/>
    </row>
    <row r="261" spans="1:27" x14ac:dyDescent="0.25">
      <c r="A261">
        <v>514951</v>
      </c>
      <c r="B261" t="s">
        <v>202</v>
      </c>
      <c r="C261" s="1" t="s">
        <v>8003</v>
      </c>
      <c r="D261">
        <v>39</v>
      </c>
      <c r="E261" t="s">
        <v>202</v>
      </c>
      <c r="F261" t="s">
        <v>3</v>
      </c>
      <c r="G261" s="3">
        <v>1.4E-3</v>
      </c>
      <c r="H261" s="3">
        <v>0.03</v>
      </c>
      <c r="I261" s="3">
        <v>0.01</v>
      </c>
      <c r="J261" s="6"/>
      <c r="K261" s="6"/>
      <c r="L261" s="3">
        <f t="shared" si="16"/>
        <v>0.04</v>
      </c>
      <c r="M261" s="3"/>
      <c r="N261" s="3">
        <f t="shared" si="17"/>
        <v>4.1399999999999999E-2</v>
      </c>
      <c r="P261" s="31" t="s">
        <v>29252</v>
      </c>
      <c r="Q261" t="s">
        <v>31787</v>
      </c>
      <c r="R261" s="89">
        <v>0.33333333333333348</v>
      </c>
      <c r="S261" s="89">
        <f>100%-Table34[[#This Row],[InitialFee]]</f>
        <v>0.97</v>
      </c>
      <c r="T261" s="89">
        <f>(1-Table34[[#This Row],[OngoingFee (plus Platform fee)]])^5</f>
        <v>0.95099004989999991</v>
      </c>
      <c r="U261" s="3">
        <f>(1+Table34[[#This Row],[Net 5yrs return (mostly up to 28th of Feb 2026)]])*Table34[[#This Row],[Investment after initial charge]]*Table34[[#This Row],[Cummulative 5yrs ongoing advice charge]]-1</f>
        <v>0.22994713120400001</v>
      </c>
      <c r="V261" s="10">
        <f>1281549+1029502</f>
        <v>2311051</v>
      </c>
      <c r="W261" t="s">
        <v>29051</v>
      </c>
      <c r="X261" s="9">
        <v>1227490</v>
      </c>
      <c r="Y261" s="30">
        <f>X261/V261</f>
        <v>0.5311392954980223</v>
      </c>
      <c r="AA261" s="1" t="s">
        <v>29253</v>
      </c>
    </row>
    <row r="262" spans="1:27" x14ac:dyDescent="0.25">
      <c r="A262">
        <v>692441</v>
      </c>
      <c r="B262" t="s">
        <v>269</v>
      </c>
      <c r="C262" s="1" t="s">
        <v>29254</v>
      </c>
      <c r="D262">
        <v>2</v>
      </c>
      <c r="E262" t="s">
        <v>269</v>
      </c>
      <c r="F262" t="s">
        <v>3</v>
      </c>
      <c r="G262" s="3">
        <v>1.4E-3</v>
      </c>
      <c r="H262" s="3">
        <v>0.03</v>
      </c>
      <c r="I262" s="3">
        <v>0.01</v>
      </c>
      <c r="J262" s="6">
        <v>0</v>
      </c>
      <c r="K262" s="6">
        <v>0</v>
      </c>
      <c r="L262" s="3">
        <f t="shared" si="16"/>
        <v>0.04</v>
      </c>
      <c r="M262" s="3"/>
      <c r="N262" s="3">
        <f t="shared" si="17"/>
        <v>4.1399999999999999E-2</v>
      </c>
      <c r="P262" s="31" t="s">
        <v>29255</v>
      </c>
      <c r="Q262" t="s">
        <v>31787</v>
      </c>
      <c r="R262" s="89">
        <v>0.33333333333333348</v>
      </c>
      <c r="S262" s="89">
        <f>100%-Table34[[#This Row],[InitialFee]]</f>
        <v>0.97</v>
      </c>
      <c r="T262" s="89">
        <f>(1-Table34[[#This Row],[OngoingFee (plus Platform fee)]])^5</f>
        <v>0.95099004989999991</v>
      </c>
      <c r="U262" s="3">
        <f>(1+Table34[[#This Row],[Net 5yrs return (mostly up to 28th of Feb 2026)]])*Table34[[#This Row],[Investment after initial charge]]*Table34[[#This Row],[Cummulative 5yrs ongoing advice charge]]-1</f>
        <v>0.22994713120400001</v>
      </c>
      <c r="V262">
        <f>487598+46875</f>
        <v>534473</v>
      </c>
      <c r="W262" t="s">
        <v>29051</v>
      </c>
      <c r="X262" s="9">
        <v>475098</v>
      </c>
      <c r="Y262" s="30">
        <f>X262/V262</f>
        <v>0.88890926202071952</v>
      </c>
      <c r="AA262" s="1" t="s">
        <v>29256</v>
      </c>
    </row>
    <row r="263" spans="1:27" hidden="1" x14ac:dyDescent="0.25">
      <c r="A263">
        <v>133473</v>
      </c>
      <c r="B263" t="s">
        <v>610</v>
      </c>
      <c r="C263" t="s">
        <v>7664</v>
      </c>
      <c r="D263">
        <v>1</v>
      </c>
      <c r="E263" t="s">
        <v>610</v>
      </c>
      <c r="L263" s="3">
        <f t="shared" si="16"/>
        <v>0</v>
      </c>
      <c r="M263" s="3"/>
      <c r="N263" s="3">
        <f t="shared" si="17"/>
        <v>0</v>
      </c>
      <c r="R263" s="89"/>
      <c r="S263" s="89">
        <f>100%-Table34[[#This Row],[PDF_initial fee]]</f>
        <v>1</v>
      </c>
      <c r="T263" s="89"/>
    </row>
    <row r="264" spans="1:27" hidden="1" x14ac:dyDescent="0.25">
      <c r="A264">
        <v>133515</v>
      </c>
      <c r="B264" t="s">
        <v>611</v>
      </c>
      <c r="C264" s="1" t="s">
        <v>29257</v>
      </c>
      <c r="D264">
        <v>5</v>
      </c>
      <c r="E264" t="s">
        <v>611</v>
      </c>
      <c r="G264" s="1"/>
      <c r="H264" s="3">
        <v>0</v>
      </c>
      <c r="I264" s="3">
        <v>0</v>
      </c>
      <c r="J264" s="3">
        <v>0</v>
      </c>
      <c r="K264" s="3">
        <v>0</v>
      </c>
      <c r="L264" s="3">
        <f t="shared" si="16"/>
        <v>0</v>
      </c>
      <c r="M264" s="3"/>
      <c r="N264" s="3">
        <f t="shared" si="17"/>
        <v>0</v>
      </c>
      <c r="R264" s="89"/>
      <c r="S264" s="89">
        <f>100%-Table34[[#This Row],[PDF_initial fee]]</f>
        <v>1</v>
      </c>
      <c r="T264" s="89"/>
    </row>
    <row r="265" spans="1:27" hidden="1" x14ac:dyDescent="0.25">
      <c r="A265">
        <v>133693</v>
      </c>
      <c r="B265" t="s">
        <v>613</v>
      </c>
      <c r="C265" t="s">
        <v>7858</v>
      </c>
      <c r="D265">
        <v>1</v>
      </c>
      <c r="E265" t="s">
        <v>613</v>
      </c>
      <c r="L265" s="3">
        <f t="shared" si="16"/>
        <v>0</v>
      </c>
      <c r="M265" s="3"/>
      <c r="N265" s="3">
        <f t="shared" si="17"/>
        <v>0</v>
      </c>
      <c r="R265" s="89"/>
      <c r="S265" s="89">
        <f>100%-Table34[[#This Row],[PDF_initial fee]]</f>
        <v>1</v>
      </c>
      <c r="T265" s="89"/>
    </row>
    <row r="266" spans="1:27" hidden="1" x14ac:dyDescent="0.25">
      <c r="A266">
        <v>133776</v>
      </c>
      <c r="B266" t="s">
        <v>616</v>
      </c>
      <c r="C266" t="s">
        <v>6958</v>
      </c>
      <c r="D266">
        <v>0</v>
      </c>
      <c r="E266" t="s">
        <v>616</v>
      </c>
      <c r="F266" t="s">
        <v>6958</v>
      </c>
      <c r="H266" s="21">
        <v>0</v>
      </c>
      <c r="I266" s="21">
        <v>0</v>
      </c>
      <c r="J266" s="21">
        <v>0</v>
      </c>
      <c r="K266" s="21">
        <v>0</v>
      </c>
      <c r="L266" s="3">
        <f t="shared" si="16"/>
        <v>0</v>
      </c>
      <c r="M266" s="3"/>
      <c r="N266" s="3">
        <f t="shared" si="17"/>
        <v>0</v>
      </c>
      <c r="R266" s="89"/>
      <c r="S266" s="89">
        <f>100%-Table34[[#This Row],[PDF_initial fee]]</f>
        <v>1</v>
      </c>
      <c r="T266" s="89"/>
    </row>
    <row r="267" spans="1:27" hidden="1" x14ac:dyDescent="0.25">
      <c r="A267">
        <v>133851</v>
      </c>
      <c r="B267" t="s">
        <v>617</v>
      </c>
      <c r="C267" t="s">
        <v>29258</v>
      </c>
      <c r="D267">
        <v>2</v>
      </c>
      <c r="E267" t="s">
        <v>617</v>
      </c>
      <c r="H267" s="3">
        <v>0</v>
      </c>
      <c r="I267" s="3">
        <v>0</v>
      </c>
      <c r="J267" s="3">
        <v>0</v>
      </c>
      <c r="K267" s="3">
        <v>0</v>
      </c>
      <c r="L267" s="3">
        <f t="shared" si="16"/>
        <v>0</v>
      </c>
      <c r="M267" s="3"/>
      <c r="N267" s="3">
        <f t="shared" si="17"/>
        <v>0</v>
      </c>
      <c r="R267" s="89"/>
      <c r="S267" s="89">
        <f>100%-Table34[[#This Row],[PDF_initial fee]]</f>
        <v>1</v>
      </c>
      <c r="T267" s="89"/>
    </row>
    <row r="268" spans="1:27" hidden="1" x14ac:dyDescent="0.25">
      <c r="A268">
        <v>133893</v>
      </c>
      <c r="B268" t="s">
        <v>618</v>
      </c>
      <c r="C268" s="45" t="s">
        <v>29259</v>
      </c>
      <c r="D268">
        <v>10</v>
      </c>
      <c r="E268" t="s">
        <v>618</v>
      </c>
      <c r="G268" s="45"/>
      <c r="H268" s="21">
        <v>0</v>
      </c>
      <c r="I268" s="21">
        <v>0</v>
      </c>
      <c r="J268" s="21">
        <v>0</v>
      </c>
      <c r="K268" s="21">
        <v>0</v>
      </c>
      <c r="L268" s="3">
        <f t="shared" si="16"/>
        <v>0</v>
      </c>
      <c r="M268" s="3"/>
      <c r="N268" s="3">
        <f t="shared" si="17"/>
        <v>0</v>
      </c>
      <c r="R268" s="89"/>
      <c r="S268" s="89">
        <f>100%-Table34[[#This Row],[PDF_initial fee]]</f>
        <v>1</v>
      </c>
      <c r="T268" s="89"/>
    </row>
    <row r="269" spans="1:27" hidden="1" x14ac:dyDescent="0.25">
      <c r="A269">
        <v>133946</v>
      </c>
      <c r="B269" t="s">
        <v>619</v>
      </c>
      <c r="C269" t="s">
        <v>6958</v>
      </c>
      <c r="D269">
        <v>1</v>
      </c>
      <c r="E269" t="s">
        <v>619</v>
      </c>
      <c r="F269" t="s">
        <v>6958</v>
      </c>
      <c r="H269" s="21">
        <v>0</v>
      </c>
      <c r="I269" s="21">
        <v>0</v>
      </c>
      <c r="J269" s="21">
        <v>0</v>
      </c>
      <c r="K269" s="21">
        <v>0</v>
      </c>
      <c r="L269" s="3">
        <f t="shared" si="16"/>
        <v>0</v>
      </c>
      <c r="M269" s="3"/>
      <c r="N269" s="3">
        <f t="shared" si="17"/>
        <v>0</v>
      </c>
      <c r="O269" s="21"/>
      <c r="R269" s="89"/>
      <c r="S269" s="89">
        <f>100%-Table34[[#This Row],[PDF_initial fee]]</f>
        <v>1</v>
      </c>
      <c r="T269" s="89"/>
    </row>
    <row r="270" spans="1:27" hidden="1" x14ac:dyDescent="0.25">
      <c r="A270">
        <v>134188</v>
      </c>
      <c r="B270" t="s">
        <v>621</v>
      </c>
      <c r="C270" t="s">
        <v>29260</v>
      </c>
      <c r="D270">
        <v>3</v>
      </c>
      <c r="E270" t="s">
        <v>621</v>
      </c>
      <c r="H270" s="21">
        <v>0</v>
      </c>
      <c r="I270" s="21">
        <v>0</v>
      </c>
      <c r="J270" s="21">
        <v>0</v>
      </c>
      <c r="K270" s="21">
        <v>0</v>
      </c>
      <c r="L270" s="3">
        <f t="shared" si="16"/>
        <v>0</v>
      </c>
      <c r="M270" s="3"/>
      <c r="N270" s="3">
        <f t="shared" si="17"/>
        <v>0</v>
      </c>
      <c r="O270" s="21"/>
      <c r="R270" s="89"/>
      <c r="S270" s="89">
        <f>100%-Table34[[#This Row],[PDF_initial fee]]</f>
        <v>1</v>
      </c>
      <c r="T270" s="89"/>
    </row>
    <row r="271" spans="1:27" hidden="1" x14ac:dyDescent="0.25">
      <c r="A271">
        <v>134276</v>
      </c>
      <c r="B271" t="s">
        <v>622</v>
      </c>
      <c r="C271" t="s">
        <v>9772</v>
      </c>
      <c r="D271">
        <v>1</v>
      </c>
      <c r="E271" t="s">
        <v>622</v>
      </c>
      <c r="H271" s="21">
        <v>0</v>
      </c>
      <c r="I271" s="21">
        <v>0</v>
      </c>
      <c r="J271" s="21">
        <v>0</v>
      </c>
      <c r="K271" s="21">
        <v>0</v>
      </c>
      <c r="L271" s="3">
        <f t="shared" si="16"/>
        <v>0</v>
      </c>
      <c r="M271" s="3"/>
      <c r="N271" s="3">
        <f t="shared" si="17"/>
        <v>0</v>
      </c>
      <c r="R271" s="89"/>
      <c r="S271" s="89">
        <f>100%-Table34[[#This Row],[PDF_initial fee]]</f>
        <v>1</v>
      </c>
      <c r="T271" s="89"/>
    </row>
    <row r="272" spans="1:27" hidden="1" x14ac:dyDescent="0.25">
      <c r="A272">
        <v>134344</v>
      </c>
      <c r="B272" t="s">
        <v>623</v>
      </c>
      <c r="C272" s="1" t="s">
        <v>29261</v>
      </c>
      <c r="D272">
        <v>1</v>
      </c>
      <c r="E272" t="s">
        <v>623</v>
      </c>
      <c r="H272" s="21">
        <v>0</v>
      </c>
      <c r="I272" s="21">
        <v>0</v>
      </c>
      <c r="J272" s="21">
        <v>0</v>
      </c>
      <c r="K272" s="21">
        <v>0</v>
      </c>
      <c r="L272" s="3">
        <f t="shared" si="16"/>
        <v>0</v>
      </c>
      <c r="M272" s="3"/>
      <c r="N272" s="3">
        <f t="shared" si="17"/>
        <v>0</v>
      </c>
      <c r="R272" s="89"/>
      <c r="S272" s="89">
        <f>100%-Table34[[#This Row],[PDF_initial fee]]</f>
        <v>1</v>
      </c>
      <c r="T272" s="89"/>
    </row>
    <row r="273" spans="1:29" hidden="1" x14ac:dyDescent="0.25">
      <c r="A273">
        <v>134430</v>
      </c>
      <c r="B273" t="s">
        <v>624</v>
      </c>
      <c r="C273" t="s">
        <v>9710</v>
      </c>
      <c r="D273">
        <v>0</v>
      </c>
      <c r="E273" t="s">
        <v>624</v>
      </c>
      <c r="F273" t="s">
        <v>29262</v>
      </c>
      <c r="H273" s="21">
        <v>0</v>
      </c>
      <c r="I273" s="21">
        <v>0</v>
      </c>
      <c r="J273" s="21">
        <v>0</v>
      </c>
      <c r="K273" s="21">
        <v>0</v>
      </c>
      <c r="L273" s="3">
        <f t="shared" si="16"/>
        <v>0</v>
      </c>
      <c r="M273" s="3"/>
      <c r="N273" s="3">
        <f t="shared" si="17"/>
        <v>0</v>
      </c>
      <c r="R273" s="89"/>
      <c r="S273" s="89">
        <f>100%-Table34[[#This Row],[PDF_initial fee]]</f>
        <v>1</v>
      </c>
      <c r="T273" s="89"/>
    </row>
    <row r="274" spans="1:29" x14ac:dyDescent="0.25">
      <c r="A274">
        <v>188640</v>
      </c>
      <c r="B274" t="s">
        <v>91</v>
      </c>
      <c r="C274" s="1" t="s">
        <v>29263</v>
      </c>
      <c r="D274">
        <v>10</v>
      </c>
      <c r="E274" t="s">
        <v>91</v>
      </c>
      <c r="F274" t="s">
        <v>3</v>
      </c>
      <c r="G274" s="3">
        <v>1.4E-3</v>
      </c>
      <c r="H274" s="3"/>
      <c r="I274" s="3"/>
      <c r="J274" s="6">
        <v>0.03</v>
      </c>
      <c r="K274" s="6">
        <v>0.01</v>
      </c>
      <c r="L274" s="3">
        <f t="shared" si="16"/>
        <v>0.04</v>
      </c>
      <c r="M274" s="3"/>
      <c r="N274" s="3">
        <f t="shared" si="17"/>
        <v>4.1399999999999999E-2</v>
      </c>
      <c r="P274" s="1" t="s">
        <v>29264</v>
      </c>
      <c r="Q274" t="s">
        <v>31787</v>
      </c>
      <c r="R274" s="89">
        <v>0.33333333333333348</v>
      </c>
      <c r="S274" s="89">
        <f>100%-Table34[[#This Row],[PDF_initial fee]]</f>
        <v>0.97</v>
      </c>
      <c r="T274" s="89">
        <f>(1-Table34[[#This Row],[PDF ongoing fee]])^5</f>
        <v>0.95099004989999991</v>
      </c>
      <c r="U274" s="3">
        <f>(1+Table34[[#This Row],[Net 5yrs return (mostly up to 28th of Feb 2026)]])*Table34[[#This Row],[Investment after initial charge]]*Table34[[#This Row],[Cummulative 5yrs ongoing advice charge]]-1</f>
        <v>0.22994713120400001</v>
      </c>
      <c r="V274" s="10">
        <f>93126+88901</f>
        <v>182027</v>
      </c>
      <c r="W274" t="s">
        <v>29051</v>
      </c>
      <c r="X274" s="10">
        <v>93126</v>
      </c>
      <c r="Y274" s="30">
        <f>X274/V274</f>
        <v>0.51160542117378194</v>
      </c>
      <c r="AA274" s="1" t="s">
        <v>29265</v>
      </c>
    </row>
    <row r="275" spans="1:29" hidden="1" x14ac:dyDescent="0.25">
      <c r="A275">
        <v>134665</v>
      </c>
      <c r="B275" t="s">
        <v>625</v>
      </c>
      <c r="C275" s="1" t="s">
        <v>29266</v>
      </c>
      <c r="D275">
        <v>2</v>
      </c>
      <c r="E275" t="s">
        <v>625</v>
      </c>
      <c r="H275" s="21">
        <v>0</v>
      </c>
      <c r="I275" s="21">
        <v>0</v>
      </c>
      <c r="J275" s="21">
        <v>0</v>
      </c>
      <c r="K275" s="21">
        <v>0</v>
      </c>
      <c r="L275" s="3">
        <f t="shared" si="16"/>
        <v>0</v>
      </c>
      <c r="M275" s="3"/>
      <c r="N275" s="3">
        <f t="shared" si="17"/>
        <v>0</v>
      </c>
      <c r="R275" s="89"/>
      <c r="S275" s="89">
        <f>100%-Table34[[#This Row],[PDF_initial fee]]</f>
        <v>1</v>
      </c>
      <c r="T275" s="89"/>
    </row>
    <row r="276" spans="1:29" hidden="1" x14ac:dyDescent="0.25">
      <c r="A276">
        <v>134672</v>
      </c>
      <c r="B276" t="s">
        <v>626</v>
      </c>
      <c r="C276" s="1" t="s">
        <v>29267</v>
      </c>
      <c r="D276">
        <v>1</v>
      </c>
      <c r="E276" t="s">
        <v>626</v>
      </c>
      <c r="H276" s="21">
        <v>0</v>
      </c>
      <c r="I276" s="21">
        <v>0</v>
      </c>
      <c r="J276" s="21">
        <v>0</v>
      </c>
      <c r="K276" s="21">
        <v>0</v>
      </c>
      <c r="L276" s="3">
        <f t="shared" si="16"/>
        <v>0</v>
      </c>
      <c r="M276" s="3"/>
      <c r="N276" s="3">
        <f t="shared" si="17"/>
        <v>0</v>
      </c>
      <c r="R276" s="89"/>
      <c r="S276" s="89">
        <f>100%-Table34[[#This Row],[PDF_initial fee]]</f>
        <v>1</v>
      </c>
      <c r="T276" s="89"/>
    </row>
    <row r="277" spans="1:29" hidden="1" x14ac:dyDescent="0.25">
      <c r="A277">
        <v>134677</v>
      </c>
      <c r="B277" t="s">
        <v>627</v>
      </c>
      <c r="C277" t="s">
        <v>10420</v>
      </c>
      <c r="D277">
        <v>1</v>
      </c>
      <c r="E277" t="s">
        <v>627</v>
      </c>
      <c r="H277" s="21">
        <v>0</v>
      </c>
      <c r="I277" s="21">
        <v>0</v>
      </c>
      <c r="J277" s="21">
        <v>0</v>
      </c>
      <c r="K277" s="21">
        <v>0</v>
      </c>
      <c r="L277" s="3">
        <f t="shared" si="16"/>
        <v>0</v>
      </c>
      <c r="M277" s="3"/>
      <c r="N277" s="3">
        <f t="shared" si="17"/>
        <v>0</v>
      </c>
      <c r="R277" s="89"/>
      <c r="S277" s="89">
        <f>100%-Table34[[#This Row],[PDF_initial fee]]</f>
        <v>1</v>
      </c>
      <c r="T277" s="89"/>
    </row>
    <row r="278" spans="1:29" hidden="1" x14ac:dyDescent="0.25">
      <c r="A278">
        <v>134721</v>
      </c>
      <c r="B278" t="s">
        <v>628</v>
      </c>
      <c r="C278" t="s">
        <v>10064</v>
      </c>
      <c r="D278">
        <v>2</v>
      </c>
      <c r="E278" t="s">
        <v>628</v>
      </c>
      <c r="H278" s="21">
        <v>0</v>
      </c>
      <c r="I278" s="21">
        <v>0</v>
      </c>
      <c r="J278" s="21">
        <v>0</v>
      </c>
      <c r="K278" s="21">
        <v>0</v>
      </c>
      <c r="L278" s="3">
        <f t="shared" si="16"/>
        <v>0</v>
      </c>
      <c r="M278" s="3"/>
      <c r="N278" s="3">
        <f t="shared" si="17"/>
        <v>0</v>
      </c>
      <c r="R278" s="89"/>
      <c r="S278" s="89">
        <f>100%-Table34[[#This Row],[PDF_initial fee]]</f>
        <v>1</v>
      </c>
      <c r="T278" s="89"/>
    </row>
    <row r="279" spans="1:29" s="46" customFormat="1" hidden="1" x14ac:dyDescent="0.25">
      <c r="A279" s="46">
        <v>607464</v>
      </c>
      <c r="B279" s="46" t="s">
        <v>250</v>
      </c>
      <c r="C279" s="47" t="s">
        <v>29268</v>
      </c>
      <c r="D279" s="46">
        <v>1</v>
      </c>
      <c r="E279" s="46" t="s">
        <v>250</v>
      </c>
      <c r="F279" s="46" t="s">
        <v>3</v>
      </c>
      <c r="G279" s="48"/>
      <c r="H279" s="48"/>
      <c r="I279" s="48"/>
      <c r="J279" s="49"/>
      <c r="K279" s="49"/>
      <c r="L279" s="48"/>
      <c r="M279" s="48"/>
      <c r="N279" s="48"/>
      <c r="O279" s="46" t="s">
        <v>29269</v>
      </c>
      <c r="P279" s="47" t="s">
        <v>29270</v>
      </c>
      <c r="R279" s="89"/>
      <c r="S279" s="89">
        <f>100%-Table34[[#This Row],[PDF_initial fee]]</f>
        <v>1</v>
      </c>
      <c r="T279" s="89"/>
      <c r="W279" s="46" t="s">
        <v>29051</v>
      </c>
      <c r="Y279" s="50" t="e">
        <f>X279/V279</f>
        <v>#DIV/0!</v>
      </c>
      <c r="AC279" s="46" t="s">
        <v>29271</v>
      </c>
    </row>
    <row r="280" spans="1:29" hidden="1" x14ac:dyDescent="0.25">
      <c r="A280">
        <v>134756</v>
      </c>
      <c r="B280" t="s">
        <v>629</v>
      </c>
      <c r="C280" t="s">
        <v>29272</v>
      </c>
      <c r="D280">
        <v>3</v>
      </c>
      <c r="E280" t="s">
        <v>629</v>
      </c>
      <c r="H280" s="3">
        <v>0</v>
      </c>
      <c r="I280" s="3">
        <v>0</v>
      </c>
      <c r="J280" s="3">
        <v>0</v>
      </c>
      <c r="K280" s="3">
        <v>0</v>
      </c>
      <c r="L280" s="3">
        <f t="shared" ref="L280:L343" si="18">SUM(H280:K280)</f>
        <v>0</v>
      </c>
      <c r="M280" s="3"/>
      <c r="N280" s="3">
        <f t="shared" ref="N280:N343" si="19">L280+G280</f>
        <v>0</v>
      </c>
      <c r="R280" s="89"/>
      <c r="S280" s="89">
        <f>100%-Table34[[#This Row],[PDF_initial fee]]</f>
        <v>1</v>
      </c>
      <c r="T280" s="89"/>
    </row>
    <row r="281" spans="1:29" hidden="1" x14ac:dyDescent="0.25">
      <c r="A281">
        <v>134771</v>
      </c>
      <c r="B281" t="s">
        <v>630</v>
      </c>
      <c r="C281" t="s">
        <v>29273</v>
      </c>
      <c r="D281">
        <v>5</v>
      </c>
      <c r="E281" t="s">
        <v>630</v>
      </c>
      <c r="F281" t="s">
        <v>29274</v>
      </c>
      <c r="L281" s="3">
        <f t="shared" si="18"/>
        <v>0</v>
      </c>
      <c r="M281" s="3"/>
      <c r="N281" s="3">
        <f t="shared" si="19"/>
        <v>0</v>
      </c>
      <c r="R281" s="89"/>
      <c r="S281" s="89">
        <f>100%-Table34[[#This Row],[PDF_initial fee]]</f>
        <v>1</v>
      </c>
      <c r="T281" s="89"/>
    </row>
    <row r="282" spans="1:29" hidden="1" x14ac:dyDescent="0.25">
      <c r="A282">
        <v>134778</v>
      </c>
      <c r="B282" t="s">
        <v>631</v>
      </c>
      <c r="C282" t="s">
        <v>12123</v>
      </c>
      <c r="D282">
        <v>2</v>
      </c>
      <c r="E282" t="s">
        <v>631</v>
      </c>
      <c r="L282" s="3">
        <f t="shared" si="18"/>
        <v>0</v>
      </c>
      <c r="M282" s="3"/>
      <c r="N282" s="3">
        <f t="shared" si="19"/>
        <v>0</v>
      </c>
      <c r="R282" s="89"/>
      <c r="S282" s="89">
        <f>100%-Table34[[#This Row],[PDF_initial fee]]</f>
        <v>1</v>
      </c>
      <c r="T282" s="89"/>
    </row>
    <row r="283" spans="1:29" hidden="1" x14ac:dyDescent="0.25">
      <c r="A283">
        <v>134813</v>
      </c>
      <c r="B283" t="s">
        <v>632</v>
      </c>
      <c r="C283" t="s">
        <v>6958</v>
      </c>
      <c r="D283">
        <v>1</v>
      </c>
      <c r="E283" t="s">
        <v>632</v>
      </c>
      <c r="F283" t="s">
        <v>6958</v>
      </c>
      <c r="H283" s="21">
        <v>0</v>
      </c>
      <c r="I283" s="21">
        <v>0</v>
      </c>
      <c r="J283" s="21">
        <v>0</v>
      </c>
      <c r="K283" s="21">
        <v>0</v>
      </c>
      <c r="L283" s="3">
        <f t="shared" si="18"/>
        <v>0</v>
      </c>
      <c r="M283" s="3"/>
      <c r="N283" s="3">
        <f t="shared" si="19"/>
        <v>0</v>
      </c>
      <c r="R283" s="89"/>
      <c r="S283" s="89">
        <f>100%-Table34[[#This Row],[PDF_initial fee]]</f>
        <v>1</v>
      </c>
      <c r="T283" s="89"/>
    </row>
    <row r="284" spans="1:29" hidden="1" x14ac:dyDescent="0.25">
      <c r="A284">
        <v>134865</v>
      </c>
      <c r="B284" t="s">
        <v>633</v>
      </c>
      <c r="C284" s="1" t="s">
        <v>29275</v>
      </c>
      <c r="D284">
        <v>1</v>
      </c>
      <c r="E284" t="s">
        <v>633</v>
      </c>
      <c r="G284" s="1"/>
      <c r="H284" s="3">
        <v>0</v>
      </c>
      <c r="I284" s="3">
        <v>0</v>
      </c>
      <c r="J284" s="3">
        <v>0</v>
      </c>
      <c r="K284" s="3">
        <v>0</v>
      </c>
      <c r="L284" s="3">
        <f t="shared" si="18"/>
        <v>0</v>
      </c>
      <c r="M284" s="3"/>
      <c r="N284" s="3">
        <f t="shared" si="19"/>
        <v>0</v>
      </c>
      <c r="R284" s="89"/>
      <c r="S284" s="89">
        <f>100%-Table34[[#This Row],[PDF_initial fee]]</f>
        <v>1</v>
      </c>
      <c r="T284" s="89"/>
    </row>
    <row r="285" spans="1:29" hidden="1" x14ac:dyDescent="0.25">
      <c r="A285">
        <v>134905</v>
      </c>
      <c r="B285" t="s">
        <v>634</v>
      </c>
      <c r="C285" t="s">
        <v>7145</v>
      </c>
      <c r="D285">
        <v>1</v>
      </c>
      <c r="E285" t="s">
        <v>634</v>
      </c>
      <c r="H285" s="21">
        <v>0</v>
      </c>
      <c r="I285" s="21">
        <v>0</v>
      </c>
      <c r="J285" s="21">
        <v>0</v>
      </c>
      <c r="K285" s="21">
        <v>0</v>
      </c>
      <c r="L285" s="3">
        <f t="shared" si="18"/>
        <v>0</v>
      </c>
      <c r="M285" s="3"/>
      <c r="N285" s="3">
        <f t="shared" si="19"/>
        <v>0</v>
      </c>
      <c r="R285" s="89"/>
      <c r="S285" s="89">
        <f>100%-Table34[[#This Row],[PDF_initial fee]]</f>
        <v>1</v>
      </c>
      <c r="T285" s="89"/>
    </row>
    <row r="286" spans="1:29" hidden="1" x14ac:dyDescent="0.25">
      <c r="A286">
        <v>135202</v>
      </c>
      <c r="B286" t="s">
        <v>635</v>
      </c>
      <c r="C286" t="s">
        <v>8275</v>
      </c>
      <c r="D286">
        <v>32</v>
      </c>
      <c r="E286" t="s">
        <v>635</v>
      </c>
      <c r="H286" s="21">
        <v>0</v>
      </c>
      <c r="I286" s="21">
        <v>0</v>
      </c>
      <c r="J286" s="21">
        <v>0</v>
      </c>
      <c r="K286" s="21">
        <v>0</v>
      </c>
      <c r="L286" s="3">
        <f t="shared" si="18"/>
        <v>0</v>
      </c>
      <c r="M286" s="3"/>
      <c r="N286" s="3">
        <f t="shared" si="19"/>
        <v>0</v>
      </c>
      <c r="R286" s="89"/>
      <c r="S286" s="89">
        <f>100%-Table34[[#This Row],[PDF_initial fee]]</f>
        <v>1</v>
      </c>
      <c r="T286" s="89"/>
    </row>
    <row r="287" spans="1:29" hidden="1" x14ac:dyDescent="0.25">
      <c r="A287">
        <v>135205</v>
      </c>
      <c r="B287" t="s">
        <v>636</v>
      </c>
      <c r="C287" t="s">
        <v>7962</v>
      </c>
      <c r="D287">
        <v>5</v>
      </c>
      <c r="E287" t="s">
        <v>636</v>
      </c>
      <c r="H287" s="21">
        <v>0</v>
      </c>
      <c r="I287" s="21">
        <v>0</v>
      </c>
      <c r="J287" s="21">
        <v>0</v>
      </c>
      <c r="K287" s="21">
        <v>0</v>
      </c>
      <c r="L287" s="3">
        <f t="shared" si="18"/>
        <v>0</v>
      </c>
      <c r="M287" s="3"/>
      <c r="N287" s="3">
        <f t="shared" si="19"/>
        <v>0</v>
      </c>
      <c r="R287" s="89"/>
      <c r="S287" s="89">
        <f>100%-Table34[[#This Row],[PDF_initial fee]]</f>
        <v>1</v>
      </c>
      <c r="T287" s="89"/>
    </row>
    <row r="288" spans="1:29" hidden="1" x14ac:dyDescent="0.25">
      <c r="A288">
        <v>135225</v>
      </c>
      <c r="B288" t="s">
        <v>637</v>
      </c>
      <c r="C288" t="s">
        <v>6958</v>
      </c>
      <c r="D288">
        <v>1</v>
      </c>
      <c r="E288" t="s">
        <v>637</v>
      </c>
      <c r="F288" t="s">
        <v>6958</v>
      </c>
      <c r="H288" s="21">
        <v>0</v>
      </c>
      <c r="I288" s="21">
        <v>0</v>
      </c>
      <c r="J288" s="21">
        <v>0</v>
      </c>
      <c r="K288" s="21">
        <v>0</v>
      </c>
      <c r="L288" s="3">
        <f t="shared" si="18"/>
        <v>0</v>
      </c>
      <c r="M288" s="3"/>
      <c r="N288" s="3">
        <f t="shared" si="19"/>
        <v>0</v>
      </c>
      <c r="R288" s="89"/>
      <c r="S288" s="89">
        <f>100%-Table34[[#This Row],[PDF_initial fee]]</f>
        <v>1</v>
      </c>
      <c r="T288" s="89"/>
    </row>
    <row r="289" spans="1:28" hidden="1" x14ac:dyDescent="0.25">
      <c r="A289">
        <v>135250</v>
      </c>
      <c r="B289" t="s">
        <v>638</v>
      </c>
      <c r="C289" t="s">
        <v>9422</v>
      </c>
      <c r="D289">
        <v>3</v>
      </c>
      <c r="E289" t="s">
        <v>638</v>
      </c>
      <c r="H289" s="21">
        <v>0</v>
      </c>
      <c r="I289" s="21">
        <v>0</v>
      </c>
      <c r="J289" s="21">
        <v>0</v>
      </c>
      <c r="K289" s="21">
        <v>0</v>
      </c>
      <c r="L289" s="3">
        <f t="shared" si="18"/>
        <v>0</v>
      </c>
      <c r="M289" s="3"/>
      <c r="N289" s="3">
        <f t="shared" si="19"/>
        <v>0</v>
      </c>
      <c r="R289" s="89"/>
      <c r="S289" s="89">
        <f>100%-Table34[[#This Row],[PDF_initial fee]]</f>
        <v>1</v>
      </c>
      <c r="T289" s="89"/>
    </row>
    <row r="290" spans="1:28" hidden="1" x14ac:dyDescent="0.25">
      <c r="A290">
        <v>135263</v>
      </c>
      <c r="B290" t="s">
        <v>639</v>
      </c>
      <c r="C290" t="s">
        <v>6958</v>
      </c>
      <c r="D290">
        <v>1</v>
      </c>
      <c r="E290" t="s">
        <v>639</v>
      </c>
      <c r="F290" t="s">
        <v>6958</v>
      </c>
      <c r="H290" s="21">
        <v>0</v>
      </c>
      <c r="I290" s="21">
        <v>0</v>
      </c>
      <c r="J290" s="21">
        <v>0</v>
      </c>
      <c r="K290" s="21">
        <v>0</v>
      </c>
      <c r="L290" s="3">
        <f t="shared" si="18"/>
        <v>0</v>
      </c>
      <c r="M290" s="3"/>
      <c r="N290" s="3">
        <f t="shared" si="19"/>
        <v>0</v>
      </c>
      <c r="R290" s="89"/>
      <c r="S290" s="89">
        <f>100%-Table34[[#This Row],[PDF_initial fee]]</f>
        <v>1</v>
      </c>
      <c r="T290" s="89"/>
    </row>
    <row r="291" spans="1:28" hidden="1" x14ac:dyDescent="0.25">
      <c r="A291">
        <v>135447</v>
      </c>
      <c r="B291" t="s">
        <v>640</v>
      </c>
      <c r="C291" t="s">
        <v>11531</v>
      </c>
      <c r="D291">
        <v>1</v>
      </c>
      <c r="E291" t="s">
        <v>640</v>
      </c>
      <c r="H291" s="21">
        <v>0</v>
      </c>
      <c r="I291" s="21">
        <v>0</v>
      </c>
      <c r="J291" s="21">
        <v>0</v>
      </c>
      <c r="K291" s="21">
        <v>0</v>
      </c>
      <c r="L291" s="3">
        <f t="shared" si="18"/>
        <v>0</v>
      </c>
      <c r="M291" s="3"/>
      <c r="N291" s="3">
        <f t="shared" si="19"/>
        <v>0</v>
      </c>
      <c r="R291" s="89"/>
      <c r="S291" s="89">
        <f>100%-Table34[[#This Row],[PDF_initial fee]]</f>
        <v>1</v>
      </c>
      <c r="T291" s="89"/>
    </row>
    <row r="292" spans="1:28" hidden="1" x14ac:dyDescent="0.25">
      <c r="A292">
        <v>135693</v>
      </c>
      <c r="B292" t="s">
        <v>641</v>
      </c>
      <c r="C292" t="s">
        <v>8040</v>
      </c>
      <c r="D292">
        <v>1</v>
      </c>
      <c r="E292" t="s">
        <v>641</v>
      </c>
      <c r="H292" s="21">
        <v>0</v>
      </c>
      <c r="I292" s="21">
        <v>0</v>
      </c>
      <c r="J292" s="21">
        <v>0</v>
      </c>
      <c r="K292" s="21">
        <v>0</v>
      </c>
      <c r="L292" s="3">
        <f t="shared" si="18"/>
        <v>0</v>
      </c>
      <c r="M292" s="3"/>
      <c r="N292" s="3">
        <f t="shared" si="19"/>
        <v>0</v>
      </c>
      <c r="R292" s="89"/>
      <c r="S292" s="89">
        <f>100%-Table34[[#This Row],[PDF_initial fee]]</f>
        <v>1</v>
      </c>
      <c r="T292" s="89"/>
    </row>
    <row r="293" spans="1:28" hidden="1" x14ac:dyDescent="0.25">
      <c r="A293">
        <v>135706</v>
      </c>
      <c r="B293" t="s">
        <v>642</v>
      </c>
      <c r="C293" t="s">
        <v>29276</v>
      </c>
      <c r="D293">
        <v>3</v>
      </c>
      <c r="E293" t="s">
        <v>642</v>
      </c>
      <c r="H293" s="3">
        <v>0</v>
      </c>
      <c r="I293" s="3">
        <v>0</v>
      </c>
      <c r="J293" s="3">
        <v>0</v>
      </c>
      <c r="K293" s="3">
        <v>0</v>
      </c>
      <c r="L293" s="3">
        <f t="shared" si="18"/>
        <v>0</v>
      </c>
      <c r="M293" s="3"/>
      <c r="N293" s="3">
        <f t="shared" si="19"/>
        <v>0</v>
      </c>
      <c r="R293" s="89"/>
      <c r="S293" s="89">
        <f>100%-Table34[[#This Row],[PDF_initial fee]]</f>
        <v>1</v>
      </c>
      <c r="T293" s="89"/>
    </row>
    <row r="294" spans="1:28" x14ac:dyDescent="0.25">
      <c r="A294">
        <v>720808</v>
      </c>
      <c r="B294" t="s">
        <v>276</v>
      </c>
      <c r="C294" s="1" t="s">
        <v>29277</v>
      </c>
      <c r="D294">
        <v>4</v>
      </c>
      <c r="E294" t="s">
        <v>276</v>
      </c>
      <c r="F294" t="s">
        <v>3</v>
      </c>
      <c r="G294" s="3">
        <v>1.4E-3</v>
      </c>
      <c r="H294" s="3">
        <v>0.02</v>
      </c>
      <c r="I294" s="3">
        <v>8.7500000000000008E-3</v>
      </c>
      <c r="J294" s="6">
        <v>0</v>
      </c>
      <c r="K294" s="6">
        <v>0</v>
      </c>
      <c r="L294" s="3">
        <f t="shared" si="18"/>
        <v>2.8750000000000001E-2</v>
      </c>
      <c r="M294" s="3"/>
      <c r="N294" s="3">
        <f t="shared" si="19"/>
        <v>3.015E-2</v>
      </c>
      <c r="P294" s="31" t="s">
        <v>29278</v>
      </c>
      <c r="Q294" t="s">
        <v>31787</v>
      </c>
      <c r="R294" s="89">
        <v>0.33333333333333348</v>
      </c>
      <c r="S294" s="89">
        <f>100%-Table34[[#This Row],[InitialFee]]</f>
        <v>0.98</v>
      </c>
      <c r="T294" s="89">
        <f>(1-Table34[[#This Row],[OngoingFee (plus Platform fee)]])^5</f>
        <v>0.95700895503904093</v>
      </c>
      <c r="U294" s="3">
        <f>(1+Table34[[#This Row],[Net 5yrs return (mostly up to 28th of Feb 2026)]])*Table34[[#This Row],[Investment after initial charge]]*Table34[[#This Row],[Cummulative 5yrs ongoing advice charge]]-1</f>
        <v>0.25049170125101372</v>
      </c>
      <c r="V294">
        <f>200865+23012</f>
        <v>223877</v>
      </c>
      <c r="W294" t="s">
        <v>29051</v>
      </c>
      <c r="X294" s="9">
        <v>187471</v>
      </c>
      <c r="Y294" s="30">
        <f>X294/V294</f>
        <v>0.83738392063499156</v>
      </c>
      <c r="AA294" s="1" t="s">
        <v>29279</v>
      </c>
    </row>
    <row r="295" spans="1:28" hidden="1" x14ac:dyDescent="0.25">
      <c r="A295">
        <v>147392</v>
      </c>
      <c r="B295" t="s">
        <v>67</v>
      </c>
      <c r="C295" s="1" t="s">
        <v>7103</v>
      </c>
      <c r="D295">
        <v>4</v>
      </c>
      <c r="E295" t="s">
        <v>67</v>
      </c>
      <c r="F295" t="s">
        <v>6</v>
      </c>
      <c r="G295" s="3">
        <v>3.2000000000000002E-3</v>
      </c>
      <c r="H295" s="3">
        <f>((200+125+75)*10)/100000</f>
        <v>0.04</v>
      </c>
      <c r="I295" s="3">
        <v>4.4999999999999997E-3</v>
      </c>
      <c r="J295" s="6">
        <v>0</v>
      </c>
      <c r="K295" s="6">
        <v>0</v>
      </c>
      <c r="L295" s="3">
        <f t="shared" si="18"/>
        <v>4.4499999999999998E-2</v>
      </c>
      <c r="M295" s="3"/>
      <c r="N295" s="3">
        <f t="shared" si="19"/>
        <v>4.7699999999999999E-2</v>
      </c>
      <c r="O295" t="s">
        <v>29280</v>
      </c>
      <c r="P295" s="1" t="s">
        <v>29281</v>
      </c>
      <c r="Q295" s="1" t="s">
        <v>29281</v>
      </c>
      <c r="R295" s="89"/>
      <c r="S295" s="89">
        <f>100%-Table34[[#This Row],[PDF_initial fee]]</f>
        <v>1</v>
      </c>
      <c r="T295" s="89"/>
      <c r="U295" s="1"/>
      <c r="V295" s="10">
        <f>2135059+172875</f>
        <v>2307934</v>
      </c>
      <c r="W295" t="s">
        <v>29051</v>
      </c>
      <c r="X295" s="10">
        <v>2032105</v>
      </c>
      <c r="Y295" s="30">
        <f>X295/V295</f>
        <v>0.88048661703497588</v>
      </c>
      <c r="AA295" s="1" t="s">
        <v>29282</v>
      </c>
      <c r="AB295" t="s">
        <v>29283</v>
      </c>
    </row>
    <row r="296" spans="1:28" hidden="1" x14ac:dyDescent="0.25">
      <c r="A296">
        <v>136095</v>
      </c>
      <c r="B296" t="s">
        <v>643</v>
      </c>
      <c r="C296" t="s">
        <v>10916</v>
      </c>
      <c r="D296">
        <v>1</v>
      </c>
      <c r="E296" t="s">
        <v>643</v>
      </c>
      <c r="H296" s="21">
        <v>0</v>
      </c>
      <c r="I296" s="21">
        <v>0</v>
      </c>
      <c r="J296" s="21">
        <v>0</v>
      </c>
      <c r="K296" s="21">
        <v>0</v>
      </c>
      <c r="L296" s="3">
        <f t="shared" si="18"/>
        <v>0</v>
      </c>
      <c r="M296" s="3"/>
      <c r="N296" s="3">
        <f t="shared" si="19"/>
        <v>0</v>
      </c>
      <c r="R296" s="89"/>
      <c r="S296" s="89">
        <f>100%-Table34[[#This Row],[PDF_initial fee]]</f>
        <v>1</v>
      </c>
      <c r="T296" s="89"/>
    </row>
    <row r="297" spans="1:28" x14ac:dyDescent="0.25">
      <c r="A297">
        <v>470603</v>
      </c>
      <c r="B297" t="s">
        <v>185</v>
      </c>
      <c r="C297" s="1" t="s">
        <v>29284</v>
      </c>
      <c r="D297">
        <v>11</v>
      </c>
      <c r="E297" t="s">
        <v>185</v>
      </c>
      <c r="F297" t="s">
        <v>3</v>
      </c>
      <c r="G297" s="3">
        <v>1.4E-3</v>
      </c>
      <c r="H297" s="3">
        <v>0</v>
      </c>
      <c r="I297" s="3">
        <v>0</v>
      </c>
      <c r="J297" s="6">
        <v>0.01</v>
      </c>
      <c r="K297" s="6">
        <v>0.01</v>
      </c>
      <c r="L297" s="3">
        <f t="shared" si="18"/>
        <v>0.02</v>
      </c>
      <c r="M297" s="3"/>
      <c r="N297" s="3">
        <f t="shared" si="19"/>
        <v>2.1399999999999999E-2</v>
      </c>
      <c r="P297" s="31" t="s">
        <v>29285</v>
      </c>
      <c r="Q297" t="s">
        <v>31787</v>
      </c>
      <c r="R297" s="89">
        <v>0.33333333333333348</v>
      </c>
      <c r="S297" s="89">
        <f>100%-Table34[[#This Row],[PDF_initial fee]]</f>
        <v>0.99</v>
      </c>
      <c r="T297" s="89">
        <f>(1-Table34[[#This Row],[PDF ongoing fee]])^5</f>
        <v>0.95099004989999991</v>
      </c>
      <c r="U297" s="3">
        <f>(1+Table34[[#This Row],[Net 5yrs return (mostly up to 28th of Feb 2026)]])*Table34[[#This Row],[Investment after initial charge]]*Table34[[#This Row],[Cummulative 5yrs ongoing advice charge]]-1</f>
        <v>0.255306865868</v>
      </c>
      <c r="V297">
        <v>84876</v>
      </c>
      <c r="W297" t="s">
        <v>29051</v>
      </c>
      <c r="X297" s="9">
        <v>35804</v>
      </c>
      <c r="Y297" s="30">
        <f>X297/V297</f>
        <v>0.42183891795089307</v>
      </c>
      <c r="AA297" s="1" t="s">
        <v>29286</v>
      </c>
    </row>
    <row r="298" spans="1:28" hidden="1" x14ac:dyDescent="0.25">
      <c r="A298">
        <v>136169</v>
      </c>
      <c r="B298" t="s">
        <v>644</v>
      </c>
      <c r="C298" t="s">
        <v>12077</v>
      </c>
      <c r="D298">
        <v>1</v>
      </c>
      <c r="E298" t="s">
        <v>644</v>
      </c>
      <c r="H298" s="21">
        <v>0</v>
      </c>
      <c r="I298" s="21">
        <v>0</v>
      </c>
      <c r="J298" s="21">
        <v>0</v>
      </c>
      <c r="K298" s="21">
        <v>0</v>
      </c>
      <c r="L298" s="3">
        <f t="shared" si="18"/>
        <v>0</v>
      </c>
      <c r="M298" s="3"/>
      <c r="N298" s="3">
        <f t="shared" si="19"/>
        <v>0</v>
      </c>
      <c r="R298" s="89"/>
      <c r="S298" s="89">
        <f>100%-Table34[[#This Row],[PDF_initial fee]]</f>
        <v>1</v>
      </c>
      <c r="T298" s="89"/>
    </row>
    <row r="299" spans="1:28" hidden="1" x14ac:dyDescent="0.25">
      <c r="A299">
        <v>136178</v>
      </c>
      <c r="B299" t="s">
        <v>645</v>
      </c>
      <c r="C299" t="s">
        <v>6958</v>
      </c>
      <c r="D299">
        <v>1</v>
      </c>
      <c r="E299" t="s">
        <v>645</v>
      </c>
      <c r="F299" t="s">
        <v>6958</v>
      </c>
      <c r="H299" s="21">
        <v>0</v>
      </c>
      <c r="I299" s="21">
        <v>0</v>
      </c>
      <c r="J299" s="21">
        <v>0</v>
      </c>
      <c r="K299" s="21">
        <v>0</v>
      </c>
      <c r="L299" s="3">
        <f t="shared" si="18"/>
        <v>0</v>
      </c>
      <c r="M299" s="3"/>
      <c r="N299" s="3">
        <f t="shared" si="19"/>
        <v>0</v>
      </c>
      <c r="R299" s="89"/>
      <c r="S299" s="89">
        <f>100%-Table34[[#This Row],[PDF_initial fee]]</f>
        <v>1</v>
      </c>
      <c r="T299" s="89"/>
    </row>
    <row r="300" spans="1:28" hidden="1" x14ac:dyDescent="0.25">
      <c r="A300">
        <v>136254</v>
      </c>
      <c r="B300" t="s">
        <v>646</v>
      </c>
      <c r="C300" t="s">
        <v>12220</v>
      </c>
      <c r="D300">
        <v>6</v>
      </c>
      <c r="E300" t="s">
        <v>646</v>
      </c>
      <c r="L300" s="3">
        <f t="shared" si="18"/>
        <v>0</v>
      </c>
      <c r="M300" s="3"/>
      <c r="N300" s="3">
        <f t="shared" si="19"/>
        <v>0</v>
      </c>
      <c r="R300" s="89"/>
      <c r="S300" s="89">
        <f>100%-Table34[[#This Row],[PDF_initial fee]]</f>
        <v>1</v>
      </c>
      <c r="T300" s="89"/>
    </row>
    <row r="301" spans="1:28" hidden="1" x14ac:dyDescent="0.25">
      <c r="A301">
        <v>136258</v>
      </c>
      <c r="B301" t="s">
        <v>647</v>
      </c>
      <c r="C301" t="s">
        <v>9597</v>
      </c>
      <c r="D301">
        <v>1</v>
      </c>
      <c r="E301" t="s">
        <v>647</v>
      </c>
      <c r="H301" s="21">
        <v>0</v>
      </c>
      <c r="I301" s="21">
        <v>0</v>
      </c>
      <c r="J301" s="21">
        <v>0</v>
      </c>
      <c r="K301" s="21">
        <v>0</v>
      </c>
      <c r="L301" s="3">
        <f t="shared" si="18"/>
        <v>0</v>
      </c>
      <c r="M301" s="3"/>
      <c r="N301" s="3">
        <f t="shared" si="19"/>
        <v>0</v>
      </c>
      <c r="R301" s="89"/>
      <c r="S301" s="89">
        <f>100%-Table34[[#This Row],[PDF_initial fee]]</f>
        <v>1</v>
      </c>
      <c r="T301" s="89"/>
    </row>
    <row r="302" spans="1:28" x14ac:dyDescent="0.25">
      <c r="A302">
        <v>529379</v>
      </c>
      <c r="B302" t="s">
        <v>214</v>
      </c>
      <c r="C302" s="1" t="s">
        <v>29287</v>
      </c>
      <c r="D302">
        <v>7</v>
      </c>
      <c r="E302" t="s">
        <v>214</v>
      </c>
      <c r="F302" t="s">
        <v>3</v>
      </c>
      <c r="G302" s="3">
        <v>1.4E-3</v>
      </c>
      <c r="H302" s="3">
        <v>0.02</v>
      </c>
      <c r="I302" s="3">
        <v>7.4999999999999997E-3</v>
      </c>
      <c r="J302" s="6">
        <v>0</v>
      </c>
      <c r="K302" s="6">
        <v>0</v>
      </c>
      <c r="L302" s="3">
        <f t="shared" si="18"/>
        <v>2.75E-2</v>
      </c>
      <c r="M302" s="3"/>
      <c r="N302" s="3">
        <f t="shared" si="19"/>
        <v>2.8899999999999999E-2</v>
      </c>
      <c r="P302" s="31" t="s">
        <v>29288</v>
      </c>
      <c r="Q302" t="s">
        <v>31787</v>
      </c>
      <c r="R302" s="89">
        <v>0.33333333333333348</v>
      </c>
      <c r="S302" s="89">
        <f>100%-Table34[[#This Row],[InitialFee]]</f>
        <v>0.98</v>
      </c>
      <c r="T302" s="89">
        <f>(1-Table34[[#This Row],[OngoingFee (plus Platform fee)]])^5</f>
        <v>0.9630582970465823</v>
      </c>
      <c r="U302" s="3">
        <f>(1+Table34[[#This Row],[Net 5yrs return (mostly up to 28th of Feb 2026)]])*Table34[[#This Row],[Investment after initial charge]]*Table34[[#This Row],[Cummulative 5yrs ongoing advice charge]]-1</f>
        <v>0.2583961748075343</v>
      </c>
      <c r="V302" s="10">
        <f>1035851+66229</f>
        <v>1102080</v>
      </c>
      <c r="W302" t="s">
        <v>29051</v>
      </c>
      <c r="X302" s="9">
        <v>1033473</v>
      </c>
      <c r="Y302" s="30">
        <f>X302/V302</f>
        <v>0.93774771341463414</v>
      </c>
      <c r="AA302" s="1" t="s">
        <v>29289</v>
      </c>
    </row>
    <row r="303" spans="1:28" hidden="1" x14ac:dyDescent="0.25">
      <c r="A303">
        <v>136529</v>
      </c>
      <c r="B303" t="s">
        <v>648</v>
      </c>
      <c r="C303" t="s">
        <v>11385</v>
      </c>
      <c r="D303">
        <v>3</v>
      </c>
      <c r="E303" t="s">
        <v>648</v>
      </c>
      <c r="L303" s="3">
        <f t="shared" si="18"/>
        <v>0</v>
      </c>
      <c r="M303" s="3"/>
      <c r="N303" s="3">
        <f t="shared" si="19"/>
        <v>0</v>
      </c>
      <c r="R303" s="89"/>
      <c r="S303" s="89">
        <f>100%-Table34[[#This Row],[PDF_initial fee]]</f>
        <v>1</v>
      </c>
      <c r="T303" s="89"/>
    </row>
    <row r="304" spans="1:28" hidden="1" x14ac:dyDescent="0.25">
      <c r="A304">
        <v>136684</v>
      </c>
      <c r="B304" t="s">
        <v>649</v>
      </c>
      <c r="C304" t="s">
        <v>9892</v>
      </c>
      <c r="D304">
        <v>1</v>
      </c>
      <c r="E304" t="s">
        <v>649</v>
      </c>
      <c r="H304" s="21">
        <v>0</v>
      </c>
      <c r="I304" s="21">
        <v>0</v>
      </c>
      <c r="J304" s="21">
        <v>0</v>
      </c>
      <c r="K304" s="21">
        <v>0</v>
      </c>
      <c r="L304" s="3">
        <f t="shared" si="18"/>
        <v>0</v>
      </c>
      <c r="M304" s="3"/>
      <c r="N304" s="3">
        <f t="shared" si="19"/>
        <v>0</v>
      </c>
      <c r="R304" s="89"/>
      <c r="S304" s="89">
        <f>100%-Table34[[#This Row],[PDF_initial fee]]</f>
        <v>1</v>
      </c>
      <c r="T304" s="89"/>
    </row>
    <row r="305" spans="1:28" hidden="1" x14ac:dyDescent="0.25">
      <c r="A305">
        <v>136758</v>
      </c>
      <c r="B305" t="s">
        <v>650</v>
      </c>
      <c r="C305" t="s">
        <v>11694</v>
      </c>
      <c r="D305">
        <v>2</v>
      </c>
      <c r="E305" t="s">
        <v>650</v>
      </c>
      <c r="H305" s="21">
        <v>0</v>
      </c>
      <c r="I305" s="21">
        <v>0</v>
      </c>
      <c r="J305" s="21">
        <v>0</v>
      </c>
      <c r="K305" s="21">
        <v>0</v>
      </c>
      <c r="L305" s="3">
        <f t="shared" si="18"/>
        <v>0</v>
      </c>
      <c r="M305" s="3"/>
      <c r="N305" s="3">
        <f t="shared" si="19"/>
        <v>0</v>
      </c>
      <c r="R305" s="89"/>
      <c r="S305" s="89">
        <f>100%-Table34[[#This Row],[PDF_initial fee]]</f>
        <v>1</v>
      </c>
      <c r="T305" s="89"/>
    </row>
    <row r="306" spans="1:28" hidden="1" x14ac:dyDescent="0.25">
      <c r="A306">
        <v>136778</v>
      </c>
      <c r="B306" t="s">
        <v>651</v>
      </c>
      <c r="C306" t="s">
        <v>6958</v>
      </c>
      <c r="D306">
        <v>2</v>
      </c>
      <c r="E306" t="s">
        <v>651</v>
      </c>
      <c r="F306" t="s">
        <v>6958</v>
      </c>
      <c r="H306" s="21">
        <v>0</v>
      </c>
      <c r="I306" s="21">
        <v>0</v>
      </c>
      <c r="J306" s="21">
        <v>0</v>
      </c>
      <c r="K306" s="21">
        <v>0</v>
      </c>
      <c r="L306" s="3">
        <f t="shared" si="18"/>
        <v>0</v>
      </c>
      <c r="M306" s="3"/>
      <c r="N306" s="3">
        <f t="shared" si="19"/>
        <v>0</v>
      </c>
      <c r="R306" s="89"/>
      <c r="S306" s="89">
        <f>100%-Table34[[#This Row],[PDF_initial fee]]</f>
        <v>1</v>
      </c>
      <c r="T306" s="89"/>
    </row>
    <row r="307" spans="1:28" x14ac:dyDescent="0.25">
      <c r="A307">
        <v>146480</v>
      </c>
      <c r="B307" t="s">
        <v>63</v>
      </c>
      <c r="C307" s="1" t="s">
        <v>12417</v>
      </c>
      <c r="D307">
        <v>1</v>
      </c>
      <c r="E307" t="s">
        <v>63</v>
      </c>
      <c r="F307" t="s">
        <v>3</v>
      </c>
      <c r="G307" s="3">
        <v>1.4E-3</v>
      </c>
      <c r="H307" s="21">
        <v>0</v>
      </c>
      <c r="I307" s="21">
        <v>0</v>
      </c>
      <c r="J307" s="6">
        <v>0.02</v>
      </c>
      <c r="K307" s="6">
        <v>5.0000000000000001E-3</v>
      </c>
      <c r="L307" s="3">
        <f t="shared" si="18"/>
        <v>2.5000000000000001E-2</v>
      </c>
      <c r="M307" s="3"/>
      <c r="N307" s="3">
        <f t="shared" si="19"/>
        <v>2.64E-2</v>
      </c>
      <c r="P307" s="1" t="s">
        <v>29290</v>
      </c>
      <c r="Q307" t="s">
        <v>31787</v>
      </c>
      <c r="R307" s="89">
        <v>0.33333333333333348</v>
      </c>
      <c r="S307" s="89">
        <f>100%-Table34[[#This Row],[PDF_initial fee]]</f>
        <v>0.98</v>
      </c>
      <c r="T307" s="89">
        <f>(1-Table34[[#This Row],[PDF ongoing fee]])^5</f>
        <v>0.97524875312187509</v>
      </c>
      <c r="U307" s="3">
        <f>(1+Table34[[#This Row],[Net 5yrs return (mostly up to 28th of Feb 2026)]])*Table34[[#This Row],[Investment after initial charge]]*Table34[[#This Row],[Cummulative 5yrs ongoing advice charge]]-1</f>
        <v>0.27432503741258363</v>
      </c>
      <c r="V307">
        <v>860968</v>
      </c>
      <c r="W307" t="s">
        <v>29051</v>
      </c>
      <c r="X307" s="10">
        <v>860968</v>
      </c>
      <c r="Y307" s="30">
        <f>X307/V307</f>
        <v>1</v>
      </c>
      <c r="AA307" s="1" t="s">
        <v>29291</v>
      </c>
    </row>
    <row r="308" spans="1:28" hidden="1" x14ac:dyDescent="0.25">
      <c r="A308">
        <v>136915</v>
      </c>
      <c r="B308" t="s">
        <v>652</v>
      </c>
      <c r="C308" t="s">
        <v>29292</v>
      </c>
      <c r="D308">
        <v>2</v>
      </c>
      <c r="E308" t="s">
        <v>652</v>
      </c>
      <c r="H308" s="3">
        <v>0</v>
      </c>
      <c r="I308" s="3">
        <v>0</v>
      </c>
      <c r="J308" s="3">
        <v>0</v>
      </c>
      <c r="K308" s="3">
        <v>0</v>
      </c>
      <c r="L308" s="3">
        <f t="shared" si="18"/>
        <v>0</v>
      </c>
      <c r="M308" s="3"/>
      <c r="N308" s="3">
        <f t="shared" si="19"/>
        <v>0</v>
      </c>
      <c r="R308" s="89"/>
      <c r="S308" s="89">
        <f>100%-Table34[[#This Row],[PDF_initial fee]]</f>
        <v>1</v>
      </c>
      <c r="T308" s="89"/>
    </row>
    <row r="309" spans="1:28" hidden="1" x14ac:dyDescent="0.25">
      <c r="A309">
        <v>136916</v>
      </c>
      <c r="B309" t="s">
        <v>653</v>
      </c>
      <c r="C309" t="s">
        <v>6958</v>
      </c>
      <c r="D309">
        <v>2</v>
      </c>
      <c r="E309" t="s">
        <v>653</v>
      </c>
      <c r="F309" t="s">
        <v>6958</v>
      </c>
      <c r="H309" s="21">
        <v>0</v>
      </c>
      <c r="I309" s="21">
        <v>0</v>
      </c>
      <c r="J309" s="21">
        <v>0</v>
      </c>
      <c r="K309" s="21">
        <v>0</v>
      </c>
      <c r="L309" s="3">
        <f t="shared" si="18"/>
        <v>0</v>
      </c>
      <c r="M309" s="3"/>
      <c r="N309" s="3">
        <f t="shared" si="19"/>
        <v>0</v>
      </c>
      <c r="R309" s="89"/>
      <c r="S309" s="89">
        <f>100%-Table34[[#This Row],[PDF_initial fee]]</f>
        <v>1</v>
      </c>
      <c r="T309" s="89"/>
    </row>
    <row r="310" spans="1:28" hidden="1" x14ac:dyDescent="0.25">
      <c r="A310">
        <v>136917</v>
      </c>
      <c r="B310" t="s">
        <v>654</v>
      </c>
      <c r="C310" t="s">
        <v>29293</v>
      </c>
      <c r="D310">
        <v>4</v>
      </c>
      <c r="E310" t="s">
        <v>654</v>
      </c>
      <c r="H310" s="3">
        <v>0</v>
      </c>
      <c r="I310" s="3">
        <v>0</v>
      </c>
      <c r="J310" s="3">
        <v>0</v>
      </c>
      <c r="K310" s="3">
        <v>0</v>
      </c>
      <c r="L310" s="3">
        <f t="shared" si="18"/>
        <v>0</v>
      </c>
      <c r="M310" s="3"/>
      <c r="N310" s="3">
        <f t="shared" si="19"/>
        <v>0</v>
      </c>
      <c r="R310" s="89"/>
      <c r="S310" s="89">
        <f>100%-Table34[[#This Row],[PDF_initial fee]]</f>
        <v>1</v>
      </c>
      <c r="T310" s="89"/>
    </row>
    <row r="311" spans="1:28" hidden="1" x14ac:dyDescent="0.25">
      <c r="A311">
        <v>136964</v>
      </c>
      <c r="B311" t="s">
        <v>655</v>
      </c>
      <c r="C311" t="s">
        <v>29294</v>
      </c>
      <c r="D311">
        <v>2</v>
      </c>
      <c r="E311" t="s">
        <v>655</v>
      </c>
      <c r="H311" s="3">
        <v>0</v>
      </c>
      <c r="I311" s="3">
        <v>0</v>
      </c>
      <c r="J311" s="3">
        <v>0</v>
      </c>
      <c r="K311" s="3">
        <v>0</v>
      </c>
      <c r="L311" s="3">
        <f t="shared" si="18"/>
        <v>0</v>
      </c>
      <c r="M311" s="3"/>
      <c r="N311" s="3">
        <f t="shared" si="19"/>
        <v>0</v>
      </c>
      <c r="R311" s="89"/>
      <c r="S311" s="89">
        <f>100%-Table34[[#This Row],[PDF_initial fee]]</f>
        <v>1</v>
      </c>
      <c r="T311" s="89"/>
    </row>
    <row r="312" spans="1:28" hidden="1" x14ac:dyDescent="0.25">
      <c r="A312">
        <v>137013</v>
      </c>
      <c r="B312" t="s">
        <v>656</v>
      </c>
      <c r="C312" t="s">
        <v>12111</v>
      </c>
      <c r="D312">
        <v>1</v>
      </c>
      <c r="E312" t="s">
        <v>656</v>
      </c>
      <c r="H312" s="21">
        <v>0</v>
      </c>
      <c r="I312" s="21">
        <v>0</v>
      </c>
      <c r="J312" s="21">
        <v>0</v>
      </c>
      <c r="K312" s="21">
        <v>0</v>
      </c>
      <c r="L312" s="3">
        <f t="shared" si="18"/>
        <v>0</v>
      </c>
      <c r="M312" s="3"/>
      <c r="N312" s="3">
        <f t="shared" si="19"/>
        <v>0</v>
      </c>
      <c r="R312" s="89"/>
      <c r="S312" s="89">
        <f>100%-Table34[[#This Row],[PDF_initial fee]]</f>
        <v>1</v>
      </c>
      <c r="T312" s="89"/>
    </row>
    <row r="313" spans="1:28" hidden="1" x14ac:dyDescent="0.25">
      <c r="A313">
        <v>137195</v>
      </c>
      <c r="B313" t="s">
        <v>657</v>
      </c>
      <c r="C313" t="s">
        <v>10346</v>
      </c>
      <c r="D313">
        <v>4</v>
      </c>
      <c r="E313" t="s">
        <v>657</v>
      </c>
      <c r="H313" s="21">
        <v>0</v>
      </c>
      <c r="I313" s="21">
        <v>0</v>
      </c>
      <c r="J313" s="21">
        <v>0</v>
      </c>
      <c r="K313" s="21">
        <v>0</v>
      </c>
      <c r="L313" s="3">
        <f t="shared" si="18"/>
        <v>0</v>
      </c>
      <c r="M313" s="3"/>
      <c r="N313" s="3">
        <f t="shared" si="19"/>
        <v>0</v>
      </c>
      <c r="R313" s="89"/>
      <c r="S313" s="89">
        <f>100%-Table34[[#This Row],[PDF_initial fee]]</f>
        <v>1</v>
      </c>
      <c r="T313" s="89"/>
    </row>
    <row r="314" spans="1:28" hidden="1" x14ac:dyDescent="0.25">
      <c r="A314">
        <v>137325</v>
      </c>
      <c r="B314" t="s">
        <v>658</v>
      </c>
      <c r="C314" t="s">
        <v>12252</v>
      </c>
      <c r="D314">
        <v>1</v>
      </c>
      <c r="E314" t="s">
        <v>658</v>
      </c>
      <c r="H314" s="21">
        <v>0</v>
      </c>
      <c r="I314" s="21">
        <v>0</v>
      </c>
      <c r="J314" s="21">
        <v>0</v>
      </c>
      <c r="K314" s="21">
        <v>0</v>
      </c>
      <c r="L314" s="3">
        <f t="shared" si="18"/>
        <v>0</v>
      </c>
      <c r="M314" s="3"/>
      <c r="N314" s="3">
        <f t="shared" si="19"/>
        <v>0</v>
      </c>
      <c r="R314" s="89"/>
      <c r="S314" s="89">
        <f>100%-Table34[[#This Row],[PDF_initial fee]]</f>
        <v>1</v>
      </c>
      <c r="T314" s="89"/>
    </row>
    <row r="315" spans="1:28" hidden="1" x14ac:dyDescent="0.25">
      <c r="A315">
        <v>137380</v>
      </c>
      <c r="B315" t="s">
        <v>659</v>
      </c>
      <c r="C315" t="s">
        <v>29295</v>
      </c>
      <c r="D315">
        <v>1</v>
      </c>
      <c r="E315" t="s">
        <v>659</v>
      </c>
      <c r="H315" s="3">
        <v>0</v>
      </c>
      <c r="I315" s="3">
        <v>0</v>
      </c>
      <c r="J315" s="3">
        <v>0</v>
      </c>
      <c r="K315" s="3">
        <v>0</v>
      </c>
      <c r="L315" s="3">
        <f t="shared" si="18"/>
        <v>0</v>
      </c>
      <c r="M315" s="3"/>
      <c r="N315" s="3">
        <f t="shared" si="19"/>
        <v>0</v>
      </c>
      <c r="R315" s="89"/>
      <c r="S315" s="89">
        <f>100%-Table34[[#This Row],[PDF_initial fee]]</f>
        <v>1</v>
      </c>
      <c r="T315" s="89"/>
    </row>
    <row r="316" spans="1:28" hidden="1" x14ac:dyDescent="0.25">
      <c r="A316">
        <v>137463</v>
      </c>
      <c r="B316" t="s">
        <v>660</v>
      </c>
      <c r="C316" t="s">
        <v>6958</v>
      </c>
      <c r="D316">
        <v>1</v>
      </c>
      <c r="E316" t="s">
        <v>660</v>
      </c>
      <c r="F316" t="s">
        <v>6958</v>
      </c>
      <c r="G316" s="27"/>
      <c r="L316" s="3">
        <f t="shared" si="18"/>
        <v>0</v>
      </c>
      <c r="M316" s="3"/>
      <c r="N316" s="3">
        <f t="shared" si="19"/>
        <v>0</v>
      </c>
      <c r="R316" s="89"/>
      <c r="S316" s="89">
        <f>100%-Table34[[#This Row],[PDF_initial fee]]</f>
        <v>1</v>
      </c>
      <c r="T316" s="89"/>
    </row>
    <row r="317" spans="1:28" x14ac:dyDescent="0.25">
      <c r="A317">
        <v>192296</v>
      </c>
      <c r="B317" t="s">
        <v>101</v>
      </c>
      <c r="C317" s="1" t="s">
        <v>29296</v>
      </c>
      <c r="D317">
        <v>8</v>
      </c>
      <c r="E317" t="s">
        <v>101</v>
      </c>
      <c r="F317" t="s">
        <v>3</v>
      </c>
      <c r="G317" s="3">
        <v>1.4E-3</v>
      </c>
      <c r="H317" s="3">
        <v>0</v>
      </c>
      <c r="I317" s="3">
        <v>0</v>
      </c>
      <c r="J317" s="3">
        <v>0.02</v>
      </c>
      <c r="K317" s="3">
        <v>0.01</v>
      </c>
      <c r="L317" s="3">
        <f t="shared" si="18"/>
        <v>0.03</v>
      </c>
      <c r="M317" s="3"/>
      <c r="N317" s="3">
        <f t="shared" si="19"/>
        <v>3.1399999999999997E-2</v>
      </c>
      <c r="P317" s="1" t="s">
        <v>29297</v>
      </c>
      <c r="Q317" t="s">
        <v>31787</v>
      </c>
      <c r="R317" s="89">
        <v>0.33333333333333348</v>
      </c>
      <c r="S317" s="89">
        <f>100%-Table34[[#This Row],[PDF_initial fee]]</f>
        <v>0.98</v>
      </c>
      <c r="T317" s="89">
        <f>(1-Table34[[#This Row],[PDF ongoing fee]])^5</f>
        <v>0.95099004989999991</v>
      </c>
      <c r="U317" s="3">
        <f>(1+Table34[[#This Row],[Net 5yrs return (mostly up to 28th of Feb 2026)]])*Table34[[#This Row],[Investment after initial charge]]*Table34[[#This Row],[Cummulative 5yrs ongoing advice charge]]-1</f>
        <v>0.24262699853600012</v>
      </c>
      <c r="V317" s="10">
        <v>505016</v>
      </c>
      <c r="W317" t="s">
        <v>29051</v>
      </c>
      <c r="X317" s="10">
        <v>470424</v>
      </c>
      <c r="Y317" s="30">
        <f>X317/V317</f>
        <v>0.9315031602959114</v>
      </c>
      <c r="AA317" s="1" t="s">
        <v>29298</v>
      </c>
    </row>
    <row r="318" spans="1:28" hidden="1" x14ac:dyDescent="0.25">
      <c r="A318">
        <v>137559</v>
      </c>
      <c r="B318" t="s">
        <v>661</v>
      </c>
      <c r="C318" t="s">
        <v>6958</v>
      </c>
      <c r="D318">
        <v>1</v>
      </c>
      <c r="E318" t="s">
        <v>661</v>
      </c>
      <c r="F318" t="s">
        <v>6958</v>
      </c>
      <c r="H318" s="21">
        <v>0</v>
      </c>
      <c r="I318" s="21">
        <v>0</v>
      </c>
      <c r="J318" s="21">
        <v>0</v>
      </c>
      <c r="K318" s="21">
        <v>0</v>
      </c>
      <c r="L318" s="3">
        <f t="shared" si="18"/>
        <v>0</v>
      </c>
      <c r="M318" s="3"/>
      <c r="N318" s="3">
        <f t="shared" si="19"/>
        <v>0</v>
      </c>
      <c r="R318" s="89"/>
      <c r="S318" s="89">
        <f>100%-Table34[[#This Row],[PDF_initial fee]]</f>
        <v>1</v>
      </c>
      <c r="T318" s="89"/>
    </row>
    <row r="319" spans="1:28" x14ac:dyDescent="0.25">
      <c r="A319">
        <v>667433</v>
      </c>
      <c r="B319" t="s">
        <v>265</v>
      </c>
      <c r="C319" s="1" t="s">
        <v>12113</v>
      </c>
      <c r="D319">
        <v>4</v>
      </c>
      <c r="E319" t="s">
        <v>265</v>
      </c>
      <c r="F319" t="s">
        <v>3</v>
      </c>
      <c r="G319" s="3">
        <v>1.4E-3</v>
      </c>
      <c r="H319" s="3"/>
      <c r="I319" s="3">
        <v>0.06</v>
      </c>
      <c r="J319" s="6">
        <v>0</v>
      </c>
      <c r="K319" s="6"/>
      <c r="L319" s="3">
        <f t="shared" si="18"/>
        <v>0.06</v>
      </c>
      <c r="M319" s="3"/>
      <c r="N319" s="3">
        <f t="shared" si="19"/>
        <v>6.1399999999999996E-2</v>
      </c>
      <c r="O319" t="s">
        <v>29299</v>
      </c>
      <c r="P319" s="31" t="s">
        <v>29300</v>
      </c>
      <c r="Q319" t="s">
        <v>31787</v>
      </c>
      <c r="R319" s="89">
        <v>0.33333333333333348</v>
      </c>
      <c r="S319" s="99">
        <f>100%-Table34[[#This Row],[InitialFee]]</f>
        <v>1</v>
      </c>
      <c r="T319" s="99">
        <f>(1-Table34[[#This Row],[OngoingFee (plus Platform fee)]])^5</f>
        <v>0.73390402239999986</v>
      </c>
      <c r="U319" s="26">
        <f>(1+Table34[[#This Row],[Net 5yrs return (mostly up to 28th of Feb 2026)]])*Table34[[#This Row],[Investment after initial charge]]*Table34[[#This Row],[Cummulative 5yrs ongoing advice charge]]-1</f>
        <v>-2.1461303466666748E-2</v>
      </c>
      <c r="V319">
        <f>298391+78232</f>
        <v>376623</v>
      </c>
      <c r="W319" t="s">
        <v>29051</v>
      </c>
      <c r="X319" s="9">
        <v>298391</v>
      </c>
      <c r="Y319" s="30">
        <f>X319/V319</f>
        <v>0.79228034400448188</v>
      </c>
      <c r="AA319" s="1" t="s">
        <v>29301</v>
      </c>
      <c r="AB319" t="s">
        <v>29302</v>
      </c>
    </row>
    <row r="320" spans="1:28" hidden="1" x14ac:dyDescent="0.25">
      <c r="A320">
        <v>137694</v>
      </c>
      <c r="B320" t="s">
        <v>662</v>
      </c>
      <c r="C320" t="s">
        <v>6958</v>
      </c>
      <c r="D320">
        <v>1</v>
      </c>
      <c r="E320" t="s">
        <v>662</v>
      </c>
      <c r="F320" t="s">
        <v>6958</v>
      </c>
      <c r="H320" s="21">
        <v>0</v>
      </c>
      <c r="I320" s="21">
        <v>0</v>
      </c>
      <c r="J320" s="21">
        <v>0</v>
      </c>
      <c r="K320" s="21">
        <v>0</v>
      </c>
      <c r="L320" s="3">
        <f t="shared" si="18"/>
        <v>0</v>
      </c>
      <c r="M320" s="3"/>
      <c r="N320" s="3">
        <f t="shared" si="19"/>
        <v>0</v>
      </c>
      <c r="R320" s="89"/>
      <c r="S320" s="89">
        <f>100%-Table34[[#This Row],[PDF_initial fee]]</f>
        <v>1</v>
      </c>
      <c r="T320" s="89"/>
      <c r="U320" s="26"/>
    </row>
    <row r="321" spans="1:28" hidden="1" x14ac:dyDescent="0.25">
      <c r="A321">
        <v>137733</v>
      </c>
      <c r="B321" t="s">
        <v>663</v>
      </c>
      <c r="C321" s="1" t="s">
        <v>29303</v>
      </c>
      <c r="D321">
        <v>1</v>
      </c>
      <c r="E321" t="s">
        <v>663</v>
      </c>
      <c r="F321" t="s">
        <v>29304</v>
      </c>
      <c r="G321" s="1"/>
      <c r="H321" s="3">
        <v>0</v>
      </c>
      <c r="I321" s="3">
        <v>0</v>
      </c>
      <c r="J321" s="3">
        <v>0</v>
      </c>
      <c r="K321" s="3">
        <v>0</v>
      </c>
      <c r="L321" s="3">
        <f t="shared" si="18"/>
        <v>0</v>
      </c>
      <c r="M321" s="3"/>
      <c r="N321" s="3">
        <f t="shared" si="19"/>
        <v>0</v>
      </c>
      <c r="R321" s="89"/>
      <c r="S321" s="89">
        <f>100%-Table34[[#This Row],[PDF_initial fee]]</f>
        <v>1</v>
      </c>
      <c r="T321" s="89"/>
      <c r="U321" s="26"/>
    </row>
    <row r="322" spans="1:28" hidden="1" x14ac:dyDescent="0.25">
      <c r="A322">
        <v>137842</v>
      </c>
      <c r="B322" t="s">
        <v>664</v>
      </c>
      <c r="C322" t="s">
        <v>6958</v>
      </c>
      <c r="D322">
        <v>1</v>
      </c>
      <c r="E322" t="s">
        <v>664</v>
      </c>
      <c r="F322" t="s">
        <v>6958</v>
      </c>
      <c r="H322" s="21">
        <v>0</v>
      </c>
      <c r="I322" s="3">
        <v>0</v>
      </c>
      <c r="J322" s="3">
        <v>0</v>
      </c>
      <c r="K322">
        <v>0</v>
      </c>
      <c r="L322" s="3">
        <f t="shared" si="18"/>
        <v>0</v>
      </c>
      <c r="M322" s="3"/>
      <c r="N322" s="3">
        <f t="shared" si="19"/>
        <v>0</v>
      </c>
      <c r="R322" s="89"/>
      <c r="S322" s="89">
        <f>100%-Table34[[#This Row],[PDF_initial fee]]</f>
        <v>1</v>
      </c>
      <c r="T322" s="89"/>
      <c r="U322" s="26"/>
    </row>
    <row r="323" spans="1:28" hidden="1" x14ac:dyDescent="0.25">
      <c r="A323">
        <v>137849</v>
      </c>
      <c r="B323" t="s">
        <v>665</v>
      </c>
      <c r="C323" t="s">
        <v>6958</v>
      </c>
      <c r="D323">
        <v>0</v>
      </c>
      <c r="E323" t="s">
        <v>665</v>
      </c>
      <c r="F323" t="s">
        <v>6958</v>
      </c>
      <c r="H323" s="21">
        <v>0</v>
      </c>
      <c r="I323" s="21">
        <v>0</v>
      </c>
      <c r="J323" s="21">
        <v>0</v>
      </c>
      <c r="K323" s="21">
        <v>0</v>
      </c>
      <c r="L323" s="3">
        <f t="shared" si="18"/>
        <v>0</v>
      </c>
      <c r="M323" s="3"/>
      <c r="N323" s="3">
        <f t="shared" si="19"/>
        <v>0</v>
      </c>
      <c r="R323" s="89"/>
      <c r="S323" s="89">
        <f>100%-Table34[[#This Row],[PDF_initial fee]]</f>
        <v>1</v>
      </c>
      <c r="T323" s="89"/>
      <c r="U323" s="26"/>
    </row>
    <row r="324" spans="1:28" x14ac:dyDescent="0.25">
      <c r="A324">
        <v>823943</v>
      </c>
      <c r="B324" t="s">
        <v>314</v>
      </c>
      <c r="C324" s="1" t="s">
        <v>29305</v>
      </c>
      <c r="D324">
        <v>6</v>
      </c>
      <c r="E324" t="s">
        <v>314</v>
      </c>
      <c r="F324" t="s">
        <v>3</v>
      </c>
      <c r="G324" s="3">
        <v>1.4E-3</v>
      </c>
      <c r="H324" s="3">
        <f>(500/100000)+0.03</f>
        <v>3.4999999999999996E-2</v>
      </c>
      <c r="I324" s="3">
        <v>7.4999999999999997E-3</v>
      </c>
      <c r="J324" s="6">
        <v>0</v>
      </c>
      <c r="K324" s="6">
        <v>0</v>
      </c>
      <c r="L324" s="3">
        <f t="shared" si="18"/>
        <v>4.2499999999999996E-2</v>
      </c>
      <c r="M324" s="3"/>
      <c r="N324" s="3">
        <f t="shared" si="19"/>
        <v>4.3899999999999995E-2</v>
      </c>
      <c r="P324" s="31" t="s">
        <v>29306</v>
      </c>
      <c r="Q324" t="s">
        <v>31787</v>
      </c>
      <c r="R324" s="89">
        <v>0.33333333333333348</v>
      </c>
      <c r="S324" s="89">
        <f>100%-Table34[[#This Row],[InitialFee]]</f>
        <v>0.96499999999999997</v>
      </c>
      <c r="T324" s="89">
        <f>(1-Table34[[#This Row],[OngoingFee (plus Platform fee)]])^5</f>
        <v>0.9630582970465823</v>
      </c>
      <c r="U324" s="26">
        <f>(1+Table34[[#This Row],[Net 5yrs return (mostly up to 28th of Feb 2026)]])*Table34[[#This Row],[Investment after initial charge]]*Table34[[#This Row],[Cummulative 5yrs ongoing advice charge]]-1</f>
        <v>0.23913500886660266</v>
      </c>
      <c r="V324">
        <f>43570+149928</f>
        <v>193498</v>
      </c>
      <c r="W324" t="s">
        <v>29051</v>
      </c>
      <c r="X324" s="9">
        <v>165012</v>
      </c>
      <c r="Y324" s="30">
        <f>X324/V324</f>
        <v>0.8527840081034429</v>
      </c>
      <c r="AA324" s="1" t="s">
        <v>29307</v>
      </c>
      <c r="AB324" t="s">
        <v>29302</v>
      </c>
    </row>
    <row r="325" spans="1:28" hidden="1" x14ac:dyDescent="0.25">
      <c r="A325">
        <v>138104</v>
      </c>
      <c r="B325" t="s">
        <v>666</v>
      </c>
      <c r="C325" t="s">
        <v>7449</v>
      </c>
      <c r="D325">
        <v>23</v>
      </c>
      <c r="E325" t="s">
        <v>666</v>
      </c>
      <c r="H325" s="21">
        <v>0</v>
      </c>
      <c r="I325" s="21">
        <v>0</v>
      </c>
      <c r="J325" s="21">
        <v>0</v>
      </c>
      <c r="K325" s="21">
        <v>0</v>
      </c>
      <c r="L325" s="3">
        <f t="shared" si="18"/>
        <v>0</v>
      </c>
      <c r="M325" s="3"/>
      <c r="N325" s="3">
        <f t="shared" si="19"/>
        <v>0</v>
      </c>
      <c r="R325" s="89"/>
      <c r="S325" s="89">
        <f>100%-Table34[[#This Row],[PDF_initial fee]]</f>
        <v>1</v>
      </c>
      <c r="T325" s="89"/>
      <c r="U325" s="26"/>
    </row>
    <row r="326" spans="1:28" hidden="1" x14ac:dyDescent="0.25">
      <c r="A326">
        <v>138107</v>
      </c>
      <c r="B326" t="s">
        <v>667</v>
      </c>
      <c r="C326" t="s">
        <v>29308</v>
      </c>
      <c r="D326">
        <v>0</v>
      </c>
      <c r="E326" t="s">
        <v>667</v>
      </c>
      <c r="F326" t="s">
        <v>3</v>
      </c>
      <c r="H326" s="21">
        <v>0</v>
      </c>
      <c r="I326" s="21">
        <v>0</v>
      </c>
      <c r="J326" s="21">
        <v>0</v>
      </c>
      <c r="K326" s="21">
        <v>0</v>
      </c>
      <c r="L326" s="3">
        <f t="shared" si="18"/>
        <v>0</v>
      </c>
      <c r="M326" s="3"/>
      <c r="N326" s="3">
        <f t="shared" si="19"/>
        <v>0</v>
      </c>
      <c r="O326" s="21"/>
      <c r="R326" s="89"/>
      <c r="S326" s="89">
        <f>100%-Table34[[#This Row],[PDF_initial fee]]</f>
        <v>1</v>
      </c>
      <c r="T326" s="89"/>
      <c r="U326" s="26"/>
    </row>
    <row r="327" spans="1:28" hidden="1" x14ac:dyDescent="0.25">
      <c r="A327">
        <v>138117</v>
      </c>
      <c r="B327" t="s">
        <v>668</v>
      </c>
      <c r="C327" t="s">
        <v>29309</v>
      </c>
      <c r="D327">
        <v>3</v>
      </c>
      <c r="E327" t="s">
        <v>668</v>
      </c>
      <c r="H327" s="3">
        <v>0</v>
      </c>
      <c r="I327" s="3">
        <v>0</v>
      </c>
      <c r="J327" s="3">
        <v>0</v>
      </c>
      <c r="K327" s="3">
        <v>0</v>
      </c>
      <c r="L327" s="3">
        <f t="shared" si="18"/>
        <v>0</v>
      </c>
      <c r="M327" s="3"/>
      <c r="N327" s="3">
        <f t="shared" si="19"/>
        <v>0</v>
      </c>
      <c r="R327" s="89"/>
      <c r="S327" s="89">
        <f>100%-Table34[[#This Row],[PDF_initial fee]]</f>
        <v>1</v>
      </c>
      <c r="T327" s="89"/>
      <c r="U327" s="26"/>
    </row>
    <row r="328" spans="1:28" hidden="1" x14ac:dyDescent="0.25">
      <c r="A328">
        <v>138169</v>
      </c>
      <c r="B328" t="s">
        <v>669</v>
      </c>
      <c r="C328" t="s">
        <v>11084</v>
      </c>
      <c r="D328">
        <v>9</v>
      </c>
      <c r="E328" t="s">
        <v>669</v>
      </c>
      <c r="L328" s="3">
        <f t="shared" si="18"/>
        <v>0</v>
      </c>
      <c r="M328" s="3"/>
      <c r="N328" s="3">
        <f t="shared" si="19"/>
        <v>0</v>
      </c>
      <c r="R328" s="89"/>
      <c r="S328" s="89">
        <f>100%-Table34[[#This Row],[PDF_initial fee]]</f>
        <v>1</v>
      </c>
      <c r="T328" s="89"/>
      <c r="U328" s="26"/>
    </row>
    <row r="329" spans="1:28" x14ac:dyDescent="0.25">
      <c r="A329">
        <v>125913</v>
      </c>
      <c r="B329" t="s">
        <v>33</v>
      </c>
      <c r="C329" s="1" t="s">
        <v>7892</v>
      </c>
      <c r="D329">
        <v>5</v>
      </c>
      <c r="E329" t="s">
        <v>33</v>
      </c>
      <c r="F329" t="s">
        <v>3</v>
      </c>
      <c r="G329" s="3">
        <v>1.4E-3</v>
      </c>
      <c r="H329" s="3">
        <v>0.02</v>
      </c>
      <c r="I329" s="21">
        <v>0</v>
      </c>
      <c r="J329" s="6">
        <v>0</v>
      </c>
      <c r="K329" s="6">
        <v>7.4999999999999997E-3</v>
      </c>
      <c r="L329" s="3">
        <f t="shared" si="18"/>
        <v>2.75E-2</v>
      </c>
      <c r="M329" s="3"/>
      <c r="N329" s="3">
        <f t="shared" si="19"/>
        <v>2.8899999999999999E-2</v>
      </c>
      <c r="P329" s="1" t="s">
        <v>29310</v>
      </c>
      <c r="Q329" t="s">
        <v>31787</v>
      </c>
      <c r="R329" s="89">
        <v>0.33333333333333348</v>
      </c>
      <c r="S329" s="89">
        <f>100%-Table34[[#This Row],[InitialFee]]</f>
        <v>0.98</v>
      </c>
      <c r="T329" s="89">
        <f>(1-Table34[[#This Row],[PDF ongoing fee]])^5</f>
        <v>0.9630582970465823</v>
      </c>
      <c r="U329" s="26">
        <f>(1+Table34[[#This Row],[Net 5yrs return (mostly up to 28th of Feb 2026)]])*Table34[[#This Row],[Investment after initial charge]]*Table34[[#This Row],[Cummulative 5yrs ongoing advice charge]]-1</f>
        <v>0.2583961748075343</v>
      </c>
      <c r="V329" s="10">
        <v>2056671</v>
      </c>
      <c r="W329" t="s">
        <v>29051</v>
      </c>
      <c r="X329" s="10">
        <v>2046955</v>
      </c>
      <c r="Y329" s="30">
        <f>X329/V329</f>
        <v>0.99527586084502573</v>
      </c>
      <c r="AA329" s="1" t="s">
        <v>29311</v>
      </c>
    </row>
    <row r="330" spans="1:28" hidden="1" x14ac:dyDescent="0.25">
      <c r="A330">
        <v>138206</v>
      </c>
      <c r="B330" t="s">
        <v>670</v>
      </c>
      <c r="C330" t="s">
        <v>6958</v>
      </c>
      <c r="D330">
        <v>1</v>
      </c>
      <c r="E330" t="s">
        <v>670</v>
      </c>
      <c r="F330" t="s">
        <v>6958</v>
      </c>
      <c r="H330" s="21">
        <v>0</v>
      </c>
      <c r="I330" s="21">
        <v>0</v>
      </c>
      <c r="J330" s="21">
        <v>0</v>
      </c>
      <c r="K330" s="21">
        <v>0</v>
      </c>
      <c r="L330" s="3">
        <f t="shared" si="18"/>
        <v>0</v>
      </c>
      <c r="M330" s="3"/>
      <c r="N330" s="3">
        <f t="shared" si="19"/>
        <v>0</v>
      </c>
      <c r="R330" s="89"/>
      <c r="S330" s="89">
        <f>100%-Table34[[#This Row],[PDF_initial fee]]</f>
        <v>1</v>
      </c>
      <c r="T330" s="89"/>
      <c r="U330" s="26"/>
    </row>
    <row r="331" spans="1:28" hidden="1" x14ac:dyDescent="0.25">
      <c r="A331">
        <v>138207</v>
      </c>
      <c r="B331" t="s">
        <v>671</v>
      </c>
      <c r="C331" t="s">
        <v>6958</v>
      </c>
      <c r="D331">
        <v>2</v>
      </c>
      <c r="E331" t="s">
        <v>671</v>
      </c>
      <c r="F331" t="s">
        <v>6958</v>
      </c>
      <c r="H331" s="21">
        <v>0</v>
      </c>
      <c r="I331" s="21">
        <v>0</v>
      </c>
      <c r="J331" s="21">
        <v>0</v>
      </c>
      <c r="K331" s="21">
        <v>0</v>
      </c>
      <c r="L331" s="3">
        <f t="shared" si="18"/>
        <v>0</v>
      </c>
      <c r="M331" s="3"/>
      <c r="N331" s="3">
        <f t="shared" si="19"/>
        <v>0</v>
      </c>
      <c r="R331" s="89"/>
      <c r="S331" s="89">
        <f>100%-Table34[[#This Row],[PDF_initial fee]]</f>
        <v>1</v>
      </c>
      <c r="T331" s="89"/>
      <c r="U331" s="26"/>
    </row>
    <row r="332" spans="1:28" hidden="1" x14ac:dyDescent="0.25">
      <c r="A332">
        <v>138276</v>
      </c>
      <c r="B332" t="s">
        <v>672</v>
      </c>
      <c r="C332" t="s">
        <v>12458</v>
      </c>
      <c r="D332">
        <v>2</v>
      </c>
      <c r="E332" t="s">
        <v>672</v>
      </c>
      <c r="H332" s="21">
        <v>0</v>
      </c>
      <c r="I332" s="21">
        <v>0</v>
      </c>
      <c r="J332" s="21">
        <v>0</v>
      </c>
      <c r="K332" s="21">
        <v>0</v>
      </c>
      <c r="L332" s="3">
        <f t="shared" si="18"/>
        <v>0</v>
      </c>
      <c r="M332" s="3"/>
      <c r="N332" s="3">
        <f t="shared" si="19"/>
        <v>0</v>
      </c>
      <c r="R332" s="89"/>
      <c r="S332" s="89">
        <f>100%-Table34[[#This Row],[PDF_initial fee]]</f>
        <v>1</v>
      </c>
      <c r="T332" s="89"/>
      <c r="U332" s="26"/>
    </row>
    <row r="333" spans="1:28" hidden="1" x14ac:dyDescent="0.25">
      <c r="A333">
        <v>138881</v>
      </c>
      <c r="B333" t="s">
        <v>673</v>
      </c>
      <c r="C333" t="s">
        <v>6958</v>
      </c>
      <c r="D333">
        <v>1</v>
      </c>
      <c r="E333" t="s">
        <v>673</v>
      </c>
      <c r="F333" t="s">
        <v>6958</v>
      </c>
      <c r="H333" s="21">
        <v>0</v>
      </c>
      <c r="I333" s="21">
        <v>0</v>
      </c>
      <c r="J333" s="21">
        <v>0</v>
      </c>
      <c r="K333" s="21">
        <v>0</v>
      </c>
      <c r="L333" s="3">
        <f t="shared" si="18"/>
        <v>0</v>
      </c>
      <c r="M333" s="3"/>
      <c r="N333" s="3">
        <f t="shared" si="19"/>
        <v>0</v>
      </c>
      <c r="R333" s="89"/>
      <c r="S333" s="89">
        <f>100%-Table34[[#This Row],[PDF_initial fee]]</f>
        <v>1</v>
      </c>
      <c r="T333" s="89"/>
      <c r="U333" s="26"/>
    </row>
    <row r="334" spans="1:28" hidden="1" x14ac:dyDescent="0.25">
      <c r="A334">
        <v>138895</v>
      </c>
      <c r="B334" t="s">
        <v>674</v>
      </c>
      <c r="C334" t="s">
        <v>6958</v>
      </c>
      <c r="D334">
        <v>1</v>
      </c>
      <c r="E334" t="s">
        <v>674</v>
      </c>
      <c r="F334" t="s">
        <v>6958</v>
      </c>
      <c r="H334" s="21">
        <v>0</v>
      </c>
      <c r="I334" s="21">
        <v>0</v>
      </c>
      <c r="J334" s="21">
        <v>0</v>
      </c>
      <c r="K334" s="21">
        <v>0</v>
      </c>
      <c r="L334" s="3">
        <f t="shared" si="18"/>
        <v>0</v>
      </c>
      <c r="M334" s="3"/>
      <c r="N334" s="3">
        <f t="shared" si="19"/>
        <v>0</v>
      </c>
      <c r="R334" s="89"/>
      <c r="S334" s="89">
        <f>100%-Table34[[#This Row],[PDF_initial fee]]</f>
        <v>1</v>
      </c>
      <c r="T334" s="89"/>
      <c r="U334" s="26"/>
    </row>
    <row r="335" spans="1:28" hidden="1" x14ac:dyDescent="0.25">
      <c r="A335">
        <v>138903</v>
      </c>
      <c r="B335" t="s">
        <v>675</v>
      </c>
      <c r="C335" t="s">
        <v>9588</v>
      </c>
      <c r="D335">
        <v>2</v>
      </c>
      <c r="E335" t="s">
        <v>675</v>
      </c>
      <c r="H335" s="21">
        <v>0</v>
      </c>
      <c r="I335" s="21">
        <v>0</v>
      </c>
      <c r="J335" s="21">
        <v>0</v>
      </c>
      <c r="K335" s="21">
        <v>0</v>
      </c>
      <c r="L335" s="3">
        <f t="shared" si="18"/>
        <v>0</v>
      </c>
      <c r="M335" s="3"/>
      <c r="N335" s="3">
        <f t="shared" si="19"/>
        <v>0</v>
      </c>
      <c r="R335" s="89"/>
      <c r="S335" s="89">
        <f>100%-Table34[[#This Row],[PDF_initial fee]]</f>
        <v>1</v>
      </c>
      <c r="T335" s="89"/>
      <c r="U335" s="26"/>
    </row>
    <row r="336" spans="1:28" hidden="1" x14ac:dyDescent="0.25">
      <c r="A336">
        <v>138916</v>
      </c>
      <c r="B336" t="s">
        <v>676</v>
      </c>
      <c r="C336" t="s">
        <v>11095</v>
      </c>
      <c r="D336">
        <v>1</v>
      </c>
      <c r="E336" t="s">
        <v>676</v>
      </c>
      <c r="H336" s="21">
        <v>0</v>
      </c>
      <c r="I336" s="21">
        <v>0</v>
      </c>
      <c r="J336" s="21">
        <v>0</v>
      </c>
      <c r="K336" s="21">
        <v>0</v>
      </c>
      <c r="L336" s="3">
        <f t="shared" si="18"/>
        <v>0</v>
      </c>
      <c r="M336" s="3"/>
      <c r="N336" s="3">
        <f t="shared" si="19"/>
        <v>0</v>
      </c>
      <c r="R336" s="89"/>
      <c r="S336" s="89">
        <f>100%-Table34[[#This Row],[PDF_initial fee]]</f>
        <v>1</v>
      </c>
      <c r="T336" s="89"/>
      <c r="U336" s="26"/>
    </row>
    <row r="337" spans="1:29" x14ac:dyDescent="0.25">
      <c r="A337">
        <v>188596</v>
      </c>
      <c r="B337" t="s">
        <v>90</v>
      </c>
      <c r="C337" s="1" t="s">
        <v>8717</v>
      </c>
      <c r="D337">
        <v>92</v>
      </c>
      <c r="E337" t="s">
        <v>90</v>
      </c>
      <c r="F337" t="s">
        <v>6</v>
      </c>
      <c r="G337" s="3">
        <f>0.47%+0.25%</f>
        <v>7.1999999999999998E-3</v>
      </c>
      <c r="H337" s="21">
        <v>0</v>
      </c>
      <c r="I337" s="51">
        <v>8.0000000000000002E-3</v>
      </c>
      <c r="J337" s="6">
        <v>0</v>
      </c>
      <c r="K337" s="6">
        <v>0</v>
      </c>
      <c r="L337" s="3">
        <f t="shared" si="18"/>
        <v>8.0000000000000002E-3</v>
      </c>
      <c r="M337" s="3"/>
      <c r="N337" s="3">
        <f t="shared" si="19"/>
        <v>1.52E-2</v>
      </c>
      <c r="O337" t="s">
        <v>29312</v>
      </c>
      <c r="P337" s="1" t="s">
        <v>29313</v>
      </c>
      <c r="Q337" s="1" t="s">
        <v>29314</v>
      </c>
      <c r="R337" s="89">
        <v>0.2762</v>
      </c>
      <c r="S337" s="89">
        <f>100%-Table34[[#This Row],[InitialFee]]</f>
        <v>1</v>
      </c>
      <c r="T337" s="89">
        <f>(1-Table34[[#This Row],[OngoingFee (plus Platform fee)]])^5</f>
        <v>0.96063490044723188</v>
      </c>
      <c r="U337" s="26">
        <f>(1+Table34[[#This Row],[Net 5yrs return (mostly up to 28th of Feb 2026)]])*Table34[[#This Row],[Investment after initial charge]]*Table34[[#This Row],[Cummulative 5yrs ongoing advice charge]]-1</f>
        <v>0.22596225995075736</v>
      </c>
      <c r="V337" s="10">
        <f>145886+14013347</f>
        <v>14159233</v>
      </c>
      <c r="W337" t="s">
        <v>29051</v>
      </c>
      <c r="X337" s="10">
        <v>8620843</v>
      </c>
      <c r="Y337" s="30">
        <f>X337/V337</f>
        <v>0.60884957539719842</v>
      </c>
      <c r="AA337" s="1" t="s">
        <v>29315</v>
      </c>
      <c r="AC337" t="s">
        <v>29316</v>
      </c>
    </row>
    <row r="338" spans="1:29" hidden="1" x14ac:dyDescent="0.25">
      <c r="A338">
        <v>139034</v>
      </c>
      <c r="B338" t="s">
        <v>677</v>
      </c>
      <c r="C338" t="s">
        <v>6958</v>
      </c>
      <c r="D338">
        <v>1</v>
      </c>
      <c r="E338" t="s">
        <v>677</v>
      </c>
      <c r="F338" t="s">
        <v>6958</v>
      </c>
      <c r="H338" s="21">
        <v>0</v>
      </c>
      <c r="I338" s="21">
        <v>0</v>
      </c>
      <c r="J338" s="21">
        <v>0</v>
      </c>
      <c r="K338" s="21">
        <v>0</v>
      </c>
      <c r="L338" s="3">
        <f t="shared" si="18"/>
        <v>0</v>
      </c>
      <c r="M338" s="3"/>
      <c r="N338" s="3">
        <f t="shared" si="19"/>
        <v>0</v>
      </c>
      <c r="R338" s="89"/>
      <c r="S338" s="89">
        <f>100%-Table34[[#This Row],[PDF_initial fee]]</f>
        <v>1</v>
      </c>
      <c r="T338" s="89"/>
      <c r="U338" s="26"/>
    </row>
    <row r="339" spans="1:29" hidden="1" x14ac:dyDescent="0.25">
      <c r="A339">
        <v>139179</v>
      </c>
      <c r="B339" t="s">
        <v>678</v>
      </c>
      <c r="C339" t="s">
        <v>29317</v>
      </c>
      <c r="D339">
        <v>95</v>
      </c>
      <c r="E339" t="s">
        <v>678</v>
      </c>
      <c r="F339" t="s">
        <v>6</v>
      </c>
      <c r="H339" s="21">
        <v>0</v>
      </c>
      <c r="I339" s="21">
        <v>0</v>
      </c>
      <c r="J339" s="21">
        <v>0</v>
      </c>
      <c r="K339" s="21">
        <v>0</v>
      </c>
      <c r="L339" s="3">
        <f t="shared" si="18"/>
        <v>0</v>
      </c>
      <c r="M339" s="3"/>
      <c r="N339" s="3">
        <f t="shared" si="19"/>
        <v>0</v>
      </c>
      <c r="O339" s="21"/>
      <c r="R339" s="89"/>
      <c r="S339" s="89">
        <f>100%-Table34[[#This Row],[PDF_initial fee]]</f>
        <v>1</v>
      </c>
      <c r="T339" s="89"/>
      <c r="U339" s="26"/>
    </row>
    <row r="340" spans="1:29" hidden="1" x14ac:dyDescent="0.25">
      <c r="A340">
        <v>139189</v>
      </c>
      <c r="B340" t="s">
        <v>679</v>
      </c>
      <c r="C340" t="s">
        <v>29318</v>
      </c>
      <c r="D340">
        <v>0</v>
      </c>
      <c r="E340" t="s">
        <v>679</v>
      </c>
      <c r="F340" t="s">
        <v>29147</v>
      </c>
      <c r="H340" s="21">
        <v>0</v>
      </c>
      <c r="I340" s="21">
        <v>0</v>
      </c>
      <c r="J340" s="21">
        <v>0</v>
      </c>
      <c r="K340" s="21">
        <v>0</v>
      </c>
      <c r="L340" s="3">
        <f t="shared" si="18"/>
        <v>0</v>
      </c>
      <c r="M340" s="3"/>
      <c r="N340" s="3">
        <f t="shared" si="19"/>
        <v>0</v>
      </c>
      <c r="O340" s="21"/>
      <c r="R340" s="89"/>
      <c r="S340" s="89">
        <f>100%-Table34[[#This Row],[PDF_initial fee]]</f>
        <v>1</v>
      </c>
      <c r="T340" s="89"/>
      <c r="U340" s="26"/>
    </row>
    <row r="341" spans="1:29" hidden="1" x14ac:dyDescent="0.25">
      <c r="A341">
        <v>139253</v>
      </c>
      <c r="B341" t="s">
        <v>680</v>
      </c>
      <c r="C341" t="s">
        <v>29319</v>
      </c>
      <c r="D341">
        <v>0</v>
      </c>
      <c r="E341" t="s">
        <v>680</v>
      </c>
      <c r="F341" t="s">
        <v>29136</v>
      </c>
      <c r="H341" s="21">
        <v>0</v>
      </c>
      <c r="I341" s="21">
        <v>0</v>
      </c>
      <c r="J341" s="21">
        <v>0</v>
      </c>
      <c r="K341" s="21">
        <v>0</v>
      </c>
      <c r="L341" s="3">
        <f t="shared" si="18"/>
        <v>0</v>
      </c>
      <c r="M341" s="3"/>
      <c r="N341" s="3">
        <f t="shared" si="19"/>
        <v>0</v>
      </c>
      <c r="O341" s="21"/>
      <c r="R341" s="89"/>
      <c r="S341" s="89">
        <f>100%-Table34[[#This Row],[PDF_initial fee]]</f>
        <v>1</v>
      </c>
      <c r="T341" s="89"/>
      <c r="U341" s="26"/>
    </row>
    <row r="342" spans="1:29" hidden="1" x14ac:dyDescent="0.25">
      <c r="A342">
        <v>139459</v>
      </c>
      <c r="B342" t="s">
        <v>682</v>
      </c>
      <c r="C342" t="s">
        <v>6958</v>
      </c>
      <c r="D342">
        <v>0</v>
      </c>
      <c r="E342" t="s">
        <v>682</v>
      </c>
      <c r="F342" t="s">
        <v>6958</v>
      </c>
      <c r="L342" s="3">
        <f t="shared" si="18"/>
        <v>0</v>
      </c>
      <c r="M342" s="3"/>
      <c r="N342" s="3">
        <f t="shared" si="19"/>
        <v>0</v>
      </c>
      <c r="R342" s="89"/>
      <c r="S342" s="89">
        <f>100%-Table34[[#This Row],[PDF_initial fee]]</f>
        <v>1</v>
      </c>
      <c r="T342" s="89"/>
      <c r="U342" s="26"/>
    </row>
    <row r="343" spans="1:29" hidden="1" x14ac:dyDescent="0.25">
      <c r="A343">
        <v>140180</v>
      </c>
      <c r="B343" t="s">
        <v>683</v>
      </c>
      <c r="C343" t="s">
        <v>6958</v>
      </c>
      <c r="D343">
        <v>1</v>
      </c>
      <c r="E343" t="s">
        <v>683</v>
      </c>
      <c r="F343" t="s">
        <v>6958</v>
      </c>
      <c r="H343" s="21">
        <v>0</v>
      </c>
      <c r="I343" s="21">
        <v>0</v>
      </c>
      <c r="J343" s="21">
        <v>0</v>
      </c>
      <c r="K343" s="21">
        <v>0</v>
      </c>
      <c r="L343" s="3">
        <f t="shared" si="18"/>
        <v>0</v>
      </c>
      <c r="M343" s="3"/>
      <c r="N343" s="3">
        <f t="shared" si="19"/>
        <v>0</v>
      </c>
      <c r="R343" s="89"/>
      <c r="S343" s="89">
        <f>100%-Table34[[#This Row],[PDF_initial fee]]</f>
        <v>1</v>
      </c>
      <c r="T343" s="89"/>
      <c r="U343" s="26"/>
    </row>
    <row r="344" spans="1:29" hidden="1" x14ac:dyDescent="0.25">
      <c r="A344">
        <v>140448</v>
      </c>
      <c r="B344" t="s">
        <v>684</v>
      </c>
      <c r="C344" t="s">
        <v>6958</v>
      </c>
      <c r="D344">
        <v>3</v>
      </c>
      <c r="E344" t="s">
        <v>684</v>
      </c>
      <c r="F344" t="s">
        <v>6958</v>
      </c>
      <c r="H344" s="21">
        <v>0</v>
      </c>
      <c r="I344" s="21">
        <v>0</v>
      </c>
      <c r="J344" s="21">
        <v>0</v>
      </c>
      <c r="K344" s="21">
        <v>0</v>
      </c>
      <c r="L344" s="3">
        <f t="shared" ref="L344:L407" si="20">SUM(H344:K344)</f>
        <v>0</v>
      </c>
      <c r="M344" s="3"/>
      <c r="N344" s="3">
        <f t="shared" ref="N344:N407" si="21">L344+G344</f>
        <v>0</v>
      </c>
      <c r="R344" s="89"/>
      <c r="S344" s="89">
        <f>100%-Table34[[#This Row],[PDF_initial fee]]</f>
        <v>1</v>
      </c>
      <c r="T344" s="89"/>
      <c r="U344" s="26"/>
    </row>
    <row r="345" spans="1:29" hidden="1" x14ac:dyDescent="0.25">
      <c r="A345">
        <v>140773</v>
      </c>
      <c r="B345" t="s">
        <v>685</v>
      </c>
      <c r="C345" t="s">
        <v>29320</v>
      </c>
      <c r="D345">
        <v>13</v>
      </c>
      <c r="E345" t="s">
        <v>685</v>
      </c>
      <c r="H345" s="21">
        <v>0</v>
      </c>
      <c r="I345" s="21">
        <v>0</v>
      </c>
      <c r="J345" s="21">
        <v>0</v>
      </c>
      <c r="K345" s="21">
        <v>0</v>
      </c>
      <c r="L345" s="3">
        <f t="shared" si="20"/>
        <v>0</v>
      </c>
      <c r="M345" s="3"/>
      <c r="N345" s="3">
        <f t="shared" si="21"/>
        <v>0</v>
      </c>
      <c r="O345" s="21"/>
      <c r="R345" s="89"/>
      <c r="S345" s="89">
        <f>100%-Table34[[#This Row],[PDF_initial fee]]</f>
        <v>1</v>
      </c>
      <c r="T345" s="89"/>
      <c r="U345" s="26"/>
    </row>
    <row r="346" spans="1:29" hidden="1" x14ac:dyDescent="0.25">
      <c r="A346">
        <v>140848</v>
      </c>
      <c r="B346" t="s">
        <v>686</v>
      </c>
      <c r="C346" s="1" t="s">
        <v>29321</v>
      </c>
      <c r="D346">
        <v>32</v>
      </c>
      <c r="E346" t="s">
        <v>686</v>
      </c>
      <c r="F346" t="s">
        <v>6</v>
      </c>
      <c r="L346" s="3">
        <f t="shared" si="20"/>
        <v>0</v>
      </c>
      <c r="M346" s="3"/>
      <c r="N346" s="3">
        <f t="shared" si="21"/>
        <v>0</v>
      </c>
      <c r="P346" s="22" t="str">
        <f>V346</f>
        <v>http://www.db.com/files/documents/costs-and-charges/investment-bank-products--bonds--corporate-bond.pdf</v>
      </c>
      <c r="R346" s="89"/>
      <c r="S346" s="89">
        <f>100%-Table34[[#This Row],[PDF_initial fee]]</f>
        <v>1</v>
      </c>
      <c r="T346" s="89"/>
      <c r="U346" s="26"/>
      <c r="V346" t="s">
        <v>29322</v>
      </c>
    </row>
    <row r="347" spans="1:29" hidden="1" x14ac:dyDescent="0.25">
      <c r="A347">
        <v>140948</v>
      </c>
      <c r="B347" t="s">
        <v>687</v>
      </c>
      <c r="C347" t="s">
        <v>29323</v>
      </c>
      <c r="D347">
        <v>7</v>
      </c>
      <c r="E347" t="s">
        <v>687</v>
      </c>
      <c r="H347" s="21">
        <v>0</v>
      </c>
      <c r="I347" s="21">
        <v>0</v>
      </c>
      <c r="J347" s="21">
        <v>0</v>
      </c>
      <c r="K347" s="21">
        <v>0</v>
      </c>
      <c r="L347" s="3">
        <f t="shared" si="20"/>
        <v>0</v>
      </c>
      <c r="M347" s="3"/>
      <c r="N347" s="3">
        <f t="shared" si="21"/>
        <v>0</v>
      </c>
      <c r="O347" s="21"/>
      <c r="R347" s="89"/>
      <c r="S347" s="89">
        <f>100%-Table34[[#This Row],[PDF_initial fee]]</f>
        <v>1</v>
      </c>
      <c r="T347" s="89"/>
      <c r="U347" s="26"/>
    </row>
    <row r="348" spans="1:29" hidden="1" x14ac:dyDescent="0.25">
      <c r="A348">
        <v>141025</v>
      </c>
      <c r="B348" t="s">
        <v>688</v>
      </c>
      <c r="C348" t="s">
        <v>6958</v>
      </c>
      <c r="D348">
        <v>0</v>
      </c>
      <c r="E348" t="s">
        <v>688</v>
      </c>
      <c r="F348" t="s">
        <v>6958</v>
      </c>
      <c r="H348" s="21">
        <v>0</v>
      </c>
      <c r="I348" s="21">
        <v>0</v>
      </c>
      <c r="J348" s="21">
        <v>0</v>
      </c>
      <c r="K348" s="21">
        <v>0</v>
      </c>
      <c r="L348" s="3">
        <f t="shared" si="20"/>
        <v>0</v>
      </c>
      <c r="M348" s="3"/>
      <c r="N348" s="3">
        <f t="shared" si="21"/>
        <v>0</v>
      </c>
      <c r="R348" s="89"/>
      <c r="S348" s="89">
        <f>100%-Table34[[#This Row],[PDF_initial fee]]</f>
        <v>1</v>
      </c>
      <c r="T348" s="89"/>
      <c r="U348" s="26"/>
    </row>
    <row r="349" spans="1:29" hidden="1" x14ac:dyDescent="0.25">
      <c r="A349">
        <v>141282</v>
      </c>
      <c r="B349" t="s">
        <v>689</v>
      </c>
      <c r="C349" t="s">
        <v>9636</v>
      </c>
      <c r="D349">
        <v>0</v>
      </c>
      <c r="E349" t="s">
        <v>689</v>
      </c>
      <c r="F349" t="s">
        <v>3</v>
      </c>
      <c r="H349" s="21">
        <v>0</v>
      </c>
      <c r="I349" s="21">
        <v>0</v>
      </c>
      <c r="J349" s="21">
        <v>0</v>
      </c>
      <c r="K349" s="21">
        <v>0</v>
      </c>
      <c r="L349" s="3">
        <f t="shared" si="20"/>
        <v>0</v>
      </c>
      <c r="M349" s="3"/>
      <c r="N349" s="3">
        <f t="shared" si="21"/>
        <v>0</v>
      </c>
      <c r="R349" s="89"/>
      <c r="S349" s="89">
        <f>100%-Table34[[#This Row],[PDF_initial fee]]</f>
        <v>1</v>
      </c>
      <c r="T349" s="89"/>
      <c r="U349" s="26"/>
    </row>
    <row r="350" spans="1:29" hidden="1" x14ac:dyDescent="0.25">
      <c r="A350">
        <v>141309</v>
      </c>
      <c r="B350" t="s">
        <v>690</v>
      </c>
      <c r="C350" t="s">
        <v>29324</v>
      </c>
      <c r="D350">
        <v>0</v>
      </c>
      <c r="E350" t="s">
        <v>690</v>
      </c>
      <c r="F350" t="s">
        <v>29325</v>
      </c>
      <c r="J350" s="3"/>
      <c r="L350" s="3">
        <f t="shared" si="20"/>
        <v>0</v>
      </c>
      <c r="M350" s="3"/>
      <c r="N350" s="3">
        <f t="shared" si="21"/>
        <v>0</v>
      </c>
      <c r="R350" s="89"/>
      <c r="S350" s="89">
        <f>100%-Table34[[#This Row],[PDF_initial fee]]</f>
        <v>1</v>
      </c>
      <c r="T350" s="89"/>
      <c r="U350" s="26"/>
    </row>
    <row r="351" spans="1:29" x14ac:dyDescent="0.25">
      <c r="A351">
        <v>126319</v>
      </c>
      <c r="B351" t="s">
        <v>35</v>
      </c>
      <c r="C351" s="1" t="s">
        <v>7369</v>
      </c>
      <c r="D351">
        <v>2</v>
      </c>
      <c r="E351" t="s">
        <v>35</v>
      </c>
      <c r="F351" t="s">
        <v>3</v>
      </c>
      <c r="G351" s="3">
        <v>1.4E-3</v>
      </c>
      <c r="H351" s="3">
        <v>0</v>
      </c>
      <c r="I351" s="21">
        <v>0</v>
      </c>
      <c r="J351" s="6">
        <v>0</v>
      </c>
      <c r="K351" s="6">
        <v>8.5000000000000006E-3</v>
      </c>
      <c r="L351" s="3">
        <f t="shared" si="20"/>
        <v>8.5000000000000006E-3</v>
      </c>
      <c r="M351" s="3"/>
      <c r="N351" s="3">
        <f t="shared" si="21"/>
        <v>9.9000000000000008E-3</v>
      </c>
      <c r="O351" t="s">
        <v>29326</v>
      </c>
      <c r="P351" s="1" t="s">
        <v>29327</v>
      </c>
      <c r="Q351" t="s">
        <v>31787</v>
      </c>
      <c r="R351" s="89">
        <v>0.33333333333333348</v>
      </c>
      <c r="S351" s="99">
        <f>100%-Table34[[#This Row],[InitialFee]]</f>
        <v>1</v>
      </c>
      <c r="T351" s="99">
        <f>(1-Table34[[#This Row],[PDF ongoing fee]])^5</f>
        <v>0.95821638480594218</v>
      </c>
      <c r="U351" s="26">
        <f>(1+Table34[[#This Row],[Net 5yrs return (mostly up to 28th of Feb 2026)]])*Table34[[#This Row],[Investment after initial charge]]*Table34[[#This Row],[Cummulative 5yrs ongoing advice charge]]-1</f>
        <v>0.27762184640792298</v>
      </c>
      <c r="V351" s="10">
        <v>215782</v>
      </c>
      <c r="W351" t="s">
        <v>29051</v>
      </c>
      <c r="X351" s="10">
        <v>215182</v>
      </c>
      <c r="Y351" s="30">
        <f>X351/V351</f>
        <v>0.99721941589196506</v>
      </c>
      <c r="AA351" s="1" t="s">
        <v>29328</v>
      </c>
      <c r="AC351" t="s">
        <v>29329</v>
      </c>
    </row>
    <row r="352" spans="1:29" x14ac:dyDescent="0.25">
      <c r="A352">
        <v>960483</v>
      </c>
      <c r="B352" t="s">
        <v>347</v>
      </c>
      <c r="C352" s="1" t="s">
        <v>29330</v>
      </c>
      <c r="D352">
        <v>3</v>
      </c>
      <c r="E352" t="s">
        <v>347</v>
      </c>
      <c r="F352" t="s">
        <v>3</v>
      </c>
      <c r="G352" s="3">
        <v>1.4E-3</v>
      </c>
      <c r="H352" s="3">
        <v>1.95E-2</v>
      </c>
      <c r="I352" s="3">
        <v>7.0000000000000001E-3</v>
      </c>
      <c r="J352" s="6">
        <v>0</v>
      </c>
      <c r="K352" s="6"/>
      <c r="L352" s="3">
        <f t="shared" si="20"/>
        <v>2.6499999999999999E-2</v>
      </c>
      <c r="M352" s="3"/>
      <c r="N352" s="3">
        <f t="shared" si="21"/>
        <v>2.7899999999999998E-2</v>
      </c>
      <c r="P352" s="31" t="s">
        <v>29331</v>
      </c>
      <c r="Q352" t="s">
        <v>31787</v>
      </c>
      <c r="R352" s="89">
        <v>0.33333333333333348</v>
      </c>
      <c r="S352" s="89">
        <f>100%-Table34[[#This Row],[InitialFee]]</f>
        <v>0.98050000000000004</v>
      </c>
      <c r="T352" s="89">
        <f>(1-Table34[[#This Row],[OngoingFee (plus Platform fee)]])^5</f>
        <v>0.96548658198819293</v>
      </c>
      <c r="U352" s="26">
        <f>(1+Table34[[#This Row],[Net 5yrs return (mostly up to 28th of Feb 2026)]])*Table34[[#This Row],[Investment after initial charge]]*Table34[[#This Row],[Cummulative 5yrs ongoing advice charge]]-1</f>
        <v>0.26221279151923094</v>
      </c>
      <c r="V352" s="10">
        <f>170776+129159</f>
        <v>299935</v>
      </c>
      <c r="W352" t="s">
        <v>29051</v>
      </c>
      <c r="X352" s="9">
        <v>121879</v>
      </c>
      <c r="Y352" s="30">
        <f>X352/V352</f>
        <v>0.40635137613149513</v>
      </c>
      <c r="AA352" s="1" t="s">
        <v>29332</v>
      </c>
    </row>
    <row r="353" spans="1:28" hidden="1" x14ac:dyDescent="0.25">
      <c r="A353">
        <v>141933</v>
      </c>
      <c r="B353" t="s">
        <v>692</v>
      </c>
      <c r="C353" t="s">
        <v>8492</v>
      </c>
      <c r="D353">
        <v>1</v>
      </c>
      <c r="E353" t="s">
        <v>692</v>
      </c>
      <c r="L353" s="3">
        <f t="shared" si="20"/>
        <v>0</v>
      </c>
      <c r="M353" s="3"/>
      <c r="N353" s="3">
        <f t="shared" si="21"/>
        <v>0</v>
      </c>
      <c r="R353" s="89"/>
      <c r="S353" s="89">
        <f>100%-Table34[[#This Row],[PDF_initial fee]]</f>
        <v>1</v>
      </c>
      <c r="T353" s="89"/>
      <c r="U353" s="26"/>
    </row>
    <row r="354" spans="1:28" hidden="1" x14ac:dyDescent="0.25">
      <c r="A354">
        <v>142235</v>
      </c>
      <c r="B354" t="s">
        <v>693</v>
      </c>
      <c r="C354" t="s">
        <v>29333</v>
      </c>
      <c r="D354">
        <v>0</v>
      </c>
      <c r="E354" t="s">
        <v>693</v>
      </c>
      <c r="F354" t="s">
        <v>29136</v>
      </c>
      <c r="H354" s="21">
        <v>0</v>
      </c>
      <c r="I354" s="3">
        <v>0</v>
      </c>
      <c r="J354" s="3">
        <v>0</v>
      </c>
      <c r="K354">
        <v>0</v>
      </c>
      <c r="L354" s="3">
        <f t="shared" si="20"/>
        <v>0</v>
      </c>
      <c r="M354" s="3"/>
      <c r="N354" s="3">
        <f t="shared" si="21"/>
        <v>0</v>
      </c>
      <c r="R354" s="89"/>
      <c r="S354" s="89">
        <f>100%-Table34[[#This Row],[PDF_initial fee]]</f>
        <v>1</v>
      </c>
      <c r="T354" s="89"/>
      <c r="U354" s="26"/>
    </row>
    <row r="355" spans="1:28" hidden="1" x14ac:dyDescent="0.25">
      <c r="A355">
        <v>142468</v>
      </c>
      <c r="B355" t="s">
        <v>695</v>
      </c>
      <c r="C355" s="1" t="s">
        <v>29334</v>
      </c>
      <c r="D355">
        <v>2</v>
      </c>
      <c r="E355" t="s">
        <v>695</v>
      </c>
      <c r="G355" s="1"/>
      <c r="H355" s="3">
        <v>0</v>
      </c>
      <c r="I355" s="3">
        <v>0</v>
      </c>
      <c r="J355" s="3">
        <v>0</v>
      </c>
      <c r="K355" s="3">
        <v>0</v>
      </c>
      <c r="L355" s="3">
        <f t="shared" si="20"/>
        <v>0</v>
      </c>
      <c r="M355" s="3"/>
      <c r="N355" s="3">
        <f t="shared" si="21"/>
        <v>0</v>
      </c>
      <c r="R355" s="89"/>
      <c r="S355" s="89">
        <f>100%-Table34[[#This Row],[PDF_initial fee]]</f>
        <v>1</v>
      </c>
      <c r="T355" s="89"/>
      <c r="U355" s="26"/>
    </row>
    <row r="356" spans="1:28" hidden="1" x14ac:dyDescent="0.25">
      <c r="A356">
        <v>142499</v>
      </c>
      <c r="B356" t="s">
        <v>696</v>
      </c>
      <c r="C356" t="s">
        <v>6958</v>
      </c>
      <c r="D356">
        <v>0</v>
      </c>
      <c r="E356" t="s">
        <v>696</v>
      </c>
      <c r="F356" t="s">
        <v>6958</v>
      </c>
      <c r="H356" s="21">
        <v>0</v>
      </c>
      <c r="I356" s="21">
        <v>0</v>
      </c>
      <c r="J356" s="21">
        <v>0</v>
      </c>
      <c r="K356" s="21">
        <v>0</v>
      </c>
      <c r="L356" s="3">
        <f t="shared" si="20"/>
        <v>0</v>
      </c>
      <c r="M356" s="3"/>
      <c r="N356" s="3">
        <f t="shared" si="21"/>
        <v>0</v>
      </c>
      <c r="O356" s="21"/>
      <c r="R356" s="89"/>
      <c r="S356" s="89">
        <f>100%-Table34[[#This Row],[PDF_initial fee]]</f>
        <v>1</v>
      </c>
      <c r="T356" s="89"/>
      <c r="U356" s="26"/>
    </row>
    <row r="357" spans="1:28" hidden="1" x14ac:dyDescent="0.25">
      <c r="A357">
        <v>142521</v>
      </c>
      <c r="B357" t="s">
        <v>697</v>
      </c>
      <c r="C357" t="s">
        <v>6958</v>
      </c>
      <c r="D357">
        <v>2</v>
      </c>
      <c r="E357" t="s">
        <v>697</v>
      </c>
      <c r="F357" t="s">
        <v>6958</v>
      </c>
      <c r="H357" s="21">
        <v>0</v>
      </c>
      <c r="I357" s="21">
        <v>0</v>
      </c>
      <c r="J357" s="21">
        <v>0</v>
      </c>
      <c r="K357" s="21">
        <v>0</v>
      </c>
      <c r="L357" s="3">
        <f t="shared" si="20"/>
        <v>0</v>
      </c>
      <c r="M357" s="3"/>
      <c r="N357" s="3">
        <f t="shared" si="21"/>
        <v>0</v>
      </c>
      <c r="R357" s="89"/>
      <c r="S357" s="89">
        <f>100%-Table34[[#This Row],[PDF_initial fee]]</f>
        <v>1</v>
      </c>
      <c r="T357" s="89"/>
      <c r="U357" s="26"/>
    </row>
    <row r="358" spans="1:28" hidden="1" x14ac:dyDescent="0.25">
      <c r="A358">
        <v>142665</v>
      </c>
      <c r="B358" t="s">
        <v>698</v>
      </c>
      <c r="C358" t="s">
        <v>7766</v>
      </c>
      <c r="D358">
        <v>2</v>
      </c>
      <c r="E358" t="s">
        <v>698</v>
      </c>
      <c r="H358" s="21">
        <v>0</v>
      </c>
      <c r="I358" s="21">
        <v>0</v>
      </c>
      <c r="J358" s="21">
        <v>0</v>
      </c>
      <c r="K358" s="21">
        <v>0</v>
      </c>
      <c r="L358" s="3">
        <f t="shared" si="20"/>
        <v>0</v>
      </c>
      <c r="M358" s="3"/>
      <c r="N358" s="3">
        <f t="shared" si="21"/>
        <v>0</v>
      </c>
      <c r="R358" s="89"/>
      <c r="S358" s="89">
        <f>100%-Table34[[#This Row],[PDF_initial fee]]</f>
        <v>1</v>
      </c>
      <c r="T358" s="89"/>
      <c r="U358" s="26"/>
    </row>
    <row r="359" spans="1:28" x14ac:dyDescent="0.25">
      <c r="A359">
        <v>142693</v>
      </c>
      <c r="B359" t="s">
        <v>699</v>
      </c>
      <c r="C359" s="1" t="s">
        <v>29335</v>
      </c>
      <c r="D359">
        <v>17</v>
      </c>
      <c r="E359" t="s">
        <v>699</v>
      </c>
      <c r="F359" t="s">
        <v>3</v>
      </c>
      <c r="G359" s="3">
        <v>1.4E-3</v>
      </c>
      <c r="H359" s="3">
        <v>0.02</v>
      </c>
      <c r="I359" s="3">
        <f>1.5/2/100</f>
        <v>7.4999999999999997E-3</v>
      </c>
      <c r="J359" s="6">
        <v>0</v>
      </c>
      <c r="K359" s="6">
        <v>0</v>
      </c>
      <c r="L359" s="3">
        <f t="shared" si="20"/>
        <v>2.75E-2</v>
      </c>
      <c r="M359" s="3"/>
      <c r="N359" s="3">
        <f t="shared" si="21"/>
        <v>2.8899999999999999E-2</v>
      </c>
      <c r="P359" s="1" t="s">
        <v>29336</v>
      </c>
      <c r="Q359" t="s">
        <v>31787</v>
      </c>
      <c r="R359" s="89">
        <v>0.33333333333333348</v>
      </c>
      <c r="S359" s="89">
        <f>100%-Table34[[#This Row],[InitialFee]]</f>
        <v>0.98</v>
      </c>
      <c r="T359" s="89">
        <f>(1-Table34[[#This Row],[OngoingFee (plus Platform fee)]])^5</f>
        <v>0.9630582970465823</v>
      </c>
      <c r="U359" s="26">
        <f>(1+Table34[[#This Row],[Net 5yrs return (mostly up to 28th of Feb 2026)]])*Table34[[#This Row],[Investment after initial charge]]*Table34[[#This Row],[Cummulative 5yrs ongoing advice charge]]-1</f>
        <v>0.2583961748075343</v>
      </c>
      <c r="V359" s="10">
        <v>1</v>
      </c>
      <c r="W359" t="s">
        <v>29051</v>
      </c>
      <c r="X359" s="10">
        <v>1</v>
      </c>
      <c r="Y359" s="30">
        <f>X359/V359</f>
        <v>1</v>
      </c>
      <c r="AA359" t="s">
        <v>29052</v>
      </c>
    </row>
    <row r="360" spans="1:28" hidden="1" x14ac:dyDescent="0.25">
      <c r="A360">
        <v>142752</v>
      </c>
      <c r="B360" t="s">
        <v>700</v>
      </c>
      <c r="C360" t="s">
        <v>8848</v>
      </c>
      <c r="D360">
        <v>32</v>
      </c>
      <c r="E360" t="s">
        <v>700</v>
      </c>
      <c r="H360" s="21">
        <v>0</v>
      </c>
      <c r="I360" s="21">
        <v>0</v>
      </c>
      <c r="J360" s="21">
        <v>0</v>
      </c>
      <c r="K360" s="21">
        <v>0</v>
      </c>
      <c r="L360" s="3">
        <f t="shared" si="20"/>
        <v>0</v>
      </c>
      <c r="M360" s="3"/>
      <c r="N360" s="3">
        <f t="shared" si="21"/>
        <v>0</v>
      </c>
      <c r="R360" s="89"/>
      <c r="S360" s="89">
        <f>100%-Table34[[#This Row],[PDF_initial fee]]</f>
        <v>1</v>
      </c>
      <c r="T360" s="89"/>
      <c r="U360" s="26"/>
    </row>
    <row r="361" spans="1:28" hidden="1" x14ac:dyDescent="0.25">
      <c r="A361">
        <v>142825</v>
      </c>
      <c r="B361" t="s">
        <v>702</v>
      </c>
      <c r="C361" t="s">
        <v>6958</v>
      </c>
      <c r="D361">
        <v>1</v>
      </c>
      <c r="E361" t="s">
        <v>702</v>
      </c>
      <c r="F361" t="s">
        <v>6958</v>
      </c>
      <c r="H361" s="21">
        <v>0</v>
      </c>
      <c r="I361" s="21">
        <v>0</v>
      </c>
      <c r="J361" s="21">
        <v>0</v>
      </c>
      <c r="K361" s="21">
        <v>0</v>
      </c>
      <c r="L361" s="3">
        <f t="shared" si="20"/>
        <v>0</v>
      </c>
      <c r="M361" s="3"/>
      <c r="N361" s="3">
        <f t="shared" si="21"/>
        <v>0</v>
      </c>
      <c r="R361" s="89"/>
      <c r="S361" s="89">
        <f>100%-Table34[[#This Row],[PDF_initial fee]]</f>
        <v>1</v>
      </c>
      <c r="T361" s="89"/>
      <c r="U361" s="26"/>
    </row>
    <row r="362" spans="1:28" s="52" customFormat="1" hidden="1" x14ac:dyDescent="0.25">
      <c r="A362" s="52">
        <v>142888</v>
      </c>
      <c r="B362" s="52" t="s">
        <v>703</v>
      </c>
      <c r="C362" s="52" t="s">
        <v>29337</v>
      </c>
      <c r="D362" s="52">
        <v>218</v>
      </c>
      <c r="E362" s="52" t="s">
        <v>703</v>
      </c>
      <c r="F362" s="52" t="s">
        <v>29338</v>
      </c>
      <c r="H362" s="53">
        <v>0</v>
      </c>
      <c r="I362" s="53">
        <v>0</v>
      </c>
      <c r="J362" s="53">
        <v>0</v>
      </c>
      <c r="K362" s="53">
        <v>0</v>
      </c>
      <c r="L362" s="54">
        <f t="shared" si="20"/>
        <v>0</v>
      </c>
      <c r="M362" s="54"/>
      <c r="N362" s="54">
        <f t="shared" si="21"/>
        <v>0</v>
      </c>
      <c r="O362" s="53" t="s">
        <v>29339</v>
      </c>
      <c r="P362" s="52" t="s">
        <v>29338</v>
      </c>
      <c r="R362" s="89"/>
      <c r="S362" s="89">
        <f>100%-Table34[[#This Row],[PDF_initial fee]]</f>
        <v>1</v>
      </c>
      <c r="T362" s="89"/>
      <c r="U362" s="26"/>
      <c r="Y362" s="55"/>
    </row>
    <row r="363" spans="1:28" hidden="1" x14ac:dyDescent="0.25">
      <c r="A363">
        <v>142903</v>
      </c>
      <c r="B363" t="s">
        <v>704</v>
      </c>
      <c r="C363" t="s">
        <v>29340</v>
      </c>
      <c r="D363">
        <v>0</v>
      </c>
      <c r="E363" t="s">
        <v>704</v>
      </c>
      <c r="F363" t="s">
        <v>29341</v>
      </c>
      <c r="H363" s="21">
        <v>0</v>
      </c>
      <c r="I363" s="3">
        <v>0</v>
      </c>
      <c r="J363" s="3">
        <v>0</v>
      </c>
      <c r="K363">
        <v>0</v>
      </c>
      <c r="L363" s="3">
        <f t="shared" si="20"/>
        <v>0</v>
      </c>
      <c r="M363" s="3"/>
      <c r="N363" s="3">
        <f t="shared" si="21"/>
        <v>0</v>
      </c>
      <c r="R363" s="89"/>
      <c r="S363" s="89">
        <f>100%-Table34[[#This Row],[PDF_initial fee]]</f>
        <v>1</v>
      </c>
      <c r="T363" s="89"/>
      <c r="U363" s="26"/>
    </row>
    <row r="364" spans="1:28" x14ac:dyDescent="0.25">
      <c r="A364">
        <v>629329</v>
      </c>
      <c r="B364" t="s">
        <v>258</v>
      </c>
      <c r="C364" s="1" t="s">
        <v>29342</v>
      </c>
      <c r="D364">
        <v>5</v>
      </c>
      <c r="E364" t="s">
        <v>258</v>
      </c>
      <c r="F364" t="s">
        <v>3</v>
      </c>
      <c r="G364" s="3">
        <v>1.4E-3</v>
      </c>
      <c r="H364" s="3">
        <v>3.7900000000000003E-2</v>
      </c>
      <c r="I364" s="3">
        <f>3790/100000</f>
        <v>3.7900000000000003E-2</v>
      </c>
      <c r="J364" s="6">
        <v>0</v>
      </c>
      <c r="K364" s="6">
        <v>0</v>
      </c>
      <c r="L364" s="3">
        <f t="shared" si="20"/>
        <v>7.5800000000000006E-2</v>
      </c>
      <c r="M364" s="3"/>
      <c r="N364" s="3">
        <f t="shared" si="21"/>
        <v>7.7200000000000005E-2</v>
      </c>
      <c r="O364" t="s">
        <v>29343</v>
      </c>
      <c r="P364" s="1" t="s">
        <v>29344</v>
      </c>
      <c r="Q364" t="s">
        <v>31787</v>
      </c>
      <c r="R364" s="89">
        <v>0.33333333333333348</v>
      </c>
      <c r="S364" s="89">
        <f>100%-Table34[[#This Row],[InitialFee]]</f>
        <v>0.96209999999999996</v>
      </c>
      <c r="T364" s="89">
        <f>(1-Table34[[#This Row],[OngoingFee (plus Platform fee)]])^5</f>
        <v>0.82432993878036764</v>
      </c>
      <c r="U364" s="26">
        <f>(1+Table34[[#This Row],[Net 5yrs return (mostly up to 28th of Feb 2026)]])*Table34[[#This Row],[Investment after initial charge]]*Table34[[#This Row],[Cummulative 5yrs ongoing advice charge]]-1</f>
        <v>5.7450445467455813E-2</v>
      </c>
      <c r="V364">
        <f>272311+40451</f>
        <v>312762</v>
      </c>
      <c r="W364" t="s">
        <v>29051</v>
      </c>
      <c r="X364" s="9">
        <v>268335</v>
      </c>
      <c r="Y364" s="30">
        <f>X364/V364</f>
        <v>0.85795269246263928</v>
      </c>
      <c r="AA364" s="1" t="s">
        <v>29345</v>
      </c>
      <c r="AB364" t="s">
        <v>29302</v>
      </c>
    </row>
    <row r="365" spans="1:28" hidden="1" x14ac:dyDescent="0.25">
      <c r="A365">
        <v>143312</v>
      </c>
      <c r="B365" t="s">
        <v>706</v>
      </c>
      <c r="C365" t="s">
        <v>9897</v>
      </c>
      <c r="D365">
        <v>9</v>
      </c>
      <c r="E365" t="s">
        <v>706</v>
      </c>
      <c r="H365" s="21">
        <v>0</v>
      </c>
      <c r="I365" s="21">
        <v>0</v>
      </c>
      <c r="J365" s="21">
        <v>0</v>
      </c>
      <c r="K365" s="21">
        <v>0</v>
      </c>
      <c r="L365" s="3">
        <f t="shared" si="20"/>
        <v>0</v>
      </c>
      <c r="M365" s="3"/>
      <c r="N365" s="3">
        <f t="shared" si="21"/>
        <v>0</v>
      </c>
      <c r="R365" s="89"/>
      <c r="S365" s="89">
        <f>100%-Table34[[#This Row],[PDF_initial fee]]</f>
        <v>1</v>
      </c>
      <c r="T365" s="89"/>
      <c r="U365" s="26"/>
    </row>
    <row r="366" spans="1:28" hidden="1" x14ac:dyDescent="0.25">
      <c r="A366">
        <v>143336</v>
      </c>
      <c r="B366" t="s">
        <v>707</v>
      </c>
      <c r="C366" s="1" t="s">
        <v>29346</v>
      </c>
      <c r="D366">
        <v>22</v>
      </c>
      <c r="E366" t="s">
        <v>707</v>
      </c>
      <c r="H366" s="21">
        <v>0</v>
      </c>
      <c r="I366" s="21">
        <v>0</v>
      </c>
      <c r="J366" s="21">
        <v>0</v>
      </c>
      <c r="K366" s="21">
        <v>0</v>
      </c>
      <c r="L366" s="3">
        <f t="shared" si="20"/>
        <v>0</v>
      </c>
      <c r="M366" s="3"/>
      <c r="N366" s="3">
        <f t="shared" si="21"/>
        <v>0</v>
      </c>
      <c r="O366" s="21"/>
      <c r="R366" s="89"/>
      <c r="S366" s="89">
        <f>100%-Table34[[#This Row],[PDF_initial fee]]</f>
        <v>1</v>
      </c>
      <c r="T366" s="89"/>
      <c r="U366" s="26"/>
    </row>
    <row r="367" spans="1:28" x14ac:dyDescent="0.25">
      <c r="A367">
        <v>471152</v>
      </c>
      <c r="B367" t="s">
        <v>186</v>
      </c>
      <c r="C367" s="1" t="s">
        <v>7461</v>
      </c>
      <c r="D367">
        <v>2</v>
      </c>
      <c r="E367" t="s">
        <v>186</v>
      </c>
      <c r="F367" t="s">
        <v>3</v>
      </c>
      <c r="G367" s="3">
        <v>1.4E-3</v>
      </c>
      <c r="H367" s="3">
        <v>0.01</v>
      </c>
      <c r="I367" s="3">
        <v>0.06</v>
      </c>
      <c r="J367" s="6"/>
      <c r="K367" s="6"/>
      <c r="L367" s="3">
        <f t="shared" si="20"/>
        <v>6.9999999999999993E-2</v>
      </c>
      <c r="M367" s="3"/>
      <c r="N367" s="3">
        <f t="shared" si="21"/>
        <v>7.1399999999999991E-2</v>
      </c>
      <c r="P367" s="31" t="s">
        <v>29347</v>
      </c>
      <c r="Q367" t="s">
        <v>31787</v>
      </c>
      <c r="R367" s="89">
        <v>0.33333333333333348</v>
      </c>
      <c r="S367" s="89">
        <f>100%-Table34[[#This Row],[InitialFee]]</f>
        <v>0.99</v>
      </c>
      <c r="T367" s="89">
        <f>(1-Table34[[#This Row],[OngoingFee (plus Platform fee)]])^5</f>
        <v>0.73390402239999986</v>
      </c>
      <c r="U367" s="26">
        <f>(1+Table34[[#This Row],[Net 5yrs return (mostly up to 28th of Feb 2026)]])*Table34[[#This Row],[Investment after initial charge]]*Table34[[#This Row],[Cummulative 5yrs ongoing advice charge]]-1</f>
        <v>-3.1246690432000124E-2</v>
      </c>
      <c r="V367">
        <f>110086+165944</f>
        <v>276030</v>
      </c>
      <c r="W367" t="s">
        <v>29051</v>
      </c>
      <c r="X367" s="9">
        <v>59904</v>
      </c>
      <c r="Y367" s="30">
        <f>X367/V367</f>
        <v>0.21701988914248452</v>
      </c>
      <c r="AA367" s="1" t="s">
        <v>29348</v>
      </c>
      <c r="AB367" t="s">
        <v>29349</v>
      </c>
    </row>
    <row r="368" spans="1:28" hidden="1" x14ac:dyDescent="0.25">
      <c r="A368">
        <v>143646</v>
      </c>
      <c r="B368" t="s">
        <v>709</v>
      </c>
      <c r="C368" t="s">
        <v>10088</v>
      </c>
      <c r="D368">
        <v>12</v>
      </c>
      <c r="E368" t="s">
        <v>709</v>
      </c>
      <c r="L368" s="3">
        <f t="shared" si="20"/>
        <v>0</v>
      </c>
      <c r="M368" s="3"/>
      <c r="N368" s="3">
        <f t="shared" si="21"/>
        <v>0</v>
      </c>
      <c r="R368" s="89"/>
      <c r="S368" s="89">
        <f>100%-Table34[[#This Row],[PDF_initial fee]]</f>
        <v>1</v>
      </c>
      <c r="T368" s="89"/>
      <c r="U368" s="26"/>
    </row>
    <row r="369" spans="1:28" hidden="1" x14ac:dyDescent="0.25">
      <c r="A369">
        <v>143694</v>
      </c>
      <c r="B369" t="s">
        <v>710</v>
      </c>
      <c r="C369" t="s">
        <v>6958</v>
      </c>
      <c r="D369">
        <v>0</v>
      </c>
      <c r="E369" t="s">
        <v>710</v>
      </c>
      <c r="F369" t="s">
        <v>6958</v>
      </c>
      <c r="H369" s="21">
        <v>0</v>
      </c>
      <c r="I369" s="21">
        <v>0</v>
      </c>
      <c r="J369" s="21">
        <v>0</v>
      </c>
      <c r="K369" s="21">
        <v>0</v>
      </c>
      <c r="L369" s="3">
        <f t="shared" si="20"/>
        <v>0</v>
      </c>
      <c r="M369" s="3"/>
      <c r="N369" s="3">
        <f t="shared" si="21"/>
        <v>0</v>
      </c>
      <c r="R369" s="89"/>
      <c r="S369" s="89">
        <f>100%-Table34[[#This Row],[PDF_initial fee]]</f>
        <v>1</v>
      </c>
      <c r="T369" s="89"/>
      <c r="U369" s="26"/>
    </row>
    <row r="370" spans="1:28" hidden="1" x14ac:dyDescent="0.25">
      <c r="A370">
        <v>143818</v>
      </c>
      <c r="B370" t="s">
        <v>712</v>
      </c>
      <c r="C370" t="s">
        <v>29350</v>
      </c>
      <c r="D370">
        <v>3</v>
      </c>
      <c r="E370" t="s">
        <v>712</v>
      </c>
      <c r="H370" s="3">
        <v>0</v>
      </c>
      <c r="I370" s="3">
        <v>0</v>
      </c>
      <c r="J370" s="3">
        <v>0</v>
      </c>
      <c r="K370" s="3">
        <v>0</v>
      </c>
      <c r="L370" s="3">
        <f t="shared" si="20"/>
        <v>0</v>
      </c>
      <c r="M370" s="3"/>
      <c r="N370" s="3">
        <f t="shared" si="21"/>
        <v>0</v>
      </c>
      <c r="R370" s="89"/>
      <c r="S370" s="89">
        <f>100%-Table34[[#This Row],[PDF_initial fee]]</f>
        <v>1</v>
      </c>
      <c r="T370" s="89"/>
      <c r="U370" s="26"/>
    </row>
    <row r="371" spans="1:28" hidden="1" x14ac:dyDescent="0.25">
      <c r="A371">
        <v>143911</v>
      </c>
      <c r="B371" t="s">
        <v>713</v>
      </c>
      <c r="C371" t="s">
        <v>7435</v>
      </c>
      <c r="D371">
        <v>2</v>
      </c>
      <c r="E371" t="s">
        <v>713</v>
      </c>
      <c r="H371" s="21">
        <v>0</v>
      </c>
      <c r="I371" s="21">
        <v>0</v>
      </c>
      <c r="J371" s="21">
        <v>0</v>
      </c>
      <c r="K371" s="21">
        <v>0</v>
      </c>
      <c r="L371" s="3">
        <f t="shared" si="20"/>
        <v>0</v>
      </c>
      <c r="M371" s="3"/>
      <c r="N371" s="3">
        <f t="shared" si="21"/>
        <v>0</v>
      </c>
      <c r="R371" s="89"/>
      <c r="S371" s="89">
        <f>100%-Table34[[#This Row],[PDF_initial fee]]</f>
        <v>1</v>
      </c>
      <c r="T371" s="89"/>
      <c r="U371" s="26"/>
    </row>
    <row r="372" spans="1:28" hidden="1" x14ac:dyDescent="0.25">
      <c r="A372">
        <v>144036</v>
      </c>
      <c r="B372" t="s">
        <v>714</v>
      </c>
      <c r="C372" t="s">
        <v>29351</v>
      </c>
      <c r="D372">
        <v>93</v>
      </c>
      <c r="E372" t="s">
        <v>714</v>
      </c>
      <c r="F372" t="s">
        <v>6</v>
      </c>
      <c r="H372" s="21">
        <v>0</v>
      </c>
      <c r="I372" s="21">
        <v>0</v>
      </c>
      <c r="J372" s="21">
        <v>0</v>
      </c>
      <c r="K372" s="21">
        <v>0</v>
      </c>
      <c r="L372" s="3">
        <f t="shared" si="20"/>
        <v>0</v>
      </c>
      <c r="M372" s="3"/>
      <c r="N372" s="3">
        <f t="shared" si="21"/>
        <v>0</v>
      </c>
      <c r="O372" s="21"/>
      <c r="R372" s="89"/>
      <c r="S372" s="89">
        <f>100%-Table34[[#This Row],[PDF_initial fee]]</f>
        <v>1</v>
      </c>
      <c r="T372" s="89"/>
      <c r="U372" s="26"/>
    </row>
    <row r="373" spans="1:28" hidden="1" x14ac:dyDescent="0.25">
      <c r="A373">
        <v>144104</v>
      </c>
      <c r="B373" t="s">
        <v>715</v>
      </c>
      <c r="C373" t="s">
        <v>6958</v>
      </c>
      <c r="D373">
        <v>1</v>
      </c>
      <c r="E373" t="s">
        <v>715</v>
      </c>
      <c r="F373" t="s">
        <v>6958</v>
      </c>
      <c r="H373" s="21">
        <v>0</v>
      </c>
      <c r="I373" s="21">
        <v>0</v>
      </c>
      <c r="J373" s="21">
        <v>0</v>
      </c>
      <c r="K373" s="21">
        <v>0</v>
      </c>
      <c r="L373" s="3">
        <f t="shared" si="20"/>
        <v>0</v>
      </c>
      <c r="M373" s="3"/>
      <c r="N373" s="3">
        <f t="shared" si="21"/>
        <v>0</v>
      </c>
      <c r="R373" s="89"/>
      <c r="S373" s="89">
        <f>100%-Table34[[#This Row],[PDF_initial fee]]</f>
        <v>1</v>
      </c>
      <c r="T373" s="89"/>
      <c r="U373" s="26"/>
    </row>
    <row r="374" spans="1:28" hidden="1" x14ac:dyDescent="0.25">
      <c r="A374">
        <v>144168</v>
      </c>
      <c r="B374" t="s">
        <v>716</v>
      </c>
      <c r="C374" s="1" t="s">
        <v>7288</v>
      </c>
      <c r="D374">
        <v>2</v>
      </c>
      <c r="E374" t="s">
        <v>716</v>
      </c>
      <c r="H374" s="21">
        <v>0</v>
      </c>
      <c r="I374" s="21">
        <v>0</v>
      </c>
      <c r="J374" s="21">
        <v>0</v>
      </c>
      <c r="K374" s="21">
        <v>0</v>
      </c>
      <c r="L374" s="3">
        <f t="shared" si="20"/>
        <v>0</v>
      </c>
      <c r="M374" s="3"/>
      <c r="N374" s="3">
        <f t="shared" si="21"/>
        <v>0</v>
      </c>
      <c r="R374" s="89"/>
      <c r="S374" s="89">
        <f>100%-Table34[[#This Row],[PDF_initial fee]]</f>
        <v>1</v>
      </c>
      <c r="T374" s="89"/>
      <c r="U374" s="26"/>
    </row>
    <row r="375" spans="1:28" hidden="1" x14ac:dyDescent="0.25">
      <c r="A375">
        <v>144197</v>
      </c>
      <c r="B375" t="s">
        <v>717</v>
      </c>
      <c r="C375" t="s">
        <v>9531</v>
      </c>
      <c r="D375">
        <v>5</v>
      </c>
      <c r="E375" t="s">
        <v>717</v>
      </c>
      <c r="H375" s="21">
        <v>0</v>
      </c>
      <c r="I375" s="21">
        <v>0</v>
      </c>
      <c r="J375" s="21">
        <v>0</v>
      </c>
      <c r="K375" s="21">
        <v>0</v>
      </c>
      <c r="L375" s="3">
        <f t="shared" si="20"/>
        <v>0</v>
      </c>
      <c r="M375" s="3"/>
      <c r="N375" s="3">
        <f t="shared" si="21"/>
        <v>0</v>
      </c>
      <c r="R375" s="89"/>
      <c r="S375" s="89">
        <f>100%-Table34[[#This Row],[PDF_initial fee]]</f>
        <v>1</v>
      </c>
      <c r="T375" s="89"/>
      <c r="U375" s="26"/>
    </row>
    <row r="376" spans="1:28" ht="17.25" customHeight="1" x14ac:dyDescent="0.25">
      <c r="A376">
        <v>788766</v>
      </c>
      <c r="B376" t="s">
        <v>300</v>
      </c>
      <c r="C376" t="s">
        <v>29352</v>
      </c>
      <c r="D376">
        <v>2</v>
      </c>
      <c r="E376" t="s">
        <v>300</v>
      </c>
      <c r="F376" t="s">
        <v>3</v>
      </c>
      <c r="G376" s="3">
        <v>1.4E-3</v>
      </c>
      <c r="H376" s="3">
        <v>1.4999999999999999E-2</v>
      </c>
      <c r="I376" s="3">
        <v>7.4999999999999997E-3</v>
      </c>
      <c r="J376" s="6">
        <v>0</v>
      </c>
      <c r="K376" s="6">
        <v>0</v>
      </c>
      <c r="L376" s="3">
        <f t="shared" si="20"/>
        <v>2.2499999999999999E-2</v>
      </c>
      <c r="M376" s="3"/>
      <c r="N376" s="3">
        <f t="shared" si="21"/>
        <v>2.3899999999999998E-2</v>
      </c>
      <c r="P376" s="31" t="s">
        <v>29353</v>
      </c>
      <c r="Q376" t="s">
        <v>31787</v>
      </c>
      <c r="R376" s="89">
        <v>0.33333333333333348</v>
      </c>
      <c r="S376" s="89">
        <f>100%-Table34[[#This Row],[InitialFee]]</f>
        <v>0.98499999999999999</v>
      </c>
      <c r="T376" s="89">
        <f>(1-Table34[[#This Row],[OngoingFee (plus Platform fee)]])^5</f>
        <v>0.9630582970465823</v>
      </c>
      <c r="U376" s="26">
        <f>(1+Table34[[#This Row],[Net 5yrs return (mostly up to 28th of Feb 2026)]])*Table34[[#This Row],[Investment after initial charge]]*Table34[[#This Row],[Cummulative 5yrs ongoing advice charge]]-1</f>
        <v>0.26481656345451166</v>
      </c>
      <c r="V376">
        <f>122489+12605</f>
        <v>135094</v>
      </c>
      <c r="W376" t="s">
        <v>29051</v>
      </c>
      <c r="X376" s="9">
        <v>121965</v>
      </c>
      <c r="Y376" s="30">
        <f>X376/V376</f>
        <v>0.9028158171347358</v>
      </c>
      <c r="AA376" s="1" t="s">
        <v>29354</v>
      </c>
    </row>
    <row r="377" spans="1:28" x14ac:dyDescent="0.25">
      <c r="A377">
        <v>647956</v>
      </c>
      <c r="B377" t="s">
        <v>263</v>
      </c>
      <c r="C377" t="s">
        <v>29355</v>
      </c>
      <c r="D377">
        <v>3</v>
      </c>
      <c r="E377" t="s">
        <v>263</v>
      </c>
      <c r="F377" t="s">
        <v>3</v>
      </c>
      <c r="G377" s="3">
        <v>1.4E-3</v>
      </c>
      <c r="H377" s="3">
        <v>0.03</v>
      </c>
      <c r="I377" s="3">
        <v>0.01</v>
      </c>
      <c r="J377" s="6">
        <v>0</v>
      </c>
      <c r="K377" s="6"/>
      <c r="L377" s="3">
        <f t="shared" si="20"/>
        <v>0.04</v>
      </c>
      <c r="M377" s="3"/>
      <c r="N377" s="3">
        <f t="shared" si="21"/>
        <v>4.1399999999999999E-2</v>
      </c>
      <c r="P377" s="31" t="s">
        <v>29356</v>
      </c>
      <c r="Q377" t="s">
        <v>31787</v>
      </c>
      <c r="R377" s="89">
        <v>0.33333333333333348</v>
      </c>
      <c r="S377" s="89">
        <f>100%-Table34[[#This Row],[InitialFee]]</f>
        <v>0.97</v>
      </c>
      <c r="T377" s="89">
        <f>(1-Table34[[#This Row],[OngoingFee (plus Platform fee)]])^5</f>
        <v>0.95099004989999991</v>
      </c>
      <c r="U377" s="26">
        <f>(1+Table34[[#This Row],[Net 5yrs return (mostly up to 28th of Feb 2026)]])*Table34[[#This Row],[Investment after initial charge]]*Table34[[#This Row],[Cummulative 5yrs ongoing advice charge]]-1</f>
        <v>0.22994713120400001</v>
      </c>
      <c r="V377" s="9">
        <f>X377+76702</f>
        <v>453807</v>
      </c>
      <c r="W377" t="s">
        <v>29051</v>
      </c>
      <c r="X377" s="9">
        <v>377105</v>
      </c>
      <c r="Y377" s="30">
        <f>X377/V377</f>
        <v>0.83098101175169181</v>
      </c>
      <c r="AA377" s="1" t="s">
        <v>29357</v>
      </c>
    </row>
    <row r="378" spans="1:28" hidden="1" x14ac:dyDescent="0.25">
      <c r="A378">
        <v>144667</v>
      </c>
      <c r="B378" t="s">
        <v>719</v>
      </c>
      <c r="C378" t="s">
        <v>9947</v>
      </c>
      <c r="D378">
        <v>3</v>
      </c>
      <c r="E378" t="s">
        <v>719</v>
      </c>
      <c r="L378" s="3">
        <f t="shared" si="20"/>
        <v>0</v>
      </c>
      <c r="M378" s="3"/>
      <c r="N378" s="3">
        <f t="shared" si="21"/>
        <v>0</v>
      </c>
      <c r="R378" s="89"/>
      <c r="S378" s="89">
        <f>100%-Table34[[#This Row],[PDF_initial fee]]</f>
        <v>1</v>
      </c>
      <c r="T378" s="89"/>
      <c r="U378" s="26"/>
    </row>
    <row r="379" spans="1:28" hidden="1" x14ac:dyDescent="0.25">
      <c r="A379">
        <v>144716</v>
      </c>
      <c r="B379" t="s">
        <v>720</v>
      </c>
      <c r="C379" t="s">
        <v>29358</v>
      </c>
      <c r="D379">
        <v>2</v>
      </c>
      <c r="E379" t="s">
        <v>720</v>
      </c>
      <c r="H379" s="3">
        <v>0</v>
      </c>
      <c r="I379" s="3">
        <v>0</v>
      </c>
      <c r="J379" s="3">
        <v>0</v>
      </c>
      <c r="K379" s="3">
        <v>0</v>
      </c>
      <c r="L379" s="3">
        <f t="shared" si="20"/>
        <v>0</v>
      </c>
      <c r="M379" s="3"/>
      <c r="N379" s="3">
        <f t="shared" si="21"/>
        <v>0</v>
      </c>
      <c r="R379" s="89"/>
      <c r="S379" s="89">
        <f>100%-Table34[[#This Row],[PDF_initial fee]]</f>
        <v>1</v>
      </c>
      <c r="T379" s="89"/>
      <c r="U379" s="26"/>
    </row>
    <row r="380" spans="1:28" hidden="1" x14ac:dyDescent="0.25">
      <c r="A380">
        <v>144732</v>
      </c>
      <c r="B380" t="s">
        <v>721</v>
      </c>
      <c r="C380" t="s">
        <v>12030</v>
      </c>
      <c r="D380">
        <v>2</v>
      </c>
      <c r="E380" t="s">
        <v>721</v>
      </c>
      <c r="L380" s="3">
        <f t="shared" si="20"/>
        <v>0</v>
      </c>
      <c r="M380" s="3"/>
      <c r="N380" s="3">
        <f t="shared" si="21"/>
        <v>0</v>
      </c>
      <c r="R380" s="89"/>
      <c r="S380" s="89">
        <f>100%-Table34[[#This Row],[PDF_initial fee]]</f>
        <v>1</v>
      </c>
      <c r="T380" s="89"/>
      <c r="U380" s="26"/>
    </row>
    <row r="381" spans="1:28" x14ac:dyDescent="0.25">
      <c r="A381">
        <v>765903</v>
      </c>
      <c r="B381" t="s">
        <v>287</v>
      </c>
      <c r="C381" t="s">
        <v>8473</v>
      </c>
      <c r="D381">
        <v>3</v>
      </c>
      <c r="E381" t="s">
        <v>287</v>
      </c>
      <c r="F381" t="s">
        <v>3</v>
      </c>
      <c r="G381" s="3">
        <v>1.4E-3</v>
      </c>
      <c r="H381" s="3">
        <f>2.5%</f>
        <v>2.5000000000000001E-2</v>
      </c>
      <c r="I381" s="3">
        <v>0.01</v>
      </c>
      <c r="J381" s="6"/>
      <c r="K381" s="6"/>
      <c r="L381" s="3">
        <f t="shared" si="20"/>
        <v>3.5000000000000003E-2</v>
      </c>
      <c r="M381" s="3"/>
      <c r="N381" s="3">
        <f t="shared" si="21"/>
        <v>3.6400000000000002E-2</v>
      </c>
      <c r="O381" t="s">
        <v>29359</v>
      </c>
      <c r="P381" s="1" t="s">
        <v>29360</v>
      </c>
      <c r="Q381" t="s">
        <v>31787</v>
      </c>
      <c r="R381" s="89">
        <v>0.33333333333333348</v>
      </c>
      <c r="S381" s="89">
        <f>100%-Table34[[#This Row],[InitialFee]]</f>
        <v>0.97499999999999998</v>
      </c>
      <c r="T381" s="89">
        <f>(1-Table34[[#This Row],[OngoingFee (plus Platform fee)]])^5</f>
        <v>0.95099004989999991</v>
      </c>
      <c r="U381" s="26">
        <f>(1+Table34[[#This Row],[Net 5yrs return (mostly up to 28th of Feb 2026)]])*Table34[[#This Row],[Investment after initial charge]]*Table34[[#This Row],[Cummulative 5yrs ongoing advice charge]]-1</f>
        <v>0.23628706486999995</v>
      </c>
      <c r="V381" s="10">
        <f>161231+995</f>
        <v>162226</v>
      </c>
      <c r="W381" t="s">
        <v>29051</v>
      </c>
      <c r="X381" s="9">
        <v>161231</v>
      </c>
      <c r="Y381" s="30">
        <f>X381/V381</f>
        <v>0.99386658118920523</v>
      </c>
      <c r="AA381" s="1" t="s">
        <v>29361</v>
      </c>
      <c r="AB381" t="s">
        <v>29283</v>
      </c>
    </row>
    <row r="382" spans="1:28" hidden="1" x14ac:dyDescent="0.25">
      <c r="A382">
        <v>144822</v>
      </c>
      <c r="B382" t="s">
        <v>722</v>
      </c>
      <c r="C382" t="s">
        <v>29362</v>
      </c>
      <c r="D382">
        <v>0</v>
      </c>
      <c r="E382" t="s">
        <v>722</v>
      </c>
      <c r="F382" t="s">
        <v>29363</v>
      </c>
      <c r="H382" s="21">
        <v>0</v>
      </c>
      <c r="I382" s="21">
        <v>0</v>
      </c>
      <c r="J382" s="21">
        <v>0</v>
      </c>
      <c r="K382" s="21">
        <v>0</v>
      </c>
      <c r="L382" s="3">
        <f t="shared" si="20"/>
        <v>0</v>
      </c>
      <c r="M382" s="3"/>
      <c r="N382" s="3">
        <f t="shared" si="21"/>
        <v>0</v>
      </c>
      <c r="O382" s="21"/>
      <c r="R382" s="89"/>
      <c r="S382" s="89">
        <f>100%-Table34[[#This Row],[PDF_initial fee]]</f>
        <v>1</v>
      </c>
      <c r="T382" s="89"/>
      <c r="U382" s="26"/>
    </row>
    <row r="383" spans="1:28" hidden="1" x14ac:dyDescent="0.25">
      <c r="A383">
        <v>144885</v>
      </c>
      <c r="B383" t="s">
        <v>723</v>
      </c>
      <c r="C383" t="s">
        <v>11490</v>
      </c>
      <c r="D383">
        <v>9</v>
      </c>
      <c r="E383" t="s">
        <v>723</v>
      </c>
      <c r="H383" s="21">
        <v>0</v>
      </c>
      <c r="I383" s="21">
        <v>0</v>
      </c>
      <c r="J383" s="21">
        <v>0</v>
      </c>
      <c r="K383" s="21">
        <v>0</v>
      </c>
      <c r="L383" s="3">
        <f t="shared" si="20"/>
        <v>0</v>
      </c>
      <c r="M383" s="3"/>
      <c r="N383" s="3">
        <f t="shared" si="21"/>
        <v>0</v>
      </c>
      <c r="R383" s="89"/>
      <c r="S383" s="89">
        <f>100%-Table34[[#This Row],[PDF_initial fee]]</f>
        <v>1</v>
      </c>
      <c r="T383" s="89"/>
      <c r="U383" s="26"/>
    </row>
    <row r="384" spans="1:28" hidden="1" x14ac:dyDescent="0.25">
      <c r="A384">
        <v>144940</v>
      </c>
      <c r="B384" t="s">
        <v>724</v>
      </c>
      <c r="C384" t="s">
        <v>6958</v>
      </c>
      <c r="D384">
        <v>11</v>
      </c>
      <c r="E384" t="s">
        <v>724</v>
      </c>
      <c r="F384" t="s">
        <v>6958</v>
      </c>
      <c r="H384" s="21">
        <v>0</v>
      </c>
      <c r="I384" s="21">
        <v>0</v>
      </c>
      <c r="J384" s="21">
        <v>0</v>
      </c>
      <c r="K384" s="21">
        <v>0</v>
      </c>
      <c r="L384" s="3">
        <f t="shared" si="20"/>
        <v>0</v>
      </c>
      <c r="M384" s="3"/>
      <c r="N384" s="3">
        <f t="shared" si="21"/>
        <v>0</v>
      </c>
      <c r="R384" s="89"/>
      <c r="S384" s="89">
        <f>100%-Table34[[#This Row],[PDF_initial fee]]</f>
        <v>1</v>
      </c>
      <c r="T384" s="89"/>
      <c r="U384" s="26"/>
    </row>
    <row r="385" spans="1:27" hidden="1" x14ac:dyDescent="0.25">
      <c r="A385">
        <v>144946</v>
      </c>
      <c r="B385" t="s">
        <v>725</v>
      </c>
      <c r="C385" t="s">
        <v>8890</v>
      </c>
      <c r="D385">
        <v>1</v>
      </c>
      <c r="E385" t="s">
        <v>725</v>
      </c>
      <c r="H385" s="21">
        <v>0</v>
      </c>
      <c r="I385" s="21">
        <v>0</v>
      </c>
      <c r="J385" s="21">
        <v>0</v>
      </c>
      <c r="K385" s="21">
        <v>0</v>
      </c>
      <c r="L385" s="3">
        <f t="shared" si="20"/>
        <v>0</v>
      </c>
      <c r="M385" s="3"/>
      <c r="N385" s="3">
        <f t="shared" si="21"/>
        <v>0</v>
      </c>
      <c r="R385" s="89"/>
      <c r="S385" s="89">
        <f>100%-Table34[[#This Row],[PDF_initial fee]]</f>
        <v>1</v>
      </c>
      <c r="T385" s="89"/>
      <c r="U385" s="26"/>
    </row>
    <row r="386" spans="1:27" hidden="1" x14ac:dyDescent="0.25">
      <c r="A386">
        <v>144985</v>
      </c>
      <c r="B386" t="s">
        <v>726</v>
      </c>
      <c r="C386" t="s">
        <v>6958</v>
      </c>
      <c r="D386">
        <v>1</v>
      </c>
      <c r="E386" t="s">
        <v>726</v>
      </c>
      <c r="F386" t="s">
        <v>6958</v>
      </c>
      <c r="L386" s="3">
        <f t="shared" si="20"/>
        <v>0</v>
      </c>
      <c r="M386" s="3"/>
      <c r="N386" s="3">
        <f t="shared" si="21"/>
        <v>0</v>
      </c>
      <c r="R386" s="89"/>
      <c r="S386" s="89">
        <f>100%-Table34[[#This Row],[PDF_initial fee]]</f>
        <v>1</v>
      </c>
      <c r="T386" s="89"/>
      <c r="U386" s="26"/>
    </row>
    <row r="387" spans="1:27" hidden="1" x14ac:dyDescent="0.25">
      <c r="A387">
        <v>145005</v>
      </c>
      <c r="B387" t="s">
        <v>727</v>
      </c>
      <c r="C387" t="s">
        <v>12234</v>
      </c>
      <c r="D387">
        <v>5</v>
      </c>
      <c r="E387" t="s">
        <v>727</v>
      </c>
      <c r="H387" s="21">
        <v>0</v>
      </c>
      <c r="I387" s="21">
        <v>0</v>
      </c>
      <c r="J387" s="21">
        <v>0</v>
      </c>
      <c r="K387" s="21">
        <v>0</v>
      </c>
      <c r="L387" s="3">
        <f t="shared" si="20"/>
        <v>0</v>
      </c>
      <c r="M387" s="3"/>
      <c r="N387" s="3">
        <f t="shared" si="21"/>
        <v>0</v>
      </c>
      <c r="R387" s="89"/>
      <c r="S387" s="89">
        <f>100%-Table34[[#This Row],[PDF_initial fee]]</f>
        <v>1</v>
      </c>
      <c r="T387" s="89"/>
      <c r="U387" s="26"/>
    </row>
    <row r="388" spans="1:27" hidden="1" x14ac:dyDescent="0.25">
      <c r="A388">
        <v>145070</v>
      </c>
      <c r="B388" t="s">
        <v>728</v>
      </c>
      <c r="C388" t="s">
        <v>10048</v>
      </c>
      <c r="D388">
        <v>1</v>
      </c>
      <c r="E388" t="s">
        <v>728</v>
      </c>
      <c r="H388" s="21">
        <v>0</v>
      </c>
      <c r="I388" s="21">
        <v>0</v>
      </c>
      <c r="J388" s="21">
        <v>0</v>
      </c>
      <c r="K388" s="21">
        <v>0</v>
      </c>
      <c r="L388" s="3">
        <f t="shared" si="20"/>
        <v>0</v>
      </c>
      <c r="M388" s="3"/>
      <c r="N388" s="3">
        <f t="shared" si="21"/>
        <v>0</v>
      </c>
      <c r="R388" s="89"/>
      <c r="S388" s="89">
        <f>100%-Table34[[#This Row],[PDF_initial fee]]</f>
        <v>1</v>
      </c>
      <c r="T388" s="89"/>
      <c r="U388" s="26"/>
    </row>
    <row r="389" spans="1:27" hidden="1" x14ac:dyDescent="0.25">
      <c r="A389">
        <v>145143</v>
      </c>
      <c r="B389" t="s">
        <v>729</v>
      </c>
      <c r="C389" t="s">
        <v>29364</v>
      </c>
      <c r="D389">
        <v>2</v>
      </c>
      <c r="E389" t="s">
        <v>729</v>
      </c>
      <c r="H389" s="3">
        <v>0</v>
      </c>
      <c r="I389" s="3">
        <v>0</v>
      </c>
      <c r="J389" s="3">
        <v>0</v>
      </c>
      <c r="K389" s="3">
        <v>0</v>
      </c>
      <c r="L389" s="3">
        <f t="shared" si="20"/>
        <v>0</v>
      </c>
      <c r="M389" s="3"/>
      <c r="N389" s="3">
        <f t="shared" si="21"/>
        <v>0</v>
      </c>
      <c r="R389" s="89"/>
      <c r="S389" s="89">
        <f>100%-Table34[[#This Row],[PDF_initial fee]]</f>
        <v>1</v>
      </c>
      <c r="T389" s="89"/>
      <c r="U389" s="26"/>
    </row>
    <row r="390" spans="1:27" hidden="1" x14ac:dyDescent="0.25">
      <c r="A390">
        <v>145186</v>
      </c>
      <c r="B390" t="s">
        <v>730</v>
      </c>
      <c r="C390" t="s">
        <v>8962</v>
      </c>
      <c r="D390">
        <v>19</v>
      </c>
      <c r="E390" t="s">
        <v>730</v>
      </c>
      <c r="H390" s="21">
        <v>0</v>
      </c>
      <c r="I390" s="21">
        <v>0</v>
      </c>
      <c r="J390" s="21">
        <v>0</v>
      </c>
      <c r="K390" s="21">
        <v>0</v>
      </c>
      <c r="L390" s="3">
        <f t="shared" si="20"/>
        <v>0</v>
      </c>
      <c r="M390" s="3"/>
      <c r="N390" s="3">
        <f t="shared" si="21"/>
        <v>0</v>
      </c>
      <c r="R390" s="89"/>
      <c r="S390" s="89">
        <f>100%-Table34[[#This Row],[PDF_initial fee]]</f>
        <v>1</v>
      </c>
      <c r="T390" s="89"/>
      <c r="U390" s="26"/>
    </row>
    <row r="391" spans="1:27" hidden="1" x14ac:dyDescent="0.25">
      <c r="A391">
        <v>145264</v>
      </c>
      <c r="B391" t="s">
        <v>731</v>
      </c>
      <c r="C391" t="s">
        <v>11842</v>
      </c>
      <c r="D391">
        <v>3</v>
      </c>
      <c r="E391" t="s">
        <v>731</v>
      </c>
      <c r="H391" s="21">
        <v>0</v>
      </c>
      <c r="I391" s="21">
        <v>0</v>
      </c>
      <c r="J391" s="21">
        <v>0</v>
      </c>
      <c r="K391" s="21">
        <v>0</v>
      </c>
      <c r="L391" s="3">
        <f t="shared" si="20"/>
        <v>0</v>
      </c>
      <c r="M391" s="3"/>
      <c r="N391" s="3">
        <f t="shared" si="21"/>
        <v>0</v>
      </c>
      <c r="R391" s="89"/>
      <c r="S391" s="89">
        <f>100%-Table34[[#This Row],[PDF_initial fee]]</f>
        <v>1</v>
      </c>
      <c r="T391" s="89"/>
      <c r="U391" s="26"/>
    </row>
    <row r="392" spans="1:27" hidden="1" x14ac:dyDescent="0.25">
      <c r="A392">
        <v>145280</v>
      </c>
      <c r="B392" t="s">
        <v>732</v>
      </c>
      <c r="C392" t="s">
        <v>12201</v>
      </c>
      <c r="D392">
        <v>0</v>
      </c>
      <c r="E392" t="s">
        <v>732</v>
      </c>
      <c r="F392" t="s">
        <v>29136</v>
      </c>
      <c r="H392" s="21">
        <v>0</v>
      </c>
      <c r="I392" s="21">
        <v>0</v>
      </c>
      <c r="J392" s="21">
        <v>0</v>
      </c>
      <c r="K392" s="21">
        <v>0</v>
      </c>
      <c r="L392" s="3">
        <f t="shared" si="20"/>
        <v>0</v>
      </c>
      <c r="M392" s="3"/>
      <c r="N392" s="3">
        <f t="shared" si="21"/>
        <v>0</v>
      </c>
      <c r="R392" s="89"/>
      <c r="S392" s="89">
        <f>100%-Table34[[#This Row],[PDF_initial fee]]</f>
        <v>1</v>
      </c>
      <c r="T392" s="89"/>
      <c r="U392" s="26"/>
    </row>
    <row r="393" spans="1:27" hidden="1" x14ac:dyDescent="0.25">
      <c r="A393">
        <v>145452</v>
      </c>
      <c r="B393" t="s">
        <v>733</v>
      </c>
      <c r="C393" t="s">
        <v>29365</v>
      </c>
      <c r="D393">
        <v>0</v>
      </c>
      <c r="E393" t="s">
        <v>733</v>
      </c>
      <c r="F393" t="s">
        <v>6</v>
      </c>
      <c r="H393" s="3">
        <v>0</v>
      </c>
      <c r="I393" s="3">
        <v>0</v>
      </c>
      <c r="J393" s="3">
        <v>0</v>
      </c>
      <c r="K393" s="3">
        <v>0</v>
      </c>
      <c r="L393" s="3">
        <f t="shared" si="20"/>
        <v>0</v>
      </c>
      <c r="M393" s="3"/>
      <c r="N393" s="3">
        <f t="shared" si="21"/>
        <v>0</v>
      </c>
      <c r="R393" s="89"/>
      <c r="S393" s="89">
        <f>100%-Table34[[#This Row],[PDF_initial fee]]</f>
        <v>1</v>
      </c>
      <c r="T393" s="89"/>
      <c r="U393" s="26"/>
    </row>
    <row r="394" spans="1:27" hidden="1" x14ac:dyDescent="0.25">
      <c r="A394">
        <v>145558</v>
      </c>
      <c r="B394" t="s">
        <v>734</v>
      </c>
      <c r="C394" t="s">
        <v>6958</v>
      </c>
      <c r="D394">
        <v>0</v>
      </c>
      <c r="E394" t="s">
        <v>734</v>
      </c>
      <c r="F394" t="s">
        <v>6958</v>
      </c>
      <c r="H394" s="21">
        <v>0</v>
      </c>
      <c r="I394" s="21">
        <v>0</v>
      </c>
      <c r="J394" s="21">
        <v>0</v>
      </c>
      <c r="K394" s="21">
        <v>0</v>
      </c>
      <c r="L394" s="3">
        <f t="shared" si="20"/>
        <v>0</v>
      </c>
      <c r="M394" s="3"/>
      <c r="N394" s="3">
        <f t="shared" si="21"/>
        <v>0</v>
      </c>
      <c r="R394" s="89"/>
      <c r="S394" s="89">
        <f>100%-Table34[[#This Row],[PDF_initial fee]]</f>
        <v>1</v>
      </c>
      <c r="T394" s="89"/>
      <c r="U394" s="26"/>
    </row>
    <row r="395" spans="1:27" hidden="1" x14ac:dyDescent="0.25">
      <c r="A395">
        <v>145829</v>
      </c>
      <c r="B395" t="s">
        <v>735</v>
      </c>
      <c r="C395" t="s">
        <v>29366</v>
      </c>
      <c r="D395">
        <v>6</v>
      </c>
      <c r="E395" t="s">
        <v>735</v>
      </c>
      <c r="H395" s="3">
        <v>0</v>
      </c>
      <c r="I395" s="3">
        <v>0</v>
      </c>
      <c r="J395" s="3">
        <v>0</v>
      </c>
      <c r="K395" s="3">
        <v>0</v>
      </c>
      <c r="L395" s="3">
        <f t="shared" si="20"/>
        <v>0</v>
      </c>
      <c r="M395" s="3"/>
      <c r="N395" s="3">
        <f t="shared" si="21"/>
        <v>0</v>
      </c>
      <c r="R395" s="89"/>
      <c r="S395" s="89">
        <f>100%-Table34[[#This Row],[PDF_initial fee]]</f>
        <v>1</v>
      </c>
      <c r="T395" s="89"/>
      <c r="U395" s="26"/>
    </row>
    <row r="396" spans="1:27" x14ac:dyDescent="0.25">
      <c r="A396">
        <v>134459</v>
      </c>
      <c r="B396" t="s">
        <v>43</v>
      </c>
      <c r="C396" t="s">
        <v>8690</v>
      </c>
      <c r="D396">
        <v>2</v>
      </c>
      <c r="E396" t="s">
        <v>43</v>
      </c>
      <c r="F396" t="s">
        <v>3</v>
      </c>
      <c r="G396" s="3">
        <v>1.4E-3</v>
      </c>
      <c r="H396" s="3">
        <v>0.02</v>
      </c>
      <c r="I396" s="3">
        <v>7.4999999999999997E-3</v>
      </c>
      <c r="J396" s="6"/>
      <c r="K396" s="6"/>
      <c r="L396" s="3">
        <f t="shared" si="20"/>
        <v>2.75E-2</v>
      </c>
      <c r="M396" s="3"/>
      <c r="N396" s="3">
        <f t="shared" si="21"/>
        <v>2.8899999999999999E-2</v>
      </c>
      <c r="O396" t="s">
        <v>29367</v>
      </c>
      <c r="P396" s="1" t="s">
        <v>29368</v>
      </c>
      <c r="Q396" t="s">
        <v>31787</v>
      </c>
      <c r="R396" s="89">
        <v>0.33333333333333348</v>
      </c>
      <c r="S396" s="89">
        <f>100%-Table34[[#This Row],[InitialFee]]</f>
        <v>0.98</v>
      </c>
      <c r="T396" s="89">
        <f>(1-Table34[[#This Row],[OngoingFee (plus Platform fee)]])^5</f>
        <v>0.9630582970465823</v>
      </c>
      <c r="U396" s="26">
        <f>(1+Table34[[#This Row],[Net 5yrs return (mostly up to 28th of Feb 2026)]])*Table34[[#This Row],[Investment after initial charge]]*Table34[[#This Row],[Cummulative 5yrs ongoing advice charge]]-1</f>
        <v>0.2583961748075343</v>
      </c>
      <c r="V396" s="10">
        <v>514555</v>
      </c>
      <c r="W396" t="s">
        <v>29051</v>
      </c>
      <c r="X396" s="10">
        <v>491063</v>
      </c>
      <c r="Y396" s="30">
        <f>X396/V396</f>
        <v>0.95434501656771387</v>
      </c>
      <c r="AA396" s="1" t="s">
        <v>29369</v>
      </c>
    </row>
    <row r="397" spans="1:27" hidden="1" x14ac:dyDescent="0.25">
      <c r="A397">
        <v>145833</v>
      </c>
      <c r="B397" t="s">
        <v>736</v>
      </c>
      <c r="C397" t="s">
        <v>6958</v>
      </c>
      <c r="D397">
        <v>1</v>
      </c>
      <c r="E397" t="s">
        <v>736</v>
      </c>
      <c r="F397" t="s">
        <v>6958</v>
      </c>
      <c r="L397" s="3">
        <f t="shared" si="20"/>
        <v>0</v>
      </c>
      <c r="M397" s="3"/>
      <c r="N397" s="3">
        <f t="shared" si="21"/>
        <v>0</v>
      </c>
      <c r="R397" s="89"/>
      <c r="S397" s="89">
        <f>100%-Table34[[#This Row],[PDF_initial fee]]</f>
        <v>1</v>
      </c>
      <c r="T397" s="89"/>
      <c r="U397" s="26"/>
    </row>
    <row r="398" spans="1:27" hidden="1" x14ac:dyDescent="0.25">
      <c r="A398">
        <v>145844</v>
      </c>
      <c r="B398" t="s">
        <v>737</v>
      </c>
      <c r="C398" t="s">
        <v>7965</v>
      </c>
      <c r="D398">
        <v>3</v>
      </c>
      <c r="E398" t="s">
        <v>737</v>
      </c>
      <c r="L398" s="3">
        <f t="shared" si="20"/>
        <v>0</v>
      </c>
      <c r="M398" s="3"/>
      <c r="N398" s="3">
        <f t="shared" si="21"/>
        <v>0</v>
      </c>
      <c r="R398" s="89"/>
      <c r="S398" s="89">
        <f>100%-Table34[[#This Row],[PDF_initial fee]]</f>
        <v>1</v>
      </c>
      <c r="T398" s="89"/>
      <c r="U398" s="26"/>
    </row>
    <row r="399" spans="1:27" hidden="1" x14ac:dyDescent="0.25">
      <c r="A399">
        <v>145958</v>
      </c>
      <c r="B399" t="s">
        <v>738</v>
      </c>
      <c r="C399" t="s">
        <v>29370</v>
      </c>
      <c r="D399">
        <v>0</v>
      </c>
      <c r="E399" t="s">
        <v>738</v>
      </c>
      <c r="F399" t="s">
        <v>29136</v>
      </c>
      <c r="H399" s="21">
        <v>0</v>
      </c>
      <c r="I399" s="21">
        <v>0</v>
      </c>
      <c r="J399" s="21">
        <v>0</v>
      </c>
      <c r="K399" s="21">
        <v>0</v>
      </c>
      <c r="L399" s="3">
        <f t="shared" si="20"/>
        <v>0</v>
      </c>
      <c r="M399" s="3"/>
      <c r="N399" s="3">
        <f t="shared" si="21"/>
        <v>0</v>
      </c>
      <c r="O399" s="21"/>
      <c r="R399" s="89"/>
      <c r="S399" s="89">
        <f>100%-Table34[[#This Row],[PDF_initial fee]]</f>
        <v>1</v>
      </c>
      <c r="T399" s="89"/>
      <c r="U399" s="26"/>
    </row>
    <row r="400" spans="1:27" hidden="1" x14ac:dyDescent="0.25">
      <c r="A400" s="39">
        <v>146002</v>
      </c>
      <c r="B400" t="s">
        <v>739</v>
      </c>
      <c r="C400" s="1" t="s">
        <v>29371</v>
      </c>
      <c r="D400">
        <v>21</v>
      </c>
      <c r="E400" t="s">
        <v>739</v>
      </c>
      <c r="F400" t="s">
        <v>29147</v>
      </c>
      <c r="G400" s="1"/>
      <c r="H400" s="3"/>
      <c r="I400" s="3"/>
      <c r="J400" s="3"/>
      <c r="K400" s="3"/>
      <c r="L400" s="3">
        <f t="shared" si="20"/>
        <v>0</v>
      </c>
      <c r="M400" s="3"/>
      <c r="N400" s="3">
        <f t="shared" si="21"/>
        <v>0</v>
      </c>
      <c r="R400" s="89"/>
      <c r="S400" s="89">
        <f>100%-Table34[[#This Row],[PDF_initial fee]]</f>
        <v>1</v>
      </c>
      <c r="T400" s="89"/>
      <c r="U400" s="26"/>
    </row>
    <row r="401" spans="1:27" hidden="1" x14ac:dyDescent="0.25">
      <c r="A401">
        <v>146274</v>
      </c>
      <c r="B401" t="s">
        <v>740</v>
      </c>
      <c r="C401" t="s">
        <v>29372</v>
      </c>
      <c r="D401">
        <v>14</v>
      </c>
      <c r="E401" t="s">
        <v>740</v>
      </c>
      <c r="F401" t="s">
        <v>29373</v>
      </c>
      <c r="L401" s="3">
        <f t="shared" si="20"/>
        <v>0</v>
      </c>
      <c r="M401" s="3"/>
      <c r="N401" s="3">
        <f t="shared" si="21"/>
        <v>0</v>
      </c>
      <c r="O401" t="s">
        <v>29374</v>
      </c>
      <c r="R401" s="89"/>
      <c r="S401" s="89">
        <f>100%-Table34[[#This Row],[PDF_initial fee]]</f>
        <v>1</v>
      </c>
      <c r="T401" s="89"/>
      <c r="U401" s="26"/>
    </row>
    <row r="402" spans="1:27" hidden="1" x14ac:dyDescent="0.25">
      <c r="A402">
        <v>146279</v>
      </c>
      <c r="B402" t="s">
        <v>741</v>
      </c>
      <c r="C402" t="s">
        <v>29375</v>
      </c>
      <c r="D402">
        <v>17</v>
      </c>
      <c r="E402" t="s">
        <v>741</v>
      </c>
      <c r="H402" s="3">
        <v>0</v>
      </c>
      <c r="I402" s="3">
        <v>0</v>
      </c>
      <c r="J402" s="3">
        <v>0</v>
      </c>
      <c r="K402" s="3">
        <v>0</v>
      </c>
      <c r="L402" s="3">
        <f t="shared" si="20"/>
        <v>0</v>
      </c>
      <c r="M402" s="3"/>
      <c r="N402" s="3">
        <f t="shared" si="21"/>
        <v>0</v>
      </c>
      <c r="R402" s="89"/>
      <c r="S402" s="89">
        <f>100%-Table34[[#This Row],[PDF_initial fee]]</f>
        <v>1</v>
      </c>
      <c r="T402" s="89"/>
      <c r="U402" s="26"/>
    </row>
    <row r="403" spans="1:27" hidden="1" x14ac:dyDescent="0.25">
      <c r="A403">
        <v>146287</v>
      </c>
      <c r="B403" t="s">
        <v>742</v>
      </c>
      <c r="C403" t="s">
        <v>29376</v>
      </c>
      <c r="D403">
        <v>15</v>
      </c>
      <c r="E403" t="s">
        <v>742</v>
      </c>
      <c r="H403" s="3">
        <v>0</v>
      </c>
      <c r="I403" s="3">
        <v>0</v>
      </c>
      <c r="J403" s="3">
        <v>0</v>
      </c>
      <c r="K403" s="3">
        <v>0</v>
      </c>
      <c r="L403" s="3">
        <f t="shared" si="20"/>
        <v>0</v>
      </c>
      <c r="M403" s="3"/>
      <c r="N403" s="3">
        <f t="shared" si="21"/>
        <v>0</v>
      </c>
      <c r="R403" s="89"/>
      <c r="S403" s="89">
        <f>100%-Table34[[#This Row],[PDF_initial fee]]</f>
        <v>1</v>
      </c>
      <c r="T403" s="89"/>
      <c r="U403" s="26"/>
    </row>
    <row r="404" spans="1:27" hidden="1" x14ac:dyDescent="0.25">
      <c r="A404">
        <v>146311</v>
      </c>
      <c r="B404" t="s">
        <v>743</v>
      </c>
      <c r="C404" t="s">
        <v>29377</v>
      </c>
      <c r="D404">
        <v>2</v>
      </c>
      <c r="E404" t="s">
        <v>743</v>
      </c>
      <c r="H404" s="21">
        <v>0</v>
      </c>
      <c r="I404" s="21">
        <v>0</v>
      </c>
      <c r="J404" s="21">
        <v>0</v>
      </c>
      <c r="K404" s="21">
        <v>0</v>
      </c>
      <c r="L404" s="3">
        <f t="shared" si="20"/>
        <v>0</v>
      </c>
      <c r="M404" s="3"/>
      <c r="N404" s="3">
        <f t="shared" si="21"/>
        <v>0</v>
      </c>
      <c r="O404" s="21"/>
      <c r="R404" s="89"/>
      <c r="S404" s="89">
        <f>100%-Table34[[#This Row],[PDF_initial fee]]</f>
        <v>1</v>
      </c>
      <c r="T404" s="89"/>
      <c r="U404" s="26"/>
    </row>
    <row r="405" spans="1:27" hidden="1" x14ac:dyDescent="0.25">
      <c r="A405">
        <v>146438</v>
      </c>
      <c r="B405" t="s">
        <v>744</v>
      </c>
      <c r="C405" t="s">
        <v>29378</v>
      </c>
      <c r="D405">
        <v>2</v>
      </c>
      <c r="E405" t="s">
        <v>744</v>
      </c>
      <c r="H405" s="3">
        <v>0</v>
      </c>
      <c r="I405" s="3">
        <v>0</v>
      </c>
      <c r="J405" s="3">
        <v>0</v>
      </c>
      <c r="K405" s="3">
        <v>0</v>
      </c>
      <c r="L405" s="3">
        <f t="shared" si="20"/>
        <v>0</v>
      </c>
      <c r="M405" s="3"/>
      <c r="N405" s="3">
        <f t="shared" si="21"/>
        <v>0</v>
      </c>
      <c r="R405" s="89"/>
      <c r="S405" s="89">
        <f>100%-Table34[[#This Row],[PDF_initial fee]]</f>
        <v>1</v>
      </c>
      <c r="T405" s="89"/>
      <c r="U405" s="26"/>
    </row>
    <row r="406" spans="1:27" hidden="1" x14ac:dyDescent="0.25">
      <c r="A406">
        <v>146449</v>
      </c>
      <c r="B406" t="s">
        <v>745</v>
      </c>
      <c r="C406" t="s">
        <v>29379</v>
      </c>
      <c r="D406">
        <v>7</v>
      </c>
      <c r="E406" t="s">
        <v>745</v>
      </c>
      <c r="H406" s="3">
        <v>0</v>
      </c>
      <c r="I406" s="3">
        <v>0</v>
      </c>
      <c r="J406" s="3">
        <v>0</v>
      </c>
      <c r="K406" s="3">
        <v>0</v>
      </c>
      <c r="L406" s="3">
        <f t="shared" si="20"/>
        <v>0</v>
      </c>
      <c r="M406" s="3"/>
      <c r="N406" s="3">
        <f t="shared" si="21"/>
        <v>0</v>
      </c>
      <c r="R406" s="89"/>
      <c r="S406" s="89">
        <f>100%-Table34[[#This Row],[PDF_initial fee]]</f>
        <v>1</v>
      </c>
      <c r="T406" s="89"/>
      <c r="U406" s="26"/>
    </row>
    <row r="407" spans="1:27" x14ac:dyDescent="0.25">
      <c r="A407">
        <v>830057</v>
      </c>
      <c r="B407" t="s">
        <v>317</v>
      </c>
      <c r="C407" t="s">
        <v>29380</v>
      </c>
      <c r="D407">
        <v>7</v>
      </c>
      <c r="E407" t="s">
        <v>317</v>
      </c>
      <c r="F407" t="s">
        <v>3</v>
      </c>
      <c r="G407" s="3">
        <v>1.4E-3</v>
      </c>
      <c r="H407" s="3">
        <f>(697/100000)+2%</f>
        <v>2.6970000000000001E-2</v>
      </c>
      <c r="I407" s="3">
        <v>5.0000000000000001E-3</v>
      </c>
      <c r="J407" s="6">
        <v>0</v>
      </c>
      <c r="K407" s="6">
        <v>0</v>
      </c>
      <c r="L407" s="3">
        <f t="shared" si="20"/>
        <v>3.1969999999999998E-2</v>
      </c>
      <c r="M407" s="3"/>
      <c r="N407" s="3">
        <f t="shared" si="21"/>
        <v>3.3369999999999997E-2</v>
      </c>
      <c r="O407" t="s">
        <v>29381</v>
      </c>
      <c r="P407" s="31" t="s">
        <v>29382</v>
      </c>
      <c r="Q407" t="s">
        <v>31787</v>
      </c>
      <c r="R407" s="89">
        <v>0.33333333333333348</v>
      </c>
      <c r="S407" s="89">
        <f>100%-Table34[[#This Row],[InitialFee]]</f>
        <v>0.97302999999999995</v>
      </c>
      <c r="T407" s="89">
        <f>(1-Table34[[#This Row],[OngoingFee (plus Platform fee)]])^5</f>
        <v>0.97524875312187509</v>
      </c>
      <c r="U407" s="26">
        <f>(1+Table34[[#This Row],[Net 5yrs return (mostly up to 28th of Feb 2026)]])*Table34[[#This Row],[Investment after initial charge]]*Table34[[#This Row],[Cummulative 5yrs ongoing advice charge]]-1</f>
        <v>0.26526172566690431</v>
      </c>
      <c r="V407">
        <f>914788 +121944</f>
        <v>1036732</v>
      </c>
      <c r="W407" t="s">
        <v>29051</v>
      </c>
      <c r="X407" s="9">
        <v>765474</v>
      </c>
      <c r="Y407" s="30">
        <f>X407/V407</f>
        <v>0.73835282406639324</v>
      </c>
      <c r="AA407" s="1" t="s">
        <v>29383</v>
      </c>
    </row>
    <row r="408" spans="1:27" hidden="1" x14ac:dyDescent="0.25">
      <c r="A408">
        <v>146499</v>
      </c>
      <c r="B408" t="s">
        <v>747</v>
      </c>
      <c r="C408" t="s">
        <v>6958</v>
      </c>
      <c r="D408">
        <v>1</v>
      </c>
      <c r="E408" t="s">
        <v>747</v>
      </c>
      <c r="F408" t="s">
        <v>6958</v>
      </c>
      <c r="H408" s="21">
        <v>0</v>
      </c>
      <c r="I408" s="21">
        <v>0</v>
      </c>
      <c r="J408" s="21">
        <v>0</v>
      </c>
      <c r="K408" s="21">
        <v>0</v>
      </c>
      <c r="L408" s="3">
        <f t="shared" ref="L408:L471" si="22">SUM(H408:K408)</f>
        <v>0</v>
      </c>
      <c r="M408" s="3"/>
      <c r="N408" s="3">
        <f t="shared" ref="N408:N471" si="23">L408+G408</f>
        <v>0</v>
      </c>
      <c r="R408" s="89"/>
      <c r="S408" s="89">
        <f>100%-Table34[[#This Row],[PDF_initial fee]]</f>
        <v>1</v>
      </c>
      <c r="T408" s="89"/>
      <c r="U408" s="26"/>
    </row>
    <row r="409" spans="1:27" hidden="1" x14ac:dyDescent="0.25">
      <c r="A409">
        <v>146522</v>
      </c>
      <c r="B409" t="s">
        <v>748</v>
      </c>
      <c r="C409" t="s">
        <v>6958</v>
      </c>
      <c r="D409">
        <v>0</v>
      </c>
      <c r="E409" t="s">
        <v>748</v>
      </c>
      <c r="F409" t="s">
        <v>6958</v>
      </c>
      <c r="H409" s="21">
        <v>0</v>
      </c>
      <c r="I409" s="21">
        <v>0</v>
      </c>
      <c r="J409" s="21">
        <v>0</v>
      </c>
      <c r="K409" s="21">
        <v>0</v>
      </c>
      <c r="L409" s="3">
        <f t="shared" si="22"/>
        <v>0</v>
      </c>
      <c r="M409" s="3"/>
      <c r="N409" s="3">
        <f t="shared" si="23"/>
        <v>0</v>
      </c>
      <c r="R409" s="89"/>
      <c r="S409" s="89">
        <f>100%-Table34[[#This Row],[PDF_initial fee]]</f>
        <v>1</v>
      </c>
      <c r="T409" s="89"/>
      <c r="U409" s="26"/>
    </row>
    <row r="410" spans="1:27" hidden="1" x14ac:dyDescent="0.25">
      <c r="A410">
        <v>146629</v>
      </c>
      <c r="B410" t="s">
        <v>749</v>
      </c>
      <c r="C410" t="s">
        <v>29206</v>
      </c>
      <c r="D410">
        <v>0</v>
      </c>
      <c r="E410" t="s">
        <v>749</v>
      </c>
      <c r="F410" t="s">
        <v>29136</v>
      </c>
      <c r="H410" s="21">
        <v>0</v>
      </c>
      <c r="I410" s="3">
        <v>0</v>
      </c>
      <c r="J410" s="3">
        <v>0</v>
      </c>
      <c r="K410">
        <v>0</v>
      </c>
      <c r="L410" s="3">
        <f t="shared" si="22"/>
        <v>0</v>
      </c>
      <c r="M410" s="3"/>
      <c r="N410" s="3">
        <f t="shared" si="23"/>
        <v>0</v>
      </c>
      <c r="R410" s="89"/>
      <c r="S410" s="89">
        <f>100%-Table34[[#This Row],[PDF_initial fee]]</f>
        <v>1</v>
      </c>
      <c r="T410" s="89"/>
      <c r="U410" s="26"/>
    </row>
    <row r="411" spans="1:27" hidden="1" x14ac:dyDescent="0.25">
      <c r="A411">
        <v>146702</v>
      </c>
      <c r="B411" t="s">
        <v>750</v>
      </c>
      <c r="C411" t="s">
        <v>29191</v>
      </c>
      <c r="D411">
        <v>0</v>
      </c>
      <c r="E411" t="s">
        <v>750</v>
      </c>
      <c r="F411" t="s">
        <v>6</v>
      </c>
      <c r="H411" s="21">
        <v>0</v>
      </c>
      <c r="I411" s="21">
        <v>0</v>
      </c>
      <c r="J411" s="21">
        <v>0</v>
      </c>
      <c r="K411" s="21">
        <v>0</v>
      </c>
      <c r="L411" s="3">
        <f t="shared" si="22"/>
        <v>0</v>
      </c>
      <c r="M411" s="3"/>
      <c r="N411" s="3">
        <f t="shared" si="23"/>
        <v>0</v>
      </c>
      <c r="O411" s="21"/>
      <c r="R411" s="89"/>
      <c r="S411" s="89">
        <f>100%-Table34[[#This Row],[PDF_initial fee]]</f>
        <v>1</v>
      </c>
      <c r="T411" s="89"/>
      <c r="U411" s="26"/>
    </row>
    <row r="412" spans="1:27" x14ac:dyDescent="0.25">
      <c r="A412">
        <v>916120</v>
      </c>
      <c r="B412" t="s">
        <v>327</v>
      </c>
      <c r="C412" t="s">
        <v>8909</v>
      </c>
      <c r="D412">
        <v>1</v>
      </c>
      <c r="E412" t="s">
        <v>327</v>
      </c>
      <c r="F412" t="s">
        <v>3</v>
      </c>
      <c r="G412" s="3">
        <v>1.4E-3</v>
      </c>
      <c r="H412" s="3">
        <v>1.4999999999999999E-2</v>
      </c>
      <c r="I412" s="3">
        <v>0.01</v>
      </c>
      <c r="J412" s="6"/>
      <c r="K412" s="6"/>
      <c r="L412" s="3">
        <f t="shared" si="22"/>
        <v>2.5000000000000001E-2</v>
      </c>
      <c r="M412" s="3"/>
      <c r="N412" s="3">
        <f t="shared" si="23"/>
        <v>2.64E-2</v>
      </c>
      <c r="P412" s="31" t="s">
        <v>29384</v>
      </c>
      <c r="Q412" t="s">
        <v>31787</v>
      </c>
      <c r="R412" s="89">
        <v>0.33333333333333348</v>
      </c>
      <c r="S412" s="89">
        <f>100%-Table34[[#This Row],[InitialFee]]</f>
        <v>0.98499999999999999</v>
      </c>
      <c r="T412" s="89">
        <f>(1-Table34[[#This Row],[OngoingFee (plus Platform fee)]])^5</f>
        <v>0.95099004989999991</v>
      </c>
      <c r="U412" s="26">
        <f>(1+Table34[[#This Row],[Net 5yrs return (mostly up to 28th of Feb 2026)]])*Table34[[#This Row],[Investment after initial charge]]*Table34[[#This Row],[Cummulative 5yrs ongoing advice charge]]-1</f>
        <v>0.24896693220200006</v>
      </c>
      <c r="V412" s="9">
        <v>49047</v>
      </c>
      <c r="W412" t="s">
        <v>29051</v>
      </c>
      <c r="X412" s="9">
        <v>40716</v>
      </c>
      <c r="Y412" s="30">
        <f>X412/V412</f>
        <v>0.83014251636185699</v>
      </c>
      <c r="AA412" s="1" t="s">
        <v>29385</v>
      </c>
    </row>
    <row r="413" spans="1:27" x14ac:dyDescent="0.25">
      <c r="A413">
        <v>821203</v>
      </c>
      <c r="B413" t="s">
        <v>311</v>
      </c>
      <c r="C413" t="s">
        <v>29386</v>
      </c>
      <c r="D413">
        <v>2</v>
      </c>
      <c r="E413" t="s">
        <v>311</v>
      </c>
      <c r="F413" t="s">
        <v>3</v>
      </c>
      <c r="G413" s="3">
        <v>1.4E-3</v>
      </c>
      <c r="H413" s="3">
        <v>5.7500000000000002E-2</v>
      </c>
      <c r="I413" s="3">
        <v>0</v>
      </c>
      <c r="J413" s="6">
        <v>0</v>
      </c>
      <c r="K413" s="6">
        <v>0</v>
      </c>
      <c r="L413" s="3">
        <f t="shared" si="22"/>
        <v>5.7500000000000002E-2</v>
      </c>
      <c r="M413" s="3"/>
      <c r="N413" s="3">
        <f t="shared" si="23"/>
        <v>5.8900000000000001E-2</v>
      </c>
      <c r="P413" s="31" t="s">
        <v>29387</v>
      </c>
      <c r="Q413" t="s">
        <v>31787</v>
      </c>
      <c r="R413" s="89">
        <v>0.33333333333333348</v>
      </c>
      <c r="S413" s="89">
        <f>100%-Table34[[#This Row],[InitialFee]]</f>
        <v>0.9425</v>
      </c>
      <c r="T413" s="89">
        <f>(1-Table34[[#This Row],[PDF ongoing fee]])^5</f>
        <v>1</v>
      </c>
      <c r="U413" s="26">
        <f>(1+Table34[[#This Row],[Net 5yrs return (mostly up to 28th of Feb 2026)]])*Table34[[#This Row],[Investment after initial charge]]*Table34[[#This Row],[Cummulative 5yrs ongoing advice charge]]-1</f>
        <v>0.25666666666666682</v>
      </c>
      <c r="V413" s="9">
        <v>103173</v>
      </c>
      <c r="W413" t="s">
        <v>29051</v>
      </c>
      <c r="X413" s="9">
        <v>103173</v>
      </c>
      <c r="Y413" s="30">
        <f>X413/V413</f>
        <v>1</v>
      </c>
      <c r="AA413" s="1" t="s">
        <v>29388</v>
      </c>
    </row>
    <row r="414" spans="1:27" hidden="1" x14ac:dyDescent="0.25">
      <c r="A414">
        <v>146733</v>
      </c>
      <c r="B414" t="s">
        <v>751</v>
      </c>
      <c r="C414" t="s">
        <v>7485</v>
      </c>
      <c r="D414">
        <v>2</v>
      </c>
      <c r="E414" t="s">
        <v>751</v>
      </c>
      <c r="H414" s="21">
        <v>0</v>
      </c>
      <c r="I414" s="21">
        <v>0</v>
      </c>
      <c r="J414" s="21">
        <v>0</v>
      </c>
      <c r="K414" s="21">
        <v>0</v>
      </c>
      <c r="L414" s="3">
        <f t="shared" si="22"/>
        <v>0</v>
      </c>
      <c r="M414" s="3"/>
      <c r="N414" s="3">
        <f t="shared" si="23"/>
        <v>0</v>
      </c>
      <c r="R414" s="89"/>
      <c r="S414" s="89">
        <f>100%-Table34[[#This Row],[PDF_initial fee]]</f>
        <v>1</v>
      </c>
      <c r="T414" s="89"/>
      <c r="U414" s="26"/>
    </row>
    <row r="415" spans="1:27" hidden="1" x14ac:dyDescent="0.25">
      <c r="A415">
        <v>146786</v>
      </c>
      <c r="B415" t="s">
        <v>752</v>
      </c>
      <c r="C415" t="s">
        <v>29389</v>
      </c>
      <c r="D415">
        <v>0</v>
      </c>
      <c r="E415" t="s">
        <v>752</v>
      </c>
      <c r="F415" t="s">
        <v>29136</v>
      </c>
      <c r="H415" s="21">
        <v>0</v>
      </c>
      <c r="I415" s="21">
        <v>0</v>
      </c>
      <c r="J415" s="21">
        <v>0</v>
      </c>
      <c r="K415" s="21">
        <v>0</v>
      </c>
      <c r="L415" s="3">
        <f t="shared" si="22"/>
        <v>0</v>
      </c>
      <c r="M415" s="3"/>
      <c r="N415" s="3">
        <f t="shared" si="23"/>
        <v>0</v>
      </c>
      <c r="O415" s="21"/>
      <c r="R415" s="89"/>
      <c r="S415" s="89">
        <f>100%-Table34[[#This Row],[PDF_initial fee]]</f>
        <v>1</v>
      </c>
      <c r="T415" s="89"/>
      <c r="U415" s="26"/>
    </row>
    <row r="416" spans="1:27" hidden="1" x14ac:dyDescent="0.25">
      <c r="A416">
        <v>146806</v>
      </c>
      <c r="B416" t="s">
        <v>753</v>
      </c>
      <c r="C416" s="1" t="s">
        <v>6958</v>
      </c>
      <c r="D416">
        <v>2</v>
      </c>
      <c r="E416" t="s">
        <v>753</v>
      </c>
      <c r="F416" t="s">
        <v>6958</v>
      </c>
      <c r="G416" s="1"/>
      <c r="H416" s="3">
        <v>0</v>
      </c>
      <c r="I416" s="3">
        <v>0</v>
      </c>
      <c r="J416" s="3">
        <v>0</v>
      </c>
      <c r="K416" s="3">
        <v>0</v>
      </c>
      <c r="L416" s="3">
        <f t="shared" si="22"/>
        <v>0</v>
      </c>
      <c r="M416" s="3"/>
      <c r="N416" s="3">
        <f t="shared" si="23"/>
        <v>0</v>
      </c>
      <c r="R416" s="89"/>
      <c r="S416" s="89">
        <f>100%-Table34[[#This Row],[PDF_initial fee]]</f>
        <v>1</v>
      </c>
      <c r="T416" s="89"/>
      <c r="U416" s="26"/>
    </row>
    <row r="417" spans="1:28" hidden="1" x14ac:dyDescent="0.25">
      <c r="A417">
        <v>146808</v>
      </c>
      <c r="B417" t="s">
        <v>754</v>
      </c>
      <c r="C417" t="s">
        <v>6958</v>
      </c>
      <c r="D417">
        <v>2</v>
      </c>
      <c r="E417" t="s">
        <v>754</v>
      </c>
      <c r="F417" t="s">
        <v>6958</v>
      </c>
      <c r="H417" s="21">
        <v>0</v>
      </c>
      <c r="I417" s="21">
        <v>0</v>
      </c>
      <c r="J417" s="21">
        <v>0</v>
      </c>
      <c r="K417" s="21">
        <v>0</v>
      </c>
      <c r="L417" s="3">
        <f t="shared" si="22"/>
        <v>0</v>
      </c>
      <c r="M417" s="3"/>
      <c r="N417" s="3">
        <f t="shared" si="23"/>
        <v>0</v>
      </c>
      <c r="R417" s="89"/>
      <c r="S417" s="89">
        <f>100%-Table34[[#This Row],[PDF_initial fee]]</f>
        <v>1</v>
      </c>
      <c r="T417" s="89"/>
      <c r="U417" s="26"/>
    </row>
    <row r="418" spans="1:28" hidden="1" x14ac:dyDescent="0.25">
      <c r="A418">
        <v>146853</v>
      </c>
      <c r="B418" t="s">
        <v>755</v>
      </c>
      <c r="C418" t="s">
        <v>6958</v>
      </c>
      <c r="D418">
        <v>0</v>
      </c>
      <c r="E418" t="s">
        <v>755</v>
      </c>
      <c r="F418" t="s">
        <v>6958</v>
      </c>
      <c r="H418" s="21">
        <v>0</v>
      </c>
      <c r="I418" s="21">
        <v>0</v>
      </c>
      <c r="J418" s="21">
        <v>0</v>
      </c>
      <c r="K418" s="21">
        <v>0</v>
      </c>
      <c r="L418" s="3">
        <f t="shared" si="22"/>
        <v>0</v>
      </c>
      <c r="M418" s="3"/>
      <c r="N418" s="3">
        <f t="shared" si="23"/>
        <v>0</v>
      </c>
      <c r="R418" s="89"/>
      <c r="S418" s="89">
        <f>100%-Table34[[#This Row],[PDF_initial fee]]</f>
        <v>1</v>
      </c>
      <c r="T418" s="89"/>
      <c r="U418" s="26"/>
    </row>
    <row r="419" spans="1:28" hidden="1" x14ac:dyDescent="0.25">
      <c r="A419">
        <v>146892</v>
      </c>
      <c r="B419" t="s">
        <v>756</v>
      </c>
      <c r="C419" t="s">
        <v>9952</v>
      </c>
      <c r="D419">
        <v>1</v>
      </c>
      <c r="E419" t="s">
        <v>756</v>
      </c>
      <c r="H419" s="21">
        <v>0</v>
      </c>
      <c r="I419" s="21">
        <v>0</v>
      </c>
      <c r="J419" s="21">
        <v>0</v>
      </c>
      <c r="K419" s="21">
        <v>0</v>
      </c>
      <c r="L419" s="3">
        <f t="shared" si="22"/>
        <v>0</v>
      </c>
      <c r="M419" s="3"/>
      <c r="N419" s="3">
        <f t="shared" si="23"/>
        <v>0</v>
      </c>
      <c r="R419" s="89"/>
      <c r="S419" s="89">
        <f>100%-Table34[[#This Row],[PDF_initial fee]]</f>
        <v>1</v>
      </c>
      <c r="T419" s="89"/>
      <c r="U419" s="26"/>
    </row>
    <row r="420" spans="1:28" x14ac:dyDescent="0.25">
      <c r="A420">
        <v>171077</v>
      </c>
      <c r="B420" t="s">
        <v>79</v>
      </c>
      <c r="C420" t="s">
        <v>9599</v>
      </c>
      <c r="D420">
        <v>3</v>
      </c>
      <c r="E420" t="s">
        <v>79</v>
      </c>
      <c r="F420" t="s">
        <v>3</v>
      </c>
      <c r="G420" s="3">
        <v>1.4E-3</v>
      </c>
      <c r="H420" s="3">
        <v>6.5500000000000003E-2</v>
      </c>
      <c r="I420" s="3">
        <v>0</v>
      </c>
      <c r="J420" s="6">
        <v>0</v>
      </c>
      <c r="K420" s="6">
        <v>0</v>
      </c>
      <c r="L420" s="3">
        <f t="shared" si="22"/>
        <v>6.5500000000000003E-2</v>
      </c>
      <c r="M420" s="3"/>
      <c r="N420" s="3">
        <f t="shared" si="23"/>
        <v>6.6900000000000001E-2</v>
      </c>
      <c r="O420" t="s">
        <v>29390</v>
      </c>
      <c r="P420" s="1" t="s">
        <v>29391</v>
      </c>
      <c r="Q420" t="s">
        <v>31787</v>
      </c>
      <c r="R420" s="89">
        <v>0.33333333333333348</v>
      </c>
      <c r="S420" s="89">
        <f>100%-Table34[[#This Row],[InitialFee]]</f>
        <v>0.9345</v>
      </c>
      <c r="T420" s="89">
        <f>(1-Table34[[#This Row],[PDF ongoing fee]])^5</f>
        <v>1</v>
      </c>
      <c r="U420" s="26">
        <f>(1+Table34[[#This Row],[Net 5yrs return (mostly up to 28th of Feb 2026)]])*Table34[[#This Row],[Investment after initial charge]]*Table34[[#This Row],[Cummulative 5yrs ongoing advice charge]]-1</f>
        <v>0.24600000000000022</v>
      </c>
      <c r="V420" s="10">
        <f>252084+77176</f>
        <v>329260</v>
      </c>
      <c r="W420" t="s">
        <v>29051</v>
      </c>
      <c r="X420" s="10">
        <v>251204</v>
      </c>
      <c r="Y420" s="30">
        <f>X420/V420</f>
        <v>0.7629350665127862</v>
      </c>
      <c r="AA420" s="1" t="s">
        <v>29392</v>
      </c>
      <c r="AB420" t="s">
        <v>29349</v>
      </c>
    </row>
    <row r="421" spans="1:28" hidden="1" x14ac:dyDescent="0.25">
      <c r="A421">
        <v>147107</v>
      </c>
      <c r="B421" t="s">
        <v>757</v>
      </c>
      <c r="C421" t="s">
        <v>29393</v>
      </c>
      <c r="D421">
        <v>4</v>
      </c>
      <c r="E421" t="s">
        <v>757</v>
      </c>
      <c r="H421" s="21">
        <v>0</v>
      </c>
      <c r="I421" s="21">
        <v>0</v>
      </c>
      <c r="J421" s="21">
        <v>0</v>
      </c>
      <c r="K421" s="21">
        <v>0</v>
      </c>
      <c r="L421" s="3">
        <f t="shared" si="22"/>
        <v>0</v>
      </c>
      <c r="M421" s="3"/>
      <c r="N421" s="3">
        <f t="shared" si="23"/>
        <v>0</v>
      </c>
      <c r="O421" s="21"/>
      <c r="R421" s="89"/>
      <c r="S421" s="89">
        <f>100%-Table34[[#This Row],[PDF_initial fee]]</f>
        <v>1</v>
      </c>
      <c r="T421" s="89"/>
      <c r="U421" s="26"/>
    </row>
    <row r="422" spans="1:28" hidden="1" x14ac:dyDescent="0.25">
      <c r="A422">
        <v>147308</v>
      </c>
      <c r="B422" t="s">
        <v>758</v>
      </c>
      <c r="C422" t="s">
        <v>9278</v>
      </c>
      <c r="D422">
        <v>1</v>
      </c>
      <c r="E422" t="s">
        <v>758</v>
      </c>
      <c r="H422" s="21">
        <v>0</v>
      </c>
      <c r="I422" s="21">
        <v>0</v>
      </c>
      <c r="J422" s="21">
        <v>0</v>
      </c>
      <c r="K422" s="21">
        <v>0</v>
      </c>
      <c r="L422" s="3">
        <f t="shared" si="22"/>
        <v>0</v>
      </c>
      <c r="M422" s="3"/>
      <c r="N422" s="3">
        <f t="shared" si="23"/>
        <v>0</v>
      </c>
      <c r="R422" s="89"/>
      <c r="S422" s="89">
        <f>100%-Table34[[#This Row],[PDF_initial fee]]</f>
        <v>1</v>
      </c>
      <c r="T422" s="89"/>
      <c r="U422" s="26"/>
    </row>
    <row r="423" spans="1:28" x14ac:dyDescent="0.25">
      <c r="A423">
        <v>842765</v>
      </c>
      <c r="B423" t="s">
        <v>320</v>
      </c>
      <c r="C423" t="s">
        <v>11600</v>
      </c>
      <c r="D423">
        <v>2</v>
      </c>
      <c r="E423" t="s">
        <v>320</v>
      </c>
      <c r="F423" t="s">
        <v>3</v>
      </c>
      <c r="G423" s="3">
        <v>1.4E-3</v>
      </c>
      <c r="H423" s="3">
        <f>1.8%+1.5%</f>
        <v>3.3000000000000002E-2</v>
      </c>
      <c r="I423" s="3">
        <v>7.4999999999999997E-3</v>
      </c>
      <c r="J423" s="6"/>
      <c r="K423" s="6"/>
      <c r="L423" s="3">
        <f t="shared" si="22"/>
        <v>4.0500000000000001E-2</v>
      </c>
      <c r="M423" s="3"/>
      <c r="N423" s="3">
        <f t="shared" si="23"/>
        <v>4.19E-2</v>
      </c>
      <c r="P423" s="31" t="s">
        <v>29394</v>
      </c>
      <c r="Q423" t="s">
        <v>31787</v>
      </c>
      <c r="R423" s="89">
        <v>0.33333333333333348</v>
      </c>
      <c r="S423" s="89">
        <f>100%-Table34[[#This Row],[InitialFee]]</f>
        <v>0.96699999999999997</v>
      </c>
      <c r="T423" s="89">
        <f>(1-Table34[[#This Row],[OngoingFee (plus Platform fee)]])^5</f>
        <v>0.9630582970465823</v>
      </c>
      <c r="U423" s="26">
        <f>(1+Table34[[#This Row],[Net 5yrs return (mostly up to 28th of Feb 2026)]])*Table34[[#This Row],[Investment after initial charge]]*Table34[[#This Row],[Cummulative 5yrs ongoing advice charge]]-1</f>
        <v>0.24170316432539352</v>
      </c>
      <c r="V423" s="10">
        <f>168463+71516</f>
        <v>239979</v>
      </c>
      <c r="W423" t="s">
        <v>29051</v>
      </c>
      <c r="X423" s="9">
        <v>184412</v>
      </c>
      <c r="Y423" s="30">
        <f>X423/V423</f>
        <v>0.76845057275844975</v>
      </c>
      <c r="AA423" s="1" t="s">
        <v>29395</v>
      </c>
      <c r="AB423" t="s">
        <v>29349</v>
      </c>
    </row>
    <row r="424" spans="1:28" hidden="1" x14ac:dyDescent="0.25">
      <c r="A424">
        <v>147395</v>
      </c>
      <c r="B424" t="s">
        <v>759</v>
      </c>
      <c r="C424" t="s">
        <v>8383</v>
      </c>
      <c r="D424">
        <v>2</v>
      </c>
      <c r="E424" t="s">
        <v>759</v>
      </c>
      <c r="H424" s="21">
        <v>0</v>
      </c>
      <c r="I424" s="21">
        <v>0</v>
      </c>
      <c r="J424" s="21">
        <v>0</v>
      </c>
      <c r="K424" s="21">
        <v>0</v>
      </c>
      <c r="L424" s="3">
        <f t="shared" si="22"/>
        <v>0</v>
      </c>
      <c r="M424" s="3"/>
      <c r="N424" s="3">
        <f t="shared" si="23"/>
        <v>0</v>
      </c>
      <c r="R424" s="89"/>
      <c r="S424" s="89">
        <f>100%-Table34[[#This Row],[PDF_initial fee]]</f>
        <v>1</v>
      </c>
      <c r="T424" s="89"/>
      <c r="U424" s="26"/>
    </row>
    <row r="425" spans="1:28" hidden="1" x14ac:dyDescent="0.25">
      <c r="A425">
        <v>147518</v>
      </c>
      <c r="B425" t="s">
        <v>760</v>
      </c>
      <c r="C425" t="s">
        <v>6958</v>
      </c>
      <c r="D425">
        <v>0</v>
      </c>
      <c r="E425" t="s">
        <v>760</v>
      </c>
      <c r="F425" t="s">
        <v>6958</v>
      </c>
      <c r="H425" s="21">
        <v>0</v>
      </c>
      <c r="I425" s="21">
        <v>0</v>
      </c>
      <c r="J425" s="21">
        <v>0</v>
      </c>
      <c r="K425" s="21">
        <v>0</v>
      </c>
      <c r="L425" s="3">
        <f t="shared" si="22"/>
        <v>0</v>
      </c>
      <c r="M425" s="3"/>
      <c r="N425" s="3">
        <f t="shared" si="23"/>
        <v>0</v>
      </c>
      <c r="O425" s="21"/>
      <c r="R425" s="89"/>
      <c r="S425" s="89">
        <f>100%-Table34[[#This Row],[PDF_initial fee]]</f>
        <v>1</v>
      </c>
      <c r="T425" s="89"/>
      <c r="U425" s="26"/>
    </row>
    <row r="426" spans="1:28" hidden="1" x14ac:dyDescent="0.25">
      <c r="A426">
        <v>147534</v>
      </c>
      <c r="B426" t="s">
        <v>761</v>
      </c>
      <c r="C426" t="s">
        <v>6958</v>
      </c>
      <c r="D426">
        <v>1</v>
      </c>
      <c r="E426" t="s">
        <v>761</v>
      </c>
      <c r="F426" t="s">
        <v>6958</v>
      </c>
      <c r="H426" s="21">
        <v>0</v>
      </c>
      <c r="I426" s="21">
        <v>0</v>
      </c>
      <c r="J426" s="21">
        <v>0</v>
      </c>
      <c r="K426" s="21">
        <v>0</v>
      </c>
      <c r="L426" s="3">
        <f t="shared" si="22"/>
        <v>0</v>
      </c>
      <c r="M426" s="3"/>
      <c r="N426" s="3">
        <f t="shared" si="23"/>
        <v>0</v>
      </c>
      <c r="R426" s="89"/>
      <c r="S426" s="89">
        <f>100%-Table34[[#This Row],[PDF_initial fee]]</f>
        <v>1</v>
      </c>
      <c r="T426" s="89"/>
      <c r="U426" s="26"/>
    </row>
    <row r="427" spans="1:28" hidden="1" x14ac:dyDescent="0.25">
      <c r="A427">
        <v>147535</v>
      </c>
      <c r="B427" t="s">
        <v>762</v>
      </c>
      <c r="C427" s="1" t="s">
        <v>29396</v>
      </c>
      <c r="D427">
        <v>6</v>
      </c>
      <c r="E427" t="s">
        <v>762</v>
      </c>
      <c r="F427" t="s">
        <v>29396</v>
      </c>
      <c r="G427" s="3">
        <v>3.2000000000000002E-3</v>
      </c>
      <c r="H427" s="21">
        <v>0</v>
      </c>
      <c r="I427" s="21">
        <v>0</v>
      </c>
      <c r="J427" s="3">
        <f>2%+0.9%+0.5%</f>
        <v>3.4000000000000002E-2</v>
      </c>
      <c r="K427" s="21">
        <v>0</v>
      </c>
      <c r="L427" s="3">
        <f t="shared" si="22"/>
        <v>3.4000000000000002E-2</v>
      </c>
      <c r="M427" s="3"/>
      <c r="N427" s="3">
        <f t="shared" si="23"/>
        <v>3.7200000000000004E-2</v>
      </c>
      <c r="O427" t="s">
        <v>29397</v>
      </c>
      <c r="P427" s="1" t="s">
        <v>29398</v>
      </c>
      <c r="R427" s="89"/>
      <c r="S427" s="89">
        <f>100%-Table34[[#This Row],[PDF_initial fee]]</f>
        <v>0.96599999999999997</v>
      </c>
      <c r="T427" s="89"/>
      <c r="U427" s="26"/>
      <c r="V427" s="9">
        <v>39584</v>
      </c>
      <c r="W427" t="s">
        <v>29051</v>
      </c>
      <c r="X427" s="9">
        <v>39584</v>
      </c>
      <c r="Y427" s="30">
        <f>X427/V427</f>
        <v>1</v>
      </c>
      <c r="AA427" s="1" t="s">
        <v>29399</v>
      </c>
      <c r="AB427" t="s">
        <v>29302</v>
      </c>
    </row>
    <row r="428" spans="1:28" hidden="1" x14ac:dyDescent="0.25">
      <c r="A428">
        <v>147562</v>
      </c>
      <c r="B428" t="s">
        <v>763</v>
      </c>
      <c r="C428" s="1" t="s">
        <v>29400</v>
      </c>
      <c r="D428">
        <v>28</v>
      </c>
      <c r="E428" t="s">
        <v>763</v>
      </c>
      <c r="F428" s="1" t="s">
        <v>29400</v>
      </c>
      <c r="H428" s="21">
        <v>0</v>
      </c>
      <c r="I428" s="21">
        <v>0</v>
      </c>
      <c r="J428" s="21">
        <v>0</v>
      </c>
      <c r="K428" s="21">
        <v>0</v>
      </c>
      <c r="L428" s="3">
        <f t="shared" si="22"/>
        <v>0</v>
      </c>
      <c r="M428" s="3"/>
      <c r="N428" s="3">
        <f t="shared" si="23"/>
        <v>0</v>
      </c>
      <c r="O428" s="21"/>
      <c r="R428" s="89"/>
      <c r="S428" s="89">
        <f>100%-Table34[[#This Row],[PDF_initial fee]]</f>
        <v>1</v>
      </c>
      <c r="T428" s="89"/>
      <c r="U428" s="26"/>
    </row>
    <row r="429" spans="1:28" x14ac:dyDescent="0.25">
      <c r="A429">
        <v>821005</v>
      </c>
      <c r="B429" t="s">
        <v>310</v>
      </c>
      <c r="C429" t="s">
        <v>29401</v>
      </c>
      <c r="D429">
        <v>1</v>
      </c>
      <c r="E429" t="s">
        <v>310</v>
      </c>
      <c r="F429" t="s">
        <v>3</v>
      </c>
      <c r="G429" s="3">
        <v>1.4E-3</v>
      </c>
      <c r="H429" s="3">
        <v>1.7500000000000002E-2</v>
      </c>
      <c r="I429" s="3">
        <v>0</v>
      </c>
      <c r="J429" s="6">
        <v>0</v>
      </c>
      <c r="K429" s="6">
        <v>0</v>
      </c>
      <c r="L429" s="3">
        <f t="shared" si="22"/>
        <v>1.7500000000000002E-2</v>
      </c>
      <c r="M429" s="3"/>
      <c r="N429" s="3">
        <f t="shared" si="23"/>
        <v>1.89E-2</v>
      </c>
      <c r="P429" s="31" t="s">
        <v>29402</v>
      </c>
      <c r="Q429" t="s">
        <v>31787</v>
      </c>
      <c r="R429" s="89">
        <v>0.33333333333333348</v>
      </c>
      <c r="S429" s="89">
        <f>100%-Table34[[#This Row],[InitialFee]]</f>
        <v>0.98250000000000004</v>
      </c>
      <c r="T429" s="89">
        <f>(1-Table34[[#This Row],[PDF ongoing fee]])^5</f>
        <v>1</v>
      </c>
      <c r="U429" s="26">
        <f>(1+Table34[[#This Row],[Net 5yrs return (mostly up to 28th of Feb 2026)]])*Table34[[#This Row],[Investment after initial charge]]*Table34[[#This Row],[Cummulative 5yrs ongoing advice charge]]-1</f>
        <v>0.31000000000000028</v>
      </c>
      <c r="V429" s="10">
        <f>44645+1155</f>
        <v>45800</v>
      </c>
      <c r="W429" t="s">
        <v>29051</v>
      </c>
      <c r="X429" s="9">
        <v>30947</v>
      </c>
      <c r="Y429" s="30">
        <f>X429/V429</f>
        <v>0.67569868995633187</v>
      </c>
      <c r="AA429" s="1" t="s">
        <v>29403</v>
      </c>
    </row>
    <row r="430" spans="1:28" hidden="1" x14ac:dyDescent="0.25">
      <c r="A430">
        <v>147666</v>
      </c>
      <c r="B430" t="s">
        <v>764</v>
      </c>
      <c r="C430" t="s">
        <v>6958</v>
      </c>
      <c r="D430">
        <v>2</v>
      </c>
      <c r="E430" t="s">
        <v>764</v>
      </c>
      <c r="F430" t="s">
        <v>6958</v>
      </c>
      <c r="H430" s="21">
        <v>0</v>
      </c>
      <c r="I430" s="21">
        <v>0</v>
      </c>
      <c r="J430" s="21">
        <v>0</v>
      </c>
      <c r="K430" s="21">
        <v>0</v>
      </c>
      <c r="L430" s="3">
        <f t="shared" si="22"/>
        <v>0</v>
      </c>
      <c r="M430" s="3"/>
      <c r="N430" s="3">
        <f t="shared" si="23"/>
        <v>0</v>
      </c>
      <c r="R430" s="89"/>
      <c r="S430" s="89">
        <f>100%-Table34[[#This Row],[PDF_initial fee]]</f>
        <v>1</v>
      </c>
      <c r="T430" s="89"/>
      <c r="U430" s="26"/>
    </row>
    <row r="431" spans="1:28" hidden="1" x14ac:dyDescent="0.25">
      <c r="A431">
        <v>147802</v>
      </c>
      <c r="B431" t="s">
        <v>765</v>
      </c>
      <c r="C431" t="s">
        <v>29404</v>
      </c>
      <c r="D431">
        <v>2</v>
      </c>
      <c r="E431" t="s">
        <v>765</v>
      </c>
      <c r="H431" s="21">
        <v>0</v>
      </c>
      <c r="I431" s="21">
        <v>0</v>
      </c>
      <c r="J431" s="21">
        <v>0</v>
      </c>
      <c r="K431" s="21">
        <v>0</v>
      </c>
      <c r="L431" s="3">
        <f t="shared" si="22"/>
        <v>0</v>
      </c>
      <c r="M431" s="3"/>
      <c r="N431" s="3">
        <f t="shared" si="23"/>
        <v>0</v>
      </c>
      <c r="O431" s="21"/>
      <c r="R431" s="89"/>
      <c r="S431" s="89">
        <f>100%-Table34[[#This Row],[PDF_initial fee]]</f>
        <v>1</v>
      </c>
      <c r="T431" s="89"/>
      <c r="U431" s="26"/>
    </row>
    <row r="432" spans="1:28" hidden="1" x14ac:dyDescent="0.25">
      <c r="A432">
        <v>147876</v>
      </c>
      <c r="B432" t="s">
        <v>766</v>
      </c>
      <c r="C432" t="s">
        <v>8777</v>
      </c>
      <c r="D432">
        <v>9</v>
      </c>
      <c r="E432" t="s">
        <v>766</v>
      </c>
      <c r="H432" s="21">
        <v>0</v>
      </c>
      <c r="I432" s="21">
        <v>0</v>
      </c>
      <c r="J432" s="21">
        <v>0</v>
      </c>
      <c r="K432" s="21">
        <v>0</v>
      </c>
      <c r="L432" s="3">
        <f t="shared" si="22"/>
        <v>0</v>
      </c>
      <c r="M432" s="3"/>
      <c r="N432" s="3">
        <f t="shared" si="23"/>
        <v>0</v>
      </c>
      <c r="R432" s="89"/>
      <c r="S432" s="89">
        <f>100%-Table34[[#This Row],[PDF_initial fee]]</f>
        <v>1</v>
      </c>
      <c r="T432" s="89"/>
      <c r="U432" s="26"/>
    </row>
    <row r="433" spans="1:27" hidden="1" x14ac:dyDescent="0.25">
      <c r="A433">
        <v>148029</v>
      </c>
      <c r="B433" t="s">
        <v>768</v>
      </c>
      <c r="C433" t="s">
        <v>10948</v>
      </c>
      <c r="D433">
        <v>3</v>
      </c>
      <c r="E433" t="s">
        <v>768</v>
      </c>
      <c r="H433" s="21">
        <v>0</v>
      </c>
      <c r="I433" s="21">
        <v>0</v>
      </c>
      <c r="J433" s="21">
        <v>0</v>
      </c>
      <c r="K433" s="21">
        <v>0</v>
      </c>
      <c r="L433" s="3">
        <f t="shared" si="22"/>
        <v>0</v>
      </c>
      <c r="M433" s="3"/>
      <c r="N433" s="3">
        <f t="shared" si="23"/>
        <v>0</v>
      </c>
      <c r="R433" s="89"/>
      <c r="S433" s="89">
        <f>100%-Table34[[#This Row],[PDF_initial fee]]</f>
        <v>1</v>
      </c>
      <c r="T433" s="89"/>
      <c r="U433" s="26"/>
    </row>
    <row r="434" spans="1:27" hidden="1" x14ac:dyDescent="0.25">
      <c r="A434">
        <v>148040</v>
      </c>
      <c r="B434" t="s">
        <v>769</v>
      </c>
      <c r="C434" t="s">
        <v>6958</v>
      </c>
      <c r="D434">
        <v>1</v>
      </c>
      <c r="E434" t="s">
        <v>769</v>
      </c>
      <c r="F434" t="s">
        <v>6958</v>
      </c>
      <c r="H434" s="21">
        <v>0</v>
      </c>
      <c r="I434" s="21">
        <v>0</v>
      </c>
      <c r="J434" s="21">
        <v>0</v>
      </c>
      <c r="K434" s="21">
        <v>0</v>
      </c>
      <c r="L434" s="3">
        <f t="shared" si="22"/>
        <v>0</v>
      </c>
      <c r="M434" s="3"/>
      <c r="N434" s="3">
        <f t="shared" si="23"/>
        <v>0</v>
      </c>
      <c r="R434" s="89"/>
      <c r="S434" s="89">
        <f>100%-Table34[[#This Row],[PDF_initial fee]]</f>
        <v>1</v>
      </c>
      <c r="T434" s="89"/>
      <c r="U434" s="26"/>
    </row>
    <row r="435" spans="1:27" hidden="1" x14ac:dyDescent="0.25">
      <c r="A435">
        <v>148187</v>
      </c>
      <c r="B435" t="s">
        <v>770</v>
      </c>
      <c r="C435" t="s">
        <v>11443</v>
      </c>
      <c r="D435">
        <v>4</v>
      </c>
      <c r="E435" t="s">
        <v>770</v>
      </c>
      <c r="H435" s="21">
        <v>0</v>
      </c>
      <c r="I435" s="21">
        <v>0</v>
      </c>
      <c r="J435" s="21">
        <v>0</v>
      </c>
      <c r="K435" s="21">
        <v>0</v>
      </c>
      <c r="L435" s="3">
        <f t="shared" si="22"/>
        <v>0</v>
      </c>
      <c r="M435" s="3"/>
      <c r="N435" s="3">
        <f t="shared" si="23"/>
        <v>0</v>
      </c>
      <c r="R435" s="89"/>
      <c r="S435" s="89">
        <f>100%-Table34[[#This Row],[PDF_initial fee]]</f>
        <v>1</v>
      </c>
      <c r="T435" s="89"/>
      <c r="U435" s="26"/>
    </row>
    <row r="436" spans="1:27" hidden="1" x14ac:dyDescent="0.25">
      <c r="A436">
        <v>148190</v>
      </c>
      <c r="B436" t="s">
        <v>771</v>
      </c>
      <c r="C436" t="s">
        <v>8781</v>
      </c>
      <c r="D436">
        <v>6</v>
      </c>
      <c r="E436" t="s">
        <v>771</v>
      </c>
      <c r="H436" s="21">
        <v>0</v>
      </c>
      <c r="I436" s="21">
        <v>0</v>
      </c>
      <c r="J436" s="21">
        <v>0</v>
      </c>
      <c r="K436" s="21">
        <v>0</v>
      </c>
      <c r="L436" s="3">
        <f t="shared" si="22"/>
        <v>0</v>
      </c>
      <c r="M436" s="3"/>
      <c r="N436" s="3">
        <f t="shared" si="23"/>
        <v>0</v>
      </c>
      <c r="R436" s="89"/>
      <c r="S436" s="89">
        <f>100%-Table34[[#This Row],[PDF_initial fee]]</f>
        <v>1</v>
      </c>
      <c r="T436" s="89"/>
      <c r="U436" s="26"/>
    </row>
    <row r="437" spans="1:27" hidden="1" x14ac:dyDescent="0.25">
      <c r="A437">
        <v>148191</v>
      </c>
      <c r="B437" t="s">
        <v>772</v>
      </c>
      <c r="C437" t="s">
        <v>11593</v>
      </c>
      <c r="D437">
        <v>0</v>
      </c>
      <c r="E437" t="s">
        <v>772</v>
      </c>
      <c r="F437" t="s">
        <v>29136</v>
      </c>
      <c r="H437" s="21">
        <v>0</v>
      </c>
      <c r="I437" s="21">
        <v>0</v>
      </c>
      <c r="J437" s="21">
        <v>0</v>
      </c>
      <c r="K437" s="21">
        <v>0</v>
      </c>
      <c r="L437" s="3">
        <f t="shared" si="22"/>
        <v>0</v>
      </c>
      <c r="M437" s="3"/>
      <c r="N437" s="3">
        <f t="shared" si="23"/>
        <v>0</v>
      </c>
      <c r="R437" s="89"/>
      <c r="S437" s="89">
        <f>100%-Table34[[#This Row],[PDF_initial fee]]</f>
        <v>1</v>
      </c>
      <c r="T437" s="89"/>
      <c r="U437" s="26"/>
    </row>
    <row r="438" spans="1:27" x14ac:dyDescent="0.25">
      <c r="A438">
        <v>583160</v>
      </c>
      <c r="B438" t="s">
        <v>238</v>
      </c>
      <c r="C438" t="s">
        <v>29405</v>
      </c>
      <c r="D438">
        <v>2</v>
      </c>
      <c r="E438" t="s">
        <v>238</v>
      </c>
      <c r="F438" t="s">
        <v>3</v>
      </c>
      <c r="G438" s="3">
        <v>1.4E-3</v>
      </c>
      <c r="H438" s="3">
        <v>0.02</v>
      </c>
      <c r="I438" s="3">
        <v>0</v>
      </c>
      <c r="J438" s="6"/>
      <c r="K438" s="6"/>
      <c r="L438" s="3">
        <f t="shared" si="22"/>
        <v>0.02</v>
      </c>
      <c r="M438" s="3"/>
      <c r="N438" s="3">
        <f t="shared" si="23"/>
        <v>2.1399999999999999E-2</v>
      </c>
      <c r="P438" s="31" t="s">
        <v>29406</v>
      </c>
      <c r="Q438" t="s">
        <v>31787</v>
      </c>
      <c r="R438" s="89">
        <v>0.33333333333333348</v>
      </c>
      <c r="S438" s="89">
        <f>100%-Table34[[#This Row],[InitialFee]]</f>
        <v>0.98</v>
      </c>
      <c r="T438" s="89">
        <f>(1-Table34[[#This Row],[PDF ongoing fee]])^5</f>
        <v>1</v>
      </c>
      <c r="U438" s="26">
        <f>(1+Table34[[#This Row],[Net 5yrs return (mostly up to 28th of Feb 2026)]])*Table34[[#This Row],[Investment after initial charge]]*Table34[[#This Row],[Cummulative 5yrs ongoing advice charge]]-1</f>
        <v>0.30666666666666687</v>
      </c>
      <c r="V438" s="10">
        <v>156635</v>
      </c>
      <c r="W438" t="s">
        <v>29051</v>
      </c>
      <c r="X438" s="9">
        <v>61663</v>
      </c>
      <c r="Y438" s="30">
        <f>X438/V438</f>
        <v>0.39367318926165928</v>
      </c>
      <c r="AA438" s="1" t="s">
        <v>29407</v>
      </c>
    </row>
    <row r="439" spans="1:27" hidden="1" x14ac:dyDescent="0.25">
      <c r="A439">
        <v>148216</v>
      </c>
      <c r="B439" t="s">
        <v>773</v>
      </c>
      <c r="C439" t="s">
        <v>6958</v>
      </c>
      <c r="D439">
        <v>0</v>
      </c>
      <c r="E439" t="s">
        <v>773</v>
      </c>
      <c r="F439" t="s">
        <v>6958</v>
      </c>
      <c r="L439" s="3">
        <f t="shared" si="22"/>
        <v>0</v>
      </c>
      <c r="M439" s="3"/>
      <c r="N439" s="3">
        <f t="shared" si="23"/>
        <v>0</v>
      </c>
      <c r="R439" s="89"/>
      <c r="S439" s="89">
        <f>100%-Table34[[#This Row],[PDF_initial fee]]</f>
        <v>1</v>
      </c>
      <c r="T439" s="89"/>
      <c r="U439" s="26"/>
    </row>
    <row r="440" spans="1:27" hidden="1" x14ac:dyDescent="0.25">
      <c r="A440">
        <v>148300</v>
      </c>
      <c r="B440" t="s">
        <v>774</v>
      </c>
      <c r="C440" t="s">
        <v>7063</v>
      </c>
      <c r="D440">
        <v>10</v>
      </c>
      <c r="E440" t="s">
        <v>774</v>
      </c>
      <c r="H440" s="21">
        <v>0</v>
      </c>
      <c r="I440" s="21">
        <v>0</v>
      </c>
      <c r="J440" s="21">
        <v>0</v>
      </c>
      <c r="K440" s="21">
        <v>0</v>
      </c>
      <c r="L440" s="3">
        <f t="shared" si="22"/>
        <v>0</v>
      </c>
      <c r="M440" s="3"/>
      <c r="N440" s="3">
        <f t="shared" si="23"/>
        <v>0</v>
      </c>
      <c r="R440" s="89"/>
      <c r="S440" s="89">
        <f>100%-Table34[[#This Row],[PDF_initial fee]]</f>
        <v>1</v>
      </c>
      <c r="T440" s="89"/>
      <c r="U440" s="26"/>
    </row>
    <row r="441" spans="1:27" hidden="1" x14ac:dyDescent="0.25">
      <c r="A441">
        <v>148407</v>
      </c>
      <c r="B441" t="s">
        <v>775</v>
      </c>
      <c r="C441" t="s">
        <v>6958</v>
      </c>
      <c r="D441">
        <v>1</v>
      </c>
      <c r="E441" t="s">
        <v>775</v>
      </c>
      <c r="F441" t="s">
        <v>6958</v>
      </c>
      <c r="L441" s="3">
        <f t="shared" si="22"/>
        <v>0</v>
      </c>
      <c r="M441" s="3"/>
      <c r="N441" s="3">
        <f t="shared" si="23"/>
        <v>0</v>
      </c>
      <c r="R441" s="89"/>
      <c r="S441" s="89">
        <f>100%-Table34[[#This Row],[PDF_initial fee]]</f>
        <v>1</v>
      </c>
      <c r="T441" s="89"/>
      <c r="U441" s="26"/>
    </row>
    <row r="442" spans="1:27" hidden="1" x14ac:dyDescent="0.25">
      <c r="A442">
        <v>148474</v>
      </c>
      <c r="B442" t="s">
        <v>776</v>
      </c>
      <c r="C442" t="s">
        <v>29408</v>
      </c>
      <c r="D442">
        <v>0</v>
      </c>
      <c r="E442" t="s">
        <v>776</v>
      </c>
      <c r="F442" t="s">
        <v>29136</v>
      </c>
      <c r="H442" s="21">
        <v>0</v>
      </c>
      <c r="I442" s="21">
        <v>0</v>
      </c>
      <c r="J442" s="21">
        <v>0</v>
      </c>
      <c r="K442" s="21">
        <v>0</v>
      </c>
      <c r="L442" s="3">
        <f t="shared" si="22"/>
        <v>0</v>
      </c>
      <c r="M442" s="3"/>
      <c r="N442" s="3">
        <f t="shared" si="23"/>
        <v>0</v>
      </c>
      <c r="O442" s="21"/>
      <c r="R442" s="89"/>
      <c r="S442" s="89">
        <f>100%-Table34[[#This Row],[PDF_initial fee]]</f>
        <v>1</v>
      </c>
      <c r="T442" s="89"/>
      <c r="U442" s="26"/>
    </row>
    <row r="443" spans="1:27" hidden="1" x14ac:dyDescent="0.25">
      <c r="A443">
        <v>148496</v>
      </c>
      <c r="B443" t="s">
        <v>777</v>
      </c>
      <c r="C443" t="s">
        <v>10556</v>
      </c>
      <c r="D443">
        <v>9</v>
      </c>
      <c r="E443" t="s">
        <v>777</v>
      </c>
      <c r="H443" s="21">
        <v>0</v>
      </c>
      <c r="I443" s="21">
        <v>0</v>
      </c>
      <c r="J443" s="21">
        <v>0</v>
      </c>
      <c r="K443" s="21">
        <v>0</v>
      </c>
      <c r="L443" s="3">
        <f t="shared" si="22"/>
        <v>0</v>
      </c>
      <c r="M443" s="3"/>
      <c r="N443" s="3">
        <f t="shared" si="23"/>
        <v>0</v>
      </c>
      <c r="R443" s="89"/>
      <c r="S443" s="89">
        <f>100%-Table34[[#This Row],[PDF_initial fee]]</f>
        <v>1</v>
      </c>
      <c r="T443" s="89"/>
      <c r="U443" s="26"/>
    </row>
    <row r="444" spans="1:27" hidden="1" x14ac:dyDescent="0.25">
      <c r="A444">
        <v>148549</v>
      </c>
      <c r="B444" t="s">
        <v>778</v>
      </c>
      <c r="C444" t="s">
        <v>8983</v>
      </c>
      <c r="D444">
        <v>0</v>
      </c>
      <c r="E444" t="s">
        <v>778</v>
      </c>
      <c r="F444" t="s">
        <v>29409</v>
      </c>
      <c r="H444" s="21">
        <v>0</v>
      </c>
      <c r="I444" s="21">
        <v>0</v>
      </c>
      <c r="J444" s="21">
        <v>0</v>
      </c>
      <c r="K444" s="21">
        <v>0</v>
      </c>
      <c r="L444" s="3">
        <f t="shared" si="22"/>
        <v>0</v>
      </c>
      <c r="M444" s="3"/>
      <c r="N444" s="3">
        <f t="shared" si="23"/>
        <v>0</v>
      </c>
      <c r="R444" s="89"/>
      <c r="S444" s="89">
        <f>100%-Table34[[#This Row],[PDF_initial fee]]</f>
        <v>1</v>
      </c>
      <c r="T444" s="89"/>
      <c r="U444" s="26"/>
    </row>
    <row r="445" spans="1:27" hidden="1" x14ac:dyDescent="0.25">
      <c r="A445">
        <v>148597</v>
      </c>
      <c r="B445" t="s">
        <v>779</v>
      </c>
      <c r="C445" t="s">
        <v>29410</v>
      </c>
      <c r="D445">
        <v>2</v>
      </c>
      <c r="E445" t="s">
        <v>779</v>
      </c>
      <c r="H445" s="21">
        <v>0</v>
      </c>
      <c r="I445" s="21">
        <v>0</v>
      </c>
      <c r="J445" s="21">
        <v>0</v>
      </c>
      <c r="K445" s="21">
        <v>0</v>
      </c>
      <c r="L445" s="3">
        <f t="shared" si="22"/>
        <v>0</v>
      </c>
      <c r="M445" s="3"/>
      <c r="N445" s="3">
        <f t="shared" si="23"/>
        <v>0</v>
      </c>
      <c r="O445" s="21"/>
      <c r="R445" s="89"/>
      <c r="S445" s="89">
        <f>100%-Table34[[#This Row],[PDF_initial fee]]</f>
        <v>1</v>
      </c>
      <c r="T445" s="89"/>
      <c r="U445" s="26"/>
    </row>
    <row r="446" spans="1:27" hidden="1" x14ac:dyDescent="0.25">
      <c r="A446">
        <v>148759</v>
      </c>
      <c r="B446" t="s">
        <v>780</v>
      </c>
      <c r="C446" t="s">
        <v>8059</v>
      </c>
      <c r="D446">
        <v>10</v>
      </c>
      <c r="E446" t="s">
        <v>780</v>
      </c>
      <c r="H446" s="21">
        <v>0</v>
      </c>
      <c r="I446" s="21">
        <v>0</v>
      </c>
      <c r="J446" s="21">
        <v>0</v>
      </c>
      <c r="K446" s="21">
        <v>0</v>
      </c>
      <c r="L446" s="3">
        <f t="shared" si="22"/>
        <v>0</v>
      </c>
      <c r="M446" s="3"/>
      <c r="N446" s="3">
        <f t="shared" si="23"/>
        <v>0</v>
      </c>
      <c r="R446" s="89"/>
      <c r="S446" s="89">
        <f>100%-Table34[[#This Row],[PDF_initial fee]]</f>
        <v>1</v>
      </c>
      <c r="T446" s="89"/>
      <c r="U446" s="26"/>
    </row>
    <row r="447" spans="1:27" hidden="1" x14ac:dyDescent="0.25">
      <c r="A447">
        <v>149161</v>
      </c>
      <c r="B447" t="s">
        <v>781</v>
      </c>
      <c r="C447" t="s">
        <v>6958</v>
      </c>
      <c r="D447">
        <v>2</v>
      </c>
      <c r="E447" t="s">
        <v>781</v>
      </c>
      <c r="F447" t="s">
        <v>6958</v>
      </c>
      <c r="H447" s="21">
        <v>0</v>
      </c>
      <c r="I447" s="21">
        <v>0</v>
      </c>
      <c r="J447" s="21">
        <v>0</v>
      </c>
      <c r="K447" s="21">
        <v>0</v>
      </c>
      <c r="L447" s="3">
        <f t="shared" si="22"/>
        <v>0</v>
      </c>
      <c r="M447" s="3"/>
      <c r="N447" s="3">
        <f t="shared" si="23"/>
        <v>0</v>
      </c>
      <c r="R447" s="89"/>
      <c r="S447" s="89">
        <f>100%-Table34[[#This Row],[PDF_initial fee]]</f>
        <v>1</v>
      </c>
      <c r="T447" s="89"/>
      <c r="U447" s="26"/>
    </row>
    <row r="448" spans="1:27" hidden="1" x14ac:dyDescent="0.25">
      <c r="A448">
        <v>149177</v>
      </c>
      <c r="B448" t="s">
        <v>782</v>
      </c>
      <c r="C448" t="s">
        <v>8656</v>
      </c>
      <c r="D448">
        <v>2</v>
      </c>
      <c r="E448" t="s">
        <v>782</v>
      </c>
      <c r="H448" s="21">
        <v>0</v>
      </c>
      <c r="I448" s="21">
        <v>0</v>
      </c>
      <c r="J448" s="21">
        <v>0</v>
      </c>
      <c r="K448" s="21">
        <v>0</v>
      </c>
      <c r="L448" s="3">
        <f t="shared" si="22"/>
        <v>0</v>
      </c>
      <c r="M448" s="3"/>
      <c r="N448" s="3">
        <f t="shared" si="23"/>
        <v>0</v>
      </c>
      <c r="R448" s="89"/>
      <c r="S448" s="89">
        <f>100%-Table34[[#This Row],[PDF_initial fee]]</f>
        <v>1</v>
      </c>
      <c r="T448" s="89"/>
      <c r="U448" s="26"/>
    </row>
    <row r="449" spans="1:21" hidden="1" x14ac:dyDescent="0.25">
      <c r="A449">
        <v>149231</v>
      </c>
      <c r="B449" t="s">
        <v>783</v>
      </c>
      <c r="C449" t="s">
        <v>11510</v>
      </c>
      <c r="D449">
        <v>7</v>
      </c>
      <c r="E449" t="s">
        <v>783</v>
      </c>
      <c r="H449" s="21">
        <v>0</v>
      </c>
      <c r="I449" s="21">
        <v>0</v>
      </c>
      <c r="J449" s="21">
        <v>0</v>
      </c>
      <c r="K449" s="21">
        <v>0</v>
      </c>
      <c r="L449" s="3">
        <f t="shared" si="22"/>
        <v>0</v>
      </c>
      <c r="M449" s="3"/>
      <c r="N449" s="3">
        <f t="shared" si="23"/>
        <v>0</v>
      </c>
      <c r="R449" s="89"/>
      <c r="S449" s="89">
        <f>100%-Table34[[#This Row],[PDF_initial fee]]</f>
        <v>1</v>
      </c>
      <c r="T449" s="89"/>
      <c r="U449" s="26"/>
    </row>
    <row r="450" spans="1:21" hidden="1" x14ac:dyDescent="0.25">
      <c r="A450">
        <v>149307</v>
      </c>
      <c r="B450" t="s">
        <v>784</v>
      </c>
      <c r="C450" t="s">
        <v>29411</v>
      </c>
      <c r="D450">
        <v>13</v>
      </c>
      <c r="E450" t="s">
        <v>784</v>
      </c>
      <c r="H450" s="3">
        <v>0</v>
      </c>
      <c r="I450" s="3">
        <v>0</v>
      </c>
      <c r="J450" s="3">
        <v>0</v>
      </c>
      <c r="K450" s="3">
        <v>0</v>
      </c>
      <c r="L450" s="3">
        <f t="shared" si="22"/>
        <v>0</v>
      </c>
      <c r="M450" s="3"/>
      <c r="N450" s="3">
        <f t="shared" si="23"/>
        <v>0</v>
      </c>
      <c r="R450" s="89"/>
      <c r="S450" s="89">
        <f>100%-Table34[[#This Row],[PDF_initial fee]]</f>
        <v>1</v>
      </c>
      <c r="T450" s="89"/>
      <c r="U450" s="26"/>
    </row>
    <row r="451" spans="1:21" hidden="1" x14ac:dyDescent="0.25">
      <c r="A451">
        <v>149380</v>
      </c>
      <c r="B451" t="s">
        <v>786</v>
      </c>
      <c r="C451" t="s">
        <v>29412</v>
      </c>
      <c r="D451">
        <v>0</v>
      </c>
      <c r="E451" t="s">
        <v>786</v>
      </c>
      <c r="F451" t="s">
        <v>29136</v>
      </c>
      <c r="H451" s="21">
        <v>0</v>
      </c>
      <c r="I451" s="21">
        <v>0</v>
      </c>
      <c r="J451" s="21">
        <v>0</v>
      </c>
      <c r="K451" s="21">
        <v>0</v>
      </c>
      <c r="L451" s="3">
        <f t="shared" si="22"/>
        <v>0</v>
      </c>
      <c r="M451" s="3"/>
      <c r="N451" s="3">
        <f t="shared" si="23"/>
        <v>0</v>
      </c>
      <c r="O451" s="21"/>
      <c r="R451" s="89"/>
      <c r="S451" s="89">
        <f>100%-Table34[[#This Row],[PDF_initial fee]]</f>
        <v>1</v>
      </c>
      <c r="T451" s="89"/>
      <c r="U451" s="26"/>
    </row>
    <row r="452" spans="1:21" hidden="1" x14ac:dyDescent="0.25">
      <c r="A452">
        <v>149541</v>
      </c>
      <c r="B452" t="s">
        <v>787</v>
      </c>
      <c r="C452" t="s">
        <v>11452</v>
      </c>
      <c r="D452">
        <v>2</v>
      </c>
      <c r="E452" t="s">
        <v>787</v>
      </c>
      <c r="L452" s="3">
        <f t="shared" si="22"/>
        <v>0</v>
      </c>
      <c r="M452" s="3"/>
      <c r="N452" s="3">
        <f t="shared" si="23"/>
        <v>0</v>
      </c>
      <c r="R452" s="89"/>
      <c r="S452" s="89">
        <f>100%-Table34[[#This Row],[PDF_initial fee]]</f>
        <v>1</v>
      </c>
      <c r="T452" s="89"/>
      <c r="U452" s="26"/>
    </row>
    <row r="453" spans="1:21" hidden="1" x14ac:dyDescent="0.25">
      <c r="A453">
        <v>149623</v>
      </c>
      <c r="B453" t="s">
        <v>788</v>
      </c>
      <c r="C453" t="s">
        <v>6958</v>
      </c>
      <c r="D453">
        <v>0</v>
      </c>
      <c r="E453" t="s">
        <v>788</v>
      </c>
      <c r="F453" t="s">
        <v>6958</v>
      </c>
      <c r="H453" s="3">
        <v>0</v>
      </c>
      <c r="I453" s="3">
        <v>0</v>
      </c>
      <c r="J453" s="3">
        <v>0</v>
      </c>
      <c r="K453" s="3">
        <v>0</v>
      </c>
      <c r="L453" s="3">
        <f t="shared" si="22"/>
        <v>0</v>
      </c>
      <c r="M453" s="3"/>
      <c r="N453" s="3">
        <f t="shared" si="23"/>
        <v>0</v>
      </c>
      <c r="R453" s="89"/>
      <c r="S453" s="89">
        <f>100%-Table34[[#This Row],[PDF_initial fee]]</f>
        <v>1</v>
      </c>
      <c r="T453" s="89"/>
      <c r="U453" s="26"/>
    </row>
    <row r="454" spans="1:21" hidden="1" x14ac:dyDescent="0.25">
      <c r="A454">
        <v>149715</v>
      </c>
      <c r="B454" t="s">
        <v>789</v>
      </c>
      <c r="C454" t="s">
        <v>6958</v>
      </c>
      <c r="D454">
        <v>2</v>
      </c>
      <c r="E454" t="s">
        <v>789</v>
      </c>
      <c r="F454" t="s">
        <v>6958</v>
      </c>
      <c r="H454" s="21">
        <v>0</v>
      </c>
      <c r="I454" s="21">
        <v>0</v>
      </c>
      <c r="J454" s="21">
        <v>0</v>
      </c>
      <c r="K454" s="21">
        <v>0</v>
      </c>
      <c r="L454" s="3">
        <f t="shared" si="22"/>
        <v>0</v>
      </c>
      <c r="M454" s="3"/>
      <c r="N454" s="3">
        <f t="shared" si="23"/>
        <v>0</v>
      </c>
      <c r="R454" s="89"/>
      <c r="S454" s="89">
        <f>100%-Table34[[#This Row],[PDF_initial fee]]</f>
        <v>1</v>
      </c>
      <c r="T454" s="89"/>
      <c r="U454" s="26"/>
    </row>
    <row r="455" spans="1:21" hidden="1" x14ac:dyDescent="0.25">
      <c r="A455">
        <v>149766</v>
      </c>
      <c r="B455" t="s">
        <v>790</v>
      </c>
      <c r="C455" t="s">
        <v>9108</v>
      </c>
      <c r="D455">
        <v>3</v>
      </c>
      <c r="E455" t="s">
        <v>790</v>
      </c>
      <c r="H455" s="21">
        <v>0</v>
      </c>
      <c r="I455" s="21">
        <v>0</v>
      </c>
      <c r="J455" s="21">
        <v>0</v>
      </c>
      <c r="K455" s="21">
        <v>0</v>
      </c>
      <c r="L455" s="3">
        <f t="shared" si="22"/>
        <v>0</v>
      </c>
      <c r="M455" s="3"/>
      <c r="N455" s="3">
        <f t="shared" si="23"/>
        <v>0</v>
      </c>
      <c r="R455" s="89"/>
      <c r="S455" s="89">
        <f>100%-Table34[[#This Row],[PDF_initial fee]]</f>
        <v>1</v>
      </c>
      <c r="T455" s="89"/>
      <c r="U455" s="26"/>
    </row>
    <row r="456" spans="1:21" hidden="1" x14ac:dyDescent="0.25">
      <c r="A456">
        <v>149826</v>
      </c>
      <c r="B456" t="s">
        <v>793</v>
      </c>
      <c r="C456" t="s">
        <v>6958</v>
      </c>
      <c r="D456">
        <v>0</v>
      </c>
      <c r="E456" t="s">
        <v>793</v>
      </c>
      <c r="F456" t="s">
        <v>6958</v>
      </c>
      <c r="H456" s="21">
        <v>0</v>
      </c>
      <c r="I456" s="3">
        <v>0</v>
      </c>
      <c r="J456" s="3">
        <v>0</v>
      </c>
      <c r="K456">
        <v>0</v>
      </c>
      <c r="L456" s="3">
        <f t="shared" si="22"/>
        <v>0</v>
      </c>
      <c r="M456" s="3"/>
      <c r="N456" s="3">
        <f t="shared" si="23"/>
        <v>0</v>
      </c>
      <c r="R456" s="89"/>
      <c r="S456" s="89">
        <f>100%-Table34[[#This Row],[PDF_initial fee]]</f>
        <v>1</v>
      </c>
      <c r="T456" s="89"/>
      <c r="U456" s="26"/>
    </row>
    <row r="457" spans="1:21" hidden="1" x14ac:dyDescent="0.25">
      <c r="A457">
        <v>149828</v>
      </c>
      <c r="B457" t="s">
        <v>794</v>
      </c>
      <c r="C457" t="s">
        <v>6958</v>
      </c>
      <c r="D457">
        <v>3</v>
      </c>
      <c r="E457" t="s">
        <v>794</v>
      </c>
      <c r="F457" t="s">
        <v>6958</v>
      </c>
      <c r="H457" s="21">
        <v>0</v>
      </c>
      <c r="I457" s="21">
        <v>0</v>
      </c>
      <c r="J457" s="21">
        <v>0</v>
      </c>
      <c r="K457" s="21">
        <v>0</v>
      </c>
      <c r="L457" s="3">
        <f t="shared" si="22"/>
        <v>0</v>
      </c>
      <c r="M457" s="3"/>
      <c r="N457" s="3">
        <f t="shared" si="23"/>
        <v>0</v>
      </c>
      <c r="R457" s="89"/>
      <c r="S457" s="89">
        <f>100%-Table34[[#This Row],[PDF_initial fee]]</f>
        <v>1</v>
      </c>
      <c r="T457" s="89"/>
      <c r="U457" s="26"/>
    </row>
    <row r="458" spans="1:21" hidden="1" x14ac:dyDescent="0.25">
      <c r="A458">
        <v>149889</v>
      </c>
      <c r="B458" t="s">
        <v>795</v>
      </c>
      <c r="C458" t="s">
        <v>11973</v>
      </c>
      <c r="D458">
        <v>3</v>
      </c>
      <c r="E458" t="s">
        <v>795</v>
      </c>
      <c r="H458" s="21">
        <v>0</v>
      </c>
      <c r="I458" s="21">
        <v>0</v>
      </c>
      <c r="J458" s="21">
        <v>0</v>
      </c>
      <c r="K458" s="21">
        <v>0</v>
      </c>
      <c r="L458" s="3">
        <f t="shared" si="22"/>
        <v>0</v>
      </c>
      <c r="M458" s="3"/>
      <c r="N458" s="3">
        <f t="shared" si="23"/>
        <v>0</v>
      </c>
      <c r="R458" s="89"/>
      <c r="S458" s="89">
        <f>100%-Table34[[#This Row],[PDF_initial fee]]</f>
        <v>1</v>
      </c>
      <c r="T458" s="89"/>
      <c r="U458" s="26"/>
    </row>
    <row r="459" spans="1:21" hidden="1" x14ac:dyDescent="0.25">
      <c r="A459">
        <v>149922</v>
      </c>
      <c r="B459" t="s">
        <v>796</v>
      </c>
      <c r="C459" t="s">
        <v>11566</v>
      </c>
      <c r="D459">
        <v>3</v>
      </c>
      <c r="E459" t="s">
        <v>796</v>
      </c>
      <c r="H459" s="21">
        <v>0</v>
      </c>
      <c r="I459" s="21">
        <v>0</v>
      </c>
      <c r="J459" s="21">
        <v>0</v>
      </c>
      <c r="K459" s="21">
        <v>0</v>
      </c>
      <c r="L459" s="3">
        <f t="shared" si="22"/>
        <v>0</v>
      </c>
      <c r="M459" s="3"/>
      <c r="N459" s="3">
        <f t="shared" si="23"/>
        <v>0</v>
      </c>
      <c r="R459" s="89"/>
      <c r="S459" s="89">
        <f>100%-Table34[[#This Row],[PDF_initial fee]]</f>
        <v>1</v>
      </c>
      <c r="T459" s="89"/>
      <c r="U459" s="26"/>
    </row>
    <row r="460" spans="1:21" hidden="1" x14ac:dyDescent="0.25">
      <c r="A460">
        <v>149979</v>
      </c>
      <c r="B460" t="s">
        <v>797</v>
      </c>
      <c r="C460" t="s">
        <v>6958</v>
      </c>
      <c r="D460">
        <v>2</v>
      </c>
      <c r="E460" t="s">
        <v>797</v>
      </c>
      <c r="F460" t="s">
        <v>6958</v>
      </c>
      <c r="H460" s="21">
        <v>0</v>
      </c>
      <c r="I460" s="21">
        <v>0</v>
      </c>
      <c r="J460" s="21">
        <v>0</v>
      </c>
      <c r="K460" s="21">
        <v>0</v>
      </c>
      <c r="L460" s="3">
        <f t="shared" si="22"/>
        <v>0</v>
      </c>
      <c r="M460" s="3"/>
      <c r="N460" s="3">
        <f t="shared" si="23"/>
        <v>0</v>
      </c>
      <c r="R460" s="89"/>
      <c r="S460" s="89">
        <f>100%-Table34[[#This Row],[PDF_initial fee]]</f>
        <v>1</v>
      </c>
      <c r="T460" s="89"/>
      <c r="U460" s="26"/>
    </row>
    <row r="461" spans="1:21" hidden="1" x14ac:dyDescent="0.25">
      <c r="A461">
        <v>150018</v>
      </c>
      <c r="B461" t="s">
        <v>798</v>
      </c>
      <c r="C461" t="s">
        <v>6958</v>
      </c>
      <c r="D461">
        <v>0</v>
      </c>
      <c r="E461" t="s">
        <v>798</v>
      </c>
      <c r="F461" t="s">
        <v>6958</v>
      </c>
      <c r="H461" s="21">
        <v>0</v>
      </c>
      <c r="I461" s="21">
        <v>0</v>
      </c>
      <c r="J461" s="21">
        <v>0</v>
      </c>
      <c r="K461" s="21">
        <v>0</v>
      </c>
      <c r="L461" s="3">
        <f t="shared" si="22"/>
        <v>0</v>
      </c>
      <c r="M461" s="3"/>
      <c r="N461" s="3">
        <f t="shared" si="23"/>
        <v>0</v>
      </c>
      <c r="O461" s="21"/>
      <c r="R461" s="89"/>
      <c r="S461" s="89">
        <f>100%-Table34[[#This Row],[PDF_initial fee]]</f>
        <v>1</v>
      </c>
      <c r="T461" s="89"/>
      <c r="U461" s="26"/>
    </row>
    <row r="462" spans="1:21" hidden="1" x14ac:dyDescent="0.25">
      <c r="A462">
        <v>150115</v>
      </c>
      <c r="B462" t="s">
        <v>800</v>
      </c>
      <c r="C462" t="s">
        <v>6958</v>
      </c>
      <c r="D462">
        <v>1</v>
      </c>
      <c r="E462" t="s">
        <v>800</v>
      </c>
      <c r="F462" t="s">
        <v>6958</v>
      </c>
      <c r="H462" s="21">
        <v>0</v>
      </c>
      <c r="I462" s="21">
        <v>0</v>
      </c>
      <c r="J462" s="21">
        <v>0</v>
      </c>
      <c r="K462" s="21">
        <v>0</v>
      </c>
      <c r="L462" s="3">
        <f t="shared" si="22"/>
        <v>0</v>
      </c>
      <c r="M462" s="3"/>
      <c r="N462" s="3">
        <f t="shared" si="23"/>
        <v>0</v>
      </c>
      <c r="R462" s="89"/>
      <c r="S462" s="89">
        <f>100%-Table34[[#This Row],[PDF_initial fee]]</f>
        <v>1</v>
      </c>
      <c r="T462" s="89"/>
      <c r="U462" s="26"/>
    </row>
    <row r="463" spans="1:21" hidden="1" x14ac:dyDescent="0.25">
      <c r="A463">
        <v>150126</v>
      </c>
      <c r="B463" t="s">
        <v>801</v>
      </c>
      <c r="C463" t="s">
        <v>6958</v>
      </c>
      <c r="D463">
        <v>2</v>
      </c>
      <c r="E463" t="s">
        <v>801</v>
      </c>
      <c r="F463" t="s">
        <v>6958</v>
      </c>
      <c r="H463" s="21">
        <v>0</v>
      </c>
      <c r="I463" s="21">
        <v>0</v>
      </c>
      <c r="J463" s="21">
        <v>0</v>
      </c>
      <c r="K463" s="21">
        <v>0</v>
      </c>
      <c r="L463" s="3">
        <f t="shared" si="22"/>
        <v>0</v>
      </c>
      <c r="M463" s="3"/>
      <c r="N463" s="3">
        <f t="shared" si="23"/>
        <v>0</v>
      </c>
      <c r="R463" s="89"/>
      <c r="S463" s="89">
        <f>100%-Table34[[#This Row],[PDF_initial fee]]</f>
        <v>1</v>
      </c>
      <c r="T463" s="89"/>
      <c r="U463" s="26"/>
    </row>
    <row r="464" spans="1:21" hidden="1" x14ac:dyDescent="0.25">
      <c r="A464">
        <v>150188</v>
      </c>
      <c r="B464" t="s">
        <v>803</v>
      </c>
      <c r="C464" t="s">
        <v>6958</v>
      </c>
      <c r="D464">
        <v>3</v>
      </c>
      <c r="E464" t="s">
        <v>803</v>
      </c>
      <c r="F464" t="s">
        <v>6958</v>
      </c>
      <c r="H464" s="21">
        <v>0</v>
      </c>
      <c r="I464" s="21">
        <v>0</v>
      </c>
      <c r="J464" s="21">
        <v>0</v>
      </c>
      <c r="K464" s="21">
        <v>0</v>
      </c>
      <c r="L464" s="3">
        <f t="shared" si="22"/>
        <v>0</v>
      </c>
      <c r="M464" s="3"/>
      <c r="N464" s="3">
        <f t="shared" si="23"/>
        <v>0</v>
      </c>
      <c r="R464" s="89"/>
      <c r="S464" s="89">
        <f>100%-Table34[[#This Row],[PDF_initial fee]]</f>
        <v>1</v>
      </c>
      <c r="T464" s="89"/>
      <c r="U464" s="26"/>
    </row>
    <row r="465" spans="1:27" hidden="1" x14ac:dyDescent="0.25">
      <c r="A465">
        <v>150285</v>
      </c>
      <c r="B465" t="s">
        <v>805</v>
      </c>
      <c r="C465" t="s">
        <v>29413</v>
      </c>
      <c r="D465">
        <v>2</v>
      </c>
      <c r="E465" t="s">
        <v>805</v>
      </c>
      <c r="H465" s="3">
        <v>0</v>
      </c>
      <c r="I465" s="3">
        <v>0</v>
      </c>
      <c r="J465" s="3">
        <v>0</v>
      </c>
      <c r="K465" s="3">
        <v>0</v>
      </c>
      <c r="L465" s="3">
        <f t="shared" si="22"/>
        <v>0</v>
      </c>
      <c r="M465" s="3"/>
      <c r="N465" s="3">
        <f t="shared" si="23"/>
        <v>0</v>
      </c>
      <c r="R465" s="89"/>
      <c r="S465" s="89">
        <f>100%-Table34[[#This Row],[PDF_initial fee]]</f>
        <v>1</v>
      </c>
      <c r="T465" s="89"/>
      <c r="U465" s="26"/>
    </row>
    <row r="466" spans="1:27" hidden="1" x14ac:dyDescent="0.25">
      <c r="A466">
        <v>150317</v>
      </c>
      <c r="B466" t="s">
        <v>806</v>
      </c>
      <c r="C466" t="s">
        <v>29414</v>
      </c>
      <c r="D466">
        <v>47</v>
      </c>
      <c r="E466" t="s">
        <v>806</v>
      </c>
      <c r="H466" s="3">
        <v>0</v>
      </c>
      <c r="I466" s="3">
        <v>0</v>
      </c>
      <c r="J466" s="3">
        <v>0</v>
      </c>
      <c r="K466" s="3">
        <v>0</v>
      </c>
      <c r="L466" s="3">
        <f t="shared" si="22"/>
        <v>0</v>
      </c>
      <c r="M466" s="3"/>
      <c r="N466" s="3">
        <f t="shared" si="23"/>
        <v>0</v>
      </c>
      <c r="R466" s="89"/>
      <c r="S466" s="89">
        <f>100%-Table34[[#This Row],[PDF_initial fee]]</f>
        <v>1</v>
      </c>
      <c r="T466" s="89"/>
      <c r="U466" s="26"/>
    </row>
    <row r="467" spans="1:27" hidden="1" x14ac:dyDescent="0.25">
      <c r="A467">
        <v>150458</v>
      </c>
      <c r="B467" t="s">
        <v>808</v>
      </c>
      <c r="C467" t="s">
        <v>12065</v>
      </c>
      <c r="D467">
        <v>17</v>
      </c>
      <c r="E467" t="s">
        <v>808</v>
      </c>
      <c r="H467" s="21">
        <v>0</v>
      </c>
      <c r="I467" s="21">
        <v>0</v>
      </c>
      <c r="J467" s="21">
        <v>0</v>
      </c>
      <c r="K467" s="21">
        <v>0</v>
      </c>
      <c r="L467" s="3">
        <f t="shared" si="22"/>
        <v>0</v>
      </c>
      <c r="M467" s="3"/>
      <c r="N467" s="3">
        <f t="shared" si="23"/>
        <v>0</v>
      </c>
      <c r="R467" s="89"/>
      <c r="S467" s="89">
        <f>100%-Table34[[#This Row],[PDF_initial fee]]</f>
        <v>1</v>
      </c>
      <c r="T467" s="89"/>
      <c r="U467" s="26"/>
    </row>
    <row r="468" spans="1:27" hidden="1" x14ac:dyDescent="0.25">
      <c r="A468">
        <v>150469</v>
      </c>
      <c r="B468" t="s">
        <v>809</v>
      </c>
      <c r="C468" t="s">
        <v>29415</v>
      </c>
      <c r="D468">
        <v>5</v>
      </c>
      <c r="E468" t="s">
        <v>809</v>
      </c>
      <c r="H468" s="3">
        <v>0</v>
      </c>
      <c r="I468" s="3">
        <v>0</v>
      </c>
      <c r="J468" s="3">
        <v>0</v>
      </c>
      <c r="K468" s="3">
        <v>0</v>
      </c>
      <c r="L468" s="3">
        <f t="shared" si="22"/>
        <v>0</v>
      </c>
      <c r="M468" s="3"/>
      <c r="N468" s="3">
        <f t="shared" si="23"/>
        <v>0</v>
      </c>
      <c r="R468" s="89"/>
      <c r="S468" s="89">
        <f>100%-Table34[[#This Row],[PDF_initial fee]]</f>
        <v>1</v>
      </c>
      <c r="T468" s="89"/>
      <c r="U468" s="26"/>
    </row>
    <row r="469" spans="1:27" hidden="1" x14ac:dyDescent="0.25">
      <c r="A469">
        <v>150485</v>
      </c>
      <c r="B469" t="s">
        <v>810</v>
      </c>
      <c r="C469" t="s">
        <v>11494</v>
      </c>
      <c r="D469">
        <v>2</v>
      </c>
      <c r="E469" t="s">
        <v>810</v>
      </c>
      <c r="H469" s="21">
        <v>0</v>
      </c>
      <c r="I469" s="21">
        <v>0</v>
      </c>
      <c r="J469" s="21">
        <v>0</v>
      </c>
      <c r="K469" s="21">
        <v>0</v>
      </c>
      <c r="L469" s="3">
        <f t="shared" si="22"/>
        <v>0</v>
      </c>
      <c r="M469" s="3"/>
      <c r="N469" s="3">
        <f t="shared" si="23"/>
        <v>0</v>
      </c>
      <c r="R469" s="89"/>
      <c r="S469" s="89">
        <f>100%-Table34[[#This Row],[PDF_initial fee]]</f>
        <v>1</v>
      </c>
      <c r="T469" s="89"/>
      <c r="U469" s="26"/>
    </row>
    <row r="470" spans="1:27" x14ac:dyDescent="0.25">
      <c r="A470">
        <v>629635</v>
      </c>
      <c r="B470" t="s">
        <v>261</v>
      </c>
      <c r="C470" t="s">
        <v>7019</v>
      </c>
      <c r="D470">
        <v>1</v>
      </c>
      <c r="E470" t="s">
        <v>261</v>
      </c>
      <c r="F470" t="s">
        <v>3</v>
      </c>
      <c r="G470" s="3">
        <v>1.4E-3</v>
      </c>
      <c r="H470" s="3">
        <v>1.4999999999999999E-2</v>
      </c>
      <c r="I470" s="3">
        <v>7.4999999999999997E-3</v>
      </c>
      <c r="J470" s="6"/>
      <c r="K470" s="6"/>
      <c r="L470" s="3">
        <f t="shared" si="22"/>
        <v>2.2499999999999999E-2</v>
      </c>
      <c r="M470" s="3"/>
      <c r="N470" s="3">
        <f t="shared" si="23"/>
        <v>2.3899999999999998E-2</v>
      </c>
      <c r="P470" s="31" t="s">
        <v>29416</v>
      </c>
      <c r="Q470" t="s">
        <v>31787</v>
      </c>
      <c r="R470" s="89">
        <v>0.33333333333333348</v>
      </c>
      <c r="S470" s="89">
        <f>100%-Table34[[#This Row],[InitialFee]]</f>
        <v>0.98499999999999999</v>
      </c>
      <c r="T470" s="89">
        <f>(1-Table34[[#This Row],[OngoingFee (plus Platform fee)]])^5</f>
        <v>0.9630582970465823</v>
      </c>
      <c r="U470" s="26">
        <f>(1+Table34[[#This Row],[Net 5yrs return (mostly up to 28th of Feb 2026)]])*Table34[[#This Row],[Investment after initial charge]]*Table34[[#This Row],[Cummulative 5yrs ongoing advice charge]]-1</f>
        <v>0.26481656345451166</v>
      </c>
      <c r="V470" s="9">
        <f>X470+28998</f>
        <v>75044</v>
      </c>
      <c r="W470" t="s">
        <v>29051</v>
      </c>
      <c r="X470" s="9">
        <v>46046</v>
      </c>
      <c r="Y470" s="30">
        <f>X470/V470</f>
        <v>0.6135866958051277</v>
      </c>
      <c r="AA470" s="1" t="s">
        <v>29417</v>
      </c>
    </row>
    <row r="471" spans="1:27" hidden="1" x14ac:dyDescent="0.25">
      <c r="A471">
        <v>150626</v>
      </c>
      <c r="B471" t="s">
        <v>811</v>
      </c>
      <c r="C471" t="s">
        <v>6958</v>
      </c>
      <c r="D471">
        <v>1</v>
      </c>
      <c r="E471" t="s">
        <v>811</v>
      </c>
      <c r="F471" t="s">
        <v>6958</v>
      </c>
      <c r="H471" s="21">
        <v>0</v>
      </c>
      <c r="I471" s="21">
        <v>0</v>
      </c>
      <c r="J471" s="21">
        <v>0</v>
      </c>
      <c r="K471" s="21">
        <v>0</v>
      </c>
      <c r="L471" s="3">
        <f t="shared" si="22"/>
        <v>0</v>
      </c>
      <c r="M471" s="3"/>
      <c r="N471" s="3">
        <f t="shared" si="23"/>
        <v>0</v>
      </c>
      <c r="R471" s="89"/>
      <c r="S471" s="89">
        <f>100%-Table34[[#This Row],[PDF_initial fee]]</f>
        <v>1</v>
      </c>
      <c r="T471" s="89"/>
      <c r="U471" s="26"/>
    </row>
    <row r="472" spans="1:27" hidden="1" x14ac:dyDescent="0.25">
      <c r="A472">
        <v>150643</v>
      </c>
      <c r="B472" t="s">
        <v>812</v>
      </c>
      <c r="C472" t="s">
        <v>6958</v>
      </c>
      <c r="D472">
        <v>0</v>
      </c>
      <c r="E472" t="s">
        <v>812</v>
      </c>
      <c r="F472" t="s">
        <v>6958</v>
      </c>
      <c r="H472" s="21">
        <v>0</v>
      </c>
      <c r="I472" s="3">
        <v>0</v>
      </c>
      <c r="J472" s="3">
        <v>0</v>
      </c>
      <c r="K472">
        <v>0</v>
      </c>
      <c r="L472" s="3">
        <f t="shared" ref="L472:L535" si="24">SUM(H472:K472)</f>
        <v>0</v>
      </c>
      <c r="M472" s="3"/>
      <c r="N472" s="3">
        <f t="shared" ref="N472:N484" si="25">L472+G472</f>
        <v>0</v>
      </c>
      <c r="R472" s="89"/>
      <c r="S472" s="89">
        <f>100%-Table34[[#This Row],[PDF_initial fee]]</f>
        <v>1</v>
      </c>
      <c r="T472" s="89"/>
      <c r="U472" s="26"/>
    </row>
    <row r="473" spans="1:27" hidden="1" x14ac:dyDescent="0.25">
      <c r="A473">
        <v>152587</v>
      </c>
      <c r="B473" t="s">
        <v>813</v>
      </c>
      <c r="C473" t="s">
        <v>29418</v>
      </c>
      <c r="D473">
        <v>6</v>
      </c>
      <c r="E473" t="s">
        <v>813</v>
      </c>
      <c r="H473" s="3">
        <v>0</v>
      </c>
      <c r="I473" s="3">
        <v>0</v>
      </c>
      <c r="J473" s="3">
        <v>0</v>
      </c>
      <c r="K473" s="3">
        <v>0</v>
      </c>
      <c r="L473" s="3">
        <f t="shared" si="24"/>
        <v>0</v>
      </c>
      <c r="M473" s="3"/>
      <c r="N473" s="3">
        <f t="shared" si="25"/>
        <v>0</v>
      </c>
      <c r="R473" s="89"/>
      <c r="S473" s="89">
        <f>100%-Table34[[#This Row],[PDF_initial fee]]</f>
        <v>1</v>
      </c>
      <c r="T473" s="89"/>
      <c r="U473" s="26"/>
    </row>
    <row r="474" spans="1:27" hidden="1" x14ac:dyDescent="0.25">
      <c r="A474">
        <v>152689</v>
      </c>
      <c r="B474" t="s">
        <v>814</v>
      </c>
      <c r="C474" t="s">
        <v>9160</v>
      </c>
      <c r="D474">
        <v>2</v>
      </c>
      <c r="E474" t="s">
        <v>814</v>
      </c>
      <c r="L474" s="3">
        <f t="shared" si="24"/>
        <v>0</v>
      </c>
      <c r="M474" s="3"/>
      <c r="N474" s="3">
        <f t="shared" si="25"/>
        <v>0</v>
      </c>
      <c r="R474" s="89"/>
      <c r="S474" s="89">
        <f>100%-Table34[[#This Row],[PDF_initial fee]]</f>
        <v>1</v>
      </c>
      <c r="T474" s="89"/>
      <c r="U474" s="26"/>
    </row>
    <row r="475" spans="1:27" hidden="1" x14ac:dyDescent="0.25">
      <c r="A475">
        <v>152710</v>
      </c>
      <c r="B475" t="s">
        <v>815</v>
      </c>
      <c r="C475" t="s">
        <v>6958</v>
      </c>
      <c r="D475">
        <v>1</v>
      </c>
      <c r="E475" t="s">
        <v>815</v>
      </c>
      <c r="F475" t="s">
        <v>6958</v>
      </c>
      <c r="L475" s="3">
        <f t="shared" si="24"/>
        <v>0</v>
      </c>
      <c r="M475" s="3"/>
      <c r="N475" s="3">
        <f t="shared" si="25"/>
        <v>0</v>
      </c>
      <c r="R475" s="89"/>
      <c r="S475" s="89">
        <f>100%-Table34[[#This Row],[PDF_initial fee]]</f>
        <v>1</v>
      </c>
      <c r="T475" s="89"/>
      <c r="U475" s="26"/>
    </row>
    <row r="476" spans="1:27" hidden="1" x14ac:dyDescent="0.25">
      <c r="A476">
        <v>152753</v>
      </c>
      <c r="B476" t="s">
        <v>816</v>
      </c>
      <c r="C476" t="s">
        <v>29419</v>
      </c>
      <c r="D476">
        <v>18</v>
      </c>
      <c r="E476" t="s">
        <v>816</v>
      </c>
      <c r="H476" s="21">
        <v>0</v>
      </c>
      <c r="I476" s="21">
        <v>0</v>
      </c>
      <c r="J476" s="21">
        <v>0</v>
      </c>
      <c r="K476" s="21">
        <v>0</v>
      </c>
      <c r="L476" s="3">
        <f t="shared" si="24"/>
        <v>0</v>
      </c>
      <c r="M476" s="3"/>
      <c r="N476" s="3">
        <f t="shared" si="25"/>
        <v>0</v>
      </c>
      <c r="O476" s="21"/>
      <c r="R476" s="89"/>
      <c r="S476" s="89">
        <f>100%-Table34[[#This Row],[PDF_initial fee]]</f>
        <v>1</v>
      </c>
      <c r="T476" s="89"/>
      <c r="U476" s="26"/>
    </row>
    <row r="477" spans="1:27" hidden="1" x14ac:dyDescent="0.25">
      <c r="A477">
        <v>152998</v>
      </c>
      <c r="B477" t="s">
        <v>818</v>
      </c>
      <c r="C477" t="s">
        <v>29420</v>
      </c>
      <c r="D477">
        <v>8</v>
      </c>
      <c r="E477" t="s">
        <v>818</v>
      </c>
      <c r="H477" s="3">
        <v>0</v>
      </c>
      <c r="I477" s="3">
        <v>0</v>
      </c>
      <c r="J477" s="3">
        <v>0</v>
      </c>
      <c r="K477" s="3">
        <v>0</v>
      </c>
      <c r="L477" s="3">
        <f t="shared" si="24"/>
        <v>0</v>
      </c>
      <c r="M477" s="3"/>
      <c r="N477" s="3">
        <f t="shared" si="25"/>
        <v>0</v>
      </c>
      <c r="R477" s="89"/>
      <c r="S477" s="89">
        <f>100%-Table34[[#This Row],[PDF_initial fee]]</f>
        <v>1</v>
      </c>
      <c r="T477" s="89"/>
      <c r="U477" s="26"/>
    </row>
    <row r="478" spans="1:27" hidden="1" x14ac:dyDescent="0.25">
      <c r="A478">
        <v>153041</v>
      </c>
      <c r="B478" t="s">
        <v>819</v>
      </c>
      <c r="C478" t="s">
        <v>6958</v>
      </c>
      <c r="D478">
        <v>1</v>
      </c>
      <c r="E478" t="s">
        <v>819</v>
      </c>
      <c r="F478" t="s">
        <v>6958</v>
      </c>
      <c r="H478" s="3">
        <v>0</v>
      </c>
      <c r="I478" s="3">
        <v>0</v>
      </c>
      <c r="J478" s="3">
        <v>0</v>
      </c>
      <c r="K478" s="3">
        <v>0</v>
      </c>
      <c r="L478" s="3">
        <f t="shared" si="24"/>
        <v>0</v>
      </c>
      <c r="M478" s="3"/>
      <c r="N478" s="3">
        <f t="shared" si="25"/>
        <v>0</v>
      </c>
      <c r="R478" s="89"/>
      <c r="S478" s="89">
        <f>100%-Table34[[#This Row],[PDF_initial fee]]</f>
        <v>1</v>
      </c>
      <c r="T478" s="89"/>
      <c r="U478" s="26"/>
    </row>
    <row r="479" spans="1:27" hidden="1" x14ac:dyDescent="0.25">
      <c r="A479">
        <v>153248</v>
      </c>
      <c r="B479" t="s">
        <v>820</v>
      </c>
      <c r="C479" t="s">
        <v>6958</v>
      </c>
      <c r="D479">
        <v>2</v>
      </c>
      <c r="E479" t="s">
        <v>820</v>
      </c>
      <c r="F479" t="s">
        <v>6958</v>
      </c>
      <c r="H479" s="21">
        <v>0</v>
      </c>
      <c r="I479" s="21">
        <v>0</v>
      </c>
      <c r="J479" s="21">
        <v>0</v>
      </c>
      <c r="K479" s="21">
        <v>0</v>
      </c>
      <c r="L479" s="3">
        <f t="shared" si="24"/>
        <v>0</v>
      </c>
      <c r="M479" s="3"/>
      <c r="N479" s="3">
        <f t="shared" si="25"/>
        <v>0</v>
      </c>
      <c r="R479" s="89"/>
      <c r="S479" s="89">
        <f>100%-Table34[[#This Row],[PDF_initial fee]]</f>
        <v>1</v>
      </c>
      <c r="T479" s="89"/>
      <c r="U479" s="26"/>
    </row>
    <row r="480" spans="1:27" hidden="1" x14ac:dyDescent="0.25">
      <c r="A480">
        <v>153446</v>
      </c>
      <c r="B480" t="s">
        <v>822</v>
      </c>
      <c r="C480" t="s">
        <v>12450</v>
      </c>
      <c r="D480">
        <v>2</v>
      </c>
      <c r="E480" t="s">
        <v>822</v>
      </c>
      <c r="H480" s="21">
        <v>0</v>
      </c>
      <c r="I480" s="21">
        <v>0</v>
      </c>
      <c r="J480" s="21">
        <v>0</v>
      </c>
      <c r="K480" s="21">
        <v>0</v>
      </c>
      <c r="L480" s="3">
        <f t="shared" si="24"/>
        <v>0</v>
      </c>
      <c r="M480" s="3"/>
      <c r="N480" s="3">
        <f t="shared" si="25"/>
        <v>0</v>
      </c>
      <c r="R480" s="89"/>
      <c r="S480" s="89">
        <f>100%-Table34[[#This Row],[PDF_initial fee]]</f>
        <v>1</v>
      </c>
      <c r="T480" s="89"/>
      <c r="U480" s="26"/>
    </row>
    <row r="481" spans="1:27" hidden="1" x14ac:dyDescent="0.25">
      <c r="A481">
        <v>153508</v>
      </c>
      <c r="B481" t="s">
        <v>823</v>
      </c>
      <c r="C481" t="s">
        <v>29421</v>
      </c>
      <c r="D481">
        <v>9</v>
      </c>
      <c r="E481" t="s">
        <v>823</v>
      </c>
      <c r="L481" s="3">
        <f t="shared" si="24"/>
        <v>0</v>
      </c>
      <c r="M481" s="3"/>
      <c r="N481" s="3">
        <f t="shared" si="25"/>
        <v>0</v>
      </c>
      <c r="R481" s="89"/>
      <c r="S481" s="89">
        <f>100%-Table34[[#This Row],[PDF_initial fee]]</f>
        <v>1</v>
      </c>
      <c r="T481" s="89"/>
      <c r="U481" s="26"/>
    </row>
    <row r="482" spans="1:27" hidden="1" x14ac:dyDescent="0.25">
      <c r="A482">
        <v>153566</v>
      </c>
      <c r="B482" t="s">
        <v>824</v>
      </c>
      <c r="C482" t="s">
        <v>9854</v>
      </c>
      <c r="D482">
        <v>53</v>
      </c>
      <c r="E482" t="s">
        <v>824</v>
      </c>
      <c r="H482" s="21"/>
      <c r="J482" s="21"/>
      <c r="L482" s="3">
        <f t="shared" si="24"/>
        <v>0</v>
      </c>
      <c r="M482" s="3"/>
      <c r="N482" s="3">
        <f t="shared" si="25"/>
        <v>0</v>
      </c>
      <c r="O482" t="s">
        <v>12692</v>
      </c>
      <c r="P482" s="22" t="s">
        <v>29422</v>
      </c>
      <c r="Q482" t="s">
        <v>29423</v>
      </c>
      <c r="R482" s="89"/>
      <c r="S482" s="89">
        <f>100%-Table34[[#This Row],[PDF_initial fee]]</f>
        <v>1</v>
      </c>
      <c r="T482" s="89"/>
      <c r="U482" s="26"/>
    </row>
    <row r="483" spans="1:27" hidden="1" x14ac:dyDescent="0.25">
      <c r="A483">
        <v>153640</v>
      </c>
      <c r="B483" t="s">
        <v>825</v>
      </c>
      <c r="C483" t="s">
        <v>11478</v>
      </c>
      <c r="D483">
        <v>1</v>
      </c>
      <c r="E483" t="s">
        <v>825</v>
      </c>
      <c r="H483" s="21">
        <v>0</v>
      </c>
      <c r="I483" s="21">
        <v>0</v>
      </c>
      <c r="J483" s="21">
        <v>0</v>
      </c>
      <c r="K483" s="21">
        <v>0</v>
      </c>
      <c r="L483" s="3">
        <f t="shared" si="24"/>
        <v>0</v>
      </c>
      <c r="M483" s="3"/>
      <c r="N483" s="3">
        <f t="shared" si="25"/>
        <v>0</v>
      </c>
      <c r="R483" s="89"/>
      <c r="S483" s="89">
        <f>100%-Table34[[#This Row],[PDF_initial fee]]</f>
        <v>1</v>
      </c>
      <c r="T483" s="89"/>
      <c r="U483" s="26"/>
    </row>
    <row r="484" spans="1:27" hidden="1" x14ac:dyDescent="0.25">
      <c r="A484">
        <v>153646</v>
      </c>
      <c r="B484" t="s">
        <v>826</v>
      </c>
      <c r="C484" t="s">
        <v>6958</v>
      </c>
      <c r="D484">
        <v>0</v>
      </c>
      <c r="E484" t="s">
        <v>826</v>
      </c>
      <c r="F484" t="s">
        <v>6958</v>
      </c>
      <c r="H484" s="21">
        <v>0</v>
      </c>
      <c r="I484" s="21">
        <v>0</v>
      </c>
      <c r="J484" s="21">
        <v>0</v>
      </c>
      <c r="K484" s="21">
        <v>0</v>
      </c>
      <c r="L484" s="3">
        <f t="shared" si="24"/>
        <v>0</v>
      </c>
      <c r="M484" s="3"/>
      <c r="N484" s="3">
        <f t="shared" si="25"/>
        <v>0</v>
      </c>
      <c r="O484" s="21"/>
      <c r="R484" s="89"/>
      <c r="S484" s="89">
        <f>100%-Table34[[#This Row],[PDF_initial fee]]</f>
        <v>1</v>
      </c>
      <c r="T484" s="89"/>
      <c r="U484" s="26"/>
    </row>
    <row r="485" spans="1:27" hidden="1" x14ac:dyDescent="0.25">
      <c r="A485">
        <v>804197</v>
      </c>
      <c r="B485" t="s">
        <v>368</v>
      </c>
      <c r="C485" t="s">
        <v>29424</v>
      </c>
      <c r="D485">
        <v>2</v>
      </c>
      <c r="E485" t="s">
        <v>368</v>
      </c>
      <c r="F485" t="s">
        <v>6</v>
      </c>
      <c r="G485" s="3">
        <v>1.2500000000000001E-2</v>
      </c>
      <c r="H485" s="3">
        <v>0.03</v>
      </c>
      <c r="I485" s="3">
        <v>0</v>
      </c>
      <c r="J485" s="6"/>
      <c r="K485" s="6"/>
      <c r="L485" s="3">
        <f t="shared" si="24"/>
        <v>0.03</v>
      </c>
      <c r="M485" s="3"/>
      <c r="N485" s="3">
        <f>SUM(J485:M485)</f>
        <v>0.03</v>
      </c>
      <c r="O485" t="s">
        <v>29425</v>
      </c>
      <c r="P485" s="31" t="s">
        <v>29426</v>
      </c>
      <c r="Q485" t="s">
        <v>31773</v>
      </c>
      <c r="R485" s="89" t="s">
        <v>369</v>
      </c>
      <c r="S485" s="89">
        <f>100%-Table34[[#This Row],[PDF_initial fee]]</f>
        <v>1</v>
      </c>
      <c r="T485" s="89"/>
      <c r="U485" s="26"/>
      <c r="V485" s="9">
        <f>88868+7000</f>
        <v>95868</v>
      </c>
      <c r="W485" t="s">
        <v>29051</v>
      </c>
      <c r="X485" s="9">
        <v>95868</v>
      </c>
      <c r="Y485" s="30">
        <f>X485/V485</f>
        <v>1</v>
      </c>
      <c r="AA485" s="1" t="s">
        <v>29427</v>
      </c>
    </row>
    <row r="486" spans="1:27" hidden="1" x14ac:dyDescent="0.25">
      <c r="A486">
        <v>153730</v>
      </c>
      <c r="B486" t="s">
        <v>827</v>
      </c>
      <c r="C486" t="s">
        <v>6958</v>
      </c>
      <c r="D486">
        <v>5</v>
      </c>
      <c r="E486" t="s">
        <v>827</v>
      </c>
      <c r="F486" t="s">
        <v>6958</v>
      </c>
      <c r="H486" s="21">
        <v>0</v>
      </c>
      <c r="I486" s="21">
        <v>0</v>
      </c>
      <c r="J486" s="21">
        <v>0</v>
      </c>
      <c r="K486" s="21">
        <v>0</v>
      </c>
      <c r="L486" s="3">
        <f t="shared" si="24"/>
        <v>0</v>
      </c>
      <c r="M486" s="3"/>
      <c r="N486" s="3">
        <f t="shared" ref="N486:N517" si="26">L486+G486</f>
        <v>0</v>
      </c>
      <c r="O486" s="21"/>
      <c r="R486" s="89"/>
      <c r="S486" s="89">
        <f>100%-Table34[[#This Row],[PDF_initial fee]]</f>
        <v>1</v>
      </c>
      <c r="T486" s="89"/>
      <c r="U486" s="26"/>
    </row>
    <row r="487" spans="1:27" hidden="1" x14ac:dyDescent="0.25">
      <c r="A487">
        <v>153860</v>
      </c>
      <c r="B487" t="s">
        <v>828</v>
      </c>
      <c r="C487" t="s">
        <v>7546</v>
      </c>
      <c r="D487">
        <v>0</v>
      </c>
      <c r="E487" t="s">
        <v>828</v>
      </c>
      <c r="F487" t="s">
        <v>29136</v>
      </c>
      <c r="L487" s="3">
        <f t="shared" si="24"/>
        <v>0</v>
      </c>
      <c r="M487" s="3"/>
      <c r="N487" s="3">
        <f t="shared" si="26"/>
        <v>0</v>
      </c>
      <c r="R487" s="89"/>
      <c r="S487" s="89">
        <f>100%-Table34[[#This Row],[PDF_initial fee]]</f>
        <v>1</v>
      </c>
      <c r="T487" s="89"/>
      <c r="U487" s="26"/>
    </row>
    <row r="488" spans="1:27" hidden="1" x14ac:dyDescent="0.25">
      <c r="A488">
        <v>153871</v>
      </c>
      <c r="B488" t="s">
        <v>829</v>
      </c>
      <c r="C488" s="1" t="s">
        <v>29428</v>
      </c>
      <c r="D488">
        <v>29</v>
      </c>
      <c r="E488" t="s">
        <v>829</v>
      </c>
      <c r="H488" s="3">
        <v>0</v>
      </c>
      <c r="I488" s="3">
        <v>0</v>
      </c>
      <c r="J488" s="3">
        <v>0</v>
      </c>
      <c r="K488" s="3">
        <v>0</v>
      </c>
      <c r="L488" s="3">
        <f t="shared" si="24"/>
        <v>0</v>
      </c>
      <c r="M488" s="3"/>
      <c r="N488" s="3">
        <f t="shared" si="26"/>
        <v>0</v>
      </c>
      <c r="R488" s="89"/>
      <c r="S488" s="89">
        <f>100%-Table34[[#This Row],[PDF_initial fee]]</f>
        <v>1</v>
      </c>
      <c r="T488" s="89"/>
      <c r="U488" s="26"/>
    </row>
    <row r="489" spans="1:27" hidden="1" x14ac:dyDescent="0.25">
      <c r="A489">
        <v>153989</v>
      </c>
      <c r="B489" t="s">
        <v>830</v>
      </c>
      <c r="C489" t="s">
        <v>10056</v>
      </c>
      <c r="D489">
        <v>3</v>
      </c>
      <c r="E489" t="s">
        <v>830</v>
      </c>
      <c r="H489" s="21">
        <v>0</v>
      </c>
      <c r="I489" s="21">
        <v>0</v>
      </c>
      <c r="J489" s="21">
        <v>0</v>
      </c>
      <c r="K489" s="21">
        <v>0</v>
      </c>
      <c r="L489" s="3">
        <f t="shared" si="24"/>
        <v>0</v>
      </c>
      <c r="M489" s="3"/>
      <c r="N489" s="3">
        <f t="shared" si="26"/>
        <v>0</v>
      </c>
      <c r="R489" s="89"/>
      <c r="S489" s="89">
        <f>100%-Table34[[#This Row],[PDF_initial fee]]</f>
        <v>1</v>
      </c>
      <c r="T489" s="89"/>
      <c r="U489" s="26"/>
    </row>
    <row r="490" spans="1:27" hidden="1" x14ac:dyDescent="0.25">
      <c r="A490">
        <v>154038</v>
      </c>
      <c r="B490" t="s">
        <v>831</v>
      </c>
      <c r="C490" t="s">
        <v>29429</v>
      </c>
      <c r="D490">
        <v>1</v>
      </c>
      <c r="E490" t="s">
        <v>831</v>
      </c>
      <c r="H490" s="3">
        <v>0</v>
      </c>
      <c r="I490" s="3">
        <v>0</v>
      </c>
      <c r="J490" s="3">
        <v>0</v>
      </c>
      <c r="K490" s="3">
        <v>0</v>
      </c>
      <c r="L490" s="3">
        <f t="shared" si="24"/>
        <v>0</v>
      </c>
      <c r="M490" s="3"/>
      <c r="N490" s="3">
        <f t="shared" si="26"/>
        <v>0</v>
      </c>
      <c r="R490" s="89"/>
      <c r="S490" s="89">
        <f>100%-Table34[[#This Row],[PDF_initial fee]]</f>
        <v>1</v>
      </c>
      <c r="T490" s="89"/>
      <c r="U490" s="26"/>
    </row>
    <row r="491" spans="1:27" hidden="1" x14ac:dyDescent="0.25">
      <c r="A491">
        <v>154182</v>
      </c>
      <c r="B491" t="s">
        <v>833</v>
      </c>
      <c r="C491" t="s">
        <v>6958</v>
      </c>
      <c r="D491">
        <v>0</v>
      </c>
      <c r="E491" t="s">
        <v>833</v>
      </c>
      <c r="F491" t="s">
        <v>6958</v>
      </c>
      <c r="H491" s="21">
        <v>0</v>
      </c>
      <c r="I491" s="21">
        <v>0</v>
      </c>
      <c r="J491" s="21">
        <v>0</v>
      </c>
      <c r="K491" s="21">
        <v>0</v>
      </c>
      <c r="L491" s="3">
        <f t="shared" si="24"/>
        <v>0</v>
      </c>
      <c r="M491" s="3"/>
      <c r="N491" s="3">
        <f t="shared" si="26"/>
        <v>0</v>
      </c>
      <c r="R491" s="89"/>
      <c r="S491" s="89">
        <f>100%-Table34[[#This Row],[PDF_initial fee]]</f>
        <v>1</v>
      </c>
      <c r="T491" s="89"/>
      <c r="U491" s="26"/>
    </row>
    <row r="492" spans="1:27" x14ac:dyDescent="0.25">
      <c r="A492">
        <v>774469</v>
      </c>
      <c r="B492" t="s">
        <v>290</v>
      </c>
      <c r="C492" t="s">
        <v>29430</v>
      </c>
      <c r="D492">
        <v>3</v>
      </c>
      <c r="E492" t="s">
        <v>290</v>
      </c>
      <c r="F492" t="s">
        <v>3</v>
      </c>
      <c r="G492" s="3">
        <v>1.4E-3</v>
      </c>
      <c r="H492" s="3">
        <f>((180+293)+(552+2700/2))/100000</f>
        <v>2.375E-2</v>
      </c>
      <c r="I492" s="3">
        <v>0</v>
      </c>
      <c r="J492" s="6">
        <v>0</v>
      </c>
      <c r="K492" s="6">
        <v>0</v>
      </c>
      <c r="L492" s="3">
        <f t="shared" si="24"/>
        <v>2.375E-2</v>
      </c>
      <c r="M492" s="3"/>
      <c r="N492" s="3">
        <f t="shared" si="26"/>
        <v>2.5149999999999999E-2</v>
      </c>
      <c r="O492" t="s">
        <v>29431</v>
      </c>
      <c r="P492" s="31" t="s">
        <v>29432</v>
      </c>
      <c r="Q492" t="s">
        <v>31787</v>
      </c>
      <c r="R492" s="89">
        <v>0.33333333333333348</v>
      </c>
      <c r="S492" s="89">
        <f>100%-Table34[[#This Row],[InitialFee]]</f>
        <v>0.97624999999999995</v>
      </c>
      <c r="T492" s="89">
        <f>(1-Table34[[#This Row],[PDF ongoing fee]])^5</f>
        <v>1</v>
      </c>
      <c r="U492" s="26">
        <f>(1+Table34[[#This Row],[Net 5yrs return (mostly up to 28th of Feb 2026)]])*Table34[[#This Row],[Investment after initial charge]]*Table34[[#This Row],[Cummulative 5yrs ongoing advice charge]]-1</f>
        <v>0.30166666666666675</v>
      </c>
      <c r="V492">
        <f>117354+69248</f>
        <v>186602</v>
      </c>
      <c r="W492" t="s">
        <v>29051</v>
      </c>
      <c r="X492" s="9">
        <v>115643</v>
      </c>
      <c r="Y492" s="30">
        <f>X492/V492</f>
        <v>0.61973076387176984</v>
      </c>
      <c r="AA492" s="1" t="s">
        <v>29433</v>
      </c>
    </row>
    <row r="493" spans="1:27" hidden="1" x14ac:dyDescent="0.25">
      <c r="A493">
        <v>154311</v>
      </c>
      <c r="B493" t="s">
        <v>834</v>
      </c>
      <c r="C493" t="s">
        <v>6958</v>
      </c>
      <c r="D493">
        <v>6</v>
      </c>
      <c r="E493" t="s">
        <v>834</v>
      </c>
      <c r="F493" t="s">
        <v>6958</v>
      </c>
      <c r="H493" s="21">
        <v>0</v>
      </c>
      <c r="I493" s="21">
        <v>0</v>
      </c>
      <c r="J493" s="21">
        <v>0</v>
      </c>
      <c r="K493" s="21">
        <v>0</v>
      </c>
      <c r="L493" s="3">
        <f t="shared" si="24"/>
        <v>0</v>
      </c>
      <c r="M493" s="3"/>
      <c r="N493" s="3">
        <f t="shared" si="26"/>
        <v>0</v>
      </c>
      <c r="R493" s="89"/>
      <c r="S493" s="89">
        <f>100%-Table34[[#This Row],[PDF_initial fee]]</f>
        <v>1</v>
      </c>
      <c r="T493" s="89"/>
      <c r="U493" s="26"/>
    </row>
    <row r="494" spans="1:27" hidden="1" x14ac:dyDescent="0.25">
      <c r="A494">
        <v>154371</v>
      </c>
      <c r="B494" t="s">
        <v>835</v>
      </c>
      <c r="C494" t="s">
        <v>6971</v>
      </c>
      <c r="D494">
        <v>1</v>
      </c>
      <c r="E494" t="s">
        <v>835</v>
      </c>
      <c r="H494" s="21">
        <v>0</v>
      </c>
      <c r="I494" s="21">
        <v>0</v>
      </c>
      <c r="J494" s="21">
        <v>0</v>
      </c>
      <c r="K494" s="21">
        <v>0</v>
      </c>
      <c r="L494" s="3">
        <f t="shared" si="24"/>
        <v>0</v>
      </c>
      <c r="M494" s="3"/>
      <c r="N494" s="3">
        <f t="shared" si="26"/>
        <v>0</v>
      </c>
      <c r="R494" s="89"/>
      <c r="S494" s="89">
        <f>100%-Table34[[#This Row],[PDF_initial fee]]</f>
        <v>1</v>
      </c>
      <c r="T494" s="89"/>
      <c r="U494" s="26"/>
    </row>
    <row r="495" spans="1:27" hidden="1" x14ac:dyDescent="0.25">
      <c r="A495">
        <v>154608</v>
      </c>
      <c r="B495" t="s">
        <v>836</v>
      </c>
      <c r="C495" t="s">
        <v>29434</v>
      </c>
      <c r="D495">
        <v>0</v>
      </c>
      <c r="E495" t="s">
        <v>836</v>
      </c>
      <c r="F495" t="s">
        <v>6</v>
      </c>
      <c r="H495" s="21">
        <v>0</v>
      </c>
      <c r="I495" s="21">
        <v>0</v>
      </c>
      <c r="J495" s="21">
        <v>0</v>
      </c>
      <c r="K495" s="21">
        <v>0</v>
      </c>
      <c r="L495" s="3">
        <f t="shared" si="24"/>
        <v>0</v>
      </c>
      <c r="M495" s="3"/>
      <c r="N495" s="3">
        <f t="shared" si="26"/>
        <v>0</v>
      </c>
      <c r="O495" s="21"/>
      <c r="R495" s="89"/>
      <c r="S495" s="89">
        <f>100%-Table34[[#This Row],[PDF_initial fee]]</f>
        <v>1</v>
      </c>
      <c r="T495" s="89"/>
      <c r="U495" s="26"/>
    </row>
    <row r="496" spans="1:27" hidden="1" x14ac:dyDescent="0.25">
      <c r="A496">
        <v>154621</v>
      </c>
      <c r="B496" t="s">
        <v>837</v>
      </c>
      <c r="C496" t="s">
        <v>10224</v>
      </c>
      <c r="D496">
        <v>19</v>
      </c>
      <c r="E496" t="s">
        <v>837</v>
      </c>
      <c r="H496" s="21">
        <v>0</v>
      </c>
      <c r="I496" s="21">
        <v>0</v>
      </c>
      <c r="J496" s="21">
        <v>0</v>
      </c>
      <c r="K496" s="21">
        <v>0</v>
      </c>
      <c r="L496" s="3">
        <f t="shared" si="24"/>
        <v>0</v>
      </c>
      <c r="M496" s="3"/>
      <c r="N496" s="3">
        <f t="shared" si="26"/>
        <v>0</v>
      </c>
      <c r="R496" s="89"/>
      <c r="S496" s="89">
        <f>100%-Table34[[#This Row],[PDF_initial fee]]</f>
        <v>1</v>
      </c>
      <c r="T496" s="89"/>
      <c r="U496" s="26"/>
    </row>
    <row r="497" spans="1:25" hidden="1" x14ac:dyDescent="0.25">
      <c r="A497">
        <v>154622</v>
      </c>
      <c r="B497" t="s">
        <v>838</v>
      </c>
      <c r="C497" t="s">
        <v>29435</v>
      </c>
      <c r="D497">
        <v>20</v>
      </c>
      <c r="E497" t="s">
        <v>838</v>
      </c>
      <c r="H497" s="3">
        <v>0</v>
      </c>
      <c r="I497" s="3">
        <v>0</v>
      </c>
      <c r="J497" s="3">
        <v>0</v>
      </c>
      <c r="K497" s="3">
        <v>0</v>
      </c>
      <c r="L497" s="3">
        <f t="shared" si="24"/>
        <v>0</v>
      </c>
      <c r="M497" s="3"/>
      <c r="N497" s="3">
        <f t="shared" si="26"/>
        <v>0</v>
      </c>
      <c r="R497" s="89"/>
      <c r="S497" s="89">
        <f>100%-Table34[[#This Row],[PDF_initial fee]]</f>
        <v>1</v>
      </c>
      <c r="T497" s="89"/>
      <c r="U497" s="26"/>
    </row>
    <row r="498" spans="1:25" hidden="1" x14ac:dyDescent="0.25">
      <c r="A498">
        <v>154750</v>
      </c>
      <c r="B498" t="s">
        <v>839</v>
      </c>
      <c r="C498" t="s">
        <v>6958</v>
      </c>
      <c r="D498">
        <v>1</v>
      </c>
      <c r="E498" t="s">
        <v>839</v>
      </c>
      <c r="F498" t="s">
        <v>6958</v>
      </c>
      <c r="H498" s="21">
        <v>0</v>
      </c>
      <c r="I498" s="21">
        <v>0</v>
      </c>
      <c r="J498" s="21">
        <v>0</v>
      </c>
      <c r="K498" s="21">
        <v>0</v>
      </c>
      <c r="L498" s="3">
        <f t="shared" si="24"/>
        <v>0</v>
      </c>
      <c r="M498" s="3"/>
      <c r="N498" s="3">
        <f t="shared" si="26"/>
        <v>0</v>
      </c>
      <c r="R498" s="89"/>
      <c r="S498" s="89">
        <f>100%-Table34[[#This Row],[PDF_initial fee]]</f>
        <v>1</v>
      </c>
      <c r="T498" s="89"/>
      <c r="U498" s="26"/>
    </row>
    <row r="499" spans="1:25" hidden="1" x14ac:dyDescent="0.25">
      <c r="A499">
        <v>154917</v>
      </c>
      <c r="B499" t="s">
        <v>840</v>
      </c>
      <c r="C499" t="s">
        <v>29436</v>
      </c>
      <c r="D499">
        <v>8</v>
      </c>
      <c r="E499" t="s">
        <v>840</v>
      </c>
      <c r="H499" s="3">
        <v>0</v>
      </c>
      <c r="I499" s="3">
        <v>0</v>
      </c>
      <c r="J499" s="3">
        <v>0</v>
      </c>
      <c r="K499" s="3">
        <v>0</v>
      </c>
      <c r="L499" s="3">
        <f t="shared" si="24"/>
        <v>0</v>
      </c>
      <c r="M499" s="3"/>
      <c r="N499" s="3">
        <f t="shared" si="26"/>
        <v>0</v>
      </c>
      <c r="R499" s="89"/>
      <c r="S499" s="89">
        <f>100%-Table34[[#This Row],[PDF_initial fee]]</f>
        <v>1</v>
      </c>
      <c r="T499" s="89"/>
      <c r="U499" s="26"/>
    </row>
    <row r="500" spans="1:25" hidden="1" x14ac:dyDescent="0.25">
      <c r="A500">
        <v>154918</v>
      </c>
      <c r="B500" t="s">
        <v>841</v>
      </c>
      <c r="C500" t="s">
        <v>9645</v>
      </c>
      <c r="D500">
        <v>4</v>
      </c>
      <c r="E500" t="s">
        <v>841</v>
      </c>
      <c r="H500" s="21">
        <v>0</v>
      </c>
      <c r="I500" s="21">
        <v>0</v>
      </c>
      <c r="J500" s="21">
        <v>0</v>
      </c>
      <c r="K500" s="21">
        <v>0</v>
      </c>
      <c r="L500" s="3">
        <f t="shared" si="24"/>
        <v>0</v>
      </c>
      <c r="M500" s="3"/>
      <c r="N500" s="3">
        <f t="shared" si="26"/>
        <v>0</v>
      </c>
      <c r="R500" s="89"/>
      <c r="S500" s="89">
        <f>100%-Table34[[#This Row],[PDF_initial fee]]</f>
        <v>1</v>
      </c>
      <c r="T500" s="89"/>
      <c r="U500" s="26"/>
    </row>
    <row r="501" spans="1:25" hidden="1" x14ac:dyDescent="0.25">
      <c r="A501">
        <v>154950</v>
      </c>
      <c r="B501" t="s">
        <v>842</v>
      </c>
      <c r="C501" t="s">
        <v>6958</v>
      </c>
      <c r="D501">
        <v>5</v>
      </c>
      <c r="E501" t="s">
        <v>842</v>
      </c>
      <c r="F501" t="s">
        <v>6958</v>
      </c>
      <c r="H501" s="21">
        <v>0</v>
      </c>
      <c r="I501" s="21">
        <v>0</v>
      </c>
      <c r="J501" s="21">
        <v>0</v>
      </c>
      <c r="K501" s="21">
        <v>0</v>
      </c>
      <c r="L501" s="3">
        <f t="shared" si="24"/>
        <v>0</v>
      </c>
      <c r="M501" s="3"/>
      <c r="N501" s="3">
        <f t="shared" si="26"/>
        <v>0</v>
      </c>
      <c r="R501" s="89"/>
      <c r="S501" s="89">
        <f>100%-Table34[[#This Row],[PDF_initial fee]]</f>
        <v>1</v>
      </c>
      <c r="T501" s="89"/>
      <c r="U501" s="26"/>
    </row>
    <row r="502" spans="1:25" hidden="1" x14ac:dyDescent="0.25">
      <c r="A502">
        <v>155051</v>
      </c>
      <c r="B502" t="s">
        <v>843</v>
      </c>
      <c r="C502" t="s">
        <v>6958</v>
      </c>
      <c r="D502">
        <v>0</v>
      </c>
      <c r="E502" t="s">
        <v>843</v>
      </c>
      <c r="F502" t="s">
        <v>6958</v>
      </c>
      <c r="H502" s="21">
        <v>0</v>
      </c>
      <c r="I502" s="21">
        <v>0</v>
      </c>
      <c r="J502" s="21">
        <v>0</v>
      </c>
      <c r="K502" s="21">
        <v>0</v>
      </c>
      <c r="L502" s="3">
        <f t="shared" si="24"/>
        <v>0</v>
      </c>
      <c r="M502" s="3"/>
      <c r="N502" s="3">
        <f t="shared" si="26"/>
        <v>0</v>
      </c>
      <c r="O502" s="21"/>
      <c r="R502" s="89"/>
      <c r="S502" s="89">
        <f>100%-Table34[[#This Row],[PDF_initial fee]]</f>
        <v>1</v>
      </c>
      <c r="T502" s="89"/>
      <c r="U502" s="26"/>
    </row>
    <row r="503" spans="1:25" hidden="1" x14ac:dyDescent="0.25">
      <c r="A503">
        <v>439768</v>
      </c>
      <c r="B503" t="s">
        <v>161</v>
      </c>
      <c r="C503" s="1" t="s">
        <v>6955</v>
      </c>
      <c r="D503">
        <v>3</v>
      </c>
      <c r="E503" t="s">
        <v>161</v>
      </c>
      <c r="F503" t="s">
        <v>29121</v>
      </c>
      <c r="G503" s="3">
        <v>3.2000000000000002E-3</v>
      </c>
      <c r="H503" s="3">
        <v>0.02</v>
      </c>
      <c r="I503" s="3">
        <v>0.01</v>
      </c>
      <c r="J503" s="6"/>
      <c r="K503" s="6"/>
      <c r="L503" s="3">
        <f t="shared" si="24"/>
        <v>0.03</v>
      </c>
      <c r="M503" s="3"/>
      <c r="N503" s="3">
        <f t="shared" si="26"/>
        <v>3.32E-2</v>
      </c>
      <c r="P503" s="31" t="s">
        <v>29437</v>
      </c>
      <c r="R503" s="89"/>
      <c r="S503" s="89">
        <f>100%-Table34[[#This Row],[PDF_initial fee]]</f>
        <v>1</v>
      </c>
      <c r="T503" s="89"/>
      <c r="U503" s="26"/>
      <c r="W503" t="s">
        <v>29051</v>
      </c>
      <c r="X503"/>
      <c r="Y503" s="30" t="e">
        <f>X503/V503</f>
        <v>#DIV/0!</v>
      </c>
    </row>
    <row r="504" spans="1:25" hidden="1" x14ac:dyDescent="0.25">
      <c r="A504">
        <v>155241</v>
      </c>
      <c r="B504" t="s">
        <v>844</v>
      </c>
      <c r="C504" t="s">
        <v>29438</v>
      </c>
      <c r="D504">
        <v>38</v>
      </c>
      <c r="E504" t="s">
        <v>844</v>
      </c>
      <c r="H504" s="3">
        <v>0</v>
      </c>
      <c r="I504" s="3">
        <v>0</v>
      </c>
      <c r="J504" s="3">
        <v>0</v>
      </c>
      <c r="K504" s="3">
        <v>0</v>
      </c>
      <c r="L504" s="3">
        <f t="shared" si="24"/>
        <v>0</v>
      </c>
      <c r="M504" s="3"/>
      <c r="N504" s="3">
        <f t="shared" si="26"/>
        <v>0</v>
      </c>
      <c r="R504" s="89"/>
      <c r="S504" s="89">
        <f>100%-Table34[[#This Row],[PDF_initial fee]]</f>
        <v>1</v>
      </c>
      <c r="T504" s="89"/>
      <c r="U504" s="26"/>
    </row>
    <row r="505" spans="1:25" hidden="1" x14ac:dyDescent="0.25">
      <c r="A505">
        <v>155325</v>
      </c>
      <c r="B505" t="s">
        <v>845</v>
      </c>
      <c r="C505" t="s">
        <v>6958</v>
      </c>
      <c r="D505">
        <v>1</v>
      </c>
      <c r="E505" t="s">
        <v>845</v>
      </c>
      <c r="F505" t="s">
        <v>6958</v>
      </c>
      <c r="H505" s="3">
        <v>0</v>
      </c>
      <c r="I505" s="3">
        <v>0</v>
      </c>
      <c r="J505" s="3">
        <v>0</v>
      </c>
      <c r="K505" s="3">
        <v>0</v>
      </c>
      <c r="L505" s="3">
        <f t="shared" si="24"/>
        <v>0</v>
      </c>
      <c r="M505" s="3"/>
      <c r="N505" s="3">
        <f t="shared" si="26"/>
        <v>0</v>
      </c>
      <c r="R505" s="89"/>
      <c r="S505" s="89">
        <f>100%-Table34[[#This Row],[PDF_initial fee]]</f>
        <v>1</v>
      </c>
      <c r="T505" s="89"/>
      <c r="U505" s="26"/>
    </row>
    <row r="506" spans="1:25" hidden="1" x14ac:dyDescent="0.25">
      <c r="A506">
        <v>155399</v>
      </c>
      <c r="B506" t="s">
        <v>846</v>
      </c>
      <c r="C506" t="s">
        <v>29439</v>
      </c>
      <c r="D506">
        <v>2</v>
      </c>
      <c r="E506" t="s">
        <v>846</v>
      </c>
      <c r="H506" s="3">
        <v>0</v>
      </c>
      <c r="I506" s="3">
        <v>0</v>
      </c>
      <c r="J506" s="3">
        <v>0</v>
      </c>
      <c r="K506" s="3">
        <v>0</v>
      </c>
      <c r="L506" s="3">
        <f t="shared" si="24"/>
        <v>0</v>
      </c>
      <c r="M506" s="3"/>
      <c r="N506" s="3">
        <f t="shared" si="26"/>
        <v>0</v>
      </c>
      <c r="R506" s="89"/>
      <c r="S506" s="89">
        <f>100%-Table34[[#This Row],[PDF_initial fee]]</f>
        <v>1</v>
      </c>
      <c r="T506" s="89"/>
      <c r="U506" s="26"/>
    </row>
    <row r="507" spans="1:25" hidden="1" x14ac:dyDescent="0.25">
      <c r="A507">
        <v>155593</v>
      </c>
      <c r="B507" t="s">
        <v>847</v>
      </c>
      <c r="C507" t="s">
        <v>6958</v>
      </c>
      <c r="D507">
        <v>0</v>
      </c>
      <c r="E507" t="s">
        <v>847</v>
      </c>
      <c r="F507" t="s">
        <v>6958</v>
      </c>
      <c r="H507" s="21">
        <v>0</v>
      </c>
      <c r="I507" s="21">
        <v>0</v>
      </c>
      <c r="J507" s="21">
        <v>0</v>
      </c>
      <c r="K507" s="21">
        <v>0</v>
      </c>
      <c r="L507" s="3">
        <f t="shared" si="24"/>
        <v>0</v>
      </c>
      <c r="M507" s="3"/>
      <c r="N507" s="3">
        <f t="shared" si="26"/>
        <v>0</v>
      </c>
      <c r="R507" s="89"/>
      <c r="S507" s="89">
        <f>100%-Table34[[#This Row],[PDF_initial fee]]</f>
        <v>1</v>
      </c>
      <c r="T507" s="89"/>
      <c r="U507" s="26"/>
    </row>
    <row r="508" spans="1:25" hidden="1" x14ac:dyDescent="0.25">
      <c r="A508">
        <v>155595</v>
      </c>
      <c r="B508" t="s">
        <v>848</v>
      </c>
      <c r="C508" t="s">
        <v>6958</v>
      </c>
      <c r="D508">
        <v>0</v>
      </c>
      <c r="E508" t="s">
        <v>848</v>
      </c>
      <c r="F508" t="s">
        <v>6958</v>
      </c>
      <c r="H508" s="21">
        <v>0</v>
      </c>
      <c r="I508" s="21">
        <v>0</v>
      </c>
      <c r="J508" s="21">
        <v>0</v>
      </c>
      <c r="K508" s="21">
        <v>0</v>
      </c>
      <c r="L508" s="3">
        <f t="shared" si="24"/>
        <v>0</v>
      </c>
      <c r="M508" s="3"/>
      <c r="N508" s="3">
        <f t="shared" si="26"/>
        <v>0</v>
      </c>
      <c r="O508" s="21"/>
      <c r="R508" s="89"/>
      <c r="S508" s="89">
        <f>100%-Table34[[#This Row],[PDF_initial fee]]</f>
        <v>1</v>
      </c>
      <c r="T508" s="89"/>
      <c r="U508" s="26"/>
    </row>
    <row r="509" spans="1:25" hidden="1" x14ac:dyDescent="0.25">
      <c r="A509">
        <v>158790</v>
      </c>
      <c r="B509" t="s">
        <v>849</v>
      </c>
      <c r="C509" t="s">
        <v>29440</v>
      </c>
      <c r="D509">
        <v>0</v>
      </c>
      <c r="E509" t="s">
        <v>849</v>
      </c>
      <c r="F509" t="s">
        <v>29136</v>
      </c>
      <c r="H509" s="21">
        <v>0</v>
      </c>
      <c r="I509" s="21">
        <v>0</v>
      </c>
      <c r="J509" s="21">
        <v>0</v>
      </c>
      <c r="K509" s="21">
        <v>0</v>
      </c>
      <c r="L509" s="3">
        <f t="shared" si="24"/>
        <v>0</v>
      </c>
      <c r="M509" s="3"/>
      <c r="N509" s="3">
        <f t="shared" si="26"/>
        <v>0</v>
      </c>
      <c r="O509" s="21"/>
      <c r="R509" s="89"/>
      <c r="S509" s="89">
        <f>100%-Table34[[#This Row],[PDF_initial fee]]</f>
        <v>1</v>
      </c>
      <c r="T509" s="89"/>
      <c r="U509" s="26"/>
    </row>
    <row r="510" spans="1:25" hidden="1" x14ac:dyDescent="0.25">
      <c r="A510">
        <v>158879</v>
      </c>
      <c r="B510" t="s">
        <v>850</v>
      </c>
      <c r="C510" t="s">
        <v>6958</v>
      </c>
      <c r="D510">
        <v>3</v>
      </c>
      <c r="E510" t="s">
        <v>850</v>
      </c>
      <c r="F510" t="s">
        <v>6958</v>
      </c>
      <c r="H510" s="21">
        <v>0</v>
      </c>
      <c r="I510" s="21">
        <v>0</v>
      </c>
      <c r="J510" s="21">
        <v>0</v>
      </c>
      <c r="K510" s="21">
        <v>0</v>
      </c>
      <c r="L510" s="3">
        <f t="shared" si="24"/>
        <v>0</v>
      </c>
      <c r="M510" s="3"/>
      <c r="N510" s="3">
        <f t="shared" si="26"/>
        <v>0</v>
      </c>
      <c r="R510" s="89"/>
      <c r="S510" s="89">
        <f>100%-Table34[[#This Row],[PDF_initial fee]]</f>
        <v>1</v>
      </c>
      <c r="T510" s="89"/>
      <c r="U510" s="26"/>
    </row>
    <row r="511" spans="1:25" hidden="1" x14ac:dyDescent="0.25">
      <c r="A511">
        <v>158927</v>
      </c>
      <c r="B511" t="s">
        <v>851</v>
      </c>
      <c r="C511" t="s">
        <v>7951</v>
      </c>
      <c r="D511">
        <v>10</v>
      </c>
      <c r="E511" t="s">
        <v>851</v>
      </c>
      <c r="H511" s="21">
        <v>0</v>
      </c>
      <c r="I511" s="21">
        <v>0</v>
      </c>
      <c r="J511" s="21">
        <v>0</v>
      </c>
      <c r="K511" s="21">
        <v>0</v>
      </c>
      <c r="L511" s="3">
        <f t="shared" si="24"/>
        <v>0</v>
      </c>
      <c r="M511" s="3"/>
      <c r="N511" s="3">
        <f t="shared" si="26"/>
        <v>0</v>
      </c>
      <c r="R511" s="89"/>
      <c r="S511" s="89">
        <f>100%-Table34[[#This Row],[PDF_initial fee]]</f>
        <v>1</v>
      </c>
      <c r="T511" s="89"/>
      <c r="U511" s="26"/>
    </row>
    <row r="512" spans="1:25" hidden="1" x14ac:dyDescent="0.25">
      <c r="A512">
        <v>158976</v>
      </c>
      <c r="B512" t="s">
        <v>852</v>
      </c>
      <c r="C512" t="s">
        <v>6958</v>
      </c>
      <c r="D512">
        <v>10</v>
      </c>
      <c r="E512" t="s">
        <v>852</v>
      </c>
      <c r="F512" t="s">
        <v>6958</v>
      </c>
      <c r="H512" s="21">
        <v>0</v>
      </c>
      <c r="I512" s="21">
        <v>0</v>
      </c>
      <c r="J512" s="21">
        <v>0</v>
      </c>
      <c r="K512" s="21">
        <v>0</v>
      </c>
      <c r="L512" s="3">
        <f t="shared" si="24"/>
        <v>0</v>
      </c>
      <c r="M512" s="3"/>
      <c r="N512" s="3">
        <f t="shared" si="26"/>
        <v>0</v>
      </c>
      <c r="R512" s="89"/>
      <c r="S512" s="89">
        <f>100%-Table34[[#This Row],[PDF_initial fee]]</f>
        <v>1</v>
      </c>
      <c r="T512" s="89"/>
      <c r="U512" s="26"/>
    </row>
    <row r="513" spans="1:27" hidden="1" x14ac:dyDescent="0.25">
      <c r="A513">
        <v>159488</v>
      </c>
      <c r="B513" t="s">
        <v>853</v>
      </c>
      <c r="C513" t="s">
        <v>10605</v>
      </c>
      <c r="D513">
        <v>7</v>
      </c>
      <c r="E513" t="s">
        <v>853</v>
      </c>
      <c r="L513" s="3">
        <f t="shared" si="24"/>
        <v>0</v>
      </c>
      <c r="M513" s="3"/>
      <c r="N513" s="3">
        <f t="shared" si="26"/>
        <v>0</v>
      </c>
      <c r="R513" s="89"/>
      <c r="S513" s="89">
        <f>100%-Table34[[#This Row],[PDF_initial fee]]</f>
        <v>1</v>
      </c>
      <c r="T513" s="89"/>
      <c r="U513" s="26"/>
    </row>
    <row r="514" spans="1:27" hidden="1" x14ac:dyDescent="0.25">
      <c r="A514">
        <v>160493</v>
      </c>
      <c r="B514" t="s">
        <v>854</v>
      </c>
      <c r="C514" t="s">
        <v>7731</v>
      </c>
      <c r="D514">
        <v>8</v>
      </c>
      <c r="E514" t="s">
        <v>854</v>
      </c>
      <c r="H514" s="21">
        <v>0</v>
      </c>
      <c r="I514" s="21">
        <v>0</v>
      </c>
      <c r="J514" s="21">
        <v>0</v>
      </c>
      <c r="K514" s="21">
        <v>0</v>
      </c>
      <c r="L514" s="3">
        <f t="shared" si="24"/>
        <v>0</v>
      </c>
      <c r="M514" s="3"/>
      <c r="N514" s="3">
        <f t="shared" si="26"/>
        <v>0</v>
      </c>
      <c r="R514" s="89"/>
      <c r="S514" s="89">
        <f>100%-Table34[[#This Row],[PDF_initial fee]]</f>
        <v>1</v>
      </c>
      <c r="T514" s="89"/>
      <c r="U514" s="26"/>
    </row>
    <row r="515" spans="1:27" hidden="1" x14ac:dyDescent="0.25">
      <c r="A515">
        <v>160494</v>
      </c>
      <c r="B515" t="s">
        <v>855</v>
      </c>
      <c r="C515" t="s">
        <v>8056</v>
      </c>
      <c r="D515">
        <v>3</v>
      </c>
      <c r="E515" t="s">
        <v>855</v>
      </c>
      <c r="H515" s="21">
        <v>0</v>
      </c>
      <c r="I515" s="21">
        <v>0</v>
      </c>
      <c r="J515" s="21">
        <v>0</v>
      </c>
      <c r="K515" s="21">
        <v>0</v>
      </c>
      <c r="L515" s="3">
        <f t="shared" si="24"/>
        <v>0</v>
      </c>
      <c r="M515" s="3"/>
      <c r="N515" s="3">
        <f t="shared" si="26"/>
        <v>0</v>
      </c>
      <c r="R515" s="89"/>
      <c r="S515" s="89">
        <f>100%-Table34[[#This Row],[PDF_initial fee]]</f>
        <v>1</v>
      </c>
      <c r="T515" s="89"/>
      <c r="U515" s="26"/>
    </row>
    <row r="516" spans="1:27" hidden="1" x14ac:dyDescent="0.25">
      <c r="A516">
        <v>160497</v>
      </c>
      <c r="B516" t="s">
        <v>856</v>
      </c>
      <c r="C516" t="s">
        <v>6958</v>
      </c>
      <c r="D516">
        <v>1</v>
      </c>
      <c r="E516" t="s">
        <v>856</v>
      </c>
      <c r="F516" t="s">
        <v>6958</v>
      </c>
      <c r="H516" s="21">
        <v>0</v>
      </c>
      <c r="I516" s="21">
        <v>0</v>
      </c>
      <c r="J516" s="21">
        <v>0</v>
      </c>
      <c r="K516" s="21">
        <v>0</v>
      </c>
      <c r="L516" s="3">
        <f t="shared" si="24"/>
        <v>0</v>
      </c>
      <c r="M516" s="3"/>
      <c r="N516" s="3">
        <f t="shared" si="26"/>
        <v>0</v>
      </c>
      <c r="R516" s="89"/>
      <c r="S516" s="89">
        <f>100%-Table34[[#This Row],[PDF_initial fee]]</f>
        <v>1</v>
      </c>
      <c r="T516" s="89"/>
      <c r="U516" s="26"/>
    </row>
    <row r="517" spans="1:27" hidden="1" x14ac:dyDescent="0.25">
      <c r="A517">
        <v>161531</v>
      </c>
      <c r="B517" t="s">
        <v>857</v>
      </c>
      <c r="C517" t="s">
        <v>6958</v>
      </c>
      <c r="D517">
        <v>1</v>
      </c>
      <c r="E517" t="s">
        <v>857</v>
      </c>
      <c r="F517" t="s">
        <v>6958</v>
      </c>
      <c r="H517" s="21">
        <v>0</v>
      </c>
      <c r="I517" s="21">
        <v>0</v>
      </c>
      <c r="J517" s="21">
        <v>0</v>
      </c>
      <c r="K517" s="21">
        <v>0</v>
      </c>
      <c r="L517" s="3">
        <f t="shared" si="24"/>
        <v>0</v>
      </c>
      <c r="M517" s="3"/>
      <c r="N517" s="3">
        <f t="shared" si="26"/>
        <v>0</v>
      </c>
      <c r="R517" s="89"/>
      <c r="S517" s="89">
        <f>100%-Table34[[#This Row],[PDF_initial fee]]</f>
        <v>1</v>
      </c>
      <c r="T517" s="89"/>
      <c r="U517" s="26"/>
    </row>
    <row r="518" spans="1:27" hidden="1" x14ac:dyDescent="0.25">
      <c r="A518">
        <v>161585</v>
      </c>
      <c r="B518" t="s">
        <v>858</v>
      </c>
      <c r="C518" s="1" t="s">
        <v>29441</v>
      </c>
      <c r="D518">
        <v>5</v>
      </c>
      <c r="E518" t="s">
        <v>858</v>
      </c>
      <c r="G518" s="1"/>
      <c r="H518" s="3">
        <v>0</v>
      </c>
      <c r="I518" s="3">
        <v>0</v>
      </c>
      <c r="J518" s="3">
        <v>0</v>
      </c>
      <c r="K518" s="3">
        <v>0</v>
      </c>
      <c r="L518" s="3">
        <f t="shared" si="24"/>
        <v>0</v>
      </c>
      <c r="M518" s="3"/>
      <c r="N518" s="3">
        <f t="shared" ref="N518:N549" si="27">L518+G518</f>
        <v>0</v>
      </c>
      <c r="R518" s="89"/>
      <c r="S518" s="89">
        <f>100%-Table34[[#This Row],[PDF_initial fee]]</f>
        <v>1</v>
      </c>
      <c r="T518" s="89"/>
      <c r="U518" s="26"/>
    </row>
    <row r="519" spans="1:27" hidden="1" x14ac:dyDescent="0.25">
      <c r="A519">
        <v>161661</v>
      </c>
      <c r="B519" t="s">
        <v>859</v>
      </c>
      <c r="C519" t="s">
        <v>29442</v>
      </c>
      <c r="D519">
        <v>0</v>
      </c>
      <c r="E519" t="s">
        <v>859</v>
      </c>
      <c r="F519" t="s">
        <v>29136</v>
      </c>
      <c r="H519" s="21">
        <v>0</v>
      </c>
      <c r="I519" s="3">
        <v>0</v>
      </c>
      <c r="J519" s="3">
        <v>0</v>
      </c>
      <c r="K519">
        <v>0</v>
      </c>
      <c r="L519" s="3">
        <f t="shared" si="24"/>
        <v>0</v>
      </c>
      <c r="M519" s="3"/>
      <c r="N519" s="3">
        <f t="shared" si="27"/>
        <v>0</v>
      </c>
      <c r="R519" s="89"/>
      <c r="S519" s="89">
        <f>100%-Table34[[#This Row],[PDF_initial fee]]</f>
        <v>1</v>
      </c>
      <c r="T519" s="89"/>
      <c r="U519" s="26"/>
    </row>
    <row r="520" spans="1:27" hidden="1" x14ac:dyDescent="0.25">
      <c r="A520">
        <v>162024</v>
      </c>
      <c r="B520" t="s">
        <v>860</v>
      </c>
      <c r="C520" t="s">
        <v>6958</v>
      </c>
      <c r="D520">
        <v>1</v>
      </c>
      <c r="E520" t="s">
        <v>860</v>
      </c>
      <c r="F520" t="s">
        <v>6958</v>
      </c>
      <c r="H520" s="21">
        <v>0</v>
      </c>
      <c r="I520" s="21">
        <v>0</v>
      </c>
      <c r="J520" s="21">
        <v>0</v>
      </c>
      <c r="K520" s="21">
        <v>0</v>
      </c>
      <c r="L520" s="3">
        <f t="shared" si="24"/>
        <v>0</v>
      </c>
      <c r="M520" s="3"/>
      <c r="N520" s="3">
        <f t="shared" si="27"/>
        <v>0</v>
      </c>
      <c r="R520" s="89"/>
      <c r="S520" s="89">
        <f>100%-Table34[[#This Row],[PDF_initial fee]]</f>
        <v>1</v>
      </c>
      <c r="T520" s="89"/>
      <c r="U520" s="26"/>
    </row>
    <row r="521" spans="1:27" hidden="1" x14ac:dyDescent="0.25">
      <c r="A521">
        <v>162408</v>
      </c>
      <c r="B521" t="s">
        <v>861</v>
      </c>
      <c r="C521" t="s">
        <v>11345</v>
      </c>
      <c r="D521">
        <v>3</v>
      </c>
      <c r="E521" t="s">
        <v>861</v>
      </c>
      <c r="H521" s="21">
        <v>0</v>
      </c>
      <c r="I521" s="21">
        <v>0</v>
      </c>
      <c r="J521" s="21">
        <v>0</v>
      </c>
      <c r="K521" s="21">
        <v>0</v>
      </c>
      <c r="L521" s="3">
        <f t="shared" si="24"/>
        <v>0</v>
      </c>
      <c r="M521" s="3"/>
      <c r="N521" s="3">
        <f t="shared" si="27"/>
        <v>0</v>
      </c>
      <c r="R521" s="89"/>
      <c r="S521" s="89">
        <f>100%-Table34[[#This Row],[PDF_initial fee]]</f>
        <v>1</v>
      </c>
      <c r="T521" s="89"/>
      <c r="U521" s="26"/>
    </row>
    <row r="522" spans="1:27" hidden="1" x14ac:dyDescent="0.25">
      <c r="A522">
        <v>163117</v>
      </c>
      <c r="B522" t="s">
        <v>862</v>
      </c>
      <c r="C522" t="s">
        <v>11759</v>
      </c>
      <c r="D522">
        <v>0</v>
      </c>
      <c r="E522" t="s">
        <v>862</v>
      </c>
      <c r="F522" t="s">
        <v>29136</v>
      </c>
      <c r="H522" s="21">
        <v>0</v>
      </c>
      <c r="I522" s="21">
        <v>0</v>
      </c>
      <c r="J522" s="21">
        <v>0</v>
      </c>
      <c r="K522" s="21">
        <v>0</v>
      </c>
      <c r="L522" s="3">
        <f t="shared" si="24"/>
        <v>0</v>
      </c>
      <c r="M522" s="3"/>
      <c r="N522" s="3">
        <f t="shared" si="27"/>
        <v>0</v>
      </c>
      <c r="R522" s="89"/>
      <c r="S522" s="89">
        <f>100%-Table34[[#This Row],[PDF_initial fee]]</f>
        <v>1</v>
      </c>
      <c r="T522" s="89"/>
      <c r="U522" s="26"/>
    </row>
    <row r="523" spans="1:27" hidden="1" x14ac:dyDescent="0.25">
      <c r="A523">
        <v>163119</v>
      </c>
      <c r="B523" t="s">
        <v>863</v>
      </c>
      <c r="C523" t="s">
        <v>6958</v>
      </c>
      <c r="D523">
        <v>3</v>
      </c>
      <c r="E523" t="s">
        <v>863</v>
      </c>
      <c r="F523" t="s">
        <v>6958</v>
      </c>
      <c r="H523" s="21">
        <v>0</v>
      </c>
      <c r="I523" s="21">
        <v>0</v>
      </c>
      <c r="J523" s="21">
        <v>0</v>
      </c>
      <c r="K523" s="21">
        <v>0</v>
      </c>
      <c r="L523" s="3">
        <f t="shared" si="24"/>
        <v>0</v>
      </c>
      <c r="M523" s="3"/>
      <c r="N523" s="3">
        <f t="shared" si="27"/>
        <v>0</v>
      </c>
      <c r="O523" s="21"/>
      <c r="R523" s="89"/>
      <c r="S523" s="89">
        <f>100%-Table34[[#This Row],[PDF_initial fee]]</f>
        <v>1</v>
      </c>
      <c r="T523" s="89"/>
      <c r="U523" s="26"/>
    </row>
    <row r="524" spans="1:27" hidden="1" x14ac:dyDescent="0.25">
      <c r="A524">
        <v>163133</v>
      </c>
      <c r="B524" t="s">
        <v>864</v>
      </c>
      <c r="C524" t="s">
        <v>6958</v>
      </c>
      <c r="D524">
        <v>1</v>
      </c>
      <c r="E524" t="s">
        <v>864</v>
      </c>
      <c r="F524" t="s">
        <v>6958</v>
      </c>
      <c r="H524" s="21">
        <v>0</v>
      </c>
      <c r="I524" s="21">
        <v>0</v>
      </c>
      <c r="J524" s="21">
        <v>0</v>
      </c>
      <c r="K524" s="21">
        <v>0</v>
      </c>
      <c r="L524" s="3">
        <f t="shared" si="24"/>
        <v>0</v>
      </c>
      <c r="M524" s="3"/>
      <c r="N524" s="3">
        <f t="shared" si="27"/>
        <v>0</v>
      </c>
      <c r="R524" s="89"/>
      <c r="S524" s="89">
        <f>100%-Table34[[#This Row],[PDF_initial fee]]</f>
        <v>1</v>
      </c>
      <c r="T524" s="89"/>
      <c r="U524" s="26"/>
    </row>
    <row r="525" spans="1:27" x14ac:dyDescent="0.25">
      <c r="A525">
        <v>950976</v>
      </c>
      <c r="B525" t="s">
        <v>342</v>
      </c>
      <c r="C525" t="s">
        <v>29443</v>
      </c>
      <c r="D525">
        <v>9</v>
      </c>
      <c r="E525" t="s">
        <v>342</v>
      </c>
      <c r="F525" t="s">
        <v>3</v>
      </c>
      <c r="G525" s="3">
        <v>1.4E-3</v>
      </c>
      <c r="H525" s="3">
        <v>0.02</v>
      </c>
      <c r="I525" s="3">
        <v>8.5000000000000006E-3</v>
      </c>
      <c r="J525" s="6">
        <v>0</v>
      </c>
      <c r="K525" s="6">
        <v>0</v>
      </c>
      <c r="L525" s="3">
        <f t="shared" si="24"/>
        <v>2.8500000000000001E-2</v>
      </c>
      <c r="M525" s="3"/>
      <c r="N525" s="3">
        <f t="shared" si="27"/>
        <v>2.9899999999999999E-2</v>
      </c>
      <c r="P525" s="31" t="s">
        <v>29444</v>
      </c>
      <c r="Q525" t="s">
        <v>31787</v>
      </c>
      <c r="R525" s="89">
        <v>0.33333333333333348</v>
      </c>
      <c r="S525" s="89">
        <f>100%-Table34[[#This Row],[InitialFee]]</f>
        <v>0.98</v>
      </c>
      <c r="T525" s="89">
        <f>(1-Table34[[#This Row],[OngoingFee (plus Platform fee)]])^5</f>
        <v>0.95821638480594218</v>
      </c>
      <c r="U525" s="26">
        <f>(1+Table34[[#This Row],[Net 5yrs return (mostly up to 28th of Feb 2026)]])*Table34[[#This Row],[Investment after initial charge]]*Table34[[#This Row],[Cummulative 5yrs ongoing advice charge]]-1</f>
        <v>0.25206940947976464</v>
      </c>
      <c r="V525" s="10">
        <v>104187</v>
      </c>
      <c r="W525" t="s">
        <v>29051</v>
      </c>
      <c r="X525" s="9">
        <v>39691</v>
      </c>
      <c r="Y525" s="30">
        <f>X525/V525</f>
        <v>0.38095923675698501</v>
      </c>
      <c r="AA525" s="1" t="s">
        <v>29445</v>
      </c>
    </row>
    <row r="526" spans="1:27" hidden="1" x14ac:dyDescent="0.25">
      <c r="A526">
        <v>163450</v>
      </c>
      <c r="B526" t="s">
        <v>867</v>
      </c>
      <c r="C526" t="s">
        <v>6958</v>
      </c>
      <c r="D526">
        <v>1</v>
      </c>
      <c r="E526" t="s">
        <v>867</v>
      </c>
      <c r="F526" t="s">
        <v>6958</v>
      </c>
      <c r="H526" s="3">
        <v>0</v>
      </c>
      <c r="I526" s="3">
        <v>0</v>
      </c>
      <c r="J526" s="3">
        <v>0</v>
      </c>
      <c r="K526" s="3">
        <v>0</v>
      </c>
      <c r="L526" s="3">
        <f t="shared" si="24"/>
        <v>0</v>
      </c>
      <c r="M526" s="3"/>
      <c r="N526" s="3">
        <f t="shared" si="27"/>
        <v>0</v>
      </c>
      <c r="R526" s="89"/>
      <c r="S526" s="89">
        <f>100%-Table34[[#This Row],[PDF_initial fee]]</f>
        <v>1</v>
      </c>
      <c r="T526" s="89"/>
      <c r="U526" s="26"/>
    </row>
    <row r="527" spans="1:27" hidden="1" x14ac:dyDescent="0.25">
      <c r="A527">
        <v>163529</v>
      </c>
      <c r="B527" t="s">
        <v>869</v>
      </c>
      <c r="C527" t="s">
        <v>29446</v>
      </c>
      <c r="D527">
        <v>1</v>
      </c>
      <c r="E527" t="s">
        <v>869</v>
      </c>
      <c r="F527" t="s">
        <v>29136</v>
      </c>
      <c r="H527" s="21">
        <v>0</v>
      </c>
      <c r="I527" s="21">
        <v>0</v>
      </c>
      <c r="J527" s="21">
        <v>0</v>
      </c>
      <c r="K527" s="21">
        <v>0</v>
      </c>
      <c r="L527" s="3">
        <f t="shared" si="24"/>
        <v>0</v>
      </c>
      <c r="M527" s="3"/>
      <c r="N527" s="3">
        <f t="shared" si="27"/>
        <v>0</v>
      </c>
      <c r="O527" s="21"/>
      <c r="R527" s="89"/>
      <c r="S527" s="89">
        <f>100%-Table34[[#This Row],[PDF_initial fee]]</f>
        <v>1</v>
      </c>
      <c r="T527" s="89"/>
      <c r="U527" s="26"/>
    </row>
    <row r="528" spans="1:27" hidden="1" x14ac:dyDescent="0.25">
      <c r="A528">
        <v>163587</v>
      </c>
      <c r="B528" t="s">
        <v>870</v>
      </c>
      <c r="C528" t="s">
        <v>29447</v>
      </c>
      <c r="D528">
        <v>0</v>
      </c>
      <c r="E528" t="s">
        <v>870</v>
      </c>
      <c r="F528" t="s">
        <v>29136</v>
      </c>
      <c r="H528" s="21">
        <v>0</v>
      </c>
      <c r="I528" s="21">
        <v>0</v>
      </c>
      <c r="J528" s="21">
        <v>0</v>
      </c>
      <c r="K528" s="21">
        <v>0</v>
      </c>
      <c r="L528" s="3">
        <f t="shared" si="24"/>
        <v>0</v>
      </c>
      <c r="M528" s="3"/>
      <c r="N528" s="3">
        <f t="shared" si="27"/>
        <v>0</v>
      </c>
      <c r="O528" s="21"/>
      <c r="R528" s="89"/>
      <c r="S528" s="89">
        <f>100%-Table34[[#This Row],[PDF_initial fee]]</f>
        <v>1</v>
      </c>
      <c r="T528" s="89"/>
      <c r="U528" s="26"/>
    </row>
    <row r="529" spans="1:27" hidden="1" x14ac:dyDescent="0.25">
      <c r="A529">
        <v>164685</v>
      </c>
      <c r="B529" t="s">
        <v>871</v>
      </c>
      <c r="C529" t="s">
        <v>6958</v>
      </c>
      <c r="D529">
        <v>1</v>
      </c>
      <c r="E529" t="s">
        <v>871</v>
      </c>
      <c r="F529" t="s">
        <v>6958</v>
      </c>
      <c r="H529" s="21">
        <v>0</v>
      </c>
      <c r="I529" s="21">
        <v>0</v>
      </c>
      <c r="J529" s="21">
        <v>0</v>
      </c>
      <c r="K529" s="21">
        <v>0</v>
      </c>
      <c r="L529" s="3">
        <f t="shared" si="24"/>
        <v>0</v>
      </c>
      <c r="M529" s="3"/>
      <c r="N529" s="3">
        <f t="shared" si="27"/>
        <v>0</v>
      </c>
      <c r="R529" s="89"/>
      <c r="S529" s="89">
        <f>100%-Table34[[#This Row],[PDF_initial fee]]</f>
        <v>1</v>
      </c>
      <c r="T529" s="89"/>
      <c r="U529" s="26"/>
    </row>
    <row r="530" spans="1:27" x14ac:dyDescent="0.25">
      <c r="A530">
        <v>133462</v>
      </c>
      <c r="B530" t="s">
        <v>41</v>
      </c>
      <c r="C530" s="1" t="s">
        <v>29448</v>
      </c>
      <c r="D530">
        <v>3</v>
      </c>
      <c r="E530" t="s">
        <v>41</v>
      </c>
      <c r="F530" t="s">
        <v>3</v>
      </c>
      <c r="G530" s="3">
        <v>1.4E-3</v>
      </c>
      <c r="H530" s="3">
        <v>2.76E-2</v>
      </c>
      <c r="I530" s="3">
        <v>0</v>
      </c>
      <c r="J530" s="6">
        <v>0</v>
      </c>
      <c r="K530" s="6">
        <v>0</v>
      </c>
      <c r="L530" s="3">
        <f t="shared" si="24"/>
        <v>2.76E-2</v>
      </c>
      <c r="M530" s="3"/>
      <c r="N530" s="3">
        <f t="shared" si="27"/>
        <v>2.8999999999999998E-2</v>
      </c>
      <c r="O530" t="s">
        <v>29449</v>
      </c>
      <c r="P530" s="1" t="s">
        <v>29450</v>
      </c>
      <c r="Q530" t="s">
        <v>31787</v>
      </c>
      <c r="R530" s="89">
        <v>0.33333333333333348</v>
      </c>
      <c r="S530" s="89">
        <f>100%-Table34[[#This Row],[InitialFee]]</f>
        <v>0.97240000000000004</v>
      </c>
      <c r="T530" s="89">
        <f>(1-Table34[[#This Row],[PDF ongoing fee]])^5</f>
        <v>1</v>
      </c>
      <c r="U530" s="26">
        <f>(1+Table34[[#This Row],[Net 5yrs return (mostly up to 28th of Feb 2026)]])*Table34[[#This Row],[Investment after initial charge]]*Table34[[#This Row],[Cummulative 5yrs ongoing advice charge]]-1</f>
        <v>0.29653333333333354</v>
      </c>
      <c r="V530" s="10">
        <v>359102</v>
      </c>
      <c r="W530" t="s">
        <v>29051</v>
      </c>
      <c r="X530" s="10">
        <v>359102</v>
      </c>
      <c r="Y530" s="30">
        <f>X530/V530</f>
        <v>1</v>
      </c>
      <c r="AA530" s="1" t="s">
        <v>29451</v>
      </c>
    </row>
    <row r="531" spans="1:27" hidden="1" x14ac:dyDescent="0.25">
      <c r="A531">
        <v>164801</v>
      </c>
      <c r="B531" t="s">
        <v>872</v>
      </c>
      <c r="C531" t="s">
        <v>29452</v>
      </c>
      <c r="D531">
        <v>1</v>
      </c>
      <c r="E531" t="s">
        <v>872</v>
      </c>
      <c r="F531" t="s">
        <v>29453</v>
      </c>
      <c r="H531" s="3">
        <v>0</v>
      </c>
      <c r="I531" s="3">
        <v>0</v>
      </c>
      <c r="J531" s="3">
        <v>0</v>
      </c>
      <c r="K531" s="3">
        <v>0</v>
      </c>
      <c r="L531" s="3">
        <f t="shared" si="24"/>
        <v>0</v>
      </c>
      <c r="M531" s="3"/>
      <c r="N531" s="3">
        <f t="shared" si="27"/>
        <v>0</v>
      </c>
      <c r="R531" s="89"/>
      <c r="S531" s="89">
        <f>100%-Table34[[#This Row],[PDF_initial fee]]</f>
        <v>1</v>
      </c>
      <c r="T531" s="89"/>
      <c r="U531" s="26"/>
    </row>
    <row r="532" spans="1:27" hidden="1" x14ac:dyDescent="0.25">
      <c r="A532">
        <v>164912</v>
      </c>
      <c r="B532" t="s">
        <v>873</v>
      </c>
      <c r="C532" t="s">
        <v>9899</v>
      </c>
      <c r="D532">
        <v>3</v>
      </c>
      <c r="E532" t="s">
        <v>873</v>
      </c>
      <c r="H532" s="21">
        <v>0</v>
      </c>
      <c r="I532" s="21">
        <v>0</v>
      </c>
      <c r="J532" s="21">
        <v>0</v>
      </c>
      <c r="K532" s="21">
        <v>0</v>
      </c>
      <c r="L532" s="3">
        <f t="shared" si="24"/>
        <v>0</v>
      </c>
      <c r="M532" s="3"/>
      <c r="N532" s="3">
        <f t="shared" si="27"/>
        <v>0</v>
      </c>
      <c r="R532" s="89"/>
      <c r="S532" s="89">
        <f>100%-Table34[[#This Row],[PDF_initial fee]]</f>
        <v>1</v>
      </c>
      <c r="T532" s="89"/>
      <c r="U532" s="26"/>
    </row>
    <row r="533" spans="1:27" x14ac:dyDescent="0.25">
      <c r="A533">
        <v>990743</v>
      </c>
      <c r="B533" t="s">
        <v>356</v>
      </c>
      <c r="C533" t="s">
        <v>7761</v>
      </c>
      <c r="D533">
        <v>2</v>
      </c>
      <c r="E533" t="s">
        <v>356</v>
      </c>
      <c r="F533" t="s">
        <v>3</v>
      </c>
      <c r="G533" s="3">
        <v>1.4E-3</v>
      </c>
      <c r="H533" s="3">
        <f>0.95%+1%</f>
        <v>1.95E-2</v>
      </c>
      <c r="I533" s="3">
        <v>5.4999999999999997E-3</v>
      </c>
      <c r="J533" s="6"/>
      <c r="K533" s="6"/>
      <c r="L533" s="3">
        <f t="shared" si="24"/>
        <v>2.5000000000000001E-2</v>
      </c>
      <c r="M533" s="3"/>
      <c r="N533" s="3">
        <f t="shared" si="27"/>
        <v>2.64E-2</v>
      </c>
      <c r="P533" s="31" t="s">
        <v>29454</v>
      </c>
      <c r="Q533" t="s">
        <v>31787</v>
      </c>
      <c r="R533" s="89">
        <v>0.33333333333333348</v>
      </c>
      <c r="S533" s="89">
        <f>100%-Table34[[#This Row],[InitialFee]]</f>
        <v>0.98050000000000004</v>
      </c>
      <c r="T533" s="89">
        <f>(1-Table34[[#This Row],[OngoingFee (plus Platform fee)]])^5</f>
        <v>0.97280084082027996</v>
      </c>
      <c r="U533" s="26">
        <f>(1+Table34[[#This Row],[Net 5yrs return (mostly up to 28th of Feb 2026)]])*Table34[[#This Row],[Investment after initial charge]]*Table34[[#This Row],[Cummulative 5yrs ongoing advice charge]]-1</f>
        <v>0.27177496589904604</v>
      </c>
      <c r="V533">
        <f>15380+139314</f>
        <v>154694</v>
      </c>
      <c r="W533" t="s">
        <v>29051</v>
      </c>
      <c r="X533" s="9">
        <v>9789</v>
      </c>
      <c r="Y533" s="30">
        <f>X533/V533</f>
        <v>6.3279765213906158E-2</v>
      </c>
      <c r="AA533" s="1" t="s">
        <v>29455</v>
      </c>
    </row>
    <row r="534" spans="1:27" hidden="1" x14ac:dyDescent="0.25">
      <c r="A534">
        <v>165172</v>
      </c>
      <c r="B534" t="s">
        <v>874</v>
      </c>
      <c r="C534" t="s">
        <v>7125</v>
      </c>
      <c r="D534">
        <v>3</v>
      </c>
      <c r="E534" t="s">
        <v>874</v>
      </c>
      <c r="H534" s="21">
        <v>0</v>
      </c>
      <c r="I534" s="21">
        <v>0</v>
      </c>
      <c r="J534" s="21">
        <v>0</v>
      </c>
      <c r="K534" s="21">
        <v>0</v>
      </c>
      <c r="L534" s="3">
        <f t="shared" si="24"/>
        <v>0</v>
      </c>
      <c r="M534" s="3"/>
      <c r="N534" s="3">
        <f t="shared" si="27"/>
        <v>0</v>
      </c>
      <c r="R534" s="89"/>
      <c r="S534" s="89">
        <f>100%-Table34[[#This Row],[PDF_initial fee]]</f>
        <v>1</v>
      </c>
      <c r="T534" s="89"/>
      <c r="U534" s="26"/>
    </row>
    <row r="535" spans="1:27" hidden="1" x14ac:dyDescent="0.25">
      <c r="A535">
        <v>165222</v>
      </c>
      <c r="B535" t="s">
        <v>875</v>
      </c>
      <c r="C535" t="s">
        <v>29456</v>
      </c>
      <c r="D535">
        <v>4</v>
      </c>
      <c r="E535" t="s">
        <v>875</v>
      </c>
      <c r="H535" s="3">
        <v>0</v>
      </c>
      <c r="I535" s="3">
        <v>0</v>
      </c>
      <c r="J535" s="3">
        <v>0</v>
      </c>
      <c r="K535" s="3">
        <v>0</v>
      </c>
      <c r="L535" s="3">
        <f t="shared" si="24"/>
        <v>0</v>
      </c>
      <c r="M535" s="3"/>
      <c r="N535" s="3">
        <f t="shared" si="27"/>
        <v>0</v>
      </c>
      <c r="R535" s="89"/>
      <c r="S535" s="89">
        <f>100%-Table34[[#This Row],[PDF_initial fee]]</f>
        <v>1</v>
      </c>
      <c r="T535" s="89"/>
      <c r="U535" s="26"/>
    </row>
    <row r="536" spans="1:27" hidden="1" x14ac:dyDescent="0.25">
      <c r="A536">
        <v>165226</v>
      </c>
      <c r="B536" t="s">
        <v>876</v>
      </c>
      <c r="C536" t="s">
        <v>6958</v>
      </c>
      <c r="D536">
        <v>0</v>
      </c>
      <c r="E536" t="s">
        <v>876</v>
      </c>
      <c r="F536" t="s">
        <v>6958</v>
      </c>
      <c r="H536" s="21">
        <v>0</v>
      </c>
      <c r="I536" s="21">
        <v>0</v>
      </c>
      <c r="J536" s="21">
        <v>0</v>
      </c>
      <c r="K536" s="21">
        <v>0</v>
      </c>
      <c r="L536" s="3">
        <f t="shared" ref="L536:L599" si="28">SUM(H536:K536)</f>
        <v>0</v>
      </c>
      <c r="M536" s="3"/>
      <c r="N536" s="3">
        <f t="shared" si="27"/>
        <v>0</v>
      </c>
      <c r="O536" s="21"/>
      <c r="R536" s="89"/>
      <c r="S536" s="89">
        <f>100%-Table34[[#This Row],[PDF_initial fee]]</f>
        <v>1</v>
      </c>
      <c r="T536" s="89"/>
      <c r="U536" s="26"/>
    </row>
    <row r="537" spans="1:27" hidden="1" x14ac:dyDescent="0.25">
      <c r="A537">
        <v>165237</v>
      </c>
      <c r="B537" t="s">
        <v>877</v>
      </c>
      <c r="C537" t="s">
        <v>11028</v>
      </c>
      <c r="D537">
        <v>5</v>
      </c>
      <c r="E537" t="s">
        <v>877</v>
      </c>
      <c r="H537" s="21">
        <v>0</v>
      </c>
      <c r="I537" s="21">
        <v>0</v>
      </c>
      <c r="J537" s="21">
        <v>0</v>
      </c>
      <c r="K537" s="21">
        <v>0</v>
      </c>
      <c r="L537" s="3">
        <f t="shared" si="28"/>
        <v>0</v>
      </c>
      <c r="M537" s="3"/>
      <c r="N537" s="3">
        <f t="shared" si="27"/>
        <v>0</v>
      </c>
      <c r="R537" s="89"/>
      <c r="S537" s="89">
        <f>100%-Table34[[#This Row],[PDF_initial fee]]</f>
        <v>1</v>
      </c>
      <c r="T537" s="89"/>
      <c r="U537" s="26"/>
    </row>
    <row r="538" spans="1:27" hidden="1" x14ac:dyDescent="0.25">
      <c r="A538">
        <v>165731</v>
      </c>
      <c r="B538" t="s">
        <v>878</v>
      </c>
      <c r="C538" t="s">
        <v>6958</v>
      </c>
      <c r="D538">
        <v>1</v>
      </c>
      <c r="E538" t="s">
        <v>878</v>
      </c>
      <c r="F538" t="s">
        <v>6958</v>
      </c>
      <c r="H538" s="21">
        <v>0</v>
      </c>
      <c r="I538" s="21">
        <v>0</v>
      </c>
      <c r="J538" s="21">
        <v>0</v>
      </c>
      <c r="K538" s="21">
        <v>0</v>
      </c>
      <c r="L538" s="3">
        <f t="shared" si="28"/>
        <v>0</v>
      </c>
      <c r="M538" s="3"/>
      <c r="N538" s="3">
        <f t="shared" si="27"/>
        <v>0</v>
      </c>
      <c r="R538" s="89"/>
      <c r="S538" s="89">
        <f>100%-Table34[[#This Row],[PDF_initial fee]]</f>
        <v>1</v>
      </c>
      <c r="T538" s="89"/>
      <c r="U538" s="26"/>
    </row>
    <row r="539" spans="1:27" hidden="1" x14ac:dyDescent="0.25">
      <c r="A539">
        <v>165935</v>
      </c>
      <c r="B539" t="s">
        <v>879</v>
      </c>
      <c r="C539" t="s">
        <v>6958</v>
      </c>
      <c r="D539">
        <v>0</v>
      </c>
      <c r="E539" t="s">
        <v>879</v>
      </c>
      <c r="F539" t="s">
        <v>6958</v>
      </c>
      <c r="H539" s="21">
        <v>0</v>
      </c>
      <c r="I539" s="21">
        <v>0</v>
      </c>
      <c r="J539" s="21">
        <v>0</v>
      </c>
      <c r="K539" s="21">
        <v>0</v>
      </c>
      <c r="L539" s="3">
        <f t="shared" si="28"/>
        <v>0</v>
      </c>
      <c r="M539" s="3"/>
      <c r="N539" s="3">
        <f t="shared" si="27"/>
        <v>0</v>
      </c>
      <c r="O539" s="21"/>
      <c r="R539" s="89"/>
      <c r="S539" s="89">
        <f>100%-Table34[[#This Row],[PDF_initial fee]]</f>
        <v>1</v>
      </c>
      <c r="T539" s="89"/>
      <c r="U539" s="26"/>
    </row>
    <row r="540" spans="1:27" hidden="1" x14ac:dyDescent="0.25">
      <c r="A540">
        <v>165999</v>
      </c>
      <c r="B540" t="s">
        <v>880</v>
      </c>
      <c r="C540" t="s">
        <v>29457</v>
      </c>
      <c r="D540">
        <v>6</v>
      </c>
      <c r="E540" t="s">
        <v>880</v>
      </c>
      <c r="F540" t="s">
        <v>29147</v>
      </c>
      <c r="I540">
        <v>0</v>
      </c>
      <c r="L540" s="3">
        <f t="shared" si="28"/>
        <v>0</v>
      </c>
      <c r="M540" s="3"/>
      <c r="N540" s="3">
        <f t="shared" si="27"/>
        <v>0</v>
      </c>
      <c r="Q540" t="s">
        <v>29458</v>
      </c>
      <c r="R540" s="89"/>
      <c r="S540" s="89">
        <f>100%-Table34[[#This Row],[PDF_initial fee]]</f>
        <v>1</v>
      </c>
      <c r="T540" s="89"/>
      <c r="U540" s="26"/>
    </row>
    <row r="541" spans="1:27" hidden="1" x14ac:dyDescent="0.25">
      <c r="A541">
        <v>166062</v>
      </c>
      <c r="B541" t="s">
        <v>881</v>
      </c>
      <c r="C541" t="s">
        <v>6958</v>
      </c>
      <c r="D541">
        <v>1</v>
      </c>
      <c r="E541" t="s">
        <v>881</v>
      </c>
      <c r="F541" t="s">
        <v>6958</v>
      </c>
      <c r="L541" s="3">
        <f t="shared" si="28"/>
        <v>0</v>
      </c>
      <c r="M541" s="3"/>
      <c r="N541" s="3">
        <f t="shared" si="27"/>
        <v>0</v>
      </c>
      <c r="R541" s="89"/>
      <c r="S541" s="89">
        <f>100%-Table34[[#This Row],[PDF_initial fee]]</f>
        <v>1</v>
      </c>
      <c r="T541" s="89"/>
      <c r="U541" s="26"/>
    </row>
    <row r="542" spans="1:27" x14ac:dyDescent="0.25">
      <c r="A542">
        <v>814001</v>
      </c>
      <c r="B542" t="s">
        <v>307</v>
      </c>
      <c r="C542" t="s">
        <v>10528</v>
      </c>
      <c r="D542">
        <v>1</v>
      </c>
      <c r="E542" t="s">
        <v>307</v>
      </c>
      <c r="F542" t="s">
        <v>3</v>
      </c>
      <c r="G542" s="3">
        <v>1.4E-3</v>
      </c>
      <c r="H542" s="3">
        <v>0.03</v>
      </c>
      <c r="I542" s="3">
        <v>5.0000000000000001E-3</v>
      </c>
      <c r="J542" s="6"/>
      <c r="K542" s="6"/>
      <c r="L542" s="3">
        <f t="shared" si="28"/>
        <v>3.4999999999999996E-2</v>
      </c>
      <c r="M542" s="3"/>
      <c r="N542" s="3">
        <f t="shared" si="27"/>
        <v>3.6399999999999995E-2</v>
      </c>
      <c r="P542" s="31" t="s">
        <v>29459</v>
      </c>
      <c r="Q542" t="s">
        <v>31787</v>
      </c>
      <c r="R542" s="89">
        <v>0.33333333333333348</v>
      </c>
      <c r="S542" s="89">
        <f>100%-Table34[[#This Row],[InitialFee]]</f>
        <v>0.97</v>
      </c>
      <c r="T542" s="89">
        <f>(1-Table34[[#This Row],[OngoingFee (plus Platform fee)]])^5</f>
        <v>0.97524875312187509</v>
      </c>
      <c r="U542" s="26">
        <f>(1+Table34[[#This Row],[Net 5yrs return (mostly up to 28th of Feb 2026)]])*Table34[[#This Row],[Investment after initial charge]]*Table34[[#This Row],[Cummulative 5yrs ongoing advice charge]]-1</f>
        <v>0.26132172070429194</v>
      </c>
      <c r="V542">
        <f>23074+15409</f>
        <v>38483</v>
      </c>
      <c r="W542" t="s">
        <v>29051</v>
      </c>
      <c r="X542" s="9">
        <v>21754</v>
      </c>
      <c r="Y542" s="30">
        <f>X542/V542</f>
        <v>0.56528856897850999</v>
      </c>
      <c r="AA542" s="1" t="s">
        <v>29460</v>
      </c>
    </row>
    <row r="543" spans="1:27" hidden="1" x14ac:dyDescent="0.25">
      <c r="A543">
        <v>169777</v>
      </c>
      <c r="B543" t="s">
        <v>882</v>
      </c>
      <c r="C543" t="s">
        <v>7900</v>
      </c>
      <c r="D543">
        <v>8</v>
      </c>
      <c r="E543" t="s">
        <v>882</v>
      </c>
      <c r="L543" s="3">
        <f t="shared" si="28"/>
        <v>0</v>
      </c>
      <c r="M543" s="3"/>
      <c r="N543" s="3">
        <f t="shared" si="27"/>
        <v>0</v>
      </c>
      <c r="R543" s="89"/>
      <c r="S543" s="89">
        <f>100%-Table34[[#This Row],[PDF_initial fee]]</f>
        <v>1</v>
      </c>
      <c r="T543" s="89"/>
      <c r="U543" s="26"/>
    </row>
    <row r="544" spans="1:27" hidden="1" x14ac:dyDescent="0.25">
      <c r="A544">
        <v>169843</v>
      </c>
      <c r="B544" t="s">
        <v>883</v>
      </c>
      <c r="C544" s="56" t="s">
        <v>29461</v>
      </c>
      <c r="D544">
        <v>1</v>
      </c>
      <c r="E544" t="s">
        <v>883</v>
      </c>
      <c r="H544" s="21">
        <v>0</v>
      </c>
      <c r="I544" s="21">
        <v>0</v>
      </c>
      <c r="J544" s="21">
        <v>0</v>
      </c>
      <c r="K544" s="21">
        <v>0</v>
      </c>
      <c r="L544" s="3">
        <f t="shared" si="28"/>
        <v>0</v>
      </c>
      <c r="M544" s="3"/>
      <c r="N544" s="3">
        <f t="shared" si="27"/>
        <v>0</v>
      </c>
      <c r="O544" s="21"/>
      <c r="R544" s="89"/>
      <c r="S544" s="89">
        <f>100%-Table34[[#This Row],[PDF_initial fee]]</f>
        <v>1</v>
      </c>
      <c r="T544" s="89"/>
      <c r="U544" s="26"/>
    </row>
    <row r="545" spans="1:28" hidden="1" x14ac:dyDescent="0.25">
      <c r="A545">
        <v>170068</v>
      </c>
      <c r="B545" t="s">
        <v>885</v>
      </c>
      <c r="C545" t="s">
        <v>7815</v>
      </c>
      <c r="D545">
        <v>7</v>
      </c>
      <c r="E545" t="s">
        <v>885</v>
      </c>
      <c r="L545" s="3">
        <f t="shared" si="28"/>
        <v>0</v>
      </c>
      <c r="M545" s="3"/>
      <c r="N545" s="3">
        <f t="shared" si="27"/>
        <v>0</v>
      </c>
      <c r="R545" s="89"/>
      <c r="S545" s="89">
        <f>100%-Table34[[#This Row],[PDF_initial fee]]</f>
        <v>1</v>
      </c>
      <c r="T545" s="89"/>
      <c r="U545" s="26"/>
    </row>
    <row r="546" spans="1:28" hidden="1" x14ac:dyDescent="0.25">
      <c r="A546">
        <v>170299</v>
      </c>
      <c r="B546" t="s">
        <v>886</v>
      </c>
      <c r="C546" t="s">
        <v>6958</v>
      </c>
      <c r="D546">
        <v>1</v>
      </c>
      <c r="E546" t="s">
        <v>886</v>
      </c>
      <c r="F546" t="s">
        <v>6958</v>
      </c>
      <c r="L546" s="3">
        <f t="shared" si="28"/>
        <v>0</v>
      </c>
      <c r="M546" s="3"/>
      <c r="N546" s="3">
        <f t="shared" si="27"/>
        <v>0</v>
      </c>
      <c r="R546" s="89"/>
      <c r="S546" s="89">
        <f>100%-Table34[[#This Row],[PDF_initial fee]]</f>
        <v>1</v>
      </c>
      <c r="T546" s="89"/>
      <c r="U546" s="26"/>
    </row>
    <row r="547" spans="1:28" hidden="1" x14ac:dyDescent="0.25">
      <c r="A547">
        <v>170637</v>
      </c>
      <c r="B547" t="s">
        <v>887</v>
      </c>
      <c r="C547" t="s">
        <v>29462</v>
      </c>
      <c r="D547">
        <v>2</v>
      </c>
      <c r="E547" t="s">
        <v>887</v>
      </c>
      <c r="F547" t="s">
        <v>3</v>
      </c>
      <c r="H547" s="21">
        <v>0</v>
      </c>
      <c r="I547" s="21">
        <v>0</v>
      </c>
      <c r="J547" s="21">
        <v>0</v>
      </c>
      <c r="K547" s="21">
        <v>0</v>
      </c>
      <c r="L547" s="3">
        <f t="shared" si="28"/>
        <v>0</v>
      </c>
      <c r="M547" s="3"/>
      <c r="N547" s="3">
        <f t="shared" si="27"/>
        <v>0</v>
      </c>
      <c r="O547" s="21"/>
      <c r="R547" s="89"/>
      <c r="S547" s="89">
        <f>100%-Table34[[#This Row],[PDF_initial fee]]</f>
        <v>1</v>
      </c>
      <c r="T547" s="89"/>
      <c r="U547" s="26"/>
    </row>
    <row r="548" spans="1:28" hidden="1" x14ac:dyDescent="0.25">
      <c r="A548">
        <v>170734</v>
      </c>
      <c r="B548" t="s">
        <v>888</v>
      </c>
      <c r="C548" t="s">
        <v>29463</v>
      </c>
      <c r="D548">
        <v>0</v>
      </c>
      <c r="E548" t="s">
        <v>888</v>
      </c>
      <c r="F548" t="s">
        <v>29136</v>
      </c>
      <c r="H548" s="21">
        <v>0</v>
      </c>
      <c r="I548" s="21">
        <v>0</v>
      </c>
      <c r="J548" s="21">
        <v>0</v>
      </c>
      <c r="K548" s="21">
        <v>0</v>
      </c>
      <c r="L548" s="3">
        <f t="shared" si="28"/>
        <v>0</v>
      </c>
      <c r="M548" s="3"/>
      <c r="N548" s="3">
        <f t="shared" si="27"/>
        <v>0</v>
      </c>
      <c r="O548" s="21"/>
      <c r="R548" s="89"/>
      <c r="S548" s="89">
        <f>100%-Table34[[#This Row],[PDF_initial fee]]</f>
        <v>1</v>
      </c>
      <c r="T548" s="89"/>
      <c r="U548" s="26"/>
    </row>
    <row r="549" spans="1:28" hidden="1" x14ac:dyDescent="0.25">
      <c r="A549">
        <v>170910</v>
      </c>
      <c r="B549" t="s">
        <v>889</v>
      </c>
      <c r="C549" t="s">
        <v>29464</v>
      </c>
      <c r="D549">
        <v>0</v>
      </c>
      <c r="E549" t="s">
        <v>889</v>
      </c>
      <c r="F549" t="s">
        <v>29136</v>
      </c>
      <c r="L549" s="3">
        <f t="shared" si="28"/>
        <v>0</v>
      </c>
      <c r="M549" s="3"/>
      <c r="N549" s="3">
        <f t="shared" si="27"/>
        <v>0</v>
      </c>
      <c r="R549" s="89"/>
      <c r="S549" s="89">
        <f>100%-Table34[[#This Row],[PDF_initial fee]]</f>
        <v>1</v>
      </c>
      <c r="T549" s="89"/>
      <c r="U549" s="26"/>
    </row>
    <row r="550" spans="1:28" x14ac:dyDescent="0.25">
      <c r="A550">
        <v>800111</v>
      </c>
      <c r="B550" t="s">
        <v>303</v>
      </c>
      <c r="C550" t="s">
        <v>11423</v>
      </c>
      <c r="D550">
        <v>1</v>
      </c>
      <c r="E550" t="s">
        <v>303</v>
      </c>
      <c r="F550" t="s">
        <v>3</v>
      </c>
      <c r="G550" s="3">
        <v>1.4E-3</v>
      </c>
      <c r="H550" s="3">
        <f>1.95%+3%</f>
        <v>4.9500000000000002E-2</v>
      </c>
      <c r="I550" s="3">
        <v>7.0000000000000001E-3</v>
      </c>
      <c r="J550" s="6"/>
      <c r="K550" s="6"/>
      <c r="L550" s="3">
        <f t="shared" si="28"/>
        <v>5.6500000000000002E-2</v>
      </c>
      <c r="M550" s="3"/>
      <c r="N550" s="3">
        <f t="shared" ref="N550:N581" si="29">L550+G550</f>
        <v>5.79E-2</v>
      </c>
      <c r="O550" t="s">
        <v>29465</v>
      </c>
      <c r="P550" s="31" t="s">
        <v>29466</v>
      </c>
      <c r="Q550" t="s">
        <v>31787</v>
      </c>
      <c r="R550" s="89">
        <v>0.33333333333333348</v>
      </c>
      <c r="S550" s="89">
        <f>100%-Table34[[#This Row],[InitialFee]]</f>
        <v>0.95050000000000001</v>
      </c>
      <c r="T550" s="89">
        <f>(1-Table34[[#This Row],[OngoingFee (plus Platform fee)]])^5</f>
        <v>0.96548658198819293</v>
      </c>
      <c r="U550" s="26">
        <f>(1+Table34[[#This Row],[Net 5yrs return (mostly up to 28th of Feb 2026)]])*Table34[[#This Row],[Investment after initial charge]]*Table34[[#This Row],[Cummulative 5yrs ongoing advice charge]]-1</f>
        <v>0.22359332823970335</v>
      </c>
      <c r="V550" s="10">
        <f>7625+31717</f>
        <v>39342</v>
      </c>
      <c r="W550" t="s">
        <v>29051</v>
      </c>
      <c r="X550" s="9">
        <v>4000</v>
      </c>
      <c r="Y550" s="30">
        <f>X550/V550</f>
        <v>0.10167251283615475</v>
      </c>
      <c r="AA550" s="1" t="s">
        <v>29467</v>
      </c>
      <c r="AB550" t="s">
        <v>29302</v>
      </c>
    </row>
    <row r="551" spans="1:28" x14ac:dyDescent="0.25">
      <c r="A551">
        <v>775721</v>
      </c>
      <c r="B551" t="s">
        <v>292</v>
      </c>
      <c r="C551" t="s">
        <v>29468</v>
      </c>
      <c r="D551">
        <v>3</v>
      </c>
      <c r="E551" t="s">
        <v>292</v>
      </c>
      <c r="F551" t="s">
        <v>3</v>
      </c>
      <c r="G551" s="3">
        <v>1.4E-3</v>
      </c>
      <c r="H551" s="3">
        <f>(0.995%+9.95%)/2</f>
        <v>5.4724999999999996E-2</v>
      </c>
      <c r="I551" s="3">
        <v>0.03</v>
      </c>
      <c r="J551" s="6"/>
      <c r="K551" s="6"/>
      <c r="L551" s="3">
        <f t="shared" si="28"/>
        <v>8.4724999999999995E-2</v>
      </c>
      <c r="M551" s="3"/>
      <c r="N551" s="3">
        <f t="shared" si="29"/>
        <v>8.6124999999999993E-2</v>
      </c>
      <c r="P551" s="31" t="s">
        <v>29469</v>
      </c>
      <c r="Q551" t="s">
        <v>31787</v>
      </c>
      <c r="R551" s="89">
        <v>0.33333333333333348</v>
      </c>
      <c r="S551" s="89">
        <f>100%-Table34[[#This Row],[InitialFee]]</f>
        <v>0.94527499999999998</v>
      </c>
      <c r="T551" s="89">
        <f>(1-Table34[[#This Row],[OngoingFee (plus Platform fee)]])^5</f>
        <v>0.8587340256999999</v>
      </c>
      <c r="U551" s="26">
        <f>(1+Table34[[#This Row],[Net 5yrs return (mostly up to 28th of Feb 2026)]])*Table34[[#This Row],[Investment after initial charge]]*Table34[[#This Row],[Cummulative 5yrs ongoing advice charge]]-1</f>
        <v>8.231974152475674E-2</v>
      </c>
      <c r="V551">
        <f>342868+170487</f>
        <v>513355</v>
      </c>
      <c r="W551" t="s">
        <v>29051</v>
      </c>
      <c r="X551" s="9">
        <v>283745</v>
      </c>
      <c r="Y551" s="30">
        <f>X551/V551</f>
        <v>0.55272667062753844</v>
      </c>
      <c r="AA551" s="1" t="s">
        <v>29470</v>
      </c>
      <c r="AB551" t="s">
        <v>29302</v>
      </c>
    </row>
    <row r="552" spans="1:28" hidden="1" x14ac:dyDescent="0.25">
      <c r="A552">
        <v>171137</v>
      </c>
      <c r="B552" t="s">
        <v>892</v>
      </c>
      <c r="C552" t="s">
        <v>11860</v>
      </c>
      <c r="D552">
        <v>3</v>
      </c>
      <c r="E552" t="s">
        <v>892</v>
      </c>
      <c r="L552" s="3">
        <f t="shared" si="28"/>
        <v>0</v>
      </c>
      <c r="M552" s="3"/>
      <c r="N552" s="3">
        <f t="shared" si="29"/>
        <v>0</v>
      </c>
      <c r="R552" s="89"/>
      <c r="S552" s="89">
        <f>100%-Table34[[#This Row],[PDF_initial fee]]</f>
        <v>1</v>
      </c>
      <c r="T552" s="89"/>
      <c r="U552" s="26"/>
    </row>
    <row r="553" spans="1:28" hidden="1" x14ac:dyDescent="0.25">
      <c r="A553">
        <v>171480</v>
      </c>
      <c r="B553" t="s">
        <v>894</v>
      </c>
      <c r="C553" t="s">
        <v>6958</v>
      </c>
      <c r="D553">
        <v>0</v>
      </c>
      <c r="E553" t="s">
        <v>894</v>
      </c>
      <c r="F553" t="s">
        <v>6958</v>
      </c>
      <c r="H553" s="21">
        <v>0</v>
      </c>
      <c r="I553" s="21">
        <v>0</v>
      </c>
      <c r="J553" s="21">
        <v>0</v>
      </c>
      <c r="K553" s="21">
        <v>0</v>
      </c>
      <c r="L553" s="3">
        <f t="shared" si="28"/>
        <v>0</v>
      </c>
      <c r="M553" s="3"/>
      <c r="N553" s="3">
        <f t="shared" si="29"/>
        <v>0</v>
      </c>
      <c r="O553" s="21"/>
      <c r="R553" s="89"/>
      <c r="S553" s="89">
        <f>100%-Table34[[#This Row],[PDF_initial fee]]</f>
        <v>1</v>
      </c>
      <c r="T553" s="89"/>
      <c r="U553" s="26"/>
    </row>
    <row r="554" spans="1:28" hidden="1" x14ac:dyDescent="0.25">
      <c r="A554">
        <v>171483</v>
      </c>
      <c r="B554" t="s">
        <v>895</v>
      </c>
      <c r="C554" t="s">
        <v>29471</v>
      </c>
      <c r="D554">
        <v>0</v>
      </c>
      <c r="E554" t="s">
        <v>895</v>
      </c>
      <c r="F554" t="s">
        <v>29136</v>
      </c>
      <c r="L554" s="3">
        <f t="shared" si="28"/>
        <v>0</v>
      </c>
      <c r="M554" s="3"/>
      <c r="N554" s="3">
        <f t="shared" si="29"/>
        <v>0</v>
      </c>
      <c r="R554" s="89"/>
      <c r="S554" s="89">
        <f>100%-Table34[[#This Row],[PDF_initial fee]]</f>
        <v>1</v>
      </c>
      <c r="T554" s="89"/>
      <c r="U554" s="26"/>
    </row>
    <row r="555" spans="1:28" hidden="1" x14ac:dyDescent="0.25">
      <c r="A555">
        <v>171487</v>
      </c>
      <c r="B555" t="s">
        <v>896</v>
      </c>
      <c r="C555" t="s">
        <v>6958</v>
      </c>
      <c r="D555">
        <v>0</v>
      </c>
      <c r="E555" t="s">
        <v>896</v>
      </c>
      <c r="F555" t="s">
        <v>6958</v>
      </c>
      <c r="H555" s="21">
        <v>0</v>
      </c>
      <c r="I555" s="21">
        <v>0</v>
      </c>
      <c r="J555" s="21">
        <v>0</v>
      </c>
      <c r="K555" s="21">
        <v>0</v>
      </c>
      <c r="L555" s="3">
        <f t="shared" si="28"/>
        <v>0</v>
      </c>
      <c r="M555" s="3"/>
      <c r="N555" s="3">
        <f t="shared" si="29"/>
        <v>0</v>
      </c>
      <c r="O555" s="21"/>
      <c r="R555" s="89"/>
      <c r="S555" s="89">
        <f>100%-Table34[[#This Row],[PDF_initial fee]]</f>
        <v>1</v>
      </c>
      <c r="T555" s="89"/>
      <c r="U555" s="26"/>
    </row>
    <row r="556" spans="1:28" hidden="1" x14ac:dyDescent="0.25">
      <c r="A556">
        <v>171805</v>
      </c>
      <c r="B556" t="s">
        <v>897</v>
      </c>
      <c r="C556" t="s">
        <v>6958</v>
      </c>
      <c r="D556">
        <v>1</v>
      </c>
      <c r="E556" t="s">
        <v>897</v>
      </c>
      <c r="F556" t="s">
        <v>6958</v>
      </c>
      <c r="H556" s="21">
        <v>0</v>
      </c>
      <c r="I556" s="21">
        <v>0</v>
      </c>
      <c r="J556" s="21">
        <v>0</v>
      </c>
      <c r="K556" s="21">
        <v>0</v>
      </c>
      <c r="L556" s="3">
        <f t="shared" si="28"/>
        <v>0</v>
      </c>
      <c r="M556" s="3"/>
      <c r="N556" s="3">
        <f t="shared" si="29"/>
        <v>0</v>
      </c>
      <c r="R556" s="89"/>
      <c r="S556" s="89">
        <f>100%-Table34[[#This Row],[PDF_initial fee]]</f>
        <v>1</v>
      </c>
      <c r="T556" s="89"/>
      <c r="U556" s="26"/>
    </row>
    <row r="557" spans="1:28" hidden="1" x14ac:dyDescent="0.25">
      <c r="A557">
        <v>171837</v>
      </c>
      <c r="B557" t="s">
        <v>898</v>
      </c>
      <c r="C557" t="s">
        <v>6958</v>
      </c>
      <c r="D557">
        <v>1</v>
      </c>
      <c r="E557" t="s">
        <v>898</v>
      </c>
      <c r="F557" t="s">
        <v>6958</v>
      </c>
      <c r="H557" s="21">
        <v>0</v>
      </c>
      <c r="I557" s="21">
        <v>0</v>
      </c>
      <c r="J557" s="21">
        <v>0</v>
      </c>
      <c r="K557" s="21">
        <v>0</v>
      </c>
      <c r="L557" s="3">
        <f t="shared" si="28"/>
        <v>0</v>
      </c>
      <c r="M557" s="3"/>
      <c r="N557" s="3">
        <f t="shared" si="29"/>
        <v>0</v>
      </c>
      <c r="O557" s="21"/>
      <c r="R557" s="89"/>
      <c r="S557" s="89">
        <f>100%-Table34[[#This Row],[PDF_initial fee]]</f>
        <v>1</v>
      </c>
      <c r="T557" s="89"/>
      <c r="U557" s="26"/>
    </row>
    <row r="558" spans="1:28" hidden="1" x14ac:dyDescent="0.25">
      <c r="A558">
        <v>172140</v>
      </c>
      <c r="B558" t="s">
        <v>899</v>
      </c>
      <c r="C558" t="s">
        <v>29472</v>
      </c>
      <c r="D558">
        <v>15</v>
      </c>
      <c r="E558" t="s">
        <v>899</v>
      </c>
      <c r="H558" s="3"/>
      <c r="I558" s="3"/>
      <c r="J558" s="3"/>
      <c r="K558" s="3"/>
      <c r="L558" s="3">
        <f t="shared" si="28"/>
        <v>0</v>
      </c>
      <c r="M558" s="3"/>
      <c r="N558" s="3">
        <f t="shared" si="29"/>
        <v>0</v>
      </c>
      <c r="R558" s="89"/>
      <c r="S558" s="89">
        <f>100%-Table34[[#This Row],[PDF_initial fee]]</f>
        <v>1</v>
      </c>
      <c r="T558" s="89"/>
      <c r="U558" s="26"/>
    </row>
    <row r="559" spans="1:28" hidden="1" x14ac:dyDescent="0.25">
      <c r="A559">
        <v>172189</v>
      </c>
      <c r="B559" t="s">
        <v>900</v>
      </c>
      <c r="C559" t="s">
        <v>7693</v>
      </c>
      <c r="D559">
        <v>2</v>
      </c>
      <c r="E559" t="s">
        <v>900</v>
      </c>
      <c r="K559" s="3"/>
      <c r="L559" s="3">
        <f t="shared" si="28"/>
        <v>0</v>
      </c>
      <c r="M559" s="3"/>
      <c r="N559" s="3">
        <f t="shared" si="29"/>
        <v>0</v>
      </c>
      <c r="R559" s="89"/>
      <c r="S559" s="89">
        <f>100%-Table34[[#This Row],[PDF_initial fee]]</f>
        <v>1</v>
      </c>
      <c r="T559" s="89"/>
      <c r="U559" s="26"/>
    </row>
    <row r="560" spans="1:28" hidden="1" x14ac:dyDescent="0.25">
      <c r="A560">
        <v>172274</v>
      </c>
      <c r="B560" t="s">
        <v>901</v>
      </c>
      <c r="C560" t="s">
        <v>29473</v>
      </c>
      <c r="D560">
        <v>13</v>
      </c>
      <c r="E560" t="s">
        <v>901</v>
      </c>
      <c r="H560" s="3">
        <v>0</v>
      </c>
      <c r="I560" s="3">
        <v>0</v>
      </c>
      <c r="J560" s="3">
        <v>0</v>
      </c>
      <c r="K560" s="3">
        <v>0</v>
      </c>
      <c r="L560" s="3">
        <f t="shared" si="28"/>
        <v>0</v>
      </c>
      <c r="M560" s="3"/>
      <c r="N560" s="3">
        <f t="shared" si="29"/>
        <v>0</v>
      </c>
      <c r="R560" s="89"/>
      <c r="S560" s="89">
        <f>100%-Table34[[#This Row],[PDF_initial fee]]</f>
        <v>1</v>
      </c>
      <c r="T560" s="89"/>
      <c r="U560" s="26"/>
    </row>
    <row r="561" spans="1:27" hidden="1" x14ac:dyDescent="0.25">
      <c r="A561">
        <v>172974</v>
      </c>
      <c r="B561" t="s">
        <v>902</v>
      </c>
      <c r="C561" t="s">
        <v>6958</v>
      </c>
      <c r="D561">
        <v>0</v>
      </c>
      <c r="E561" t="s">
        <v>902</v>
      </c>
      <c r="F561" t="s">
        <v>6958</v>
      </c>
      <c r="H561" s="21">
        <v>0</v>
      </c>
      <c r="I561" s="21">
        <v>0</v>
      </c>
      <c r="J561" s="21">
        <v>0</v>
      </c>
      <c r="K561" s="21">
        <v>0</v>
      </c>
      <c r="L561" s="3">
        <f t="shared" si="28"/>
        <v>0</v>
      </c>
      <c r="M561" s="3"/>
      <c r="N561" s="3">
        <f t="shared" si="29"/>
        <v>0</v>
      </c>
      <c r="R561" s="89"/>
      <c r="S561" s="89">
        <f>100%-Table34[[#This Row],[PDF_initial fee]]</f>
        <v>1</v>
      </c>
      <c r="T561" s="89"/>
      <c r="U561" s="26"/>
    </row>
    <row r="562" spans="1:27" hidden="1" x14ac:dyDescent="0.25">
      <c r="A562">
        <v>173050</v>
      </c>
      <c r="B562" t="s">
        <v>903</v>
      </c>
      <c r="C562" t="s">
        <v>6958</v>
      </c>
      <c r="D562">
        <v>1</v>
      </c>
      <c r="E562" t="s">
        <v>903</v>
      </c>
      <c r="F562" t="s">
        <v>6958</v>
      </c>
      <c r="H562" s="21">
        <v>0</v>
      </c>
      <c r="I562" s="21">
        <v>0</v>
      </c>
      <c r="J562" s="21">
        <v>0</v>
      </c>
      <c r="K562" s="21">
        <v>0</v>
      </c>
      <c r="L562" s="3">
        <f t="shared" si="28"/>
        <v>0</v>
      </c>
      <c r="M562" s="3"/>
      <c r="N562" s="3">
        <f t="shared" si="29"/>
        <v>0</v>
      </c>
      <c r="R562" s="89"/>
      <c r="S562" s="89">
        <f>100%-Table34[[#This Row],[PDF_initial fee]]</f>
        <v>1</v>
      </c>
      <c r="T562" s="89"/>
      <c r="U562" s="26"/>
    </row>
    <row r="563" spans="1:27" hidden="1" x14ac:dyDescent="0.25">
      <c r="A563">
        <v>173076</v>
      </c>
      <c r="B563" t="s">
        <v>904</v>
      </c>
      <c r="C563" t="s">
        <v>6958</v>
      </c>
      <c r="D563">
        <v>2</v>
      </c>
      <c r="E563" t="s">
        <v>904</v>
      </c>
      <c r="F563" t="s">
        <v>6958</v>
      </c>
      <c r="H563" s="21">
        <v>0</v>
      </c>
      <c r="I563" s="21">
        <v>0</v>
      </c>
      <c r="J563" s="21">
        <v>0</v>
      </c>
      <c r="K563" s="21">
        <v>0</v>
      </c>
      <c r="L563" s="3">
        <f t="shared" si="28"/>
        <v>0</v>
      </c>
      <c r="M563" s="3"/>
      <c r="N563" s="3">
        <f t="shared" si="29"/>
        <v>0</v>
      </c>
      <c r="O563" s="21"/>
      <c r="R563" s="89"/>
      <c r="S563" s="89">
        <f>100%-Table34[[#This Row],[PDF_initial fee]]</f>
        <v>1</v>
      </c>
      <c r="T563" s="89"/>
      <c r="U563" s="26"/>
    </row>
    <row r="564" spans="1:27" hidden="1" x14ac:dyDescent="0.25">
      <c r="A564">
        <v>173259</v>
      </c>
      <c r="B564" t="s">
        <v>905</v>
      </c>
      <c r="C564" t="s">
        <v>7035</v>
      </c>
      <c r="D564">
        <v>2</v>
      </c>
      <c r="E564" t="s">
        <v>905</v>
      </c>
      <c r="H564" s="21">
        <v>0</v>
      </c>
      <c r="I564" s="21">
        <v>0</v>
      </c>
      <c r="J564" s="21">
        <v>0</v>
      </c>
      <c r="K564" s="21">
        <v>0</v>
      </c>
      <c r="L564" s="3">
        <f t="shared" si="28"/>
        <v>0</v>
      </c>
      <c r="M564" s="3"/>
      <c r="N564" s="3">
        <f t="shared" si="29"/>
        <v>0</v>
      </c>
      <c r="R564" s="89"/>
      <c r="S564" s="89">
        <f>100%-Table34[[#This Row],[PDF_initial fee]]</f>
        <v>1</v>
      </c>
      <c r="T564" s="89"/>
      <c r="U564" s="26"/>
    </row>
    <row r="565" spans="1:27" hidden="1" x14ac:dyDescent="0.25">
      <c r="A565">
        <v>173304</v>
      </c>
      <c r="B565" t="s">
        <v>906</v>
      </c>
      <c r="C565" t="s">
        <v>6958</v>
      </c>
      <c r="D565">
        <v>4</v>
      </c>
      <c r="E565" t="s">
        <v>906</v>
      </c>
      <c r="F565" t="s">
        <v>6958</v>
      </c>
      <c r="H565" s="21">
        <v>0</v>
      </c>
      <c r="I565" s="21">
        <v>0</v>
      </c>
      <c r="J565" s="21">
        <v>0</v>
      </c>
      <c r="K565" s="21">
        <v>0</v>
      </c>
      <c r="L565" s="3">
        <f t="shared" si="28"/>
        <v>0</v>
      </c>
      <c r="M565" s="3"/>
      <c r="N565" s="3">
        <f t="shared" si="29"/>
        <v>0</v>
      </c>
      <c r="O565" s="21"/>
      <c r="R565" s="89"/>
      <c r="S565" s="89">
        <f>100%-Table34[[#This Row],[PDF_initial fee]]</f>
        <v>1</v>
      </c>
      <c r="T565" s="89"/>
      <c r="U565" s="26"/>
    </row>
    <row r="566" spans="1:27" hidden="1" x14ac:dyDescent="0.25">
      <c r="A566">
        <v>175451</v>
      </c>
      <c r="B566" t="s">
        <v>907</v>
      </c>
      <c r="C566" t="s">
        <v>29474</v>
      </c>
      <c r="D566">
        <v>3</v>
      </c>
      <c r="E566" t="s">
        <v>907</v>
      </c>
      <c r="F566" t="s">
        <v>29147</v>
      </c>
      <c r="H566" s="21">
        <v>0</v>
      </c>
      <c r="I566" s="21">
        <v>0</v>
      </c>
      <c r="J566" s="21">
        <v>0</v>
      </c>
      <c r="K566" s="21">
        <v>0</v>
      </c>
      <c r="L566" s="3">
        <f t="shared" si="28"/>
        <v>0</v>
      </c>
      <c r="M566" s="3"/>
      <c r="N566" s="3">
        <f t="shared" si="29"/>
        <v>0</v>
      </c>
      <c r="O566" s="21"/>
      <c r="R566" s="89"/>
      <c r="S566" s="89">
        <f>100%-Table34[[#This Row],[PDF_initial fee]]</f>
        <v>1</v>
      </c>
      <c r="T566" s="89"/>
      <c r="U566" s="26"/>
    </row>
    <row r="567" spans="1:27" hidden="1" x14ac:dyDescent="0.25">
      <c r="A567">
        <v>175853</v>
      </c>
      <c r="B567" t="s">
        <v>908</v>
      </c>
      <c r="C567" t="s">
        <v>29475</v>
      </c>
      <c r="D567">
        <v>0</v>
      </c>
      <c r="E567" t="s">
        <v>908</v>
      </c>
      <c r="F567" t="s">
        <v>29136</v>
      </c>
      <c r="H567" s="21">
        <v>0</v>
      </c>
      <c r="I567" s="21">
        <v>0</v>
      </c>
      <c r="J567" s="21">
        <v>0</v>
      </c>
      <c r="K567" s="21">
        <v>0</v>
      </c>
      <c r="L567" s="3">
        <f t="shared" si="28"/>
        <v>0</v>
      </c>
      <c r="M567" s="3"/>
      <c r="N567" s="3">
        <f t="shared" si="29"/>
        <v>0</v>
      </c>
      <c r="O567" s="21"/>
      <c r="R567" s="89"/>
      <c r="S567" s="89">
        <f>100%-Table34[[#This Row],[PDF_initial fee]]</f>
        <v>1</v>
      </c>
      <c r="T567" s="89"/>
      <c r="U567" s="26"/>
    </row>
    <row r="568" spans="1:27" hidden="1" x14ac:dyDescent="0.25">
      <c r="A568">
        <v>176016</v>
      </c>
      <c r="B568" t="s">
        <v>909</v>
      </c>
      <c r="C568" t="s">
        <v>6958</v>
      </c>
      <c r="D568">
        <v>1</v>
      </c>
      <c r="E568" t="s">
        <v>909</v>
      </c>
      <c r="F568" t="s">
        <v>6958</v>
      </c>
      <c r="H568" s="21">
        <v>0</v>
      </c>
      <c r="I568" s="21">
        <v>0</v>
      </c>
      <c r="J568" s="21">
        <v>0</v>
      </c>
      <c r="K568" s="21">
        <v>0</v>
      </c>
      <c r="L568" s="3">
        <f t="shared" si="28"/>
        <v>0</v>
      </c>
      <c r="M568" s="3"/>
      <c r="N568" s="3">
        <f t="shared" si="29"/>
        <v>0</v>
      </c>
      <c r="R568" s="89"/>
      <c r="S568" s="89">
        <f>100%-Table34[[#This Row],[PDF_initial fee]]</f>
        <v>1</v>
      </c>
      <c r="T568" s="89"/>
      <c r="U568" s="26"/>
    </row>
    <row r="569" spans="1:27" x14ac:dyDescent="0.25">
      <c r="A569">
        <v>928401</v>
      </c>
      <c r="B569" t="s">
        <v>331</v>
      </c>
      <c r="C569" t="s">
        <v>12383</v>
      </c>
      <c r="D569">
        <v>7</v>
      </c>
      <c r="E569" t="s">
        <v>331</v>
      </c>
      <c r="F569" t="s">
        <v>3</v>
      </c>
      <c r="G569" s="3">
        <v>1.4E-3</v>
      </c>
      <c r="H569" s="3">
        <f>1.5%+2%</f>
        <v>3.5000000000000003E-2</v>
      </c>
      <c r="I569" s="3">
        <v>6.0000000000000001E-3</v>
      </c>
      <c r="J569" s="6"/>
      <c r="K569" s="6"/>
      <c r="L569" s="3">
        <f t="shared" si="28"/>
        <v>4.1000000000000002E-2</v>
      </c>
      <c r="M569" s="3"/>
      <c r="N569" s="3">
        <f t="shared" si="29"/>
        <v>4.24E-2</v>
      </c>
      <c r="P569" s="31" t="s">
        <v>29476</v>
      </c>
      <c r="Q569" t="s">
        <v>31787</v>
      </c>
      <c r="R569" s="89">
        <v>0.33333333333333348</v>
      </c>
      <c r="S569" s="89">
        <f>100%-Table34[[#This Row],[InitialFee]]</f>
        <v>0.96499999999999997</v>
      </c>
      <c r="T569" s="89">
        <f>(1-Table34[[#This Row],[OngoingFee (plus Platform fee)]])^5</f>
        <v>0.97035784647222412</v>
      </c>
      <c r="U569" s="26">
        <f>(1+Table34[[#This Row],[Net 5yrs return (mostly up to 28th of Feb 2026)]])*Table34[[#This Row],[Investment after initial charge]]*Table34[[#This Row],[Cummulative 5yrs ongoing advice charge]]-1</f>
        <v>0.2485270957942618</v>
      </c>
      <c r="V569">
        <f>616481+325276</f>
        <v>941757</v>
      </c>
      <c r="W569" t="s">
        <v>29051</v>
      </c>
      <c r="X569" s="9">
        <v>616481</v>
      </c>
      <c r="Y569" s="30">
        <f>X569/V569</f>
        <v>0.65460729253937056</v>
      </c>
      <c r="AA569" s="1" t="s">
        <v>29477</v>
      </c>
    </row>
    <row r="570" spans="1:27" hidden="1" x14ac:dyDescent="0.25">
      <c r="A570">
        <v>176478</v>
      </c>
      <c r="B570" t="s">
        <v>910</v>
      </c>
      <c r="C570" t="s">
        <v>10350</v>
      </c>
      <c r="D570">
        <v>2</v>
      </c>
      <c r="E570" t="s">
        <v>910</v>
      </c>
      <c r="H570" s="21">
        <v>0</v>
      </c>
      <c r="I570" s="21">
        <v>0</v>
      </c>
      <c r="J570" s="21">
        <v>0</v>
      </c>
      <c r="K570" s="21">
        <v>0</v>
      </c>
      <c r="L570" s="3">
        <f t="shared" si="28"/>
        <v>0</v>
      </c>
      <c r="M570" s="3"/>
      <c r="N570" s="3">
        <f t="shared" si="29"/>
        <v>0</v>
      </c>
      <c r="R570" s="89"/>
      <c r="S570" s="89">
        <f>100%-Table34[[#This Row],[PDF_initial fee]]</f>
        <v>1</v>
      </c>
      <c r="T570" s="89"/>
      <c r="U570" s="26"/>
    </row>
    <row r="571" spans="1:27" hidden="1" x14ac:dyDescent="0.25">
      <c r="A571">
        <v>176487</v>
      </c>
      <c r="B571" t="s">
        <v>911</v>
      </c>
      <c r="C571" t="s">
        <v>9822</v>
      </c>
      <c r="D571">
        <v>2</v>
      </c>
      <c r="E571" t="s">
        <v>911</v>
      </c>
      <c r="H571" s="21">
        <v>0</v>
      </c>
      <c r="I571" s="21">
        <v>0</v>
      </c>
      <c r="J571" s="21">
        <v>0</v>
      </c>
      <c r="K571" s="21">
        <v>0</v>
      </c>
      <c r="L571" s="3">
        <f t="shared" si="28"/>
        <v>0</v>
      </c>
      <c r="M571" s="3"/>
      <c r="N571" s="3">
        <f t="shared" si="29"/>
        <v>0</v>
      </c>
      <c r="R571" s="89"/>
      <c r="S571" s="89">
        <f>100%-Table34[[#This Row],[PDF_initial fee]]</f>
        <v>1</v>
      </c>
      <c r="T571" s="89"/>
      <c r="U571" s="26"/>
    </row>
    <row r="572" spans="1:27" hidden="1" x14ac:dyDescent="0.25">
      <c r="A572">
        <v>176498</v>
      </c>
      <c r="B572" t="s">
        <v>912</v>
      </c>
      <c r="C572" t="s">
        <v>6958</v>
      </c>
      <c r="D572">
        <v>2</v>
      </c>
      <c r="E572" t="s">
        <v>912</v>
      </c>
      <c r="F572" t="s">
        <v>6958</v>
      </c>
      <c r="H572" s="21">
        <v>0</v>
      </c>
      <c r="I572" s="21">
        <v>0</v>
      </c>
      <c r="J572" s="21">
        <v>0</v>
      </c>
      <c r="K572" s="21">
        <v>0</v>
      </c>
      <c r="L572" s="3">
        <f t="shared" si="28"/>
        <v>0</v>
      </c>
      <c r="M572" s="3"/>
      <c r="N572" s="3">
        <f t="shared" si="29"/>
        <v>0</v>
      </c>
      <c r="R572" s="89"/>
      <c r="S572" s="89">
        <f>100%-Table34[[#This Row],[PDF_initial fee]]</f>
        <v>1</v>
      </c>
      <c r="T572" s="89"/>
      <c r="U572" s="26"/>
    </row>
    <row r="573" spans="1:27" hidden="1" x14ac:dyDescent="0.25">
      <c r="A573">
        <v>176508</v>
      </c>
      <c r="B573" t="s">
        <v>913</v>
      </c>
      <c r="C573" t="s">
        <v>29478</v>
      </c>
      <c r="D573">
        <v>0</v>
      </c>
      <c r="E573" t="s">
        <v>913</v>
      </c>
      <c r="F573" t="s">
        <v>29479</v>
      </c>
      <c r="H573" s="21">
        <v>0</v>
      </c>
      <c r="I573" s="21">
        <v>0</v>
      </c>
      <c r="J573" s="21">
        <v>0</v>
      </c>
      <c r="K573" s="21">
        <v>0</v>
      </c>
      <c r="L573" s="3">
        <f t="shared" si="28"/>
        <v>0</v>
      </c>
      <c r="M573" s="3"/>
      <c r="N573" s="3">
        <f t="shared" si="29"/>
        <v>0</v>
      </c>
      <c r="O573" s="21"/>
      <c r="R573" s="89"/>
      <c r="S573" s="89">
        <f>100%-Table34[[#This Row],[PDF_initial fee]]</f>
        <v>1</v>
      </c>
      <c r="T573" s="89"/>
      <c r="U573" s="26"/>
    </row>
    <row r="574" spans="1:27" hidden="1" x14ac:dyDescent="0.25">
      <c r="A574">
        <v>176527</v>
      </c>
      <c r="B574" t="s">
        <v>914</v>
      </c>
      <c r="C574" t="s">
        <v>6958</v>
      </c>
      <c r="D574">
        <v>3</v>
      </c>
      <c r="E574" t="s">
        <v>914</v>
      </c>
      <c r="F574" t="s">
        <v>6958</v>
      </c>
      <c r="H574" s="21">
        <v>0</v>
      </c>
      <c r="I574" s="21">
        <v>0</v>
      </c>
      <c r="J574" s="21">
        <v>0</v>
      </c>
      <c r="K574" s="21">
        <v>0</v>
      </c>
      <c r="L574" s="3">
        <f t="shared" si="28"/>
        <v>0</v>
      </c>
      <c r="M574" s="3"/>
      <c r="N574" s="3">
        <f t="shared" si="29"/>
        <v>0</v>
      </c>
      <c r="R574" s="89"/>
      <c r="S574" s="89">
        <f>100%-Table34[[#This Row],[PDF_initial fee]]</f>
        <v>1</v>
      </c>
      <c r="T574" s="89"/>
      <c r="U574" s="26"/>
    </row>
    <row r="575" spans="1:27" hidden="1" x14ac:dyDescent="0.25">
      <c r="A575">
        <v>176557</v>
      </c>
      <c r="B575" t="s">
        <v>915</v>
      </c>
      <c r="C575" t="s">
        <v>10778</v>
      </c>
      <c r="D575">
        <v>6</v>
      </c>
      <c r="E575" t="s">
        <v>915</v>
      </c>
      <c r="L575" s="3">
        <f t="shared" si="28"/>
        <v>0</v>
      </c>
      <c r="M575" s="3"/>
      <c r="N575" s="3">
        <f t="shared" si="29"/>
        <v>0</v>
      </c>
      <c r="R575" s="89"/>
      <c r="S575" s="89">
        <f>100%-Table34[[#This Row],[PDF_initial fee]]</f>
        <v>1</v>
      </c>
      <c r="T575" s="89"/>
      <c r="U575" s="26"/>
    </row>
    <row r="576" spans="1:27" x14ac:dyDescent="0.25">
      <c r="A576">
        <v>968529</v>
      </c>
      <c r="B576" t="s">
        <v>350</v>
      </c>
      <c r="C576" t="s">
        <v>29480</v>
      </c>
      <c r="D576">
        <v>2</v>
      </c>
      <c r="E576" t="s">
        <v>350</v>
      </c>
      <c r="F576" t="s">
        <v>3</v>
      </c>
      <c r="G576" s="3">
        <v>1.4E-3</v>
      </c>
      <c r="H576" s="3">
        <v>0.01</v>
      </c>
      <c r="I576" s="3">
        <v>1.8E-3</v>
      </c>
      <c r="J576" s="6"/>
      <c r="K576" s="6"/>
      <c r="L576" s="3">
        <f t="shared" si="28"/>
        <v>1.18E-2</v>
      </c>
      <c r="M576" s="3"/>
      <c r="N576" s="3">
        <f t="shared" si="29"/>
        <v>1.32E-2</v>
      </c>
      <c r="O576" t="s">
        <v>29481</v>
      </c>
      <c r="P576" s="31" t="s">
        <v>29482</v>
      </c>
      <c r="Q576" t="s">
        <v>31787</v>
      </c>
      <c r="R576" s="89">
        <v>0.33333333333333348</v>
      </c>
      <c r="S576" s="89">
        <f>100%-Table34[[#This Row],[InitialFee]]</f>
        <v>0.99</v>
      </c>
      <c r="T576" s="89">
        <f>(1-Table34[[#This Row],[OngoingFee (plus Platform fee)]])^5</f>
        <v>0.9910323417324689</v>
      </c>
      <c r="U576" s="26">
        <f>(1+Table34[[#This Row],[Net 5yrs return (mostly up to 28th of Feb 2026)]])*Table34[[#This Row],[Investment after initial charge]]*Table34[[#This Row],[Cummulative 5yrs ongoing advice charge]]-1</f>
        <v>0.30816269108685912</v>
      </c>
      <c r="V576">
        <f>73833+2445</f>
        <v>76278</v>
      </c>
      <c r="W576" t="s">
        <v>29051</v>
      </c>
      <c r="X576" s="9">
        <v>73833</v>
      </c>
      <c r="Y576" s="30">
        <f>X576/V576</f>
        <v>0.96794619680641858</v>
      </c>
      <c r="AA576" s="1" t="s">
        <v>29483</v>
      </c>
    </row>
    <row r="577" spans="1:27" hidden="1" x14ac:dyDescent="0.25">
      <c r="A577">
        <v>178499</v>
      </c>
      <c r="B577" t="s">
        <v>916</v>
      </c>
      <c r="C577" t="s">
        <v>6958</v>
      </c>
      <c r="D577">
        <v>1</v>
      </c>
      <c r="E577" t="s">
        <v>916</v>
      </c>
      <c r="F577" t="s">
        <v>6958</v>
      </c>
      <c r="H577" s="3">
        <v>0</v>
      </c>
      <c r="I577" s="3">
        <v>0</v>
      </c>
      <c r="J577" s="3">
        <v>0</v>
      </c>
      <c r="K577" s="3">
        <v>0</v>
      </c>
      <c r="L577" s="3">
        <f t="shared" si="28"/>
        <v>0</v>
      </c>
      <c r="M577" s="3"/>
      <c r="N577" s="3">
        <f t="shared" si="29"/>
        <v>0</v>
      </c>
      <c r="R577" s="89"/>
      <c r="S577" s="89">
        <f>100%-Table34[[#This Row],[PDF_initial fee]]</f>
        <v>1</v>
      </c>
      <c r="T577" s="89"/>
      <c r="U577" s="26"/>
    </row>
    <row r="578" spans="1:27" hidden="1" x14ac:dyDescent="0.25">
      <c r="A578">
        <v>178554</v>
      </c>
      <c r="B578" t="s">
        <v>917</v>
      </c>
      <c r="C578" s="1" t="s">
        <v>29484</v>
      </c>
      <c r="D578">
        <v>5</v>
      </c>
      <c r="E578" t="s">
        <v>917</v>
      </c>
      <c r="G578" s="1"/>
      <c r="H578" s="3">
        <v>0</v>
      </c>
      <c r="I578" s="3">
        <v>0</v>
      </c>
      <c r="J578" s="3">
        <v>0</v>
      </c>
      <c r="K578" s="3">
        <v>0</v>
      </c>
      <c r="L578" s="3">
        <f t="shared" si="28"/>
        <v>0</v>
      </c>
      <c r="M578" s="3"/>
      <c r="N578" s="3">
        <f t="shared" si="29"/>
        <v>0</v>
      </c>
      <c r="R578" s="89"/>
      <c r="S578" s="89">
        <f>100%-Table34[[#This Row],[PDF_initial fee]]</f>
        <v>1</v>
      </c>
      <c r="T578" s="89"/>
      <c r="U578" s="26"/>
    </row>
    <row r="579" spans="1:27" hidden="1" x14ac:dyDescent="0.25">
      <c r="A579">
        <v>178690</v>
      </c>
      <c r="B579" t="s">
        <v>918</v>
      </c>
      <c r="C579" t="s">
        <v>29485</v>
      </c>
      <c r="D579">
        <v>40</v>
      </c>
      <c r="E579" t="s">
        <v>918</v>
      </c>
      <c r="H579" s="3">
        <v>0</v>
      </c>
      <c r="I579" s="3">
        <v>0</v>
      </c>
      <c r="J579" s="3">
        <v>0</v>
      </c>
      <c r="K579" s="3">
        <v>0</v>
      </c>
      <c r="L579" s="3">
        <f t="shared" si="28"/>
        <v>0</v>
      </c>
      <c r="M579" s="3"/>
      <c r="N579" s="3">
        <f t="shared" si="29"/>
        <v>0</v>
      </c>
      <c r="O579" t="s">
        <v>29486</v>
      </c>
      <c r="R579" s="89"/>
      <c r="S579" s="89">
        <f>100%-Table34[[#This Row],[PDF_initial fee]]</f>
        <v>1</v>
      </c>
      <c r="T579" s="89"/>
      <c r="U579" s="26"/>
    </row>
    <row r="580" spans="1:27" hidden="1" x14ac:dyDescent="0.25">
      <c r="A580">
        <v>178759</v>
      </c>
      <c r="B580" t="s">
        <v>919</v>
      </c>
      <c r="C580" t="s">
        <v>6958</v>
      </c>
      <c r="D580">
        <v>1</v>
      </c>
      <c r="E580" t="s">
        <v>919</v>
      </c>
      <c r="F580" t="s">
        <v>6958</v>
      </c>
      <c r="H580" s="21">
        <v>0</v>
      </c>
      <c r="I580" s="21">
        <v>0</v>
      </c>
      <c r="J580" s="21">
        <v>0</v>
      </c>
      <c r="K580" s="21">
        <v>0</v>
      </c>
      <c r="L580" s="3">
        <f t="shared" si="28"/>
        <v>0</v>
      </c>
      <c r="M580" s="3"/>
      <c r="N580" s="3">
        <f t="shared" si="29"/>
        <v>0</v>
      </c>
      <c r="R580" s="89"/>
      <c r="S580" s="89">
        <f>100%-Table34[[#This Row],[PDF_initial fee]]</f>
        <v>1</v>
      </c>
      <c r="T580" s="89"/>
      <c r="U580" s="26"/>
    </row>
    <row r="581" spans="1:27" hidden="1" x14ac:dyDescent="0.25">
      <c r="A581">
        <v>178798</v>
      </c>
      <c r="B581" t="s">
        <v>920</v>
      </c>
      <c r="C581" t="s">
        <v>6958</v>
      </c>
      <c r="D581">
        <v>1</v>
      </c>
      <c r="E581" t="s">
        <v>920</v>
      </c>
      <c r="F581" t="s">
        <v>6958</v>
      </c>
      <c r="H581" s="21">
        <v>0</v>
      </c>
      <c r="I581" s="21">
        <v>0</v>
      </c>
      <c r="J581" s="21">
        <v>0</v>
      </c>
      <c r="K581" s="21">
        <v>0</v>
      </c>
      <c r="L581" s="3">
        <f t="shared" si="28"/>
        <v>0</v>
      </c>
      <c r="M581" s="3"/>
      <c r="N581" s="3">
        <f t="shared" si="29"/>
        <v>0</v>
      </c>
      <c r="R581" s="89"/>
      <c r="S581" s="89">
        <f>100%-Table34[[#This Row],[PDF_initial fee]]</f>
        <v>1</v>
      </c>
      <c r="T581" s="89"/>
      <c r="U581" s="26"/>
    </row>
    <row r="582" spans="1:27" hidden="1" x14ac:dyDescent="0.25">
      <c r="A582">
        <v>179077</v>
      </c>
      <c r="B582" t="s">
        <v>921</v>
      </c>
      <c r="C582" t="s">
        <v>6958</v>
      </c>
      <c r="D582">
        <v>1</v>
      </c>
      <c r="E582" t="s">
        <v>921</v>
      </c>
      <c r="F582" t="s">
        <v>6958</v>
      </c>
      <c r="H582" s="21">
        <v>0</v>
      </c>
      <c r="I582" s="21">
        <v>0</v>
      </c>
      <c r="J582" s="21">
        <v>0</v>
      </c>
      <c r="K582" s="21">
        <v>0</v>
      </c>
      <c r="L582" s="3">
        <f t="shared" si="28"/>
        <v>0</v>
      </c>
      <c r="M582" s="3"/>
      <c r="N582" s="3">
        <f t="shared" ref="N582:N613" si="30">L582+G582</f>
        <v>0</v>
      </c>
      <c r="R582" s="89"/>
      <c r="S582" s="89">
        <f>100%-Table34[[#This Row],[PDF_initial fee]]</f>
        <v>1</v>
      </c>
      <c r="T582" s="89"/>
      <c r="U582" s="26"/>
    </row>
    <row r="583" spans="1:27" hidden="1" x14ac:dyDescent="0.25">
      <c r="A583">
        <v>179387</v>
      </c>
      <c r="B583" t="s">
        <v>922</v>
      </c>
      <c r="C583" s="57" t="s">
        <v>12583</v>
      </c>
      <c r="D583">
        <v>1</v>
      </c>
      <c r="E583" t="s">
        <v>922</v>
      </c>
      <c r="F583" t="s">
        <v>29487</v>
      </c>
      <c r="L583" s="3">
        <f t="shared" si="28"/>
        <v>0</v>
      </c>
      <c r="M583" s="3"/>
      <c r="N583" s="3">
        <f t="shared" si="30"/>
        <v>0</v>
      </c>
      <c r="R583" s="89"/>
      <c r="S583" s="89">
        <f>100%-Table34[[#This Row],[PDF_initial fee]]</f>
        <v>1</v>
      </c>
      <c r="T583" s="89"/>
      <c r="U583" s="26"/>
    </row>
    <row r="584" spans="1:27" hidden="1" x14ac:dyDescent="0.25">
      <c r="A584">
        <v>179391</v>
      </c>
      <c r="B584" t="s">
        <v>923</v>
      </c>
      <c r="C584" t="s">
        <v>29488</v>
      </c>
      <c r="D584">
        <v>0</v>
      </c>
      <c r="E584" t="s">
        <v>923</v>
      </c>
      <c r="F584" t="s">
        <v>29147</v>
      </c>
      <c r="H584" s="21">
        <v>0</v>
      </c>
      <c r="I584" s="21">
        <v>0</v>
      </c>
      <c r="J584" s="21">
        <v>0</v>
      </c>
      <c r="K584" s="21">
        <v>0</v>
      </c>
      <c r="L584" s="3">
        <f t="shared" si="28"/>
        <v>0</v>
      </c>
      <c r="M584" s="3"/>
      <c r="N584" s="3">
        <f t="shared" si="30"/>
        <v>0</v>
      </c>
      <c r="O584" s="21"/>
      <c r="R584" s="89"/>
      <c r="S584" s="89">
        <f>100%-Table34[[#This Row],[PDF_initial fee]]</f>
        <v>1</v>
      </c>
      <c r="T584" s="89"/>
      <c r="U584" s="26"/>
    </row>
    <row r="585" spans="1:27" hidden="1" x14ac:dyDescent="0.25">
      <c r="A585">
        <v>179731</v>
      </c>
      <c r="B585" t="s">
        <v>924</v>
      </c>
      <c r="C585" t="s">
        <v>29489</v>
      </c>
      <c r="D585">
        <v>13</v>
      </c>
      <c r="E585" t="s">
        <v>924</v>
      </c>
      <c r="H585" s="21">
        <v>0</v>
      </c>
      <c r="I585" s="21">
        <v>0</v>
      </c>
      <c r="J585" s="21">
        <v>0</v>
      </c>
      <c r="K585" s="21">
        <v>0</v>
      </c>
      <c r="L585" s="3">
        <f t="shared" si="28"/>
        <v>0</v>
      </c>
      <c r="M585" s="3"/>
      <c r="N585" s="3">
        <f t="shared" si="30"/>
        <v>0</v>
      </c>
      <c r="O585" s="21"/>
      <c r="R585" s="89"/>
      <c r="S585" s="89">
        <f>100%-Table34[[#This Row],[PDF_initial fee]]</f>
        <v>1</v>
      </c>
      <c r="T585" s="89"/>
      <c r="U585" s="26"/>
    </row>
    <row r="586" spans="1:27" hidden="1" x14ac:dyDescent="0.25">
      <c r="A586">
        <v>179752</v>
      </c>
      <c r="B586" t="s">
        <v>925</v>
      </c>
      <c r="C586" t="s">
        <v>7702</v>
      </c>
      <c r="D586">
        <v>5</v>
      </c>
      <c r="E586" t="s">
        <v>925</v>
      </c>
      <c r="H586" s="21"/>
      <c r="I586" s="21"/>
      <c r="J586" s="21"/>
      <c r="K586" s="21"/>
      <c r="L586" s="3">
        <f t="shared" si="28"/>
        <v>0</v>
      </c>
      <c r="M586" s="3"/>
      <c r="N586" s="3">
        <f t="shared" si="30"/>
        <v>0</v>
      </c>
      <c r="R586" s="89"/>
      <c r="S586" s="89">
        <f>100%-Table34[[#This Row],[PDF_initial fee]]</f>
        <v>1</v>
      </c>
      <c r="T586" s="89"/>
      <c r="U586" s="26"/>
    </row>
    <row r="587" spans="1:27" hidden="1" x14ac:dyDescent="0.25">
      <c r="A587">
        <v>179810</v>
      </c>
      <c r="B587" t="s">
        <v>926</v>
      </c>
      <c r="C587" s="1" t="s">
        <v>9354</v>
      </c>
      <c r="D587">
        <v>6</v>
      </c>
      <c r="E587" t="s">
        <v>926</v>
      </c>
      <c r="H587" s="21">
        <v>0</v>
      </c>
      <c r="I587" s="21">
        <v>0</v>
      </c>
      <c r="J587" s="21">
        <v>0</v>
      </c>
      <c r="K587" s="21">
        <v>0</v>
      </c>
      <c r="L587" s="3">
        <f t="shared" si="28"/>
        <v>0</v>
      </c>
      <c r="M587" s="3"/>
      <c r="N587" s="3">
        <f t="shared" si="30"/>
        <v>0</v>
      </c>
      <c r="R587" s="89"/>
      <c r="S587" s="89">
        <f>100%-Table34[[#This Row],[PDF_initial fee]]</f>
        <v>1</v>
      </c>
      <c r="T587" s="89"/>
      <c r="U587" s="26"/>
    </row>
    <row r="588" spans="1:27" hidden="1" x14ac:dyDescent="0.25">
      <c r="A588">
        <v>179854</v>
      </c>
      <c r="B588" t="s">
        <v>927</v>
      </c>
      <c r="C588" t="s">
        <v>29490</v>
      </c>
      <c r="D588">
        <v>20</v>
      </c>
      <c r="E588" t="s">
        <v>927</v>
      </c>
      <c r="F588" t="s">
        <v>3</v>
      </c>
      <c r="H588" s="21">
        <v>0</v>
      </c>
      <c r="I588" s="21">
        <v>0</v>
      </c>
      <c r="J588" s="21">
        <v>0</v>
      </c>
      <c r="K588" s="21">
        <v>0</v>
      </c>
      <c r="L588" s="3">
        <f t="shared" si="28"/>
        <v>0</v>
      </c>
      <c r="M588" s="3"/>
      <c r="N588" s="3">
        <f t="shared" si="30"/>
        <v>0</v>
      </c>
      <c r="O588" s="21"/>
      <c r="R588" s="89"/>
      <c r="S588" s="89">
        <f>100%-Table34[[#This Row],[PDF_initial fee]]</f>
        <v>1</v>
      </c>
      <c r="T588" s="89"/>
      <c r="U588" s="26"/>
    </row>
    <row r="589" spans="1:27" hidden="1" x14ac:dyDescent="0.25">
      <c r="A589">
        <v>180309</v>
      </c>
      <c r="B589" t="s">
        <v>928</v>
      </c>
      <c r="C589" t="s">
        <v>29491</v>
      </c>
      <c r="D589">
        <v>6</v>
      </c>
      <c r="E589" t="s">
        <v>928</v>
      </c>
      <c r="H589" s="21">
        <v>0</v>
      </c>
      <c r="I589" s="21">
        <v>0</v>
      </c>
      <c r="J589" s="21">
        <v>0</v>
      </c>
      <c r="K589" s="21">
        <v>0</v>
      </c>
      <c r="L589" s="3">
        <f t="shared" si="28"/>
        <v>0</v>
      </c>
      <c r="M589" s="3"/>
      <c r="N589" s="3">
        <f t="shared" si="30"/>
        <v>0</v>
      </c>
      <c r="O589" s="21"/>
      <c r="R589" s="89"/>
      <c r="S589" s="89">
        <f>100%-Table34[[#This Row],[PDF_initial fee]]</f>
        <v>1</v>
      </c>
      <c r="T589" s="89"/>
      <c r="U589" s="26"/>
    </row>
    <row r="590" spans="1:27" hidden="1" x14ac:dyDescent="0.25">
      <c r="A590">
        <v>180344</v>
      </c>
      <c r="B590" t="s">
        <v>929</v>
      </c>
      <c r="C590" t="s">
        <v>6958</v>
      </c>
      <c r="D590">
        <v>1</v>
      </c>
      <c r="E590" t="s">
        <v>929</v>
      </c>
      <c r="F590" t="s">
        <v>6958</v>
      </c>
      <c r="H590" s="21">
        <v>0</v>
      </c>
      <c r="I590" s="21">
        <v>0</v>
      </c>
      <c r="J590" s="21">
        <v>0</v>
      </c>
      <c r="K590" s="21">
        <v>0</v>
      </c>
      <c r="L590" s="3">
        <f t="shared" si="28"/>
        <v>0</v>
      </c>
      <c r="M590" s="3"/>
      <c r="N590" s="3">
        <f t="shared" si="30"/>
        <v>0</v>
      </c>
      <c r="R590" s="89"/>
      <c r="S590" s="89">
        <f>100%-Table34[[#This Row],[PDF_initial fee]]</f>
        <v>1</v>
      </c>
      <c r="T590" s="89"/>
      <c r="U590" s="26"/>
    </row>
    <row r="591" spans="1:27" x14ac:dyDescent="0.25">
      <c r="A591">
        <v>678847</v>
      </c>
      <c r="B591" t="s">
        <v>268</v>
      </c>
      <c r="C591" t="s">
        <v>9363</v>
      </c>
      <c r="D591">
        <v>2</v>
      </c>
      <c r="E591" t="s">
        <v>268</v>
      </c>
      <c r="F591" t="s">
        <v>3</v>
      </c>
      <c r="G591" s="3">
        <v>1.4E-3</v>
      </c>
      <c r="H591" s="3">
        <v>1.4999999999999999E-2</v>
      </c>
      <c r="I591" s="3">
        <v>0.01</v>
      </c>
      <c r="J591" s="6"/>
      <c r="K591" s="6"/>
      <c r="L591" s="3">
        <f t="shared" si="28"/>
        <v>2.5000000000000001E-2</v>
      </c>
      <c r="M591" s="3"/>
      <c r="N591" s="3">
        <f t="shared" si="30"/>
        <v>2.64E-2</v>
      </c>
      <c r="P591" s="31" t="s">
        <v>29492</v>
      </c>
      <c r="Q591" t="s">
        <v>31787</v>
      </c>
      <c r="R591" s="89">
        <v>0.33333333333333348</v>
      </c>
      <c r="S591" s="89">
        <f>100%-Table34[[#This Row],[InitialFee]]</f>
        <v>0.98499999999999999</v>
      </c>
      <c r="T591" s="89">
        <f>(1-Table34[[#This Row],[OngoingFee (plus Platform fee)]])^5</f>
        <v>0.95099004989999991</v>
      </c>
      <c r="U591" s="26">
        <f>(1+Table34[[#This Row],[Net 5yrs return (mostly up to 28th of Feb 2026)]])*Table34[[#This Row],[Investment after initial charge]]*Table34[[#This Row],[Cummulative 5yrs ongoing advice charge]]-1</f>
        <v>0.24896693220200006</v>
      </c>
      <c r="V591">
        <f>828233+210503</f>
        <v>1038736</v>
      </c>
      <c r="W591" t="s">
        <v>29051</v>
      </c>
      <c r="X591" s="9">
        <v>827585</v>
      </c>
      <c r="Y591" s="30">
        <f>X591/V591</f>
        <v>0.7967231327305494</v>
      </c>
      <c r="AA591" s="1" t="s">
        <v>29493</v>
      </c>
    </row>
    <row r="592" spans="1:27" hidden="1" x14ac:dyDescent="0.25">
      <c r="A592">
        <v>180892</v>
      </c>
      <c r="B592" t="s">
        <v>930</v>
      </c>
      <c r="C592" t="s">
        <v>29494</v>
      </c>
      <c r="D592">
        <v>0</v>
      </c>
      <c r="E592" t="s">
        <v>930</v>
      </c>
      <c r="F592" t="s">
        <v>29147</v>
      </c>
      <c r="H592" s="3">
        <v>0</v>
      </c>
      <c r="I592" s="3">
        <v>0</v>
      </c>
      <c r="J592" s="3">
        <v>0</v>
      </c>
      <c r="K592" s="3">
        <v>0</v>
      </c>
      <c r="L592" s="3">
        <f t="shared" si="28"/>
        <v>0</v>
      </c>
      <c r="M592" s="3"/>
      <c r="N592" s="3">
        <f t="shared" si="30"/>
        <v>0</v>
      </c>
      <c r="R592" s="89"/>
      <c r="S592" s="89">
        <f>100%-Table34[[#This Row],[PDF_initial fee]]</f>
        <v>1</v>
      </c>
      <c r="T592" s="89"/>
      <c r="U592" s="26"/>
    </row>
    <row r="593" spans="1:27" hidden="1" x14ac:dyDescent="0.25">
      <c r="A593">
        <v>181055</v>
      </c>
      <c r="B593" t="s">
        <v>931</v>
      </c>
      <c r="C593" t="s">
        <v>9424</v>
      </c>
      <c r="D593">
        <v>0</v>
      </c>
      <c r="E593" t="s">
        <v>931</v>
      </c>
      <c r="F593" t="s">
        <v>29136</v>
      </c>
      <c r="H593" s="21">
        <v>0</v>
      </c>
      <c r="I593" s="21">
        <v>0</v>
      </c>
      <c r="J593" s="21">
        <v>0</v>
      </c>
      <c r="K593" s="21">
        <v>0</v>
      </c>
      <c r="L593" s="3">
        <f t="shared" si="28"/>
        <v>0</v>
      </c>
      <c r="M593" s="3"/>
      <c r="N593" s="3">
        <f t="shared" si="30"/>
        <v>0</v>
      </c>
      <c r="R593" s="89"/>
      <c r="S593" s="89">
        <f>100%-Table34[[#This Row],[PDF_initial fee]]</f>
        <v>1</v>
      </c>
      <c r="T593" s="89"/>
      <c r="U593" s="26"/>
    </row>
    <row r="594" spans="1:27" hidden="1" x14ac:dyDescent="0.25">
      <c r="A594">
        <v>181142</v>
      </c>
      <c r="B594" t="s">
        <v>932</v>
      </c>
      <c r="C594" t="s">
        <v>6958</v>
      </c>
      <c r="D594">
        <v>1</v>
      </c>
      <c r="E594" t="s">
        <v>932</v>
      </c>
      <c r="F594" t="s">
        <v>6958</v>
      </c>
      <c r="H594" s="21">
        <v>0</v>
      </c>
      <c r="I594" s="21">
        <v>0</v>
      </c>
      <c r="J594" s="21">
        <v>0</v>
      </c>
      <c r="K594" s="21">
        <v>0</v>
      </c>
      <c r="L594" s="3">
        <f t="shared" si="28"/>
        <v>0</v>
      </c>
      <c r="M594" s="3"/>
      <c r="N594" s="3">
        <f t="shared" si="30"/>
        <v>0</v>
      </c>
      <c r="R594" s="89"/>
      <c r="S594" s="89">
        <f>100%-Table34[[#This Row],[PDF_initial fee]]</f>
        <v>1</v>
      </c>
      <c r="T594" s="89"/>
      <c r="U594" s="26"/>
    </row>
    <row r="595" spans="1:27" hidden="1" x14ac:dyDescent="0.25">
      <c r="A595">
        <v>181163</v>
      </c>
      <c r="B595" t="s">
        <v>933</v>
      </c>
      <c r="C595" t="s">
        <v>6958</v>
      </c>
      <c r="D595">
        <v>0</v>
      </c>
      <c r="E595" t="s">
        <v>933</v>
      </c>
      <c r="F595" t="s">
        <v>6958</v>
      </c>
      <c r="H595" s="21">
        <v>0</v>
      </c>
      <c r="I595" s="21">
        <v>0</v>
      </c>
      <c r="J595" s="21">
        <v>0</v>
      </c>
      <c r="K595" s="21">
        <v>0</v>
      </c>
      <c r="L595" s="3">
        <f t="shared" si="28"/>
        <v>0</v>
      </c>
      <c r="M595" s="3"/>
      <c r="N595" s="3">
        <f t="shared" si="30"/>
        <v>0</v>
      </c>
      <c r="O595" s="21"/>
      <c r="R595" s="89"/>
      <c r="S595" s="89">
        <f>100%-Table34[[#This Row],[PDF_initial fee]]</f>
        <v>1</v>
      </c>
      <c r="T595" s="89"/>
      <c r="U595" s="26"/>
    </row>
    <row r="596" spans="1:27" hidden="1" x14ac:dyDescent="0.25">
      <c r="A596">
        <v>181192</v>
      </c>
      <c r="B596" t="s">
        <v>934</v>
      </c>
      <c r="C596" t="s">
        <v>29495</v>
      </c>
      <c r="D596">
        <v>5</v>
      </c>
      <c r="E596" t="s">
        <v>934</v>
      </c>
      <c r="H596" s="21">
        <v>0</v>
      </c>
      <c r="I596" s="21">
        <v>0</v>
      </c>
      <c r="J596" s="21">
        <v>0</v>
      </c>
      <c r="K596" s="21">
        <v>0</v>
      </c>
      <c r="L596" s="3">
        <f t="shared" si="28"/>
        <v>0</v>
      </c>
      <c r="M596" s="3"/>
      <c r="N596" s="3">
        <f t="shared" si="30"/>
        <v>0</v>
      </c>
      <c r="O596" s="21"/>
      <c r="R596" s="89"/>
      <c r="S596" s="89">
        <f>100%-Table34[[#This Row],[PDF_initial fee]]</f>
        <v>1</v>
      </c>
      <c r="T596" s="89"/>
      <c r="U596" s="26"/>
    </row>
    <row r="597" spans="1:27" hidden="1" x14ac:dyDescent="0.25">
      <c r="A597">
        <v>181199</v>
      </c>
      <c r="B597" t="s">
        <v>935</v>
      </c>
      <c r="C597" t="s">
        <v>10593</v>
      </c>
      <c r="D597">
        <v>2</v>
      </c>
      <c r="E597" t="s">
        <v>935</v>
      </c>
      <c r="H597" s="21">
        <v>0</v>
      </c>
      <c r="I597" s="21">
        <v>0</v>
      </c>
      <c r="J597" s="21">
        <v>0</v>
      </c>
      <c r="K597" s="21">
        <v>0</v>
      </c>
      <c r="L597" s="3">
        <f t="shared" si="28"/>
        <v>0</v>
      </c>
      <c r="M597" s="3"/>
      <c r="N597" s="3">
        <f t="shared" si="30"/>
        <v>0</v>
      </c>
      <c r="R597" s="89"/>
      <c r="S597" s="89">
        <f>100%-Table34[[#This Row],[PDF_initial fee]]</f>
        <v>1</v>
      </c>
      <c r="T597" s="89"/>
      <c r="U597" s="26"/>
    </row>
    <row r="598" spans="1:27" hidden="1" x14ac:dyDescent="0.25">
      <c r="A598">
        <v>181210</v>
      </c>
      <c r="B598" t="s">
        <v>936</v>
      </c>
      <c r="C598" t="s">
        <v>9338</v>
      </c>
      <c r="D598">
        <v>3</v>
      </c>
      <c r="E598" t="s">
        <v>936</v>
      </c>
      <c r="H598" s="21">
        <v>0</v>
      </c>
      <c r="I598" s="21">
        <v>0</v>
      </c>
      <c r="J598" s="21">
        <v>0</v>
      </c>
      <c r="K598" s="21">
        <v>0</v>
      </c>
      <c r="L598" s="3">
        <f t="shared" si="28"/>
        <v>0</v>
      </c>
      <c r="M598" s="3"/>
      <c r="N598" s="3">
        <f t="shared" si="30"/>
        <v>0</v>
      </c>
      <c r="R598" s="89"/>
      <c r="S598" s="89">
        <f>100%-Table34[[#This Row],[PDF_initial fee]]</f>
        <v>1</v>
      </c>
      <c r="T598" s="89"/>
      <c r="U598" s="26"/>
    </row>
    <row r="599" spans="1:27" hidden="1" x14ac:dyDescent="0.25">
      <c r="A599">
        <v>181655</v>
      </c>
      <c r="B599" t="s">
        <v>937</v>
      </c>
      <c r="C599" t="s">
        <v>11675</v>
      </c>
      <c r="D599">
        <v>0</v>
      </c>
      <c r="E599" t="s">
        <v>937</v>
      </c>
      <c r="F599" t="s">
        <v>29136</v>
      </c>
      <c r="L599" s="3">
        <f t="shared" si="28"/>
        <v>0</v>
      </c>
      <c r="M599" s="3"/>
      <c r="N599" s="3">
        <f t="shared" si="30"/>
        <v>0</v>
      </c>
      <c r="R599" s="89"/>
      <c r="S599" s="89">
        <f>100%-Table34[[#This Row],[PDF_initial fee]]</f>
        <v>1</v>
      </c>
      <c r="T599" s="89"/>
      <c r="U599" s="26"/>
    </row>
    <row r="600" spans="1:27" hidden="1" x14ac:dyDescent="0.25">
      <c r="A600">
        <v>181703</v>
      </c>
      <c r="B600" t="s">
        <v>938</v>
      </c>
      <c r="C600" t="s">
        <v>6958</v>
      </c>
      <c r="D600">
        <v>1</v>
      </c>
      <c r="E600" t="s">
        <v>938</v>
      </c>
      <c r="F600" t="s">
        <v>6958</v>
      </c>
      <c r="H600" s="21">
        <v>0</v>
      </c>
      <c r="I600" s="21">
        <v>0</v>
      </c>
      <c r="J600" s="21">
        <v>0</v>
      </c>
      <c r="K600" s="21">
        <v>0</v>
      </c>
      <c r="L600" s="3">
        <f t="shared" ref="L600:L621" si="31">SUM(H600:K600)</f>
        <v>0</v>
      </c>
      <c r="M600" s="3"/>
      <c r="N600" s="3">
        <f t="shared" si="30"/>
        <v>0</v>
      </c>
      <c r="R600" s="89"/>
      <c r="S600" s="89">
        <f>100%-Table34[[#This Row],[PDF_initial fee]]</f>
        <v>1</v>
      </c>
      <c r="T600" s="89"/>
      <c r="U600" s="26"/>
    </row>
    <row r="601" spans="1:27" x14ac:dyDescent="0.25">
      <c r="A601">
        <v>169628</v>
      </c>
      <c r="B601" t="s">
        <v>77</v>
      </c>
      <c r="C601" t="s">
        <v>7388</v>
      </c>
      <c r="D601">
        <v>328</v>
      </c>
      <c r="E601" t="s">
        <v>77</v>
      </c>
      <c r="F601" t="s">
        <v>6</v>
      </c>
      <c r="G601" s="3">
        <v>0.01</v>
      </c>
      <c r="H601" s="3">
        <v>1.7500000000000002E-2</v>
      </c>
      <c r="I601" s="3">
        <v>6.4999999999999997E-3</v>
      </c>
      <c r="J601" s="6">
        <v>0</v>
      </c>
      <c r="K601" s="6">
        <v>0</v>
      </c>
      <c r="L601" s="3">
        <f t="shared" si="31"/>
        <v>2.4E-2</v>
      </c>
      <c r="M601" s="3"/>
      <c r="N601" s="3">
        <f t="shared" si="30"/>
        <v>3.4000000000000002E-2</v>
      </c>
      <c r="O601" t="s">
        <v>29496</v>
      </c>
      <c r="P601" s="1" t="s">
        <v>29497</v>
      </c>
      <c r="Q601" s="1" t="s">
        <v>30546</v>
      </c>
      <c r="R601" s="89">
        <v>0.30599999999999999</v>
      </c>
      <c r="S601" s="89">
        <f>100%-Table34[[#This Row],[InitialFee]]</f>
        <v>0.98250000000000004</v>
      </c>
      <c r="T601" s="89">
        <f>(1-Table34[[#This Row],[OngoingFee (plus Platform fee)]])^5</f>
        <v>0.96791976266370983</v>
      </c>
      <c r="U601" s="26">
        <f>(1+Table34[[#This Row],[Net 5yrs return (mostly up to 28th of Feb 2026)]])*Table34[[#This Row],[Investment after initial charge]]*Table34[[#This Row],[Cummulative 5yrs ongoing advice charge]]-1</f>
        <v>0.24198140386312605</v>
      </c>
      <c r="V601" s="10">
        <v>331084000000</v>
      </c>
      <c r="W601" s="10" t="s">
        <v>29081</v>
      </c>
      <c r="X601" s="10">
        <v>16230000000</v>
      </c>
      <c r="Y601" s="30">
        <f>X601/V601</f>
        <v>4.9020792306484158E-2</v>
      </c>
      <c r="Z601" s="10"/>
      <c r="AA601" s="1" t="s">
        <v>29498</v>
      </c>
    </row>
    <row r="602" spans="1:27" hidden="1" x14ac:dyDescent="0.25">
      <c r="A602">
        <v>181769</v>
      </c>
      <c r="B602" t="s">
        <v>939</v>
      </c>
      <c r="C602" t="s">
        <v>6958</v>
      </c>
      <c r="D602">
        <v>1</v>
      </c>
      <c r="E602" t="s">
        <v>939</v>
      </c>
      <c r="F602" t="s">
        <v>6958</v>
      </c>
      <c r="H602" s="21">
        <v>0</v>
      </c>
      <c r="I602" s="21">
        <v>0</v>
      </c>
      <c r="J602" s="21">
        <v>0</v>
      </c>
      <c r="K602" s="21">
        <v>0</v>
      </c>
      <c r="L602" s="3">
        <f t="shared" si="31"/>
        <v>0</v>
      </c>
      <c r="M602" s="3"/>
      <c r="N602" s="3">
        <f t="shared" si="30"/>
        <v>0</v>
      </c>
      <c r="R602" s="89"/>
      <c r="S602" s="89">
        <f>100%-Table34[[#This Row],[PDF_initial fee]]</f>
        <v>1</v>
      </c>
      <c r="T602" s="89"/>
      <c r="U602" s="26"/>
    </row>
    <row r="603" spans="1:27" hidden="1" x14ac:dyDescent="0.25">
      <c r="A603">
        <v>181905</v>
      </c>
      <c r="B603" t="s">
        <v>940</v>
      </c>
      <c r="C603" t="s">
        <v>6958</v>
      </c>
      <c r="D603">
        <v>1</v>
      </c>
      <c r="E603" t="s">
        <v>940</v>
      </c>
      <c r="F603" t="s">
        <v>6958</v>
      </c>
      <c r="H603" s="21">
        <v>0</v>
      </c>
      <c r="I603" s="21">
        <v>0</v>
      </c>
      <c r="J603" s="21">
        <v>0</v>
      </c>
      <c r="K603" s="21">
        <v>0</v>
      </c>
      <c r="L603" s="3">
        <f t="shared" si="31"/>
        <v>0</v>
      </c>
      <c r="M603" s="3"/>
      <c r="N603" s="3">
        <f t="shared" si="30"/>
        <v>0</v>
      </c>
      <c r="O603" s="21"/>
      <c r="R603" s="89"/>
      <c r="S603" s="89">
        <f>100%-Table34[[#This Row],[PDF_initial fee]]</f>
        <v>1</v>
      </c>
      <c r="T603" s="89"/>
      <c r="U603" s="26"/>
    </row>
    <row r="604" spans="1:27" hidden="1" x14ac:dyDescent="0.25">
      <c r="A604">
        <v>182023</v>
      </c>
      <c r="B604" t="s">
        <v>941</v>
      </c>
      <c r="C604" t="s">
        <v>6958</v>
      </c>
      <c r="D604">
        <v>9</v>
      </c>
      <c r="E604" t="s">
        <v>941</v>
      </c>
      <c r="F604" t="s">
        <v>6958</v>
      </c>
      <c r="L604" s="3">
        <f t="shared" si="31"/>
        <v>0</v>
      </c>
      <c r="M604" s="3"/>
      <c r="N604" s="3">
        <f t="shared" si="30"/>
        <v>0</v>
      </c>
      <c r="R604" s="89"/>
      <c r="S604" s="89">
        <f>100%-Table34[[#This Row],[PDF_initial fee]]</f>
        <v>1</v>
      </c>
      <c r="T604" s="89"/>
      <c r="U604" s="26"/>
    </row>
    <row r="605" spans="1:27" hidden="1" x14ac:dyDescent="0.25">
      <c r="A605">
        <v>182032</v>
      </c>
      <c r="B605" t="s">
        <v>942</v>
      </c>
      <c r="C605" t="s">
        <v>7336</v>
      </c>
      <c r="D605">
        <v>7</v>
      </c>
      <c r="E605" t="s">
        <v>942</v>
      </c>
      <c r="F605" t="s">
        <v>3</v>
      </c>
      <c r="H605" s="21">
        <v>0</v>
      </c>
      <c r="I605" s="21">
        <v>0</v>
      </c>
      <c r="J605" s="21">
        <v>0</v>
      </c>
      <c r="K605" s="21">
        <v>0</v>
      </c>
      <c r="L605" s="3">
        <f t="shared" si="31"/>
        <v>0</v>
      </c>
      <c r="M605" s="3"/>
      <c r="N605" s="3">
        <f t="shared" si="30"/>
        <v>0</v>
      </c>
      <c r="R605" s="89"/>
      <c r="S605" s="89">
        <f>100%-Table34[[#This Row],[PDF_initial fee]]</f>
        <v>1</v>
      </c>
      <c r="T605" s="89"/>
      <c r="U605" s="26"/>
    </row>
    <row r="606" spans="1:27" hidden="1" x14ac:dyDescent="0.25">
      <c r="A606">
        <v>182082</v>
      </c>
      <c r="B606" t="s">
        <v>943</v>
      </c>
      <c r="C606" t="s">
        <v>6958</v>
      </c>
      <c r="D606">
        <v>3</v>
      </c>
      <c r="E606" t="s">
        <v>943</v>
      </c>
      <c r="F606" t="s">
        <v>6958</v>
      </c>
      <c r="H606" s="21">
        <v>0</v>
      </c>
      <c r="I606" s="21">
        <v>0</v>
      </c>
      <c r="J606" s="21">
        <v>0</v>
      </c>
      <c r="K606" s="21">
        <v>0</v>
      </c>
      <c r="L606" s="3">
        <f t="shared" si="31"/>
        <v>0</v>
      </c>
      <c r="M606" s="3"/>
      <c r="N606" s="3">
        <f t="shared" si="30"/>
        <v>0</v>
      </c>
      <c r="R606" s="89"/>
      <c r="S606" s="89">
        <f>100%-Table34[[#This Row],[PDF_initial fee]]</f>
        <v>1</v>
      </c>
      <c r="T606" s="89"/>
      <c r="U606" s="26"/>
    </row>
    <row r="607" spans="1:27" hidden="1" x14ac:dyDescent="0.25">
      <c r="A607">
        <v>182101</v>
      </c>
      <c r="B607" t="s">
        <v>944</v>
      </c>
      <c r="C607" t="s">
        <v>6958</v>
      </c>
      <c r="D607">
        <v>0</v>
      </c>
      <c r="E607" t="s">
        <v>944</v>
      </c>
      <c r="F607" t="s">
        <v>6958</v>
      </c>
      <c r="H607" s="21">
        <v>0</v>
      </c>
      <c r="I607" s="21">
        <v>0</v>
      </c>
      <c r="J607" s="21">
        <v>0</v>
      </c>
      <c r="K607" s="21">
        <v>0</v>
      </c>
      <c r="L607" s="3">
        <f t="shared" si="31"/>
        <v>0</v>
      </c>
      <c r="M607" s="3"/>
      <c r="N607" s="3">
        <f t="shared" si="30"/>
        <v>0</v>
      </c>
      <c r="R607" s="89"/>
      <c r="S607" s="89">
        <f>100%-Table34[[#This Row],[PDF_initial fee]]</f>
        <v>1</v>
      </c>
      <c r="T607" s="89"/>
      <c r="U607" s="26"/>
    </row>
    <row r="608" spans="1:27" hidden="1" x14ac:dyDescent="0.25">
      <c r="A608">
        <v>182142</v>
      </c>
      <c r="B608" t="s">
        <v>945</v>
      </c>
      <c r="C608" t="s">
        <v>6958</v>
      </c>
      <c r="D608">
        <v>6</v>
      </c>
      <c r="E608" t="s">
        <v>945</v>
      </c>
      <c r="F608" t="s">
        <v>6958</v>
      </c>
      <c r="H608" s="21">
        <v>0</v>
      </c>
      <c r="I608" s="21">
        <v>0</v>
      </c>
      <c r="J608" s="21">
        <v>0</v>
      </c>
      <c r="K608" s="21">
        <v>0</v>
      </c>
      <c r="L608" s="3">
        <f t="shared" si="31"/>
        <v>0</v>
      </c>
      <c r="M608" s="3"/>
      <c r="N608" s="3">
        <f t="shared" si="30"/>
        <v>0</v>
      </c>
      <c r="R608" s="89"/>
      <c r="S608" s="89">
        <f>100%-Table34[[#This Row],[PDF_initial fee]]</f>
        <v>1</v>
      </c>
      <c r="T608" s="89"/>
      <c r="U608" s="26"/>
    </row>
    <row r="609" spans="1:28" hidden="1" x14ac:dyDescent="0.25">
      <c r="A609">
        <v>182357</v>
      </c>
      <c r="B609" t="s">
        <v>946</v>
      </c>
      <c r="C609" t="s">
        <v>29499</v>
      </c>
      <c r="D609">
        <v>3</v>
      </c>
      <c r="E609" t="s">
        <v>946</v>
      </c>
      <c r="F609" t="s">
        <v>3</v>
      </c>
      <c r="H609" s="21">
        <v>0</v>
      </c>
      <c r="I609" s="21">
        <v>0</v>
      </c>
      <c r="J609" s="21">
        <v>0</v>
      </c>
      <c r="K609" s="21">
        <v>0</v>
      </c>
      <c r="L609" s="3">
        <f t="shared" si="31"/>
        <v>0</v>
      </c>
      <c r="M609" s="3"/>
      <c r="N609" s="3">
        <f t="shared" si="30"/>
        <v>0</v>
      </c>
      <c r="O609" s="21"/>
      <c r="R609" s="89"/>
      <c r="S609" s="89">
        <f>100%-Table34[[#This Row],[PDF_initial fee]]</f>
        <v>1</v>
      </c>
      <c r="T609" s="89"/>
      <c r="U609" s="26"/>
    </row>
    <row r="610" spans="1:28" hidden="1" x14ac:dyDescent="0.25">
      <c r="A610">
        <v>182363</v>
      </c>
      <c r="B610" t="s">
        <v>947</v>
      </c>
      <c r="C610" t="s">
        <v>8054</v>
      </c>
      <c r="D610">
        <v>3</v>
      </c>
      <c r="E610" t="s">
        <v>947</v>
      </c>
      <c r="F610" t="s">
        <v>3</v>
      </c>
      <c r="H610" s="21">
        <v>0</v>
      </c>
      <c r="I610" s="21">
        <v>0</v>
      </c>
      <c r="J610" s="21">
        <v>0</v>
      </c>
      <c r="K610" s="21">
        <v>0</v>
      </c>
      <c r="L610" s="3">
        <f t="shared" si="31"/>
        <v>0</v>
      </c>
      <c r="M610" s="3"/>
      <c r="N610" s="3">
        <f t="shared" si="30"/>
        <v>0</v>
      </c>
      <c r="R610" s="89"/>
      <c r="S610" s="89">
        <f>100%-Table34[[#This Row],[PDF_initial fee]]</f>
        <v>1</v>
      </c>
      <c r="T610" s="89"/>
      <c r="U610" s="26"/>
    </row>
    <row r="611" spans="1:28" hidden="1" x14ac:dyDescent="0.25">
      <c r="A611">
        <v>182554</v>
      </c>
      <c r="B611" t="s">
        <v>948</v>
      </c>
      <c r="C611" t="s">
        <v>29500</v>
      </c>
      <c r="D611">
        <v>2</v>
      </c>
      <c r="E611" t="s">
        <v>948</v>
      </c>
      <c r="F611" t="s">
        <v>3</v>
      </c>
      <c r="H611" s="3">
        <v>0</v>
      </c>
      <c r="I611" s="3">
        <v>0</v>
      </c>
      <c r="J611" s="3">
        <v>0</v>
      </c>
      <c r="K611" s="3">
        <v>0</v>
      </c>
      <c r="L611" s="3">
        <f t="shared" si="31"/>
        <v>0</v>
      </c>
      <c r="M611" s="3"/>
      <c r="N611" s="3">
        <f t="shared" si="30"/>
        <v>0</v>
      </c>
      <c r="R611" s="89"/>
      <c r="S611" s="89">
        <f>100%-Table34[[#This Row],[PDF_initial fee]]</f>
        <v>1</v>
      </c>
      <c r="T611" s="89"/>
      <c r="U611" s="26"/>
    </row>
    <row r="612" spans="1:28" hidden="1" x14ac:dyDescent="0.25">
      <c r="A612">
        <v>182644</v>
      </c>
      <c r="B612" t="s">
        <v>949</v>
      </c>
      <c r="C612" t="s">
        <v>29501</v>
      </c>
      <c r="D612">
        <v>33</v>
      </c>
      <c r="E612" t="s">
        <v>949</v>
      </c>
      <c r="F612" t="s">
        <v>3</v>
      </c>
      <c r="H612" s="21">
        <v>0</v>
      </c>
      <c r="I612" s="21">
        <v>0</v>
      </c>
      <c r="J612" s="21">
        <v>0</v>
      </c>
      <c r="K612" s="21">
        <v>0</v>
      </c>
      <c r="L612" s="3">
        <f t="shared" si="31"/>
        <v>0</v>
      </c>
      <c r="M612" s="3"/>
      <c r="N612" s="3">
        <f t="shared" si="30"/>
        <v>0</v>
      </c>
      <c r="O612" s="21"/>
      <c r="R612" s="89"/>
      <c r="S612" s="89">
        <f>100%-Table34[[#This Row],[PDF_initial fee]]</f>
        <v>1</v>
      </c>
      <c r="T612" s="89"/>
      <c r="U612" s="26"/>
    </row>
    <row r="613" spans="1:28" hidden="1" x14ac:dyDescent="0.25">
      <c r="A613">
        <v>182703</v>
      </c>
      <c r="B613" t="s">
        <v>950</v>
      </c>
      <c r="C613" t="s">
        <v>29364</v>
      </c>
      <c r="D613">
        <v>8</v>
      </c>
      <c r="E613" t="s">
        <v>950</v>
      </c>
      <c r="F613" t="s">
        <v>3</v>
      </c>
      <c r="H613" s="3">
        <v>0</v>
      </c>
      <c r="I613" s="3">
        <v>0</v>
      </c>
      <c r="J613" s="3">
        <v>0</v>
      </c>
      <c r="K613" s="3">
        <v>0</v>
      </c>
      <c r="L613" s="3">
        <f t="shared" si="31"/>
        <v>0</v>
      </c>
      <c r="M613" s="3"/>
      <c r="N613" s="3">
        <f t="shared" si="30"/>
        <v>0</v>
      </c>
      <c r="R613" s="89"/>
      <c r="S613" s="89">
        <f>100%-Table34[[#This Row],[PDF_initial fee]]</f>
        <v>1</v>
      </c>
      <c r="T613" s="89"/>
      <c r="U613" s="26"/>
    </row>
    <row r="614" spans="1:28" hidden="1" x14ac:dyDescent="0.25">
      <c r="A614">
        <v>182762</v>
      </c>
      <c r="B614" t="s">
        <v>951</v>
      </c>
      <c r="C614" t="s">
        <v>29502</v>
      </c>
      <c r="D614">
        <v>0</v>
      </c>
      <c r="E614" t="s">
        <v>951</v>
      </c>
      <c r="F614" t="s">
        <v>29136</v>
      </c>
      <c r="H614" s="21">
        <v>0</v>
      </c>
      <c r="I614" s="3">
        <v>0</v>
      </c>
      <c r="J614" s="3">
        <v>0</v>
      </c>
      <c r="K614">
        <v>0</v>
      </c>
      <c r="L614" s="3">
        <f t="shared" si="31"/>
        <v>0</v>
      </c>
      <c r="M614" s="3"/>
      <c r="N614" s="3">
        <f t="shared" ref="N614:N621" si="32">L614+G614</f>
        <v>0</v>
      </c>
      <c r="R614" s="89"/>
      <c r="S614" s="89">
        <f>100%-Table34[[#This Row],[PDF_initial fee]]</f>
        <v>1</v>
      </c>
      <c r="T614" s="89"/>
      <c r="U614" s="26"/>
    </row>
    <row r="615" spans="1:28" hidden="1" x14ac:dyDescent="0.25">
      <c r="A615">
        <v>183041</v>
      </c>
      <c r="B615" t="s">
        <v>952</v>
      </c>
      <c r="C615" t="s">
        <v>6958</v>
      </c>
      <c r="D615">
        <v>0</v>
      </c>
      <c r="E615" t="s">
        <v>952</v>
      </c>
      <c r="F615" t="s">
        <v>6958</v>
      </c>
      <c r="H615" s="21">
        <v>0</v>
      </c>
      <c r="I615" s="21">
        <v>0</v>
      </c>
      <c r="J615" s="21">
        <v>0</v>
      </c>
      <c r="K615" s="21">
        <v>0</v>
      </c>
      <c r="L615" s="3">
        <f t="shared" si="31"/>
        <v>0</v>
      </c>
      <c r="M615" s="3"/>
      <c r="N615" s="3">
        <f t="shared" si="32"/>
        <v>0</v>
      </c>
      <c r="R615" s="89"/>
      <c r="S615" s="89">
        <f>100%-Table34[[#This Row],[PDF_initial fee]]</f>
        <v>1</v>
      </c>
      <c r="T615" s="89"/>
      <c r="U615" s="26"/>
    </row>
    <row r="616" spans="1:28" hidden="1" x14ac:dyDescent="0.25">
      <c r="A616">
        <v>183100</v>
      </c>
      <c r="B616" t="s">
        <v>953</v>
      </c>
      <c r="C616" t="s">
        <v>29182</v>
      </c>
      <c r="D616">
        <v>0</v>
      </c>
      <c r="E616" t="s">
        <v>953</v>
      </c>
      <c r="F616" t="s">
        <v>29136</v>
      </c>
      <c r="H616" s="21">
        <v>0</v>
      </c>
      <c r="I616" s="21">
        <v>0</v>
      </c>
      <c r="J616" s="21">
        <v>0</v>
      </c>
      <c r="K616" s="21">
        <v>0</v>
      </c>
      <c r="L616" s="3">
        <f t="shared" si="31"/>
        <v>0</v>
      </c>
      <c r="M616" s="3"/>
      <c r="N616" s="3">
        <f t="shared" si="32"/>
        <v>0</v>
      </c>
      <c r="O616" s="21"/>
      <c r="R616" s="89"/>
      <c r="S616" s="89">
        <f>100%-Table34[[#This Row],[PDF_initial fee]]</f>
        <v>1</v>
      </c>
      <c r="T616" s="89"/>
      <c r="U616" s="26"/>
    </row>
    <row r="617" spans="1:28" hidden="1" x14ac:dyDescent="0.25">
      <c r="A617">
        <v>183101</v>
      </c>
      <c r="B617" t="s">
        <v>954</v>
      </c>
      <c r="C617" t="s">
        <v>6958</v>
      </c>
      <c r="D617">
        <v>1</v>
      </c>
      <c r="E617" t="s">
        <v>954</v>
      </c>
      <c r="F617" t="s">
        <v>6958</v>
      </c>
      <c r="H617" s="21">
        <v>0</v>
      </c>
      <c r="I617" s="21">
        <v>0</v>
      </c>
      <c r="J617" s="21">
        <v>0</v>
      </c>
      <c r="K617" s="21">
        <v>0</v>
      </c>
      <c r="L617" s="3">
        <f t="shared" si="31"/>
        <v>0</v>
      </c>
      <c r="M617" s="3"/>
      <c r="N617" s="3">
        <f t="shared" si="32"/>
        <v>0</v>
      </c>
      <c r="R617" s="89"/>
      <c r="S617" s="89">
        <f>100%-Table34[[#This Row],[PDF_initial fee]]</f>
        <v>1</v>
      </c>
      <c r="T617" s="89"/>
      <c r="U617" s="26"/>
    </row>
    <row r="618" spans="1:28" hidden="1" x14ac:dyDescent="0.25">
      <c r="A618">
        <v>183210</v>
      </c>
      <c r="B618" t="s">
        <v>955</v>
      </c>
      <c r="C618" t="s">
        <v>12276</v>
      </c>
      <c r="D618">
        <v>7</v>
      </c>
      <c r="E618" t="s">
        <v>955</v>
      </c>
      <c r="H618" s="21">
        <v>0</v>
      </c>
      <c r="I618" s="21">
        <v>0</v>
      </c>
      <c r="J618" s="21">
        <v>0</v>
      </c>
      <c r="K618" s="21">
        <v>0</v>
      </c>
      <c r="L618" s="3">
        <f t="shared" si="31"/>
        <v>0</v>
      </c>
      <c r="M618" s="3"/>
      <c r="N618" s="3">
        <f t="shared" si="32"/>
        <v>0</v>
      </c>
      <c r="R618" s="89"/>
      <c r="S618" s="89">
        <f>100%-Table34[[#This Row],[PDF_initial fee]]</f>
        <v>1</v>
      </c>
      <c r="T618" s="89"/>
      <c r="U618" s="26"/>
    </row>
    <row r="619" spans="1:28" hidden="1" x14ac:dyDescent="0.25">
      <c r="A619">
        <v>183524</v>
      </c>
      <c r="B619" t="s">
        <v>956</v>
      </c>
      <c r="C619" t="s">
        <v>7943</v>
      </c>
      <c r="D619">
        <v>3</v>
      </c>
      <c r="E619" t="s">
        <v>956</v>
      </c>
      <c r="F619" t="s">
        <v>29503</v>
      </c>
      <c r="H619" s="21">
        <v>0</v>
      </c>
      <c r="I619" s="21">
        <v>0</v>
      </c>
      <c r="J619" s="21">
        <v>0</v>
      </c>
      <c r="K619" s="21">
        <v>0</v>
      </c>
      <c r="L619" s="3">
        <f t="shared" si="31"/>
        <v>0</v>
      </c>
      <c r="M619" s="3"/>
      <c r="N619" s="3">
        <f t="shared" si="32"/>
        <v>0</v>
      </c>
      <c r="P619" s="1" t="s">
        <v>29109</v>
      </c>
      <c r="R619" s="89"/>
      <c r="S619" s="89">
        <f>100%-Table34[[#This Row],[PDF_initial fee]]</f>
        <v>1</v>
      </c>
      <c r="T619" s="89"/>
      <c r="U619" s="26"/>
    </row>
    <row r="620" spans="1:28" x14ac:dyDescent="0.25">
      <c r="A620">
        <v>124444</v>
      </c>
      <c r="B620" t="s">
        <v>28</v>
      </c>
      <c r="C620" s="1" t="s">
        <v>29504</v>
      </c>
      <c r="D620">
        <v>455</v>
      </c>
      <c r="E620" t="s">
        <v>28</v>
      </c>
      <c r="F620" t="s">
        <v>6</v>
      </c>
      <c r="G620" s="3">
        <v>7.3000000000000001E-3</v>
      </c>
      <c r="H620" s="3">
        <f>((((1.25*15000)+(1*85000))/100000)/100)+0.5%</f>
        <v>1.5375E-2</v>
      </c>
      <c r="I620" s="51">
        <v>0.01</v>
      </c>
      <c r="J620" s="6">
        <v>0</v>
      </c>
      <c r="K620" s="6">
        <v>0</v>
      </c>
      <c r="L620" s="3">
        <f t="shared" si="31"/>
        <v>2.5375000000000002E-2</v>
      </c>
      <c r="M620" s="3"/>
      <c r="N620" s="3">
        <f t="shared" si="32"/>
        <v>3.2675000000000003E-2</v>
      </c>
      <c r="O620" s="21"/>
      <c r="P620" s="1" t="s">
        <v>29505</v>
      </c>
      <c r="Q620" s="1" t="s">
        <v>29506</v>
      </c>
      <c r="R620" s="89">
        <v>0.2802</v>
      </c>
      <c r="S620" s="89">
        <f>100%-Table34[[#This Row],[InitialFee]]</f>
        <v>0.98462499999999997</v>
      </c>
      <c r="T620" s="89">
        <f>(1-Table34[[#This Row],[OngoingFee (plus Platform fee)]])^5</f>
        <v>0.95099004989999991</v>
      </c>
      <c r="U620" s="26">
        <f>(1+Table34[[#This Row],[Net 5yrs return (mostly up to 28th of Feb 2026)]])*Table34[[#This Row],[Investment after initial charge]]*Table34[[#This Row],[Cummulative 5yrs ongoing advice charge]]-1</f>
        <v>0.19873905340554443</v>
      </c>
      <c r="V620" s="10">
        <v>600380000</v>
      </c>
      <c r="W620" t="s">
        <v>29081</v>
      </c>
      <c r="X620" s="10">
        <v>290811000</v>
      </c>
      <c r="Y620" s="30">
        <f>X620/V620</f>
        <v>0.48437822712282219</v>
      </c>
      <c r="AA620" s="1" t="s">
        <v>29507</v>
      </c>
    </row>
    <row r="621" spans="1:28" x14ac:dyDescent="0.25">
      <c r="A621">
        <v>124412</v>
      </c>
      <c r="B621" t="s">
        <v>27</v>
      </c>
      <c r="C621" t="s">
        <v>29508</v>
      </c>
      <c r="D621">
        <v>217</v>
      </c>
      <c r="E621" t="s">
        <v>27</v>
      </c>
      <c r="F621" t="s">
        <v>6</v>
      </c>
      <c r="G621" s="3">
        <v>6.4000000000000003E-3</v>
      </c>
      <c r="H621" s="3">
        <v>2.6499999999999999E-2</v>
      </c>
      <c r="I621" s="3">
        <v>5.0000000000000001E-3</v>
      </c>
      <c r="J621" s="6">
        <v>0</v>
      </c>
      <c r="K621" s="6">
        <v>0</v>
      </c>
      <c r="L621" s="3">
        <f t="shared" si="31"/>
        <v>3.15E-2</v>
      </c>
      <c r="M621" s="3"/>
      <c r="N621" s="3">
        <f t="shared" si="32"/>
        <v>3.7900000000000003E-2</v>
      </c>
      <c r="O621" s="21"/>
      <c r="P621" s="1" t="s">
        <v>29509</v>
      </c>
      <c r="Q621" s="1" t="s">
        <v>31776</v>
      </c>
      <c r="R621" s="89">
        <v>0.14949999999999999</v>
      </c>
      <c r="S621" s="89">
        <f>100%-Table34[[#This Row],[InitialFee]]</f>
        <v>0.97350000000000003</v>
      </c>
      <c r="T621" s="89">
        <f>(1-Table34[[#This Row],[OngoingFee (plus Platform fee)]])^5</f>
        <v>0.97524875312187509</v>
      </c>
      <c r="U621" s="26">
        <f>(1+Table34[[#This Row],[Net 5yrs return (mostly up to 28th of Feb 2026)]])*Table34[[#This Row],[Investment after initial charge]]*Table34[[#This Row],[Cummulative 5yrs ongoing advice charge]]-1</f>
        <v>9.1340658008185249E-2</v>
      </c>
      <c r="V621" s="10">
        <v>300452000</v>
      </c>
      <c r="W621" t="s">
        <v>29051</v>
      </c>
      <c r="X621" s="10">
        <v>118925000</v>
      </c>
      <c r="Y621" s="30">
        <f>X621/V621</f>
        <v>0.39582029741855607</v>
      </c>
      <c r="AA621" s="1" t="s">
        <v>29510</v>
      </c>
    </row>
    <row r="622" spans="1:28" hidden="1" x14ac:dyDescent="0.25">
      <c r="A622">
        <v>184333</v>
      </c>
      <c r="B622" t="s">
        <v>957</v>
      </c>
      <c r="C622" t="s">
        <v>29511</v>
      </c>
      <c r="D622">
        <v>0</v>
      </c>
      <c r="E622" t="s">
        <v>957</v>
      </c>
      <c r="F622" t="s">
        <v>29512</v>
      </c>
      <c r="G622" s="3">
        <v>0</v>
      </c>
      <c r="J622" s="3">
        <v>0</v>
      </c>
      <c r="K622" s="6"/>
      <c r="L622" s="3">
        <v>0</v>
      </c>
      <c r="M622" s="3"/>
      <c r="N622" s="3">
        <v>0</v>
      </c>
      <c r="O622" t="s">
        <v>29513</v>
      </c>
      <c r="R622" s="89"/>
      <c r="S622" s="89">
        <f>100%-Table34[[#This Row],[PDF_initial fee]]</f>
        <v>1</v>
      </c>
      <c r="T622" s="89"/>
      <c r="U622" s="26"/>
    </row>
    <row r="623" spans="1:28" hidden="1" x14ac:dyDescent="0.25">
      <c r="A623">
        <v>184451</v>
      </c>
      <c r="B623" t="s">
        <v>958</v>
      </c>
      <c r="C623" t="s">
        <v>29514</v>
      </c>
      <c r="D623">
        <v>6</v>
      </c>
      <c r="E623" t="s">
        <v>958</v>
      </c>
      <c r="H623" s="21">
        <v>0</v>
      </c>
      <c r="I623" s="21">
        <v>0</v>
      </c>
      <c r="J623" s="21">
        <v>0</v>
      </c>
      <c r="K623" s="21">
        <v>0</v>
      </c>
      <c r="L623" s="3">
        <f t="shared" ref="L623:L686" si="33">SUM(H623:K623)</f>
        <v>0</v>
      </c>
      <c r="M623" s="3"/>
      <c r="N623" s="3">
        <f t="shared" ref="N623:N686" si="34">L623+G623</f>
        <v>0</v>
      </c>
      <c r="O623" s="21"/>
      <c r="R623" s="89"/>
      <c r="S623" s="89">
        <f>100%-Table34[[#This Row],[PDF_initial fee]]</f>
        <v>1</v>
      </c>
      <c r="T623" s="89"/>
      <c r="U623" s="26"/>
    </row>
    <row r="624" spans="1:28" x14ac:dyDescent="0.25">
      <c r="A624">
        <v>610181</v>
      </c>
      <c r="B624" t="s">
        <v>252</v>
      </c>
      <c r="C624" t="s">
        <v>29515</v>
      </c>
      <c r="D624">
        <v>15</v>
      </c>
      <c r="E624" t="s">
        <v>252</v>
      </c>
      <c r="F624" t="s">
        <v>3</v>
      </c>
      <c r="G624" s="3">
        <v>1.4E-3</v>
      </c>
      <c r="H624" s="3">
        <v>0.04</v>
      </c>
      <c r="I624" s="3">
        <v>3.4250000000000003E-2</v>
      </c>
      <c r="J624" s="6">
        <v>0</v>
      </c>
      <c r="K624" s="6">
        <v>0</v>
      </c>
      <c r="L624" s="3">
        <f t="shared" si="33"/>
        <v>7.425000000000001E-2</v>
      </c>
      <c r="M624" s="3"/>
      <c r="N624" s="3">
        <f t="shared" si="34"/>
        <v>7.5650000000000009E-2</v>
      </c>
      <c r="O624" t="s">
        <v>29516</v>
      </c>
      <c r="P624" s="31" t="s">
        <v>29517</v>
      </c>
      <c r="Q624" t="s">
        <v>31787</v>
      </c>
      <c r="R624" s="89">
        <v>0.33333333333333348</v>
      </c>
      <c r="S624" s="89">
        <f>100%-Table34[[#This Row],[InitialFee]]</f>
        <v>0.96</v>
      </c>
      <c r="T624" s="89">
        <f>(1-Table34[[#This Row],[OngoingFee (plus Platform fee)]])^5</f>
        <v>0.84008568434130437</v>
      </c>
      <c r="U624" s="26">
        <f>(1+Table34[[#This Row],[Net 5yrs return (mostly up to 28th of Feb 2026)]])*Table34[[#This Row],[Investment after initial charge]]*Table34[[#This Row],[Cummulative 5yrs ongoing advice charge]]-1</f>
        <v>7.5309675956869659E-2</v>
      </c>
      <c r="V624">
        <f>279392+13050</f>
        <v>292442</v>
      </c>
      <c r="W624" t="s">
        <v>29051</v>
      </c>
      <c r="X624" s="9">
        <v>122045</v>
      </c>
      <c r="Y624" s="30">
        <f>X624/V624</f>
        <v>0.41733061598539195</v>
      </c>
      <c r="AA624" s="1" t="s">
        <v>29518</v>
      </c>
      <c r="AB624" t="s">
        <v>29302</v>
      </c>
    </row>
    <row r="625" spans="1:27" hidden="1" x14ac:dyDescent="0.25">
      <c r="A625">
        <v>184595</v>
      </c>
      <c r="B625" t="s">
        <v>959</v>
      </c>
      <c r="C625" t="s">
        <v>11036</v>
      </c>
      <c r="D625">
        <v>7</v>
      </c>
      <c r="E625" t="s">
        <v>959</v>
      </c>
      <c r="H625" s="21">
        <v>0</v>
      </c>
      <c r="I625" s="21">
        <v>0</v>
      </c>
      <c r="J625" s="21">
        <v>0</v>
      </c>
      <c r="K625" s="21">
        <v>0</v>
      </c>
      <c r="L625" s="3">
        <f t="shared" si="33"/>
        <v>0</v>
      </c>
      <c r="M625" s="3"/>
      <c r="N625" s="3">
        <f t="shared" si="34"/>
        <v>0</v>
      </c>
      <c r="R625" s="89"/>
      <c r="S625" s="89">
        <f>100%-Table34[[#This Row],[PDF_initial fee]]</f>
        <v>1</v>
      </c>
      <c r="T625" s="89"/>
      <c r="U625" s="26"/>
    </row>
    <row r="626" spans="1:27" hidden="1" x14ac:dyDescent="0.25">
      <c r="A626">
        <v>184711</v>
      </c>
      <c r="B626" t="s">
        <v>960</v>
      </c>
      <c r="C626" t="s">
        <v>29519</v>
      </c>
      <c r="D626">
        <v>4</v>
      </c>
      <c r="E626" t="s">
        <v>960</v>
      </c>
      <c r="F626" t="s">
        <v>29136</v>
      </c>
      <c r="L626" s="3">
        <f t="shared" si="33"/>
        <v>0</v>
      </c>
      <c r="M626" s="3"/>
      <c r="N626" s="3">
        <f t="shared" si="34"/>
        <v>0</v>
      </c>
      <c r="R626" s="89"/>
      <c r="S626" s="89">
        <f>100%-Table34[[#This Row],[PDF_initial fee]]</f>
        <v>1</v>
      </c>
      <c r="T626" s="89"/>
      <c r="U626" s="26"/>
    </row>
    <row r="627" spans="1:27" hidden="1" x14ac:dyDescent="0.25">
      <c r="A627">
        <v>184753</v>
      </c>
      <c r="B627" t="s">
        <v>961</v>
      </c>
      <c r="C627" t="s">
        <v>29520</v>
      </c>
      <c r="D627">
        <v>0</v>
      </c>
      <c r="E627" t="s">
        <v>961</v>
      </c>
      <c r="F627" t="s">
        <v>29136</v>
      </c>
      <c r="H627" s="3">
        <v>0</v>
      </c>
      <c r="I627" s="3">
        <v>0</v>
      </c>
      <c r="J627" s="3">
        <v>0</v>
      </c>
      <c r="K627" s="3">
        <v>0</v>
      </c>
      <c r="L627" s="3">
        <f t="shared" si="33"/>
        <v>0</v>
      </c>
      <c r="M627" s="3"/>
      <c r="N627" s="3">
        <f t="shared" si="34"/>
        <v>0</v>
      </c>
      <c r="R627" s="89"/>
      <c r="S627" s="89">
        <f>100%-Table34[[#This Row],[PDF_initial fee]]</f>
        <v>1</v>
      </c>
      <c r="T627" s="89"/>
      <c r="U627" s="26"/>
    </row>
    <row r="628" spans="1:27" hidden="1" x14ac:dyDescent="0.25">
      <c r="A628">
        <v>184758</v>
      </c>
      <c r="B628" t="s">
        <v>962</v>
      </c>
      <c r="C628" t="s">
        <v>9158</v>
      </c>
      <c r="D628">
        <v>1</v>
      </c>
      <c r="E628" t="s">
        <v>962</v>
      </c>
      <c r="H628" s="21">
        <v>0</v>
      </c>
      <c r="I628" s="21">
        <v>0</v>
      </c>
      <c r="J628" s="21">
        <v>0</v>
      </c>
      <c r="K628" s="21">
        <v>0</v>
      </c>
      <c r="L628" s="3">
        <f t="shared" si="33"/>
        <v>0</v>
      </c>
      <c r="M628" s="3"/>
      <c r="N628" s="3">
        <f t="shared" si="34"/>
        <v>0</v>
      </c>
      <c r="R628" s="89"/>
      <c r="S628" s="89">
        <f>100%-Table34[[#This Row],[PDF_initial fee]]</f>
        <v>1</v>
      </c>
      <c r="T628" s="89"/>
      <c r="U628" s="26"/>
    </row>
    <row r="629" spans="1:27" hidden="1" x14ac:dyDescent="0.25">
      <c r="A629">
        <v>184918</v>
      </c>
      <c r="B629" t="s">
        <v>963</v>
      </c>
      <c r="C629" t="s">
        <v>29521</v>
      </c>
      <c r="D629">
        <v>56</v>
      </c>
      <c r="E629" t="s">
        <v>963</v>
      </c>
      <c r="F629" t="s">
        <v>6</v>
      </c>
      <c r="H629" s="21">
        <v>0</v>
      </c>
      <c r="I629" s="21">
        <v>0</v>
      </c>
      <c r="J629" s="21">
        <v>0</v>
      </c>
      <c r="K629" s="21">
        <v>0</v>
      </c>
      <c r="L629" s="3">
        <f t="shared" si="33"/>
        <v>0</v>
      </c>
      <c r="M629" s="3"/>
      <c r="N629" s="3">
        <f t="shared" si="34"/>
        <v>0</v>
      </c>
      <c r="O629" s="21"/>
      <c r="R629" s="89"/>
      <c r="S629" s="89">
        <f>100%-Table34[[#This Row],[PDF_initial fee]]</f>
        <v>1</v>
      </c>
      <c r="T629" s="89"/>
      <c r="U629" s="26"/>
    </row>
    <row r="630" spans="1:27" hidden="1" x14ac:dyDescent="0.25">
      <c r="A630">
        <v>185193</v>
      </c>
      <c r="B630" t="s">
        <v>964</v>
      </c>
      <c r="C630" t="s">
        <v>29522</v>
      </c>
      <c r="D630">
        <v>24</v>
      </c>
      <c r="E630" t="s">
        <v>964</v>
      </c>
      <c r="H630" s="3">
        <v>0</v>
      </c>
      <c r="I630" s="3">
        <v>0</v>
      </c>
      <c r="J630" s="3">
        <v>0</v>
      </c>
      <c r="K630" s="3">
        <v>0</v>
      </c>
      <c r="L630" s="3">
        <f t="shared" si="33"/>
        <v>0</v>
      </c>
      <c r="M630" s="3"/>
      <c r="N630" s="3">
        <f t="shared" si="34"/>
        <v>0</v>
      </c>
      <c r="R630" s="89"/>
      <c r="S630" s="89">
        <f>100%-Table34[[#This Row],[PDF_initial fee]]</f>
        <v>1</v>
      </c>
      <c r="T630" s="89"/>
      <c r="U630" s="26"/>
    </row>
    <row r="631" spans="1:27" hidden="1" x14ac:dyDescent="0.25">
      <c r="A631">
        <v>185323</v>
      </c>
      <c r="B631" t="s">
        <v>965</v>
      </c>
      <c r="C631" t="s">
        <v>8294</v>
      </c>
      <c r="D631">
        <v>11</v>
      </c>
      <c r="E631" t="s">
        <v>965</v>
      </c>
      <c r="H631" s="21">
        <v>0</v>
      </c>
      <c r="I631" s="21">
        <v>0</v>
      </c>
      <c r="J631" s="21">
        <v>0</v>
      </c>
      <c r="K631" s="21">
        <v>0</v>
      </c>
      <c r="L631" s="3">
        <f t="shared" si="33"/>
        <v>0</v>
      </c>
      <c r="M631" s="3"/>
      <c r="N631" s="3">
        <f t="shared" si="34"/>
        <v>0</v>
      </c>
      <c r="R631" s="89"/>
      <c r="S631" s="89">
        <f>100%-Table34[[#This Row],[PDF_initial fee]]</f>
        <v>1</v>
      </c>
      <c r="T631" s="89"/>
      <c r="U631" s="26"/>
    </row>
    <row r="632" spans="1:27" hidden="1" x14ac:dyDescent="0.25">
      <c r="A632">
        <v>185468</v>
      </c>
      <c r="B632" t="s">
        <v>966</v>
      </c>
      <c r="C632" t="s">
        <v>8088</v>
      </c>
      <c r="D632">
        <v>8</v>
      </c>
      <c r="E632" t="s">
        <v>966</v>
      </c>
      <c r="L632" s="3">
        <f t="shared" si="33"/>
        <v>0</v>
      </c>
      <c r="M632" s="3"/>
      <c r="N632" s="3">
        <f t="shared" si="34"/>
        <v>0</v>
      </c>
      <c r="R632" s="89"/>
      <c r="S632" s="89">
        <f>100%-Table34[[#This Row],[PDF_initial fee]]</f>
        <v>1</v>
      </c>
      <c r="T632" s="89"/>
      <c r="U632" s="26"/>
    </row>
    <row r="633" spans="1:27" hidden="1" x14ac:dyDescent="0.25">
      <c r="A633">
        <v>185477</v>
      </c>
      <c r="B633" t="s">
        <v>967</v>
      </c>
      <c r="C633" t="s">
        <v>6958</v>
      </c>
      <c r="D633">
        <v>6</v>
      </c>
      <c r="E633" t="s">
        <v>967</v>
      </c>
      <c r="F633" t="s">
        <v>6958</v>
      </c>
      <c r="H633" s="21">
        <v>0</v>
      </c>
      <c r="I633" s="21">
        <v>0</v>
      </c>
      <c r="J633" s="21">
        <v>0</v>
      </c>
      <c r="K633" s="21">
        <v>0</v>
      </c>
      <c r="L633" s="3">
        <f t="shared" si="33"/>
        <v>0</v>
      </c>
      <c r="M633" s="3"/>
      <c r="N633" s="3">
        <f t="shared" si="34"/>
        <v>0</v>
      </c>
      <c r="O633" s="21"/>
      <c r="R633" s="89"/>
      <c r="S633" s="89">
        <f>100%-Table34[[#This Row],[PDF_initial fee]]</f>
        <v>1</v>
      </c>
      <c r="T633" s="89"/>
      <c r="U633" s="26"/>
    </row>
    <row r="634" spans="1:27" hidden="1" x14ac:dyDescent="0.25">
      <c r="A634">
        <v>185507</v>
      </c>
      <c r="B634" t="s">
        <v>968</v>
      </c>
      <c r="C634" t="s">
        <v>9901</v>
      </c>
      <c r="D634">
        <v>5</v>
      </c>
      <c r="E634" t="s">
        <v>968</v>
      </c>
      <c r="H634" s="21">
        <v>0</v>
      </c>
      <c r="I634" s="21">
        <v>0</v>
      </c>
      <c r="J634" s="21">
        <v>0</v>
      </c>
      <c r="K634" s="21">
        <v>0</v>
      </c>
      <c r="L634" s="3">
        <f t="shared" si="33"/>
        <v>0</v>
      </c>
      <c r="M634" s="3"/>
      <c r="N634" s="3">
        <f t="shared" si="34"/>
        <v>0</v>
      </c>
      <c r="R634" s="89"/>
      <c r="S634" s="89">
        <f>100%-Table34[[#This Row],[PDF_initial fee]]</f>
        <v>1</v>
      </c>
      <c r="T634" s="89"/>
      <c r="U634" s="26"/>
    </row>
    <row r="635" spans="1:27" x14ac:dyDescent="0.25">
      <c r="A635">
        <v>977136</v>
      </c>
      <c r="B635" t="s">
        <v>352</v>
      </c>
      <c r="C635" s="1" t="s">
        <v>10701</v>
      </c>
      <c r="D635">
        <v>1</v>
      </c>
      <c r="E635" t="s">
        <v>352</v>
      </c>
      <c r="F635" t="s">
        <v>3</v>
      </c>
      <c r="G635" s="3">
        <v>1.4E-3</v>
      </c>
      <c r="H635" s="3">
        <v>0.03</v>
      </c>
      <c r="I635" s="3">
        <v>0</v>
      </c>
      <c r="J635" s="6">
        <v>0</v>
      </c>
      <c r="K635" s="6"/>
      <c r="L635" s="3">
        <f t="shared" si="33"/>
        <v>0.03</v>
      </c>
      <c r="M635" s="3"/>
      <c r="N635" s="3">
        <f t="shared" si="34"/>
        <v>3.1399999999999997E-2</v>
      </c>
      <c r="O635" t="s">
        <v>29523</v>
      </c>
      <c r="P635" s="31" t="s">
        <v>29524</v>
      </c>
      <c r="Q635" t="s">
        <v>31787</v>
      </c>
      <c r="R635" s="89">
        <v>0.33333333333333348</v>
      </c>
      <c r="S635" s="89">
        <f>100%-Table34[[#This Row],[InitialFee]]</f>
        <v>0.97</v>
      </c>
      <c r="T635" s="89">
        <f>(1-Table34[[#This Row],[PDF ongoing fee]])^5</f>
        <v>1</v>
      </c>
      <c r="U635" s="26">
        <f>(1+Table34[[#This Row],[Net 5yrs return (mostly up to 28th of Feb 2026)]])*Table34[[#This Row],[Investment after initial charge]]*Table34[[#This Row],[Cummulative 5yrs ongoing advice charge]]-1</f>
        <v>0.29333333333333345</v>
      </c>
      <c r="V635">
        <f>41921+6293</f>
        <v>48214</v>
      </c>
      <c r="W635" t="s">
        <v>29051</v>
      </c>
      <c r="X635" s="9">
        <v>-77284</v>
      </c>
      <c r="Y635" s="30">
        <f>X635/V635</f>
        <v>-1.6029369062927781</v>
      </c>
      <c r="AA635" s="1" t="s">
        <v>29525</v>
      </c>
    </row>
    <row r="636" spans="1:27" hidden="1" x14ac:dyDescent="0.25">
      <c r="A636">
        <v>185530</v>
      </c>
      <c r="B636" t="s">
        <v>969</v>
      </c>
      <c r="C636" t="s">
        <v>29526</v>
      </c>
      <c r="D636">
        <v>1</v>
      </c>
      <c r="E636" t="s">
        <v>969</v>
      </c>
      <c r="H636" s="21">
        <v>0</v>
      </c>
      <c r="I636" s="3">
        <v>0</v>
      </c>
      <c r="J636" s="3">
        <v>0</v>
      </c>
      <c r="K636">
        <v>0</v>
      </c>
      <c r="L636" s="3">
        <f t="shared" si="33"/>
        <v>0</v>
      </c>
      <c r="M636" s="3"/>
      <c r="N636" s="3">
        <f t="shared" si="34"/>
        <v>0</v>
      </c>
      <c r="R636" s="89"/>
      <c r="S636" s="89">
        <f>100%-Table34[[#This Row],[PDF_initial fee]]</f>
        <v>1</v>
      </c>
      <c r="T636" s="89"/>
      <c r="U636" s="26"/>
    </row>
    <row r="637" spans="1:27" hidden="1" x14ac:dyDescent="0.25">
      <c r="A637">
        <v>185561</v>
      </c>
      <c r="B637" t="s">
        <v>970</v>
      </c>
      <c r="C637" t="s">
        <v>7227</v>
      </c>
      <c r="D637">
        <v>11</v>
      </c>
      <c r="E637" t="s">
        <v>970</v>
      </c>
      <c r="H637" s="21">
        <v>0</v>
      </c>
      <c r="I637" s="21">
        <v>0</v>
      </c>
      <c r="J637" s="21">
        <v>0</v>
      </c>
      <c r="K637" s="21">
        <v>0</v>
      </c>
      <c r="L637" s="3">
        <f t="shared" si="33"/>
        <v>0</v>
      </c>
      <c r="M637" s="3"/>
      <c r="N637" s="3">
        <f t="shared" si="34"/>
        <v>0</v>
      </c>
      <c r="R637" s="89"/>
      <c r="S637" s="89">
        <f>100%-Table34[[#This Row],[PDF_initial fee]]</f>
        <v>1</v>
      </c>
      <c r="T637" s="89"/>
      <c r="U637" s="26"/>
    </row>
    <row r="638" spans="1:27" hidden="1" x14ac:dyDescent="0.25">
      <c r="A638">
        <v>185606</v>
      </c>
      <c r="B638" t="s">
        <v>971</v>
      </c>
      <c r="C638" t="s">
        <v>6958</v>
      </c>
      <c r="D638">
        <v>1</v>
      </c>
      <c r="E638" t="s">
        <v>971</v>
      </c>
      <c r="F638" t="s">
        <v>6958</v>
      </c>
      <c r="H638" s="21">
        <v>0</v>
      </c>
      <c r="I638" s="21">
        <v>0</v>
      </c>
      <c r="J638" s="21">
        <v>0</v>
      </c>
      <c r="K638" s="21">
        <v>0</v>
      </c>
      <c r="L638" s="3">
        <f t="shared" si="33"/>
        <v>0</v>
      </c>
      <c r="M638" s="3"/>
      <c r="N638" s="3">
        <f t="shared" si="34"/>
        <v>0</v>
      </c>
      <c r="R638" s="89"/>
      <c r="S638" s="89">
        <f>100%-Table34[[#This Row],[PDF_initial fee]]</f>
        <v>1</v>
      </c>
      <c r="T638" s="89"/>
      <c r="U638" s="26"/>
    </row>
    <row r="639" spans="1:27" hidden="1" x14ac:dyDescent="0.25">
      <c r="A639">
        <v>185746</v>
      </c>
      <c r="B639" t="s">
        <v>972</v>
      </c>
      <c r="C639" t="s">
        <v>29365</v>
      </c>
      <c r="D639">
        <v>0</v>
      </c>
      <c r="E639" t="s">
        <v>972</v>
      </c>
      <c r="F639" t="s">
        <v>29136</v>
      </c>
      <c r="H639" s="3">
        <v>0</v>
      </c>
      <c r="I639" s="3">
        <v>0</v>
      </c>
      <c r="J639" s="3">
        <v>0</v>
      </c>
      <c r="K639" s="3">
        <v>0</v>
      </c>
      <c r="L639" s="3">
        <f t="shared" si="33"/>
        <v>0</v>
      </c>
      <c r="M639" s="3"/>
      <c r="N639" s="3">
        <f t="shared" si="34"/>
        <v>0</v>
      </c>
      <c r="R639" s="89"/>
      <c r="S639" s="89">
        <f>100%-Table34[[#This Row],[PDF_initial fee]]</f>
        <v>1</v>
      </c>
      <c r="T639" s="89"/>
      <c r="U639" s="26"/>
    </row>
    <row r="640" spans="1:27" hidden="1" x14ac:dyDescent="0.25">
      <c r="A640">
        <v>185748</v>
      </c>
      <c r="B640" t="s">
        <v>973</v>
      </c>
      <c r="C640" t="s">
        <v>7526</v>
      </c>
      <c r="D640">
        <v>0</v>
      </c>
      <c r="E640" t="s">
        <v>973</v>
      </c>
      <c r="F640" t="s">
        <v>29136</v>
      </c>
      <c r="L640" s="3">
        <f t="shared" si="33"/>
        <v>0</v>
      </c>
      <c r="M640" s="3"/>
      <c r="N640" s="3">
        <f t="shared" si="34"/>
        <v>0</v>
      </c>
      <c r="R640" s="89"/>
      <c r="S640" s="89">
        <f>100%-Table34[[#This Row],[PDF_initial fee]]</f>
        <v>1</v>
      </c>
      <c r="T640" s="89"/>
      <c r="U640" s="26"/>
    </row>
    <row r="641" spans="1:27" x14ac:dyDescent="0.25">
      <c r="A641">
        <v>117664</v>
      </c>
      <c r="B641" t="s">
        <v>17</v>
      </c>
      <c r="C641" s="1" t="s">
        <v>12164</v>
      </c>
      <c r="D641" s="1">
        <v>100</v>
      </c>
      <c r="E641" t="s">
        <v>17</v>
      </c>
      <c r="F641" t="s">
        <v>6</v>
      </c>
      <c r="G641" s="3">
        <v>0.01</v>
      </c>
      <c r="H641" s="3">
        <v>0</v>
      </c>
      <c r="I641" s="21">
        <v>0</v>
      </c>
      <c r="J641" s="51">
        <v>3.5000000000000003E-2</v>
      </c>
      <c r="K641" s="21">
        <v>0</v>
      </c>
      <c r="L641" s="3">
        <f t="shared" si="33"/>
        <v>3.5000000000000003E-2</v>
      </c>
      <c r="M641" s="3"/>
      <c r="N641" s="3">
        <f t="shared" si="34"/>
        <v>4.5000000000000005E-2</v>
      </c>
      <c r="O641" t="s">
        <v>29527</v>
      </c>
      <c r="P641" s="1" t="s">
        <v>29528</v>
      </c>
      <c r="Q641" s="1" t="s">
        <v>29529</v>
      </c>
      <c r="R641" s="89">
        <v>0.21840000000000001</v>
      </c>
      <c r="S641" s="89">
        <f>100%-Table34[[#This Row],[PDF_initial fee]]</f>
        <v>0.96499999999999997</v>
      </c>
      <c r="T641" s="89">
        <f>(1-Table34[[#This Row],[PDF ongoing fee]])^5</f>
        <v>1</v>
      </c>
      <c r="U641" s="26">
        <f>(1+Table34[[#This Row],[Net 5yrs return (mostly up to 28th of Feb 2026)]])*Table34[[#This Row],[Investment after initial charge]]*Table34[[#This Row],[Cummulative 5yrs ongoing advice charge]]-1</f>
        <v>0.1757559999999998</v>
      </c>
      <c r="V641" s="10">
        <v>19978000000</v>
      </c>
      <c r="W641" s="10" t="s">
        <v>29051</v>
      </c>
      <c r="X641" s="10">
        <v>7422000000</v>
      </c>
      <c r="Y641" s="10">
        <f>X641/V641</f>
        <v>0.37150865952547801</v>
      </c>
      <c r="Z641" s="10"/>
      <c r="AA641" s="1" t="s">
        <v>29530</v>
      </c>
    </row>
    <row r="642" spans="1:27" hidden="1" x14ac:dyDescent="0.25">
      <c r="A642">
        <v>186419</v>
      </c>
      <c r="B642" t="s">
        <v>975</v>
      </c>
      <c r="C642" s="1" t="s">
        <v>29531</v>
      </c>
      <c r="D642">
        <v>75</v>
      </c>
      <c r="E642" t="s">
        <v>975</v>
      </c>
      <c r="F642" t="s">
        <v>3</v>
      </c>
      <c r="H642" s="21">
        <v>0</v>
      </c>
      <c r="I642" s="21">
        <v>0</v>
      </c>
      <c r="J642" s="21">
        <v>0</v>
      </c>
      <c r="K642" s="21">
        <v>0</v>
      </c>
      <c r="L642" s="3">
        <f t="shared" si="33"/>
        <v>0</v>
      </c>
      <c r="M642" s="3"/>
      <c r="N642" s="3">
        <f t="shared" si="34"/>
        <v>0</v>
      </c>
      <c r="R642" s="89"/>
      <c r="S642" s="89">
        <f>100%-Table34[[#This Row],[PDF_initial fee]]</f>
        <v>1</v>
      </c>
      <c r="T642" s="89"/>
      <c r="U642" s="26"/>
    </row>
    <row r="643" spans="1:27" hidden="1" x14ac:dyDescent="0.25">
      <c r="A643">
        <v>186440</v>
      </c>
      <c r="B643" t="s">
        <v>976</v>
      </c>
      <c r="C643" t="s">
        <v>9082</v>
      </c>
      <c r="D643">
        <v>5</v>
      </c>
      <c r="E643" t="s">
        <v>976</v>
      </c>
      <c r="H643" s="21">
        <v>0</v>
      </c>
      <c r="I643" s="21">
        <v>0</v>
      </c>
      <c r="J643" s="21">
        <v>0</v>
      </c>
      <c r="K643" s="21">
        <v>0</v>
      </c>
      <c r="L643" s="3">
        <f t="shared" si="33"/>
        <v>0</v>
      </c>
      <c r="M643" s="3"/>
      <c r="N643" s="3">
        <f t="shared" si="34"/>
        <v>0</v>
      </c>
      <c r="R643" s="89"/>
      <c r="S643" s="89">
        <f>100%-Table34[[#This Row],[PDF_initial fee]]</f>
        <v>1</v>
      </c>
      <c r="T643" s="89"/>
      <c r="U643" s="26"/>
    </row>
    <row r="644" spans="1:27" hidden="1" x14ac:dyDescent="0.25">
      <c r="A644">
        <v>186616</v>
      </c>
      <c r="B644" t="s">
        <v>977</v>
      </c>
      <c r="C644" t="s">
        <v>29532</v>
      </c>
      <c r="D644">
        <v>24</v>
      </c>
      <c r="E644" t="s">
        <v>977</v>
      </c>
      <c r="H644" s="3">
        <v>0</v>
      </c>
      <c r="I644" s="3">
        <v>0</v>
      </c>
      <c r="J644" s="3">
        <v>0</v>
      </c>
      <c r="K644" s="3">
        <v>0</v>
      </c>
      <c r="L644" s="3">
        <f t="shared" si="33"/>
        <v>0</v>
      </c>
      <c r="M644" s="3"/>
      <c r="N644" s="3">
        <f t="shared" si="34"/>
        <v>0</v>
      </c>
      <c r="R644" s="89"/>
      <c r="S644" s="89">
        <f>100%-Table34[[#This Row],[PDF_initial fee]]</f>
        <v>1</v>
      </c>
      <c r="T644" s="89"/>
      <c r="U644" s="26"/>
    </row>
    <row r="645" spans="1:27" hidden="1" x14ac:dyDescent="0.25">
      <c r="A645">
        <v>186675</v>
      </c>
      <c r="B645" t="s">
        <v>978</v>
      </c>
      <c r="C645" t="s">
        <v>10196</v>
      </c>
      <c r="D645">
        <v>1</v>
      </c>
      <c r="E645" t="s">
        <v>978</v>
      </c>
      <c r="L645" s="3">
        <f t="shared" si="33"/>
        <v>0</v>
      </c>
      <c r="M645" s="3"/>
      <c r="N645" s="3">
        <f t="shared" si="34"/>
        <v>0</v>
      </c>
      <c r="R645" s="89"/>
      <c r="S645" s="89">
        <f>100%-Table34[[#This Row],[PDF_initial fee]]</f>
        <v>1</v>
      </c>
      <c r="T645" s="89"/>
      <c r="U645" s="26"/>
    </row>
    <row r="646" spans="1:27" hidden="1" x14ac:dyDescent="0.25">
      <c r="A646">
        <v>186697</v>
      </c>
      <c r="B646" t="s">
        <v>979</v>
      </c>
      <c r="C646" t="s">
        <v>6958</v>
      </c>
      <c r="D646">
        <v>4</v>
      </c>
      <c r="E646" t="s">
        <v>979</v>
      </c>
      <c r="F646" t="s">
        <v>6958</v>
      </c>
      <c r="H646" s="21">
        <v>0</v>
      </c>
      <c r="I646" s="21">
        <v>0</v>
      </c>
      <c r="J646" s="21">
        <v>0</v>
      </c>
      <c r="K646" s="21">
        <v>0</v>
      </c>
      <c r="L646" s="3">
        <f t="shared" si="33"/>
        <v>0</v>
      </c>
      <c r="M646" s="3"/>
      <c r="N646" s="3">
        <f t="shared" si="34"/>
        <v>0</v>
      </c>
      <c r="R646" s="89"/>
      <c r="S646" s="89">
        <f>100%-Table34[[#This Row],[PDF_initial fee]]</f>
        <v>1</v>
      </c>
      <c r="T646" s="89"/>
      <c r="U646" s="26"/>
    </row>
    <row r="647" spans="1:27" hidden="1" x14ac:dyDescent="0.25">
      <c r="A647">
        <v>186705</v>
      </c>
      <c r="B647" t="s">
        <v>980</v>
      </c>
      <c r="C647" t="s">
        <v>29533</v>
      </c>
      <c r="D647">
        <v>1</v>
      </c>
      <c r="E647" t="s">
        <v>980</v>
      </c>
      <c r="H647" s="3">
        <v>0</v>
      </c>
      <c r="I647" s="3">
        <v>0</v>
      </c>
      <c r="J647" s="3">
        <v>0</v>
      </c>
      <c r="K647" s="3">
        <v>0</v>
      </c>
      <c r="L647" s="3">
        <f t="shared" si="33"/>
        <v>0</v>
      </c>
      <c r="M647" s="3"/>
      <c r="N647" s="3">
        <f t="shared" si="34"/>
        <v>0</v>
      </c>
      <c r="R647" s="89"/>
      <c r="S647" s="89">
        <f>100%-Table34[[#This Row],[PDF_initial fee]]</f>
        <v>1</v>
      </c>
      <c r="T647" s="89"/>
      <c r="U647" s="26"/>
    </row>
    <row r="648" spans="1:27" hidden="1" x14ac:dyDescent="0.25">
      <c r="A648">
        <v>186761</v>
      </c>
      <c r="B648" t="s">
        <v>981</v>
      </c>
      <c r="C648" t="s">
        <v>29534</v>
      </c>
      <c r="D648">
        <v>8</v>
      </c>
      <c r="E648" t="s">
        <v>981</v>
      </c>
      <c r="H648" s="3">
        <v>0</v>
      </c>
      <c r="I648" s="3">
        <v>0</v>
      </c>
      <c r="J648" s="3">
        <v>0</v>
      </c>
      <c r="K648" s="3">
        <v>0</v>
      </c>
      <c r="L648" s="3">
        <f t="shared" si="33"/>
        <v>0</v>
      </c>
      <c r="M648" s="3"/>
      <c r="N648" s="3">
        <f t="shared" si="34"/>
        <v>0</v>
      </c>
      <c r="R648" s="89"/>
      <c r="S648" s="89">
        <f>100%-Table34[[#This Row],[PDF_initial fee]]</f>
        <v>1</v>
      </c>
      <c r="T648" s="89"/>
      <c r="U648" s="26"/>
    </row>
    <row r="649" spans="1:27" hidden="1" x14ac:dyDescent="0.25">
      <c r="A649">
        <v>186820</v>
      </c>
      <c r="B649" t="s">
        <v>982</v>
      </c>
      <c r="C649" t="s">
        <v>29535</v>
      </c>
      <c r="D649">
        <v>0</v>
      </c>
      <c r="E649" t="s">
        <v>982</v>
      </c>
      <c r="F649" t="s">
        <v>29136</v>
      </c>
      <c r="H649" s="21">
        <v>0</v>
      </c>
      <c r="I649" s="21">
        <v>0</v>
      </c>
      <c r="J649" s="21">
        <v>0</v>
      </c>
      <c r="K649" s="21">
        <v>0</v>
      </c>
      <c r="L649" s="3">
        <f t="shared" si="33"/>
        <v>0</v>
      </c>
      <c r="M649" s="3"/>
      <c r="N649" s="3">
        <f t="shared" si="34"/>
        <v>0</v>
      </c>
      <c r="O649" s="21"/>
      <c r="R649" s="89"/>
      <c r="S649" s="89">
        <f>100%-Table34[[#This Row],[PDF_initial fee]]</f>
        <v>1</v>
      </c>
      <c r="T649" s="89"/>
      <c r="U649" s="26"/>
    </row>
    <row r="650" spans="1:27" hidden="1" x14ac:dyDescent="0.25">
      <c r="A650">
        <v>186855</v>
      </c>
      <c r="B650" t="s">
        <v>983</v>
      </c>
      <c r="C650" t="s">
        <v>6958</v>
      </c>
      <c r="D650">
        <v>1</v>
      </c>
      <c r="E650" t="s">
        <v>983</v>
      </c>
      <c r="F650" t="s">
        <v>6958</v>
      </c>
      <c r="H650" s="21">
        <v>0</v>
      </c>
      <c r="I650" s="21">
        <v>0</v>
      </c>
      <c r="J650" s="21">
        <v>0</v>
      </c>
      <c r="K650" s="21">
        <v>0</v>
      </c>
      <c r="L650" s="3">
        <f t="shared" si="33"/>
        <v>0</v>
      </c>
      <c r="M650" s="3"/>
      <c r="N650" s="3">
        <f t="shared" si="34"/>
        <v>0</v>
      </c>
      <c r="R650" s="89"/>
      <c r="S650" s="89">
        <f>100%-Table34[[#This Row],[PDF_initial fee]]</f>
        <v>1</v>
      </c>
      <c r="T650" s="89"/>
      <c r="U650" s="26"/>
    </row>
    <row r="651" spans="1:27" hidden="1" x14ac:dyDescent="0.25">
      <c r="A651">
        <v>186867</v>
      </c>
      <c r="B651" t="s">
        <v>984</v>
      </c>
      <c r="C651" t="s">
        <v>6958</v>
      </c>
      <c r="D651">
        <v>1</v>
      </c>
      <c r="E651" t="s">
        <v>984</v>
      </c>
      <c r="F651" t="s">
        <v>6958</v>
      </c>
      <c r="H651" s="21">
        <v>0</v>
      </c>
      <c r="I651" s="21">
        <v>0</v>
      </c>
      <c r="J651" s="21">
        <v>0</v>
      </c>
      <c r="K651" s="21">
        <v>0</v>
      </c>
      <c r="L651" s="3">
        <f t="shared" si="33"/>
        <v>0</v>
      </c>
      <c r="M651" s="3"/>
      <c r="N651" s="3">
        <f t="shared" si="34"/>
        <v>0</v>
      </c>
      <c r="R651" s="89"/>
      <c r="S651" s="89">
        <f>100%-Table34[[#This Row],[PDF_initial fee]]</f>
        <v>1</v>
      </c>
      <c r="T651" s="89"/>
      <c r="U651" s="26"/>
    </row>
    <row r="652" spans="1:27" hidden="1" x14ac:dyDescent="0.25">
      <c r="A652">
        <v>186890</v>
      </c>
      <c r="B652" t="s">
        <v>985</v>
      </c>
      <c r="C652" t="s">
        <v>10155</v>
      </c>
      <c r="D652">
        <v>14</v>
      </c>
      <c r="E652" t="s">
        <v>985</v>
      </c>
      <c r="H652" s="21">
        <v>0</v>
      </c>
      <c r="I652" s="21">
        <v>0</v>
      </c>
      <c r="J652" s="21">
        <v>0</v>
      </c>
      <c r="K652" s="21">
        <v>0</v>
      </c>
      <c r="L652" s="3">
        <f t="shared" si="33"/>
        <v>0</v>
      </c>
      <c r="M652" s="3"/>
      <c r="N652" s="3">
        <f t="shared" si="34"/>
        <v>0</v>
      </c>
      <c r="R652" s="89"/>
      <c r="S652" s="89">
        <f>100%-Table34[[#This Row],[PDF_initial fee]]</f>
        <v>1</v>
      </c>
      <c r="T652" s="89"/>
      <c r="U652" s="26"/>
    </row>
    <row r="653" spans="1:27" hidden="1" x14ac:dyDescent="0.25">
      <c r="A653">
        <v>186958</v>
      </c>
      <c r="B653" t="s">
        <v>986</v>
      </c>
      <c r="C653" s="1" t="s">
        <v>29536</v>
      </c>
      <c r="D653">
        <v>165</v>
      </c>
      <c r="E653" t="s">
        <v>986</v>
      </c>
      <c r="F653" t="s">
        <v>6</v>
      </c>
      <c r="H653" s="21">
        <v>0</v>
      </c>
      <c r="I653" s="21">
        <v>0</v>
      </c>
      <c r="J653" s="21">
        <v>0</v>
      </c>
      <c r="K653" s="21">
        <v>0</v>
      </c>
      <c r="L653" s="3">
        <f t="shared" si="33"/>
        <v>0</v>
      </c>
      <c r="M653" s="3"/>
      <c r="N653" s="3">
        <f t="shared" si="34"/>
        <v>0</v>
      </c>
      <c r="O653" s="21"/>
      <c r="R653" s="89"/>
      <c r="S653" s="89">
        <f>100%-Table34[[#This Row],[PDF_initial fee]]</f>
        <v>1</v>
      </c>
      <c r="T653" s="89"/>
      <c r="U653" s="26"/>
    </row>
    <row r="654" spans="1:27" x14ac:dyDescent="0.25">
      <c r="A654">
        <v>154309</v>
      </c>
      <c r="B654" t="s">
        <v>72</v>
      </c>
      <c r="C654" t="s">
        <v>9133</v>
      </c>
      <c r="D654">
        <v>1</v>
      </c>
      <c r="E654" t="s">
        <v>72</v>
      </c>
      <c r="F654" t="s">
        <v>3</v>
      </c>
      <c r="G654" s="3">
        <v>1.4E-3</v>
      </c>
      <c r="H654" s="21">
        <v>0.02</v>
      </c>
      <c r="I654" s="3">
        <v>7.4999999999999997E-3</v>
      </c>
      <c r="J654" s="6"/>
      <c r="K654" s="6"/>
      <c r="L654" s="3">
        <f t="shared" si="33"/>
        <v>2.75E-2</v>
      </c>
      <c r="M654" s="3"/>
      <c r="N654" s="3">
        <f t="shared" si="34"/>
        <v>2.8899999999999999E-2</v>
      </c>
      <c r="P654" s="1" t="s">
        <v>29537</v>
      </c>
      <c r="Q654" t="s">
        <v>31787</v>
      </c>
      <c r="R654" s="89">
        <v>0.33333333333333348</v>
      </c>
      <c r="S654" s="89">
        <f>100%-Table34[[#This Row],[InitialFee]]</f>
        <v>0.98</v>
      </c>
      <c r="T654" s="89">
        <f>(1-Table34[[#This Row],[OngoingFee (plus Platform fee)]])^5</f>
        <v>0.9630582970465823</v>
      </c>
      <c r="U654" s="26">
        <f>(1+Table34[[#This Row],[Net 5yrs return (mostly up to 28th of Feb 2026)]])*Table34[[#This Row],[Investment after initial charge]]*Table34[[#This Row],[Cummulative 5yrs ongoing advice charge]]-1</f>
        <v>0.2583961748075343</v>
      </c>
      <c r="V654" s="10">
        <f>78324+18351</f>
        <v>96675</v>
      </c>
      <c r="W654" t="s">
        <v>29051</v>
      </c>
      <c r="X654" s="10">
        <v>74130</v>
      </c>
      <c r="Y654" s="30">
        <f>X654/V654</f>
        <v>0.76679596586501164</v>
      </c>
      <c r="AA654" s="1" t="s">
        <v>29538</v>
      </c>
    </row>
    <row r="655" spans="1:27" hidden="1" x14ac:dyDescent="0.25">
      <c r="A655">
        <v>187607</v>
      </c>
      <c r="B655" t="s">
        <v>987</v>
      </c>
      <c r="C655" s="1" t="s">
        <v>29539</v>
      </c>
      <c r="D655">
        <v>4</v>
      </c>
      <c r="E655" t="s">
        <v>987</v>
      </c>
      <c r="G655" s="1"/>
      <c r="H655" s="3">
        <v>0</v>
      </c>
      <c r="I655" s="3">
        <v>0</v>
      </c>
      <c r="J655" s="3">
        <v>0</v>
      </c>
      <c r="K655" s="3">
        <v>0</v>
      </c>
      <c r="L655" s="3">
        <f t="shared" si="33"/>
        <v>0</v>
      </c>
      <c r="M655" s="3"/>
      <c r="N655" s="3">
        <f t="shared" si="34"/>
        <v>0</v>
      </c>
      <c r="R655" s="89"/>
      <c r="S655" s="89">
        <f>100%-Table34[[#This Row],[PDF_initial fee]]</f>
        <v>1</v>
      </c>
      <c r="T655" s="89"/>
      <c r="U655" s="26"/>
    </row>
    <row r="656" spans="1:27" hidden="1" x14ac:dyDescent="0.25">
      <c r="A656">
        <v>187799</v>
      </c>
      <c r="B656" t="s">
        <v>988</v>
      </c>
      <c r="C656" t="s">
        <v>29540</v>
      </c>
      <c r="D656">
        <v>18</v>
      </c>
      <c r="E656" t="s">
        <v>988</v>
      </c>
      <c r="H656" s="3">
        <v>0</v>
      </c>
      <c r="I656" s="3">
        <v>0</v>
      </c>
      <c r="J656" s="3">
        <v>0</v>
      </c>
      <c r="K656" s="3">
        <v>0</v>
      </c>
      <c r="L656" s="3">
        <f t="shared" si="33"/>
        <v>0</v>
      </c>
      <c r="M656" s="3"/>
      <c r="N656" s="3">
        <f t="shared" si="34"/>
        <v>0</v>
      </c>
      <c r="R656" s="89"/>
      <c r="S656" s="89">
        <f>100%-Table34[[#This Row],[PDF_initial fee]]</f>
        <v>1</v>
      </c>
      <c r="T656" s="89"/>
      <c r="U656" s="26"/>
    </row>
    <row r="657" spans="1:27" hidden="1" x14ac:dyDescent="0.25">
      <c r="A657">
        <v>187835</v>
      </c>
      <c r="B657" t="s">
        <v>989</v>
      </c>
      <c r="C657" t="s">
        <v>7186</v>
      </c>
      <c r="D657">
        <v>3</v>
      </c>
      <c r="E657" t="s">
        <v>989</v>
      </c>
      <c r="L657" s="3">
        <f t="shared" si="33"/>
        <v>0</v>
      </c>
      <c r="M657" s="3"/>
      <c r="N657" s="3">
        <f t="shared" si="34"/>
        <v>0</v>
      </c>
      <c r="R657" s="89"/>
      <c r="S657" s="89">
        <f>100%-Table34[[#This Row],[PDF_initial fee]]</f>
        <v>1</v>
      </c>
      <c r="T657" s="89"/>
      <c r="U657" s="26"/>
    </row>
    <row r="658" spans="1:27" hidden="1" x14ac:dyDescent="0.25">
      <c r="A658">
        <v>187991</v>
      </c>
      <c r="B658" t="s">
        <v>990</v>
      </c>
      <c r="C658" t="s">
        <v>6958</v>
      </c>
      <c r="D658">
        <v>1</v>
      </c>
      <c r="E658" t="s">
        <v>990</v>
      </c>
      <c r="F658" t="s">
        <v>6958</v>
      </c>
      <c r="H658" s="21">
        <v>0</v>
      </c>
      <c r="I658" s="21">
        <v>0</v>
      </c>
      <c r="J658" s="21">
        <v>0</v>
      </c>
      <c r="K658" s="21">
        <v>0</v>
      </c>
      <c r="L658" s="3">
        <f t="shared" si="33"/>
        <v>0</v>
      </c>
      <c r="M658" s="3"/>
      <c r="N658" s="3">
        <f t="shared" si="34"/>
        <v>0</v>
      </c>
      <c r="R658" s="89"/>
      <c r="S658" s="89">
        <f>100%-Table34[[#This Row],[PDF_initial fee]]</f>
        <v>1</v>
      </c>
      <c r="T658" s="89"/>
      <c r="U658" s="26"/>
    </row>
    <row r="659" spans="1:27" hidden="1" x14ac:dyDescent="0.25">
      <c r="A659">
        <v>188023</v>
      </c>
      <c r="B659" t="s">
        <v>991</v>
      </c>
      <c r="C659" t="s">
        <v>29541</v>
      </c>
      <c r="D659">
        <v>20</v>
      </c>
      <c r="E659" t="s">
        <v>991</v>
      </c>
      <c r="H659" s="3">
        <v>0</v>
      </c>
      <c r="I659" s="3">
        <v>0</v>
      </c>
      <c r="J659" s="3">
        <v>0</v>
      </c>
      <c r="K659" s="3">
        <v>0</v>
      </c>
      <c r="L659" s="3">
        <f t="shared" si="33"/>
        <v>0</v>
      </c>
      <c r="M659" s="3"/>
      <c r="N659" s="3">
        <f t="shared" si="34"/>
        <v>0</v>
      </c>
      <c r="R659" s="89"/>
      <c r="S659" s="89">
        <f>100%-Table34[[#This Row],[PDF_initial fee]]</f>
        <v>1</v>
      </c>
      <c r="T659" s="89"/>
      <c r="U659" s="26"/>
    </row>
    <row r="660" spans="1:27" hidden="1" x14ac:dyDescent="0.25">
      <c r="A660">
        <v>188309</v>
      </c>
      <c r="B660" t="s">
        <v>992</v>
      </c>
      <c r="C660" t="s">
        <v>6958</v>
      </c>
      <c r="D660">
        <v>2</v>
      </c>
      <c r="E660" t="s">
        <v>992</v>
      </c>
      <c r="F660" t="s">
        <v>6958</v>
      </c>
      <c r="H660" s="21">
        <v>0</v>
      </c>
      <c r="I660" s="21">
        <v>0</v>
      </c>
      <c r="J660" s="21">
        <v>0</v>
      </c>
      <c r="K660" s="21">
        <v>0</v>
      </c>
      <c r="L660" s="3">
        <f t="shared" si="33"/>
        <v>0</v>
      </c>
      <c r="M660" s="3"/>
      <c r="N660" s="3">
        <f t="shared" si="34"/>
        <v>0</v>
      </c>
      <c r="R660" s="89"/>
      <c r="S660" s="89">
        <f>100%-Table34[[#This Row],[PDF_initial fee]]</f>
        <v>1</v>
      </c>
      <c r="T660" s="89"/>
      <c r="U660" s="26"/>
    </row>
    <row r="661" spans="1:27" hidden="1" x14ac:dyDescent="0.25">
      <c r="A661">
        <v>188365</v>
      </c>
      <c r="B661" t="s">
        <v>993</v>
      </c>
      <c r="C661" t="s">
        <v>6958</v>
      </c>
      <c r="D661">
        <v>1</v>
      </c>
      <c r="E661" t="s">
        <v>993</v>
      </c>
      <c r="F661" t="s">
        <v>6958</v>
      </c>
      <c r="H661" s="21">
        <v>0</v>
      </c>
      <c r="I661" s="3">
        <v>0</v>
      </c>
      <c r="J661" s="3">
        <v>0</v>
      </c>
      <c r="K661">
        <v>0</v>
      </c>
      <c r="L661" s="3">
        <f t="shared" si="33"/>
        <v>0</v>
      </c>
      <c r="M661" s="3"/>
      <c r="N661" s="3">
        <f t="shared" si="34"/>
        <v>0</v>
      </c>
      <c r="R661" s="89"/>
      <c r="S661" s="89">
        <f>100%-Table34[[#This Row],[PDF_initial fee]]</f>
        <v>1</v>
      </c>
      <c r="T661" s="89"/>
      <c r="U661" s="26"/>
    </row>
    <row r="662" spans="1:27" hidden="1" x14ac:dyDescent="0.25">
      <c r="A662">
        <v>188523</v>
      </c>
      <c r="B662" t="s">
        <v>994</v>
      </c>
      <c r="C662" t="s">
        <v>29156</v>
      </c>
      <c r="D662">
        <v>0</v>
      </c>
      <c r="E662" t="s">
        <v>994</v>
      </c>
      <c r="F662" t="s">
        <v>29136</v>
      </c>
      <c r="H662" s="21">
        <v>0</v>
      </c>
      <c r="I662" s="21">
        <v>0</v>
      </c>
      <c r="J662" s="21">
        <v>0</v>
      </c>
      <c r="K662" s="21">
        <v>0</v>
      </c>
      <c r="L662" s="3">
        <f t="shared" si="33"/>
        <v>0</v>
      </c>
      <c r="M662" s="3"/>
      <c r="N662" s="3">
        <f t="shared" si="34"/>
        <v>0</v>
      </c>
      <c r="O662" s="21"/>
      <c r="R662" s="89"/>
      <c r="S662" s="89">
        <f>100%-Table34[[#This Row],[PDF_initial fee]]</f>
        <v>1</v>
      </c>
      <c r="T662" s="89"/>
      <c r="U662" s="26"/>
    </row>
    <row r="663" spans="1:27" hidden="1" x14ac:dyDescent="0.25">
      <c r="A663">
        <v>188581</v>
      </c>
      <c r="B663" t="s">
        <v>995</v>
      </c>
      <c r="C663" t="s">
        <v>6958</v>
      </c>
      <c r="D663">
        <v>1</v>
      </c>
      <c r="E663" t="s">
        <v>995</v>
      </c>
      <c r="F663" t="s">
        <v>6958</v>
      </c>
      <c r="H663" s="21">
        <v>0</v>
      </c>
      <c r="I663" s="21">
        <v>0</v>
      </c>
      <c r="J663" s="21">
        <v>0</v>
      </c>
      <c r="K663" s="21">
        <v>0</v>
      </c>
      <c r="L663" s="3">
        <f t="shared" si="33"/>
        <v>0</v>
      </c>
      <c r="M663" s="3"/>
      <c r="N663" s="3">
        <f t="shared" si="34"/>
        <v>0</v>
      </c>
      <c r="R663" s="89"/>
      <c r="S663" s="89">
        <f>100%-Table34[[#This Row],[PDF_initial fee]]</f>
        <v>1</v>
      </c>
      <c r="T663" s="89"/>
      <c r="U663" s="26"/>
    </row>
    <row r="664" spans="1:27" hidden="1" x14ac:dyDescent="0.25">
      <c r="A664">
        <v>188585</v>
      </c>
      <c r="B664" t="s">
        <v>996</v>
      </c>
      <c r="C664" t="s">
        <v>29542</v>
      </c>
      <c r="D664">
        <v>2</v>
      </c>
      <c r="E664" t="s">
        <v>996</v>
      </c>
      <c r="F664" t="s">
        <v>29543</v>
      </c>
      <c r="H664" s="21">
        <v>0</v>
      </c>
      <c r="I664" s="21">
        <v>0</v>
      </c>
      <c r="J664" s="21">
        <v>0</v>
      </c>
      <c r="K664" s="21">
        <v>0</v>
      </c>
      <c r="L664" s="3">
        <f t="shared" si="33"/>
        <v>0</v>
      </c>
      <c r="M664" s="3"/>
      <c r="N664" s="3">
        <f t="shared" si="34"/>
        <v>0</v>
      </c>
      <c r="O664" s="21"/>
      <c r="R664" s="89"/>
      <c r="S664" s="89">
        <f>100%-Table34[[#This Row],[PDF_initial fee]]</f>
        <v>1</v>
      </c>
      <c r="T664" s="89"/>
      <c r="U664" s="26"/>
    </row>
    <row r="665" spans="1:27" hidden="1" x14ac:dyDescent="0.25">
      <c r="A665">
        <v>188586</v>
      </c>
      <c r="B665" t="s">
        <v>997</v>
      </c>
      <c r="C665" t="s">
        <v>10484</v>
      </c>
      <c r="D665">
        <v>1</v>
      </c>
      <c r="E665" t="s">
        <v>997</v>
      </c>
      <c r="H665" s="21">
        <v>0</v>
      </c>
      <c r="I665" s="21">
        <v>0</v>
      </c>
      <c r="J665" s="21">
        <v>0</v>
      </c>
      <c r="K665" s="21">
        <v>0</v>
      </c>
      <c r="L665" s="3">
        <f t="shared" si="33"/>
        <v>0</v>
      </c>
      <c r="M665" s="3"/>
      <c r="N665" s="3">
        <f t="shared" si="34"/>
        <v>0</v>
      </c>
      <c r="R665" s="89"/>
      <c r="S665" s="89">
        <f>100%-Table34[[#This Row],[PDF_initial fee]]</f>
        <v>1</v>
      </c>
      <c r="T665" s="89"/>
      <c r="U665" s="26"/>
    </row>
    <row r="666" spans="1:27" hidden="1" x14ac:dyDescent="0.25">
      <c r="A666">
        <v>188592</v>
      </c>
      <c r="B666" t="s">
        <v>998</v>
      </c>
      <c r="C666" t="s">
        <v>29544</v>
      </c>
      <c r="D666">
        <v>3</v>
      </c>
      <c r="E666" t="s">
        <v>998</v>
      </c>
      <c r="H666" s="3">
        <v>0</v>
      </c>
      <c r="I666" s="3">
        <v>0</v>
      </c>
      <c r="J666" s="3">
        <v>0</v>
      </c>
      <c r="K666" s="3">
        <v>0</v>
      </c>
      <c r="L666" s="3">
        <f t="shared" si="33"/>
        <v>0</v>
      </c>
      <c r="M666" s="3"/>
      <c r="N666" s="3">
        <f t="shared" si="34"/>
        <v>0</v>
      </c>
      <c r="R666" s="89"/>
      <c r="S666" s="89">
        <f>100%-Table34[[#This Row],[PDF_initial fee]]</f>
        <v>1</v>
      </c>
      <c r="T666" s="89"/>
      <c r="U666" s="26"/>
    </row>
    <row r="667" spans="1:27" x14ac:dyDescent="0.25">
      <c r="A667">
        <v>186996</v>
      </c>
      <c r="B667" t="s">
        <v>89</v>
      </c>
      <c r="C667" t="s">
        <v>12131</v>
      </c>
      <c r="D667">
        <v>4</v>
      </c>
      <c r="E667" t="s">
        <v>89</v>
      </c>
      <c r="F667" t="s">
        <v>3</v>
      </c>
      <c r="G667" s="3">
        <v>1.4E-3</v>
      </c>
      <c r="H667" s="21">
        <v>0</v>
      </c>
      <c r="I667" s="21">
        <v>0</v>
      </c>
      <c r="J667" s="6">
        <v>1.4999999999999999E-2</v>
      </c>
      <c r="K667" s="6">
        <v>7.4999999999999997E-3</v>
      </c>
      <c r="L667" s="3">
        <f t="shared" si="33"/>
        <v>2.2499999999999999E-2</v>
      </c>
      <c r="M667" s="3"/>
      <c r="N667" s="3">
        <f t="shared" si="34"/>
        <v>2.3899999999999998E-2</v>
      </c>
      <c r="P667" s="1" t="s">
        <v>29545</v>
      </c>
      <c r="Q667" t="s">
        <v>31787</v>
      </c>
      <c r="R667" s="89">
        <v>0.33333333333333348</v>
      </c>
      <c r="S667" s="89">
        <f>100%-Table34[[#This Row],[PDF_initial fee]]</f>
        <v>0.98499999999999999</v>
      </c>
      <c r="T667" s="89">
        <f>(1-Table34[[#This Row],[PDF ongoing fee]])^5</f>
        <v>0.9630582970465823</v>
      </c>
      <c r="U667" s="26">
        <f>(1+Table34[[#This Row],[Net 5yrs return (mostly up to 28th of Feb 2026)]])*Table34[[#This Row],[Investment after initial charge]]*Table34[[#This Row],[Cummulative 5yrs ongoing advice charge]]-1</f>
        <v>0.26481656345451166</v>
      </c>
      <c r="V667" s="10">
        <f>281684+150032</f>
        <v>431716</v>
      </c>
      <c r="W667" t="s">
        <v>29051</v>
      </c>
      <c r="X667" s="10">
        <v>22641</v>
      </c>
      <c r="Y667" s="30">
        <f>X667/V667</f>
        <v>5.2444199427401347E-2</v>
      </c>
      <c r="AA667" s="1" t="s">
        <v>29546</v>
      </c>
    </row>
    <row r="668" spans="1:27" hidden="1" x14ac:dyDescent="0.25">
      <c r="A668">
        <v>188611</v>
      </c>
      <c r="B668" t="s">
        <v>999</v>
      </c>
      <c r="C668" t="s">
        <v>7554</v>
      </c>
      <c r="D668">
        <v>30</v>
      </c>
      <c r="E668" t="s">
        <v>999</v>
      </c>
      <c r="F668" t="s">
        <v>3</v>
      </c>
      <c r="L668" s="3">
        <f t="shared" si="33"/>
        <v>0</v>
      </c>
      <c r="M668" s="3"/>
      <c r="N668" s="3">
        <f t="shared" si="34"/>
        <v>0</v>
      </c>
      <c r="R668" s="89"/>
      <c r="S668" s="89">
        <f>100%-Table34[[#This Row],[PDF_initial fee]]</f>
        <v>1</v>
      </c>
      <c r="T668" s="89"/>
      <c r="U668" s="26"/>
    </row>
    <row r="669" spans="1:27" hidden="1" x14ac:dyDescent="0.25">
      <c r="A669">
        <v>188615</v>
      </c>
      <c r="B669" t="s">
        <v>1000</v>
      </c>
      <c r="C669" t="s">
        <v>8762</v>
      </c>
      <c r="D669">
        <v>31</v>
      </c>
      <c r="E669" t="s">
        <v>1000</v>
      </c>
      <c r="F669" t="s">
        <v>3</v>
      </c>
      <c r="H669" s="21">
        <v>0</v>
      </c>
      <c r="I669" s="21">
        <v>0</v>
      </c>
      <c r="J669" s="21">
        <v>0</v>
      </c>
      <c r="K669" s="21">
        <v>0</v>
      </c>
      <c r="L669" s="3">
        <f t="shared" si="33"/>
        <v>0</v>
      </c>
      <c r="M669" s="3"/>
      <c r="N669" s="3">
        <f t="shared" si="34"/>
        <v>0</v>
      </c>
      <c r="R669" s="89"/>
      <c r="S669" s="89">
        <f>100%-Table34[[#This Row],[PDF_initial fee]]</f>
        <v>1</v>
      </c>
      <c r="T669" s="89"/>
      <c r="U669" s="26"/>
    </row>
    <row r="670" spans="1:27" hidden="1" x14ac:dyDescent="0.25">
      <c r="A670">
        <v>188619</v>
      </c>
      <c r="B670" t="s">
        <v>1001</v>
      </c>
      <c r="C670" t="s">
        <v>29134</v>
      </c>
      <c r="D670">
        <v>0</v>
      </c>
      <c r="E670" t="s">
        <v>1001</v>
      </c>
      <c r="F670" t="s">
        <v>6</v>
      </c>
      <c r="H670" s="3">
        <v>0</v>
      </c>
      <c r="I670" s="3">
        <v>0</v>
      </c>
      <c r="J670" s="3">
        <v>0</v>
      </c>
      <c r="K670" s="3">
        <v>0</v>
      </c>
      <c r="L670" s="3">
        <f t="shared" si="33"/>
        <v>0</v>
      </c>
      <c r="M670" s="3"/>
      <c r="N670" s="3">
        <f t="shared" si="34"/>
        <v>0</v>
      </c>
      <c r="R670" s="89"/>
      <c r="S670" s="89">
        <f>100%-Table34[[#This Row],[PDF_initial fee]]</f>
        <v>1</v>
      </c>
      <c r="T670" s="89"/>
      <c r="U670" s="26"/>
    </row>
    <row r="671" spans="1:27" hidden="1" x14ac:dyDescent="0.25">
      <c r="A671">
        <v>188635</v>
      </c>
      <c r="B671" t="s">
        <v>1002</v>
      </c>
      <c r="C671" t="s">
        <v>6958</v>
      </c>
      <c r="D671">
        <v>1</v>
      </c>
      <c r="E671" t="s">
        <v>1002</v>
      </c>
      <c r="F671" t="s">
        <v>6958</v>
      </c>
      <c r="H671" s="21">
        <v>0</v>
      </c>
      <c r="I671" s="21">
        <v>0</v>
      </c>
      <c r="J671" s="21">
        <v>0</v>
      </c>
      <c r="K671" s="21">
        <v>0</v>
      </c>
      <c r="L671" s="3">
        <f t="shared" si="33"/>
        <v>0</v>
      </c>
      <c r="M671" s="3"/>
      <c r="N671" s="3">
        <f t="shared" si="34"/>
        <v>0</v>
      </c>
      <c r="R671" s="89"/>
      <c r="S671" s="89">
        <f>100%-Table34[[#This Row],[PDF_initial fee]]</f>
        <v>1</v>
      </c>
      <c r="T671" s="89"/>
      <c r="U671" s="26"/>
    </row>
    <row r="672" spans="1:27" x14ac:dyDescent="0.25">
      <c r="A672">
        <v>189146</v>
      </c>
      <c r="B672" t="s">
        <v>92</v>
      </c>
      <c r="C672" t="s">
        <v>10588</v>
      </c>
      <c r="D672">
        <v>7</v>
      </c>
      <c r="E672" t="s">
        <v>92</v>
      </c>
      <c r="F672" t="s">
        <v>3</v>
      </c>
      <c r="G672" s="3">
        <v>1.4E-3</v>
      </c>
      <c r="H672" s="21">
        <v>0.04</v>
      </c>
      <c r="I672" s="21">
        <v>0.01</v>
      </c>
      <c r="J672" s="6">
        <v>0</v>
      </c>
      <c r="K672" s="6">
        <v>0</v>
      </c>
      <c r="L672" s="3">
        <f t="shared" si="33"/>
        <v>0.05</v>
      </c>
      <c r="M672" s="3"/>
      <c r="N672" s="3">
        <f t="shared" si="34"/>
        <v>5.1400000000000001E-2</v>
      </c>
      <c r="P672" s="1" t="s">
        <v>29547</v>
      </c>
      <c r="Q672" t="s">
        <v>31787</v>
      </c>
      <c r="R672" s="89">
        <v>0.33333333333333348</v>
      </c>
      <c r="S672" s="89">
        <f>100%-Table34[[#This Row],[InitialFee]]</f>
        <v>0.96</v>
      </c>
      <c r="T672" s="89">
        <f>(1-Table34[[#This Row],[OngoingFee (plus Platform fee)]])^5</f>
        <v>0.95099004989999991</v>
      </c>
      <c r="U672" s="26">
        <f>(1+Table34[[#This Row],[Net 5yrs return (mostly up to 28th of Feb 2026)]])*Table34[[#This Row],[Investment after initial charge]]*Table34[[#This Row],[Cummulative 5yrs ongoing advice charge]]-1</f>
        <v>0.2172672638719999</v>
      </c>
      <c r="V672" s="10">
        <f>525392+273972</f>
        <v>799364</v>
      </c>
      <c r="W672" t="s">
        <v>29051</v>
      </c>
      <c r="X672" s="10">
        <v>276764</v>
      </c>
      <c r="Y672" s="30">
        <f>X672/V672</f>
        <v>0.34623025305117566</v>
      </c>
      <c r="AA672" s="1" t="s">
        <v>29548</v>
      </c>
    </row>
    <row r="673" spans="1:29" hidden="1" x14ac:dyDescent="0.25">
      <c r="A673">
        <v>188645</v>
      </c>
      <c r="B673" t="s">
        <v>1003</v>
      </c>
      <c r="C673" t="s">
        <v>6958</v>
      </c>
      <c r="D673">
        <v>1</v>
      </c>
      <c r="E673" t="s">
        <v>1003</v>
      </c>
      <c r="F673" t="s">
        <v>6958</v>
      </c>
      <c r="H673" s="21">
        <v>0</v>
      </c>
      <c r="I673" s="21">
        <v>0</v>
      </c>
      <c r="J673" s="21">
        <v>0</v>
      </c>
      <c r="K673" s="21">
        <v>0</v>
      </c>
      <c r="L673" s="3">
        <f t="shared" si="33"/>
        <v>0</v>
      </c>
      <c r="M673" s="3"/>
      <c r="N673" s="3">
        <f t="shared" si="34"/>
        <v>0</v>
      </c>
      <c r="R673" s="89"/>
      <c r="S673" s="89">
        <f>100%-Table34[[#This Row],[PDF_initial fee]]</f>
        <v>1</v>
      </c>
      <c r="T673" s="89"/>
      <c r="U673" s="26"/>
    </row>
    <row r="674" spans="1:29" hidden="1" x14ac:dyDescent="0.25">
      <c r="A674">
        <v>188757</v>
      </c>
      <c r="B674" t="s">
        <v>1004</v>
      </c>
      <c r="C674" t="s">
        <v>29549</v>
      </c>
      <c r="D674">
        <v>2</v>
      </c>
      <c r="E674" t="s">
        <v>1004</v>
      </c>
      <c r="F674" t="s">
        <v>3</v>
      </c>
      <c r="H674" s="21">
        <v>0</v>
      </c>
      <c r="I674" s="21">
        <v>0</v>
      </c>
      <c r="J674" s="21">
        <v>0</v>
      </c>
      <c r="K674" s="21">
        <v>0</v>
      </c>
      <c r="L674" s="3">
        <f t="shared" si="33"/>
        <v>0</v>
      </c>
      <c r="M674" s="3"/>
      <c r="N674" s="3">
        <f t="shared" si="34"/>
        <v>0</v>
      </c>
      <c r="O674" s="21"/>
      <c r="R674" s="89"/>
      <c r="S674" s="89">
        <f>100%-Table34[[#This Row],[PDF_initial fee]]</f>
        <v>1</v>
      </c>
      <c r="T674" s="89"/>
      <c r="U674" s="26"/>
    </row>
    <row r="675" spans="1:29" hidden="1" x14ac:dyDescent="0.25">
      <c r="A675">
        <v>188812</v>
      </c>
      <c r="B675" t="s">
        <v>1005</v>
      </c>
      <c r="C675" t="s">
        <v>6958</v>
      </c>
      <c r="D675">
        <v>1</v>
      </c>
      <c r="E675" t="s">
        <v>1005</v>
      </c>
      <c r="F675" t="s">
        <v>6958</v>
      </c>
      <c r="H675" s="21">
        <v>0</v>
      </c>
      <c r="I675" s="21">
        <v>0</v>
      </c>
      <c r="J675" s="21">
        <v>0</v>
      </c>
      <c r="K675" s="21">
        <v>0</v>
      </c>
      <c r="L675" s="3">
        <f t="shared" si="33"/>
        <v>0</v>
      </c>
      <c r="M675" s="3"/>
      <c r="N675" s="3">
        <f t="shared" si="34"/>
        <v>0</v>
      </c>
      <c r="R675" s="89"/>
      <c r="S675" s="89">
        <f>100%-Table34[[#This Row],[PDF_initial fee]]</f>
        <v>1</v>
      </c>
      <c r="T675" s="89"/>
      <c r="U675" s="26"/>
    </row>
    <row r="676" spans="1:29" hidden="1" x14ac:dyDescent="0.25">
      <c r="A676">
        <v>188860</v>
      </c>
      <c r="B676" t="s">
        <v>1006</v>
      </c>
      <c r="C676" t="s">
        <v>8544</v>
      </c>
      <c r="D676">
        <v>7</v>
      </c>
      <c r="E676" t="s">
        <v>1006</v>
      </c>
      <c r="F676" t="s">
        <v>3</v>
      </c>
      <c r="L676" s="3">
        <f t="shared" si="33"/>
        <v>0</v>
      </c>
      <c r="M676" s="3"/>
      <c r="N676" s="3">
        <f t="shared" si="34"/>
        <v>0</v>
      </c>
      <c r="R676" s="89"/>
      <c r="S676" s="89">
        <f>100%-Table34[[#This Row],[PDF_initial fee]]</f>
        <v>1</v>
      </c>
      <c r="T676" s="89"/>
      <c r="U676" s="26"/>
    </row>
    <row r="677" spans="1:29" hidden="1" x14ac:dyDescent="0.25">
      <c r="A677">
        <v>188992</v>
      </c>
      <c r="B677" t="s">
        <v>1007</v>
      </c>
      <c r="C677" t="s">
        <v>7377</v>
      </c>
      <c r="D677">
        <v>7</v>
      </c>
      <c r="E677" t="s">
        <v>1007</v>
      </c>
      <c r="F677" t="s">
        <v>3</v>
      </c>
      <c r="H677" s="21">
        <v>0</v>
      </c>
      <c r="I677" s="21">
        <v>0</v>
      </c>
      <c r="J677" s="21">
        <v>0</v>
      </c>
      <c r="K677" s="21">
        <v>0</v>
      </c>
      <c r="L677" s="3">
        <f t="shared" si="33"/>
        <v>0</v>
      </c>
      <c r="M677" s="3"/>
      <c r="N677" s="3">
        <f t="shared" si="34"/>
        <v>0</v>
      </c>
      <c r="R677" s="89"/>
      <c r="S677" s="89">
        <f>100%-Table34[[#This Row],[PDF_initial fee]]</f>
        <v>1</v>
      </c>
      <c r="T677" s="89"/>
      <c r="U677" s="26"/>
    </row>
    <row r="678" spans="1:29" hidden="1" x14ac:dyDescent="0.25">
      <c r="A678">
        <v>188993</v>
      </c>
      <c r="B678" t="s">
        <v>1008</v>
      </c>
      <c r="C678" t="s">
        <v>29550</v>
      </c>
      <c r="D678">
        <v>0</v>
      </c>
      <c r="E678" t="s">
        <v>1008</v>
      </c>
      <c r="F678" t="s">
        <v>3</v>
      </c>
      <c r="H678" s="3">
        <v>0</v>
      </c>
      <c r="I678" s="3">
        <v>0</v>
      </c>
      <c r="J678" s="3">
        <v>0</v>
      </c>
      <c r="K678" s="3">
        <v>0</v>
      </c>
      <c r="L678" s="3">
        <f t="shared" si="33"/>
        <v>0</v>
      </c>
      <c r="M678" s="3"/>
      <c r="N678" s="3">
        <f t="shared" si="34"/>
        <v>0</v>
      </c>
      <c r="R678" s="89"/>
      <c r="S678" s="89">
        <f>100%-Table34[[#This Row],[PDF_initial fee]]</f>
        <v>1</v>
      </c>
      <c r="T678" s="89"/>
      <c r="U678" s="26"/>
    </row>
    <row r="679" spans="1:29" hidden="1" x14ac:dyDescent="0.25">
      <c r="A679">
        <v>189000</v>
      </c>
      <c r="B679" t="s">
        <v>1009</v>
      </c>
      <c r="C679" t="s">
        <v>6958</v>
      </c>
      <c r="D679">
        <v>2</v>
      </c>
      <c r="E679" t="s">
        <v>1009</v>
      </c>
      <c r="F679" t="s">
        <v>6958</v>
      </c>
      <c r="L679" s="3">
        <f t="shared" si="33"/>
        <v>0</v>
      </c>
      <c r="M679" s="3"/>
      <c r="N679" s="3">
        <f t="shared" si="34"/>
        <v>0</v>
      </c>
      <c r="R679" s="89"/>
      <c r="S679" s="89">
        <f>100%-Table34[[#This Row],[PDF_initial fee]]</f>
        <v>1</v>
      </c>
      <c r="T679" s="89"/>
      <c r="U679" s="26"/>
    </row>
    <row r="680" spans="1:29" hidden="1" x14ac:dyDescent="0.25">
      <c r="A680">
        <v>189117</v>
      </c>
      <c r="B680" t="s">
        <v>1010</v>
      </c>
      <c r="C680" t="s">
        <v>29551</v>
      </c>
      <c r="D680">
        <v>6</v>
      </c>
      <c r="E680" t="s">
        <v>1010</v>
      </c>
      <c r="F680" t="s">
        <v>3</v>
      </c>
      <c r="H680" s="3">
        <v>0</v>
      </c>
      <c r="I680" s="3">
        <v>0</v>
      </c>
      <c r="J680" s="3">
        <v>0</v>
      </c>
      <c r="K680" s="3">
        <v>0</v>
      </c>
      <c r="L680" s="3">
        <f t="shared" si="33"/>
        <v>0</v>
      </c>
      <c r="M680" s="3"/>
      <c r="N680" s="3">
        <f t="shared" si="34"/>
        <v>0</v>
      </c>
      <c r="R680" s="89"/>
      <c r="S680" s="89">
        <f>100%-Table34[[#This Row],[PDF_initial fee]]</f>
        <v>1</v>
      </c>
      <c r="T680" s="89"/>
      <c r="U680" s="26"/>
    </row>
    <row r="681" spans="1:29" x14ac:dyDescent="0.25">
      <c r="A681">
        <v>454766</v>
      </c>
      <c r="B681" t="s">
        <v>172</v>
      </c>
      <c r="C681" s="1" t="s">
        <v>29552</v>
      </c>
      <c r="D681">
        <v>8</v>
      </c>
      <c r="E681" t="s">
        <v>172</v>
      </c>
      <c r="F681" t="s">
        <v>3</v>
      </c>
      <c r="G681" s="3">
        <v>1.4E-3</v>
      </c>
      <c r="H681" s="3"/>
      <c r="I681" s="3">
        <v>8.9999999999999993E-3</v>
      </c>
      <c r="J681" s="6">
        <v>0</v>
      </c>
      <c r="K681" s="6"/>
      <c r="L681" s="3">
        <f t="shared" si="33"/>
        <v>8.9999999999999993E-3</v>
      </c>
      <c r="M681" s="3"/>
      <c r="N681" s="3">
        <f t="shared" si="34"/>
        <v>1.04E-2</v>
      </c>
      <c r="O681" t="s">
        <v>29553</v>
      </c>
      <c r="P681" s="1" t="s">
        <v>29554</v>
      </c>
      <c r="Q681" t="s">
        <v>31787</v>
      </c>
      <c r="R681" s="89">
        <v>0.33333333333333348</v>
      </c>
      <c r="S681" s="99">
        <f>100%-Table34[[#This Row],[InitialFee]]</f>
        <v>1</v>
      </c>
      <c r="T681" s="99">
        <f>(1-Table34[[#This Row],[OngoingFee (plus Platform fee)]])^5</f>
        <v>0.95580274274595101</v>
      </c>
      <c r="U681" s="26">
        <f>(1+Table34[[#This Row],[Net 5yrs return (mostly up to 28th of Feb 2026)]])*Table34[[#This Row],[Investment after initial charge]]*Table34[[#This Row],[Cummulative 5yrs ongoing advice charge]]-1</f>
        <v>0.27440365699460156</v>
      </c>
      <c r="V681" s="9">
        <f>216186+173499</f>
        <v>389685</v>
      </c>
      <c r="W681" t="s">
        <v>29051</v>
      </c>
      <c r="X681" s="9">
        <v>269868</v>
      </c>
      <c r="Y681" s="30">
        <f>X681/V681</f>
        <v>0.69252858077678126</v>
      </c>
      <c r="AA681" s="1" t="s">
        <v>29555</v>
      </c>
      <c r="AC681" t="s">
        <v>29556</v>
      </c>
    </row>
    <row r="682" spans="1:29" hidden="1" x14ac:dyDescent="0.25">
      <c r="A682">
        <v>189166</v>
      </c>
      <c r="B682" t="s">
        <v>1011</v>
      </c>
      <c r="C682" t="s">
        <v>6958</v>
      </c>
      <c r="D682">
        <v>6</v>
      </c>
      <c r="E682" t="s">
        <v>1011</v>
      </c>
      <c r="F682" t="s">
        <v>6958</v>
      </c>
      <c r="H682" s="21">
        <v>0</v>
      </c>
      <c r="I682" s="21">
        <v>0</v>
      </c>
      <c r="J682" s="21">
        <v>0</v>
      </c>
      <c r="K682" s="21">
        <v>0</v>
      </c>
      <c r="L682" s="3">
        <f t="shared" si="33"/>
        <v>0</v>
      </c>
      <c r="M682" s="3"/>
      <c r="N682" s="3">
        <f t="shared" si="34"/>
        <v>0</v>
      </c>
      <c r="R682" s="89"/>
      <c r="S682" s="89">
        <f>100%-Table34[[#This Row],[PDF_initial fee]]</f>
        <v>1</v>
      </c>
      <c r="T682" s="89"/>
      <c r="U682" s="26"/>
    </row>
    <row r="683" spans="1:29" hidden="1" x14ac:dyDescent="0.25">
      <c r="A683">
        <v>189170</v>
      </c>
      <c r="B683" t="s">
        <v>1012</v>
      </c>
      <c r="C683" t="s">
        <v>29557</v>
      </c>
      <c r="D683">
        <v>5</v>
      </c>
      <c r="E683" t="s">
        <v>1012</v>
      </c>
      <c r="F683" t="s">
        <v>29487</v>
      </c>
      <c r="H683" s="21">
        <v>0</v>
      </c>
      <c r="I683" s="21">
        <v>0</v>
      </c>
      <c r="J683" s="21">
        <v>0</v>
      </c>
      <c r="K683" s="21">
        <v>0</v>
      </c>
      <c r="L683" s="3">
        <f t="shared" si="33"/>
        <v>0</v>
      </c>
      <c r="M683" s="3"/>
      <c r="N683" s="3">
        <f t="shared" si="34"/>
        <v>0</v>
      </c>
      <c r="O683" s="21"/>
      <c r="R683" s="89"/>
      <c r="S683" s="89">
        <f>100%-Table34[[#This Row],[PDF_initial fee]]</f>
        <v>1</v>
      </c>
      <c r="T683" s="89"/>
      <c r="U683" s="26"/>
    </row>
    <row r="684" spans="1:29" hidden="1" x14ac:dyDescent="0.25">
      <c r="A684">
        <v>189213</v>
      </c>
      <c r="B684" t="s">
        <v>1013</v>
      </c>
      <c r="C684" t="s">
        <v>29558</v>
      </c>
      <c r="D684">
        <v>8</v>
      </c>
      <c r="E684" t="s">
        <v>1013</v>
      </c>
      <c r="F684" t="s">
        <v>3</v>
      </c>
      <c r="H684" s="21">
        <v>0</v>
      </c>
      <c r="I684" s="3">
        <v>0</v>
      </c>
      <c r="J684" s="3">
        <v>0</v>
      </c>
      <c r="K684">
        <v>0</v>
      </c>
      <c r="L684" s="3">
        <f t="shared" si="33"/>
        <v>0</v>
      </c>
      <c r="M684" s="3"/>
      <c r="N684" s="3">
        <f t="shared" si="34"/>
        <v>0</v>
      </c>
      <c r="R684" s="89"/>
      <c r="S684" s="89">
        <f>100%-Table34[[#This Row],[PDF_initial fee]]</f>
        <v>1</v>
      </c>
      <c r="T684" s="89"/>
      <c r="U684" s="26"/>
    </row>
    <row r="685" spans="1:29" hidden="1" x14ac:dyDescent="0.25">
      <c r="A685">
        <v>189368</v>
      </c>
      <c r="B685" t="s">
        <v>1015</v>
      </c>
      <c r="C685" t="s">
        <v>7161</v>
      </c>
      <c r="D685">
        <v>1</v>
      </c>
      <c r="E685" t="s">
        <v>1015</v>
      </c>
      <c r="F685" t="s">
        <v>3</v>
      </c>
      <c r="H685" s="21">
        <v>0</v>
      </c>
      <c r="I685" s="21">
        <v>0</v>
      </c>
      <c r="J685" s="21">
        <v>0</v>
      </c>
      <c r="K685" s="21">
        <v>0</v>
      </c>
      <c r="L685" s="3">
        <f t="shared" si="33"/>
        <v>0</v>
      </c>
      <c r="M685" s="3"/>
      <c r="N685" s="3">
        <f t="shared" si="34"/>
        <v>0</v>
      </c>
      <c r="R685" s="89"/>
      <c r="S685" s="89">
        <f>100%-Table34[[#This Row],[PDF_initial fee]]</f>
        <v>1</v>
      </c>
      <c r="T685" s="89"/>
      <c r="U685" s="26"/>
    </row>
    <row r="686" spans="1:29" hidden="1" x14ac:dyDescent="0.25">
      <c r="A686">
        <v>189446</v>
      </c>
      <c r="B686" t="s">
        <v>1016</v>
      </c>
      <c r="C686" t="s">
        <v>6958</v>
      </c>
      <c r="D686">
        <v>2</v>
      </c>
      <c r="E686" t="s">
        <v>1016</v>
      </c>
      <c r="F686" t="s">
        <v>6958</v>
      </c>
      <c r="H686" s="21">
        <v>0</v>
      </c>
      <c r="I686" s="21">
        <v>0</v>
      </c>
      <c r="J686" s="21">
        <v>0</v>
      </c>
      <c r="K686" s="21">
        <v>0</v>
      </c>
      <c r="L686" s="3">
        <f t="shared" si="33"/>
        <v>0</v>
      </c>
      <c r="M686" s="3"/>
      <c r="N686" s="3">
        <f t="shared" si="34"/>
        <v>0</v>
      </c>
      <c r="R686" s="89"/>
      <c r="S686" s="89">
        <f>100%-Table34[[#This Row],[PDF_initial fee]]</f>
        <v>1</v>
      </c>
      <c r="T686" s="89"/>
      <c r="U686" s="26"/>
    </row>
    <row r="687" spans="1:29" x14ac:dyDescent="0.25">
      <c r="A687">
        <v>958869</v>
      </c>
      <c r="B687" t="s">
        <v>346</v>
      </c>
      <c r="C687" t="s">
        <v>6965</v>
      </c>
      <c r="D687">
        <v>1</v>
      </c>
      <c r="E687" t="s">
        <v>346</v>
      </c>
      <c r="F687" t="s">
        <v>3</v>
      </c>
      <c r="G687" s="3">
        <v>1.4E-3</v>
      </c>
      <c r="H687" s="3">
        <f>(3.5%/2)+1%</f>
        <v>2.7500000000000004E-2</v>
      </c>
      <c r="I687" s="3">
        <v>0.01</v>
      </c>
      <c r="J687" s="6"/>
      <c r="K687" s="6"/>
      <c r="L687" s="3">
        <f t="shared" ref="L687:L750" si="35">SUM(H687:K687)</f>
        <v>3.7500000000000006E-2</v>
      </c>
      <c r="M687" s="3"/>
      <c r="N687" s="3">
        <f t="shared" ref="N687:N750" si="36">L687+G687</f>
        <v>3.8900000000000004E-2</v>
      </c>
      <c r="P687" s="31" t="s">
        <v>29559</v>
      </c>
      <c r="Q687" t="s">
        <v>31787</v>
      </c>
      <c r="R687" s="89">
        <v>0.33333333333333348</v>
      </c>
      <c r="S687" s="89">
        <f>100%-Table34[[#This Row],[InitialFee]]</f>
        <v>0.97250000000000003</v>
      </c>
      <c r="T687" s="89">
        <f>(1-Table34[[#This Row],[OngoingFee (plus Platform fee)]])^5</f>
        <v>0.95099004989999991</v>
      </c>
      <c r="U687" s="26">
        <f>(1+Table34[[#This Row],[Net 5yrs return (mostly up to 28th of Feb 2026)]])*Table34[[#This Row],[Investment after initial charge]]*Table34[[#This Row],[Cummulative 5yrs ongoing advice charge]]-1</f>
        <v>0.23311709803700009</v>
      </c>
      <c r="V687">
        <f>21561 +14159</f>
        <v>35720</v>
      </c>
      <c r="W687" t="s">
        <v>29051</v>
      </c>
      <c r="X687" s="9">
        <v>5237</v>
      </c>
      <c r="Y687" s="30">
        <f>X687/V687</f>
        <v>0.14661254199328108</v>
      </c>
      <c r="AA687" s="1" t="s">
        <v>29560</v>
      </c>
    </row>
    <row r="688" spans="1:29" hidden="1" x14ac:dyDescent="0.25">
      <c r="A688">
        <v>189495</v>
      </c>
      <c r="B688" t="s">
        <v>1017</v>
      </c>
      <c r="C688" t="s">
        <v>29561</v>
      </c>
      <c r="D688">
        <v>0</v>
      </c>
      <c r="E688" t="s">
        <v>1017</v>
      </c>
      <c r="F688" t="s">
        <v>29136</v>
      </c>
      <c r="H688" s="21">
        <v>0</v>
      </c>
      <c r="I688" s="21">
        <v>0</v>
      </c>
      <c r="J688" s="21">
        <v>0</v>
      </c>
      <c r="K688" s="21">
        <v>0</v>
      </c>
      <c r="L688" s="3">
        <f t="shared" si="35"/>
        <v>0</v>
      </c>
      <c r="M688" s="3"/>
      <c r="N688" s="3">
        <f t="shared" si="36"/>
        <v>0</v>
      </c>
      <c r="O688" s="21"/>
      <c r="R688" s="89"/>
      <c r="S688" s="89">
        <f>100%-Table34[[#This Row],[PDF_initial fee]]</f>
        <v>1</v>
      </c>
      <c r="T688" s="89"/>
      <c r="U688" s="26"/>
    </row>
    <row r="689" spans="1:29" hidden="1" x14ac:dyDescent="0.25">
      <c r="A689">
        <v>189602</v>
      </c>
      <c r="B689" t="s">
        <v>1018</v>
      </c>
      <c r="C689" t="s">
        <v>7988</v>
      </c>
      <c r="D689">
        <v>4</v>
      </c>
      <c r="E689" t="s">
        <v>1018</v>
      </c>
      <c r="F689" t="s">
        <v>3</v>
      </c>
      <c r="H689" s="21">
        <v>0</v>
      </c>
      <c r="I689" s="21">
        <v>0</v>
      </c>
      <c r="J689" s="21">
        <v>0</v>
      </c>
      <c r="K689" s="21">
        <v>0</v>
      </c>
      <c r="L689" s="3">
        <f t="shared" si="35"/>
        <v>0</v>
      </c>
      <c r="M689" s="3"/>
      <c r="N689" s="3">
        <f t="shared" si="36"/>
        <v>0</v>
      </c>
      <c r="R689" s="89"/>
      <c r="S689" s="89">
        <f>100%-Table34[[#This Row],[PDF_initial fee]]</f>
        <v>1</v>
      </c>
      <c r="T689" s="89"/>
      <c r="U689" s="26"/>
    </row>
    <row r="690" spans="1:29" ht="19.5" customHeight="1" x14ac:dyDescent="0.25">
      <c r="A690">
        <v>509016</v>
      </c>
      <c r="B690" t="s">
        <v>198</v>
      </c>
      <c r="C690" t="s">
        <v>12150</v>
      </c>
      <c r="D690">
        <v>10</v>
      </c>
      <c r="E690" t="s">
        <v>198</v>
      </c>
      <c r="F690" t="s">
        <v>3</v>
      </c>
      <c r="G690" s="3">
        <v>1.4E-3</v>
      </c>
      <c r="H690" s="3">
        <v>0.03</v>
      </c>
      <c r="I690" s="3">
        <v>0.01</v>
      </c>
      <c r="J690" s="6"/>
      <c r="K690" s="6"/>
      <c r="L690" s="3">
        <f t="shared" si="35"/>
        <v>0.04</v>
      </c>
      <c r="M690" s="3"/>
      <c r="N690" s="3">
        <f t="shared" si="36"/>
        <v>4.1399999999999999E-2</v>
      </c>
      <c r="P690" s="31" t="s">
        <v>29562</v>
      </c>
      <c r="Q690" t="s">
        <v>31787</v>
      </c>
      <c r="R690" s="89">
        <v>0.33333333333333348</v>
      </c>
      <c r="S690" s="89">
        <f>100%-Table34[[#This Row],[InitialFee]]</f>
        <v>0.97</v>
      </c>
      <c r="T690" s="89">
        <f>(1-Table34[[#This Row],[OngoingFee (plus Platform fee)]])^5</f>
        <v>0.95099004989999991</v>
      </c>
      <c r="U690" s="26">
        <f>(1+Table34[[#This Row],[Net 5yrs return (mostly up to 28th of Feb 2026)]])*Table34[[#This Row],[Investment after initial charge]]*Table34[[#This Row],[Cummulative 5yrs ongoing advice charge]]-1</f>
        <v>0.22994713120400001</v>
      </c>
      <c r="V690" s="10">
        <f>342110+407508</f>
        <v>749618</v>
      </c>
      <c r="W690" t="s">
        <v>29051</v>
      </c>
      <c r="X690" s="9">
        <v>287206</v>
      </c>
      <c r="Y690" s="30">
        <f>X690/V690</f>
        <v>0.38313647751254637</v>
      </c>
      <c r="AA690" s="1" t="s">
        <v>29563</v>
      </c>
    </row>
    <row r="691" spans="1:29" x14ac:dyDescent="0.25">
      <c r="A691">
        <v>519670</v>
      </c>
      <c r="B691" t="s">
        <v>205</v>
      </c>
      <c r="C691" t="s">
        <v>29564</v>
      </c>
      <c r="D691">
        <v>2</v>
      </c>
      <c r="E691" t="s">
        <v>205</v>
      </c>
      <c r="F691" t="s">
        <v>3</v>
      </c>
      <c r="G691" s="3">
        <v>1.4E-3</v>
      </c>
      <c r="H691" s="3">
        <v>0.02</v>
      </c>
      <c r="I691" s="3">
        <v>7.4999999999999997E-3</v>
      </c>
      <c r="J691" s="6">
        <v>0</v>
      </c>
      <c r="K691" s="6">
        <v>0</v>
      </c>
      <c r="L691" s="3">
        <f t="shared" si="35"/>
        <v>2.75E-2</v>
      </c>
      <c r="M691" s="3"/>
      <c r="N691" s="3">
        <f t="shared" si="36"/>
        <v>2.8899999999999999E-2</v>
      </c>
      <c r="P691" s="31" t="s">
        <v>29565</v>
      </c>
      <c r="Q691" t="s">
        <v>31787</v>
      </c>
      <c r="R691" s="89">
        <v>0.33333333333333348</v>
      </c>
      <c r="S691" s="89">
        <f>100%-Table34[[#This Row],[InitialFee]]</f>
        <v>0.98</v>
      </c>
      <c r="T691" s="89">
        <f>(1-Table34[[#This Row],[OngoingFee (plus Platform fee)]])^5</f>
        <v>0.9630582970465823</v>
      </c>
      <c r="U691" s="26">
        <f>(1+Table34[[#This Row],[Net 5yrs return (mostly up to 28th of Feb 2026)]])*Table34[[#This Row],[Investment after initial charge]]*Table34[[#This Row],[Cummulative 5yrs ongoing advice charge]]-1</f>
        <v>0.2583961748075343</v>
      </c>
      <c r="V691" s="10">
        <v>90128</v>
      </c>
      <c r="W691" t="s">
        <v>29051</v>
      </c>
      <c r="X691" s="9">
        <v>71181</v>
      </c>
      <c r="Y691" s="30">
        <f>X691/V691</f>
        <v>0.78977676193857627</v>
      </c>
      <c r="AA691" s="1" t="s">
        <v>29566</v>
      </c>
    </row>
    <row r="692" spans="1:29" hidden="1" x14ac:dyDescent="0.25">
      <c r="A692">
        <v>189740</v>
      </c>
      <c r="B692" t="s">
        <v>1019</v>
      </c>
      <c r="C692" t="s">
        <v>7869</v>
      </c>
      <c r="D692">
        <v>3</v>
      </c>
      <c r="E692" t="s">
        <v>1019</v>
      </c>
      <c r="F692" t="s">
        <v>3</v>
      </c>
      <c r="H692" s="21">
        <v>0</v>
      </c>
      <c r="I692" s="21">
        <v>0</v>
      </c>
      <c r="J692" s="21">
        <v>0</v>
      </c>
      <c r="K692" s="21">
        <v>0</v>
      </c>
      <c r="L692" s="3">
        <f t="shared" si="35"/>
        <v>0</v>
      </c>
      <c r="M692" s="3"/>
      <c r="N692" s="3">
        <f t="shared" si="36"/>
        <v>0</v>
      </c>
      <c r="R692" s="89"/>
      <c r="S692" s="89">
        <f>100%-Table34[[#This Row],[PDF_initial fee]]</f>
        <v>1</v>
      </c>
      <c r="T692" s="89"/>
      <c r="U692" s="26"/>
    </row>
    <row r="693" spans="1:29" x14ac:dyDescent="0.25">
      <c r="A693">
        <v>568257</v>
      </c>
      <c r="B693" t="s">
        <v>224</v>
      </c>
      <c r="C693" t="s">
        <v>9903</v>
      </c>
      <c r="D693">
        <v>3</v>
      </c>
      <c r="E693" t="s">
        <v>224</v>
      </c>
      <c r="F693" t="s">
        <v>3</v>
      </c>
      <c r="G693" s="3">
        <v>1.4E-3</v>
      </c>
      <c r="H693" s="3"/>
      <c r="I693" s="3">
        <v>0.01</v>
      </c>
      <c r="J693" s="6">
        <v>0</v>
      </c>
      <c r="K693" s="6"/>
      <c r="L693" s="3">
        <f t="shared" si="35"/>
        <v>0.01</v>
      </c>
      <c r="M693" s="3"/>
      <c r="N693" s="3">
        <f t="shared" si="36"/>
        <v>1.14E-2</v>
      </c>
      <c r="O693" t="s">
        <v>29567</v>
      </c>
      <c r="P693" s="1" t="s">
        <v>29568</v>
      </c>
      <c r="Q693" t="s">
        <v>31787</v>
      </c>
      <c r="R693" s="89">
        <v>0.33333333333333348</v>
      </c>
      <c r="S693" s="99">
        <f>100%-Table34[[#This Row],[InitialFee]]</f>
        <v>1</v>
      </c>
      <c r="T693" s="99">
        <f>(1-Table34[[#This Row],[OngoingFee (plus Platform fee)]])^5</f>
        <v>0.95099004989999991</v>
      </c>
      <c r="U693" s="26">
        <f>(1+Table34[[#This Row],[Net 5yrs return (mostly up to 28th of Feb 2026)]])*Table34[[#This Row],[Investment after initial charge]]*Table34[[#This Row],[Cummulative 5yrs ongoing advice charge]]-1</f>
        <v>0.2679867332000001</v>
      </c>
      <c r="V693" s="10">
        <f>394927+49475</f>
        <v>444402</v>
      </c>
      <c r="W693" t="s">
        <v>29051</v>
      </c>
      <c r="X693" s="9">
        <v>259990</v>
      </c>
      <c r="Y693" s="30">
        <f>X693/V693</f>
        <v>0.58503337068690064</v>
      </c>
      <c r="AA693" s="1" t="s">
        <v>29569</v>
      </c>
      <c r="AC693" t="s">
        <v>29570</v>
      </c>
    </row>
    <row r="694" spans="1:29" hidden="1" x14ac:dyDescent="0.25">
      <c r="A694">
        <v>189846</v>
      </c>
      <c r="B694" t="s">
        <v>1021</v>
      </c>
      <c r="C694" t="s">
        <v>9831</v>
      </c>
      <c r="D694">
        <v>1</v>
      </c>
      <c r="E694" t="s">
        <v>1021</v>
      </c>
      <c r="F694" t="s">
        <v>3</v>
      </c>
      <c r="H694" s="21">
        <v>0</v>
      </c>
      <c r="I694" s="21">
        <v>0</v>
      </c>
      <c r="J694" s="21">
        <v>0</v>
      </c>
      <c r="K694" s="21">
        <v>0</v>
      </c>
      <c r="L694" s="3">
        <f t="shared" si="35"/>
        <v>0</v>
      </c>
      <c r="M694" s="3"/>
      <c r="N694" s="3">
        <f t="shared" si="36"/>
        <v>0</v>
      </c>
      <c r="R694" s="89"/>
      <c r="S694" s="89">
        <f>100%-Table34[[#This Row],[PDF_initial fee]]</f>
        <v>1</v>
      </c>
      <c r="T694" s="89"/>
      <c r="U694" s="26"/>
    </row>
    <row r="695" spans="1:29" hidden="1" x14ac:dyDescent="0.25">
      <c r="A695">
        <v>189921</v>
      </c>
      <c r="B695" t="s">
        <v>1022</v>
      </c>
      <c r="C695" t="s">
        <v>6958</v>
      </c>
      <c r="D695">
        <v>9</v>
      </c>
      <c r="E695" t="s">
        <v>1022</v>
      </c>
      <c r="F695" t="s">
        <v>6958</v>
      </c>
      <c r="H695" s="21">
        <v>0</v>
      </c>
      <c r="I695" s="21">
        <v>0</v>
      </c>
      <c r="J695" s="21">
        <v>0</v>
      </c>
      <c r="K695" s="21">
        <v>0</v>
      </c>
      <c r="L695" s="3">
        <f t="shared" si="35"/>
        <v>0</v>
      </c>
      <c r="M695" s="3"/>
      <c r="N695" s="3">
        <f t="shared" si="36"/>
        <v>0</v>
      </c>
      <c r="R695" s="89"/>
      <c r="S695" s="89">
        <f>100%-Table34[[#This Row],[PDF_initial fee]]</f>
        <v>1</v>
      </c>
      <c r="T695" s="89"/>
      <c r="U695" s="26"/>
    </row>
    <row r="696" spans="1:29" hidden="1" x14ac:dyDescent="0.25">
      <c r="A696">
        <v>189974</v>
      </c>
      <c r="B696" t="s">
        <v>1024</v>
      </c>
      <c r="C696" t="s">
        <v>6958</v>
      </c>
      <c r="D696">
        <v>6</v>
      </c>
      <c r="E696" t="s">
        <v>1024</v>
      </c>
      <c r="F696" t="s">
        <v>6958</v>
      </c>
      <c r="H696" s="21">
        <v>0</v>
      </c>
      <c r="I696" s="21">
        <v>0</v>
      </c>
      <c r="J696" s="21">
        <v>0</v>
      </c>
      <c r="K696" s="21">
        <v>0</v>
      </c>
      <c r="L696" s="3">
        <f t="shared" si="35"/>
        <v>0</v>
      </c>
      <c r="M696" s="3"/>
      <c r="N696" s="3">
        <f t="shared" si="36"/>
        <v>0</v>
      </c>
      <c r="R696" s="89"/>
      <c r="S696" s="89">
        <f>100%-Table34[[#This Row],[PDF_initial fee]]</f>
        <v>1</v>
      </c>
      <c r="T696" s="89"/>
      <c r="U696" s="26"/>
    </row>
    <row r="697" spans="1:29" hidden="1" x14ac:dyDescent="0.25">
      <c r="A697">
        <v>190002</v>
      </c>
      <c r="B697" t="s">
        <v>1025</v>
      </c>
      <c r="C697" t="s">
        <v>6958</v>
      </c>
      <c r="D697">
        <v>1</v>
      </c>
      <c r="E697" t="s">
        <v>1025</v>
      </c>
      <c r="F697" t="s">
        <v>6958</v>
      </c>
      <c r="H697" s="3">
        <v>0</v>
      </c>
      <c r="I697" s="3">
        <v>0</v>
      </c>
      <c r="J697" s="3">
        <v>0</v>
      </c>
      <c r="K697" s="3">
        <v>0</v>
      </c>
      <c r="L697" s="3">
        <f t="shared" si="35"/>
        <v>0</v>
      </c>
      <c r="M697" s="3"/>
      <c r="N697" s="3">
        <f t="shared" si="36"/>
        <v>0</v>
      </c>
      <c r="R697" s="89"/>
      <c r="S697" s="89">
        <f>100%-Table34[[#This Row],[PDF_initial fee]]</f>
        <v>1</v>
      </c>
      <c r="T697" s="89"/>
      <c r="U697" s="26"/>
    </row>
    <row r="698" spans="1:29" hidden="1" x14ac:dyDescent="0.25">
      <c r="A698">
        <v>190062</v>
      </c>
      <c r="B698" t="s">
        <v>1026</v>
      </c>
      <c r="C698" t="s">
        <v>11836</v>
      </c>
      <c r="D698">
        <v>2</v>
      </c>
      <c r="E698" t="s">
        <v>1026</v>
      </c>
      <c r="F698" t="s">
        <v>3</v>
      </c>
      <c r="L698" s="3">
        <f t="shared" si="35"/>
        <v>0</v>
      </c>
      <c r="M698" s="3"/>
      <c r="N698" s="3">
        <f t="shared" si="36"/>
        <v>0</v>
      </c>
      <c r="R698" s="89"/>
      <c r="S698" s="89">
        <f>100%-Table34[[#This Row],[PDF_initial fee]]</f>
        <v>1</v>
      </c>
      <c r="T698" s="89"/>
      <c r="U698" s="26"/>
    </row>
    <row r="699" spans="1:29" hidden="1" x14ac:dyDescent="0.25">
      <c r="A699">
        <v>190077</v>
      </c>
      <c r="B699" t="s">
        <v>1027</v>
      </c>
      <c r="C699" t="s">
        <v>6958</v>
      </c>
      <c r="D699">
        <v>1</v>
      </c>
      <c r="E699" t="s">
        <v>1027</v>
      </c>
      <c r="F699" t="s">
        <v>6958</v>
      </c>
      <c r="H699" s="21">
        <v>0</v>
      </c>
      <c r="I699" s="21">
        <v>0</v>
      </c>
      <c r="J699" s="21">
        <v>0</v>
      </c>
      <c r="K699" s="21">
        <v>0</v>
      </c>
      <c r="L699" s="3">
        <f t="shared" si="35"/>
        <v>0</v>
      </c>
      <c r="M699" s="3"/>
      <c r="N699" s="3">
        <f t="shared" si="36"/>
        <v>0</v>
      </c>
      <c r="R699" s="89"/>
      <c r="S699" s="89">
        <f>100%-Table34[[#This Row],[PDF_initial fee]]</f>
        <v>1</v>
      </c>
      <c r="T699" s="89"/>
      <c r="U699" s="26"/>
    </row>
    <row r="700" spans="1:29" hidden="1" x14ac:dyDescent="0.25">
      <c r="A700">
        <v>190079</v>
      </c>
      <c r="B700" t="s">
        <v>1028</v>
      </c>
      <c r="C700" t="s">
        <v>29571</v>
      </c>
      <c r="D700">
        <v>9</v>
      </c>
      <c r="E700" t="s">
        <v>1028</v>
      </c>
      <c r="F700" t="s">
        <v>3</v>
      </c>
      <c r="H700" s="3">
        <v>0</v>
      </c>
      <c r="I700" s="3">
        <v>0</v>
      </c>
      <c r="J700" s="3">
        <v>0</v>
      </c>
      <c r="K700" s="3">
        <v>0</v>
      </c>
      <c r="L700" s="3">
        <f t="shared" si="35"/>
        <v>0</v>
      </c>
      <c r="M700" s="3"/>
      <c r="N700" s="3">
        <f t="shared" si="36"/>
        <v>0</v>
      </c>
      <c r="R700" s="89"/>
      <c r="S700" s="89">
        <f>100%-Table34[[#This Row],[PDF_initial fee]]</f>
        <v>1</v>
      </c>
      <c r="T700" s="89"/>
      <c r="U700" s="26"/>
    </row>
    <row r="701" spans="1:29" hidden="1" x14ac:dyDescent="0.25">
      <c r="A701">
        <v>190181</v>
      </c>
      <c r="B701" t="s">
        <v>1029</v>
      </c>
      <c r="C701" t="s">
        <v>6958</v>
      </c>
      <c r="D701">
        <v>9</v>
      </c>
      <c r="E701" t="s">
        <v>1029</v>
      </c>
      <c r="F701" t="s">
        <v>6958</v>
      </c>
      <c r="H701" s="21">
        <v>0</v>
      </c>
      <c r="I701" s="21">
        <v>0</v>
      </c>
      <c r="J701" s="21">
        <v>0</v>
      </c>
      <c r="K701" s="21">
        <v>0</v>
      </c>
      <c r="L701" s="3">
        <f t="shared" si="35"/>
        <v>0</v>
      </c>
      <c r="M701" s="3"/>
      <c r="N701" s="3">
        <f t="shared" si="36"/>
        <v>0</v>
      </c>
      <c r="R701" s="89"/>
      <c r="S701" s="89">
        <f>100%-Table34[[#This Row],[PDF_initial fee]]</f>
        <v>1</v>
      </c>
      <c r="T701" s="89"/>
      <c r="U701" s="26"/>
    </row>
    <row r="702" spans="1:29" hidden="1" x14ac:dyDescent="0.25">
      <c r="A702">
        <v>190203</v>
      </c>
      <c r="B702" t="s">
        <v>1030</v>
      </c>
      <c r="C702" t="s">
        <v>8432</v>
      </c>
      <c r="D702">
        <v>7</v>
      </c>
      <c r="E702" t="s">
        <v>1030</v>
      </c>
      <c r="F702" t="s">
        <v>3</v>
      </c>
      <c r="H702" s="21">
        <v>0</v>
      </c>
      <c r="I702" s="21">
        <v>0</v>
      </c>
      <c r="J702" s="21">
        <v>0</v>
      </c>
      <c r="K702" s="21">
        <v>0</v>
      </c>
      <c r="L702" s="3">
        <f t="shared" si="35"/>
        <v>0</v>
      </c>
      <c r="M702" s="3"/>
      <c r="N702" s="3">
        <f t="shared" si="36"/>
        <v>0</v>
      </c>
      <c r="R702" s="89"/>
      <c r="S702" s="89">
        <f>100%-Table34[[#This Row],[PDF_initial fee]]</f>
        <v>1</v>
      </c>
      <c r="T702" s="89"/>
      <c r="U702" s="26"/>
    </row>
    <row r="703" spans="1:29" hidden="1" x14ac:dyDescent="0.25">
      <c r="A703">
        <v>190252</v>
      </c>
      <c r="B703" t="s">
        <v>1031</v>
      </c>
      <c r="C703" t="s">
        <v>11279</v>
      </c>
      <c r="D703">
        <v>2</v>
      </c>
      <c r="E703" t="s">
        <v>1031</v>
      </c>
      <c r="F703" t="s">
        <v>3</v>
      </c>
      <c r="H703" s="21">
        <v>0</v>
      </c>
      <c r="I703" s="21">
        <v>0</v>
      </c>
      <c r="J703" s="21">
        <v>0</v>
      </c>
      <c r="K703" s="21">
        <v>0</v>
      </c>
      <c r="L703" s="3">
        <f t="shared" si="35"/>
        <v>0</v>
      </c>
      <c r="M703" s="3"/>
      <c r="N703" s="3">
        <f t="shared" si="36"/>
        <v>0</v>
      </c>
      <c r="R703" s="89"/>
      <c r="S703" s="89">
        <f>100%-Table34[[#This Row],[PDF_initial fee]]</f>
        <v>1</v>
      </c>
      <c r="T703" s="89"/>
      <c r="U703" s="26"/>
    </row>
    <row r="704" spans="1:29" hidden="1" x14ac:dyDescent="0.25">
      <c r="A704">
        <v>190270</v>
      </c>
      <c r="B704" t="s">
        <v>1032</v>
      </c>
      <c r="C704" t="s">
        <v>29572</v>
      </c>
      <c r="D704">
        <v>0</v>
      </c>
      <c r="E704" t="s">
        <v>1032</v>
      </c>
      <c r="F704" t="s">
        <v>29573</v>
      </c>
      <c r="H704" s="21">
        <v>0</v>
      </c>
      <c r="I704" s="21">
        <v>0</v>
      </c>
      <c r="J704" s="21">
        <v>0</v>
      </c>
      <c r="K704" s="21">
        <v>0</v>
      </c>
      <c r="L704" s="3">
        <f t="shared" si="35"/>
        <v>0</v>
      </c>
      <c r="M704" s="3"/>
      <c r="N704" s="3">
        <f t="shared" si="36"/>
        <v>0</v>
      </c>
      <c r="O704" s="21"/>
      <c r="R704" s="89"/>
      <c r="S704" s="89">
        <f>100%-Table34[[#This Row],[PDF_initial fee]]</f>
        <v>1</v>
      </c>
      <c r="T704" s="89"/>
      <c r="U704" s="26"/>
    </row>
    <row r="705" spans="1:28" hidden="1" x14ac:dyDescent="0.25">
      <c r="A705">
        <v>190353</v>
      </c>
      <c r="B705" t="s">
        <v>1033</v>
      </c>
      <c r="C705" t="s">
        <v>11118</v>
      </c>
      <c r="D705">
        <v>2</v>
      </c>
      <c r="E705" t="s">
        <v>1033</v>
      </c>
      <c r="F705" t="s">
        <v>3</v>
      </c>
      <c r="H705" s="21">
        <v>0</v>
      </c>
      <c r="I705" s="21">
        <v>0</v>
      </c>
      <c r="J705" s="21">
        <v>0</v>
      </c>
      <c r="K705" s="21">
        <v>0</v>
      </c>
      <c r="L705" s="3">
        <f t="shared" si="35"/>
        <v>0</v>
      </c>
      <c r="M705" s="3"/>
      <c r="N705" s="3">
        <f t="shared" si="36"/>
        <v>0</v>
      </c>
      <c r="R705" s="89"/>
      <c r="S705" s="89">
        <f>100%-Table34[[#This Row],[PDF_initial fee]]</f>
        <v>1</v>
      </c>
      <c r="T705" s="89"/>
      <c r="U705" s="26"/>
    </row>
    <row r="706" spans="1:28" hidden="1" x14ac:dyDescent="0.25">
      <c r="A706">
        <v>190358</v>
      </c>
      <c r="B706" t="s">
        <v>1035</v>
      </c>
      <c r="C706" t="s">
        <v>6958</v>
      </c>
      <c r="D706">
        <v>1</v>
      </c>
      <c r="E706" t="s">
        <v>1035</v>
      </c>
      <c r="F706" t="s">
        <v>6958</v>
      </c>
      <c r="H706" s="21">
        <v>0</v>
      </c>
      <c r="I706" s="21">
        <v>0</v>
      </c>
      <c r="J706" s="21">
        <v>0</v>
      </c>
      <c r="K706" s="21">
        <v>0</v>
      </c>
      <c r="L706" s="3">
        <f t="shared" si="35"/>
        <v>0</v>
      </c>
      <c r="M706" s="3"/>
      <c r="N706" s="3">
        <f t="shared" si="36"/>
        <v>0</v>
      </c>
      <c r="O706" s="21"/>
      <c r="R706" s="89"/>
      <c r="S706" s="89">
        <f>100%-Table34[[#This Row],[PDF_initial fee]]</f>
        <v>1</v>
      </c>
      <c r="T706" s="89"/>
      <c r="U706" s="26"/>
    </row>
    <row r="707" spans="1:28" hidden="1" x14ac:dyDescent="0.25">
      <c r="A707">
        <v>190539</v>
      </c>
      <c r="B707" t="s">
        <v>1036</v>
      </c>
      <c r="C707" t="s">
        <v>11597</v>
      </c>
      <c r="D707">
        <v>4</v>
      </c>
      <c r="E707" t="s">
        <v>1036</v>
      </c>
      <c r="F707" t="s">
        <v>3</v>
      </c>
      <c r="L707" s="3">
        <f t="shared" si="35"/>
        <v>0</v>
      </c>
      <c r="M707" s="3"/>
      <c r="N707" s="3">
        <f t="shared" si="36"/>
        <v>0</v>
      </c>
      <c r="R707" s="89"/>
      <c r="S707" s="89">
        <f>100%-Table34[[#This Row],[PDF_initial fee]]</f>
        <v>1</v>
      </c>
      <c r="T707" s="89"/>
      <c r="U707" s="26"/>
    </row>
    <row r="708" spans="1:28" hidden="1" x14ac:dyDescent="0.25">
      <c r="A708">
        <v>190546</v>
      </c>
      <c r="B708" t="s">
        <v>1037</v>
      </c>
      <c r="C708" t="s">
        <v>6958</v>
      </c>
      <c r="D708">
        <v>5</v>
      </c>
      <c r="E708" t="s">
        <v>1037</v>
      </c>
      <c r="F708" t="s">
        <v>6958</v>
      </c>
      <c r="H708" s="21">
        <v>0</v>
      </c>
      <c r="I708" s="21">
        <v>0</v>
      </c>
      <c r="J708" s="21">
        <v>0</v>
      </c>
      <c r="K708" s="21">
        <v>0</v>
      </c>
      <c r="L708" s="3">
        <f t="shared" si="35"/>
        <v>0</v>
      </c>
      <c r="M708" s="3"/>
      <c r="N708" s="3">
        <f t="shared" si="36"/>
        <v>0</v>
      </c>
      <c r="R708" s="89"/>
      <c r="S708" s="89">
        <f>100%-Table34[[#This Row],[PDF_initial fee]]</f>
        <v>1</v>
      </c>
      <c r="T708" s="89"/>
      <c r="U708" s="26"/>
    </row>
    <row r="709" spans="1:28" hidden="1" x14ac:dyDescent="0.25">
      <c r="A709">
        <v>190548</v>
      </c>
      <c r="B709" t="s">
        <v>1038</v>
      </c>
      <c r="C709" t="s">
        <v>8050</v>
      </c>
      <c r="D709">
        <v>11</v>
      </c>
      <c r="E709" t="s">
        <v>1038</v>
      </c>
      <c r="F709" t="s">
        <v>6</v>
      </c>
      <c r="H709" s="21">
        <v>0</v>
      </c>
      <c r="I709" s="21">
        <v>0</v>
      </c>
      <c r="J709" s="21">
        <v>0</v>
      </c>
      <c r="K709" s="21">
        <v>0</v>
      </c>
      <c r="L709" s="3">
        <f t="shared" si="35"/>
        <v>0</v>
      </c>
      <c r="M709" s="3"/>
      <c r="N709" s="3">
        <f t="shared" si="36"/>
        <v>0</v>
      </c>
      <c r="R709" s="89"/>
      <c r="S709" s="89">
        <f>100%-Table34[[#This Row],[PDF_initial fee]]</f>
        <v>1</v>
      </c>
      <c r="T709" s="89"/>
      <c r="U709" s="26"/>
    </row>
    <row r="710" spans="1:28" hidden="1" x14ac:dyDescent="0.25">
      <c r="A710">
        <v>190597</v>
      </c>
      <c r="B710" t="s">
        <v>1039</v>
      </c>
      <c r="C710" t="s">
        <v>29574</v>
      </c>
      <c r="D710">
        <v>2</v>
      </c>
      <c r="E710" t="s">
        <v>1039</v>
      </c>
      <c r="F710" t="s">
        <v>3</v>
      </c>
      <c r="H710" s="3">
        <v>0</v>
      </c>
      <c r="I710" s="3">
        <v>0</v>
      </c>
      <c r="J710" s="3">
        <v>0</v>
      </c>
      <c r="K710" s="3">
        <v>0</v>
      </c>
      <c r="L710" s="3">
        <f t="shared" si="35"/>
        <v>0</v>
      </c>
      <c r="M710" s="3"/>
      <c r="N710" s="3">
        <f t="shared" si="36"/>
        <v>0</v>
      </c>
      <c r="R710" s="89"/>
      <c r="S710" s="89">
        <f>100%-Table34[[#This Row],[PDF_initial fee]]</f>
        <v>1</v>
      </c>
      <c r="T710" s="89"/>
      <c r="U710" s="26"/>
    </row>
    <row r="711" spans="1:28" x14ac:dyDescent="0.25">
      <c r="A711">
        <v>977366</v>
      </c>
      <c r="B711" t="s">
        <v>353</v>
      </c>
      <c r="C711" t="s">
        <v>8788</v>
      </c>
      <c r="D711">
        <v>1</v>
      </c>
      <c r="E711" t="s">
        <v>353</v>
      </c>
      <c r="F711" t="s">
        <v>3</v>
      </c>
      <c r="G711" s="3">
        <v>1.4E-3</v>
      </c>
      <c r="H711" s="3">
        <v>5.2499999999999998E-2</v>
      </c>
      <c r="I711" s="3">
        <v>0.03</v>
      </c>
      <c r="J711" s="6"/>
      <c r="K711" s="6"/>
      <c r="L711" s="3">
        <f t="shared" si="35"/>
        <v>8.249999999999999E-2</v>
      </c>
      <c r="M711" s="3"/>
      <c r="N711" s="3">
        <f t="shared" si="36"/>
        <v>8.3899999999999988E-2</v>
      </c>
      <c r="O711" t="s">
        <v>29575</v>
      </c>
      <c r="P711" s="31" t="s">
        <v>29576</v>
      </c>
      <c r="Q711" t="s">
        <v>31787</v>
      </c>
      <c r="R711" s="89">
        <v>0.33333333333333348</v>
      </c>
      <c r="S711" s="89">
        <f>100%-Table34[[#This Row],[InitialFee]]</f>
        <v>0.94750000000000001</v>
      </c>
      <c r="T711" s="89">
        <f>(1-Table34[[#This Row],[OngoingFee (plus Platform fee)]])^5</f>
        <v>0.8587340256999999</v>
      </c>
      <c r="U711" s="26">
        <f>(1+Table34[[#This Row],[Net 5yrs return (mostly up to 28th of Feb 2026)]])*Table34[[#This Row],[Investment after initial charge]]*Table34[[#This Row],[Cummulative 5yrs ongoing advice charge]]-1</f>
        <v>8.4867319134333208E-2</v>
      </c>
      <c r="V711">
        <f>32773+1198</f>
        <v>33971</v>
      </c>
      <c r="W711" t="s">
        <v>29051</v>
      </c>
      <c r="X711" s="9">
        <v>1991</v>
      </c>
      <c r="Y711" s="30">
        <f>X711/V711</f>
        <v>5.8608813399664422E-2</v>
      </c>
      <c r="AA711" s="1" t="s">
        <v>29577</v>
      </c>
      <c r="AB711" t="s">
        <v>29302</v>
      </c>
    </row>
    <row r="712" spans="1:28" hidden="1" x14ac:dyDescent="0.25">
      <c r="A712">
        <v>190780</v>
      </c>
      <c r="B712" t="s">
        <v>1040</v>
      </c>
      <c r="C712" t="s">
        <v>6958</v>
      </c>
      <c r="D712">
        <v>0</v>
      </c>
      <c r="E712" t="s">
        <v>1040</v>
      </c>
      <c r="F712" t="s">
        <v>6958</v>
      </c>
      <c r="H712" s="21">
        <v>0</v>
      </c>
      <c r="I712" s="21">
        <v>0</v>
      </c>
      <c r="J712" s="21">
        <v>0</v>
      </c>
      <c r="K712" s="21">
        <v>0</v>
      </c>
      <c r="L712" s="3">
        <f t="shared" si="35"/>
        <v>0</v>
      </c>
      <c r="M712" s="3"/>
      <c r="N712" s="3">
        <f t="shared" si="36"/>
        <v>0</v>
      </c>
      <c r="R712" s="89"/>
      <c r="S712" s="89">
        <f>100%-Table34[[#This Row],[PDF_initial fee]]</f>
        <v>1</v>
      </c>
      <c r="T712" s="89"/>
      <c r="U712" s="26"/>
    </row>
    <row r="713" spans="1:28" hidden="1" x14ac:dyDescent="0.25">
      <c r="A713">
        <v>190859</v>
      </c>
      <c r="B713" t="s">
        <v>1042</v>
      </c>
      <c r="C713" t="s">
        <v>12166</v>
      </c>
      <c r="D713">
        <v>51</v>
      </c>
      <c r="E713" t="s">
        <v>1042</v>
      </c>
      <c r="H713" s="21">
        <v>0</v>
      </c>
      <c r="I713" s="21">
        <v>0</v>
      </c>
      <c r="J713" s="21">
        <v>0</v>
      </c>
      <c r="K713" s="21">
        <v>0</v>
      </c>
      <c r="L713" s="3">
        <f t="shared" si="35"/>
        <v>0</v>
      </c>
      <c r="M713" s="3"/>
      <c r="N713" s="3">
        <f t="shared" si="36"/>
        <v>0</v>
      </c>
      <c r="O713" t="s">
        <v>29578</v>
      </c>
      <c r="R713" s="89"/>
      <c r="S713" s="89">
        <f>100%-Table34[[#This Row],[PDF_initial fee]]</f>
        <v>1</v>
      </c>
      <c r="T713" s="89"/>
      <c r="U713" s="26"/>
    </row>
    <row r="714" spans="1:28" x14ac:dyDescent="0.25">
      <c r="A714">
        <v>599254</v>
      </c>
      <c r="B714" t="s">
        <v>247</v>
      </c>
      <c r="C714" t="s">
        <v>29579</v>
      </c>
      <c r="D714">
        <v>1</v>
      </c>
      <c r="E714" t="s">
        <v>247</v>
      </c>
      <c r="F714" t="s">
        <v>3</v>
      </c>
      <c r="G714" s="3">
        <v>1.4E-3</v>
      </c>
      <c r="H714" s="3">
        <v>0.03</v>
      </c>
      <c r="I714" s="3">
        <v>0.01</v>
      </c>
      <c r="J714" s="6">
        <v>0</v>
      </c>
      <c r="K714" s="6">
        <v>0</v>
      </c>
      <c r="L714" s="3">
        <f t="shared" si="35"/>
        <v>0.04</v>
      </c>
      <c r="M714" s="3"/>
      <c r="N714" s="3">
        <f t="shared" si="36"/>
        <v>4.1399999999999999E-2</v>
      </c>
      <c r="P714" s="31" t="s">
        <v>29580</v>
      </c>
      <c r="Q714" t="s">
        <v>31787</v>
      </c>
      <c r="R714" s="89">
        <v>0.33333333333333348</v>
      </c>
      <c r="S714" s="89">
        <f>100%-Table34[[#This Row],[InitialFee]]</f>
        <v>0.97</v>
      </c>
      <c r="T714" s="89">
        <f>(1-Table34[[#This Row],[OngoingFee (plus Platform fee)]])^5</f>
        <v>0.95099004989999991</v>
      </c>
      <c r="U714" s="26">
        <f>(1+Table34[[#This Row],[Net 5yrs return (mostly up to 28th of Feb 2026)]])*Table34[[#This Row],[Investment after initial charge]]*Table34[[#This Row],[Cummulative 5yrs ongoing advice charge]]-1</f>
        <v>0.22994713120400001</v>
      </c>
      <c r="V714" s="10">
        <f>220001+41753</f>
        <v>261754</v>
      </c>
      <c r="W714" t="s">
        <v>29051</v>
      </c>
      <c r="X714" s="9">
        <v>137162</v>
      </c>
      <c r="Y714" s="30">
        <f>X714/V714</f>
        <v>0.5240110943863322</v>
      </c>
      <c r="AA714" s="1" t="s">
        <v>29581</v>
      </c>
    </row>
    <row r="715" spans="1:28" hidden="1" x14ac:dyDescent="0.25">
      <c r="A715">
        <v>191022</v>
      </c>
      <c r="B715" t="s">
        <v>1043</v>
      </c>
      <c r="C715" t="s">
        <v>10267</v>
      </c>
      <c r="D715">
        <v>13</v>
      </c>
      <c r="E715" t="s">
        <v>1043</v>
      </c>
      <c r="F715" t="s">
        <v>3</v>
      </c>
      <c r="H715" s="21">
        <v>0</v>
      </c>
      <c r="I715" s="21">
        <v>0</v>
      </c>
      <c r="J715" s="21">
        <v>0</v>
      </c>
      <c r="K715" s="21">
        <v>0</v>
      </c>
      <c r="L715" s="3">
        <f t="shared" si="35"/>
        <v>0</v>
      </c>
      <c r="M715" s="3"/>
      <c r="N715" s="3">
        <f t="shared" si="36"/>
        <v>0</v>
      </c>
      <c r="R715" s="89"/>
      <c r="S715" s="89">
        <f>100%-Table34[[#This Row],[PDF_initial fee]]</f>
        <v>1</v>
      </c>
      <c r="T715" s="89"/>
      <c r="U715" s="26"/>
    </row>
    <row r="716" spans="1:28" hidden="1" x14ac:dyDescent="0.25">
      <c r="A716">
        <v>191209</v>
      </c>
      <c r="B716" t="s">
        <v>1044</v>
      </c>
      <c r="C716" t="s">
        <v>29582</v>
      </c>
      <c r="D716">
        <v>2</v>
      </c>
      <c r="E716" t="s">
        <v>1044</v>
      </c>
      <c r="F716" t="s">
        <v>3</v>
      </c>
      <c r="H716" s="21">
        <v>0</v>
      </c>
      <c r="I716" s="3">
        <v>0</v>
      </c>
      <c r="J716" s="3">
        <v>0</v>
      </c>
      <c r="K716">
        <v>0</v>
      </c>
      <c r="L716" s="3">
        <f t="shared" si="35"/>
        <v>0</v>
      </c>
      <c r="M716" s="3"/>
      <c r="N716" s="3">
        <f t="shared" si="36"/>
        <v>0</v>
      </c>
      <c r="R716" s="89"/>
      <c r="S716" s="89">
        <f>100%-Table34[[#This Row],[PDF_initial fee]]</f>
        <v>1</v>
      </c>
      <c r="T716" s="89"/>
      <c r="U716" s="26"/>
    </row>
    <row r="717" spans="1:28" hidden="1" x14ac:dyDescent="0.25">
      <c r="A717">
        <v>191240</v>
      </c>
      <c r="B717" t="s">
        <v>1045</v>
      </c>
      <c r="C717" t="s">
        <v>29583</v>
      </c>
      <c r="D717">
        <v>0</v>
      </c>
      <c r="E717" t="s">
        <v>1045</v>
      </c>
      <c r="F717" t="s">
        <v>29584</v>
      </c>
      <c r="H717" s="21">
        <v>0</v>
      </c>
      <c r="I717" s="21">
        <v>0</v>
      </c>
      <c r="J717" s="21">
        <v>0</v>
      </c>
      <c r="K717" s="21">
        <v>0</v>
      </c>
      <c r="L717" s="3">
        <f t="shared" si="35"/>
        <v>0</v>
      </c>
      <c r="M717" s="3"/>
      <c r="N717" s="3">
        <f t="shared" si="36"/>
        <v>0</v>
      </c>
      <c r="O717" s="21"/>
      <c r="R717" s="89"/>
      <c r="S717" s="89">
        <f>100%-Table34[[#This Row],[PDF_initial fee]]</f>
        <v>1</v>
      </c>
      <c r="T717" s="89"/>
      <c r="U717" s="26"/>
    </row>
    <row r="718" spans="1:28" hidden="1" x14ac:dyDescent="0.25">
      <c r="A718">
        <v>191246</v>
      </c>
      <c r="B718" t="s">
        <v>1046</v>
      </c>
      <c r="C718" t="s">
        <v>6958</v>
      </c>
      <c r="D718">
        <v>1</v>
      </c>
      <c r="E718" t="s">
        <v>1046</v>
      </c>
      <c r="F718" t="s">
        <v>6958</v>
      </c>
      <c r="H718" s="21">
        <v>0</v>
      </c>
      <c r="I718" s="21">
        <v>0</v>
      </c>
      <c r="J718" s="21">
        <v>0</v>
      </c>
      <c r="K718" s="21">
        <v>0</v>
      </c>
      <c r="L718" s="3">
        <f t="shared" si="35"/>
        <v>0</v>
      </c>
      <c r="M718" s="3"/>
      <c r="N718" s="3">
        <f t="shared" si="36"/>
        <v>0</v>
      </c>
      <c r="R718" s="89"/>
      <c r="S718" s="89">
        <f>100%-Table34[[#This Row],[PDF_initial fee]]</f>
        <v>1</v>
      </c>
      <c r="T718" s="89"/>
      <c r="U718" s="26"/>
    </row>
    <row r="719" spans="1:28" hidden="1" x14ac:dyDescent="0.25">
      <c r="A719">
        <v>191334</v>
      </c>
      <c r="B719" t="s">
        <v>1047</v>
      </c>
      <c r="C719" t="s">
        <v>6958</v>
      </c>
      <c r="D719">
        <v>1</v>
      </c>
      <c r="E719" t="s">
        <v>1047</v>
      </c>
      <c r="F719" t="s">
        <v>6958</v>
      </c>
      <c r="H719" s="21">
        <v>0</v>
      </c>
      <c r="I719" s="21">
        <v>0</v>
      </c>
      <c r="J719" s="21">
        <v>0</v>
      </c>
      <c r="K719" s="21">
        <v>0</v>
      </c>
      <c r="L719" s="3">
        <f t="shared" si="35"/>
        <v>0</v>
      </c>
      <c r="M719" s="3"/>
      <c r="N719" s="3">
        <f t="shared" si="36"/>
        <v>0</v>
      </c>
      <c r="R719" s="89"/>
      <c r="S719" s="89">
        <f>100%-Table34[[#This Row],[PDF_initial fee]]</f>
        <v>1</v>
      </c>
      <c r="T719" s="89"/>
      <c r="U719" s="26"/>
    </row>
    <row r="720" spans="1:28" hidden="1" x14ac:dyDescent="0.25">
      <c r="A720">
        <v>191336</v>
      </c>
      <c r="B720" t="s">
        <v>1048</v>
      </c>
      <c r="C720" s="1" t="s">
        <v>29585</v>
      </c>
      <c r="D720">
        <v>9</v>
      </c>
      <c r="E720" t="s">
        <v>1048</v>
      </c>
      <c r="F720" t="s">
        <v>3</v>
      </c>
      <c r="G720" s="1"/>
      <c r="H720" s="3">
        <v>0</v>
      </c>
      <c r="I720" s="3">
        <v>0</v>
      </c>
      <c r="J720" s="3">
        <v>0</v>
      </c>
      <c r="K720" s="3">
        <v>0</v>
      </c>
      <c r="L720" s="3">
        <f t="shared" si="35"/>
        <v>0</v>
      </c>
      <c r="M720" s="3"/>
      <c r="N720" s="3">
        <f t="shared" si="36"/>
        <v>0</v>
      </c>
      <c r="R720" s="89"/>
      <c r="S720" s="89">
        <f>100%-Table34[[#This Row],[PDF_initial fee]]</f>
        <v>1</v>
      </c>
      <c r="T720" s="89"/>
      <c r="U720" s="26"/>
    </row>
    <row r="721" spans="1:30" hidden="1" x14ac:dyDescent="0.25">
      <c r="A721">
        <v>191340</v>
      </c>
      <c r="B721" t="s">
        <v>1049</v>
      </c>
      <c r="C721" t="s">
        <v>6958</v>
      </c>
      <c r="D721">
        <v>1</v>
      </c>
      <c r="E721" t="s">
        <v>1049</v>
      </c>
      <c r="F721" t="s">
        <v>6958</v>
      </c>
      <c r="H721" s="21">
        <v>0</v>
      </c>
      <c r="I721" s="21">
        <v>0</v>
      </c>
      <c r="J721" s="21">
        <v>0</v>
      </c>
      <c r="K721" s="21">
        <v>0</v>
      </c>
      <c r="L721" s="3">
        <f t="shared" si="35"/>
        <v>0</v>
      </c>
      <c r="M721" s="3"/>
      <c r="N721" s="3">
        <f t="shared" si="36"/>
        <v>0</v>
      </c>
      <c r="R721" s="89"/>
      <c r="S721" s="89">
        <f>100%-Table34[[#This Row],[PDF_initial fee]]</f>
        <v>1</v>
      </c>
      <c r="T721" s="89"/>
      <c r="U721" s="26"/>
    </row>
    <row r="722" spans="1:30" hidden="1" x14ac:dyDescent="0.25">
      <c r="A722">
        <v>191350</v>
      </c>
      <c r="B722" t="s">
        <v>1050</v>
      </c>
      <c r="C722" t="s">
        <v>6958</v>
      </c>
      <c r="D722">
        <v>1</v>
      </c>
      <c r="E722" t="s">
        <v>1050</v>
      </c>
      <c r="F722" t="s">
        <v>6958</v>
      </c>
      <c r="L722" s="3">
        <f t="shared" si="35"/>
        <v>0</v>
      </c>
      <c r="M722" s="3"/>
      <c r="N722" s="3">
        <f t="shared" si="36"/>
        <v>0</v>
      </c>
      <c r="R722" s="89"/>
      <c r="S722" s="89">
        <f>100%-Table34[[#This Row],[PDF_initial fee]]</f>
        <v>1</v>
      </c>
      <c r="T722" s="89"/>
      <c r="U722" s="26"/>
    </row>
    <row r="723" spans="1:30" hidden="1" x14ac:dyDescent="0.25">
      <c r="A723">
        <v>191436</v>
      </c>
      <c r="B723" t="s">
        <v>1051</v>
      </c>
      <c r="C723" t="s">
        <v>6958</v>
      </c>
      <c r="D723">
        <v>1</v>
      </c>
      <c r="E723" t="s">
        <v>1051</v>
      </c>
      <c r="F723" t="s">
        <v>6958</v>
      </c>
      <c r="H723" s="21">
        <v>0</v>
      </c>
      <c r="I723" s="21">
        <v>0</v>
      </c>
      <c r="J723" s="21">
        <v>0</v>
      </c>
      <c r="K723" s="21">
        <v>0</v>
      </c>
      <c r="L723" s="3">
        <f t="shared" si="35"/>
        <v>0</v>
      </c>
      <c r="M723" s="3"/>
      <c r="N723" s="3">
        <f t="shared" si="36"/>
        <v>0</v>
      </c>
      <c r="R723" s="89"/>
      <c r="S723" s="89">
        <f>100%-Table34[[#This Row],[PDF_initial fee]]</f>
        <v>1</v>
      </c>
      <c r="T723" s="89"/>
      <c r="U723" s="26"/>
    </row>
    <row r="724" spans="1:30" hidden="1" x14ac:dyDescent="0.25">
      <c r="A724">
        <v>191440</v>
      </c>
      <c r="B724" t="s">
        <v>1052</v>
      </c>
      <c r="C724" t="s">
        <v>6958</v>
      </c>
      <c r="D724">
        <v>3</v>
      </c>
      <c r="E724" t="s">
        <v>1052</v>
      </c>
      <c r="F724" t="s">
        <v>6958</v>
      </c>
      <c r="H724" s="21">
        <v>0</v>
      </c>
      <c r="I724" s="21">
        <v>0</v>
      </c>
      <c r="J724" s="21">
        <v>0</v>
      </c>
      <c r="K724" s="21">
        <v>0</v>
      </c>
      <c r="L724" s="3">
        <f t="shared" si="35"/>
        <v>0</v>
      </c>
      <c r="M724" s="3"/>
      <c r="N724" s="3">
        <f t="shared" si="36"/>
        <v>0</v>
      </c>
      <c r="R724" s="89"/>
      <c r="S724" s="89">
        <f>100%-Table34[[#This Row],[PDF_initial fee]]</f>
        <v>1</v>
      </c>
      <c r="T724" s="89"/>
      <c r="U724" s="26"/>
    </row>
    <row r="725" spans="1:30" hidden="1" x14ac:dyDescent="0.25">
      <c r="A725">
        <v>191531</v>
      </c>
      <c r="B725" t="s">
        <v>1053</v>
      </c>
      <c r="C725" t="s">
        <v>12545</v>
      </c>
      <c r="D725">
        <v>7</v>
      </c>
      <c r="E725" t="s">
        <v>1053</v>
      </c>
      <c r="F725" t="s">
        <v>3</v>
      </c>
      <c r="H725" s="21">
        <v>0</v>
      </c>
      <c r="I725" s="21">
        <v>0</v>
      </c>
      <c r="J725" s="21">
        <v>0</v>
      </c>
      <c r="K725" s="21">
        <v>0</v>
      </c>
      <c r="L725" s="3">
        <f t="shared" si="35"/>
        <v>0</v>
      </c>
      <c r="M725" s="3"/>
      <c r="N725" s="3">
        <f t="shared" si="36"/>
        <v>0</v>
      </c>
      <c r="R725" s="89"/>
      <c r="S725" s="89">
        <f>100%-Table34[[#This Row],[PDF_initial fee]]</f>
        <v>1</v>
      </c>
      <c r="T725" s="89"/>
      <c r="U725" s="26"/>
    </row>
    <row r="726" spans="1:30" hidden="1" x14ac:dyDescent="0.25">
      <c r="A726">
        <v>191568</v>
      </c>
      <c r="B726" t="s">
        <v>1054</v>
      </c>
      <c r="C726" t="s">
        <v>10356</v>
      </c>
      <c r="D726">
        <v>1</v>
      </c>
      <c r="E726" t="s">
        <v>1054</v>
      </c>
      <c r="F726" t="s">
        <v>3</v>
      </c>
      <c r="H726" s="21">
        <v>0</v>
      </c>
      <c r="I726" s="21">
        <v>0</v>
      </c>
      <c r="J726" s="21">
        <v>0</v>
      </c>
      <c r="K726" s="21">
        <v>0</v>
      </c>
      <c r="L726" s="3">
        <f t="shared" si="35"/>
        <v>0</v>
      </c>
      <c r="M726" s="3"/>
      <c r="N726" s="3">
        <f t="shared" si="36"/>
        <v>0</v>
      </c>
      <c r="R726" s="89"/>
      <c r="S726" s="89">
        <f>100%-Table34[[#This Row],[PDF_initial fee]]</f>
        <v>1</v>
      </c>
      <c r="T726" s="89"/>
      <c r="U726" s="26"/>
    </row>
    <row r="727" spans="1:30" hidden="1" x14ac:dyDescent="0.25">
      <c r="A727">
        <v>191609</v>
      </c>
      <c r="B727" t="s">
        <v>1055</v>
      </c>
      <c r="C727" t="s">
        <v>29586</v>
      </c>
      <c r="D727">
        <v>66</v>
      </c>
      <c r="E727" t="s">
        <v>1055</v>
      </c>
      <c r="F727" t="s">
        <v>6</v>
      </c>
      <c r="L727" s="3">
        <f t="shared" si="35"/>
        <v>0</v>
      </c>
      <c r="M727" s="3"/>
      <c r="N727" s="3">
        <f t="shared" si="36"/>
        <v>0</v>
      </c>
      <c r="R727" s="89"/>
      <c r="S727" s="89">
        <f>100%-Table34[[#This Row],[PDF_initial fee]]</f>
        <v>1</v>
      </c>
      <c r="T727" s="89"/>
      <c r="U727" s="26"/>
    </row>
    <row r="728" spans="1:30" hidden="1" x14ac:dyDescent="0.25">
      <c r="A728">
        <v>191617</v>
      </c>
      <c r="B728" t="s">
        <v>1056</v>
      </c>
      <c r="C728" t="s">
        <v>6958</v>
      </c>
      <c r="D728">
        <v>1</v>
      </c>
      <c r="E728" t="s">
        <v>1056</v>
      </c>
      <c r="F728" t="s">
        <v>6958</v>
      </c>
      <c r="H728" s="21">
        <v>0</v>
      </c>
      <c r="I728" s="21">
        <v>0</v>
      </c>
      <c r="J728" s="21">
        <v>0</v>
      </c>
      <c r="K728" s="21">
        <v>0</v>
      </c>
      <c r="L728" s="3">
        <f t="shared" si="35"/>
        <v>0</v>
      </c>
      <c r="M728" s="3"/>
      <c r="N728" s="3">
        <f t="shared" si="36"/>
        <v>0</v>
      </c>
      <c r="R728" s="89"/>
      <c r="S728" s="89">
        <f>100%-Table34[[#This Row],[PDF_initial fee]]</f>
        <v>1</v>
      </c>
      <c r="T728" s="89"/>
      <c r="U728" s="26"/>
    </row>
    <row r="729" spans="1:30" x14ac:dyDescent="0.25">
      <c r="A729">
        <v>555523</v>
      </c>
      <c r="B729" t="s">
        <v>222</v>
      </c>
      <c r="C729" t="s">
        <v>29587</v>
      </c>
      <c r="D729">
        <v>1</v>
      </c>
      <c r="E729" t="s">
        <v>222</v>
      </c>
      <c r="F729" t="s">
        <v>3</v>
      </c>
      <c r="G729" s="3">
        <v>1.4E-3</v>
      </c>
      <c r="H729" s="21">
        <v>0.03</v>
      </c>
      <c r="I729" s="21">
        <v>0.01</v>
      </c>
      <c r="J729" s="6"/>
      <c r="K729" s="6"/>
      <c r="L729" s="3">
        <f t="shared" si="35"/>
        <v>0.04</v>
      </c>
      <c r="M729" s="3"/>
      <c r="N729" s="3">
        <f t="shared" si="36"/>
        <v>4.1399999999999999E-2</v>
      </c>
      <c r="P729" s="31" t="s">
        <v>29588</v>
      </c>
      <c r="Q729" t="s">
        <v>31787</v>
      </c>
      <c r="R729" s="89">
        <v>0.33333333333333348</v>
      </c>
      <c r="S729" s="89">
        <f>100%-Table34[[#This Row],[InitialFee]]</f>
        <v>0.97</v>
      </c>
      <c r="T729" s="89">
        <f>(1-Table34[[#This Row],[OngoingFee (plus Platform fee)]])^5</f>
        <v>0.95099004989999991</v>
      </c>
      <c r="U729" s="26">
        <f>(1+Table34[[#This Row],[Net 5yrs return (mostly up to 28th of Feb 2026)]])*Table34[[#This Row],[Investment after initial charge]]*Table34[[#This Row],[Cummulative 5yrs ongoing advice charge]]-1</f>
        <v>0.22994713120400001</v>
      </c>
      <c r="V729" s="10">
        <v>30699</v>
      </c>
      <c r="W729" t="s">
        <v>29051</v>
      </c>
      <c r="X729" s="9">
        <v>15897</v>
      </c>
      <c r="Y729" s="30">
        <f>X729/V729</f>
        <v>0.51783445714844134</v>
      </c>
      <c r="AA729" s="1" t="s">
        <v>29589</v>
      </c>
    </row>
    <row r="730" spans="1:30" hidden="1" x14ac:dyDescent="0.25">
      <c r="A730">
        <v>191772</v>
      </c>
      <c r="B730" t="s">
        <v>1058</v>
      </c>
      <c r="C730" t="s">
        <v>6958</v>
      </c>
      <c r="D730">
        <v>1</v>
      </c>
      <c r="E730" t="s">
        <v>1058</v>
      </c>
      <c r="F730" t="s">
        <v>6958</v>
      </c>
      <c r="H730" s="21">
        <v>0</v>
      </c>
      <c r="I730" s="21">
        <v>0</v>
      </c>
      <c r="J730" s="21">
        <v>0</v>
      </c>
      <c r="K730" s="21">
        <v>0</v>
      </c>
      <c r="L730" s="3">
        <f t="shared" si="35"/>
        <v>0</v>
      </c>
      <c r="M730" s="3"/>
      <c r="N730" s="3">
        <f t="shared" si="36"/>
        <v>0</v>
      </c>
      <c r="R730" s="89"/>
      <c r="S730" s="89">
        <f>100%-Table34[[#This Row],[PDF_initial fee]]</f>
        <v>1</v>
      </c>
      <c r="T730" s="89"/>
      <c r="U730" s="26"/>
    </row>
    <row r="731" spans="1:30" hidden="1" x14ac:dyDescent="0.25">
      <c r="A731">
        <v>191786</v>
      </c>
      <c r="B731" t="s">
        <v>1059</v>
      </c>
      <c r="C731" t="s">
        <v>6958</v>
      </c>
      <c r="D731">
        <v>4</v>
      </c>
      <c r="E731" t="s">
        <v>1059</v>
      </c>
      <c r="F731" t="s">
        <v>6958</v>
      </c>
      <c r="H731" s="21">
        <v>0</v>
      </c>
      <c r="I731" s="21">
        <v>0</v>
      </c>
      <c r="J731" s="21">
        <v>0</v>
      </c>
      <c r="K731" s="21">
        <v>0</v>
      </c>
      <c r="L731" s="3">
        <f t="shared" si="35"/>
        <v>0</v>
      </c>
      <c r="M731" s="3"/>
      <c r="N731" s="3">
        <f t="shared" si="36"/>
        <v>0</v>
      </c>
      <c r="R731" s="89"/>
      <c r="S731" s="89">
        <f>100%-Table34[[#This Row],[PDF_initial fee]]</f>
        <v>1</v>
      </c>
      <c r="T731" s="89"/>
      <c r="U731" s="26"/>
    </row>
    <row r="732" spans="1:30" hidden="1" x14ac:dyDescent="0.25">
      <c r="A732">
        <v>191811</v>
      </c>
      <c r="B732" t="s">
        <v>1060</v>
      </c>
      <c r="C732" t="s">
        <v>6958</v>
      </c>
      <c r="D732">
        <v>1</v>
      </c>
      <c r="E732" t="s">
        <v>1060</v>
      </c>
      <c r="F732" t="s">
        <v>6958</v>
      </c>
      <c r="H732" s="21">
        <v>0</v>
      </c>
      <c r="I732" s="21">
        <v>0</v>
      </c>
      <c r="J732" s="21">
        <v>0</v>
      </c>
      <c r="K732" s="21">
        <v>0</v>
      </c>
      <c r="L732" s="3">
        <f t="shared" si="35"/>
        <v>0</v>
      </c>
      <c r="M732" s="3"/>
      <c r="N732" s="3">
        <f t="shared" si="36"/>
        <v>0</v>
      </c>
      <c r="R732" s="89"/>
      <c r="S732" s="89">
        <f>100%-Table34[[#This Row],[PDF_initial fee]]</f>
        <v>1</v>
      </c>
      <c r="T732" s="89"/>
      <c r="U732" s="26"/>
    </row>
    <row r="733" spans="1:30" hidden="1" x14ac:dyDescent="0.25">
      <c r="A733">
        <v>191874</v>
      </c>
      <c r="B733" t="s">
        <v>1062</v>
      </c>
      <c r="C733" t="s">
        <v>29590</v>
      </c>
      <c r="D733">
        <v>2</v>
      </c>
      <c r="E733" t="s">
        <v>1062</v>
      </c>
      <c r="F733" t="s">
        <v>3</v>
      </c>
      <c r="H733" s="3">
        <v>0</v>
      </c>
      <c r="I733" s="3">
        <v>0</v>
      </c>
      <c r="J733" s="3">
        <v>0</v>
      </c>
      <c r="K733" s="3">
        <v>0</v>
      </c>
      <c r="L733" s="3">
        <f t="shared" si="35"/>
        <v>0</v>
      </c>
      <c r="M733" s="3"/>
      <c r="N733" s="3">
        <f t="shared" si="36"/>
        <v>0</v>
      </c>
      <c r="R733" s="89"/>
      <c r="S733" s="89">
        <f>100%-Table34[[#This Row],[PDF_initial fee]]</f>
        <v>1</v>
      </c>
      <c r="T733" s="89"/>
      <c r="U733" s="26"/>
    </row>
    <row r="734" spans="1:30" hidden="1" x14ac:dyDescent="0.25">
      <c r="A734">
        <v>191962</v>
      </c>
      <c r="B734" t="s">
        <v>1063</v>
      </c>
      <c r="C734" t="s">
        <v>6958</v>
      </c>
      <c r="D734">
        <v>1</v>
      </c>
      <c r="E734" t="s">
        <v>1063</v>
      </c>
      <c r="F734" t="s">
        <v>6958</v>
      </c>
      <c r="H734" s="21">
        <v>0</v>
      </c>
      <c r="I734" s="21">
        <v>0</v>
      </c>
      <c r="J734" s="21">
        <v>0</v>
      </c>
      <c r="K734" s="21">
        <v>0</v>
      </c>
      <c r="L734" s="3">
        <f t="shared" si="35"/>
        <v>0</v>
      </c>
      <c r="M734" s="3"/>
      <c r="N734" s="3">
        <f t="shared" si="36"/>
        <v>0</v>
      </c>
      <c r="R734" s="89"/>
      <c r="S734" s="89">
        <f>100%-Table34[[#This Row],[PDF_initial fee]]</f>
        <v>1</v>
      </c>
      <c r="T734" s="89"/>
      <c r="U734" s="26"/>
    </row>
    <row r="735" spans="1:30" x14ac:dyDescent="0.25">
      <c r="A735">
        <v>534860</v>
      </c>
      <c r="B735" t="s">
        <v>219</v>
      </c>
      <c r="C735" t="s">
        <v>29591</v>
      </c>
      <c r="D735">
        <v>1</v>
      </c>
      <c r="E735" t="s">
        <v>219</v>
      </c>
      <c r="F735" t="s">
        <v>3</v>
      </c>
      <c r="G735" s="3">
        <v>1.4E-3</v>
      </c>
      <c r="H735" s="3">
        <v>0.03</v>
      </c>
      <c r="I735" s="3">
        <v>7.4999999999999997E-3</v>
      </c>
      <c r="J735" s="6">
        <v>0</v>
      </c>
      <c r="K735" s="6">
        <v>0</v>
      </c>
      <c r="L735" s="3">
        <f t="shared" si="35"/>
        <v>3.7499999999999999E-2</v>
      </c>
      <c r="M735" s="3"/>
      <c r="N735" s="3">
        <f t="shared" si="36"/>
        <v>3.8899999999999997E-2</v>
      </c>
      <c r="O735" t="s">
        <v>29592</v>
      </c>
      <c r="P735" s="31" t="s">
        <v>29593</v>
      </c>
      <c r="Q735" t="s">
        <v>31787</v>
      </c>
      <c r="R735" s="89">
        <v>0.33333333333333348</v>
      </c>
      <c r="S735" s="89">
        <f>100%-Table34[[#This Row],[InitialFee]]</f>
        <v>0.97</v>
      </c>
      <c r="T735" s="89">
        <f>(1-Table34[[#This Row],[OngoingFee (plus Platform fee)]])^5</f>
        <v>0.9630582970465823</v>
      </c>
      <c r="U735" s="26">
        <f>(1+Table34[[#This Row],[Net 5yrs return (mostly up to 28th of Feb 2026)]])*Table34[[#This Row],[Investment after initial charge]]*Table34[[#This Row],[Cummulative 5yrs ongoing advice charge]]-1</f>
        <v>0.2455553975135798</v>
      </c>
      <c r="V735" s="10">
        <f>348715+84642</f>
        <v>433357</v>
      </c>
      <c r="W735" t="s">
        <v>29051</v>
      </c>
      <c r="X735" s="9">
        <v>347108</v>
      </c>
      <c r="Y735" s="30">
        <f>X735/V735</f>
        <v>0.80097471599628023</v>
      </c>
      <c r="AA735" s="1" t="s">
        <v>29594</v>
      </c>
      <c r="AD735" t="s">
        <v>29595</v>
      </c>
    </row>
    <row r="736" spans="1:30" hidden="1" x14ac:dyDescent="0.25">
      <c r="A736">
        <v>192052</v>
      </c>
      <c r="B736" t="s">
        <v>1064</v>
      </c>
      <c r="C736" t="s">
        <v>29596</v>
      </c>
      <c r="D736">
        <v>9</v>
      </c>
      <c r="E736" t="s">
        <v>1064</v>
      </c>
      <c r="F736" t="s">
        <v>3</v>
      </c>
      <c r="H736" s="3">
        <v>0</v>
      </c>
      <c r="I736" s="3">
        <v>0</v>
      </c>
      <c r="J736" s="3">
        <v>0</v>
      </c>
      <c r="K736" s="3">
        <v>0</v>
      </c>
      <c r="L736" s="3">
        <f t="shared" si="35"/>
        <v>0</v>
      </c>
      <c r="M736" s="3"/>
      <c r="N736" s="3">
        <f t="shared" si="36"/>
        <v>0</v>
      </c>
      <c r="R736" s="89"/>
      <c r="S736" s="89">
        <f>100%-Table34[[#This Row],[PDF_initial fee]]</f>
        <v>1</v>
      </c>
      <c r="T736" s="89"/>
      <c r="U736" s="26"/>
    </row>
    <row r="737" spans="1:27" hidden="1" x14ac:dyDescent="0.25">
      <c r="A737">
        <v>192204</v>
      </c>
      <c r="B737" t="s">
        <v>1065</v>
      </c>
      <c r="C737" t="s">
        <v>29597</v>
      </c>
      <c r="D737">
        <v>22</v>
      </c>
      <c r="E737" t="s">
        <v>1065</v>
      </c>
      <c r="F737" t="s">
        <v>6</v>
      </c>
      <c r="H737" s="21">
        <v>0</v>
      </c>
      <c r="I737" s="21">
        <v>0</v>
      </c>
      <c r="J737" s="21">
        <v>0</v>
      </c>
      <c r="K737" s="21">
        <v>0</v>
      </c>
      <c r="L737" s="3">
        <f t="shared" si="35"/>
        <v>0</v>
      </c>
      <c r="M737" s="3"/>
      <c r="N737" s="3">
        <f t="shared" si="36"/>
        <v>0</v>
      </c>
      <c r="O737" s="21"/>
      <c r="R737" s="89"/>
      <c r="S737" s="89">
        <f>100%-Table34[[#This Row],[PDF_initial fee]]</f>
        <v>1</v>
      </c>
      <c r="T737" s="89"/>
      <c r="U737" s="26"/>
    </row>
    <row r="738" spans="1:27" hidden="1" x14ac:dyDescent="0.25">
      <c r="A738">
        <v>192209</v>
      </c>
      <c r="B738" t="s">
        <v>1066</v>
      </c>
      <c r="C738" t="s">
        <v>6958</v>
      </c>
      <c r="D738">
        <v>1</v>
      </c>
      <c r="E738" t="s">
        <v>1066</v>
      </c>
      <c r="F738" t="s">
        <v>6958</v>
      </c>
      <c r="H738" s="21">
        <v>0</v>
      </c>
      <c r="I738" s="21">
        <v>0</v>
      </c>
      <c r="J738" s="21">
        <v>0</v>
      </c>
      <c r="K738" s="21">
        <v>0</v>
      </c>
      <c r="L738" s="3">
        <f t="shared" si="35"/>
        <v>0</v>
      </c>
      <c r="M738" s="3"/>
      <c r="N738" s="3">
        <f t="shared" si="36"/>
        <v>0</v>
      </c>
      <c r="R738" s="89"/>
      <c r="S738" s="89">
        <f>100%-Table34[[#This Row],[PDF_initial fee]]</f>
        <v>1</v>
      </c>
      <c r="T738" s="89"/>
      <c r="U738" s="26"/>
    </row>
    <row r="739" spans="1:27" hidden="1" x14ac:dyDescent="0.25">
      <c r="A739">
        <v>192289</v>
      </c>
      <c r="B739" t="s">
        <v>1067</v>
      </c>
      <c r="C739" t="s">
        <v>29598</v>
      </c>
      <c r="D739">
        <v>4</v>
      </c>
      <c r="E739" t="s">
        <v>1067</v>
      </c>
      <c r="F739" t="s">
        <v>3</v>
      </c>
      <c r="H739" s="3">
        <v>0</v>
      </c>
      <c r="I739" s="3">
        <v>0</v>
      </c>
      <c r="J739" s="3">
        <v>0</v>
      </c>
      <c r="K739" s="3">
        <v>0</v>
      </c>
      <c r="L739" s="3">
        <f t="shared" si="35"/>
        <v>0</v>
      </c>
      <c r="M739" s="3"/>
      <c r="N739" s="3">
        <f t="shared" si="36"/>
        <v>0</v>
      </c>
      <c r="R739" s="89"/>
      <c r="S739" s="89">
        <f>100%-Table34[[#This Row],[PDF_initial fee]]</f>
        <v>1</v>
      </c>
      <c r="T739" s="89"/>
      <c r="U739" s="26"/>
    </row>
    <row r="740" spans="1:27" x14ac:dyDescent="0.25">
      <c r="A740">
        <v>184046</v>
      </c>
      <c r="B740" t="s">
        <v>84</v>
      </c>
      <c r="C740" s="1" t="s">
        <v>7308</v>
      </c>
      <c r="D740">
        <v>7</v>
      </c>
      <c r="E740" t="s">
        <v>84</v>
      </c>
      <c r="F740" t="s">
        <v>3</v>
      </c>
      <c r="G740" s="3">
        <v>1.4E-3</v>
      </c>
      <c r="H740" s="3">
        <v>0.02</v>
      </c>
      <c r="I740" s="3">
        <v>0.01</v>
      </c>
      <c r="J740" s="6">
        <v>0</v>
      </c>
      <c r="K740" s="6">
        <v>0</v>
      </c>
      <c r="L740" s="3">
        <f t="shared" si="35"/>
        <v>0.03</v>
      </c>
      <c r="M740" s="3"/>
      <c r="N740" s="3">
        <f t="shared" si="36"/>
        <v>3.1399999999999997E-2</v>
      </c>
      <c r="P740" s="1" t="s">
        <v>29599</v>
      </c>
      <c r="Q740" t="s">
        <v>31787</v>
      </c>
      <c r="R740" s="89">
        <v>0.33333333333333348</v>
      </c>
      <c r="S740" s="89">
        <f>100%-Table34[[#This Row],[InitialFee]]</f>
        <v>0.98</v>
      </c>
      <c r="T740" s="89">
        <f>(1-Table34[[#This Row],[OngoingFee (plus Platform fee)]])^5</f>
        <v>0.95099004989999991</v>
      </c>
      <c r="U740" s="26">
        <f>(1+Table34[[#This Row],[Net 5yrs return (mostly up to 28th of Feb 2026)]])*Table34[[#This Row],[Investment after initial charge]]*Table34[[#This Row],[Cummulative 5yrs ongoing advice charge]]-1</f>
        <v>0.24262699853600012</v>
      </c>
      <c r="V740" s="10">
        <f>3689216+272816</f>
        <v>3962032</v>
      </c>
      <c r="W740" t="s">
        <v>29051</v>
      </c>
      <c r="X740" s="10">
        <v>3611842</v>
      </c>
      <c r="Y740" s="30">
        <f>X740/V740</f>
        <v>0.91161353568068104</v>
      </c>
      <c r="AA740" s="1" t="s">
        <v>29600</v>
      </c>
    </row>
    <row r="741" spans="1:27" hidden="1" x14ac:dyDescent="0.25">
      <c r="A741">
        <v>192380</v>
      </c>
      <c r="B741" t="s">
        <v>1069</v>
      </c>
      <c r="C741" t="s">
        <v>6958</v>
      </c>
      <c r="D741">
        <v>2</v>
      </c>
      <c r="E741" t="s">
        <v>1069</v>
      </c>
      <c r="F741" t="s">
        <v>6958</v>
      </c>
      <c r="H741" s="21">
        <v>0</v>
      </c>
      <c r="I741" s="21">
        <v>0</v>
      </c>
      <c r="J741" s="21">
        <v>0</v>
      </c>
      <c r="K741" s="21">
        <v>0</v>
      </c>
      <c r="L741" s="3">
        <f t="shared" si="35"/>
        <v>0</v>
      </c>
      <c r="M741" s="3"/>
      <c r="N741" s="3">
        <f t="shared" si="36"/>
        <v>0</v>
      </c>
      <c r="R741" s="89"/>
      <c r="S741" s="89">
        <f>100%-Table34[[#This Row],[PDF_initial fee]]</f>
        <v>1</v>
      </c>
      <c r="T741" s="89"/>
      <c r="U741" s="26"/>
    </row>
    <row r="742" spans="1:27" hidden="1" x14ac:dyDescent="0.25">
      <c r="A742">
        <v>192396</v>
      </c>
      <c r="B742" t="s">
        <v>1070</v>
      </c>
      <c r="C742" t="s">
        <v>29601</v>
      </c>
      <c r="D742">
        <v>29</v>
      </c>
      <c r="E742" t="s">
        <v>1070</v>
      </c>
      <c r="F742" t="s">
        <v>3</v>
      </c>
      <c r="H742" s="21">
        <v>0</v>
      </c>
      <c r="I742" s="21">
        <v>0</v>
      </c>
      <c r="J742" s="21">
        <v>0</v>
      </c>
      <c r="K742" s="21">
        <v>0</v>
      </c>
      <c r="L742" s="3">
        <f t="shared" si="35"/>
        <v>0</v>
      </c>
      <c r="M742" s="3"/>
      <c r="N742" s="3">
        <f t="shared" si="36"/>
        <v>0</v>
      </c>
      <c r="R742" s="89"/>
      <c r="S742" s="89">
        <f>100%-Table34[[#This Row],[PDF_initial fee]]</f>
        <v>1</v>
      </c>
      <c r="T742" s="89"/>
      <c r="U742" s="26"/>
    </row>
    <row r="743" spans="1:27" hidden="1" x14ac:dyDescent="0.25">
      <c r="A743">
        <v>192409</v>
      </c>
      <c r="B743" t="s">
        <v>1071</v>
      </c>
      <c r="C743" t="s">
        <v>9343</v>
      </c>
      <c r="D743">
        <v>4</v>
      </c>
      <c r="E743" t="s">
        <v>1071</v>
      </c>
      <c r="F743" t="s">
        <v>3</v>
      </c>
      <c r="H743" s="21">
        <v>0</v>
      </c>
      <c r="I743" s="21">
        <v>0</v>
      </c>
      <c r="J743" s="21">
        <v>0</v>
      </c>
      <c r="K743" s="21">
        <v>0</v>
      </c>
      <c r="L743" s="3">
        <f t="shared" si="35"/>
        <v>0</v>
      </c>
      <c r="M743" s="3"/>
      <c r="N743" s="3">
        <f t="shared" si="36"/>
        <v>0</v>
      </c>
      <c r="R743" s="89"/>
      <c r="S743" s="89">
        <f>100%-Table34[[#This Row],[PDF_initial fee]]</f>
        <v>1</v>
      </c>
      <c r="T743" s="89"/>
      <c r="U743" s="26"/>
    </row>
    <row r="744" spans="1:27" hidden="1" x14ac:dyDescent="0.25">
      <c r="A744">
        <v>192411</v>
      </c>
      <c r="B744" t="s">
        <v>1072</v>
      </c>
      <c r="C744" t="s">
        <v>11715</v>
      </c>
      <c r="D744">
        <v>5</v>
      </c>
      <c r="E744" t="s">
        <v>1072</v>
      </c>
      <c r="F744" t="s">
        <v>3</v>
      </c>
      <c r="H744" s="21">
        <v>0</v>
      </c>
      <c r="I744" s="21">
        <v>0</v>
      </c>
      <c r="J744" s="21">
        <v>0</v>
      </c>
      <c r="K744" s="21">
        <v>0</v>
      </c>
      <c r="L744" s="3">
        <f t="shared" si="35"/>
        <v>0</v>
      </c>
      <c r="M744" s="3"/>
      <c r="N744" s="3">
        <f t="shared" si="36"/>
        <v>0</v>
      </c>
      <c r="R744" s="89"/>
      <c r="S744" s="89">
        <f>100%-Table34[[#This Row],[PDF_initial fee]]</f>
        <v>1</v>
      </c>
      <c r="T744" s="89"/>
      <c r="U744" s="26"/>
    </row>
    <row r="745" spans="1:27" hidden="1" x14ac:dyDescent="0.25">
      <c r="A745">
        <v>192557</v>
      </c>
      <c r="B745" t="s">
        <v>1073</v>
      </c>
      <c r="C745" t="s">
        <v>12133</v>
      </c>
      <c r="D745">
        <v>3</v>
      </c>
      <c r="E745" t="s">
        <v>1073</v>
      </c>
      <c r="F745" t="s">
        <v>3</v>
      </c>
      <c r="H745" s="21">
        <v>0</v>
      </c>
      <c r="I745" s="21">
        <v>0</v>
      </c>
      <c r="J745" s="21">
        <v>0</v>
      </c>
      <c r="K745" s="21">
        <v>0</v>
      </c>
      <c r="L745" s="3">
        <f t="shared" si="35"/>
        <v>0</v>
      </c>
      <c r="M745" s="3"/>
      <c r="N745" s="3">
        <f t="shared" si="36"/>
        <v>0</v>
      </c>
      <c r="R745" s="89"/>
      <c r="S745" s="89">
        <f>100%-Table34[[#This Row],[PDF_initial fee]]</f>
        <v>1</v>
      </c>
      <c r="T745" s="89"/>
      <c r="U745" s="26"/>
    </row>
    <row r="746" spans="1:27" hidden="1" x14ac:dyDescent="0.25">
      <c r="A746">
        <v>192598</v>
      </c>
      <c r="B746" t="s">
        <v>1074</v>
      </c>
      <c r="C746" t="s">
        <v>11544</v>
      </c>
      <c r="D746">
        <v>2</v>
      </c>
      <c r="E746" t="s">
        <v>1074</v>
      </c>
      <c r="F746" t="s">
        <v>29602</v>
      </c>
      <c r="H746" s="21">
        <v>0</v>
      </c>
      <c r="I746" s="21">
        <v>0</v>
      </c>
      <c r="J746" s="21">
        <v>0</v>
      </c>
      <c r="K746" s="21">
        <v>0</v>
      </c>
      <c r="L746" s="3">
        <f t="shared" si="35"/>
        <v>0</v>
      </c>
      <c r="M746" s="3"/>
      <c r="N746" s="3">
        <f t="shared" si="36"/>
        <v>0</v>
      </c>
      <c r="R746" s="89"/>
      <c r="S746" s="89">
        <f>100%-Table34[[#This Row],[PDF_initial fee]]</f>
        <v>1</v>
      </c>
      <c r="T746" s="89"/>
      <c r="U746" s="26"/>
    </row>
    <row r="747" spans="1:27" hidden="1" x14ac:dyDescent="0.25">
      <c r="A747">
        <v>192626</v>
      </c>
      <c r="B747" t="s">
        <v>1075</v>
      </c>
      <c r="C747" t="s">
        <v>29603</v>
      </c>
      <c r="D747">
        <v>1</v>
      </c>
      <c r="E747" t="s">
        <v>1075</v>
      </c>
      <c r="F747" t="s">
        <v>3</v>
      </c>
      <c r="H747" s="3">
        <v>0</v>
      </c>
      <c r="I747" s="3">
        <v>0</v>
      </c>
      <c r="J747" s="3">
        <v>0</v>
      </c>
      <c r="K747" s="3">
        <v>0</v>
      </c>
      <c r="L747" s="3">
        <f t="shared" si="35"/>
        <v>0</v>
      </c>
      <c r="M747" s="3"/>
      <c r="N747" s="3">
        <f t="shared" si="36"/>
        <v>0</v>
      </c>
      <c r="R747" s="89"/>
      <c r="S747" s="89">
        <f>100%-Table34[[#This Row],[PDF_initial fee]]</f>
        <v>1</v>
      </c>
      <c r="T747" s="89"/>
      <c r="U747" s="26"/>
    </row>
    <row r="748" spans="1:27" hidden="1" x14ac:dyDescent="0.25">
      <c r="A748">
        <v>192637</v>
      </c>
      <c r="B748" t="s">
        <v>1076</v>
      </c>
      <c r="C748" t="s">
        <v>9420</v>
      </c>
      <c r="D748">
        <v>4</v>
      </c>
      <c r="E748" t="s">
        <v>1076</v>
      </c>
      <c r="F748" t="s">
        <v>3</v>
      </c>
      <c r="H748" s="21">
        <v>0</v>
      </c>
      <c r="I748" s="21">
        <v>0</v>
      </c>
      <c r="J748" s="21">
        <v>0</v>
      </c>
      <c r="K748" s="21">
        <v>0</v>
      </c>
      <c r="L748" s="3">
        <f t="shared" si="35"/>
        <v>0</v>
      </c>
      <c r="M748" s="3"/>
      <c r="N748" s="3">
        <f t="shared" si="36"/>
        <v>0</v>
      </c>
      <c r="R748" s="89"/>
      <c r="S748" s="89">
        <f>100%-Table34[[#This Row],[PDF_initial fee]]</f>
        <v>1</v>
      </c>
      <c r="T748" s="89"/>
      <c r="U748" s="26"/>
    </row>
    <row r="749" spans="1:27" hidden="1" x14ac:dyDescent="0.25">
      <c r="A749">
        <v>192638</v>
      </c>
      <c r="B749" t="s">
        <v>1077</v>
      </c>
      <c r="C749" t="s">
        <v>12166</v>
      </c>
      <c r="D749">
        <v>212</v>
      </c>
      <c r="E749" t="s">
        <v>1077</v>
      </c>
      <c r="F749" t="s">
        <v>3</v>
      </c>
      <c r="H749" s="21">
        <v>0</v>
      </c>
      <c r="I749" s="21">
        <v>0</v>
      </c>
      <c r="J749" s="21">
        <v>0</v>
      </c>
      <c r="K749" s="21">
        <v>0</v>
      </c>
      <c r="L749" s="3">
        <f t="shared" si="35"/>
        <v>0</v>
      </c>
      <c r="M749" s="3"/>
      <c r="N749" s="3">
        <f t="shared" si="36"/>
        <v>0</v>
      </c>
      <c r="R749" s="89"/>
      <c r="S749" s="89">
        <f>100%-Table34[[#This Row],[PDF_initial fee]]</f>
        <v>1</v>
      </c>
      <c r="T749" s="89"/>
      <c r="U749" s="26"/>
    </row>
    <row r="750" spans="1:27" hidden="1" x14ac:dyDescent="0.25">
      <c r="A750">
        <v>192664</v>
      </c>
      <c r="B750" t="s">
        <v>1078</v>
      </c>
      <c r="C750" t="s">
        <v>7040</v>
      </c>
      <c r="D750">
        <v>0</v>
      </c>
      <c r="E750" t="s">
        <v>1078</v>
      </c>
      <c r="L750" s="3">
        <f t="shared" si="35"/>
        <v>0</v>
      </c>
      <c r="M750" s="3"/>
      <c r="N750" s="3">
        <f t="shared" si="36"/>
        <v>0</v>
      </c>
      <c r="R750" s="89"/>
      <c r="S750" s="89">
        <f>100%-Table34[[#This Row],[PDF_initial fee]]</f>
        <v>1</v>
      </c>
      <c r="T750" s="89"/>
      <c r="U750" s="26"/>
    </row>
    <row r="751" spans="1:27" x14ac:dyDescent="0.25">
      <c r="A751">
        <v>214376</v>
      </c>
      <c r="B751" t="s">
        <v>115</v>
      </c>
      <c r="C751" t="s">
        <v>29604</v>
      </c>
      <c r="D751">
        <v>1</v>
      </c>
      <c r="E751" t="s">
        <v>115</v>
      </c>
      <c r="F751" t="s">
        <v>3</v>
      </c>
      <c r="G751" s="3">
        <v>1.4E-3</v>
      </c>
      <c r="H751" s="3">
        <v>0.03</v>
      </c>
      <c r="I751" s="3">
        <v>0.01</v>
      </c>
      <c r="J751" s="6">
        <v>0</v>
      </c>
      <c r="K751" s="6">
        <v>0</v>
      </c>
      <c r="L751" s="3">
        <f t="shared" ref="L751:L814" si="37">SUM(H751:K751)</f>
        <v>0.04</v>
      </c>
      <c r="M751" s="3"/>
      <c r="N751" s="3">
        <f t="shared" ref="N751:N814" si="38">L751+G751</f>
        <v>4.1399999999999999E-2</v>
      </c>
      <c r="P751" s="1" t="s">
        <v>29605</v>
      </c>
      <c r="Q751" t="s">
        <v>31787</v>
      </c>
      <c r="R751" s="89">
        <v>0.33333333333333348</v>
      </c>
      <c r="S751" s="89">
        <f>100%-Table34[[#This Row],[InitialFee]]</f>
        <v>0.97</v>
      </c>
      <c r="T751" s="89">
        <f>(1-Table34[[#This Row],[OngoingFee (plus Platform fee)]])^5</f>
        <v>0.95099004989999991</v>
      </c>
      <c r="U751" s="26">
        <f>(1+Table34[[#This Row],[Net 5yrs return (mostly up to 28th of Feb 2026)]])*Table34[[#This Row],[Investment after initial charge]]*Table34[[#This Row],[Cummulative 5yrs ongoing advice charge]]-1</f>
        <v>0.22994713120400001</v>
      </c>
      <c r="V751" s="10">
        <f>163384+68154</f>
        <v>231538</v>
      </c>
      <c r="W751" t="s">
        <v>29051</v>
      </c>
      <c r="X751" s="10">
        <v>143510</v>
      </c>
      <c r="Y751" s="30">
        <f>X751/V751</f>
        <v>0.61981186673461808</v>
      </c>
      <c r="AA751" s="1" t="s">
        <v>29606</v>
      </c>
    </row>
    <row r="752" spans="1:27" hidden="1" x14ac:dyDescent="0.25">
      <c r="A752">
        <v>192743</v>
      </c>
      <c r="B752" t="s">
        <v>1079</v>
      </c>
      <c r="C752" t="s">
        <v>6958</v>
      </c>
      <c r="D752">
        <v>1</v>
      </c>
      <c r="E752" t="s">
        <v>1079</v>
      </c>
      <c r="F752" t="s">
        <v>6958</v>
      </c>
      <c r="G752" s="3"/>
      <c r="H752" s="21">
        <v>0</v>
      </c>
      <c r="I752" s="21">
        <v>0</v>
      </c>
      <c r="J752" s="21">
        <v>0</v>
      </c>
      <c r="K752" s="21">
        <v>0</v>
      </c>
      <c r="L752" s="3">
        <f t="shared" si="37"/>
        <v>0</v>
      </c>
      <c r="M752" s="3"/>
      <c r="N752" s="3">
        <f t="shared" si="38"/>
        <v>0</v>
      </c>
      <c r="R752" s="89"/>
      <c r="S752" s="89">
        <f>100%-Table34[[#This Row],[PDF_initial fee]]</f>
        <v>1</v>
      </c>
      <c r="T752" s="89"/>
      <c r="U752" s="26"/>
    </row>
    <row r="753" spans="1:27" hidden="1" x14ac:dyDescent="0.25">
      <c r="A753">
        <v>192807</v>
      </c>
      <c r="B753" t="s">
        <v>1080</v>
      </c>
      <c r="C753" t="s">
        <v>7043</v>
      </c>
      <c r="D753">
        <v>3</v>
      </c>
      <c r="E753" t="s">
        <v>1080</v>
      </c>
      <c r="F753" t="s">
        <v>3</v>
      </c>
      <c r="G753" s="3"/>
      <c r="L753" s="3">
        <f t="shared" si="37"/>
        <v>0</v>
      </c>
      <c r="M753" s="3"/>
      <c r="N753" s="3">
        <f t="shared" si="38"/>
        <v>0</v>
      </c>
      <c r="R753" s="89"/>
      <c r="S753" s="89">
        <f>100%-Table34[[#This Row],[PDF_initial fee]]</f>
        <v>1</v>
      </c>
      <c r="T753" s="89"/>
      <c r="U753" s="26"/>
    </row>
    <row r="754" spans="1:27" hidden="1" x14ac:dyDescent="0.25">
      <c r="A754">
        <v>192815</v>
      </c>
      <c r="B754" t="s">
        <v>1081</v>
      </c>
      <c r="C754" t="s">
        <v>29607</v>
      </c>
      <c r="D754">
        <v>0</v>
      </c>
      <c r="E754" t="s">
        <v>1081</v>
      </c>
      <c r="F754" t="s">
        <v>29136</v>
      </c>
      <c r="G754" s="3"/>
      <c r="H754" s="21">
        <v>0</v>
      </c>
      <c r="I754" s="21">
        <v>0</v>
      </c>
      <c r="J754" s="21">
        <v>0</v>
      </c>
      <c r="K754" s="21">
        <v>0</v>
      </c>
      <c r="L754" s="3">
        <f t="shared" si="37"/>
        <v>0</v>
      </c>
      <c r="M754" s="3"/>
      <c r="N754" s="3">
        <f t="shared" si="38"/>
        <v>0</v>
      </c>
      <c r="O754" s="21"/>
      <c r="R754" s="89"/>
      <c r="S754" s="89">
        <f>100%-Table34[[#This Row],[PDF_initial fee]]</f>
        <v>1</v>
      </c>
      <c r="T754" s="89"/>
      <c r="U754" s="26"/>
    </row>
    <row r="755" spans="1:27" x14ac:dyDescent="0.25">
      <c r="A755">
        <v>176477</v>
      </c>
      <c r="B755" t="s">
        <v>80</v>
      </c>
      <c r="C755" t="s">
        <v>7046</v>
      </c>
      <c r="D755">
        <v>3</v>
      </c>
      <c r="E755" t="s">
        <v>80</v>
      </c>
      <c r="F755" t="s">
        <v>3</v>
      </c>
      <c r="G755" s="3">
        <v>1.4E-3</v>
      </c>
      <c r="H755" s="3">
        <v>1.4999999999999999E-2</v>
      </c>
      <c r="I755" s="3">
        <v>2.5000000000000001E-3</v>
      </c>
      <c r="J755" s="6">
        <v>0</v>
      </c>
      <c r="K755" s="6">
        <v>0</v>
      </c>
      <c r="L755" s="3">
        <f t="shared" si="37"/>
        <v>1.7499999999999998E-2</v>
      </c>
      <c r="M755" s="3"/>
      <c r="N755" s="3">
        <f t="shared" si="38"/>
        <v>1.8899999999999997E-2</v>
      </c>
      <c r="P755" s="1" t="s">
        <v>29608</v>
      </c>
      <c r="Q755" t="s">
        <v>31787</v>
      </c>
      <c r="R755" s="89">
        <v>0.33333333333333348</v>
      </c>
      <c r="S755" s="89">
        <f>100%-Table34[[#This Row],[InitialFee]]</f>
        <v>0.98499999999999999</v>
      </c>
      <c r="T755" s="89">
        <f>(1-Table34[[#This Row],[OngoingFee (plus Platform fee)]])^5</f>
        <v>0.98756234394521514</v>
      </c>
      <c r="U755" s="26">
        <f>(1+Table34[[#This Row],[Net 5yrs return (mostly up to 28th of Feb 2026)]])*Table34[[#This Row],[Investment after initial charge]]*Table34[[#This Row],[Cummulative 5yrs ongoing advice charge]]-1</f>
        <v>0.29699854504804923</v>
      </c>
      <c r="V755" s="10">
        <f>137275+75589</f>
        <v>212864</v>
      </c>
      <c r="W755" t="s">
        <v>29051</v>
      </c>
      <c r="X755" s="10">
        <v>127275</v>
      </c>
      <c r="Y755" s="30">
        <f>X755/V755</f>
        <v>0.59791697985568248</v>
      </c>
      <c r="AA755" s="1" t="s">
        <v>29609</v>
      </c>
    </row>
    <row r="756" spans="1:27" hidden="1" x14ac:dyDescent="0.25">
      <c r="A756">
        <v>193065</v>
      </c>
      <c r="B756" t="s">
        <v>1082</v>
      </c>
      <c r="C756" t="s">
        <v>7003</v>
      </c>
      <c r="D756">
        <v>15</v>
      </c>
      <c r="E756" t="s">
        <v>1082</v>
      </c>
      <c r="F756" t="s">
        <v>3</v>
      </c>
      <c r="G756" s="3"/>
      <c r="H756" s="21">
        <v>0</v>
      </c>
      <c r="I756" s="21">
        <v>0</v>
      </c>
      <c r="J756" s="21">
        <v>0</v>
      </c>
      <c r="K756" s="21">
        <v>0</v>
      </c>
      <c r="L756" s="3">
        <f t="shared" si="37"/>
        <v>0</v>
      </c>
      <c r="M756" s="3"/>
      <c r="N756" s="3">
        <f t="shared" si="38"/>
        <v>0</v>
      </c>
      <c r="R756" s="89"/>
      <c r="S756" s="89">
        <f>100%-Table34[[#This Row],[PDF_initial fee]]</f>
        <v>1</v>
      </c>
      <c r="T756" s="89"/>
      <c r="U756" s="26"/>
    </row>
    <row r="757" spans="1:27" hidden="1" x14ac:dyDescent="0.25">
      <c r="A757">
        <v>193085</v>
      </c>
      <c r="B757" t="s">
        <v>1083</v>
      </c>
      <c r="C757" t="s">
        <v>29610</v>
      </c>
      <c r="D757">
        <v>2</v>
      </c>
      <c r="E757" t="s">
        <v>1083</v>
      </c>
      <c r="F757" t="s">
        <v>3</v>
      </c>
      <c r="G757" s="3"/>
      <c r="H757" s="21">
        <v>0</v>
      </c>
      <c r="I757" s="21">
        <v>0</v>
      </c>
      <c r="J757" s="21">
        <v>0</v>
      </c>
      <c r="K757" s="21">
        <v>0</v>
      </c>
      <c r="L757" s="3">
        <f t="shared" si="37"/>
        <v>0</v>
      </c>
      <c r="M757" s="3"/>
      <c r="N757" s="3">
        <f t="shared" si="38"/>
        <v>0</v>
      </c>
      <c r="O757" s="21"/>
      <c r="R757" s="89"/>
      <c r="S757" s="89">
        <f>100%-Table34[[#This Row],[PDF_initial fee]]</f>
        <v>1</v>
      </c>
      <c r="T757" s="89"/>
      <c r="U757" s="26"/>
    </row>
    <row r="758" spans="1:27" hidden="1" x14ac:dyDescent="0.25">
      <c r="A758">
        <v>193086</v>
      </c>
      <c r="B758" t="s">
        <v>1084</v>
      </c>
      <c r="C758" t="s">
        <v>12157</v>
      </c>
      <c r="D758">
        <v>3</v>
      </c>
      <c r="E758" t="s">
        <v>1084</v>
      </c>
      <c r="F758" t="s">
        <v>3</v>
      </c>
      <c r="G758" s="3"/>
      <c r="H758" s="21">
        <v>0</v>
      </c>
      <c r="I758" s="21">
        <v>0</v>
      </c>
      <c r="J758" s="21">
        <v>0</v>
      </c>
      <c r="K758" s="21">
        <v>0</v>
      </c>
      <c r="L758" s="3">
        <f t="shared" si="37"/>
        <v>0</v>
      </c>
      <c r="M758" s="3"/>
      <c r="N758" s="3">
        <f t="shared" si="38"/>
        <v>0</v>
      </c>
      <c r="R758" s="89"/>
      <c r="S758" s="89">
        <f>100%-Table34[[#This Row],[PDF_initial fee]]</f>
        <v>1</v>
      </c>
      <c r="T758" s="89"/>
      <c r="U758" s="26"/>
    </row>
    <row r="759" spans="1:27" hidden="1" x14ac:dyDescent="0.25">
      <c r="A759">
        <v>193137</v>
      </c>
      <c r="B759" t="s">
        <v>1085</v>
      </c>
      <c r="C759" t="s">
        <v>6958</v>
      </c>
      <c r="D759">
        <v>1</v>
      </c>
      <c r="E759" t="s">
        <v>1085</v>
      </c>
      <c r="F759" t="s">
        <v>6958</v>
      </c>
      <c r="G759" s="3"/>
      <c r="H759" s="21">
        <v>0</v>
      </c>
      <c r="I759" s="21">
        <v>0</v>
      </c>
      <c r="J759" s="21">
        <v>0</v>
      </c>
      <c r="K759" s="21">
        <v>0</v>
      </c>
      <c r="L759" s="3">
        <f t="shared" si="37"/>
        <v>0</v>
      </c>
      <c r="M759" s="3"/>
      <c r="N759" s="3">
        <f t="shared" si="38"/>
        <v>0</v>
      </c>
      <c r="R759" s="89"/>
      <c r="S759" s="89">
        <f>100%-Table34[[#This Row],[PDF_initial fee]]</f>
        <v>1</v>
      </c>
      <c r="T759" s="89"/>
      <c r="U759" s="26"/>
    </row>
    <row r="760" spans="1:27" hidden="1" x14ac:dyDescent="0.25">
      <c r="A760">
        <v>193138</v>
      </c>
      <c r="B760" t="s">
        <v>1086</v>
      </c>
      <c r="C760" t="s">
        <v>6958</v>
      </c>
      <c r="D760">
        <v>2</v>
      </c>
      <c r="E760" t="s">
        <v>1086</v>
      </c>
      <c r="F760" t="s">
        <v>6958</v>
      </c>
      <c r="G760" s="3"/>
      <c r="H760" s="21">
        <v>0</v>
      </c>
      <c r="I760" s="21">
        <v>0</v>
      </c>
      <c r="J760" s="21">
        <v>0</v>
      </c>
      <c r="K760" s="21">
        <v>0</v>
      </c>
      <c r="L760" s="3">
        <f t="shared" si="37"/>
        <v>0</v>
      </c>
      <c r="M760" s="3"/>
      <c r="N760" s="3">
        <f t="shared" si="38"/>
        <v>0</v>
      </c>
      <c r="R760" s="89"/>
      <c r="S760" s="89">
        <f>100%-Table34[[#This Row],[PDF_initial fee]]</f>
        <v>1</v>
      </c>
      <c r="T760" s="89"/>
      <c r="U760" s="26"/>
    </row>
    <row r="761" spans="1:27" hidden="1" x14ac:dyDescent="0.25">
      <c r="A761">
        <v>193213</v>
      </c>
      <c r="B761" t="s">
        <v>1087</v>
      </c>
      <c r="C761" t="s">
        <v>10660</v>
      </c>
      <c r="D761">
        <v>2</v>
      </c>
      <c r="E761" t="s">
        <v>1087</v>
      </c>
      <c r="F761" t="s">
        <v>3</v>
      </c>
      <c r="G761" s="3"/>
      <c r="H761" s="21">
        <v>0</v>
      </c>
      <c r="I761" s="21">
        <v>0</v>
      </c>
      <c r="J761" s="21">
        <v>0</v>
      </c>
      <c r="K761" s="21">
        <v>0</v>
      </c>
      <c r="L761" s="3">
        <f t="shared" si="37"/>
        <v>0</v>
      </c>
      <c r="M761" s="3"/>
      <c r="N761" s="3">
        <f t="shared" si="38"/>
        <v>0</v>
      </c>
      <c r="R761" s="89"/>
      <c r="S761" s="89">
        <f>100%-Table34[[#This Row],[PDF_initial fee]]</f>
        <v>1</v>
      </c>
      <c r="T761" s="89"/>
      <c r="U761" s="26"/>
    </row>
    <row r="762" spans="1:27" hidden="1" x14ac:dyDescent="0.25">
      <c r="A762">
        <v>193498</v>
      </c>
      <c r="B762" t="s">
        <v>1088</v>
      </c>
      <c r="C762" t="s">
        <v>29611</v>
      </c>
      <c r="D762">
        <v>14</v>
      </c>
      <c r="E762" t="s">
        <v>1088</v>
      </c>
      <c r="F762" t="s">
        <v>3</v>
      </c>
      <c r="G762" s="3"/>
      <c r="H762" s="3">
        <v>0</v>
      </c>
      <c r="I762" s="3">
        <v>0</v>
      </c>
      <c r="J762" s="3">
        <v>0</v>
      </c>
      <c r="K762" s="3">
        <v>0</v>
      </c>
      <c r="L762" s="3">
        <f t="shared" si="37"/>
        <v>0</v>
      </c>
      <c r="M762" s="3"/>
      <c r="N762" s="3">
        <f t="shared" si="38"/>
        <v>0</v>
      </c>
      <c r="R762" s="89"/>
      <c r="S762" s="89">
        <f>100%-Table34[[#This Row],[PDF_initial fee]]</f>
        <v>1</v>
      </c>
      <c r="T762" s="89"/>
      <c r="U762" s="26"/>
    </row>
    <row r="763" spans="1:27" hidden="1" x14ac:dyDescent="0.25">
      <c r="A763" s="60">
        <v>193503</v>
      </c>
      <c r="B763" s="60" t="s">
        <v>1089</v>
      </c>
      <c r="C763" s="60" t="s">
        <v>29184</v>
      </c>
      <c r="D763">
        <v>67</v>
      </c>
      <c r="E763" t="s">
        <v>1089</v>
      </c>
      <c r="F763" t="s">
        <v>6</v>
      </c>
      <c r="G763" s="3"/>
      <c r="H763" s="61">
        <v>0</v>
      </c>
      <c r="I763" s="61">
        <v>0</v>
      </c>
      <c r="J763" s="61">
        <v>0</v>
      </c>
      <c r="K763" s="61">
        <v>0</v>
      </c>
      <c r="L763" s="3">
        <f t="shared" si="37"/>
        <v>0</v>
      </c>
      <c r="M763" s="3"/>
      <c r="N763" s="3">
        <f t="shared" si="38"/>
        <v>0</v>
      </c>
      <c r="O763" s="60" t="s">
        <v>29612</v>
      </c>
      <c r="R763" s="89"/>
      <c r="S763" s="89">
        <f>100%-Table34[[#This Row],[PDF_initial fee]]</f>
        <v>1</v>
      </c>
      <c r="T763" s="89"/>
      <c r="U763" s="26"/>
    </row>
    <row r="764" spans="1:27" hidden="1" x14ac:dyDescent="0.25">
      <c r="A764">
        <v>193506</v>
      </c>
      <c r="B764" t="s">
        <v>1090</v>
      </c>
      <c r="C764" t="s">
        <v>29613</v>
      </c>
      <c r="D764">
        <v>1</v>
      </c>
      <c r="E764" t="s">
        <v>1090</v>
      </c>
      <c r="F764" t="s">
        <v>29613</v>
      </c>
      <c r="G764" s="3"/>
      <c r="H764" s="3">
        <v>0</v>
      </c>
      <c r="I764" s="3">
        <v>0</v>
      </c>
      <c r="J764" s="3">
        <v>0</v>
      </c>
      <c r="K764" s="3">
        <v>0</v>
      </c>
      <c r="L764" s="3">
        <f t="shared" si="37"/>
        <v>0</v>
      </c>
      <c r="M764" s="3"/>
      <c r="N764" s="3">
        <f t="shared" si="38"/>
        <v>0</v>
      </c>
      <c r="R764" s="89"/>
      <c r="S764" s="89">
        <f>100%-Table34[[#This Row],[PDF_initial fee]]</f>
        <v>1</v>
      </c>
      <c r="T764" s="89"/>
      <c r="U764" s="26"/>
    </row>
    <row r="765" spans="1:27" hidden="1" x14ac:dyDescent="0.25">
      <c r="A765">
        <v>193711</v>
      </c>
      <c r="B765" t="s">
        <v>1091</v>
      </c>
      <c r="C765" t="s">
        <v>6958</v>
      </c>
      <c r="D765">
        <v>1</v>
      </c>
      <c r="E765" t="s">
        <v>1091</v>
      </c>
      <c r="F765" t="s">
        <v>6958</v>
      </c>
      <c r="G765" s="3"/>
      <c r="H765" s="21">
        <v>0</v>
      </c>
      <c r="I765" s="21">
        <v>0</v>
      </c>
      <c r="J765" s="21">
        <v>0</v>
      </c>
      <c r="K765" s="21">
        <v>0</v>
      </c>
      <c r="L765" s="3">
        <f t="shared" si="37"/>
        <v>0</v>
      </c>
      <c r="M765" s="3"/>
      <c r="N765" s="3">
        <f t="shared" si="38"/>
        <v>0</v>
      </c>
      <c r="R765" s="89"/>
      <c r="S765" s="89">
        <f>100%-Table34[[#This Row],[PDF_initial fee]]</f>
        <v>1</v>
      </c>
      <c r="T765" s="89"/>
      <c r="U765" s="26"/>
    </row>
    <row r="766" spans="1:27" hidden="1" x14ac:dyDescent="0.25">
      <c r="A766">
        <v>194133</v>
      </c>
      <c r="B766" t="s">
        <v>1092</v>
      </c>
      <c r="C766" t="s">
        <v>6958</v>
      </c>
      <c r="D766">
        <v>1</v>
      </c>
      <c r="E766" t="s">
        <v>1092</v>
      </c>
      <c r="F766" t="s">
        <v>6958</v>
      </c>
      <c r="G766" s="3"/>
      <c r="H766" s="21">
        <v>0</v>
      </c>
      <c r="I766" s="21">
        <v>0</v>
      </c>
      <c r="J766" s="21">
        <v>0</v>
      </c>
      <c r="K766" s="21">
        <v>0</v>
      </c>
      <c r="L766" s="3">
        <f t="shared" si="37"/>
        <v>0</v>
      </c>
      <c r="M766" s="3"/>
      <c r="N766" s="3">
        <f t="shared" si="38"/>
        <v>0</v>
      </c>
      <c r="R766" s="89"/>
      <c r="S766" s="89">
        <f>100%-Table34[[#This Row],[PDF_initial fee]]</f>
        <v>1</v>
      </c>
      <c r="T766" s="89"/>
      <c r="U766" s="26"/>
    </row>
    <row r="767" spans="1:27" hidden="1" x14ac:dyDescent="0.25">
      <c r="A767">
        <v>194161</v>
      </c>
      <c r="B767" t="s">
        <v>1093</v>
      </c>
      <c r="C767" t="s">
        <v>6958</v>
      </c>
      <c r="D767">
        <v>2</v>
      </c>
      <c r="E767" t="s">
        <v>1093</v>
      </c>
      <c r="F767" t="s">
        <v>6958</v>
      </c>
      <c r="G767" s="3"/>
      <c r="L767" s="3">
        <f t="shared" si="37"/>
        <v>0</v>
      </c>
      <c r="M767" s="3"/>
      <c r="N767" s="3">
        <f t="shared" si="38"/>
        <v>0</v>
      </c>
      <c r="R767" s="89"/>
      <c r="S767" s="89">
        <f>100%-Table34[[#This Row],[PDF_initial fee]]</f>
        <v>1</v>
      </c>
      <c r="T767" s="89"/>
      <c r="U767" s="26"/>
    </row>
    <row r="768" spans="1:27" hidden="1" x14ac:dyDescent="0.25">
      <c r="A768">
        <v>194382</v>
      </c>
      <c r="B768" t="s">
        <v>1094</v>
      </c>
      <c r="C768" t="s">
        <v>29614</v>
      </c>
      <c r="D768">
        <v>37</v>
      </c>
      <c r="E768" t="s">
        <v>1094</v>
      </c>
      <c r="G768" s="3"/>
      <c r="H768" s="21">
        <v>0</v>
      </c>
      <c r="I768" s="3">
        <v>0</v>
      </c>
      <c r="J768" s="3">
        <v>0</v>
      </c>
      <c r="K768">
        <v>0</v>
      </c>
      <c r="L768" s="3">
        <f t="shared" si="37"/>
        <v>0</v>
      </c>
      <c r="M768" s="3"/>
      <c r="N768" s="3">
        <f t="shared" si="38"/>
        <v>0</v>
      </c>
      <c r="R768" s="89"/>
      <c r="S768" s="89">
        <f>100%-Table34[[#This Row],[PDF_initial fee]]</f>
        <v>1</v>
      </c>
      <c r="T768" s="89"/>
      <c r="U768" s="26"/>
    </row>
    <row r="769" spans="1:21" hidden="1" x14ac:dyDescent="0.25">
      <c r="A769">
        <v>194479</v>
      </c>
      <c r="B769" t="s">
        <v>1095</v>
      </c>
      <c r="C769" t="s">
        <v>29615</v>
      </c>
      <c r="D769">
        <v>1</v>
      </c>
      <c r="E769" t="s">
        <v>1095</v>
      </c>
      <c r="G769" s="3"/>
      <c r="H769" s="3">
        <v>0</v>
      </c>
      <c r="I769" s="3">
        <v>0</v>
      </c>
      <c r="J769" s="3">
        <v>0</v>
      </c>
      <c r="K769" s="3">
        <v>0</v>
      </c>
      <c r="L769" s="3">
        <f t="shared" si="37"/>
        <v>0</v>
      </c>
      <c r="M769" s="3"/>
      <c r="N769" s="3">
        <f t="shared" si="38"/>
        <v>0</v>
      </c>
      <c r="R769" s="89"/>
      <c r="S769" s="89">
        <f>100%-Table34[[#This Row],[PDF_initial fee]]</f>
        <v>1</v>
      </c>
      <c r="T769" s="89"/>
      <c r="U769" s="26"/>
    </row>
    <row r="770" spans="1:21" hidden="1" x14ac:dyDescent="0.25">
      <c r="A770">
        <v>194522</v>
      </c>
      <c r="B770" t="s">
        <v>1096</v>
      </c>
      <c r="C770" t="s">
        <v>6958</v>
      </c>
      <c r="D770">
        <v>0</v>
      </c>
      <c r="E770" t="s">
        <v>1096</v>
      </c>
      <c r="F770" t="s">
        <v>6958</v>
      </c>
      <c r="G770" s="3"/>
      <c r="H770" s="21">
        <v>0</v>
      </c>
      <c r="I770" s="21">
        <v>0</v>
      </c>
      <c r="J770" s="21">
        <v>0</v>
      </c>
      <c r="K770" s="21">
        <v>0</v>
      </c>
      <c r="L770" s="3">
        <f t="shared" si="37"/>
        <v>0</v>
      </c>
      <c r="M770" s="3"/>
      <c r="N770" s="3">
        <f t="shared" si="38"/>
        <v>0</v>
      </c>
      <c r="O770" s="21"/>
      <c r="R770" s="89"/>
      <c r="S770" s="89">
        <f>100%-Table34[[#This Row],[PDF_initial fee]]</f>
        <v>1</v>
      </c>
      <c r="T770" s="89"/>
      <c r="U770" s="26"/>
    </row>
    <row r="771" spans="1:21" hidden="1" x14ac:dyDescent="0.25">
      <c r="A771">
        <v>194538</v>
      </c>
      <c r="B771" t="s">
        <v>1097</v>
      </c>
      <c r="C771" t="s">
        <v>8440</v>
      </c>
      <c r="D771">
        <v>4</v>
      </c>
      <c r="E771" t="s">
        <v>1097</v>
      </c>
      <c r="G771" s="3"/>
      <c r="H771" s="21">
        <v>0</v>
      </c>
      <c r="I771" s="21">
        <v>0</v>
      </c>
      <c r="J771" s="21">
        <v>0</v>
      </c>
      <c r="K771" s="21">
        <v>0</v>
      </c>
      <c r="L771" s="3">
        <f t="shared" si="37"/>
        <v>0</v>
      </c>
      <c r="M771" s="3"/>
      <c r="N771" s="3">
        <f t="shared" si="38"/>
        <v>0</v>
      </c>
      <c r="R771" s="89"/>
      <c r="S771" s="89">
        <f>100%-Table34[[#This Row],[PDF_initial fee]]</f>
        <v>1</v>
      </c>
      <c r="T771" s="89"/>
      <c r="U771" s="26"/>
    </row>
    <row r="772" spans="1:21" hidden="1" x14ac:dyDescent="0.25">
      <c r="A772">
        <v>194539</v>
      </c>
      <c r="B772" t="s">
        <v>1098</v>
      </c>
      <c r="C772" t="s">
        <v>6958</v>
      </c>
      <c r="D772">
        <v>2</v>
      </c>
      <c r="E772" t="s">
        <v>1098</v>
      </c>
      <c r="F772" t="s">
        <v>6958</v>
      </c>
      <c r="G772" s="3"/>
      <c r="H772" s="21">
        <v>0</v>
      </c>
      <c r="I772" s="21">
        <v>0</v>
      </c>
      <c r="J772" s="21">
        <v>0</v>
      </c>
      <c r="K772" s="21">
        <v>0</v>
      </c>
      <c r="L772" s="3">
        <f t="shared" si="37"/>
        <v>0</v>
      </c>
      <c r="M772" s="3"/>
      <c r="N772" s="3">
        <f t="shared" si="38"/>
        <v>0</v>
      </c>
      <c r="R772" s="89"/>
      <c r="S772" s="89">
        <f>100%-Table34[[#This Row],[PDF_initial fee]]</f>
        <v>1</v>
      </c>
      <c r="T772" s="89"/>
      <c r="U772" s="26"/>
    </row>
    <row r="773" spans="1:21" hidden="1" x14ac:dyDescent="0.25">
      <c r="A773">
        <v>194710</v>
      </c>
      <c r="B773" t="s">
        <v>1099</v>
      </c>
      <c r="C773" t="s">
        <v>9250</v>
      </c>
      <c r="D773">
        <v>7</v>
      </c>
      <c r="E773" t="s">
        <v>1099</v>
      </c>
      <c r="G773" s="3"/>
      <c r="H773" s="21">
        <v>0</v>
      </c>
      <c r="I773" s="21">
        <v>0</v>
      </c>
      <c r="J773" s="21">
        <v>0</v>
      </c>
      <c r="K773" s="21">
        <v>0</v>
      </c>
      <c r="L773" s="3">
        <f t="shared" si="37"/>
        <v>0</v>
      </c>
      <c r="M773" s="3"/>
      <c r="N773" s="3">
        <f t="shared" si="38"/>
        <v>0</v>
      </c>
      <c r="R773" s="89"/>
      <c r="S773" s="89">
        <f>100%-Table34[[#This Row],[PDF_initial fee]]</f>
        <v>1</v>
      </c>
      <c r="T773" s="89"/>
      <c r="U773" s="26"/>
    </row>
    <row r="774" spans="1:21" hidden="1" x14ac:dyDescent="0.25">
      <c r="A774">
        <v>194713</v>
      </c>
      <c r="B774" t="s">
        <v>1100</v>
      </c>
      <c r="C774" t="s">
        <v>29616</v>
      </c>
      <c r="D774">
        <v>141</v>
      </c>
      <c r="E774" t="s">
        <v>1100</v>
      </c>
      <c r="F774" t="s">
        <v>3</v>
      </c>
      <c r="G774" s="3"/>
      <c r="H774" s="21">
        <v>0</v>
      </c>
      <c r="I774" s="21">
        <v>0</v>
      </c>
      <c r="J774" s="21">
        <v>0</v>
      </c>
      <c r="K774" s="21">
        <v>0</v>
      </c>
      <c r="L774" s="3">
        <f t="shared" si="37"/>
        <v>0</v>
      </c>
      <c r="M774" s="3"/>
      <c r="N774" s="3">
        <f t="shared" si="38"/>
        <v>0</v>
      </c>
      <c r="O774" s="21"/>
      <c r="R774" s="89"/>
      <c r="S774" s="89">
        <f>100%-Table34[[#This Row],[PDF_initial fee]]</f>
        <v>1</v>
      </c>
      <c r="T774" s="89"/>
      <c r="U774" s="26"/>
    </row>
    <row r="775" spans="1:21" hidden="1" x14ac:dyDescent="0.25">
      <c r="A775">
        <v>194722</v>
      </c>
      <c r="B775" t="s">
        <v>1101</v>
      </c>
      <c r="C775" t="s">
        <v>29617</v>
      </c>
      <c r="D775">
        <v>3</v>
      </c>
      <c r="E775" t="s">
        <v>1101</v>
      </c>
      <c r="G775" s="3"/>
      <c r="H775" s="21">
        <v>0</v>
      </c>
      <c r="I775" s="21">
        <v>0</v>
      </c>
      <c r="J775" s="21">
        <v>0</v>
      </c>
      <c r="K775" s="21">
        <v>0</v>
      </c>
      <c r="L775" s="3">
        <f t="shared" si="37"/>
        <v>0</v>
      </c>
      <c r="M775" s="3"/>
      <c r="N775" s="3">
        <f t="shared" si="38"/>
        <v>0</v>
      </c>
      <c r="O775" s="21"/>
      <c r="R775" s="89"/>
      <c r="S775" s="89">
        <f>100%-Table34[[#This Row],[PDF_initial fee]]</f>
        <v>1</v>
      </c>
      <c r="T775" s="89"/>
      <c r="U775" s="26"/>
    </row>
    <row r="776" spans="1:21" hidden="1" x14ac:dyDescent="0.25">
      <c r="A776">
        <v>194783</v>
      </c>
      <c r="B776" t="s">
        <v>1102</v>
      </c>
      <c r="C776" t="s">
        <v>29618</v>
      </c>
      <c r="D776">
        <v>0</v>
      </c>
      <c r="E776" t="s">
        <v>1102</v>
      </c>
      <c r="F776" t="s">
        <v>29136</v>
      </c>
      <c r="G776" s="3"/>
      <c r="H776" s="21">
        <v>0</v>
      </c>
      <c r="I776" s="21">
        <v>0</v>
      </c>
      <c r="J776" s="21">
        <v>0</v>
      </c>
      <c r="K776" s="21">
        <v>0</v>
      </c>
      <c r="L776" s="3">
        <f t="shared" si="37"/>
        <v>0</v>
      </c>
      <c r="M776" s="3"/>
      <c r="N776" s="3">
        <f t="shared" si="38"/>
        <v>0</v>
      </c>
      <c r="O776" s="21"/>
      <c r="R776" s="89"/>
      <c r="S776" s="89">
        <f>100%-Table34[[#This Row],[PDF_initial fee]]</f>
        <v>1</v>
      </c>
      <c r="T776" s="89"/>
      <c r="U776" s="26"/>
    </row>
    <row r="777" spans="1:21" hidden="1" x14ac:dyDescent="0.25">
      <c r="A777">
        <v>194820</v>
      </c>
      <c r="B777" t="s">
        <v>1103</v>
      </c>
      <c r="C777" t="s">
        <v>29619</v>
      </c>
      <c r="D777">
        <v>0</v>
      </c>
      <c r="E777" t="s">
        <v>1103</v>
      </c>
      <c r="F777" t="s">
        <v>29136</v>
      </c>
      <c r="G777" s="3"/>
      <c r="H777" s="21">
        <v>0</v>
      </c>
      <c r="I777" s="21">
        <v>0</v>
      </c>
      <c r="J777" s="21">
        <v>0</v>
      </c>
      <c r="K777" s="21">
        <v>0</v>
      </c>
      <c r="L777" s="3">
        <f t="shared" si="37"/>
        <v>0</v>
      </c>
      <c r="M777" s="3"/>
      <c r="N777" s="3">
        <f t="shared" si="38"/>
        <v>0</v>
      </c>
      <c r="O777" s="21"/>
      <c r="R777" s="89"/>
      <c r="S777" s="89">
        <f>100%-Table34[[#This Row],[PDF_initial fee]]</f>
        <v>1</v>
      </c>
      <c r="T777" s="89"/>
      <c r="U777" s="26"/>
    </row>
    <row r="778" spans="1:21" hidden="1" x14ac:dyDescent="0.25">
      <c r="A778">
        <v>194925</v>
      </c>
      <c r="B778" t="s">
        <v>1104</v>
      </c>
      <c r="C778" t="s">
        <v>8323</v>
      </c>
      <c r="D778">
        <v>4</v>
      </c>
      <c r="E778" t="s">
        <v>1104</v>
      </c>
      <c r="G778" s="3"/>
      <c r="H778" s="21">
        <v>0</v>
      </c>
      <c r="I778" s="21">
        <v>0</v>
      </c>
      <c r="J778" s="21">
        <v>0</v>
      </c>
      <c r="K778" s="21">
        <v>0</v>
      </c>
      <c r="L778" s="3">
        <f t="shared" si="37"/>
        <v>0</v>
      </c>
      <c r="M778" s="3"/>
      <c r="N778" s="3">
        <f t="shared" si="38"/>
        <v>0</v>
      </c>
      <c r="R778" s="89"/>
      <c r="S778" s="89">
        <f>100%-Table34[[#This Row],[PDF_initial fee]]</f>
        <v>1</v>
      </c>
      <c r="T778" s="89"/>
      <c r="U778" s="26"/>
    </row>
    <row r="779" spans="1:21" hidden="1" x14ac:dyDescent="0.25">
      <c r="A779">
        <v>194927</v>
      </c>
      <c r="B779" t="s">
        <v>1105</v>
      </c>
      <c r="C779" t="s">
        <v>29620</v>
      </c>
      <c r="D779">
        <v>95</v>
      </c>
      <c r="E779" t="s">
        <v>1105</v>
      </c>
      <c r="F779" t="s">
        <v>6</v>
      </c>
      <c r="G779" s="3"/>
      <c r="H779" s="21">
        <v>0</v>
      </c>
      <c r="I779" s="21">
        <v>0</v>
      </c>
      <c r="J779" s="21">
        <v>0</v>
      </c>
      <c r="K779" s="21">
        <v>0</v>
      </c>
      <c r="L779" s="3">
        <f t="shared" si="37"/>
        <v>0</v>
      </c>
      <c r="M779" s="3"/>
      <c r="N779" s="3">
        <f t="shared" si="38"/>
        <v>0</v>
      </c>
      <c r="O779" s="21"/>
      <c r="R779" s="89"/>
      <c r="S779" s="89">
        <f>100%-Table34[[#This Row],[PDF_initial fee]]</f>
        <v>1</v>
      </c>
      <c r="T779" s="89"/>
      <c r="U779" s="26"/>
    </row>
    <row r="780" spans="1:21" hidden="1" x14ac:dyDescent="0.25">
      <c r="A780">
        <v>194929</v>
      </c>
      <c r="B780" t="s">
        <v>1106</v>
      </c>
      <c r="C780" t="s">
        <v>29614</v>
      </c>
      <c r="D780">
        <v>0</v>
      </c>
      <c r="E780" t="s">
        <v>1106</v>
      </c>
      <c r="F780" t="s">
        <v>3</v>
      </c>
      <c r="G780" s="3"/>
      <c r="H780" s="21">
        <v>0</v>
      </c>
      <c r="I780" s="3">
        <v>0</v>
      </c>
      <c r="J780" s="3">
        <v>0</v>
      </c>
      <c r="K780">
        <v>0</v>
      </c>
      <c r="L780" s="3">
        <f t="shared" si="37"/>
        <v>0</v>
      </c>
      <c r="M780" s="3"/>
      <c r="N780" s="3">
        <f t="shared" si="38"/>
        <v>0</v>
      </c>
      <c r="R780" s="89"/>
      <c r="S780" s="89">
        <f>100%-Table34[[#This Row],[PDF_initial fee]]</f>
        <v>1</v>
      </c>
      <c r="T780" s="89"/>
      <c r="U780" s="26"/>
    </row>
    <row r="781" spans="1:21" hidden="1" x14ac:dyDescent="0.25">
      <c r="A781">
        <v>195024</v>
      </c>
      <c r="B781" t="s">
        <v>1107</v>
      </c>
      <c r="C781" t="s">
        <v>8014</v>
      </c>
      <c r="D781">
        <v>17</v>
      </c>
      <c r="E781" t="s">
        <v>1107</v>
      </c>
      <c r="F781" t="s">
        <v>3</v>
      </c>
      <c r="G781" s="3"/>
      <c r="L781" s="3">
        <f t="shared" si="37"/>
        <v>0</v>
      </c>
      <c r="M781" s="3"/>
      <c r="N781" s="3">
        <f t="shared" si="38"/>
        <v>0</v>
      </c>
      <c r="R781" s="89"/>
      <c r="S781" s="89">
        <f>100%-Table34[[#This Row],[PDF_initial fee]]</f>
        <v>1</v>
      </c>
      <c r="T781" s="89"/>
      <c r="U781" s="26"/>
    </row>
    <row r="782" spans="1:21" hidden="1" x14ac:dyDescent="0.25">
      <c r="A782">
        <v>195080</v>
      </c>
      <c r="B782" t="s">
        <v>1108</v>
      </c>
      <c r="C782" t="s">
        <v>8848</v>
      </c>
      <c r="D782">
        <v>0</v>
      </c>
      <c r="E782" t="s">
        <v>1108</v>
      </c>
      <c r="F782" t="s">
        <v>3</v>
      </c>
      <c r="G782" s="3"/>
      <c r="H782" s="21">
        <v>0</v>
      </c>
      <c r="I782" s="21">
        <v>0</v>
      </c>
      <c r="J782" s="21">
        <v>0</v>
      </c>
      <c r="K782" s="21">
        <v>0</v>
      </c>
      <c r="L782" s="3">
        <f t="shared" si="37"/>
        <v>0</v>
      </c>
      <c r="M782" s="3"/>
      <c r="N782" s="3">
        <f t="shared" si="38"/>
        <v>0</v>
      </c>
      <c r="R782" s="89"/>
      <c r="S782" s="89">
        <f>100%-Table34[[#This Row],[PDF_initial fee]]</f>
        <v>1</v>
      </c>
      <c r="T782" s="89"/>
      <c r="U782" s="26"/>
    </row>
    <row r="783" spans="1:21" hidden="1" x14ac:dyDescent="0.25">
      <c r="A783">
        <v>195081</v>
      </c>
      <c r="B783" t="s">
        <v>1109</v>
      </c>
      <c r="C783" t="s">
        <v>11984</v>
      </c>
      <c r="D783">
        <v>2</v>
      </c>
      <c r="E783" t="s">
        <v>1109</v>
      </c>
      <c r="G783" s="3"/>
      <c r="L783" s="3">
        <f t="shared" si="37"/>
        <v>0</v>
      </c>
      <c r="M783" s="3"/>
      <c r="N783" s="3">
        <f t="shared" si="38"/>
        <v>0</v>
      </c>
      <c r="R783" s="89"/>
      <c r="S783" s="89">
        <f>100%-Table34[[#This Row],[PDF_initial fee]]</f>
        <v>1</v>
      </c>
      <c r="T783" s="89"/>
      <c r="U783" s="26"/>
    </row>
    <row r="784" spans="1:21" hidden="1" x14ac:dyDescent="0.25">
      <c r="A784">
        <v>195084</v>
      </c>
      <c r="B784" t="s">
        <v>1110</v>
      </c>
      <c r="C784" t="s">
        <v>6958</v>
      </c>
      <c r="D784">
        <v>0</v>
      </c>
      <c r="E784" t="s">
        <v>1110</v>
      </c>
      <c r="F784" t="s">
        <v>6958</v>
      </c>
      <c r="G784" s="3"/>
      <c r="H784" s="21">
        <v>0</v>
      </c>
      <c r="I784" s="21">
        <v>0</v>
      </c>
      <c r="J784" s="21">
        <v>0</v>
      </c>
      <c r="K784" s="21">
        <v>0</v>
      </c>
      <c r="L784" s="3">
        <f t="shared" si="37"/>
        <v>0</v>
      </c>
      <c r="M784" s="3"/>
      <c r="N784" s="3">
        <f t="shared" si="38"/>
        <v>0</v>
      </c>
      <c r="R784" s="89"/>
      <c r="S784" s="89">
        <f>100%-Table34[[#This Row],[PDF_initial fee]]</f>
        <v>1</v>
      </c>
      <c r="T784" s="89"/>
      <c r="U784" s="26"/>
    </row>
    <row r="785" spans="1:28" x14ac:dyDescent="0.25">
      <c r="A785">
        <v>456867</v>
      </c>
      <c r="B785" t="s">
        <v>175</v>
      </c>
      <c r="C785" t="s">
        <v>29621</v>
      </c>
      <c r="D785">
        <v>6</v>
      </c>
      <c r="E785" t="s">
        <v>175</v>
      </c>
      <c r="F785" t="s">
        <v>3</v>
      </c>
      <c r="G785" s="3">
        <v>1.4E-3</v>
      </c>
      <c r="H785" s="3">
        <v>0</v>
      </c>
      <c r="I785" s="3">
        <v>0</v>
      </c>
      <c r="J785" s="6">
        <v>0.03</v>
      </c>
      <c r="K785" s="6">
        <v>3.0000000000000001E-3</v>
      </c>
      <c r="L785" s="3">
        <f t="shared" si="37"/>
        <v>3.3000000000000002E-2</v>
      </c>
      <c r="M785" s="3"/>
      <c r="N785" s="3">
        <f t="shared" si="38"/>
        <v>3.44E-2</v>
      </c>
      <c r="O785" t="str">
        <f>P785</f>
        <v>https://aspireonline.co.uk/sites/default/files/clients/130/0623-Client-Proposition.pdf</v>
      </c>
      <c r="P785" s="31" t="s">
        <v>29622</v>
      </c>
      <c r="Q785" t="s">
        <v>31787</v>
      </c>
      <c r="R785" s="89">
        <v>0.33333333333333348</v>
      </c>
      <c r="S785" s="89">
        <f>100%-Table34[[#This Row],[PDF_initial fee]]</f>
        <v>0.97</v>
      </c>
      <c r="T785" s="89">
        <f>(1-Table34[[#This Row],[PDF ongoing fee]])^5</f>
        <v>0.985089730404757</v>
      </c>
      <c r="U785" s="26">
        <f>(1+Table34[[#This Row],[Net 5yrs return (mostly up to 28th of Feb 2026)]])*Table34[[#This Row],[Investment after initial charge]]*Table34[[#This Row],[Cummulative 5yrs ongoing advice charge]]-1</f>
        <v>0.27404938465681927</v>
      </c>
      <c r="V785">
        <f>307235+12276</f>
        <v>319511</v>
      </c>
      <c r="W785" t="s">
        <v>29051</v>
      </c>
      <c r="X785" s="9">
        <v>307235</v>
      </c>
      <c r="Y785" s="30">
        <f>X785/V785</f>
        <v>0.96157878758477799</v>
      </c>
      <c r="AA785" s="1" t="s">
        <v>29623</v>
      </c>
    </row>
    <row r="786" spans="1:28" hidden="1" x14ac:dyDescent="0.25">
      <c r="A786">
        <v>195271</v>
      </c>
      <c r="B786" t="s">
        <v>1111</v>
      </c>
      <c r="C786" t="s">
        <v>7992</v>
      </c>
      <c r="D786">
        <v>2</v>
      </c>
      <c r="E786" t="s">
        <v>1111</v>
      </c>
      <c r="F786" t="s">
        <v>3</v>
      </c>
      <c r="G786" s="3"/>
      <c r="H786" s="21">
        <v>0</v>
      </c>
      <c r="I786" s="21">
        <v>0</v>
      </c>
      <c r="J786" s="21">
        <v>0</v>
      </c>
      <c r="K786" s="21">
        <v>0</v>
      </c>
      <c r="L786" s="3">
        <f t="shared" si="37"/>
        <v>0</v>
      </c>
      <c r="M786" s="3"/>
      <c r="N786" s="3">
        <f t="shared" si="38"/>
        <v>0</v>
      </c>
      <c r="R786" s="89"/>
      <c r="S786" s="89">
        <f>100%-Table34[[#This Row],[PDF_initial fee]]</f>
        <v>1</v>
      </c>
      <c r="T786" s="89"/>
      <c r="U786" s="26"/>
    </row>
    <row r="787" spans="1:28" x14ac:dyDescent="0.25">
      <c r="A787">
        <v>301672</v>
      </c>
      <c r="B787" t="s">
        <v>140</v>
      </c>
      <c r="C787" t="s">
        <v>6975</v>
      </c>
      <c r="D787">
        <v>6</v>
      </c>
      <c r="E787" t="s">
        <v>140</v>
      </c>
      <c r="F787" t="s">
        <v>3</v>
      </c>
      <c r="G787" s="3">
        <v>1.4E-3</v>
      </c>
      <c r="H787" s="3"/>
      <c r="I787" s="3"/>
      <c r="J787" s="6">
        <v>0</v>
      </c>
      <c r="K787" s="6">
        <f>1.2%+((290*10)/100000)+3%</f>
        <v>7.1000000000000008E-2</v>
      </c>
      <c r="L787" s="3">
        <f t="shared" si="37"/>
        <v>7.1000000000000008E-2</v>
      </c>
      <c r="M787" s="3"/>
      <c r="N787" s="3">
        <f t="shared" si="38"/>
        <v>7.2400000000000006E-2</v>
      </c>
      <c r="P787" s="1" t="s">
        <v>29624</v>
      </c>
      <c r="Q787" t="s">
        <v>31787</v>
      </c>
      <c r="R787" s="89">
        <v>0.33333333333333348</v>
      </c>
      <c r="S787" s="99">
        <f>100%-Table34[[#This Row],[InitialFee]]</f>
        <v>1</v>
      </c>
      <c r="T787" s="99">
        <f>(1-Table34[[#This Row],[PDF ongoing fee]])^5</f>
        <v>0.69195614417564921</v>
      </c>
      <c r="U787" s="26">
        <f>(1+Table34[[#This Row],[Net 5yrs return (mostly up to 28th of Feb 2026)]])*Table34[[#This Row],[Investment after initial charge]]*Table34[[#This Row],[Cummulative 5yrs ongoing advice charge]]-1</f>
        <v>-7.7391807765800902E-2</v>
      </c>
      <c r="V787">
        <f>941473+6915</f>
        <v>948388</v>
      </c>
      <c r="W787" t="s">
        <v>29051</v>
      </c>
      <c r="X787" s="10">
        <v>881436</v>
      </c>
      <c r="Y787" s="30">
        <f>X787/V787</f>
        <v>0.92940442097538134</v>
      </c>
      <c r="AA787" s="1" t="s">
        <v>29625</v>
      </c>
      <c r="AB787" t="s">
        <v>29302</v>
      </c>
    </row>
    <row r="788" spans="1:28" hidden="1" x14ac:dyDescent="0.25">
      <c r="A788">
        <v>930300</v>
      </c>
      <c r="B788" t="s">
        <v>334</v>
      </c>
      <c r="C788" t="s">
        <v>7405</v>
      </c>
      <c r="D788">
        <v>4</v>
      </c>
      <c r="E788" t="s">
        <v>334</v>
      </c>
      <c r="F788" t="s">
        <v>6</v>
      </c>
      <c r="G788" s="3">
        <v>0.01</v>
      </c>
      <c r="H788" s="3">
        <v>0.02</v>
      </c>
      <c r="I788" s="3">
        <v>5.0000000000000001E-3</v>
      </c>
      <c r="J788" s="6">
        <v>0</v>
      </c>
      <c r="K788" s="6">
        <v>0</v>
      </c>
      <c r="L788" s="3">
        <f t="shared" si="37"/>
        <v>2.5000000000000001E-2</v>
      </c>
      <c r="M788" s="3"/>
      <c r="N788" s="3">
        <f t="shared" si="38"/>
        <v>3.5000000000000003E-2</v>
      </c>
      <c r="P788" s="1" t="s">
        <v>29626</v>
      </c>
      <c r="Q788" t="s">
        <v>31784</v>
      </c>
      <c r="R788" s="89" t="s">
        <v>369</v>
      </c>
      <c r="S788" s="89">
        <f>100%-Table34[[#This Row],[PDF_initial fee]]</f>
        <v>1</v>
      </c>
      <c r="T788" s="89"/>
      <c r="U788" s="26"/>
      <c r="V788" s="10">
        <f>526126+98487</f>
        <v>624613</v>
      </c>
      <c r="W788" s="10" t="s">
        <v>29051</v>
      </c>
      <c r="X788" s="9">
        <v>526126</v>
      </c>
      <c r="Y788" s="30">
        <f>X788/V788</f>
        <v>0.84232316650469974</v>
      </c>
      <c r="AA788" s="1" t="s">
        <v>29627</v>
      </c>
    </row>
    <row r="789" spans="1:28" hidden="1" x14ac:dyDescent="0.25">
      <c r="A789">
        <v>195353</v>
      </c>
      <c r="B789" t="s">
        <v>1112</v>
      </c>
      <c r="C789" t="s">
        <v>8334</v>
      </c>
      <c r="D789">
        <v>3</v>
      </c>
      <c r="E789" t="s">
        <v>1112</v>
      </c>
      <c r="F789" t="s">
        <v>6</v>
      </c>
      <c r="G789" s="3"/>
      <c r="H789" s="21">
        <v>0</v>
      </c>
      <c r="I789" s="21">
        <v>0</v>
      </c>
      <c r="J789" s="21">
        <v>0</v>
      </c>
      <c r="K789" s="21">
        <v>0</v>
      </c>
      <c r="L789" s="3">
        <f t="shared" si="37"/>
        <v>0</v>
      </c>
      <c r="M789" s="3"/>
      <c r="N789" s="3">
        <f t="shared" si="38"/>
        <v>0</v>
      </c>
      <c r="R789" s="89"/>
      <c r="S789" s="89">
        <f>100%-Table34[[#This Row],[PDF_initial fee]]</f>
        <v>1</v>
      </c>
      <c r="T789" s="89"/>
      <c r="U789" s="26"/>
    </row>
    <row r="790" spans="1:28" hidden="1" x14ac:dyDescent="0.25">
      <c r="A790">
        <v>195355</v>
      </c>
      <c r="B790" t="s">
        <v>1113</v>
      </c>
      <c r="C790" t="s">
        <v>29628</v>
      </c>
      <c r="D790">
        <v>0</v>
      </c>
      <c r="E790" t="s">
        <v>1113</v>
      </c>
      <c r="F790" t="s">
        <v>29136</v>
      </c>
      <c r="G790" s="3"/>
      <c r="L790" s="3">
        <f t="shared" si="37"/>
        <v>0</v>
      </c>
      <c r="M790" s="3"/>
      <c r="N790" s="3">
        <f t="shared" si="38"/>
        <v>0</v>
      </c>
      <c r="R790" s="89"/>
      <c r="S790" s="89">
        <f>100%-Table34[[#This Row],[PDF_initial fee]]</f>
        <v>1</v>
      </c>
      <c r="T790" s="89"/>
      <c r="U790" s="26"/>
    </row>
    <row r="791" spans="1:28" hidden="1" x14ac:dyDescent="0.25">
      <c r="A791">
        <v>195430</v>
      </c>
      <c r="B791" t="s">
        <v>1114</v>
      </c>
      <c r="C791" t="s">
        <v>29629</v>
      </c>
      <c r="D791">
        <v>0</v>
      </c>
      <c r="E791" t="s">
        <v>1114</v>
      </c>
      <c r="F791" t="s">
        <v>29630</v>
      </c>
      <c r="G791" s="3"/>
      <c r="H791" s="21">
        <v>0</v>
      </c>
      <c r="I791" s="21">
        <v>0</v>
      </c>
      <c r="J791" s="21">
        <v>0</v>
      </c>
      <c r="K791" s="21">
        <v>0</v>
      </c>
      <c r="L791" s="3">
        <f t="shared" si="37"/>
        <v>0</v>
      </c>
      <c r="M791" s="3"/>
      <c r="N791" s="3">
        <f t="shared" si="38"/>
        <v>0</v>
      </c>
      <c r="O791" s="21"/>
      <c r="R791" s="89"/>
      <c r="S791" s="89">
        <f>100%-Table34[[#This Row],[PDF_initial fee]]</f>
        <v>1</v>
      </c>
      <c r="T791" s="89"/>
      <c r="U791" s="26"/>
    </row>
    <row r="792" spans="1:28" hidden="1" x14ac:dyDescent="0.25">
      <c r="A792">
        <v>195522</v>
      </c>
      <c r="B792" t="s">
        <v>1115</v>
      </c>
      <c r="C792" t="s">
        <v>8848</v>
      </c>
      <c r="D792">
        <v>18</v>
      </c>
      <c r="E792" t="s">
        <v>1115</v>
      </c>
      <c r="F792" t="s">
        <v>3</v>
      </c>
      <c r="G792" s="3"/>
      <c r="H792" s="21">
        <v>0</v>
      </c>
      <c r="I792" s="21">
        <v>0</v>
      </c>
      <c r="J792" s="21">
        <v>0</v>
      </c>
      <c r="K792" s="21">
        <v>0</v>
      </c>
      <c r="L792" s="3">
        <f t="shared" si="37"/>
        <v>0</v>
      </c>
      <c r="M792" s="3"/>
      <c r="N792" s="3">
        <f t="shared" si="38"/>
        <v>0</v>
      </c>
      <c r="R792" s="89"/>
      <c r="S792" s="89">
        <f>100%-Table34[[#This Row],[PDF_initial fee]]</f>
        <v>1</v>
      </c>
      <c r="T792" s="89"/>
      <c r="U792" s="26"/>
    </row>
    <row r="793" spans="1:28" hidden="1" x14ac:dyDescent="0.25">
      <c r="A793">
        <v>195581</v>
      </c>
      <c r="B793" t="s">
        <v>1116</v>
      </c>
      <c r="C793" t="s">
        <v>12264</v>
      </c>
      <c r="D793">
        <v>0</v>
      </c>
      <c r="E793" t="s">
        <v>1116</v>
      </c>
      <c r="F793" t="s">
        <v>29136</v>
      </c>
      <c r="G793" s="3"/>
      <c r="H793" s="21">
        <v>0</v>
      </c>
      <c r="I793" s="21">
        <v>0</v>
      </c>
      <c r="J793" s="21">
        <v>0</v>
      </c>
      <c r="K793" s="21">
        <v>0</v>
      </c>
      <c r="L793" s="3">
        <f t="shared" si="37"/>
        <v>0</v>
      </c>
      <c r="M793" s="3"/>
      <c r="N793" s="3">
        <f t="shared" si="38"/>
        <v>0</v>
      </c>
      <c r="R793" s="89"/>
      <c r="S793" s="89">
        <f>100%-Table34[[#This Row],[PDF_initial fee]]</f>
        <v>1</v>
      </c>
      <c r="T793" s="89"/>
      <c r="U793" s="26"/>
    </row>
    <row r="794" spans="1:28" hidden="1" x14ac:dyDescent="0.25">
      <c r="A794">
        <v>195615</v>
      </c>
      <c r="B794" t="s">
        <v>1117</v>
      </c>
      <c r="C794" t="s">
        <v>6958</v>
      </c>
      <c r="D794">
        <v>6</v>
      </c>
      <c r="E794" t="s">
        <v>1117</v>
      </c>
      <c r="F794" t="s">
        <v>6958</v>
      </c>
      <c r="G794" s="3"/>
      <c r="H794" s="21">
        <v>0</v>
      </c>
      <c r="I794" s="21">
        <v>0</v>
      </c>
      <c r="J794" s="21">
        <v>0</v>
      </c>
      <c r="K794" s="21">
        <v>0</v>
      </c>
      <c r="L794" s="3">
        <f t="shared" si="37"/>
        <v>0</v>
      </c>
      <c r="M794" s="3"/>
      <c r="N794" s="3">
        <f t="shared" si="38"/>
        <v>0</v>
      </c>
      <c r="R794" s="89"/>
      <c r="S794" s="89">
        <f>100%-Table34[[#This Row],[PDF_initial fee]]</f>
        <v>1</v>
      </c>
      <c r="T794" s="89"/>
      <c r="U794" s="26"/>
    </row>
    <row r="795" spans="1:28" hidden="1" x14ac:dyDescent="0.25">
      <c r="A795">
        <v>195668</v>
      </c>
      <c r="B795" t="s">
        <v>1118</v>
      </c>
      <c r="C795" t="s">
        <v>29631</v>
      </c>
      <c r="D795">
        <v>0</v>
      </c>
      <c r="E795" t="s">
        <v>1118</v>
      </c>
      <c r="F795" t="s">
        <v>29136</v>
      </c>
      <c r="G795" s="3"/>
      <c r="H795" s="3">
        <v>0</v>
      </c>
      <c r="I795" s="3">
        <v>0</v>
      </c>
      <c r="J795" s="3">
        <v>0</v>
      </c>
      <c r="K795" s="3">
        <v>0</v>
      </c>
      <c r="L795" s="3">
        <f t="shared" si="37"/>
        <v>0</v>
      </c>
      <c r="M795" s="3"/>
      <c r="N795" s="3">
        <f t="shared" si="38"/>
        <v>0</v>
      </c>
      <c r="R795" s="89"/>
      <c r="S795" s="89">
        <f>100%-Table34[[#This Row],[PDF_initial fee]]</f>
        <v>1</v>
      </c>
      <c r="T795" s="89"/>
      <c r="U795" s="26"/>
    </row>
    <row r="796" spans="1:28" hidden="1" x14ac:dyDescent="0.25">
      <c r="A796">
        <v>195774</v>
      </c>
      <c r="B796" t="s">
        <v>1119</v>
      </c>
      <c r="C796" t="s">
        <v>29632</v>
      </c>
      <c r="D796">
        <v>1</v>
      </c>
      <c r="E796" t="s">
        <v>1119</v>
      </c>
      <c r="F796" t="s">
        <v>3</v>
      </c>
      <c r="G796" s="3"/>
      <c r="H796" s="21">
        <v>0</v>
      </c>
      <c r="I796" s="21">
        <v>0</v>
      </c>
      <c r="J796" s="21">
        <v>0</v>
      </c>
      <c r="K796" s="21">
        <v>0</v>
      </c>
      <c r="L796" s="3">
        <f t="shared" si="37"/>
        <v>0</v>
      </c>
      <c r="M796" s="3"/>
      <c r="N796" s="3">
        <f t="shared" si="38"/>
        <v>0</v>
      </c>
      <c r="O796" s="21"/>
      <c r="R796" s="89"/>
      <c r="S796" s="89">
        <f>100%-Table34[[#This Row],[PDF_initial fee]]</f>
        <v>1</v>
      </c>
      <c r="T796" s="89"/>
      <c r="U796" s="26"/>
    </row>
    <row r="797" spans="1:28" hidden="1" x14ac:dyDescent="0.25">
      <c r="A797">
        <v>195786</v>
      </c>
      <c r="B797" t="s">
        <v>1120</v>
      </c>
      <c r="C797" t="s">
        <v>7023</v>
      </c>
      <c r="D797">
        <v>4</v>
      </c>
      <c r="E797" t="s">
        <v>1120</v>
      </c>
      <c r="F797" t="s">
        <v>3</v>
      </c>
      <c r="G797" s="3"/>
      <c r="H797" s="21">
        <v>0</v>
      </c>
      <c r="I797" s="21">
        <v>0</v>
      </c>
      <c r="J797" s="21">
        <v>0</v>
      </c>
      <c r="K797" s="21">
        <v>0</v>
      </c>
      <c r="L797" s="3">
        <f t="shared" si="37"/>
        <v>0</v>
      </c>
      <c r="M797" s="3"/>
      <c r="N797" s="3">
        <f t="shared" si="38"/>
        <v>0</v>
      </c>
      <c r="R797" s="89"/>
      <c r="S797" s="89">
        <f>100%-Table34[[#This Row],[PDF_initial fee]]</f>
        <v>1</v>
      </c>
      <c r="T797" s="89"/>
      <c r="U797" s="26"/>
    </row>
    <row r="798" spans="1:28" hidden="1" x14ac:dyDescent="0.25">
      <c r="A798">
        <v>195949</v>
      </c>
      <c r="B798" t="s">
        <v>1121</v>
      </c>
      <c r="C798" s="1" t="s">
        <v>29633</v>
      </c>
      <c r="D798">
        <v>1</v>
      </c>
      <c r="E798" t="s">
        <v>1121</v>
      </c>
      <c r="F798" t="s">
        <v>3</v>
      </c>
      <c r="G798" s="3"/>
      <c r="H798" s="3">
        <v>0</v>
      </c>
      <c r="I798" s="3">
        <v>0</v>
      </c>
      <c r="J798" s="3">
        <v>0</v>
      </c>
      <c r="K798" s="3">
        <v>0</v>
      </c>
      <c r="L798" s="3">
        <f t="shared" si="37"/>
        <v>0</v>
      </c>
      <c r="M798" s="3"/>
      <c r="N798" s="3">
        <f t="shared" si="38"/>
        <v>0</v>
      </c>
      <c r="R798" s="89"/>
      <c r="S798" s="89">
        <f>100%-Table34[[#This Row],[PDF_initial fee]]</f>
        <v>1</v>
      </c>
      <c r="T798" s="89"/>
      <c r="U798" s="26"/>
    </row>
    <row r="799" spans="1:28" hidden="1" x14ac:dyDescent="0.25">
      <c r="A799">
        <v>196001</v>
      </c>
      <c r="B799" t="s">
        <v>1122</v>
      </c>
      <c r="C799" t="s">
        <v>29634</v>
      </c>
      <c r="D799">
        <v>11</v>
      </c>
      <c r="E799" t="s">
        <v>1122</v>
      </c>
      <c r="G799" s="3"/>
      <c r="H799" s="3">
        <v>0</v>
      </c>
      <c r="I799" s="3">
        <v>0</v>
      </c>
      <c r="J799" s="3">
        <v>0</v>
      </c>
      <c r="K799" s="3">
        <v>0</v>
      </c>
      <c r="L799" s="3">
        <f t="shared" si="37"/>
        <v>0</v>
      </c>
      <c r="M799" s="3"/>
      <c r="N799" s="3">
        <f t="shared" si="38"/>
        <v>0</v>
      </c>
      <c r="R799" s="89"/>
      <c r="S799" s="89">
        <f>100%-Table34[[#This Row],[PDF_initial fee]]</f>
        <v>1</v>
      </c>
      <c r="T799" s="89"/>
      <c r="U799" s="26"/>
    </row>
    <row r="800" spans="1:28" hidden="1" x14ac:dyDescent="0.25">
      <c r="A800">
        <v>196124</v>
      </c>
      <c r="B800" t="s">
        <v>1123</v>
      </c>
      <c r="C800" t="s">
        <v>29635</v>
      </c>
      <c r="D800">
        <v>0</v>
      </c>
      <c r="E800" t="s">
        <v>1123</v>
      </c>
      <c r="F800" t="s">
        <v>29136</v>
      </c>
      <c r="G800" s="3"/>
      <c r="H800" s="21">
        <v>0</v>
      </c>
      <c r="I800" s="21">
        <v>0</v>
      </c>
      <c r="J800" s="21">
        <v>0</v>
      </c>
      <c r="K800" s="21">
        <v>0</v>
      </c>
      <c r="L800" s="3">
        <f t="shared" si="37"/>
        <v>0</v>
      </c>
      <c r="M800" s="3"/>
      <c r="N800" s="3">
        <f t="shared" si="38"/>
        <v>0</v>
      </c>
      <c r="O800" s="21"/>
      <c r="R800" s="89"/>
      <c r="S800" s="89">
        <f>100%-Table34[[#This Row],[PDF_initial fee]]</f>
        <v>1</v>
      </c>
      <c r="T800" s="89"/>
      <c r="U800" s="26"/>
    </row>
    <row r="801" spans="1:27" hidden="1" x14ac:dyDescent="0.25">
      <c r="A801">
        <v>196145</v>
      </c>
      <c r="B801" t="s">
        <v>1124</v>
      </c>
      <c r="C801" t="s">
        <v>29636</v>
      </c>
      <c r="D801">
        <v>9</v>
      </c>
      <c r="E801" t="s">
        <v>1124</v>
      </c>
      <c r="G801" s="3"/>
      <c r="H801" s="3">
        <v>0</v>
      </c>
      <c r="I801" s="3">
        <v>0</v>
      </c>
      <c r="J801" s="3">
        <v>0</v>
      </c>
      <c r="K801" s="3">
        <v>0</v>
      </c>
      <c r="L801" s="3">
        <f t="shared" si="37"/>
        <v>0</v>
      </c>
      <c r="M801" s="3"/>
      <c r="N801" s="3">
        <f t="shared" si="38"/>
        <v>0</v>
      </c>
      <c r="R801" s="89"/>
      <c r="S801" s="89">
        <f>100%-Table34[[#This Row],[PDF_initial fee]]</f>
        <v>1</v>
      </c>
      <c r="T801" s="89"/>
      <c r="U801" s="26"/>
    </row>
    <row r="802" spans="1:27" hidden="1" x14ac:dyDescent="0.25">
      <c r="A802">
        <v>196203</v>
      </c>
      <c r="B802" t="s">
        <v>1126</v>
      </c>
      <c r="C802" t="s">
        <v>29637</v>
      </c>
      <c r="D802">
        <v>0</v>
      </c>
      <c r="E802" t="s">
        <v>1126</v>
      </c>
      <c r="F802" t="s">
        <v>29136</v>
      </c>
      <c r="G802" s="3"/>
      <c r="H802" s="21">
        <v>0</v>
      </c>
      <c r="I802" s="21">
        <v>0</v>
      </c>
      <c r="J802" s="21">
        <v>0</v>
      </c>
      <c r="K802" s="21">
        <v>0</v>
      </c>
      <c r="L802" s="3">
        <f t="shared" si="37"/>
        <v>0</v>
      </c>
      <c r="M802" s="3"/>
      <c r="N802" s="3">
        <f t="shared" si="38"/>
        <v>0</v>
      </c>
      <c r="O802" s="21"/>
      <c r="R802" s="89"/>
      <c r="S802" s="89">
        <f>100%-Table34[[#This Row],[PDF_initial fee]]</f>
        <v>1</v>
      </c>
      <c r="T802" s="89"/>
      <c r="U802" s="26"/>
    </row>
    <row r="803" spans="1:27" x14ac:dyDescent="0.25">
      <c r="A803">
        <v>145831</v>
      </c>
      <c r="B803" t="s">
        <v>62</v>
      </c>
      <c r="C803" t="s">
        <v>7518</v>
      </c>
      <c r="D803">
        <v>3</v>
      </c>
      <c r="E803" t="s">
        <v>62</v>
      </c>
      <c r="F803" t="s">
        <v>3</v>
      </c>
      <c r="G803" s="3">
        <v>1.4E-3</v>
      </c>
      <c r="H803" s="3">
        <f>(330*10)/100000</f>
        <v>3.3000000000000002E-2</v>
      </c>
      <c r="I803" s="3">
        <v>7.0000000000000001E-3</v>
      </c>
      <c r="J803" s="6"/>
      <c r="K803" s="6"/>
      <c r="L803" s="3">
        <f t="shared" si="37"/>
        <v>0.04</v>
      </c>
      <c r="M803" s="3"/>
      <c r="N803" s="3">
        <f t="shared" si="38"/>
        <v>4.1399999999999999E-2</v>
      </c>
      <c r="P803" s="1" t="s">
        <v>29638</v>
      </c>
      <c r="Q803" t="s">
        <v>31787</v>
      </c>
      <c r="R803" s="89">
        <v>0.33333333333333348</v>
      </c>
      <c r="S803" s="89">
        <f>100%-Table34[[#This Row],[InitialFee]]</f>
        <v>0.96699999999999997</v>
      </c>
      <c r="T803" s="89">
        <f>(1-Table34[[#This Row],[OngoingFee (plus Platform fee)]])^5</f>
        <v>0.96548658198819293</v>
      </c>
      <c r="U803" s="26">
        <f>(1+Table34[[#This Row],[Net 5yrs return (mostly up to 28th of Feb 2026)]])*Table34[[#This Row],[Investment after initial charge]]*Table34[[#This Row],[Cummulative 5yrs ongoing advice charge]]-1</f>
        <v>0.24483403304344353</v>
      </c>
      <c r="V803">
        <v>79661</v>
      </c>
      <c r="W803" t="s">
        <v>29051</v>
      </c>
      <c r="X803" s="10">
        <v>50900</v>
      </c>
      <c r="Y803" s="30">
        <f>X803/V803</f>
        <v>0.63895758275693249</v>
      </c>
      <c r="AA803" s="1" t="s">
        <v>29639</v>
      </c>
    </row>
    <row r="804" spans="1:27" hidden="1" x14ac:dyDescent="0.25">
      <c r="A804">
        <v>196271</v>
      </c>
      <c r="B804" t="s">
        <v>1127</v>
      </c>
      <c r="C804" t="s">
        <v>10649</v>
      </c>
      <c r="D804">
        <v>1</v>
      </c>
      <c r="E804" t="s">
        <v>1127</v>
      </c>
      <c r="G804" s="3"/>
      <c r="H804" s="21">
        <v>0</v>
      </c>
      <c r="I804" s="21">
        <v>0</v>
      </c>
      <c r="J804" s="21">
        <v>0</v>
      </c>
      <c r="K804" s="21">
        <v>0</v>
      </c>
      <c r="L804" s="3">
        <f t="shared" si="37"/>
        <v>0</v>
      </c>
      <c r="M804" s="3"/>
      <c r="N804" s="3">
        <f t="shared" si="38"/>
        <v>0</v>
      </c>
      <c r="R804" s="89"/>
      <c r="S804" s="89">
        <f>100%-Table34[[#This Row],[PDF_initial fee]]</f>
        <v>1</v>
      </c>
      <c r="T804" s="89"/>
      <c r="U804" s="26"/>
    </row>
    <row r="805" spans="1:27" hidden="1" x14ac:dyDescent="0.25">
      <c r="A805">
        <v>196274</v>
      </c>
      <c r="B805" t="s">
        <v>1128</v>
      </c>
      <c r="C805" t="s">
        <v>6958</v>
      </c>
      <c r="D805">
        <v>2</v>
      </c>
      <c r="E805" t="s">
        <v>1128</v>
      </c>
      <c r="F805" t="s">
        <v>6958</v>
      </c>
      <c r="G805" s="3"/>
      <c r="L805" s="3">
        <f t="shared" si="37"/>
        <v>0</v>
      </c>
      <c r="M805" s="3"/>
      <c r="N805" s="3">
        <f t="shared" si="38"/>
        <v>0</v>
      </c>
      <c r="R805" s="89"/>
      <c r="S805" s="89">
        <f>100%-Table34[[#This Row],[PDF_initial fee]]</f>
        <v>1</v>
      </c>
      <c r="T805" s="89"/>
      <c r="U805" s="26"/>
    </row>
    <row r="806" spans="1:27" hidden="1" x14ac:dyDescent="0.25">
      <c r="A806">
        <v>196304</v>
      </c>
      <c r="B806" t="s">
        <v>1129</v>
      </c>
      <c r="C806" t="s">
        <v>6958</v>
      </c>
      <c r="D806">
        <v>2</v>
      </c>
      <c r="E806" t="s">
        <v>1129</v>
      </c>
      <c r="F806" t="s">
        <v>6958</v>
      </c>
      <c r="G806" s="3"/>
      <c r="H806" s="3">
        <v>0</v>
      </c>
      <c r="I806" s="3">
        <v>0</v>
      </c>
      <c r="J806" s="3">
        <v>0</v>
      </c>
      <c r="K806" s="3">
        <v>0</v>
      </c>
      <c r="L806" s="3">
        <f t="shared" si="37"/>
        <v>0</v>
      </c>
      <c r="M806" s="3"/>
      <c r="N806" s="3">
        <f t="shared" si="38"/>
        <v>0</v>
      </c>
      <c r="R806" s="89"/>
      <c r="S806" s="89">
        <f>100%-Table34[[#This Row],[PDF_initial fee]]</f>
        <v>1</v>
      </c>
      <c r="T806" s="89"/>
      <c r="U806" s="26"/>
    </row>
    <row r="807" spans="1:27" hidden="1" x14ac:dyDescent="0.25">
      <c r="A807">
        <v>196444</v>
      </c>
      <c r="B807" t="s">
        <v>1130</v>
      </c>
      <c r="C807" t="s">
        <v>8943</v>
      </c>
      <c r="D807">
        <v>3</v>
      </c>
      <c r="E807" t="s">
        <v>1130</v>
      </c>
      <c r="G807" s="3"/>
      <c r="H807" s="21">
        <v>0</v>
      </c>
      <c r="I807" s="21">
        <v>0</v>
      </c>
      <c r="J807" s="21">
        <v>0</v>
      </c>
      <c r="K807" s="21">
        <v>0</v>
      </c>
      <c r="L807" s="3">
        <f t="shared" si="37"/>
        <v>0</v>
      </c>
      <c r="M807" s="3"/>
      <c r="N807" s="3">
        <f t="shared" si="38"/>
        <v>0</v>
      </c>
      <c r="R807" s="89"/>
      <c r="S807" s="89">
        <f>100%-Table34[[#This Row],[PDF_initial fee]]</f>
        <v>1</v>
      </c>
      <c r="T807" s="89"/>
      <c r="U807" s="26"/>
    </row>
    <row r="808" spans="1:27" hidden="1" x14ac:dyDescent="0.25">
      <c r="A808">
        <v>196460</v>
      </c>
      <c r="B808" t="s">
        <v>1131</v>
      </c>
      <c r="C808" t="s">
        <v>6958</v>
      </c>
      <c r="D808">
        <v>0</v>
      </c>
      <c r="E808" t="s">
        <v>1131</v>
      </c>
      <c r="F808" t="s">
        <v>6958</v>
      </c>
      <c r="G808" s="3"/>
      <c r="L808" s="3">
        <f t="shared" si="37"/>
        <v>0</v>
      </c>
      <c r="M808" s="3"/>
      <c r="N808" s="3">
        <f t="shared" si="38"/>
        <v>0</v>
      </c>
      <c r="R808" s="89"/>
      <c r="S808" s="89">
        <f>100%-Table34[[#This Row],[PDF_initial fee]]</f>
        <v>1</v>
      </c>
      <c r="T808" s="89"/>
      <c r="U808" s="26"/>
    </row>
    <row r="809" spans="1:27" hidden="1" x14ac:dyDescent="0.25">
      <c r="A809">
        <v>196462</v>
      </c>
      <c r="B809" t="s">
        <v>1132</v>
      </c>
      <c r="C809" t="s">
        <v>29640</v>
      </c>
      <c r="D809">
        <v>0</v>
      </c>
      <c r="E809" t="s">
        <v>1132</v>
      </c>
      <c r="F809" t="s">
        <v>29136</v>
      </c>
      <c r="G809" s="3"/>
      <c r="H809" s="21">
        <v>0</v>
      </c>
      <c r="I809" s="21">
        <v>0</v>
      </c>
      <c r="J809" s="21">
        <v>0</v>
      </c>
      <c r="K809" s="21">
        <v>0</v>
      </c>
      <c r="L809" s="3">
        <f t="shared" si="37"/>
        <v>0</v>
      </c>
      <c r="M809" s="3"/>
      <c r="N809" s="3">
        <f t="shared" si="38"/>
        <v>0</v>
      </c>
      <c r="O809" s="21"/>
      <c r="R809" s="89"/>
      <c r="S809" s="89">
        <f>100%-Table34[[#This Row],[PDF_initial fee]]</f>
        <v>1</v>
      </c>
      <c r="T809" s="89"/>
      <c r="U809" s="26"/>
    </row>
    <row r="810" spans="1:27" hidden="1" x14ac:dyDescent="0.25">
      <c r="A810">
        <v>196475</v>
      </c>
      <c r="B810" t="s">
        <v>1133</v>
      </c>
      <c r="C810" t="s">
        <v>8196</v>
      </c>
      <c r="D810">
        <v>3</v>
      </c>
      <c r="E810" t="s">
        <v>1133</v>
      </c>
      <c r="G810" s="3"/>
      <c r="H810" s="21">
        <v>0</v>
      </c>
      <c r="I810" s="21">
        <v>0</v>
      </c>
      <c r="J810" s="21">
        <v>0</v>
      </c>
      <c r="K810" s="21">
        <v>0</v>
      </c>
      <c r="L810" s="3">
        <f t="shared" si="37"/>
        <v>0</v>
      </c>
      <c r="M810" s="3"/>
      <c r="N810" s="3">
        <f t="shared" si="38"/>
        <v>0</v>
      </c>
      <c r="R810" s="89"/>
      <c r="S810" s="89">
        <f>100%-Table34[[#This Row],[PDF_initial fee]]</f>
        <v>1</v>
      </c>
      <c r="T810" s="89"/>
      <c r="U810" s="26"/>
    </row>
    <row r="811" spans="1:27" hidden="1" x14ac:dyDescent="0.25">
      <c r="A811">
        <v>196503</v>
      </c>
      <c r="B811" t="s">
        <v>1134</v>
      </c>
      <c r="C811" t="s">
        <v>6958</v>
      </c>
      <c r="D811">
        <v>4</v>
      </c>
      <c r="E811" t="s">
        <v>1134</v>
      </c>
      <c r="F811" t="s">
        <v>6958</v>
      </c>
      <c r="G811" s="3"/>
      <c r="H811" s="21">
        <v>0</v>
      </c>
      <c r="I811" s="21">
        <v>0</v>
      </c>
      <c r="J811" s="21">
        <v>0</v>
      </c>
      <c r="K811" s="21">
        <v>0</v>
      </c>
      <c r="L811" s="3">
        <f t="shared" si="37"/>
        <v>0</v>
      </c>
      <c r="M811" s="3"/>
      <c r="N811" s="3">
        <f t="shared" si="38"/>
        <v>0</v>
      </c>
      <c r="R811" s="89"/>
      <c r="S811" s="89">
        <f>100%-Table34[[#This Row],[PDF_initial fee]]</f>
        <v>1</v>
      </c>
      <c r="T811" s="89"/>
      <c r="U811" s="26"/>
    </row>
    <row r="812" spans="1:27" hidden="1" x14ac:dyDescent="0.25">
      <c r="A812">
        <v>196671</v>
      </c>
      <c r="B812" t="s">
        <v>1135</v>
      </c>
      <c r="C812" t="s">
        <v>6958</v>
      </c>
      <c r="D812">
        <v>2</v>
      </c>
      <c r="E812" t="s">
        <v>1135</v>
      </c>
      <c r="F812" t="s">
        <v>6958</v>
      </c>
      <c r="G812" s="3"/>
      <c r="H812" s="21">
        <v>0</v>
      </c>
      <c r="I812" s="21">
        <v>0</v>
      </c>
      <c r="J812" s="21">
        <v>0</v>
      </c>
      <c r="K812" s="21">
        <v>0</v>
      </c>
      <c r="L812" s="3">
        <f t="shared" si="37"/>
        <v>0</v>
      </c>
      <c r="M812" s="3"/>
      <c r="N812" s="3">
        <f t="shared" si="38"/>
        <v>0</v>
      </c>
      <c r="O812" s="21"/>
      <c r="R812" s="89"/>
      <c r="S812" s="89">
        <f>100%-Table34[[#This Row],[PDF_initial fee]]</f>
        <v>1</v>
      </c>
      <c r="T812" s="89"/>
      <c r="U812" s="26"/>
    </row>
    <row r="813" spans="1:27" hidden="1" x14ac:dyDescent="0.25">
      <c r="A813">
        <v>196672</v>
      </c>
      <c r="B813" t="s">
        <v>1136</v>
      </c>
      <c r="C813" t="s">
        <v>6958</v>
      </c>
      <c r="D813">
        <v>2</v>
      </c>
      <c r="E813" t="s">
        <v>1136</v>
      </c>
      <c r="F813" t="s">
        <v>6958</v>
      </c>
      <c r="G813" s="3"/>
      <c r="L813" s="3">
        <f t="shared" si="37"/>
        <v>0</v>
      </c>
      <c r="M813" s="3"/>
      <c r="N813" s="3">
        <f t="shared" si="38"/>
        <v>0</v>
      </c>
      <c r="R813" s="89"/>
      <c r="S813" s="89">
        <f>100%-Table34[[#This Row],[PDF_initial fee]]</f>
        <v>1</v>
      </c>
      <c r="T813" s="89"/>
      <c r="U813" s="26"/>
    </row>
    <row r="814" spans="1:27" hidden="1" x14ac:dyDescent="0.25">
      <c r="A814">
        <v>196679</v>
      </c>
      <c r="B814" t="s">
        <v>1137</v>
      </c>
      <c r="C814" t="s">
        <v>8184</v>
      </c>
      <c r="D814">
        <v>8</v>
      </c>
      <c r="E814" t="s">
        <v>1137</v>
      </c>
      <c r="G814" s="3"/>
      <c r="H814" s="21">
        <v>0</v>
      </c>
      <c r="I814" s="21">
        <v>0</v>
      </c>
      <c r="J814" s="21">
        <v>0</v>
      </c>
      <c r="K814" s="21">
        <v>0</v>
      </c>
      <c r="L814" s="3">
        <f t="shared" si="37"/>
        <v>0</v>
      </c>
      <c r="M814" s="3"/>
      <c r="N814" s="3">
        <f t="shared" si="38"/>
        <v>0</v>
      </c>
      <c r="R814" s="89"/>
      <c r="S814" s="89">
        <f>100%-Table34[[#This Row],[PDF_initial fee]]</f>
        <v>1</v>
      </c>
      <c r="T814" s="89"/>
      <c r="U814" s="26"/>
    </row>
    <row r="815" spans="1:27" hidden="1" x14ac:dyDescent="0.25">
      <c r="A815">
        <v>196680</v>
      </c>
      <c r="B815" t="s">
        <v>1138</v>
      </c>
      <c r="C815" t="s">
        <v>7282</v>
      </c>
      <c r="D815">
        <v>2</v>
      </c>
      <c r="E815" t="s">
        <v>1138</v>
      </c>
      <c r="G815" s="3"/>
      <c r="H815" s="21">
        <v>0</v>
      </c>
      <c r="I815" s="21">
        <v>0</v>
      </c>
      <c r="J815" s="21">
        <v>0</v>
      </c>
      <c r="K815" s="21">
        <v>0</v>
      </c>
      <c r="L815" s="3">
        <f t="shared" ref="L815:L842" si="39">SUM(H815:K815)</f>
        <v>0</v>
      </c>
      <c r="M815" s="3"/>
      <c r="N815" s="3">
        <f t="shared" ref="N815:N878" si="40">L815+G815</f>
        <v>0</v>
      </c>
      <c r="R815" s="89"/>
      <c r="S815" s="89">
        <f>100%-Table34[[#This Row],[PDF_initial fee]]</f>
        <v>1</v>
      </c>
      <c r="T815" s="89"/>
      <c r="U815" s="26"/>
    </row>
    <row r="816" spans="1:27" hidden="1" x14ac:dyDescent="0.25">
      <c r="A816">
        <v>196681</v>
      </c>
      <c r="B816" t="s">
        <v>1139</v>
      </c>
      <c r="C816" t="s">
        <v>6958</v>
      </c>
      <c r="D816">
        <v>2</v>
      </c>
      <c r="E816" t="s">
        <v>1139</v>
      </c>
      <c r="F816" t="s">
        <v>6958</v>
      </c>
      <c r="G816" s="3"/>
      <c r="H816" s="21">
        <v>0</v>
      </c>
      <c r="I816" s="21">
        <v>0</v>
      </c>
      <c r="J816" s="21">
        <v>0</v>
      </c>
      <c r="K816" s="21">
        <v>0</v>
      </c>
      <c r="L816" s="3">
        <f t="shared" si="39"/>
        <v>0</v>
      </c>
      <c r="M816" s="3"/>
      <c r="N816" s="3">
        <f t="shared" si="40"/>
        <v>0</v>
      </c>
      <c r="R816" s="89"/>
      <c r="S816" s="89">
        <f>100%-Table34[[#This Row],[PDF_initial fee]]</f>
        <v>1</v>
      </c>
      <c r="T816" s="89"/>
      <c r="U816" s="26"/>
    </row>
    <row r="817" spans="1:21" hidden="1" x14ac:dyDescent="0.25">
      <c r="A817">
        <v>196689</v>
      </c>
      <c r="B817" t="s">
        <v>1140</v>
      </c>
      <c r="C817" t="s">
        <v>6958</v>
      </c>
      <c r="D817">
        <v>1</v>
      </c>
      <c r="E817" t="s">
        <v>1140</v>
      </c>
      <c r="F817" t="s">
        <v>6958</v>
      </c>
      <c r="G817" s="3"/>
      <c r="H817" s="21">
        <v>0</v>
      </c>
      <c r="I817" s="21">
        <v>0</v>
      </c>
      <c r="J817" s="21">
        <v>0</v>
      </c>
      <c r="K817" s="21">
        <v>0</v>
      </c>
      <c r="L817" s="3">
        <f t="shared" si="39"/>
        <v>0</v>
      </c>
      <c r="M817" s="3"/>
      <c r="N817" s="3">
        <f t="shared" si="40"/>
        <v>0</v>
      </c>
      <c r="R817" s="89"/>
      <c r="S817" s="89">
        <f>100%-Table34[[#This Row],[PDF_initial fee]]</f>
        <v>1</v>
      </c>
      <c r="T817" s="89"/>
      <c r="U817" s="26"/>
    </row>
    <row r="818" spans="1:21" hidden="1" x14ac:dyDescent="0.25">
      <c r="A818">
        <v>196806</v>
      </c>
      <c r="B818" t="s">
        <v>1141</v>
      </c>
      <c r="C818" t="s">
        <v>11540</v>
      </c>
      <c r="D818">
        <v>1</v>
      </c>
      <c r="E818" t="s">
        <v>1141</v>
      </c>
      <c r="G818" s="3"/>
      <c r="H818" s="21">
        <v>0</v>
      </c>
      <c r="I818" s="21">
        <v>0</v>
      </c>
      <c r="J818" s="21">
        <v>0</v>
      </c>
      <c r="K818" s="21">
        <v>0</v>
      </c>
      <c r="L818" s="3">
        <f t="shared" si="39"/>
        <v>0</v>
      </c>
      <c r="M818" s="3"/>
      <c r="N818" s="3">
        <f t="shared" si="40"/>
        <v>0</v>
      </c>
      <c r="R818" s="89"/>
      <c r="S818" s="89">
        <f>100%-Table34[[#This Row],[PDF_initial fee]]</f>
        <v>1</v>
      </c>
      <c r="T818" s="89"/>
      <c r="U818" s="26"/>
    </row>
    <row r="819" spans="1:21" hidden="1" x14ac:dyDescent="0.25">
      <c r="A819">
        <v>196849</v>
      </c>
      <c r="B819" t="s">
        <v>1142</v>
      </c>
      <c r="C819" t="s">
        <v>10367</v>
      </c>
      <c r="D819">
        <v>2</v>
      </c>
      <c r="E819" t="s">
        <v>1142</v>
      </c>
      <c r="G819" s="3"/>
      <c r="H819" s="21">
        <v>0</v>
      </c>
      <c r="I819" s="21">
        <v>0</v>
      </c>
      <c r="J819" s="21">
        <v>0</v>
      </c>
      <c r="K819" s="21">
        <v>0</v>
      </c>
      <c r="L819" s="3">
        <f t="shared" si="39"/>
        <v>0</v>
      </c>
      <c r="M819" s="3"/>
      <c r="N819" s="3">
        <f t="shared" si="40"/>
        <v>0</v>
      </c>
      <c r="R819" s="89"/>
      <c r="S819" s="89">
        <f>100%-Table34[[#This Row],[PDF_initial fee]]</f>
        <v>1</v>
      </c>
      <c r="T819" s="89"/>
      <c r="U819" s="26"/>
    </row>
    <row r="820" spans="1:21" hidden="1" x14ac:dyDescent="0.25">
      <c r="A820">
        <v>196880</v>
      </c>
      <c r="B820" t="s">
        <v>1143</v>
      </c>
      <c r="C820" t="s">
        <v>29641</v>
      </c>
      <c r="D820">
        <v>1</v>
      </c>
      <c r="E820" t="s">
        <v>1143</v>
      </c>
      <c r="G820" s="3"/>
      <c r="H820" s="3">
        <v>0</v>
      </c>
      <c r="I820" s="3">
        <v>0</v>
      </c>
      <c r="J820" s="3">
        <v>0</v>
      </c>
      <c r="K820" s="3">
        <v>0</v>
      </c>
      <c r="L820" s="3">
        <f t="shared" si="39"/>
        <v>0</v>
      </c>
      <c r="M820" s="3"/>
      <c r="N820" s="3">
        <f t="shared" si="40"/>
        <v>0</v>
      </c>
      <c r="R820" s="89"/>
      <c r="S820" s="89">
        <f>100%-Table34[[#This Row],[PDF_initial fee]]</f>
        <v>1</v>
      </c>
      <c r="T820" s="89"/>
      <c r="U820" s="26"/>
    </row>
    <row r="821" spans="1:21" hidden="1" x14ac:dyDescent="0.25">
      <c r="A821">
        <v>196946</v>
      </c>
      <c r="B821" t="s">
        <v>1145</v>
      </c>
      <c r="C821" t="s">
        <v>12325</v>
      </c>
      <c r="D821">
        <v>3</v>
      </c>
      <c r="E821" t="s">
        <v>1145</v>
      </c>
      <c r="G821" s="3"/>
      <c r="H821" s="21">
        <v>0</v>
      </c>
      <c r="I821" s="21">
        <v>0</v>
      </c>
      <c r="J821" s="21">
        <v>0</v>
      </c>
      <c r="K821" s="21">
        <v>0</v>
      </c>
      <c r="L821" s="3">
        <f t="shared" si="39"/>
        <v>0</v>
      </c>
      <c r="M821" s="3"/>
      <c r="N821" s="3">
        <f t="shared" si="40"/>
        <v>0</v>
      </c>
      <c r="R821" s="89"/>
      <c r="S821" s="89">
        <f>100%-Table34[[#This Row],[PDF_initial fee]]</f>
        <v>1</v>
      </c>
      <c r="T821" s="89"/>
      <c r="U821" s="26"/>
    </row>
    <row r="822" spans="1:21" hidden="1" x14ac:dyDescent="0.25">
      <c r="A822">
        <v>197003</v>
      </c>
      <c r="B822" t="s">
        <v>1146</v>
      </c>
      <c r="C822" t="s">
        <v>29642</v>
      </c>
      <c r="D822">
        <v>7</v>
      </c>
      <c r="E822" t="s">
        <v>1146</v>
      </c>
      <c r="G822" s="3"/>
      <c r="H822" s="3">
        <v>0</v>
      </c>
      <c r="I822" s="3">
        <v>0</v>
      </c>
      <c r="J822" s="3">
        <v>0</v>
      </c>
      <c r="K822" s="3">
        <v>0</v>
      </c>
      <c r="L822" s="3">
        <f t="shared" si="39"/>
        <v>0</v>
      </c>
      <c r="M822" s="3"/>
      <c r="N822" s="3">
        <f t="shared" si="40"/>
        <v>0</v>
      </c>
      <c r="R822" s="89"/>
      <c r="S822" s="89">
        <f>100%-Table34[[#This Row],[PDF_initial fee]]</f>
        <v>1</v>
      </c>
      <c r="T822" s="89"/>
      <c r="U822" s="26"/>
    </row>
    <row r="823" spans="1:21" hidden="1" x14ac:dyDescent="0.25">
      <c r="A823">
        <v>197107</v>
      </c>
      <c r="B823" t="s">
        <v>1147</v>
      </c>
      <c r="C823" t="s">
        <v>29643</v>
      </c>
      <c r="D823">
        <v>160</v>
      </c>
      <c r="E823" t="s">
        <v>1147</v>
      </c>
      <c r="F823" t="s">
        <v>29136</v>
      </c>
      <c r="G823" s="3"/>
      <c r="H823" s="3">
        <v>0</v>
      </c>
      <c r="I823" s="3">
        <v>0</v>
      </c>
      <c r="J823" s="3">
        <v>0</v>
      </c>
      <c r="K823" s="3">
        <v>0</v>
      </c>
      <c r="L823" s="3">
        <f t="shared" si="39"/>
        <v>0</v>
      </c>
      <c r="M823" s="3"/>
      <c r="N823" s="3">
        <f t="shared" si="40"/>
        <v>0</v>
      </c>
      <c r="R823" s="89"/>
      <c r="S823" s="89">
        <f>100%-Table34[[#This Row],[PDF_initial fee]]</f>
        <v>1</v>
      </c>
      <c r="T823" s="89"/>
      <c r="U823" s="26"/>
    </row>
    <row r="824" spans="1:21" hidden="1" x14ac:dyDescent="0.25">
      <c r="A824">
        <v>197121</v>
      </c>
      <c r="B824" t="s">
        <v>1148</v>
      </c>
      <c r="C824" t="s">
        <v>6958</v>
      </c>
      <c r="D824">
        <v>3</v>
      </c>
      <c r="E824" t="s">
        <v>1148</v>
      </c>
      <c r="F824" t="s">
        <v>6958</v>
      </c>
      <c r="G824" s="3"/>
      <c r="H824" s="21">
        <v>0</v>
      </c>
      <c r="I824" s="21">
        <v>0</v>
      </c>
      <c r="J824" s="21">
        <v>0</v>
      </c>
      <c r="K824" s="21">
        <v>0</v>
      </c>
      <c r="L824" s="3">
        <f t="shared" si="39"/>
        <v>0</v>
      </c>
      <c r="M824" s="3"/>
      <c r="N824" s="3">
        <f t="shared" si="40"/>
        <v>0</v>
      </c>
      <c r="R824" s="89"/>
      <c r="S824" s="89">
        <f>100%-Table34[[#This Row],[PDF_initial fee]]</f>
        <v>1</v>
      </c>
      <c r="T824" s="89"/>
      <c r="U824" s="26"/>
    </row>
    <row r="825" spans="1:21" hidden="1" x14ac:dyDescent="0.25">
      <c r="A825">
        <v>197136</v>
      </c>
      <c r="B825" t="s">
        <v>1149</v>
      </c>
      <c r="C825" t="s">
        <v>29644</v>
      </c>
      <c r="D825">
        <v>1</v>
      </c>
      <c r="E825" t="s">
        <v>1149</v>
      </c>
      <c r="G825" s="3"/>
      <c r="H825" s="3">
        <v>0</v>
      </c>
      <c r="I825" s="3">
        <v>0</v>
      </c>
      <c r="J825" s="3">
        <v>0</v>
      </c>
      <c r="K825" s="3">
        <v>0</v>
      </c>
      <c r="L825" s="3">
        <f t="shared" si="39"/>
        <v>0</v>
      </c>
      <c r="M825" s="3"/>
      <c r="N825" s="3">
        <f t="shared" si="40"/>
        <v>0</v>
      </c>
      <c r="R825" s="89"/>
      <c r="S825" s="89">
        <f>100%-Table34[[#This Row],[PDF_initial fee]]</f>
        <v>1</v>
      </c>
      <c r="T825" s="89"/>
      <c r="U825" s="26"/>
    </row>
    <row r="826" spans="1:21" hidden="1" x14ac:dyDescent="0.25">
      <c r="A826">
        <v>197149</v>
      </c>
      <c r="B826" t="s">
        <v>1150</v>
      </c>
      <c r="C826" t="s">
        <v>6958</v>
      </c>
      <c r="D826">
        <v>4</v>
      </c>
      <c r="E826" t="s">
        <v>1150</v>
      </c>
      <c r="F826" t="s">
        <v>6958</v>
      </c>
      <c r="G826" s="3"/>
      <c r="H826" s="21">
        <v>0</v>
      </c>
      <c r="I826" s="21">
        <v>0</v>
      </c>
      <c r="J826" s="21">
        <v>0</v>
      </c>
      <c r="K826" s="21">
        <v>0</v>
      </c>
      <c r="L826" s="3">
        <f t="shared" si="39"/>
        <v>0</v>
      </c>
      <c r="M826" s="3"/>
      <c r="N826" s="3">
        <f t="shared" si="40"/>
        <v>0</v>
      </c>
      <c r="R826" s="89"/>
      <c r="S826" s="89">
        <f>100%-Table34[[#This Row],[PDF_initial fee]]</f>
        <v>1</v>
      </c>
      <c r="T826" s="89"/>
      <c r="U826" s="26"/>
    </row>
    <row r="827" spans="1:21" hidden="1" x14ac:dyDescent="0.25">
      <c r="A827">
        <v>197176</v>
      </c>
      <c r="B827" t="s">
        <v>1151</v>
      </c>
      <c r="C827" t="s">
        <v>6958</v>
      </c>
      <c r="D827">
        <v>1</v>
      </c>
      <c r="E827" t="s">
        <v>1151</v>
      </c>
      <c r="F827" t="s">
        <v>6958</v>
      </c>
      <c r="G827" s="3"/>
      <c r="H827" s="21">
        <v>0</v>
      </c>
      <c r="I827" s="21">
        <v>0</v>
      </c>
      <c r="J827" s="21">
        <v>0</v>
      </c>
      <c r="K827" s="21">
        <v>0</v>
      </c>
      <c r="L827" s="3">
        <f t="shared" si="39"/>
        <v>0</v>
      </c>
      <c r="M827" s="3"/>
      <c r="N827" s="3">
        <f t="shared" si="40"/>
        <v>0</v>
      </c>
      <c r="R827" s="89"/>
      <c r="S827" s="89">
        <f>100%-Table34[[#This Row],[PDF_initial fee]]</f>
        <v>1</v>
      </c>
      <c r="T827" s="89"/>
      <c r="U827" s="26"/>
    </row>
    <row r="828" spans="1:21" hidden="1" x14ac:dyDescent="0.25">
      <c r="A828">
        <v>197182</v>
      </c>
      <c r="B828" t="s">
        <v>1152</v>
      </c>
      <c r="C828" t="s">
        <v>6958</v>
      </c>
      <c r="D828">
        <v>0</v>
      </c>
      <c r="E828" t="s">
        <v>1152</v>
      </c>
      <c r="F828" t="s">
        <v>6958</v>
      </c>
      <c r="G828" s="3"/>
      <c r="H828" s="3"/>
      <c r="I828" s="3"/>
      <c r="J828" s="3"/>
      <c r="K828" s="3"/>
      <c r="L828" s="3">
        <f t="shared" si="39"/>
        <v>0</v>
      </c>
      <c r="M828" s="3"/>
      <c r="N828" s="3">
        <f t="shared" si="40"/>
        <v>0</v>
      </c>
      <c r="R828" s="89"/>
      <c r="S828" s="89">
        <f>100%-Table34[[#This Row],[PDF_initial fee]]</f>
        <v>1</v>
      </c>
      <c r="T828" s="89"/>
      <c r="U828" s="26"/>
    </row>
    <row r="829" spans="1:21" hidden="1" x14ac:dyDescent="0.25">
      <c r="A829">
        <v>197193</v>
      </c>
      <c r="B829" t="s">
        <v>1153</v>
      </c>
      <c r="C829" t="s">
        <v>29334</v>
      </c>
      <c r="D829">
        <v>23</v>
      </c>
      <c r="E829" t="s">
        <v>1153</v>
      </c>
      <c r="F829" t="s">
        <v>3</v>
      </c>
      <c r="G829" s="3"/>
      <c r="H829" s="3">
        <v>0</v>
      </c>
      <c r="I829" s="3">
        <v>0</v>
      </c>
      <c r="J829" s="3">
        <v>0</v>
      </c>
      <c r="K829" s="3">
        <v>0</v>
      </c>
      <c r="L829" s="3">
        <f t="shared" si="39"/>
        <v>0</v>
      </c>
      <c r="M829" s="3"/>
      <c r="N829" s="3">
        <f t="shared" si="40"/>
        <v>0</v>
      </c>
      <c r="R829" s="89"/>
      <c r="S829" s="89">
        <f>100%-Table34[[#This Row],[PDF_initial fee]]</f>
        <v>1</v>
      </c>
      <c r="T829" s="89"/>
      <c r="U829" s="26"/>
    </row>
    <row r="830" spans="1:21" hidden="1" x14ac:dyDescent="0.25">
      <c r="A830">
        <v>197271</v>
      </c>
      <c r="B830" t="s">
        <v>1155</v>
      </c>
      <c r="C830" t="s">
        <v>6958</v>
      </c>
      <c r="D830">
        <v>2</v>
      </c>
      <c r="E830" t="s">
        <v>1155</v>
      </c>
      <c r="F830" t="s">
        <v>6958</v>
      </c>
      <c r="G830" s="3"/>
      <c r="H830" s="21">
        <v>0</v>
      </c>
      <c r="I830" s="21">
        <v>0</v>
      </c>
      <c r="J830" s="21">
        <v>0</v>
      </c>
      <c r="K830" s="21">
        <v>0</v>
      </c>
      <c r="L830" s="3">
        <f t="shared" si="39"/>
        <v>0</v>
      </c>
      <c r="M830" s="3"/>
      <c r="N830" s="3">
        <f t="shared" si="40"/>
        <v>0</v>
      </c>
      <c r="R830" s="89"/>
      <c r="S830" s="89">
        <f>100%-Table34[[#This Row],[PDF_initial fee]]</f>
        <v>1</v>
      </c>
      <c r="T830" s="89"/>
      <c r="U830" s="26"/>
    </row>
    <row r="831" spans="1:21" hidden="1" x14ac:dyDescent="0.25">
      <c r="A831">
        <v>197286</v>
      </c>
      <c r="B831" t="s">
        <v>1156</v>
      </c>
      <c r="C831" t="s">
        <v>6958</v>
      </c>
      <c r="D831">
        <v>1</v>
      </c>
      <c r="E831" t="s">
        <v>1156</v>
      </c>
      <c r="F831" t="s">
        <v>6958</v>
      </c>
      <c r="G831" s="3"/>
      <c r="H831" s="21">
        <v>0</v>
      </c>
      <c r="I831" s="21">
        <v>0</v>
      </c>
      <c r="J831" s="21">
        <v>0</v>
      </c>
      <c r="K831" s="21">
        <v>0</v>
      </c>
      <c r="L831" s="3">
        <f t="shared" si="39"/>
        <v>0</v>
      </c>
      <c r="M831" s="3"/>
      <c r="N831" s="3">
        <f t="shared" si="40"/>
        <v>0</v>
      </c>
      <c r="R831" s="89"/>
      <c r="S831" s="89">
        <f>100%-Table34[[#This Row],[PDF_initial fee]]</f>
        <v>1</v>
      </c>
      <c r="T831" s="89"/>
      <c r="U831" s="26"/>
    </row>
    <row r="832" spans="1:21" hidden="1" x14ac:dyDescent="0.25">
      <c r="A832">
        <v>197336</v>
      </c>
      <c r="B832" t="s">
        <v>1157</v>
      </c>
      <c r="C832" t="s">
        <v>29645</v>
      </c>
      <c r="D832">
        <v>0</v>
      </c>
      <c r="E832" t="s">
        <v>1157</v>
      </c>
      <c r="F832" t="s">
        <v>29646</v>
      </c>
      <c r="G832" s="3"/>
      <c r="H832" s="21">
        <v>0</v>
      </c>
      <c r="I832" s="21">
        <v>0</v>
      </c>
      <c r="J832" s="21">
        <v>0</v>
      </c>
      <c r="K832" s="21">
        <v>0</v>
      </c>
      <c r="L832" s="3">
        <f t="shared" si="39"/>
        <v>0</v>
      </c>
      <c r="M832" s="3"/>
      <c r="N832" s="3">
        <f t="shared" si="40"/>
        <v>0</v>
      </c>
      <c r="O832" s="21"/>
      <c r="R832" s="89"/>
      <c r="S832" s="89">
        <f>100%-Table34[[#This Row],[PDF_initial fee]]</f>
        <v>1</v>
      </c>
      <c r="T832" s="89"/>
      <c r="U832" s="26"/>
    </row>
    <row r="833" spans="1:28" hidden="1" x14ac:dyDescent="0.25">
      <c r="A833">
        <v>197340</v>
      </c>
      <c r="B833" t="s">
        <v>1158</v>
      </c>
      <c r="C833" t="s">
        <v>29647</v>
      </c>
      <c r="D833">
        <v>42</v>
      </c>
      <c r="E833" t="s">
        <v>1158</v>
      </c>
      <c r="F833" t="s">
        <v>6</v>
      </c>
      <c r="G833" s="3"/>
      <c r="H833" s="3">
        <v>0</v>
      </c>
      <c r="I833" s="3">
        <v>0</v>
      </c>
      <c r="J833" s="3">
        <v>0</v>
      </c>
      <c r="K833" s="3">
        <v>0</v>
      </c>
      <c r="L833" s="3">
        <f t="shared" si="39"/>
        <v>0</v>
      </c>
      <c r="M833" s="3"/>
      <c r="N833" s="3">
        <f t="shared" si="40"/>
        <v>0</v>
      </c>
      <c r="R833" s="89"/>
      <c r="S833" s="89">
        <f>100%-Table34[[#This Row],[PDF_initial fee]]</f>
        <v>1</v>
      </c>
      <c r="T833" s="89"/>
      <c r="U833" s="26"/>
    </row>
    <row r="834" spans="1:28" hidden="1" x14ac:dyDescent="0.25">
      <c r="A834">
        <v>197342</v>
      </c>
      <c r="B834" t="s">
        <v>1159</v>
      </c>
      <c r="C834" t="s">
        <v>9213</v>
      </c>
      <c r="D834">
        <v>11</v>
      </c>
      <c r="E834" t="s">
        <v>1159</v>
      </c>
      <c r="G834" s="3"/>
      <c r="H834" s="21">
        <v>0</v>
      </c>
      <c r="I834" s="21">
        <v>0</v>
      </c>
      <c r="J834" s="21">
        <v>0</v>
      </c>
      <c r="K834" s="21">
        <v>0</v>
      </c>
      <c r="L834" s="3">
        <f t="shared" si="39"/>
        <v>0</v>
      </c>
      <c r="M834" s="3"/>
      <c r="N834" s="3">
        <f t="shared" si="40"/>
        <v>0</v>
      </c>
      <c r="R834" s="89"/>
      <c r="S834" s="89">
        <f>100%-Table34[[#This Row],[PDF_initial fee]]</f>
        <v>1</v>
      </c>
      <c r="T834" s="89"/>
      <c r="U834" s="26"/>
    </row>
    <row r="835" spans="1:28" hidden="1" x14ac:dyDescent="0.25">
      <c r="A835">
        <v>197346</v>
      </c>
      <c r="B835" t="s">
        <v>1160</v>
      </c>
      <c r="C835" t="s">
        <v>11397</v>
      </c>
      <c r="D835">
        <v>1</v>
      </c>
      <c r="E835" t="s">
        <v>1160</v>
      </c>
      <c r="G835" s="3"/>
      <c r="L835" s="3">
        <f t="shared" si="39"/>
        <v>0</v>
      </c>
      <c r="M835" s="3"/>
      <c r="N835" s="3">
        <f t="shared" si="40"/>
        <v>0</v>
      </c>
      <c r="R835" s="89"/>
      <c r="S835" s="89">
        <f>100%-Table34[[#This Row],[PDF_initial fee]]</f>
        <v>1</v>
      </c>
      <c r="T835" s="89"/>
      <c r="U835" s="26"/>
    </row>
    <row r="836" spans="1:28" hidden="1" x14ac:dyDescent="0.25">
      <c r="A836">
        <v>197385</v>
      </c>
      <c r="B836" t="s">
        <v>1161</v>
      </c>
      <c r="C836" t="s">
        <v>29648</v>
      </c>
      <c r="D836">
        <v>0</v>
      </c>
      <c r="E836" t="s">
        <v>1161</v>
      </c>
      <c r="F836" t="s">
        <v>29136</v>
      </c>
      <c r="G836" s="3"/>
      <c r="H836" s="21">
        <v>0</v>
      </c>
      <c r="I836" s="21">
        <v>0</v>
      </c>
      <c r="J836" s="21">
        <v>0</v>
      </c>
      <c r="K836" s="21">
        <v>0</v>
      </c>
      <c r="L836" s="3">
        <f t="shared" si="39"/>
        <v>0</v>
      </c>
      <c r="M836" s="3"/>
      <c r="N836" s="3">
        <f t="shared" si="40"/>
        <v>0</v>
      </c>
      <c r="O836" s="21"/>
      <c r="R836" s="89"/>
      <c r="S836" s="89">
        <f>100%-Table34[[#This Row],[PDF_initial fee]]</f>
        <v>1</v>
      </c>
      <c r="T836" s="89"/>
      <c r="U836" s="26"/>
    </row>
    <row r="837" spans="1:28" hidden="1" x14ac:dyDescent="0.25">
      <c r="A837">
        <v>197422</v>
      </c>
      <c r="B837" t="s">
        <v>1162</v>
      </c>
      <c r="C837" t="s">
        <v>11522</v>
      </c>
      <c r="D837">
        <v>4</v>
      </c>
      <c r="E837" t="s">
        <v>1162</v>
      </c>
      <c r="F837" t="s">
        <v>3</v>
      </c>
      <c r="G837" s="3"/>
      <c r="L837" s="3">
        <f t="shared" si="39"/>
        <v>0</v>
      </c>
      <c r="M837" s="3"/>
      <c r="N837" s="3">
        <f t="shared" si="40"/>
        <v>0</v>
      </c>
      <c r="R837" s="89"/>
      <c r="S837" s="89">
        <f>100%-Table34[[#This Row],[PDF_initial fee]]</f>
        <v>1</v>
      </c>
      <c r="T837" s="89"/>
      <c r="U837" s="26"/>
    </row>
    <row r="838" spans="1:28" hidden="1" x14ac:dyDescent="0.25">
      <c r="A838">
        <v>197438</v>
      </c>
      <c r="B838" t="s">
        <v>1163</v>
      </c>
      <c r="C838" t="s">
        <v>8650</v>
      </c>
      <c r="D838">
        <v>3</v>
      </c>
      <c r="E838" t="s">
        <v>1163</v>
      </c>
      <c r="G838" s="3"/>
      <c r="H838" s="21">
        <v>0</v>
      </c>
      <c r="I838" s="21">
        <v>0</v>
      </c>
      <c r="J838" s="21">
        <v>0</v>
      </c>
      <c r="K838" s="21">
        <v>0</v>
      </c>
      <c r="L838" s="3">
        <f t="shared" si="39"/>
        <v>0</v>
      </c>
      <c r="M838" s="3"/>
      <c r="N838" s="3">
        <f t="shared" si="40"/>
        <v>0</v>
      </c>
      <c r="R838" s="89"/>
      <c r="S838" s="89">
        <f>100%-Table34[[#This Row],[PDF_initial fee]]</f>
        <v>1</v>
      </c>
      <c r="T838" s="89"/>
      <c r="U838" s="26"/>
    </row>
    <row r="839" spans="1:28" hidden="1" x14ac:dyDescent="0.25">
      <c r="A839">
        <v>197492</v>
      </c>
      <c r="B839" t="s">
        <v>1165</v>
      </c>
      <c r="C839" t="s">
        <v>6958</v>
      </c>
      <c r="D839">
        <v>1</v>
      </c>
      <c r="E839" t="s">
        <v>1165</v>
      </c>
      <c r="F839" t="s">
        <v>6958</v>
      </c>
      <c r="G839" s="3"/>
      <c r="H839" s="21">
        <v>0</v>
      </c>
      <c r="I839" s="21">
        <v>0</v>
      </c>
      <c r="J839" s="21">
        <v>0</v>
      </c>
      <c r="K839" s="21">
        <v>0</v>
      </c>
      <c r="L839" s="3">
        <f t="shared" si="39"/>
        <v>0</v>
      </c>
      <c r="M839" s="3"/>
      <c r="N839" s="3">
        <f t="shared" si="40"/>
        <v>0</v>
      </c>
      <c r="R839" s="89"/>
      <c r="S839" s="89">
        <f>100%-Table34[[#This Row],[PDF_initial fee]]</f>
        <v>1</v>
      </c>
      <c r="T839" s="89"/>
      <c r="U839" s="26"/>
    </row>
    <row r="840" spans="1:28" x14ac:dyDescent="0.25">
      <c r="A840">
        <v>231631</v>
      </c>
      <c r="B840" t="s">
        <v>135</v>
      </c>
      <c r="C840" t="s">
        <v>7737</v>
      </c>
      <c r="D840">
        <v>3</v>
      </c>
      <c r="E840" t="s">
        <v>135</v>
      </c>
      <c r="F840" t="s">
        <v>3</v>
      </c>
      <c r="G840" s="3">
        <v>1.4E-3</v>
      </c>
      <c r="H840" s="3">
        <v>0.04</v>
      </c>
      <c r="I840" s="3">
        <v>1.4999999999999999E-2</v>
      </c>
      <c r="J840" s="6"/>
      <c r="K840" s="6"/>
      <c r="L840" s="3">
        <f t="shared" si="39"/>
        <v>5.5E-2</v>
      </c>
      <c r="M840" s="3"/>
      <c r="N840" s="3">
        <f t="shared" si="40"/>
        <v>5.6399999999999999E-2</v>
      </c>
      <c r="P840" s="1" t="s">
        <v>29649</v>
      </c>
      <c r="Q840" t="s">
        <v>31787</v>
      </c>
      <c r="R840" s="89">
        <v>0.33333333333333348</v>
      </c>
      <c r="S840" s="89">
        <f>100%-Table34[[#This Row],[InitialFee]]</f>
        <v>0.96</v>
      </c>
      <c r="T840" s="89">
        <f>(1-Table34[[#This Row],[OngoingFee (plus Platform fee)]])^5</f>
        <v>0.92721650236562503</v>
      </c>
      <c r="U840" s="26">
        <f>(1+Table34[[#This Row],[Net 5yrs return (mostly up to 28th of Feb 2026)]])*Table34[[#This Row],[Investment after initial charge]]*Table34[[#This Row],[Cummulative 5yrs ongoing advice charge]]-1</f>
        <v>0.18683712302800015</v>
      </c>
      <c r="V840">
        <f>120085+4409</f>
        <v>124494</v>
      </c>
      <c r="W840" t="s">
        <v>29051</v>
      </c>
      <c r="X840" s="10">
        <v>21347</v>
      </c>
      <c r="Y840" s="30">
        <f>X840/V840</f>
        <v>0.17147011100936591</v>
      </c>
      <c r="AA840" s="1" t="s">
        <v>29650</v>
      </c>
      <c r="AB840" t="s">
        <v>29349</v>
      </c>
    </row>
    <row r="841" spans="1:28" hidden="1" x14ac:dyDescent="0.25">
      <c r="A841">
        <v>198020</v>
      </c>
      <c r="B841" t="s">
        <v>1167</v>
      </c>
      <c r="C841" t="s">
        <v>29651</v>
      </c>
      <c r="D841">
        <v>0</v>
      </c>
      <c r="E841" t="s">
        <v>1167</v>
      </c>
      <c r="F841" t="s">
        <v>29136</v>
      </c>
      <c r="G841" s="3"/>
      <c r="L841" s="3">
        <f t="shared" si="39"/>
        <v>0</v>
      </c>
      <c r="M841" s="3"/>
      <c r="N841" s="3">
        <f t="shared" si="40"/>
        <v>0</v>
      </c>
      <c r="R841" s="89"/>
      <c r="S841" s="89">
        <f>100%-Table34[[#This Row],[PDF_initial fee]]</f>
        <v>1</v>
      </c>
      <c r="T841" s="89"/>
      <c r="U841" s="26"/>
    </row>
    <row r="842" spans="1:28" hidden="1" x14ac:dyDescent="0.25">
      <c r="A842">
        <v>198023</v>
      </c>
      <c r="B842" t="s">
        <v>1168</v>
      </c>
      <c r="C842" t="s">
        <v>9200</v>
      </c>
      <c r="D842">
        <v>3</v>
      </c>
      <c r="E842" t="s">
        <v>1168</v>
      </c>
      <c r="G842" s="3"/>
      <c r="H842" s="21">
        <v>0</v>
      </c>
      <c r="I842" s="21">
        <v>0</v>
      </c>
      <c r="J842" s="21">
        <v>0</v>
      </c>
      <c r="K842" s="21">
        <v>0</v>
      </c>
      <c r="L842" s="3">
        <f t="shared" si="39"/>
        <v>0</v>
      </c>
      <c r="M842" s="3"/>
      <c r="N842" s="3">
        <f t="shared" si="40"/>
        <v>0</v>
      </c>
      <c r="R842" s="89"/>
      <c r="S842" s="89">
        <f>100%-Table34[[#This Row],[PDF_initial fee]]</f>
        <v>1</v>
      </c>
      <c r="T842" s="89"/>
      <c r="U842" s="26"/>
    </row>
    <row r="843" spans="1:28" hidden="1" x14ac:dyDescent="0.25">
      <c r="A843">
        <v>198042</v>
      </c>
      <c r="B843" t="s">
        <v>1169</v>
      </c>
      <c r="C843" t="s">
        <v>29652</v>
      </c>
      <c r="D843">
        <v>0</v>
      </c>
      <c r="E843" t="s">
        <v>1169</v>
      </c>
      <c r="F843" t="s">
        <v>29136</v>
      </c>
      <c r="G843" s="3"/>
      <c r="J843" s="21"/>
      <c r="L843" s="3">
        <v>0</v>
      </c>
      <c r="M843" s="3"/>
      <c r="N843" s="3">
        <f t="shared" si="40"/>
        <v>0</v>
      </c>
      <c r="R843" s="89"/>
      <c r="S843" s="89">
        <f>100%-Table34[[#This Row],[PDF_initial fee]]</f>
        <v>1</v>
      </c>
      <c r="T843" s="89"/>
      <c r="U843" s="26"/>
    </row>
    <row r="844" spans="1:28" hidden="1" x14ac:dyDescent="0.25">
      <c r="A844">
        <v>198059</v>
      </c>
      <c r="B844" t="s">
        <v>1170</v>
      </c>
      <c r="C844" t="s">
        <v>6958</v>
      </c>
      <c r="D844">
        <v>2</v>
      </c>
      <c r="E844" t="s">
        <v>1170</v>
      </c>
      <c r="F844" t="s">
        <v>6958</v>
      </c>
      <c r="G844" s="3"/>
      <c r="H844" s="21">
        <v>0</v>
      </c>
      <c r="I844" s="21">
        <v>0</v>
      </c>
      <c r="J844" s="21">
        <v>0</v>
      </c>
      <c r="K844" s="21">
        <v>0</v>
      </c>
      <c r="L844" s="3">
        <f t="shared" ref="L844:L849" si="41">SUM(H844:K844)</f>
        <v>0</v>
      </c>
      <c r="M844" s="3"/>
      <c r="N844" s="3">
        <f t="shared" si="40"/>
        <v>0</v>
      </c>
      <c r="R844" s="89"/>
      <c r="S844" s="89">
        <f>100%-Table34[[#This Row],[PDF_initial fee]]</f>
        <v>1</v>
      </c>
      <c r="T844" s="89"/>
      <c r="U844" s="26"/>
    </row>
    <row r="845" spans="1:28" hidden="1" x14ac:dyDescent="0.25">
      <c r="A845">
        <v>198060</v>
      </c>
      <c r="B845" t="s">
        <v>1171</v>
      </c>
      <c r="C845" t="s">
        <v>10566</v>
      </c>
      <c r="D845">
        <v>3</v>
      </c>
      <c r="E845" t="s">
        <v>1171</v>
      </c>
      <c r="G845" s="3"/>
      <c r="H845" s="21">
        <v>0</v>
      </c>
      <c r="I845" s="21">
        <v>0</v>
      </c>
      <c r="J845" s="21">
        <v>0</v>
      </c>
      <c r="K845" s="21">
        <v>0</v>
      </c>
      <c r="L845" s="3">
        <f t="shared" si="41"/>
        <v>0</v>
      </c>
      <c r="M845" s="3"/>
      <c r="N845" s="3">
        <f t="shared" si="40"/>
        <v>0</v>
      </c>
      <c r="R845" s="89"/>
      <c r="S845" s="89">
        <f>100%-Table34[[#This Row],[PDF_initial fee]]</f>
        <v>1</v>
      </c>
      <c r="T845" s="89"/>
      <c r="U845" s="26"/>
    </row>
    <row r="846" spans="1:28" hidden="1" x14ac:dyDescent="0.25">
      <c r="A846">
        <v>198090</v>
      </c>
      <c r="B846" t="s">
        <v>1172</v>
      </c>
      <c r="C846" t="s">
        <v>29653</v>
      </c>
      <c r="D846">
        <v>2</v>
      </c>
      <c r="E846" t="s">
        <v>1172</v>
      </c>
      <c r="G846" s="3"/>
      <c r="H846" s="3">
        <v>0</v>
      </c>
      <c r="I846" s="3">
        <v>0</v>
      </c>
      <c r="J846" s="3">
        <v>0</v>
      </c>
      <c r="K846" s="3">
        <v>0</v>
      </c>
      <c r="L846" s="3">
        <f t="shared" si="41"/>
        <v>0</v>
      </c>
      <c r="M846" s="3"/>
      <c r="N846" s="3">
        <f t="shared" si="40"/>
        <v>0</v>
      </c>
      <c r="R846" s="89"/>
      <c r="S846" s="89">
        <f>100%-Table34[[#This Row],[PDF_initial fee]]</f>
        <v>1</v>
      </c>
      <c r="T846" s="89"/>
      <c r="U846" s="26"/>
    </row>
    <row r="847" spans="1:28" hidden="1" x14ac:dyDescent="0.25">
      <c r="A847">
        <v>202359</v>
      </c>
      <c r="B847" t="s">
        <v>1173</v>
      </c>
      <c r="C847" t="s">
        <v>10198</v>
      </c>
      <c r="D847">
        <v>3</v>
      </c>
      <c r="E847" t="s">
        <v>1173</v>
      </c>
      <c r="G847" s="3"/>
      <c r="L847" s="3">
        <f t="shared" si="41"/>
        <v>0</v>
      </c>
      <c r="M847" s="3"/>
      <c r="N847" s="3">
        <f t="shared" si="40"/>
        <v>0</v>
      </c>
      <c r="R847" s="89"/>
      <c r="S847" s="89">
        <f>100%-Table34[[#This Row],[PDF_initial fee]]</f>
        <v>1</v>
      </c>
      <c r="T847" s="89"/>
      <c r="U847" s="26"/>
    </row>
    <row r="848" spans="1:28" x14ac:dyDescent="0.25">
      <c r="A848">
        <v>812808</v>
      </c>
      <c r="B848" t="s">
        <v>306</v>
      </c>
      <c r="C848" t="s">
        <v>8764</v>
      </c>
      <c r="D848">
        <v>1</v>
      </c>
      <c r="E848" t="s">
        <v>306</v>
      </c>
      <c r="F848" t="s">
        <v>3</v>
      </c>
      <c r="G848" s="3">
        <v>1.4E-3</v>
      </c>
      <c r="H848" s="21">
        <v>0.03</v>
      </c>
      <c r="I848" s="51">
        <v>1.4999999999999999E-2</v>
      </c>
      <c r="J848" s="21">
        <v>0</v>
      </c>
      <c r="K848" s="21">
        <v>0</v>
      </c>
      <c r="L848" s="3">
        <f t="shared" si="41"/>
        <v>4.4999999999999998E-2</v>
      </c>
      <c r="M848" s="3"/>
      <c r="N848" s="3">
        <f t="shared" si="40"/>
        <v>4.6399999999999997E-2</v>
      </c>
      <c r="P848" s="1" t="s">
        <v>29654</v>
      </c>
      <c r="Q848" t="s">
        <v>31787</v>
      </c>
      <c r="R848" s="89">
        <v>0.33333333333333348</v>
      </c>
      <c r="S848" s="89">
        <f>100%-Table34[[#This Row],[InitialFee]]</f>
        <v>0.97</v>
      </c>
      <c r="T848" s="89">
        <f>(1-Table34[[#This Row],[OngoingFee (plus Platform fee)]])^5</f>
        <v>0.92721650236562503</v>
      </c>
      <c r="U848" s="26">
        <f>(1+Table34[[#This Row],[Net 5yrs return (mostly up to 28th of Feb 2026)]])*Table34[[#This Row],[Investment after initial charge]]*Table34[[#This Row],[Cummulative 5yrs ongoing advice charge]]-1</f>
        <v>0.19920000972620855</v>
      </c>
      <c r="V848">
        <f>91170+9027</f>
        <v>100197</v>
      </c>
      <c r="W848" t="s">
        <v>29051</v>
      </c>
      <c r="X848" s="9">
        <v>89712</v>
      </c>
      <c r="Y848" s="30">
        <f>X848/V848</f>
        <v>0.8953561483876763</v>
      </c>
      <c r="AA848" s="1" t="s">
        <v>29655</v>
      </c>
      <c r="AB848" t="s">
        <v>29656</v>
      </c>
    </row>
    <row r="849" spans="1:30" hidden="1" x14ac:dyDescent="0.25">
      <c r="A849">
        <v>204687</v>
      </c>
      <c r="B849" t="s">
        <v>1175</v>
      </c>
      <c r="C849" t="s">
        <v>29657</v>
      </c>
      <c r="D849">
        <v>0</v>
      </c>
      <c r="E849" t="s">
        <v>1175</v>
      </c>
      <c r="F849" t="s">
        <v>29136</v>
      </c>
      <c r="G849" s="3"/>
      <c r="L849" s="3">
        <f t="shared" si="41"/>
        <v>0</v>
      </c>
      <c r="M849" s="3"/>
      <c r="N849" s="3">
        <f t="shared" si="40"/>
        <v>0</v>
      </c>
      <c r="R849" s="89"/>
      <c r="S849" s="89">
        <f>100%-Table34[[#This Row],[PDF_initial fee]]</f>
        <v>1</v>
      </c>
      <c r="T849" s="89"/>
      <c r="U849" s="26"/>
    </row>
    <row r="850" spans="1:30" x14ac:dyDescent="0.25">
      <c r="A850">
        <v>947126</v>
      </c>
      <c r="B850" t="s">
        <v>340</v>
      </c>
      <c r="C850" t="s">
        <v>11756</v>
      </c>
      <c r="D850">
        <v>1</v>
      </c>
      <c r="E850" t="s">
        <v>340</v>
      </c>
      <c r="F850" t="s">
        <v>3</v>
      </c>
      <c r="G850" s="3">
        <v>1.4E-3</v>
      </c>
      <c r="H850" s="3"/>
      <c r="I850" s="3"/>
      <c r="J850" s="6">
        <v>2.9499999999999998E-2</v>
      </c>
      <c r="K850" s="6">
        <v>0.01</v>
      </c>
      <c r="L850" s="3">
        <f>SUM(J850:K850)</f>
        <v>3.95E-2</v>
      </c>
      <c r="M850" s="3"/>
      <c r="N850" s="3">
        <f t="shared" si="40"/>
        <v>4.0899999999999999E-2</v>
      </c>
      <c r="P850" s="31" t="s">
        <v>29658</v>
      </c>
      <c r="Q850" t="s">
        <v>31787</v>
      </c>
      <c r="R850" s="89">
        <v>0.33333333333333348</v>
      </c>
      <c r="S850" s="89">
        <f>100%-Table34[[#This Row],[PDF_initial fee]]</f>
        <v>0.97050000000000003</v>
      </c>
      <c r="T850" s="89">
        <f>(1-Table34[[#This Row],[PDF ongoing fee]])^5</f>
        <v>0.95099004989999991</v>
      </c>
      <c r="U850" s="26">
        <f>(1+Table34[[#This Row],[Net 5yrs return (mostly up to 28th of Feb 2026)]])*Table34[[#This Row],[Investment after initial charge]]*Table34[[#This Row],[Cummulative 5yrs ongoing advice charge]]-1</f>
        <v>0.2305811245706002</v>
      </c>
      <c r="V850" s="10">
        <f>40431+70315</f>
        <v>110746</v>
      </c>
      <c r="W850" t="s">
        <v>29051</v>
      </c>
      <c r="X850" s="9">
        <v>24371</v>
      </c>
      <c r="Y850" s="30">
        <f>X850/V850</f>
        <v>0.22006212413992379</v>
      </c>
      <c r="AA850" s="1" t="s">
        <v>29659</v>
      </c>
      <c r="AD850" s="1" t="s">
        <v>29660</v>
      </c>
    </row>
    <row r="851" spans="1:30" hidden="1" x14ac:dyDescent="0.25">
      <c r="A851">
        <v>207468</v>
      </c>
      <c r="B851" t="s">
        <v>1177</v>
      </c>
      <c r="C851" t="s">
        <v>6958</v>
      </c>
      <c r="D851">
        <v>1</v>
      </c>
      <c r="E851" t="s">
        <v>1177</v>
      </c>
      <c r="F851" t="s">
        <v>6958</v>
      </c>
      <c r="G851" s="3"/>
      <c r="L851" s="3">
        <f t="shared" ref="L851:L888" si="42">SUM(H851:K851)</f>
        <v>0</v>
      </c>
      <c r="M851" s="3"/>
      <c r="N851" s="3">
        <f t="shared" si="40"/>
        <v>0</v>
      </c>
      <c r="R851" s="89"/>
      <c r="S851" s="89">
        <f>100%-Table34[[#This Row],[PDF_initial fee]]</f>
        <v>1</v>
      </c>
      <c r="T851" s="89"/>
      <c r="U851" s="26"/>
    </row>
    <row r="852" spans="1:30" hidden="1" x14ac:dyDescent="0.25">
      <c r="A852">
        <v>207470</v>
      </c>
      <c r="B852" t="s">
        <v>1178</v>
      </c>
      <c r="C852" t="s">
        <v>6958</v>
      </c>
      <c r="D852">
        <v>4</v>
      </c>
      <c r="E852" t="s">
        <v>1178</v>
      </c>
      <c r="F852" t="s">
        <v>6958</v>
      </c>
      <c r="G852" s="3"/>
      <c r="H852" s="21">
        <v>0</v>
      </c>
      <c r="I852" s="21">
        <v>0</v>
      </c>
      <c r="J852" s="21">
        <v>0</v>
      </c>
      <c r="K852" s="21">
        <v>0</v>
      </c>
      <c r="L852" s="3">
        <f t="shared" si="42"/>
        <v>0</v>
      </c>
      <c r="M852" s="3"/>
      <c r="N852" s="3">
        <f t="shared" si="40"/>
        <v>0</v>
      </c>
      <c r="R852" s="89"/>
      <c r="S852" s="89">
        <f>100%-Table34[[#This Row],[PDF_initial fee]]</f>
        <v>1</v>
      </c>
      <c r="T852" s="89"/>
      <c r="U852" s="26"/>
    </row>
    <row r="853" spans="1:30" hidden="1" x14ac:dyDescent="0.25">
      <c r="A853">
        <v>207474</v>
      </c>
      <c r="B853" t="s">
        <v>1179</v>
      </c>
      <c r="C853" t="s">
        <v>8074</v>
      </c>
      <c r="D853">
        <v>9</v>
      </c>
      <c r="E853" t="s">
        <v>1179</v>
      </c>
      <c r="F853" t="s">
        <v>3</v>
      </c>
      <c r="G853" s="3"/>
      <c r="L853" s="3">
        <f t="shared" si="42"/>
        <v>0</v>
      </c>
      <c r="M853" s="3"/>
      <c r="N853" s="3">
        <f t="shared" si="40"/>
        <v>0</v>
      </c>
      <c r="R853" s="89"/>
      <c r="S853" s="89">
        <f>100%-Table34[[#This Row],[PDF_initial fee]]</f>
        <v>1</v>
      </c>
      <c r="T853" s="89"/>
      <c r="U853" s="26"/>
    </row>
    <row r="854" spans="1:30" hidden="1" x14ac:dyDescent="0.25">
      <c r="A854">
        <v>207483</v>
      </c>
      <c r="B854" t="s">
        <v>1180</v>
      </c>
      <c r="C854" s="1" t="s">
        <v>29661</v>
      </c>
      <c r="D854">
        <v>2</v>
      </c>
      <c r="E854" t="s">
        <v>1180</v>
      </c>
      <c r="G854" s="3"/>
      <c r="H854" s="3">
        <v>0</v>
      </c>
      <c r="I854" s="3">
        <v>0</v>
      </c>
      <c r="J854" s="3">
        <v>0</v>
      </c>
      <c r="K854" s="3">
        <v>0</v>
      </c>
      <c r="L854" s="3">
        <f t="shared" si="42"/>
        <v>0</v>
      </c>
      <c r="M854" s="3"/>
      <c r="N854" s="3">
        <f t="shared" si="40"/>
        <v>0</v>
      </c>
      <c r="R854" s="89"/>
      <c r="S854" s="89">
        <f>100%-Table34[[#This Row],[PDF_initial fee]]</f>
        <v>1</v>
      </c>
      <c r="T854" s="89"/>
      <c r="U854" s="26"/>
    </row>
    <row r="855" spans="1:30" hidden="1" x14ac:dyDescent="0.25">
      <c r="A855">
        <v>207490</v>
      </c>
      <c r="B855" t="s">
        <v>1181</v>
      </c>
      <c r="C855" t="s">
        <v>12040</v>
      </c>
      <c r="D855">
        <v>2</v>
      </c>
      <c r="E855" t="s">
        <v>1181</v>
      </c>
      <c r="F855" t="s">
        <v>3</v>
      </c>
      <c r="G855" s="3"/>
      <c r="H855" s="21">
        <v>0</v>
      </c>
      <c r="I855" s="21">
        <v>0</v>
      </c>
      <c r="J855" s="21">
        <v>0</v>
      </c>
      <c r="K855" s="21">
        <v>0</v>
      </c>
      <c r="L855" s="3">
        <f t="shared" si="42"/>
        <v>0</v>
      </c>
      <c r="M855" s="3"/>
      <c r="N855" s="3">
        <f t="shared" si="40"/>
        <v>0</v>
      </c>
      <c r="R855" s="89"/>
      <c r="S855" s="89">
        <f>100%-Table34[[#This Row],[PDF_initial fee]]</f>
        <v>1</v>
      </c>
      <c r="T855" s="89"/>
      <c r="U855" s="26"/>
    </row>
    <row r="856" spans="1:30" hidden="1" x14ac:dyDescent="0.25">
      <c r="A856">
        <v>207491</v>
      </c>
      <c r="B856" t="s">
        <v>1182</v>
      </c>
      <c r="C856" t="s">
        <v>11590</v>
      </c>
      <c r="D856">
        <v>1</v>
      </c>
      <c r="E856" t="s">
        <v>1182</v>
      </c>
      <c r="G856" s="3"/>
      <c r="H856" s="21">
        <v>0</v>
      </c>
      <c r="I856" s="21">
        <v>0</v>
      </c>
      <c r="J856" s="21">
        <v>0</v>
      </c>
      <c r="K856" s="21">
        <v>0</v>
      </c>
      <c r="L856" s="3">
        <f t="shared" si="42"/>
        <v>0</v>
      </c>
      <c r="M856" s="3"/>
      <c r="N856" s="3">
        <f t="shared" si="40"/>
        <v>0</v>
      </c>
      <c r="R856" s="89"/>
      <c r="S856" s="89">
        <f>100%-Table34[[#This Row],[PDF_initial fee]]</f>
        <v>1</v>
      </c>
      <c r="T856" s="89"/>
      <c r="U856" s="26"/>
    </row>
    <row r="857" spans="1:30" hidden="1" x14ac:dyDescent="0.25">
      <c r="A857">
        <v>207494</v>
      </c>
      <c r="B857" t="s">
        <v>1183</v>
      </c>
      <c r="C857" t="s">
        <v>29662</v>
      </c>
      <c r="D857">
        <v>3</v>
      </c>
      <c r="E857" t="s">
        <v>1183</v>
      </c>
      <c r="G857" s="3"/>
      <c r="H857" s="3">
        <v>0</v>
      </c>
      <c r="I857" s="3">
        <v>0</v>
      </c>
      <c r="J857" s="3">
        <v>0</v>
      </c>
      <c r="K857" s="3">
        <v>0</v>
      </c>
      <c r="L857" s="3">
        <f t="shared" si="42"/>
        <v>0</v>
      </c>
      <c r="M857" s="3"/>
      <c r="N857" s="3">
        <f t="shared" si="40"/>
        <v>0</v>
      </c>
      <c r="R857" s="89"/>
      <c r="S857" s="89">
        <f>100%-Table34[[#This Row],[PDF_initial fee]]</f>
        <v>1</v>
      </c>
      <c r="T857" s="89"/>
      <c r="U857" s="26"/>
    </row>
    <row r="858" spans="1:30" hidden="1" x14ac:dyDescent="0.25">
      <c r="A858">
        <v>207503</v>
      </c>
      <c r="B858" t="s">
        <v>1184</v>
      </c>
      <c r="C858" t="s">
        <v>10496</v>
      </c>
      <c r="D858">
        <v>1</v>
      </c>
      <c r="E858" t="s">
        <v>1184</v>
      </c>
      <c r="G858" s="3"/>
      <c r="H858" s="21">
        <v>0</v>
      </c>
      <c r="I858" s="21">
        <v>0</v>
      </c>
      <c r="J858" s="21">
        <v>0</v>
      </c>
      <c r="K858" s="21">
        <v>0</v>
      </c>
      <c r="L858" s="3">
        <f t="shared" si="42"/>
        <v>0</v>
      </c>
      <c r="M858" s="3"/>
      <c r="N858" s="3">
        <f t="shared" si="40"/>
        <v>0</v>
      </c>
      <c r="R858" s="89"/>
      <c r="S858" s="89">
        <f>100%-Table34[[#This Row],[PDF_initial fee]]</f>
        <v>1</v>
      </c>
      <c r="T858" s="89"/>
      <c r="U858" s="26"/>
    </row>
    <row r="859" spans="1:30" hidden="1" x14ac:dyDescent="0.25">
      <c r="A859">
        <v>207506</v>
      </c>
      <c r="B859" t="s">
        <v>1185</v>
      </c>
      <c r="C859" t="s">
        <v>11404</v>
      </c>
      <c r="D859">
        <v>6</v>
      </c>
      <c r="E859" t="s">
        <v>1185</v>
      </c>
      <c r="G859" s="3"/>
      <c r="H859" s="21">
        <v>0</v>
      </c>
      <c r="I859" s="21">
        <v>0</v>
      </c>
      <c r="J859" s="21">
        <v>0</v>
      </c>
      <c r="K859" s="21">
        <v>0</v>
      </c>
      <c r="L859" s="3">
        <f t="shared" si="42"/>
        <v>0</v>
      </c>
      <c r="M859" s="3"/>
      <c r="N859" s="3">
        <f t="shared" si="40"/>
        <v>0</v>
      </c>
      <c r="R859" s="89"/>
      <c r="S859" s="89">
        <f>100%-Table34[[#This Row],[PDF_initial fee]]</f>
        <v>1</v>
      </c>
      <c r="T859" s="89"/>
      <c r="U859" s="26"/>
    </row>
    <row r="860" spans="1:30" hidden="1" x14ac:dyDescent="0.25">
      <c r="A860">
        <v>207508</v>
      </c>
      <c r="B860" t="s">
        <v>1186</v>
      </c>
      <c r="C860" t="s">
        <v>7441</v>
      </c>
      <c r="D860">
        <v>3</v>
      </c>
      <c r="E860" t="s">
        <v>1186</v>
      </c>
      <c r="G860" s="3"/>
      <c r="H860" s="21">
        <v>0</v>
      </c>
      <c r="I860" s="21">
        <v>0</v>
      </c>
      <c r="J860" s="21">
        <v>0</v>
      </c>
      <c r="K860" s="21">
        <v>0</v>
      </c>
      <c r="L860" s="3">
        <f t="shared" si="42"/>
        <v>0</v>
      </c>
      <c r="M860" s="3"/>
      <c r="N860" s="3">
        <f t="shared" si="40"/>
        <v>0</v>
      </c>
      <c r="R860" s="89"/>
      <c r="S860" s="89">
        <f>100%-Table34[[#This Row],[PDF_initial fee]]</f>
        <v>1</v>
      </c>
      <c r="T860" s="89"/>
      <c r="U860" s="26"/>
    </row>
    <row r="861" spans="1:30" hidden="1" x14ac:dyDescent="0.25">
      <c r="A861">
        <v>207527</v>
      </c>
      <c r="B861" t="s">
        <v>1187</v>
      </c>
      <c r="C861" t="s">
        <v>6958</v>
      </c>
      <c r="D861">
        <v>1</v>
      </c>
      <c r="E861" t="s">
        <v>1187</v>
      </c>
      <c r="F861" t="s">
        <v>6958</v>
      </c>
      <c r="G861" s="3"/>
      <c r="H861" s="21">
        <v>0</v>
      </c>
      <c r="I861" s="21">
        <v>0</v>
      </c>
      <c r="J861" s="21">
        <v>0</v>
      </c>
      <c r="K861" s="21">
        <v>0</v>
      </c>
      <c r="L861" s="3">
        <f t="shared" si="42"/>
        <v>0</v>
      </c>
      <c r="M861" s="3"/>
      <c r="N861" s="3">
        <f t="shared" si="40"/>
        <v>0</v>
      </c>
      <c r="R861" s="89"/>
      <c r="S861" s="89">
        <f>100%-Table34[[#This Row],[PDF_initial fee]]</f>
        <v>1</v>
      </c>
      <c r="T861" s="89"/>
      <c r="U861" s="26"/>
    </row>
    <row r="862" spans="1:30" hidden="1" x14ac:dyDescent="0.25">
      <c r="A862">
        <v>207536</v>
      </c>
      <c r="B862" t="s">
        <v>1188</v>
      </c>
      <c r="C862" t="s">
        <v>6958</v>
      </c>
      <c r="D862">
        <v>2</v>
      </c>
      <c r="E862" t="s">
        <v>1188</v>
      </c>
      <c r="F862" t="s">
        <v>6958</v>
      </c>
      <c r="G862" s="3"/>
      <c r="H862" s="21">
        <v>0</v>
      </c>
      <c r="I862" s="21">
        <v>0</v>
      </c>
      <c r="J862" s="21">
        <v>0</v>
      </c>
      <c r="K862" s="21">
        <v>0</v>
      </c>
      <c r="L862" s="3">
        <f t="shared" si="42"/>
        <v>0</v>
      </c>
      <c r="M862" s="3"/>
      <c r="N862" s="3">
        <f t="shared" si="40"/>
        <v>0</v>
      </c>
      <c r="R862" s="89"/>
      <c r="S862" s="89">
        <f>100%-Table34[[#This Row],[PDF_initial fee]]</f>
        <v>1</v>
      </c>
      <c r="T862" s="89"/>
      <c r="U862" s="26"/>
    </row>
    <row r="863" spans="1:30" hidden="1" x14ac:dyDescent="0.25">
      <c r="A863">
        <v>207560</v>
      </c>
      <c r="B863" t="s">
        <v>1189</v>
      </c>
      <c r="C863" t="s">
        <v>29663</v>
      </c>
      <c r="D863">
        <v>4</v>
      </c>
      <c r="E863" t="s">
        <v>1189</v>
      </c>
      <c r="G863" s="3"/>
      <c r="H863" s="3">
        <v>0</v>
      </c>
      <c r="I863" s="3">
        <v>0</v>
      </c>
      <c r="J863" s="3">
        <v>0</v>
      </c>
      <c r="K863" s="3">
        <v>0</v>
      </c>
      <c r="L863" s="3">
        <f t="shared" si="42"/>
        <v>0</v>
      </c>
      <c r="M863" s="3"/>
      <c r="N863" s="3">
        <f t="shared" si="40"/>
        <v>0</v>
      </c>
      <c r="R863" s="89"/>
      <c r="S863" s="89">
        <f>100%-Table34[[#This Row],[PDF_initial fee]]</f>
        <v>1</v>
      </c>
      <c r="T863" s="89"/>
      <c r="U863" s="26"/>
    </row>
    <row r="864" spans="1:30" hidden="1" x14ac:dyDescent="0.25">
      <c r="A864">
        <v>207647</v>
      </c>
      <c r="B864" t="s">
        <v>1190</v>
      </c>
      <c r="C864" t="s">
        <v>12491</v>
      </c>
      <c r="D864">
        <v>4</v>
      </c>
      <c r="E864" t="s">
        <v>1190</v>
      </c>
      <c r="G864" s="3"/>
      <c r="L864" s="3">
        <f t="shared" si="42"/>
        <v>0</v>
      </c>
      <c r="M864" s="3"/>
      <c r="N864" s="3">
        <f t="shared" si="40"/>
        <v>0</v>
      </c>
      <c r="R864" s="89"/>
      <c r="S864" s="89">
        <f>100%-Table34[[#This Row],[PDF_initial fee]]</f>
        <v>1</v>
      </c>
      <c r="T864" s="89"/>
      <c r="U864" s="26"/>
    </row>
    <row r="865" spans="1:27" hidden="1" x14ac:dyDescent="0.25">
      <c r="A865">
        <v>207663</v>
      </c>
      <c r="B865" t="s">
        <v>1191</v>
      </c>
      <c r="C865" s="1" t="s">
        <v>29664</v>
      </c>
      <c r="D865">
        <v>2</v>
      </c>
      <c r="E865" t="s">
        <v>1191</v>
      </c>
      <c r="G865" s="3"/>
      <c r="H865" s="21">
        <v>0</v>
      </c>
      <c r="I865" s="21">
        <v>0</v>
      </c>
      <c r="J865" s="21">
        <v>0</v>
      </c>
      <c r="K865" s="21">
        <v>0</v>
      </c>
      <c r="L865" s="3">
        <f t="shared" si="42"/>
        <v>0</v>
      </c>
      <c r="M865" s="3"/>
      <c r="N865" s="3">
        <f t="shared" si="40"/>
        <v>0</v>
      </c>
      <c r="O865" s="21"/>
      <c r="R865" s="89"/>
      <c r="S865" s="89">
        <f>100%-Table34[[#This Row],[PDF_initial fee]]</f>
        <v>1</v>
      </c>
      <c r="T865" s="89"/>
      <c r="U865" s="26"/>
    </row>
    <row r="866" spans="1:27" hidden="1" x14ac:dyDescent="0.25">
      <c r="A866">
        <v>207708</v>
      </c>
      <c r="B866" t="s">
        <v>1192</v>
      </c>
      <c r="C866" t="s">
        <v>6958</v>
      </c>
      <c r="D866">
        <v>5</v>
      </c>
      <c r="E866" t="s">
        <v>1192</v>
      </c>
      <c r="F866" t="s">
        <v>6958</v>
      </c>
      <c r="G866" s="3"/>
      <c r="H866" s="21">
        <v>0</v>
      </c>
      <c r="I866" s="21">
        <v>0</v>
      </c>
      <c r="J866" s="21">
        <v>0</v>
      </c>
      <c r="K866" s="21">
        <v>0</v>
      </c>
      <c r="L866" s="3">
        <f t="shared" si="42"/>
        <v>0</v>
      </c>
      <c r="M866" s="3"/>
      <c r="N866" s="3">
        <f t="shared" si="40"/>
        <v>0</v>
      </c>
      <c r="R866" s="89"/>
      <c r="S866" s="89">
        <f>100%-Table34[[#This Row],[PDF_initial fee]]</f>
        <v>1</v>
      </c>
      <c r="T866" s="89"/>
      <c r="U866" s="26"/>
    </row>
    <row r="867" spans="1:27" hidden="1" x14ac:dyDescent="0.25">
      <c r="A867">
        <v>207816</v>
      </c>
      <c r="B867" t="s">
        <v>1194</v>
      </c>
      <c r="C867" s="1" t="s">
        <v>6958</v>
      </c>
      <c r="D867">
        <v>0</v>
      </c>
      <c r="E867" t="s">
        <v>1194</v>
      </c>
      <c r="F867" t="s">
        <v>6958</v>
      </c>
      <c r="G867" s="3"/>
      <c r="H867" s="3"/>
      <c r="L867" s="3">
        <f t="shared" si="42"/>
        <v>0</v>
      </c>
      <c r="M867" s="3"/>
      <c r="N867" s="3">
        <f t="shared" si="40"/>
        <v>0</v>
      </c>
      <c r="R867" s="89"/>
      <c r="S867" s="89">
        <f>100%-Table34[[#This Row],[PDF_initial fee]]</f>
        <v>1</v>
      </c>
      <c r="T867" s="89"/>
      <c r="U867" s="26"/>
    </row>
    <row r="868" spans="1:27" hidden="1" x14ac:dyDescent="0.25">
      <c r="A868">
        <v>207972</v>
      </c>
      <c r="B868" t="s">
        <v>1195</v>
      </c>
      <c r="C868" t="s">
        <v>29665</v>
      </c>
      <c r="D868">
        <v>0</v>
      </c>
      <c r="E868" t="s">
        <v>1195</v>
      </c>
      <c r="F868" t="s">
        <v>29136</v>
      </c>
      <c r="G868" s="3"/>
      <c r="H868" s="21">
        <v>0</v>
      </c>
      <c r="I868" s="21">
        <v>0</v>
      </c>
      <c r="J868" s="21">
        <v>0</v>
      </c>
      <c r="K868" s="21">
        <v>0</v>
      </c>
      <c r="L868" s="3">
        <f t="shared" si="42"/>
        <v>0</v>
      </c>
      <c r="M868" s="3"/>
      <c r="N868" s="3">
        <f t="shared" si="40"/>
        <v>0</v>
      </c>
      <c r="O868" s="21"/>
      <c r="R868" s="89"/>
      <c r="S868" s="89">
        <f>100%-Table34[[#This Row],[PDF_initial fee]]</f>
        <v>1</v>
      </c>
      <c r="T868" s="89"/>
      <c r="U868" s="26"/>
    </row>
    <row r="869" spans="1:27" hidden="1" x14ac:dyDescent="0.25">
      <c r="A869">
        <v>208467</v>
      </c>
      <c r="B869" t="s">
        <v>1197</v>
      </c>
      <c r="C869" s="1" t="s">
        <v>29666</v>
      </c>
      <c r="D869">
        <v>9</v>
      </c>
      <c r="E869" t="s">
        <v>1197</v>
      </c>
      <c r="G869" s="3"/>
      <c r="H869" s="3">
        <v>0</v>
      </c>
      <c r="I869" s="3">
        <v>0</v>
      </c>
      <c r="J869" s="3">
        <v>0</v>
      </c>
      <c r="K869" s="3">
        <v>0</v>
      </c>
      <c r="L869" s="3">
        <f t="shared" si="42"/>
        <v>0</v>
      </c>
      <c r="M869" s="3"/>
      <c r="N869" s="3">
        <f t="shared" si="40"/>
        <v>0</v>
      </c>
      <c r="R869" s="89"/>
      <c r="S869" s="89">
        <f>100%-Table34[[#This Row],[PDF_initial fee]]</f>
        <v>1</v>
      </c>
      <c r="T869" s="89"/>
      <c r="U869" s="26"/>
    </row>
    <row r="870" spans="1:27" hidden="1" x14ac:dyDescent="0.25">
      <c r="A870">
        <v>208500</v>
      </c>
      <c r="B870" t="s">
        <v>1198</v>
      </c>
      <c r="C870" t="s">
        <v>7218</v>
      </c>
      <c r="D870">
        <v>1</v>
      </c>
      <c r="E870" t="s">
        <v>1198</v>
      </c>
      <c r="G870" s="3"/>
      <c r="H870" s="21">
        <v>0</v>
      </c>
      <c r="I870" s="21">
        <v>0</v>
      </c>
      <c r="J870" s="21">
        <v>0</v>
      </c>
      <c r="K870" s="21">
        <v>0</v>
      </c>
      <c r="L870" s="3">
        <f t="shared" si="42"/>
        <v>0</v>
      </c>
      <c r="M870" s="3"/>
      <c r="N870" s="3">
        <f t="shared" si="40"/>
        <v>0</v>
      </c>
      <c r="R870" s="89"/>
      <c r="S870" s="89">
        <f>100%-Table34[[#This Row],[PDF_initial fee]]</f>
        <v>1</v>
      </c>
      <c r="T870" s="89"/>
      <c r="U870" s="26"/>
    </row>
    <row r="871" spans="1:27" hidden="1" x14ac:dyDescent="0.25">
      <c r="A871">
        <v>208672</v>
      </c>
      <c r="B871" t="s">
        <v>1199</v>
      </c>
      <c r="C871" t="s">
        <v>6958</v>
      </c>
      <c r="D871">
        <v>1</v>
      </c>
      <c r="E871" t="s">
        <v>1199</v>
      </c>
      <c r="F871" t="s">
        <v>6958</v>
      </c>
      <c r="G871" s="3"/>
      <c r="H871" s="21">
        <v>0</v>
      </c>
      <c r="I871" s="21">
        <v>0</v>
      </c>
      <c r="J871" s="21">
        <v>0</v>
      </c>
      <c r="K871" s="21">
        <v>0</v>
      </c>
      <c r="L871" s="3">
        <f t="shared" si="42"/>
        <v>0</v>
      </c>
      <c r="M871" s="3"/>
      <c r="N871" s="3">
        <f t="shared" si="40"/>
        <v>0</v>
      </c>
      <c r="R871" s="89"/>
      <c r="S871" s="89">
        <f>100%-Table34[[#This Row],[PDF_initial fee]]</f>
        <v>1</v>
      </c>
      <c r="T871" s="89"/>
      <c r="U871" s="26"/>
    </row>
    <row r="872" spans="1:27" hidden="1" x14ac:dyDescent="0.25">
      <c r="A872">
        <v>208681</v>
      </c>
      <c r="B872" t="s">
        <v>1200</v>
      </c>
      <c r="C872" t="s">
        <v>6957</v>
      </c>
      <c r="D872">
        <v>1</v>
      </c>
      <c r="E872" t="s">
        <v>1200</v>
      </c>
      <c r="G872" s="3"/>
      <c r="H872" s="21">
        <v>0</v>
      </c>
      <c r="I872" s="21">
        <v>0</v>
      </c>
      <c r="J872" s="21">
        <v>0</v>
      </c>
      <c r="K872" s="21">
        <v>0</v>
      </c>
      <c r="L872" s="3">
        <f t="shared" si="42"/>
        <v>0</v>
      </c>
      <c r="M872" s="3"/>
      <c r="N872" s="3">
        <f t="shared" si="40"/>
        <v>0</v>
      </c>
      <c r="R872" s="89"/>
      <c r="S872" s="89">
        <f>100%-Table34[[#This Row],[PDF_initial fee]]</f>
        <v>1</v>
      </c>
      <c r="T872" s="89"/>
      <c r="U872" s="26"/>
    </row>
    <row r="873" spans="1:27" hidden="1" x14ac:dyDescent="0.25">
      <c r="A873">
        <v>208951</v>
      </c>
      <c r="B873" t="s">
        <v>1202</v>
      </c>
      <c r="C873" t="s">
        <v>6958</v>
      </c>
      <c r="D873">
        <v>2</v>
      </c>
      <c r="E873" t="s">
        <v>1202</v>
      </c>
      <c r="F873" t="s">
        <v>6958</v>
      </c>
      <c r="G873" s="3"/>
      <c r="H873" s="21">
        <v>0</v>
      </c>
      <c r="I873" s="21">
        <v>0</v>
      </c>
      <c r="J873" s="21">
        <v>0</v>
      </c>
      <c r="K873" s="21">
        <v>0</v>
      </c>
      <c r="L873" s="3">
        <f t="shared" si="42"/>
        <v>0</v>
      </c>
      <c r="M873" s="3"/>
      <c r="N873" s="3">
        <f t="shared" si="40"/>
        <v>0</v>
      </c>
      <c r="R873" s="89"/>
      <c r="S873" s="89">
        <f>100%-Table34[[#This Row],[PDF_initial fee]]</f>
        <v>1</v>
      </c>
      <c r="T873" s="89"/>
      <c r="U873" s="26"/>
    </row>
    <row r="874" spans="1:27" hidden="1" x14ac:dyDescent="0.25">
      <c r="A874">
        <v>209047</v>
      </c>
      <c r="B874" t="s">
        <v>1203</v>
      </c>
      <c r="C874" t="s">
        <v>6958</v>
      </c>
      <c r="D874">
        <v>1</v>
      </c>
      <c r="E874" t="s">
        <v>1203</v>
      </c>
      <c r="F874" t="s">
        <v>6958</v>
      </c>
      <c r="G874" s="3"/>
      <c r="H874" s="3">
        <v>0</v>
      </c>
      <c r="I874" s="3">
        <v>0</v>
      </c>
      <c r="J874" s="3">
        <v>0</v>
      </c>
      <c r="K874" s="3">
        <v>0</v>
      </c>
      <c r="L874" s="3">
        <f t="shared" si="42"/>
        <v>0</v>
      </c>
      <c r="M874" s="3"/>
      <c r="N874" s="3">
        <f t="shared" si="40"/>
        <v>0</v>
      </c>
      <c r="R874" s="89"/>
      <c r="S874" s="89">
        <f>100%-Table34[[#This Row],[PDF_initial fee]]</f>
        <v>1</v>
      </c>
      <c r="T874" s="89"/>
      <c r="U874" s="26"/>
    </row>
    <row r="875" spans="1:27" hidden="1" x14ac:dyDescent="0.25">
      <c r="A875">
        <v>209313</v>
      </c>
      <c r="B875" t="s">
        <v>1204</v>
      </c>
      <c r="C875" t="s">
        <v>6958</v>
      </c>
      <c r="D875">
        <v>0</v>
      </c>
      <c r="E875" t="s">
        <v>1204</v>
      </c>
      <c r="F875" t="s">
        <v>6958</v>
      </c>
      <c r="G875" s="3"/>
      <c r="L875" s="3">
        <f t="shared" si="42"/>
        <v>0</v>
      </c>
      <c r="M875" s="3"/>
      <c r="N875" s="3">
        <f t="shared" si="40"/>
        <v>0</v>
      </c>
      <c r="R875" s="89"/>
      <c r="S875" s="89">
        <f>100%-Table34[[#This Row],[PDF_initial fee]]</f>
        <v>1</v>
      </c>
      <c r="T875" s="89"/>
      <c r="U875" s="26"/>
    </row>
    <row r="876" spans="1:27" hidden="1" x14ac:dyDescent="0.25">
      <c r="A876">
        <v>209423</v>
      </c>
      <c r="B876" t="s">
        <v>1206</v>
      </c>
      <c r="C876" t="s">
        <v>6958</v>
      </c>
      <c r="D876">
        <v>2</v>
      </c>
      <c r="E876" t="s">
        <v>1206</v>
      </c>
      <c r="F876" t="s">
        <v>6958</v>
      </c>
      <c r="G876" s="3"/>
      <c r="H876" s="21">
        <v>0</v>
      </c>
      <c r="I876" s="21">
        <v>0</v>
      </c>
      <c r="J876" s="21">
        <v>0</v>
      </c>
      <c r="K876" s="21">
        <v>0</v>
      </c>
      <c r="L876" s="3">
        <f t="shared" si="42"/>
        <v>0</v>
      </c>
      <c r="M876" s="3"/>
      <c r="N876" s="3">
        <f t="shared" si="40"/>
        <v>0</v>
      </c>
      <c r="R876" s="89"/>
      <c r="S876" s="89">
        <f>100%-Table34[[#This Row],[PDF_initial fee]]</f>
        <v>1</v>
      </c>
      <c r="T876" s="89"/>
      <c r="U876" s="26"/>
    </row>
    <row r="877" spans="1:27" hidden="1" x14ac:dyDescent="0.25">
      <c r="A877">
        <v>209429</v>
      </c>
      <c r="B877" t="s">
        <v>1207</v>
      </c>
      <c r="C877" t="s">
        <v>9978</v>
      </c>
      <c r="D877">
        <v>5</v>
      </c>
      <c r="E877" t="s">
        <v>1207</v>
      </c>
      <c r="F877" t="s">
        <v>3</v>
      </c>
      <c r="G877" s="3"/>
      <c r="L877" s="3">
        <f t="shared" si="42"/>
        <v>0</v>
      </c>
      <c r="M877" s="3"/>
      <c r="N877" s="3">
        <f t="shared" si="40"/>
        <v>0</v>
      </c>
      <c r="R877" s="89"/>
      <c r="S877" s="89">
        <f>100%-Table34[[#This Row],[PDF_initial fee]]</f>
        <v>1</v>
      </c>
      <c r="T877" s="89"/>
      <c r="U877" s="26"/>
    </row>
    <row r="878" spans="1:27" hidden="1" x14ac:dyDescent="0.25">
      <c r="A878">
        <v>209446</v>
      </c>
      <c r="B878" t="s">
        <v>1208</v>
      </c>
      <c r="C878" t="s">
        <v>12177</v>
      </c>
      <c r="D878">
        <v>4</v>
      </c>
      <c r="E878" t="s">
        <v>1208</v>
      </c>
      <c r="F878" t="s">
        <v>29667</v>
      </c>
      <c r="G878" s="3"/>
      <c r="L878" s="3">
        <f t="shared" si="42"/>
        <v>0</v>
      </c>
      <c r="M878" s="3"/>
      <c r="N878" s="3">
        <f t="shared" si="40"/>
        <v>0</v>
      </c>
      <c r="R878" s="89"/>
      <c r="S878" s="89">
        <f>100%-Table34[[#This Row],[PDF_initial fee]]</f>
        <v>1</v>
      </c>
      <c r="T878" s="89"/>
      <c r="U878" s="26"/>
    </row>
    <row r="879" spans="1:27" hidden="1" x14ac:dyDescent="0.25">
      <c r="A879">
        <v>209450</v>
      </c>
      <c r="B879" t="s">
        <v>1209</v>
      </c>
      <c r="C879" t="s">
        <v>6958</v>
      </c>
      <c r="D879">
        <v>4</v>
      </c>
      <c r="E879" t="s">
        <v>1209</v>
      </c>
      <c r="F879" t="s">
        <v>6958</v>
      </c>
      <c r="G879" s="3"/>
      <c r="L879" s="3">
        <f t="shared" si="42"/>
        <v>0</v>
      </c>
      <c r="M879" s="3"/>
      <c r="N879" s="3">
        <f t="shared" ref="N879:N888" si="43">L879+G879</f>
        <v>0</v>
      </c>
      <c r="R879" s="89"/>
      <c r="S879" s="89">
        <f>100%-Table34[[#This Row],[PDF_initial fee]]</f>
        <v>1</v>
      </c>
      <c r="T879" s="89"/>
      <c r="U879" s="26"/>
    </row>
    <row r="880" spans="1:27" x14ac:dyDescent="0.25">
      <c r="A880">
        <v>781330</v>
      </c>
      <c r="B880" t="s">
        <v>296</v>
      </c>
      <c r="C880" s="1" t="s">
        <v>29668</v>
      </c>
      <c r="D880">
        <v>1</v>
      </c>
      <c r="E880" t="s">
        <v>296</v>
      </c>
      <c r="F880" t="s">
        <v>3</v>
      </c>
      <c r="G880" s="3">
        <v>1.4E-3</v>
      </c>
      <c r="H880" s="3">
        <v>0.02</v>
      </c>
      <c r="I880" s="3">
        <v>0.01</v>
      </c>
      <c r="J880" s="6">
        <v>0</v>
      </c>
      <c r="K880" s="6">
        <v>0</v>
      </c>
      <c r="L880" s="3">
        <f t="shared" si="42"/>
        <v>0.03</v>
      </c>
      <c r="M880" s="3"/>
      <c r="N880" s="3">
        <f t="shared" si="43"/>
        <v>3.1399999999999997E-2</v>
      </c>
      <c r="P880" s="31" t="s">
        <v>29669</v>
      </c>
      <c r="Q880" t="s">
        <v>31787</v>
      </c>
      <c r="R880" s="89">
        <v>0.33333333333333348</v>
      </c>
      <c r="S880" s="89">
        <f>100%-Table34[[#This Row],[InitialFee]]</f>
        <v>0.98</v>
      </c>
      <c r="T880" s="89">
        <f>(1-Table34[[#This Row],[OngoingFee (plus Platform fee)]])^5</f>
        <v>0.95099004989999991</v>
      </c>
      <c r="U880" s="26">
        <f>(1+Table34[[#This Row],[Net 5yrs return (mostly up to 28th of Feb 2026)]])*Table34[[#This Row],[Investment after initial charge]]*Table34[[#This Row],[Cummulative 5yrs ongoing advice charge]]-1</f>
        <v>0.24262699853600012</v>
      </c>
      <c r="V880">
        <f>61389+944</f>
        <v>62333</v>
      </c>
      <c r="W880" t="s">
        <v>29051</v>
      </c>
      <c r="X880" s="9">
        <v>301</v>
      </c>
      <c r="Y880" s="30">
        <f>X880/V880</f>
        <v>4.8289028283573709E-3</v>
      </c>
      <c r="AA880" s="1" t="s">
        <v>29670</v>
      </c>
    </row>
    <row r="881" spans="1:27" hidden="1" x14ac:dyDescent="0.25">
      <c r="A881">
        <v>209525</v>
      </c>
      <c r="B881" t="s">
        <v>1210</v>
      </c>
      <c r="C881" t="s">
        <v>12148</v>
      </c>
      <c r="D881">
        <v>3</v>
      </c>
      <c r="E881" t="s">
        <v>1210</v>
      </c>
      <c r="F881" t="s">
        <v>3</v>
      </c>
      <c r="G881" s="3"/>
      <c r="H881" s="21">
        <v>0</v>
      </c>
      <c r="I881" s="21">
        <v>0</v>
      </c>
      <c r="J881" s="21">
        <v>0</v>
      </c>
      <c r="K881" s="21">
        <v>0</v>
      </c>
      <c r="L881" s="3">
        <f t="shared" si="42"/>
        <v>0</v>
      </c>
      <c r="M881" s="3"/>
      <c r="N881" s="3">
        <f t="shared" si="43"/>
        <v>0</v>
      </c>
      <c r="R881" s="89"/>
      <c r="S881" s="89">
        <f>100%-Table34[[#This Row],[PDF_initial fee]]</f>
        <v>1</v>
      </c>
      <c r="T881" s="89"/>
      <c r="U881" s="26"/>
    </row>
    <row r="882" spans="1:27" hidden="1" x14ac:dyDescent="0.25">
      <c r="A882">
        <v>209529</v>
      </c>
      <c r="B882" t="s">
        <v>1211</v>
      </c>
      <c r="C882" t="s">
        <v>9656</v>
      </c>
      <c r="D882">
        <v>4</v>
      </c>
      <c r="E882" t="s">
        <v>1211</v>
      </c>
      <c r="G882" s="3"/>
      <c r="H882" s="21">
        <v>0</v>
      </c>
      <c r="I882" s="21">
        <v>0</v>
      </c>
      <c r="J882" s="21">
        <v>0</v>
      </c>
      <c r="K882" s="21">
        <v>0</v>
      </c>
      <c r="L882" s="3">
        <f t="shared" si="42"/>
        <v>0</v>
      </c>
      <c r="M882" s="3"/>
      <c r="N882" s="3">
        <f t="shared" si="43"/>
        <v>0</v>
      </c>
      <c r="R882" s="89"/>
      <c r="S882" s="89">
        <f>100%-Table34[[#This Row],[PDF_initial fee]]</f>
        <v>1</v>
      </c>
      <c r="T882" s="89"/>
      <c r="U882" s="26"/>
    </row>
    <row r="883" spans="1:27" x14ac:dyDescent="0.25">
      <c r="A883">
        <v>670205</v>
      </c>
      <c r="B883" t="s">
        <v>266</v>
      </c>
      <c r="C883" t="s">
        <v>29671</v>
      </c>
      <c r="D883">
        <v>2</v>
      </c>
      <c r="E883" t="s">
        <v>266</v>
      </c>
      <c r="F883" t="s">
        <v>3</v>
      </c>
      <c r="G883" s="3">
        <v>1.4E-3</v>
      </c>
      <c r="H883" s="3">
        <v>2.5000000000000001E-2</v>
      </c>
      <c r="I883" s="3">
        <v>0.01</v>
      </c>
      <c r="J883" s="6">
        <v>0</v>
      </c>
      <c r="K883" s="6">
        <v>0</v>
      </c>
      <c r="L883" s="3">
        <f t="shared" si="42"/>
        <v>3.5000000000000003E-2</v>
      </c>
      <c r="M883" s="3"/>
      <c r="N883" s="3">
        <f t="shared" si="43"/>
        <v>3.6400000000000002E-2</v>
      </c>
      <c r="O883" t="s">
        <v>29672</v>
      </c>
      <c r="P883" s="31" t="s">
        <v>29672</v>
      </c>
      <c r="Q883" t="s">
        <v>31787</v>
      </c>
      <c r="R883" s="89">
        <v>0.33333333333333348</v>
      </c>
      <c r="S883" s="89">
        <f>100%-Table34[[#This Row],[InitialFee]]</f>
        <v>0.97499999999999998</v>
      </c>
      <c r="T883" s="89">
        <f>(1-Table34[[#This Row],[OngoingFee (plus Platform fee)]])^5</f>
        <v>0.95099004989999991</v>
      </c>
      <c r="U883" s="26">
        <f>(1+Table34[[#This Row],[Net 5yrs return (mostly up to 28th of Feb 2026)]])*Table34[[#This Row],[Investment after initial charge]]*Table34[[#This Row],[Cummulative 5yrs ongoing advice charge]]-1</f>
        <v>0.23628706486999995</v>
      </c>
      <c r="V883">
        <f>123765+79982</f>
        <v>203747</v>
      </c>
      <c r="W883" t="s">
        <v>29051</v>
      </c>
      <c r="X883" s="9">
        <v>113845</v>
      </c>
      <c r="Y883" s="30">
        <f>X883/V883</f>
        <v>0.55875669335008615</v>
      </c>
      <c r="AA883" s="1" t="s">
        <v>29673</v>
      </c>
    </row>
    <row r="884" spans="1:27" hidden="1" x14ac:dyDescent="0.25">
      <c r="A884">
        <v>209535</v>
      </c>
      <c r="B884" t="s">
        <v>1212</v>
      </c>
      <c r="C884" t="s">
        <v>9523</v>
      </c>
      <c r="D884">
        <v>4</v>
      </c>
      <c r="E884" t="s">
        <v>1212</v>
      </c>
      <c r="G884" s="3"/>
      <c r="L884" s="3">
        <f t="shared" si="42"/>
        <v>0</v>
      </c>
      <c r="M884" s="3"/>
      <c r="N884" s="3">
        <f t="shared" si="43"/>
        <v>0</v>
      </c>
      <c r="R884" s="89"/>
      <c r="S884" s="89">
        <f>100%-Table34[[#This Row],[PDF_initial fee]]</f>
        <v>1</v>
      </c>
      <c r="T884" s="89"/>
      <c r="U884" s="26"/>
    </row>
    <row r="885" spans="1:27" hidden="1" x14ac:dyDescent="0.25">
      <c r="A885">
        <v>209562</v>
      </c>
      <c r="B885" t="s">
        <v>1214</v>
      </c>
      <c r="C885" t="s">
        <v>6958</v>
      </c>
      <c r="D885">
        <v>2</v>
      </c>
      <c r="E885" t="s">
        <v>1214</v>
      </c>
      <c r="F885" t="s">
        <v>6958</v>
      </c>
      <c r="G885" s="3"/>
      <c r="H885" s="21">
        <v>0</v>
      </c>
      <c r="I885" s="21">
        <v>0</v>
      </c>
      <c r="J885" s="21">
        <v>0</v>
      </c>
      <c r="K885" s="21">
        <v>0</v>
      </c>
      <c r="L885" s="3">
        <f t="shared" si="42"/>
        <v>0</v>
      </c>
      <c r="M885" s="3"/>
      <c r="N885" s="3">
        <f t="shared" si="43"/>
        <v>0</v>
      </c>
      <c r="R885" s="89"/>
      <c r="S885" s="89">
        <f>100%-Table34[[#This Row],[PDF_initial fee]]</f>
        <v>1</v>
      </c>
      <c r="T885" s="89"/>
      <c r="U885" s="26"/>
    </row>
    <row r="886" spans="1:27" hidden="1" x14ac:dyDescent="0.25">
      <c r="A886">
        <v>209724</v>
      </c>
      <c r="B886" t="s">
        <v>1215</v>
      </c>
      <c r="C886" t="s">
        <v>10330</v>
      </c>
      <c r="D886">
        <v>3</v>
      </c>
      <c r="E886" t="s">
        <v>1215</v>
      </c>
      <c r="G886" s="3"/>
      <c r="L886" s="3">
        <f t="shared" si="42"/>
        <v>0</v>
      </c>
      <c r="M886" s="3"/>
      <c r="N886" s="3">
        <f t="shared" si="43"/>
        <v>0</v>
      </c>
      <c r="R886" s="89"/>
      <c r="S886" s="89">
        <f>100%-Table34[[#This Row],[PDF_initial fee]]</f>
        <v>1</v>
      </c>
      <c r="T886" s="89"/>
      <c r="U886" s="26"/>
    </row>
    <row r="887" spans="1:27" hidden="1" x14ac:dyDescent="0.25">
      <c r="A887">
        <v>209819</v>
      </c>
      <c r="B887" t="s">
        <v>1216</v>
      </c>
      <c r="C887" t="s">
        <v>29674</v>
      </c>
      <c r="D887">
        <v>0</v>
      </c>
      <c r="E887" t="s">
        <v>1216</v>
      </c>
      <c r="F887" t="s">
        <v>29136</v>
      </c>
      <c r="G887" s="3"/>
      <c r="H887" s="21">
        <v>0</v>
      </c>
      <c r="I887" s="21">
        <v>0</v>
      </c>
      <c r="J887" s="21">
        <v>0</v>
      </c>
      <c r="K887" s="21">
        <v>0</v>
      </c>
      <c r="L887" s="3">
        <f t="shared" si="42"/>
        <v>0</v>
      </c>
      <c r="M887" s="3"/>
      <c r="N887" s="3">
        <f t="shared" si="43"/>
        <v>0</v>
      </c>
      <c r="O887" s="21"/>
      <c r="R887" s="89"/>
      <c r="S887" s="89">
        <f>100%-Table34[[#This Row],[PDF_initial fee]]</f>
        <v>1</v>
      </c>
      <c r="T887" s="89"/>
      <c r="U887" s="26"/>
    </row>
    <row r="888" spans="1:27" hidden="1" x14ac:dyDescent="0.25">
      <c r="A888">
        <v>209848</v>
      </c>
      <c r="B888" t="s">
        <v>1217</v>
      </c>
      <c r="C888" t="s">
        <v>9400</v>
      </c>
      <c r="D888">
        <v>1</v>
      </c>
      <c r="E888" t="s">
        <v>1217</v>
      </c>
      <c r="G888" s="3"/>
      <c r="L888" s="3">
        <f t="shared" si="42"/>
        <v>0</v>
      </c>
      <c r="M888" s="3"/>
      <c r="N888" s="3">
        <f t="shared" si="43"/>
        <v>0</v>
      </c>
      <c r="R888" s="89"/>
      <c r="S888" s="89">
        <f>100%-Table34[[#This Row],[PDF_initial fee]]</f>
        <v>1</v>
      </c>
      <c r="T888" s="89"/>
      <c r="U888" s="26"/>
    </row>
    <row r="889" spans="1:27" hidden="1" x14ac:dyDescent="0.25">
      <c r="A889">
        <v>138941</v>
      </c>
      <c r="B889" t="s">
        <v>54</v>
      </c>
      <c r="C889" t="s">
        <v>8950</v>
      </c>
      <c r="D889">
        <v>4</v>
      </c>
      <c r="E889" t="s">
        <v>54</v>
      </c>
      <c r="F889" t="s">
        <v>29675</v>
      </c>
      <c r="G889" s="3"/>
      <c r="H889" s="21"/>
      <c r="I889" s="3"/>
      <c r="J889" s="6"/>
      <c r="K889" s="6"/>
      <c r="L889" s="3"/>
      <c r="M889" s="3"/>
      <c r="N889" s="3"/>
      <c r="P889" s="1" t="s">
        <v>29676</v>
      </c>
      <c r="R889" s="89"/>
      <c r="S889" s="89">
        <f>100%-Table34[[#This Row],[PDF_initial fee]]</f>
        <v>1</v>
      </c>
      <c r="T889" s="89"/>
      <c r="U889" s="26"/>
      <c r="V889" s="10">
        <v>444969</v>
      </c>
      <c r="W889" t="s">
        <v>29051</v>
      </c>
      <c r="X889" s="10">
        <v>444808</v>
      </c>
      <c r="Y889" s="30">
        <f>X889/V889</f>
        <v>0.99963817704154667</v>
      </c>
      <c r="AA889" s="1" t="s">
        <v>29677</v>
      </c>
    </row>
    <row r="890" spans="1:27" hidden="1" x14ac:dyDescent="0.25">
      <c r="A890">
        <v>210142</v>
      </c>
      <c r="B890" t="s">
        <v>1218</v>
      </c>
      <c r="C890" t="s">
        <v>6958</v>
      </c>
      <c r="D890">
        <v>1</v>
      </c>
      <c r="E890" t="s">
        <v>1218</v>
      </c>
      <c r="F890" t="s">
        <v>6958</v>
      </c>
      <c r="G890" s="3"/>
      <c r="H890" s="21">
        <v>0</v>
      </c>
      <c r="I890" s="21">
        <v>0</v>
      </c>
      <c r="J890" s="21">
        <v>0</v>
      </c>
      <c r="K890" s="21">
        <v>0</v>
      </c>
      <c r="L890" s="3">
        <f t="shared" ref="L890:L921" si="44">SUM(H890:K890)</f>
        <v>0</v>
      </c>
      <c r="M890" s="3"/>
      <c r="N890" s="3">
        <f t="shared" ref="N890:N953" si="45">L890+G890</f>
        <v>0</v>
      </c>
      <c r="R890" s="89"/>
      <c r="S890" s="89">
        <f>100%-Table34[[#This Row],[PDF_initial fee]]</f>
        <v>1</v>
      </c>
      <c r="T890" s="89"/>
      <c r="U890" s="26"/>
    </row>
    <row r="891" spans="1:27" hidden="1" x14ac:dyDescent="0.25">
      <c r="A891">
        <v>210143</v>
      </c>
      <c r="B891" t="s">
        <v>1219</v>
      </c>
      <c r="C891" t="s">
        <v>6958</v>
      </c>
      <c r="D891">
        <v>2</v>
      </c>
      <c r="E891" t="s">
        <v>1219</v>
      </c>
      <c r="F891" t="s">
        <v>6958</v>
      </c>
      <c r="G891" s="3"/>
      <c r="H891" s="21">
        <v>0</v>
      </c>
      <c r="I891" s="21">
        <v>0</v>
      </c>
      <c r="J891" s="21">
        <v>0</v>
      </c>
      <c r="K891" s="21">
        <v>0</v>
      </c>
      <c r="L891" s="3">
        <f t="shared" si="44"/>
        <v>0</v>
      </c>
      <c r="M891" s="3"/>
      <c r="N891" s="3">
        <f t="shared" si="45"/>
        <v>0</v>
      </c>
      <c r="O891" s="21"/>
      <c r="R891" s="89"/>
      <c r="S891" s="89">
        <f>100%-Table34[[#This Row],[PDF_initial fee]]</f>
        <v>1</v>
      </c>
      <c r="T891" s="89"/>
      <c r="U891" s="26"/>
    </row>
    <row r="892" spans="1:27" hidden="1" x14ac:dyDescent="0.25">
      <c r="A892">
        <v>210208</v>
      </c>
      <c r="B892" t="s">
        <v>1220</v>
      </c>
      <c r="C892" t="s">
        <v>7040</v>
      </c>
      <c r="D892">
        <v>4</v>
      </c>
      <c r="E892" t="s">
        <v>1220</v>
      </c>
      <c r="G892" s="3"/>
      <c r="L892" s="3">
        <f t="shared" si="44"/>
        <v>0</v>
      </c>
      <c r="M892" s="3"/>
      <c r="N892" s="3">
        <f t="shared" si="45"/>
        <v>0</v>
      </c>
      <c r="R892" s="89"/>
      <c r="S892" s="89">
        <f>100%-Table34[[#This Row],[PDF_initial fee]]</f>
        <v>1</v>
      </c>
      <c r="T892" s="89"/>
      <c r="U892" s="26"/>
    </row>
    <row r="893" spans="1:27" hidden="1" x14ac:dyDescent="0.25">
      <c r="A893">
        <v>210326</v>
      </c>
      <c r="B893" t="s">
        <v>1221</v>
      </c>
      <c r="C893" t="s">
        <v>6958</v>
      </c>
      <c r="D893">
        <v>1</v>
      </c>
      <c r="E893" t="s">
        <v>1221</v>
      </c>
      <c r="F893" t="s">
        <v>6958</v>
      </c>
      <c r="G893" s="3"/>
      <c r="L893" s="3">
        <f t="shared" si="44"/>
        <v>0</v>
      </c>
      <c r="M893" s="3"/>
      <c r="N893" s="3">
        <f t="shared" si="45"/>
        <v>0</v>
      </c>
      <c r="R893" s="89"/>
      <c r="S893" s="89">
        <f>100%-Table34[[#This Row],[PDF_initial fee]]</f>
        <v>1</v>
      </c>
      <c r="T893" s="89"/>
      <c r="U893" s="26"/>
    </row>
    <row r="894" spans="1:27" hidden="1" x14ac:dyDescent="0.25">
      <c r="A894">
        <v>210464</v>
      </c>
      <c r="B894" t="s">
        <v>1222</v>
      </c>
      <c r="C894" t="s">
        <v>29678</v>
      </c>
      <c r="D894">
        <v>1</v>
      </c>
      <c r="E894" t="s">
        <v>1222</v>
      </c>
      <c r="G894" s="3"/>
      <c r="H894" s="3">
        <v>0</v>
      </c>
      <c r="I894" s="3">
        <v>0</v>
      </c>
      <c r="J894" s="3">
        <v>0</v>
      </c>
      <c r="K894" s="3">
        <v>0</v>
      </c>
      <c r="L894" s="3">
        <f t="shared" si="44"/>
        <v>0</v>
      </c>
      <c r="M894" s="3"/>
      <c r="N894" s="3">
        <f t="shared" si="45"/>
        <v>0</v>
      </c>
      <c r="R894" s="89"/>
      <c r="S894" s="89">
        <f>100%-Table34[[#This Row],[PDF_initial fee]]</f>
        <v>1</v>
      </c>
      <c r="T894" s="89"/>
      <c r="U894" s="26"/>
    </row>
    <row r="895" spans="1:27" hidden="1" x14ac:dyDescent="0.25">
      <c r="A895">
        <v>210513</v>
      </c>
      <c r="B895" t="s">
        <v>1223</v>
      </c>
      <c r="C895" t="s">
        <v>29679</v>
      </c>
      <c r="D895">
        <v>0</v>
      </c>
      <c r="E895" t="s">
        <v>1223</v>
      </c>
      <c r="F895" t="s">
        <v>29136</v>
      </c>
      <c r="G895" s="3"/>
      <c r="H895" s="21">
        <v>0</v>
      </c>
      <c r="I895" s="21">
        <v>0</v>
      </c>
      <c r="J895" s="21">
        <v>0</v>
      </c>
      <c r="K895" s="21">
        <v>0</v>
      </c>
      <c r="L895" s="3">
        <f t="shared" si="44"/>
        <v>0</v>
      </c>
      <c r="M895" s="3"/>
      <c r="N895" s="3">
        <f t="shared" si="45"/>
        <v>0</v>
      </c>
      <c r="O895" s="21"/>
      <c r="R895" s="89"/>
      <c r="S895" s="89">
        <f>100%-Table34[[#This Row],[PDF_initial fee]]</f>
        <v>1</v>
      </c>
      <c r="T895" s="89"/>
      <c r="U895" s="26"/>
    </row>
    <row r="896" spans="1:27" hidden="1" x14ac:dyDescent="0.25">
      <c r="A896">
        <v>210697</v>
      </c>
      <c r="B896" t="s">
        <v>1224</v>
      </c>
      <c r="C896" t="s">
        <v>29680</v>
      </c>
      <c r="D896">
        <v>0</v>
      </c>
      <c r="E896" t="s">
        <v>1224</v>
      </c>
      <c r="F896" t="s">
        <v>29136</v>
      </c>
      <c r="G896" s="3"/>
      <c r="H896" s="3">
        <v>0</v>
      </c>
      <c r="I896" s="3">
        <v>0</v>
      </c>
      <c r="J896" s="3">
        <v>0</v>
      </c>
      <c r="K896" s="3">
        <v>0</v>
      </c>
      <c r="L896" s="3">
        <f t="shared" si="44"/>
        <v>0</v>
      </c>
      <c r="M896" s="3"/>
      <c r="N896" s="3">
        <f t="shared" si="45"/>
        <v>0</v>
      </c>
      <c r="R896" s="89"/>
      <c r="S896" s="89">
        <f>100%-Table34[[#This Row],[PDF_initial fee]]</f>
        <v>1</v>
      </c>
      <c r="T896" s="89"/>
      <c r="U896" s="26"/>
    </row>
    <row r="897" spans="1:27" hidden="1" x14ac:dyDescent="0.25">
      <c r="A897">
        <v>210738</v>
      </c>
      <c r="B897" t="s">
        <v>1225</v>
      </c>
      <c r="C897" t="s">
        <v>10392</v>
      </c>
      <c r="D897">
        <v>1</v>
      </c>
      <c r="E897" t="s">
        <v>1225</v>
      </c>
      <c r="G897" s="3"/>
      <c r="H897" s="21">
        <v>0</v>
      </c>
      <c r="I897" s="21">
        <v>0</v>
      </c>
      <c r="J897" s="21">
        <v>0</v>
      </c>
      <c r="K897" s="21">
        <v>0</v>
      </c>
      <c r="L897" s="3">
        <f t="shared" si="44"/>
        <v>0</v>
      </c>
      <c r="M897" s="3"/>
      <c r="N897" s="3">
        <f t="shared" si="45"/>
        <v>0</v>
      </c>
      <c r="R897" s="89"/>
      <c r="S897" s="89">
        <f>100%-Table34[[#This Row],[PDF_initial fee]]</f>
        <v>1</v>
      </c>
      <c r="T897" s="89"/>
      <c r="U897" s="26"/>
    </row>
    <row r="898" spans="1:27" hidden="1" x14ac:dyDescent="0.25">
      <c r="A898">
        <v>210740</v>
      </c>
      <c r="B898" t="s">
        <v>1226</v>
      </c>
      <c r="C898" t="s">
        <v>29681</v>
      </c>
      <c r="D898">
        <v>3</v>
      </c>
      <c r="E898" t="s">
        <v>1226</v>
      </c>
      <c r="G898" s="3"/>
      <c r="H898" s="3">
        <v>0</v>
      </c>
      <c r="I898" s="3">
        <v>0</v>
      </c>
      <c r="J898" s="3">
        <v>0</v>
      </c>
      <c r="K898" s="3">
        <v>0</v>
      </c>
      <c r="L898" s="3">
        <f t="shared" si="44"/>
        <v>0</v>
      </c>
      <c r="M898" s="3"/>
      <c r="N898" s="3">
        <f t="shared" si="45"/>
        <v>0</v>
      </c>
      <c r="R898" s="89"/>
      <c r="S898" s="89">
        <f>100%-Table34[[#This Row],[PDF_initial fee]]</f>
        <v>1</v>
      </c>
      <c r="T898" s="89"/>
      <c r="U898" s="26"/>
    </row>
    <row r="899" spans="1:27" hidden="1" x14ac:dyDescent="0.25">
      <c r="A899">
        <v>210765</v>
      </c>
      <c r="B899" t="s">
        <v>1227</v>
      </c>
      <c r="C899" t="s">
        <v>10828</v>
      </c>
      <c r="D899">
        <v>4</v>
      </c>
      <c r="E899" t="s">
        <v>1227</v>
      </c>
      <c r="G899" s="3"/>
      <c r="H899" s="21">
        <v>0</v>
      </c>
      <c r="I899" s="21">
        <v>0</v>
      </c>
      <c r="J899" s="21">
        <v>0</v>
      </c>
      <c r="K899" s="21">
        <v>0</v>
      </c>
      <c r="L899" s="3">
        <f t="shared" si="44"/>
        <v>0</v>
      </c>
      <c r="M899" s="3"/>
      <c r="N899" s="3">
        <f t="shared" si="45"/>
        <v>0</v>
      </c>
      <c r="R899" s="89"/>
      <c r="S899" s="89">
        <f>100%-Table34[[#This Row],[PDF_initial fee]]</f>
        <v>1</v>
      </c>
      <c r="T899" s="89"/>
      <c r="U899" s="26"/>
    </row>
    <row r="900" spans="1:27" hidden="1" x14ac:dyDescent="0.25">
      <c r="A900">
        <v>210782</v>
      </c>
      <c r="B900" t="s">
        <v>1228</v>
      </c>
      <c r="C900" t="s">
        <v>12079</v>
      </c>
      <c r="D900">
        <v>19</v>
      </c>
      <c r="E900" t="s">
        <v>1228</v>
      </c>
      <c r="G900" s="3"/>
      <c r="H900" s="21">
        <v>0</v>
      </c>
      <c r="I900" s="21">
        <v>0</v>
      </c>
      <c r="J900" s="21">
        <v>0</v>
      </c>
      <c r="K900" s="21">
        <v>0</v>
      </c>
      <c r="L900" s="3">
        <f t="shared" si="44"/>
        <v>0</v>
      </c>
      <c r="M900" s="3"/>
      <c r="N900" s="3">
        <f t="shared" si="45"/>
        <v>0</v>
      </c>
      <c r="R900" s="89"/>
      <c r="S900" s="89">
        <f>100%-Table34[[#This Row],[PDF_initial fee]]</f>
        <v>1</v>
      </c>
      <c r="T900" s="89"/>
      <c r="U900" s="26"/>
    </row>
    <row r="901" spans="1:27" hidden="1" x14ac:dyDescent="0.25">
      <c r="A901">
        <v>211075</v>
      </c>
      <c r="B901" t="s">
        <v>1229</v>
      </c>
      <c r="C901" t="s">
        <v>8509</v>
      </c>
      <c r="D901">
        <v>0</v>
      </c>
      <c r="E901" t="s">
        <v>1229</v>
      </c>
      <c r="F901" t="s">
        <v>29136</v>
      </c>
      <c r="G901" s="3"/>
      <c r="H901" s="21">
        <v>0</v>
      </c>
      <c r="I901" s="21">
        <v>0</v>
      </c>
      <c r="J901" s="21">
        <v>0</v>
      </c>
      <c r="K901" s="21">
        <v>0</v>
      </c>
      <c r="L901" s="3">
        <f t="shared" si="44"/>
        <v>0</v>
      </c>
      <c r="M901" s="3"/>
      <c r="N901" s="3">
        <f t="shared" si="45"/>
        <v>0</v>
      </c>
      <c r="R901" s="89"/>
      <c r="S901" s="89">
        <f>100%-Table34[[#This Row],[PDF_initial fee]]</f>
        <v>1</v>
      </c>
      <c r="T901" s="89"/>
      <c r="U901" s="26"/>
    </row>
    <row r="902" spans="1:27" hidden="1" x14ac:dyDescent="0.25">
      <c r="A902">
        <v>211088</v>
      </c>
      <c r="B902" t="s">
        <v>1230</v>
      </c>
      <c r="C902" t="s">
        <v>29682</v>
      </c>
      <c r="D902">
        <v>12</v>
      </c>
      <c r="E902" t="s">
        <v>1230</v>
      </c>
      <c r="G902" s="3"/>
      <c r="H902" s="3">
        <v>0</v>
      </c>
      <c r="I902" s="3">
        <v>0</v>
      </c>
      <c r="J902" s="3">
        <v>0</v>
      </c>
      <c r="K902" s="3">
        <v>0</v>
      </c>
      <c r="L902" s="3">
        <f t="shared" si="44"/>
        <v>0</v>
      </c>
      <c r="M902" s="3"/>
      <c r="N902" s="3">
        <f t="shared" si="45"/>
        <v>0</v>
      </c>
      <c r="R902" s="89"/>
      <c r="S902" s="89">
        <f>100%-Table34[[#This Row],[PDF_initial fee]]</f>
        <v>1</v>
      </c>
      <c r="T902" s="89"/>
      <c r="U902" s="26"/>
    </row>
    <row r="903" spans="1:27" hidden="1" x14ac:dyDescent="0.25">
      <c r="A903">
        <v>211183</v>
      </c>
      <c r="B903" t="s">
        <v>1231</v>
      </c>
      <c r="C903" t="s">
        <v>6958</v>
      </c>
      <c r="D903">
        <v>3</v>
      </c>
      <c r="E903" t="s">
        <v>1231</v>
      </c>
      <c r="F903" t="s">
        <v>6958</v>
      </c>
      <c r="G903" s="3"/>
      <c r="H903" s="21">
        <v>0</v>
      </c>
      <c r="I903" s="21">
        <v>0</v>
      </c>
      <c r="J903" s="21">
        <v>0</v>
      </c>
      <c r="K903" s="21">
        <v>0</v>
      </c>
      <c r="L903" s="3">
        <f t="shared" si="44"/>
        <v>0</v>
      </c>
      <c r="M903" s="3"/>
      <c r="N903" s="3">
        <f t="shared" si="45"/>
        <v>0</v>
      </c>
      <c r="R903" s="89"/>
      <c r="S903" s="89">
        <f>100%-Table34[[#This Row],[PDF_initial fee]]</f>
        <v>1</v>
      </c>
      <c r="T903" s="89"/>
      <c r="U903" s="26"/>
    </row>
    <row r="904" spans="1:27" hidden="1" x14ac:dyDescent="0.25">
      <c r="A904">
        <v>211314</v>
      </c>
      <c r="B904" t="s">
        <v>1232</v>
      </c>
      <c r="C904" t="s">
        <v>12097</v>
      </c>
      <c r="D904">
        <v>16</v>
      </c>
      <c r="E904" t="s">
        <v>1232</v>
      </c>
      <c r="G904" s="3"/>
      <c r="H904" s="21">
        <v>0</v>
      </c>
      <c r="I904" s="21">
        <v>0</v>
      </c>
      <c r="J904" s="21">
        <v>0</v>
      </c>
      <c r="K904" s="21">
        <v>0</v>
      </c>
      <c r="L904" s="3">
        <f t="shared" si="44"/>
        <v>0</v>
      </c>
      <c r="M904" s="3"/>
      <c r="N904" s="3">
        <f t="shared" si="45"/>
        <v>0</v>
      </c>
      <c r="R904" s="89"/>
      <c r="S904" s="89">
        <f>100%-Table34[[#This Row],[PDF_initial fee]]</f>
        <v>1</v>
      </c>
      <c r="T904" s="89"/>
      <c r="U904" s="26"/>
    </row>
    <row r="905" spans="1:27" hidden="1" x14ac:dyDescent="0.25">
      <c r="A905">
        <v>211337</v>
      </c>
      <c r="B905" t="s">
        <v>1233</v>
      </c>
      <c r="C905" t="s">
        <v>29683</v>
      </c>
      <c r="D905">
        <v>0</v>
      </c>
      <c r="E905" t="s">
        <v>1233</v>
      </c>
      <c r="F905" t="s">
        <v>29136</v>
      </c>
      <c r="G905" s="3"/>
      <c r="H905" s="21">
        <v>0</v>
      </c>
      <c r="I905" s="21">
        <v>0</v>
      </c>
      <c r="J905" s="21">
        <v>0</v>
      </c>
      <c r="K905" s="21">
        <v>0</v>
      </c>
      <c r="L905" s="3">
        <f t="shared" si="44"/>
        <v>0</v>
      </c>
      <c r="M905" s="3"/>
      <c r="N905" s="3">
        <f t="shared" si="45"/>
        <v>0</v>
      </c>
      <c r="O905" s="21"/>
      <c r="R905" s="89"/>
      <c r="S905" s="89">
        <f>100%-Table34[[#This Row],[PDF_initial fee]]</f>
        <v>1</v>
      </c>
      <c r="T905" s="89"/>
      <c r="U905" s="26"/>
    </row>
    <row r="906" spans="1:27" hidden="1" x14ac:dyDescent="0.25">
      <c r="A906">
        <v>211626</v>
      </c>
      <c r="B906" t="s">
        <v>1234</v>
      </c>
      <c r="C906" t="s">
        <v>6958</v>
      </c>
      <c r="D906">
        <v>9</v>
      </c>
      <c r="E906" t="s">
        <v>1234</v>
      </c>
      <c r="F906" t="s">
        <v>6958</v>
      </c>
      <c r="G906" s="3"/>
      <c r="H906" s="21">
        <v>0</v>
      </c>
      <c r="I906" s="21">
        <v>0</v>
      </c>
      <c r="J906" s="21">
        <v>0</v>
      </c>
      <c r="K906" s="21">
        <v>0</v>
      </c>
      <c r="L906" s="3">
        <f t="shared" si="44"/>
        <v>0</v>
      </c>
      <c r="M906" s="3"/>
      <c r="N906" s="3">
        <f t="shared" si="45"/>
        <v>0</v>
      </c>
      <c r="R906" s="89"/>
      <c r="S906" s="89">
        <f>100%-Table34[[#This Row],[PDF_initial fee]]</f>
        <v>1</v>
      </c>
      <c r="T906" s="89"/>
      <c r="U906" s="26"/>
    </row>
    <row r="907" spans="1:27" x14ac:dyDescent="0.25">
      <c r="A907">
        <v>211646</v>
      </c>
      <c r="B907" t="s">
        <v>1235</v>
      </c>
      <c r="C907" t="s">
        <v>6958</v>
      </c>
      <c r="D907">
        <v>94</v>
      </c>
      <c r="E907" t="s">
        <v>1235</v>
      </c>
      <c r="F907" t="s">
        <v>6</v>
      </c>
      <c r="G907" s="3">
        <v>1.2500000000000001E-2</v>
      </c>
      <c r="H907" s="44"/>
      <c r="I907" s="21">
        <v>0</v>
      </c>
      <c r="J907" s="44">
        <f>5.75%/2</f>
        <v>2.8750000000000001E-2</v>
      </c>
      <c r="K907" s="21">
        <v>0</v>
      </c>
      <c r="L907" s="3">
        <f t="shared" si="44"/>
        <v>2.8750000000000001E-2</v>
      </c>
      <c r="M907" s="3"/>
      <c r="N907" s="3">
        <f t="shared" si="45"/>
        <v>4.1250000000000002E-2</v>
      </c>
      <c r="O907" t="s">
        <v>29202</v>
      </c>
      <c r="P907" s="1" t="s">
        <v>29203</v>
      </c>
      <c r="Q907" s="1" t="s">
        <v>29204</v>
      </c>
      <c r="R907" s="89">
        <v>0.16930000000000001</v>
      </c>
      <c r="S907" s="89">
        <f>100%-Table34[[#This Row],[PDF_initial fee]]</f>
        <v>0.97124999999999995</v>
      </c>
      <c r="T907" s="89">
        <f>(1-Table34[[#This Row],[OngoingFee (plus Platform fee)]])^5</f>
        <v>1</v>
      </c>
      <c r="U907" s="26">
        <f>(1+Table34[[#This Row],[Net 5yrs return (mostly up to 28th of Feb 2026)]])*Table34[[#This Row],[Investment after initial charge]]*Table34[[#This Row],[Cummulative 5yrs ongoing advice charge]]-1</f>
        <v>0.13568262499999983</v>
      </c>
      <c r="V907" s="10">
        <v>684629000</v>
      </c>
      <c r="W907" t="s">
        <v>29081</v>
      </c>
      <c r="X907" s="10">
        <v>517960000</v>
      </c>
      <c r="Y907" s="30">
        <f>Table34[[#This Row],[Total Asset]]/Table34[[#This Row],[Net Asset]]</f>
        <v>1.3217796741061085</v>
      </c>
      <c r="AA907" s="1" t="s">
        <v>29205</v>
      </c>
    </row>
    <row r="908" spans="1:27" hidden="1" x14ac:dyDescent="0.25">
      <c r="A908">
        <v>211720</v>
      </c>
      <c r="B908" t="s">
        <v>1236</v>
      </c>
      <c r="C908" t="s">
        <v>7583</v>
      </c>
      <c r="D908">
        <v>5</v>
      </c>
      <c r="E908" t="s">
        <v>1236</v>
      </c>
      <c r="G908" s="3"/>
      <c r="L908" s="3">
        <f t="shared" si="44"/>
        <v>0</v>
      </c>
      <c r="M908" s="3"/>
      <c r="N908" s="3">
        <f t="shared" si="45"/>
        <v>0</v>
      </c>
      <c r="R908" s="89"/>
      <c r="S908" s="89">
        <f>100%-Table34[[#This Row],[PDF_initial fee]]</f>
        <v>1</v>
      </c>
      <c r="T908" s="89"/>
      <c r="U908" s="26"/>
    </row>
    <row r="909" spans="1:27" hidden="1" x14ac:dyDescent="0.25">
      <c r="A909">
        <v>211875</v>
      </c>
      <c r="B909" t="s">
        <v>1237</v>
      </c>
      <c r="C909" t="s">
        <v>6958</v>
      </c>
      <c r="D909">
        <v>8</v>
      </c>
      <c r="E909" t="s">
        <v>1237</v>
      </c>
      <c r="F909" t="s">
        <v>6958</v>
      </c>
      <c r="G909" s="3"/>
      <c r="H909" s="21">
        <v>0</v>
      </c>
      <c r="I909" s="21">
        <v>0</v>
      </c>
      <c r="J909" s="21">
        <v>0</v>
      </c>
      <c r="K909" s="21">
        <v>0</v>
      </c>
      <c r="L909" s="3">
        <f t="shared" si="44"/>
        <v>0</v>
      </c>
      <c r="M909" s="3"/>
      <c r="N909" s="3">
        <f t="shared" si="45"/>
        <v>0</v>
      </c>
      <c r="R909" s="89"/>
      <c r="S909" s="89">
        <f>100%-Table34[[#This Row],[PDF_initial fee]]</f>
        <v>1</v>
      </c>
      <c r="T909" s="89"/>
      <c r="U909" s="26"/>
    </row>
    <row r="910" spans="1:27" hidden="1" x14ac:dyDescent="0.25">
      <c r="A910">
        <v>211885</v>
      </c>
      <c r="B910" t="s">
        <v>1238</v>
      </c>
      <c r="C910" t="s">
        <v>29134</v>
      </c>
      <c r="D910">
        <v>7</v>
      </c>
      <c r="E910" t="s">
        <v>1238</v>
      </c>
      <c r="G910" s="3"/>
      <c r="H910" s="3">
        <v>0</v>
      </c>
      <c r="I910" s="3">
        <v>0</v>
      </c>
      <c r="J910" s="3">
        <v>0</v>
      </c>
      <c r="K910" s="3">
        <v>0</v>
      </c>
      <c r="L910" s="3">
        <f t="shared" si="44"/>
        <v>0</v>
      </c>
      <c r="M910" s="3"/>
      <c r="N910" s="3">
        <f t="shared" si="45"/>
        <v>0</v>
      </c>
      <c r="R910" s="89"/>
      <c r="S910" s="89">
        <f>100%-Table34[[#This Row],[PDF_initial fee]]</f>
        <v>1</v>
      </c>
      <c r="T910" s="89"/>
      <c r="U910" s="26"/>
    </row>
    <row r="911" spans="1:27" hidden="1" x14ac:dyDescent="0.25">
      <c r="A911">
        <v>211978</v>
      </c>
      <c r="B911" t="s">
        <v>1239</v>
      </c>
      <c r="C911" t="s">
        <v>7669</v>
      </c>
      <c r="D911">
        <v>11</v>
      </c>
      <c r="E911" t="s">
        <v>1239</v>
      </c>
      <c r="G911" s="3"/>
      <c r="L911" s="3">
        <f t="shared" si="44"/>
        <v>0</v>
      </c>
      <c r="M911" s="3"/>
      <c r="N911" s="3">
        <f t="shared" si="45"/>
        <v>0</v>
      </c>
      <c r="R911" s="89"/>
      <c r="S911" s="89">
        <f>100%-Table34[[#This Row],[PDF_initial fee]]</f>
        <v>1</v>
      </c>
      <c r="T911" s="89"/>
      <c r="U911" s="26"/>
    </row>
    <row r="912" spans="1:27" hidden="1" x14ac:dyDescent="0.25">
      <c r="A912">
        <v>212754</v>
      </c>
      <c r="B912" t="s">
        <v>1241</v>
      </c>
      <c r="C912" t="s">
        <v>6958</v>
      </c>
      <c r="D912">
        <v>5</v>
      </c>
      <c r="E912" t="s">
        <v>1241</v>
      </c>
      <c r="F912" t="s">
        <v>6958</v>
      </c>
      <c r="G912" s="3"/>
      <c r="H912" s="3">
        <v>0</v>
      </c>
      <c r="I912" s="3">
        <v>0</v>
      </c>
      <c r="J912" s="3">
        <v>0</v>
      </c>
      <c r="K912" s="3">
        <v>0</v>
      </c>
      <c r="L912" s="3">
        <f t="shared" si="44"/>
        <v>0</v>
      </c>
      <c r="M912" s="3"/>
      <c r="N912" s="3">
        <f t="shared" si="45"/>
        <v>0</v>
      </c>
      <c r="R912" s="89"/>
      <c r="S912" s="89">
        <f>100%-Table34[[#This Row],[PDF_initial fee]]</f>
        <v>1</v>
      </c>
      <c r="T912" s="89"/>
      <c r="U912" s="26"/>
    </row>
    <row r="913" spans="1:28" x14ac:dyDescent="0.25">
      <c r="A913">
        <v>463179</v>
      </c>
      <c r="B913" t="s">
        <v>182</v>
      </c>
      <c r="C913" t="s">
        <v>8249</v>
      </c>
      <c r="D913">
        <v>4</v>
      </c>
      <c r="E913" t="s">
        <v>182</v>
      </c>
      <c r="F913" t="s">
        <v>3</v>
      </c>
      <c r="G913" s="3">
        <v>1.4E-3</v>
      </c>
      <c r="H913" s="3">
        <v>2.5000000000000001E-2</v>
      </c>
      <c r="I913" s="3">
        <v>1.4999999999999999E-2</v>
      </c>
      <c r="J913" s="6"/>
      <c r="K913" s="6">
        <v>0</v>
      </c>
      <c r="L913" s="3">
        <f t="shared" si="44"/>
        <v>0.04</v>
      </c>
      <c r="M913" s="3"/>
      <c r="N913" s="3">
        <f t="shared" si="45"/>
        <v>4.1399999999999999E-2</v>
      </c>
      <c r="P913" s="31" t="s">
        <v>29684</v>
      </c>
      <c r="Q913" t="s">
        <v>31787</v>
      </c>
      <c r="R913" s="89">
        <v>0.33333333333333348</v>
      </c>
      <c r="S913" s="89">
        <f>100%-Table34[[#This Row],[InitialFee]]</f>
        <v>0.97499999999999998</v>
      </c>
      <c r="T913" s="89">
        <f>(1-Table34[[#This Row],[OngoingFee (plus Platform fee)]])^5</f>
        <v>0.92721650236562503</v>
      </c>
      <c r="U913" s="26">
        <f>(1+Table34[[#This Row],[Net 5yrs return (mostly up to 28th of Feb 2026)]])*Table34[[#This Row],[Investment after initial charge]]*Table34[[#This Row],[Cummulative 5yrs ongoing advice charge]]-1</f>
        <v>0.20538145307531264</v>
      </c>
      <c r="V913">
        <f>299323+26952</f>
        <v>326275</v>
      </c>
      <c r="W913" t="s">
        <v>29051</v>
      </c>
      <c r="X913" s="9">
        <v>219924</v>
      </c>
      <c r="Y913" s="30">
        <f>X913/V913</f>
        <v>0.67404490077388701</v>
      </c>
      <c r="AA913" s="1" t="s">
        <v>29685</v>
      </c>
      <c r="AB913" t="s">
        <v>29656</v>
      </c>
    </row>
    <row r="914" spans="1:28" hidden="1" x14ac:dyDescent="0.25">
      <c r="A914">
        <v>212874</v>
      </c>
      <c r="B914" t="s">
        <v>1242</v>
      </c>
      <c r="C914" t="s">
        <v>6958</v>
      </c>
      <c r="D914">
        <v>0</v>
      </c>
      <c r="E914" t="s">
        <v>1242</v>
      </c>
      <c r="F914" t="s">
        <v>6958</v>
      </c>
      <c r="G914" s="3"/>
      <c r="H914" s="21">
        <v>0</v>
      </c>
      <c r="I914" s="21">
        <v>0</v>
      </c>
      <c r="J914" s="21">
        <v>0</v>
      </c>
      <c r="K914" s="21">
        <v>0</v>
      </c>
      <c r="L914" s="3">
        <f t="shared" si="44"/>
        <v>0</v>
      </c>
      <c r="M914" s="3"/>
      <c r="N914" s="3">
        <f t="shared" si="45"/>
        <v>0</v>
      </c>
      <c r="R914" s="89"/>
      <c r="S914" s="89">
        <f>100%-Table34[[#This Row],[PDF_initial fee]]</f>
        <v>1</v>
      </c>
      <c r="T914" s="89"/>
      <c r="U914" s="26"/>
    </row>
    <row r="915" spans="1:28" hidden="1" x14ac:dyDescent="0.25">
      <c r="A915">
        <v>212923</v>
      </c>
      <c r="B915" t="s">
        <v>1243</v>
      </c>
      <c r="C915" t="s">
        <v>9579</v>
      </c>
      <c r="D915">
        <v>8</v>
      </c>
      <c r="E915" t="s">
        <v>1243</v>
      </c>
      <c r="G915" s="3"/>
      <c r="H915" s="21">
        <v>0</v>
      </c>
      <c r="I915" s="21">
        <v>0</v>
      </c>
      <c r="J915" s="21">
        <v>0</v>
      </c>
      <c r="K915" s="21">
        <v>0</v>
      </c>
      <c r="L915" s="3">
        <f t="shared" si="44"/>
        <v>0</v>
      </c>
      <c r="M915" s="3"/>
      <c r="N915" s="3">
        <f t="shared" si="45"/>
        <v>0</v>
      </c>
      <c r="R915" s="89"/>
      <c r="S915" s="89">
        <f>100%-Table34[[#This Row],[PDF_initial fee]]</f>
        <v>1</v>
      </c>
      <c r="T915" s="89"/>
      <c r="U915" s="26"/>
    </row>
    <row r="916" spans="1:28" hidden="1" x14ac:dyDescent="0.25">
      <c r="A916">
        <v>212972</v>
      </c>
      <c r="B916" t="s">
        <v>1244</v>
      </c>
      <c r="C916" t="s">
        <v>29686</v>
      </c>
      <c r="D916">
        <v>9</v>
      </c>
      <c r="E916" t="s">
        <v>1244</v>
      </c>
      <c r="G916" s="3"/>
      <c r="H916" s="3">
        <v>0</v>
      </c>
      <c r="I916" s="3">
        <v>0</v>
      </c>
      <c r="J916" s="3">
        <v>0</v>
      </c>
      <c r="K916" s="3">
        <v>0</v>
      </c>
      <c r="L916" s="3">
        <f t="shared" si="44"/>
        <v>0</v>
      </c>
      <c r="M916" s="3"/>
      <c r="N916" s="3">
        <f t="shared" si="45"/>
        <v>0</v>
      </c>
      <c r="R916" s="89"/>
      <c r="S916" s="89">
        <f>100%-Table34[[#This Row],[PDF_initial fee]]</f>
        <v>1</v>
      </c>
      <c r="T916" s="89"/>
      <c r="U916" s="26"/>
    </row>
    <row r="917" spans="1:28" hidden="1" x14ac:dyDescent="0.25">
      <c r="A917">
        <v>213144</v>
      </c>
      <c r="B917" t="s">
        <v>1245</v>
      </c>
      <c r="C917" t="s">
        <v>6958</v>
      </c>
      <c r="D917">
        <v>1</v>
      </c>
      <c r="E917" t="s">
        <v>1245</v>
      </c>
      <c r="F917" t="s">
        <v>6958</v>
      </c>
      <c r="G917" s="3"/>
      <c r="H917" s="21">
        <v>0</v>
      </c>
      <c r="I917" s="21">
        <v>0</v>
      </c>
      <c r="J917" s="21">
        <v>0</v>
      </c>
      <c r="K917" s="21">
        <v>0</v>
      </c>
      <c r="L917" s="3">
        <f t="shared" si="44"/>
        <v>0</v>
      </c>
      <c r="M917" s="3"/>
      <c r="N917" s="3">
        <f t="shared" si="45"/>
        <v>0</v>
      </c>
      <c r="O917" s="21"/>
      <c r="R917" s="89"/>
      <c r="S917" s="89">
        <f>100%-Table34[[#This Row],[PDF_initial fee]]</f>
        <v>1</v>
      </c>
      <c r="T917" s="89"/>
      <c r="U917" s="26"/>
    </row>
    <row r="918" spans="1:28" hidden="1" x14ac:dyDescent="0.25">
      <c r="A918">
        <v>213148</v>
      </c>
      <c r="B918" t="s">
        <v>1246</v>
      </c>
      <c r="C918" t="s">
        <v>8770</v>
      </c>
      <c r="D918">
        <v>3</v>
      </c>
      <c r="E918" t="s">
        <v>1246</v>
      </c>
      <c r="G918" s="3"/>
      <c r="H918" s="21">
        <v>0</v>
      </c>
      <c r="I918" s="21">
        <v>0</v>
      </c>
      <c r="J918" s="21">
        <v>0</v>
      </c>
      <c r="K918" s="21">
        <v>0</v>
      </c>
      <c r="L918" s="3">
        <f t="shared" si="44"/>
        <v>0</v>
      </c>
      <c r="M918" s="3"/>
      <c r="N918" s="3">
        <f t="shared" si="45"/>
        <v>0</v>
      </c>
      <c r="R918" s="89"/>
      <c r="S918" s="89">
        <f>100%-Table34[[#This Row],[PDF_initial fee]]</f>
        <v>1</v>
      </c>
      <c r="T918" s="89"/>
      <c r="U918" s="26"/>
    </row>
    <row r="919" spans="1:28" hidden="1" x14ac:dyDescent="0.25">
      <c r="A919">
        <v>213159</v>
      </c>
      <c r="B919" t="s">
        <v>1247</v>
      </c>
      <c r="C919" t="s">
        <v>6958</v>
      </c>
      <c r="D919">
        <v>3</v>
      </c>
      <c r="E919" t="s">
        <v>1247</v>
      </c>
      <c r="F919" t="s">
        <v>6958</v>
      </c>
      <c r="G919" s="3"/>
      <c r="H919" s="21">
        <v>0</v>
      </c>
      <c r="I919" s="21">
        <v>0</v>
      </c>
      <c r="J919" s="21">
        <v>0</v>
      </c>
      <c r="K919" s="21">
        <v>0</v>
      </c>
      <c r="L919" s="3">
        <f t="shared" si="44"/>
        <v>0</v>
      </c>
      <c r="M919" s="3"/>
      <c r="N919" s="3">
        <f t="shared" si="45"/>
        <v>0</v>
      </c>
      <c r="R919" s="89"/>
      <c r="S919" s="89">
        <f>100%-Table34[[#This Row],[PDF_initial fee]]</f>
        <v>1</v>
      </c>
      <c r="T919" s="89"/>
      <c r="U919" s="26"/>
    </row>
    <row r="920" spans="1:28" hidden="1" x14ac:dyDescent="0.25">
      <c r="A920">
        <v>213326</v>
      </c>
      <c r="B920" t="s">
        <v>1248</v>
      </c>
      <c r="C920" t="s">
        <v>11899</v>
      </c>
      <c r="D920">
        <v>2</v>
      </c>
      <c r="E920" t="s">
        <v>1248</v>
      </c>
      <c r="G920" s="3"/>
      <c r="L920" s="3">
        <f t="shared" si="44"/>
        <v>0</v>
      </c>
      <c r="M920" s="3"/>
      <c r="N920" s="3">
        <f t="shared" si="45"/>
        <v>0</v>
      </c>
      <c r="R920" s="89"/>
      <c r="S920" s="89">
        <f>100%-Table34[[#This Row],[PDF_initial fee]]</f>
        <v>1</v>
      </c>
      <c r="T920" s="89"/>
      <c r="U920" s="26"/>
    </row>
    <row r="921" spans="1:28" hidden="1" x14ac:dyDescent="0.25">
      <c r="A921">
        <v>213724</v>
      </c>
      <c r="B921" t="s">
        <v>1249</v>
      </c>
      <c r="C921" t="s">
        <v>11079</v>
      </c>
      <c r="D921">
        <v>25</v>
      </c>
      <c r="E921" t="s">
        <v>1249</v>
      </c>
      <c r="G921" s="3"/>
      <c r="H921" s="21">
        <v>0</v>
      </c>
      <c r="I921" s="21">
        <v>0</v>
      </c>
      <c r="J921" s="21">
        <v>0</v>
      </c>
      <c r="K921" s="21">
        <v>0</v>
      </c>
      <c r="L921" s="3">
        <f t="shared" si="44"/>
        <v>0</v>
      </c>
      <c r="M921" s="3"/>
      <c r="N921" s="3">
        <f t="shared" si="45"/>
        <v>0</v>
      </c>
      <c r="R921" s="89"/>
      <c r="S921" s="89">
        <f>100%-Table34[[#This Row],[PDF_initial fee]]</f>
        <v>1</v>
      </c>
      <c r="T921" s="89"/>
      <c r="U921" s="26"/>
    </row>
    <row r="922" spans="1:28" hidden="1" x14ac:dyDescent="0.25">
      <c r="A922">
        <v>213848</v>
      </c>
      <c r="B922" t="s">
        <v>1250</v>
      </c>
      <c r="C922" t="s">
        <v>6958</v>
      </c>
      <c r="D922">
        <v>5</v>
      </c>
      <c r="E922" t="s">
        <v>1250</v>
      </c>
      <c r="F922" t="s">
        <v>6958</v>
      </c>
      <c r="G922" s="3"/>
      <c r="H922" s="21">
        <v>0</v>
      </c>
      <c r="I922" s="21">
        <v>0</v>
      </c>
      <c r="J922" s="21">
        <v>0</v>
      </c>
      <c r="K922" s="21">
        <v>0</v>
      </c>
      <c r="L922" s="3">
        <f t="shared" ref="L922:L953" si="46">SUM(H922:K922)</f>
        <v>0</v>
      </c>
      <c r="M922" s="3"/>
      <c r="N922" s="3">
        <f t="shared" si="45"/>
        <v>0</v>
      </c>
      <c r="R922" s="89"/>
      <c r="S922" s="89">
        <f>100%-Table34[[#This Row],[PDF_initial fee]]</f>
        <v>1</v>
      </c>
      <c r="T922" s="89"/>
      <c r="U922" s="26"/>
    </row>
    <row r="923" spans="1:28" hidden="1" x14ac:dyDescent="0.25">
      <c r="A923">
        <v>214036</v>
      </c>
      <c r="B923" t="s">
        <v>1251</v>
      </c>
      <c r="C923" t="s">
        <v>6958</v>
      </c>
      <c r="D923">
        <v>4</v>
      </c>
      <c r="E923" t="s">
        <v>1251</v>
      </c>
      <c r="F923" t="s">
        <v>6958</v>
      </c>
      <c r="G923" s="3"/>
      <c r="H923" s="21">
        <v>0</v>
      </c>
      <c r="I923" s="21">
        <v>0</v>
      </c>
      <c r="J923" s="21">
        <v>0</v>
      </c>
      <c r="K923" s="21">
        <v>0</v>
      </c>
      <c r="L923" s="3">
        <f t="shared" si="46"/>
        <v>0</v>
      </c>
      <c r="M923" s="3"/>
      <c r="N923" s="3">
        <f t="shared" si="45"/>
        <v>0</v>
      </c>
      <c r="R923" s="89"/>
      <c r="S923" s="89">
        <f>100%-Table34[[#This Row],[PDF_initial fee]]</f>
        <v>1</v>
      </c>
      <c r="T923" s="89"/>
      <c r="U923" s="26"/>
    </row>
    <row r="924" spans="1:28" hidden="1" x14ac:dyDescent="0.25">
      <c r="A924">
        <v>214037</v>
      </c>
      <c r="B924" t="s">
        <v>1252</v>
      </c>
      <c r="C924" t="s">
        <v>7775</v>
      </c>
      <c r="D924">
        <v>0</v>
      </c>
      <c r="E924" t="s">
        <v>1252</v>
      </c>
      <c r="F924" t="s">
        <v>29136</v>
      </c>
      <c r="G924" s="3"/>
      <c r="L924" s="3">
        <f t="shared" si="46"/>
        <v>0</v>
      </c>
      <c r="M924" s="3"/>
      <c r="N924" s="3">
        <f t="shared" si="45"/>
        <v>0</v>
      </c>
      <c r="R924" s="89"/>
      <c r="S924" s="89">
        <f>100%-Table34[[#This Row],[PDF_initial fee]]</f>
        <v>1</v>
      </c>
      <c r="T924" s="89"/>
      <c r="U924" s="26"/>
    </row>
    <row r="925" spans="1:28" ht="24" customHeight="1" x14ac:dyDescent="0.25">
      <c r="A925">
        <v>103677</v>
      </c>
      <c r="B925" t="s">
        <v>4</v>
      </c>
      <c r="C925" t="s">
        <v>29687</v>
      </c>
      <c r="D925">
        <v>1</v>
      </c>
      <c r="E925" t="s">
        <v>4</v>
      </c>
      <c r="F925" t="s">
        <v>3</v>
      </c>
      <c r="G925" s="3">
        <v>1.4E-3</v>
      </c>
      <c r="H925" s="3">
        <f>(300*10)/100000</f>
        <v>0.03</v>
      </c>
      <c r="I925" s="3">
        <v>5.0000000000000001E-3</v>
      </c>
      <c r="J925" s="6">
        <v>0</v>
      </c>
      <c r="K925" s="6">
        <v>0</v>
      </c>
      <c r="L925" s="3">
        <f t="shared" si="46"/>
        <v>3.4999999999999996E-2</v>
      </c>
      <c r="M925" s="3"/>
      <c r="N925" s="3">
        <f t="shared" si="45"/>
        <v>3.6399999999999995E-2</v>
      </c>
      <c r="O925" s="21" t="s">
        <v>29688</v>
      </c>
      <c r="P925" s="87" t="s">
        <v>29689</v>
      </c>
      <c r="Q925" t="s">
        <v>31787</v>
      </c>
      <c r="R925" s="89">
        <v>0.33333333333333348</v>
      </c>
      <c r="S925" s="89">
        <f>100%-Table34[[#This Row],[InitialFee]]</f>
        <v>0.97</v>
      </c>
      <c r="T925" s="89">
        <f>(1-Table34[[#This Row],[OngoingFee (plus Platform fee)]])^5</f>
        <v>0.97524875312187509</v>
      </c>
      <c r="U925" s="26">
        <f>(1+Table34[[#This Row],[Net 5yrs return (mostly up to 28th of Feb 2026)]])*Table34[[#This Row],[Investment after initial charge]]*Table34[[#This Row],[Cummulative 5yrs ongoing advice charge]]-1</f>
        <v>0.26132172070429194</v>
      </c>
      <c r="V925" s="10" t="s">
        <v>29690</v>
      </c>
      <c r="W925" s="10" t="s">
        <v>29051</v>
      </c>
      <c r="X925" s="10" t="s">
        <v>29691</v>
      </c>
      <c r="Y925" s="10" t="s">
        <v>29691</v>
      </c>
      <c r="Z925" s="10"/>
      <c r="AA925" t="s">
        <v>29692</v>
      </c>
      <c r="AB925" t="s">
        <v>29302</v>
      </c>
    </row>
    <row r="926" spans="1:28" hidden="1" x14ac:dyDescent="0.25">
      <c r="A926">
        <v>214536</v>
      </c>
      <c r="B926" t="s">
        <v>1253</v>
      </c>
      <c r="C926" t="s">
        <v>6999</v>
      </c>
      <c r="D926">
        <v>2</v>
      </c>
      <c r="E926" t="s">
        <v>1253</v>
      </c>
      <c r="G926" s="3"/>
      <c r="H926" s="21">
        <v>0</v>
      </c>
      <c r="I926" s="21">
        <v>0</v>
      </c>
      <c r="J926" s="21">
        <v>0</v>
      </c>
      <c r="K926" s="21">
        <v>0</v>
      </c>
      <c r="L926" s="3">
        <f t="shared" si="46"/>
        <v>0</v>
      </c>
      <c r="M926" s="3"/>
      <c r="N926" s="3">
        <f t="shared" si="45"/>
        <v>0</v>
      </c>
      <c r="R926" s="89"/>
      <c r="S926" s="89">
        <f>100%-Table34[[#This Row],[PDF_initial fee]]</f>
        <v>1</v>
      </c>
      <c r="T926" s="89"/>
      <c r="U926" s="26"/>
    </row>
    <row r="927" spans="1:28" hidden="1" x14ac:dyDescent="0.25">
      <c r="A927">
        <v>216219</v>
      </c>
      <c r="B927" t="s">
        <v>1255</v>
      </c>
      <c r="C927" t="s">
        <v>6958</v>
      </c>
      <c r="D927">
        <v>5</v>
      </c>
      <c r="E927" t="s">
        <v>1255</v>
      </c>
      <c r="F927" t="s">
        <v>6958</v>
      </c>
      <c r="G927" s="3"/>
      <c r="H927" s="21">
        <v>0</v>
      </c>
      <c r="I927" s="21">
        <v>0</v>
      </c>
      <c r="J927" s="21">
        <v>0</v>
      </c>
      <c r="K927" s="21">
        <v>0</v>
      </c>
      <c r="L927" s="3">
        <f t="shared" si="46"/>
        <v>0</v>
      </c>
      <c r="M927" s="3"/>
      <c r="N927" s="3">
        <f t="shared" si="45"/>
        <v>0</v>
      </c>
      <c r="R927" s="89"/>
      <c r="S927" s="89">
        <f>100%-Table34[[#This Row],[PDF_initial fee]]</f>
        <v>1</v>
      </c>
      <c r="T927" s="89"/>
      <c r="U927" s="26"/>
    </row>
    <row r="928" spans="1:28" hidden="1" x14ac:dyDescent="0.25">
      <c r="A928">
        <v>216642</v>
      </c>
      <c r="B928" t="s">
        <v>1256</v>
      </c>
      <c r="C928" t="s">
        <v>6958</v>
      </c>
      <c r="D928">
        <v>1</v>
      </c>
      <c r="E928" t="s">
        <v>1256</v>
      </c>
      <c r="F928" t="s">
        <v>6958</v>
      </c>
      <c r="G928" s="3"/>
      <c r="H928" s="21">
        <v>0</v>
      </c>
      <c r="I928" s="21">
        <v>0</v>
      </c>
      <c r="J928" s="21">
        <v>0</v>
      </c>
      <c r="K928" s="21">
        <v>0</v>
      </c>
      <c r="L928" s="3">
        <f t="shared" si="46"/>
        <v>0</v>
      </c>
      <c r="M928" s="3"/>
      <c r="N928" s="3">
        <f t="shared" si="45"/>
        <v>0</v>
      </c>
      <c r="R928" s="89"/>
      <c r="S928" s="89">
        <f>100%-Table34[[#This Row],[PDF_initial fee]]</f>
        <v>1</v>
      </c>
      <c r="T928" s="89"/>
      <c r="U928" s="26"/>
    </row>
    <row r="929" spans="1:30" hidden="1" x14ac:dyDescent="0.25">
      <c r="A929">
        <v>216704</v>
      </c>
      <c r="B929" t="s">
        <v>1257</v>
      </c>
      <c r="C929" t="s">
        <v>7036</v>
      </c>
      <c r="D929">
        <v>198</v>
      </c>
      <c r="E929" t="s">
        <v>1257</v>
      </c>
      <c r="F929" t="s">
        <v>3</v>
      </c>
      <c r="G929" s="3"/>
      <c r="H929" s="21">
        <v>0</v>
      </c>
      <c r="I929" s="21">
        <v>0</v>
      </c>
      <c r="J929" s="21">
        <v>0</v>
      </c>
      <c r="K929" s="21">
        <v>0</v>
      </c>
      <c r="L929" s="3">
        <f t="shared" si="46"/>
        <v>0</v>
      </c>
      <c r="M929" s="3"/>
      <c r="N929" s="3">
        <f t="shared" si="45"/>
        <v>0</v>
      </c>
      <c r="R929" s="89"/>
      <c r="S929" s="89">
        <f>100%-Table34[[#This Row],[PDF_initial fee]]</f>
        <v>1</v>
      </c>
      <c r="T929" s="89"/>
      <c r="U929" s="26"/>
    </row>
    <row r="930" spans="1:30" hidden="1" x14ac:dyDescent="0.25">
      <c r="A930">
        <v>216729</v>
      </c>
      <c r="B930" t="s">
        <v>1258</v>
      </c>
      <c r="C930" t="s">
        <v>29693</v>
      </c>
      <c r="D930">
        <v>0</v>
      </c>
      <c r="E930" t="s">
        <v>1258</v>
      </c>
      <c r="F930" t="s">
        <v>29136</v>
      </c>
      <c r="G930" s="3"/>
      <c r="H930" s="21">
        <v>0</v>
      </c>
      <c r="I930" s="21">
        <v>0</v>
      </c>
      <c r="J930" s="21">
        <v>0</v>
      </c>
      <c r="K930" s="21">
        <v>0</v>
      </c>
      <c r="L930" s="3">
        <f t="shared" si="46"/>
        <v>0</v>
      </c>
      <c r="M930" s="3"/>
      <c r="N930" s="3">
        <f t="shared" si="45"/>
        <v>0</v>
      </c>
      <c r="O930" s="21"/>
      <c r="R930" s="89"/>
      <c r="S930" s="89">
        <f>100%-Table34[[#This Row],[PDF_initial fee]]</f>
        <v>1</v>
      </c>
      <c r="T930" s="89"/>
      <c r="U930" s="26"/>
    </row>
    <row r="931" spans="1:30" hidden="1" x14ac:dyDescent="0.25">
      <c r="A931">
        <v>216772</v>
      </c>
      <c r="B931" t="s">
        <v>1259</v>
      </c>
      <c r="C931" t="s">
        <v>29694</v>
      </c>
      <c r="D931">
        <v>1</v>
      </c>
      <c r="E931" t="s">
        <v>1259</v>
      </c>
      <c r="F931" t="s">
        <v>29695</v>
      </c>
      <c r="G931" s="3"/>
      <c r="H931" s="21">
        <v>0</v>
      </c>
      <c r="I931" s="21">
        <v>0</v>
      </c>
      <c r="J931" s="21">
        <v>0</v>
      </c>
      <c r="K931" s="21">
        <v>0</v>
      </c>
      <c r="L931" s="3">
        <f t="shared" si="46"/>
        <v>0</v>
      </c>
      <c r="M931" s="3"/>
      <c r="N931" s="3">
        <f t="shared" si="45"/>
        <v>0</v>
      </c>
      <c r="O931" s="21"/>
      <c r="R931" s="89"/>
      <c r="S931" s="89">
        <f>100%-Table34[[#This Row],[PDF_initial fee]]</f>
        <v>1</v>
      </c>
      <c r="T931" s="89"/>
      <c r="U931" s="26"/>
    </row>
    <row r="932" spans="1:30" hidden="1" x14ac:dyDescent="0.25">
      <c r="A932">
        <v>217383</v>
      </c>
      <c r="B932" t="s">
        <v>1260</v>
      </c>
      <c r="C932" t="s">
        <v>10237</v>
      </c>
      <c r="D932">
        <v>6</v>
      </c>
      <c r="E932" t="s">
        <v>1260</v>
      </c>
      <c r="G932" s="3"/>
      <c r="H932" s="21">
        <v>0</v>
      </c>
      <c r="I932" s="21">
        <v>0</v>
      </c>
      <c r="J932" s="21">
        <v>0</v>
      </c>
      <c r="K932" s="21">
        <v>0</v>
      </c>
      <c r="L932" s="3">
        <f t="shared" si="46"/>
        <v>0</v>
      </c>
      <c r="M932" s="3"/>
      <c r="N932" s="3">
        <f t="shared" si="45"/>
        <v>0</v>
      </c>
      <c r="R932" s="89"/>
      <c r="S932" s="89">
        <f>100%-Table34[[#This Row],[PDF_initial fee]]</f>
        <v>1</v>
      </c>
      <c r="T932" s="89"/>
      <c r="U932" s="26"/>
    </row>
    <row r="933" spans="1:30" hidden="1" x14ac:dyDescent="0.25">
      <c r="A933">
        <v>217689</v>
      </c>
      <c r="B933" t="s">
        <v>1261</v>
      </c>
      <c r="C933" t="s">
        <v>29696</v>
      </c>
      <c r="D933">
        <v>0</v>
      </c>
      <c r="E933" t="s">
        <v>1261</v>
      </c>
      <c r="F933" t="s">
        <v>29136</v>
      </c>
      <c r="G933" s="3"/>
      <c r="H933" s="21">
        <v>0</v>
      </c>
      <c r="I933" s="21">
        <v>0</v>
      </c>
      <c r="J933" s="21">
        <v>0</v>
      </c>
      <c r="K933" s="21">
        <v>0</v>
      </c>
      <c r="L933" s="3">
        <f t="shared" si="46"/>
        <v>0</v>
      </c>
      <c r="M933" s="3"/>
      <c r="N933" s="3">
        <f t="shared" si="45"/>
        <v>0</v>
      </c>
      <c r="O933" s="21"/>
      <c r="R933" s="89"/>
      <c r="S933" s="89">
        <f>100%-Table34[[#This Row],[PDF_initial fee]]</f>
        <v>1</v>
      </c>
      <c r="T933" s="89"/>
      <c r="U933" s="26"/>
    </row>
    <row r="934" spans="1:30" x14ac:dyDescent="0.25">
      <c r="A934">
        <v>765112</v>
      </c>
      <c r="B934" t="s">
        <v>286</v>
      </c>
      <c r="C934" t="s">
        <v>29697</v>
      </c>
      <c r="D934">
        <v>415</v>
      </c>
      <c r="E934" t="s">
        <v>286</v>
      </c>
      <c r="F934" t="s">
        <v>6</v>
      </c>
      <c r="G934" s="3">
        <v>1.35E-2</v>
      </c>
      <c r="H934" s="3">
        <v>1.95E-2</v>
      </c>
      <c r="I934" s="3">
        <v>2.5000000000000001E-3</v>
      </c>
      <c r="J934" s="6">
        <v>0</v>
      </c>
      <c r="K934" s="6">
        <v>0</v>
      </c>
      <c r="L934" s="3">
        <f t="shared" si="46"/>
        <v>2.1999999999999999E-2</v>
      </c>
      <c r="M934" s="3"/>
      <c r="N934" s="3">
        <f t="shared" si="45"/>
        <v>3.5499999999999997E-2</v>
      </c>
      <c r="O934" t="s">
        <v>29078</v>
      </c>
      <c r="P934" s="1" t="s">
        <v>29080</v>
      </c>
      <c r="Q934" s="101" t="s">
        <v>31789</v>
      </c>
      <c r="R934" s="89">
        <v>0.15</v>
      </c>
      <c r="S934" s="100">
        <f>100%-Table34[[#This Row],[InitialFee]]</f>
        <v>0.98050000000000004</v>
      </c>
      <c r="T934" s="89">
        <f>(1-Table34[[#This Row],[OngoingFee (plus Platform fee)]])^5</f>
        <v>0.98756234394521514</v>
      </c>
      <c r="U934" s="26">
        <f>(1+Table34[[#This Row],[Net 5yrs return (mostly up to 28th of Feb 2026)]])*Table34[[#This Row],[Investment after initial charge]]*Table34[[#This Row],[Cummulative 5yrs ongoing advice charge]]-1</f>
        <v>0.113550609974026</v>
      </c>
      <c r="V934" s="10">
        <v>340877000000</v>
      </c>
      <c r="W934" s="10" t="s">
        <v>29081</v>
      </c>
      <c r="X934" s="10">
        <v>25971000000</v>
      </c>
      <c r="Y934" s="30">
        <f>X934/V934</f>
        <v>7.6188771903061808E-2</v>
      </c>
      <c r="Z934" s="10"/>
      <c r="AA934" s="1" t="s">
        <v>29698</v>
      </c>
      <c r="AD934" t="s">
        <v>29699</v>
      </c>
    </row>
    <row r="935" spans="1:30" hidden="1" x14ac:dyDescent="0.25">
      <c r="A935">
        <v>217853</v>
      </c>
      <c r="B935" t="s">
        <v>1262</v>
      </c>
      <c r="C935" t="s">
        <v>11558</v>
      </c>
      <c r="D935">
        <v>3</v>
      </c>
      <c r="E935" t="s">
        <v>1262</v>
      </c>
      <c r="G935" s="3"/>
      <c r="H935" s="21">
        <v>0</v>
      </c>
      <c r="I935" s="21">
        <v>0</v>
      </c>
      <c r="J935" s="21">
        <v>0</v>
      </c>
      <c r="K935" s="21">
        <v>0</v>
      </c>
      <c r="L935" s="3">
        <f t="shared" si="46"/>
        <v>0</v>
      </c>
      <c r="M935" s="3"/>
      <c r="N935" s="3">
        <f t="shared" si="45"/>
        <v>0</v>
      </c>
      <c r="R935" s="89"/>
      <c r="S935" s="89">
        <f>100%-Table34[[#This Row],[PDF_initial fee]]</f>
        <v>1</v>
      </c>
      <c r="T935" s="89"/>
      <c r="U935" s="26"/>
    </row>
    <row r="936" spans="1:30" hidden="1" x14ac:dyDescent="0.25">
      <c r="A936">
        <v>134753</v>
      </c>
      <c r="B936" t="s">
        <v>44</v>
      </c>
      <c r="C936" t="s">
        <v>29700</v>
      </c>
      <c r="D936">
        <v>226</v>
      </c>
      <c r="E936" t="s">
        <v>44</v>
      </c>
      <c r="F936" t="s">
        <v>6</v>
      </c>
      <c r="G936" s="3">
        <v>1.6400000000000001E-2</v>
      </c>
      <c r="H936" s="3">
        <v>0.03</v>
      </c>
      <c r="I936" s="3">
        <v>5.0000000000000001E-3</v>
      </c>
      <c r="J936" s="6">
        <v>0</v>
      </c>
      <c r="K936" s="6">
        <v>0</v>
      </c>
      <c r="L936" s="3">
        <f t="shared" si="46"/>
        <v>3.4999999999999996E-2</v>
      </c>
      <c r="M936" s="3"/>
      <c r="N936" s="3">
        <f t="shared" si="45"/>
        <v>5.1400000000000001E-2</v>
      </c>
      <c r="P936" s="1" t="s">
        <v>29701</v>
      </c>
      <c r="Q936" t="s">
        <v>29701</v>
      </c>
      <c r="R936" s="89"/>
      <c r="S936" s="89">
        <f>100%-Table34[[#This Row],[PDF_initial fee]]</f>
        <v>1</v>
      </c>
      <c r="T936" s="89"/>
      <c r="U936" s="26"/>
      <c r="V936" s="10">
        <v>11524000</v>
      </c>
      <c r="W936" s="10" t="s">
        <v>29051</v>
      </c>
      <c r="X936" s="10">
        <v>10845000</v>
      </c>
      <c r="Y936" s="10">
        <f>X936/V936</f>
        <v>0.94107948628948279</v>
      </c>
      <c r="Z936" s="10"/>
      <c r="AA936" s="1" t="s">
        <v>29702</v>
      </c>
    </row>
    <row r="937" spans="1:30" hidden="1" x14ac:dyDescent="0.25">
      <c r="A937">
        <v>218103</v>
      </c>
      <c r="B937" t="s">
        <v>1263</v>
      </c>
      <c r="C937" t="s">
        <v>6958</v>
      </c>
      <c r="D937">
        <v>4</v>
      </c>
      <c r="E937" t="s">
        <v>1263</v>
      </c>
      <c r="F937" t="s">
        <v>6958</v>
      </c>
      <c r="G937" s="3"/>
      <c r="H937" s="21">
        <v>0</v>
      </c>
      <c r="I937" s="21">
        <v>0</v>
      </c>
      <c r="J937" s="21">
        <v>0</v>
      </c>
      <c r="K937" s="21">
        <v>0</v>
      </c>
      <c r="L937" s="3">
        <f t="shared" si="46"/>
        <v>0</v>
      </c>
      <c r="M937" s="3"/>
      <c r="N937" s="3">
        <f t="shared" si="45"/>
        <v>0</v>
      </c>
      <c r="R937" s="89"/>
      <c r="S937" s="89">
        <f>100%-Table34[[#This Row],[PDF_initial fee]]</f>
        <v>1</v>
      </c>
      <c r="T937" s="89"/>
      <c r="U937" s="26"/>
    </row>
    <row r="938" spans="1:30" hidden="1" x14ac:dyDescent="0.25">
      <c r="A938">
        <v>218265</v>
      </c>
      <c r="B938" t="s">
        <v>1264</v>
      </c>
      <c r="C938" t="s">
        <v>12069</v>
      </c>
      <c r="D938">
        <v>2</v>
      </c>
      <c r="E938" t="s">
        <v>1264</v>
      </c>
      <c r="G938" s="3"/>
      <c r="L938" s="3">
        <f t="shared" si="46"/>
        <v>0</v>
      </c>
      <c r="M938" s="3"/>
      <c r="N938" s="3">
        <f t="shared" si="45"/>
        <v>0</v>
      </c>
      <c r="R938" s="89"/>
      <c r="S938" s="89">
        <f>100%-Table34[[#This Row],[PDF_initial fee]]</f>
        <v>1</v>
      </c>
      <c r="T938" s="89"/>
      <c r="U938" s="26"/>
    </row>
    <row r="939" spans="1:30" hidden="1" x14ac:dyDescent="0.25">
      <c r="A939">
        <v>218281</v>
      </c>
      <c r="B939" t="s">
        <v>1265</v>
      </c>
      <c r="C939" t="s">
        <v>6958</v>
      </c>
      <c r="D939">
        <v>1</v>
      </c>
      <c r="E939" t="s">
        <v>1265</v>
      </c>
      <c r="F939" t="s">
        <v>6958</v>
      </c>
      <c r="G939" s="3"/>
      <c r="H939" s="21">
        <v>0</v>
      </c>
      <c r="I939" s="21">
        <v>0</v>
      </c>
      <c r="J939" s="21">
        <v>0</v>
      </c>
      <c r="K939" s="21">
        <v>0</v>
      </c>
      <c r="L939" s="3">
        <f t="shared" si="46"/>
        <v>0</v>
      </c>
      <c r="M939" s="3"/>
      <c r="N939" s="3">
        <f t="shared" si="45"/>
        <v>0</v>
      </c>
      <c r="R939" s="89"/>
      <c r="S939" s="89">
        <f>100%-Table34[[#This Row],[PDF_initial fee]]</f>
        <v>1</v>
      </c>
      <c r="T939" s="89"/>
      <c r="U939" s="26"/>
    </row>
    <row r="940" spans="1:30" hidden="1" x14ac:dyDescent="0.25">
      <c r="A940">
        <v>218325</v>
      </c>
      <c r="B940" t="s">
        <v>1266</v>
      </c>
      <c r="C940" t="s">
        <v>12299</v>
      </c>
      <c r="D940">
        <v>1</v>
      </c>
      <c r="E940" t="s">
        <v>1266</v>
      </c>
      <c r="G940" s="3"/>
      <c r="L940" s="3">
        <f t="shared" si="46"/>
        <v>0</v>
      </c>
      <c r="M940" s="3"/>
      <c r="N940" s="3">
        <f t="shared" si="45"/>
        <v>0</v>
      </c>
      <c r="R940" s="89"/>
      <c r="S940" s="89">
        <f>100%-Table34[[#This Row],[PDF_initial fee]]</f>
        <v>1</v>
      </c>
      <c r="T940" s="89"/>
      <c r="U940" s="26"/>
    </row>
    <row r="941" spans="1:30" hidden="1" x14ac:dyDescent="0.25">
      <c r="A941">
        <v>218613</v>
      </c>
      <c r="B941" t="s">
        <v>1267</v>
      </c>
      <c r="C941" t="s">
        <v>29703</v>
      </c>
      <c r="D941">
        <v>46</v>
      </c>
      <c r="E941" t="s">
        <v>1267</v>
      </c>
      <c r="F941" t="s">
        <v>6</v>
      </c>
      <c r="G941" s="3"/>
      <c r="H941" s="21">
        <v>0</v>
      </c>
      <c r="I941" s="21">
        <v>0</v>
      </c>
      <c r="J941" s="21">
        <v>0</v>
      </c>
      <c r="K941" s="21">
        <v>0</v>
      </c>
      <c r="L941" s="3">
        <f t="shared" si="46"/>
        <v>0</v>
      </c>
      <c r="M941" s="3"/>
      <c r="N941" s="3">
        <f t="shared" si="45"/>
        <v>0</v>
      </c>
      <c r="O941" s="21"/>
      <c r="R941" s="89"/>
      <c r="S941" s="89">
        <f>100%-Table34[[#This Row],[PDF_initial fee]]</f>
        <v>1</v>
      </c>
      <c r="T941" s="89"/>
      <c r="U941" s="26"/>
    </row>
    <row r="942" spans="1:30" hidden="1" x14ac:dyDescent="0.25">
      <c r="A942">
        <v>218668</v>
      </c>
      <c r="B942" t="s">
        <v>1268</v>
      </c>
      <c r="C942" t="s">
        <v>6958</v>
      </c>
      <c r="D942">
        <v>1</v>
      </c>
      <c r="E942" t="s">
        <v>1268</v>
      </c>
      <c r="F942" t="s">
        <v>6958</v>
      </c>
      <c r="G942" s="3"/>
      <c r="H942" s="21">
        <v>0</v>
      </c>
      <c r="I942" s="21">
        <v>0</v>
      </c>
      <c r="J942" s="21">
        <v>0</v>
      </c>
      <c r="K942" s="21">
        <v>0</v>
      </c>
      <c r="L942" s="3">
        <f t="shared" si="46"/>
        <v>0</v>
      </c>
      <c r="M942" s="3"/>
      <c r="N942" s="3">
        <f t="shared" si="45"/>
        <v>0</v>
      </c>
      <c r="R942" s="89"/>
      <c r="S942" s="89">
        <f>100%-Table34[[#This Row],[PDF_initial fee]]</f>
        <v>1</v>
      </c>
      <c r="T942" s="89"/>
      <c r="U942" s="26"/>
    </row>
    <row r="943" spans="1:30" x14ac:dyDescent="0.25">
      <c r="A943">
        <v>942618</v>
      </c>
      <c r="B943" t="s">
        <v>337</v>
      </c>
      <c r="C943" t="s">
        <v>8621</v>
      </c>
      <c r="D943">
        <v>1</v>
      </c>
      <c r="E943" t="s">
        <v>337</v>
      </c>
      <c r="F943" t="s">
        <v>3</v>
      </c>
      <c r="G943" s="3">
        <v>1.4E-3</v>
      </c>
      <c r="H943" s="3"/>
      <c r="I943" s="3"/>
      <c r="J943" s="6">
        <f>(995+2500)/100000+2%+1.5%</f>
        <v>6.9949999999999998E-2</v>
      </c>
      <c r="K943" s="6">
        <v>1.4999999999999999E-2</v>
      </c>
      <c r="L943" s="3">
        <f t="shared" si="46"/>
        <v>8.4949999999999998E-2</v>
      </c>
      <c r="M943" s="3"/>
      <c r="N943" s="3">
        <f t="shared" si="45"/>
        <v>8.6349999999999996E-2</v>
      </c>
      <c r="P943" s="31" t="s">
        <v>29704</v>
      </c>
      <c r="Q943" t="s">
        <v>31787</v>
      </c>
      <c r="R943" s="89">
        <v>0.33333333333333348</v>
      </c>
      <c r="S943" s="89">
        <f>100%-Table34[[#This Row],[PDF_initial fee]]</f>
        <v>0.93005000000000004</v>
      </c>
      <c r="T943" s="89">
        <f>(1-Table34[[#This Row],[PDF ongoing fee]])^5</f>
        <v>0.92721650236562503</v>
      </c>
      <c r="U943" s="26">
        <f>(1+Table34[[#This Row],[Net 5yrs return (mostly up to 28th of Feb 2026)]])*Table34[[#This Row],[Investment after initial charge]]*Table34[[#This Row],[Cummulative 5yrs ongoing advice charge]]-1</f>
        <v>0.14981027736686636</v>
      </c>
      <c r="V943" s="10">
        <f>27427+93039</f>
        <v>120466</v>
      </c>
      <c r="W943" t="s">
        <v>29051</v>
      </c>
      <c r="X943" s="9">
        <v>25350</v>
      </c>
      <c r="Y943" s="30">
        <f>X943/V943</f>
        <v>0.21043281921870072</v>
      </c>
      <c r="AA943" s="1" t="s">
        <v>29705</v>
      </c>
      <c r="AB943" t="s">
        <v>29706</v>
      </c>
    </row>
    <row r="944" spans="1:30" hidden="1" x14ac:dyDescent="0.25">
      <c r="A944">
        <v>218805</v>
      </c>
      <c r="B944" t="s">
        <v>1269</v>
      </c>
      <c r="C944" t="s">
        <v>9483</v>
      </c>
      <c r="D944">
        <v>1</v>
      </c>
      <c r="E944" t="s">
        <v>1269</v>
      </c>
      <c r="G944" s="3"/>
      <c r="H944" s="21">
        <v>0</v>
      </c>
      <c r="I944" s="21">
        <v>0</v>
      </c>
      <c r="J944" s="21">
        <v>0</v>
      </c>
      <c r="K944" s="21">
        <v>0</v>
      </c>
      <c r="L944" s="3">
        <f t="shared" si="46"/>
        <v>0</v>
      </c>
      <c r="M944" s="3"/>
      <c r="N944" s="3">
        <f t="shared" si="45"/>
        <v>0</v>
      </c>
      <c r="R944" s="89"/>
      <c r="S944" s="89">
        <f>100%-Table34[[#This Row],[PDF_initial fee]]</f>
        <v>1</v>
      </c>
      <c r="T944" s="89"/>
      <c r="U944" s="26"/>
    </row>
    <row r="945" spans="1:28" hidden="1" x14ac:dyDescent="0.25">
      <c r="A945">
        <v>219306</v>
      </c>
      <c r="B945" t="s">
        <v>1270</v>
      </c>
      <c r="C945" t="s">
        <v>29707</v>
      </c>
      <c r="D945">
        <v>1</v>
      </c>
      <c r="E945" t="s">
        <v>1270</v>
      </c>
      <c r="G945" s="3"/>
      <c r="H945" s="3">
        <v>0</v>
      </c>
      <c r="I945" s="3">
        <v>0</v>
      </c>
      <c r="J945" s="3">
        <v>0</v>
      </c>
      <c r="K945" s="3">
        <v>0</v>
      </c>
      <c r="L945" s="3">
        <f t="shared" si="46"/>
        <v>0</v>
      </c>
      <c r="M945" s="3"/>
      <c r="N945" s="3">
        <f t="shared" si="45"/>
        <v>0</v>
      </c>
      <c r="R945" s="89"/>
      <c r="S945" s="89">
        <f>100%-Table34[[#This Row],[PDF_initial fee]]</f>
        <v>1</v>
      </c>
      <c r="T945" s="89"/>
      <c r="U945" s="26"/>
    </row>
    <row r="946" spans="1:28" hidden="1" x14ac:dyDescent="0.25">
      <c r="A946">
        <v>219600</v>
      </c>
      <c r="B946" t="s">
        <v>1271</v>
      </c>
      <c r="C946" t="s">
        <v>6958</v>
      </c>
      <c r="D946">
        <v>1</v>
      </c>
      <c r="E946" t="s">
        <v>1271</v>
      </c>
      <c r="F946" t="s">
        <v>6958</v>
      </c>
      <c r="G946" s="3"/>
      <c r="H946" s="21">
        <v>0</v>
      </c>
      <c r="I946" s="21">
        <v>0</v>
      </c>
      <c r="J946" s="21">
        <v>0</v>
      </c>
      <c r="K946" s="21">
        <v>0</v>
      </c>
      <c r="L946" s="3">
        <f t="shared" si="46"/>
        <v>0</v>
      </c>
      <c r="M946" s="3"/>
      <c r="N946" s="3">
        <f t="shared" si="45"/>
        <v>0</v>
      </c>
      <c r="R946" s="89"/>
      <c r="S946" s="89">
        <f>100%-Table34[[#This Row],[PDF_initial fee]]</f>
        <v>1</v>
      </c>
      <c r="T946" s="89"/>
      <c r="U946" s="26"/>
    </row>
    <row r="947" spans="1:28" hidden="1" x14ac:dyDescent="0.25">
      <c r="A947">
        <v>219670</v>
      </c>
      <c r="B947" t="s">
        <v>1273</v>
      </c>
      <c r="C947" t="s">
        <v>6958</v>
      </c>
      <c r="D947">
        <v>1</v>
      </c>
      <c r="E947" t="s">
        <v>1273</v>
      </c>
      <c r="F947" t="s">
        <v>6958</v>
      </c>
      <c r="G947" s="3"/>
      <c r="H947" s="21">
        <v>0</v>
      </c>
      <c r="I947" s="21">
        <v>0</v>
      </c>
      <c r="J947" s="21">
        <v>0</v>
      </c>
      <c r="K947" s="21">
        <v>0</v>
      </c>
      <c r="L947" s="3">
        <f t="shared" si="46"/>
        <v>0</v>
      </c>
      <c r="M947" s="3"/>
      <c r="N947" s="3">
        <f t="shared" si="45"/>
        <v>0</v>
      </c>
      <c r="R947" s="89"/>
      <c r="S947" s="89">
        <f>100%-Table34[[#This Row],[PDF_initial fee]]</f>
        <v>1</v>
      </c>
      <c r="T947" s="89"/>
      <c r="U947" s="26"/>
    </row>
    <row r="948" spans="1:28" hidden="1" x14ac:dyDescent="0.25">
      <c r="A948">
        <v>219675</v>
      </c>
      <c r="B948" t="s">
        <v>1274</v>
      </c>
      <c r="C948" t="s">
        <v>29708</v>
      </c>
      <c r="D948">
        <v>0</v>
      </c>
      <c r="E948" t="s">
        <v>1274</v>
      </c>
      <c r="F948" t="s">
        <v>29136</v>
      </c>
      <c r="G948" s="3"/>
      <c r="H948" s="21">
        <v>0</v>
      </c>
      <c r="I948" s="3">
        <v>0</v>
      </c>
      <c r="J948" s="3">
        <v>0</v>
      </c>
      <c r="K948">
        <v>0</v>
      </c>
      <c r="L948" s="3">
        <f t="shared" si="46"/>
        <v>0</v>
      </c>
      <c r="M948" s="3"/>
      <c r="N948" s="3">
        <f t="shared" si="45"/>
        <v>0</v>
      </c>
      <c r="R948" s="89"/>
      <c r="S948" s="89">
        <f>100%-Table34[[#This Row],[PDF_initial fee]]</f>
        <v>1</v>
      </c>
      <c r="T948" s="89"/>
      <c r="U948" s="26"/>
    </row>
    <row r="949" spans="1:28" x14ac:dyDescent="0.25">
      <c r="A949">
        <v>402423</v>
      </c>
      <c r="B949" t="s">
        <v>145</v>
      </c>
      <c r="C949" t="s">
        <v>29709</v>
      </c>
      <c r="D949">
        <v>1</v>
      </c>
      <c r="E949" t="s">
        <v>145</v>
      </c>
      <c r="F949" t="s">
        <v>3</v>
      </c>
      <c r="G949" s="3">
        <v>1.4E-3</v>
      </c>
      <c r="H949" s="5">
        <f>(2500+5000)/100000</f>
        <v>7.4999999999999997E-2</v>
      </c>
      <c r="I949" s="3">
        <v>8.0000000000000002E-3</v>
      </c>
      <c r="J949" s="6"/>
      <c r="K949" s="6"/>
      <c r="L949" s="3">
        <f t="shared" si="46"/>
        <v>8.299999999999999E-2</v>
      </c>
      <c r="M949" s="3"/>
      <c r="N949" s="3">
        <f t="shared" si="45"/>
        <v>8.4399999999999989E-2</v>
      </c>
      <c r="O949" s="21"/>
      <c r="P949" s="1" t="s">
        <v>29710</v>
      </c>
      <c r="Q949" t="s">
        <v>31787</v>
      </c>
      <c r="R949" s="89">
        <v>0.33333333333333348</v>
      </c>
      <c r="S949" s="89">
        <f>100%-Table34[[#This Row],[InitialFee]]</f>
        <v>0.92500000000000004</v>
      </c>
      <c r="T949" s="89">
        <f>(1-Table34[[#This Row],[OngoingFee (plus Platform fee)]])^5</f>
        <v>0.96063490044723188</v>
      </c>
      <c r="U949" s="26">
        <f>(1+Table34[[#This Row],[Net 5yrs return (mostly up to 28th of Feb 2026)]])*Table34[[#This Row],[Investment after initial charge]]*Table34[[#This Row],[Cummulative 5yrs ongoing advice charge]]-1</f>
        <v>0.18478304388491962</v>
      </c>
      <c r="V949" s="10">
        <f>1203862+1856</f>
        <v>1205718</v>
      </c>
      <c r="W949" t="s">
        <v>29051</v>
      </c>
      <c r="X949" s="10">
        <v>1014898</v>
      </c>
      <c r="Y949" s="30">
        <f>X949/V949</f>
        <v>0.84173745436329228</v>
      </c>
      <c r="AA949" s="1" t="s">
        <v>29711</v>
      </c>
      <c r="AB949" t="s">
        <v>29302</v>
      </c>
    </row>
    <row r="950" spans="1:28" hidden="1" x14ac:dyDescent="0.25">
      <c r="A950">
        <v>220125</v>
      </c>
      <c r="B950" t="s">
        <v>1275</v>
      </c>
      <c r="C950" t="s">
        <v>10440</v>
      </c>
      <c r="D950">
        <v>4</v>
      </c>
      <c r="E950" t="s">
        <v>1275</v>
      </c>
      <c r="G950" s="3"/>
      <c r="H950" s="21">
        <v>0</v>
      </c>
      <c r="I950" s="21">
        <v>0</v>
      </c>
      <c r="J950" s="21">
        <v>0</v>
      </c>
      <c r="K950" s="21">
        <v>0</v>
      </c>
      <c r="L950" s="3">
        <f t="shared" si="46"/>
        <v>0</v>
      </c>
      <c r="M950" s="3"/>
      <c r="N950" s="3">
        <f t="shared" si="45"/>
        <v>0</v>
      </c>
      <c r="R950" s="89"/>
      <c r="S950" s="89">
        <f>100%-Table34[[#This Row],[PDF_initial fee]]</f>
        <v>1</v>
      </c>
      <c r="T950" s="89"/>
      <c r="U950" s="26"/>
    </row>
    <row r="951" spans="1:28" hidden="1" x14ac:dyDescent="0.25">
      <c r="A951">
        <v>220234</v>
      </c>
      <c r="B951" t="s">
        <v>1276</v>
      </c>
      <c r="C951" t="s">
        <v>6958</v>
      </c>
      <c r="D951">
        <v>2</v>
      </c>
      <c r="E951" t="s">
        <v>1276</v>
      </c>
      <c r="F951" t="s">
        <v>6958</v>
      </c>
      <c r="G951" s="3"/>
      <c r="H951" s="21">
        <v>0</v>
      </c>
      <c r="I951" s="21">
        <v>0</v>
      </c>
      <c r="J951" s="21">
        <v>0</v>
      </c>
      <c r="K951" s="21">
        <v>0</v>
      </c>
      <c r="L951" s="3">
        <f t="shared" si="46"/>
        <v>0</v>
      </c>
      <c r="M951" s="3"/>
      <c r="N951" s="3">
        <f t="shared" si="45"/>
        <v>0</v>
      </c>
      <c r="R951" s="89"/>
      <c r="S951" s="89">
        <f>100%-Table34[[#This Row],[PDF_initial fee]]</f>
        <v>1</v>
      </c>
      <c r="T951" s="89"/>
      <c r="U951" s="26"/>
    </row>
    <row r="952" spans="1:28" hidden="1" x14ac:dyDescent="0.25">
      <c r="A952">
        <v>220500</v>
      </c>
      <c r="B952" t="s">
        <v>1277</v>
      </c>
      <c r="C952" t="s">
        <v>6958</v>
      </c>
      <c r="D952">
        <v>2</v>
      </c>
      <c r="E952" t="s">
        <v>1277</v>
      </c>
      <c r="F952" t="s">
        <v>6958</v>
      </c>
      <c r="G952" s="3"/>
      <c r="H952" s="21">
        <v>0</v>
      </c>
      <c r="I952" s="21">
        <v>0</v>
      </c>
      <c r="J952" s="21">
        <v>0</v>
      </c>
      <c r="K952" s="21">
        <v>0</v>
      </c>
      <c r="L952" s="3">
        <f t="shared" si="46"/>
        <v>0</v>
      </c>
      <c r="M952" s="3"/>
      <c r="N952" s="3">
        <f t="shared" si="45"/>
        <v>0</v>
      </c>
      <c r="R952" s="89"/>
      <c r="S952" s="89">
        <f>100%-Table34[[#This Row],[PDF_initial fee]]</f>
        <v>1</v>
      </c>
      <c r="T952" s="89"/>
      <c r="U952" s="26"/>
    </row>
    <row r="953" spans="1:28" hidden="1" x14ac:dyDescent="0.25">
      <c r="A953">
        <v>220559</v>
      </c>
      <c r="B953" t="s">
        <v>1278</v>
      </c>
      <c r="C953" t="s">
        <v>6958</v>
      </c>
      <c r="D953">
        <v>5</v>
      </c>
      <c r="E953" t="s">
        <v>1278</v>
      </c>
      <c r="F953" t="s">
        <v>6958</v>
      </c>
      <c r="G953" s="3"/>
      <c r="L953" s="3">
        <f t="shared" si="46"/>
        <v>0</v>
      </c>
      <c r="M953" s="3"/>
      <c r="N953" s="3">
        <f t="shared" si="45"/>
        <v>0</v>
      </c>
      <c r="R953" s="89"/>
      <c r="S953" s="89">
        <f>100%-Table34[[#This Row],[PDF_initial fee]]</f>
        <v>1</v>
      </c>
      <c r="T953" s="89"/>
      <c r="U953" s="26"/>
    </row>
    <row r="954" spans="1:28" hidden="1" x14ac:dyDescent="0.25">
      <c r="A954">
        <v>220603</v>
      </c>
      <c r="B954" t="s">
        <v>1279</v>
      </c>
      <c r="C954" t="s">
        <v>7040</v>
      </c>
      <c r="D954">
        <v>4</v>
      </c>
      <c r="E954" t="s">
        <v>1279</v>
      </c>
      <c r="G954" s="3"/>
      <c r="L954" s="3">
        <f t="shared" ref="L954:L985" si="47">SUM(H954:K954)</f>
        <v>0</v>
      </c>
      <c r="M954" s="3"/>
      <c r="N954" s="3">
        <f t="shared" ref="N954:N1017" si="48">L954+G954</f>
        <v>0</v>
      </c>
      <c r="R954" s="89"/>
      <c r="S954" s="89">
        <f>100%-Table34[[#This Row],[PDF_initial fee]]</f>
        <v>1</v>
      </c>
      <c r="T954" s="89"/>
      <c r="U954" s="26"/>
    </row>
    <row r="955" spans="1:28" hidden="1" x14ac:dyDescent="0.25">
      <c r="A955">
        <v>220963</v>
      </c>
      <c r="B955" t="s">
        <v>1281</v>
      </c>
      <c r="C955" t="s">
        <v>6958</v>
      </c>
      <c r="D955">
        <v>1</v>
      </c>
      <c r="E955" t="s">
        <v>1281</v>
      </c>
      <c r="F955" t="s">
        <v>6958</v>
      </c>
      <c r="G955" s="3"/>
      <c r="H955" s="21">
        <v>0</v>
      </c>
      <c r="I955" s="21">
        <v>0</v>
      </c>
      <c r="J955" s="21">
        <v>0</v>
      </c>
      <c r="K955" s="21">
        <v>0</v>
      </c>
      <c r="L955" s="3">
        <f t="shared" si="47"/>
        <v>0</v>
      </c>
      <c r="M955" s="3"/>
      <c r="N955" s="3">
        <f t="shared" si="48"/>
        <v>0</v>
      </c>
      <c r="R955" s="89"/>
      <c r="S955" s="89">
        <f>100%-Table34[[#This Row],[PDF_initial fee]]</f>
        <v>1</v>
      </c>
      <c r="T955" s="89"/>
      <c r="U955" s="26"/>
    </row>
    <row r="956" spans="1:28" hidden="1" x14ac:dyDescent="0.25">
      <c r="A956">
        <v>221076</v>
      </c>
      <c r="B956" t="s">
        <v>1282</v>
      </c>
      <c r="C956" t="s">
        <v>6958</v>
      </c>
      <c r="D956">
        <v>5</v>
      </c>
      <c r="E956" t="s">
        <v>1282</v>
      </c>
      <c r="F956" t="s">
        <v>6958</v>
      </c>
      <c r="G956" s="3"/>
      <c r="H956" s="21">
        <v>0</v>
      </c>
      <c r="I956" s="21">
        <v>0</v>
      </c>
      <c r="J956" s="21">
        <v>0</v>
      </c>
      <c r="K956" s="21">
        <v>0</v>
      </c>
      <c r="L956" s="3">
        <f t="shared" si="47"/>
        <v>0</v>
      </c>
      <c r="M956" s="3"/>
      <c r="N956" s="3">
        <f t="shared" si="48"/>
        <v>0</v>
      </c>
      <c r="R956" s="89"/>
      <c r="S956" s="89">
        <f>100%-Table34[[#This Row],[PDF_initial fee]]</f>
        <v>1</v>
      </c>
      <c r="T956" s="89"/>
      <c r="U956" s="26"/>
    </row>
    <row r="957" spans="1:28" hidden="1" x14ac:dyDescent="0.25">
      <c r="A957">
        <v>221278</v>
      </c>
      <c r="B957" t="s">
        <v>1283</v>
      </c>
      <c r="C957" t="s">
        <v>8406</v>
      </c>
      <c r="D957">
        <v>4</v>
      </c>
      <c r="E957" t="s">
        <v>1283</v>
      </c>
      <c r="G957" s="3"/>
      <c r="H957" s="21">
        <v>0</v>
      </c>
      <c r="I957" s="21">
        <v>0</v>
      </c>
      <c r="J957" s="21">
        <v>0</v>
      </c>
      <c r="K957" s="21">
        <v>0</v>
      </c>
      <c r="L957" s="3">
        <f t="shared" si="47"/>
        <v>0</v>
      </c>
      <c r="M957" s="3"/>
      <c r="N957" s="3">
        <f t="shared" si="48"/>
        <v>0</v>
      </c>
      <c r="R957" s="89"/>
      <c r="S957" s="89">
        <f>100%-Table34[[#This Row],[PDF_initial fee]]</f>
        <v>1</v>
      </c>
      <c r="T957" s="89"/>
      <c r="U957" s="26"/>
    </row>
    <row r="958" spans="1:28" hidden="1" x14ac:dyDescent="0.25">
      <c r="A958">
        <v>221294</v>
      </c>
      <c r="B958" t="s">
        <v>1284</v>
      </c>
      <c r="C958" t="s">
        <v>6958</v>
      </c>
      <c r="D958">
        <v>1</v>
      </c>
      <c r="E958" t="s">
        <v>1284</v>
      </c>
      <c r="F958" t="s">
        <v>6958</v>
      </c>
      <c r="G958" s="3"/>
      <c r="H958" s="21">
        <v>0</v>
      </c>
      <c r="I958" s="21">
        <v>0</v>
      </c>
      <c r="J958" s="21">
        <v>0</v>
      </c>
      <c r="K958" s="21">
        <v>0</v>
      </c>
      <c r="L958" s="3">
        <f t="shared" si="47"/>
        <v>0</v>
      </c>
      <c r="M958" s="3"/>
      <c r="N958" s="3">
        <f t="shared" si="48"/>
        <v>0</v>
      </c>
      <c r="R958" s="89"/>
      <c r="S958" s="89">
        <f>100%-Table34[[#This Row],[PDF_initial fee]]</f>
        <v>1</v>
      </c>
      <c r="T958" s="89"/>
      <c r="U958" s="26"/>
    </row>
    <row r="959" spans="1:28" hidden="1" x14ac:dyDescent="0.25">
      <c r="A959">
        <v>221308</v>
      </c>
      <c r="B959" t="s">
        <v>1285</v>
      </c>
      <c r="C959" t="s">
        <v>10302</v>
      </c>
      <c r="D959">
        <v>2</v>
      </c>
      <c r="E959" t="s">
        <v>1285</v>
      </c>
      <c r="G959" s="3"/>
      <c r="H959" s="21">
        <v>0</v>
      </c>
      <c r="I959" s="21">
        <v>0</v>
      </c>
      <c r="J959" s="21">
        <v>0</v>
      </c>
      <c r="K959" s="21">
        <v>0</v>
      </c>
      <c r="L959" s="3">
        <f t="shared" si="47"/>
        <v>0</v>
      </c>
      <c r="M959" s="3"/>
      <c r="N959" s="3">
        <f t="shared" si="48"/>
        <v>0</v>
      </c>
      <c r="R959" s="89"/>
      <c r="S959" s="89">
        <f>100%-Table34[[#This Row],[PDF_initial fee]]</f>
        <v>1</v>
      </c>
      <c r="T959" s="89"/>
      <c r="U959" s="26"/>
    </row>
    <row r="960" spans="1:28" x14ac:dyDescent="0.25">
      <c r="A960">
        <v>572966</v>
      </c>
      <c r="B960" t="s">
        <v>225</v>
      </c>
      <c r="C960" t="s">
        <v>29712</v>
      </c>
      <c r="D960">
        <v>13</v>
      </c>
      <c r="E960" t="s">
        <v>225</v>
      </c>
      <c r="F960" t="s">
        <v>3</v>
      </c>
      <c r="G960" s="3">
        <v>1.4E-3</v>
      </c>
      <c r="H960" s="3">
        <v>0.02</v>
      </c>
      <c r="I960" s="3">
        <v>7.4999999999999997E-3</v>
      </c>
      <c r="J960" s="6">
        <v>0</v>
      </c>
      <c r="K960" s="6">
        <v>0</v>
      </c>
      <c r="L960" s="3">
        <f t="shared" si="47"/>
        <v>2.75E-2</v>
      </c>
      <c r="M960" s="3"/>
      <c r="N960" s="3">
        <f t="shared" si="48"/>
        <v>2.8899999999999999E-2</v>
      </c>
      <c r="P960" s="31" t="s">
        <v>29713</v>
      </c>
      <c r="Q960" t="s">
        <v>31787</v>
      </c>
      <c r="R960" s="89">
        <v>0.33333333333333348</v>
      </c>
      <c r="S960" s="89">
        <f>100%-Table34[[#This Row],[InitialFee]]</f>
        <v>0.98</v>
      </c>
      <c r="T960" s="89">
        <f>(1-Table34[[#This Row],[OngoingFee (plus Platform fee)]])^5</f>
        <v>0.9630582970465823</v>
      </c>
      <c r="U960" s="26">
        <f>(1+Table34[[#This Row],[Net 5yrs return (mostly up to 28th of Feb 2026)]])*Table34[[#This Row],[Investment after initial charge]]*Table34[[#This Row],[Cummulative 5yrs ongoing advice charge]]-1</f>
        <v>0.2583961748075343</v>
      </c>
      <c r="V960" s="10">
        <f>850278+521865</f>
        <v>1372143</v>
      </c>
      <c r="W960" t="s">
        <v>29051</v>
      </c>
      <c r="X960" s="9">
        <v>302700</v>
      </c>
      <c r="Y960" s="30">
        <f>X960/V960</f>
        <v>0.22060382919272992</v>
      </c>
      <c r="AA960" s="1" t="s">
        <v>29714</v>
      </c>
    </row>
    <row r="961" spans="1:21" hidden="1" x14ac:dyDescent="0.25">
      <c r="A961">
        <v>221379</v>
      </c>
      <c r="B961" t="s">
        <v>1286</v>
      </c>
      <c r="C961" t="s">
        <v>7036</v>
      </c>
      <c r="D961">
        <v>0</v>
      </c>
      <c r="E961" t="s">
        <v>1286</v>
      </c>
      <c r="G961" s="3"/>
      <c r="H961" s="21">
        <v>0</v>
      </c>
      <c r="I961" s="21">
        <v>0</v>
      </c>
      <c r="J961" s="21">
        <v>0</v>
      </c>
      <c r="K961" s="21">
        <v>0</v>
      </c>
      <c r="L961" s="3">
        <f t="shared" si="47"/>
        <v>0</v>
      </c>
      <c r="M961" s="3"/>
      <c r="N961" s="3">
        <f t="shared" si="48"/>
        <v>0</v>
      </c>
      <c r="R961" s="89"/>
      <c r="S961" s="89">
        <f>100%-Table34[[#This Row],[PDF_initial fee]]</f>
        <v>1</v>
      </c>
      <c r="T961" s="89"/>
      <c r="U961" s="26"/>
    </row>
    <row r="962" spans="1:21" hidden="1" x14ac:dyDescent="0.25">
      <c r="A962">
        <v>221411</v>
      </c>
      <c r="B962" t="s">
        <v>1287</v>
      </c>
      <c r="C962" t="s">
        <v>29715</v>
      </c>
      <c r="D962">
        <v>2</v>
      </c>
      <c r="E962" t="s">
        <v>1287</v>
      </c>
      <c r="F962" t="s">
        <v>29716</v>
      </c>
      <c r="G962" s="3"/>
      <c r="H962" s="21">
        <v>0</v>
      </c>
      <c r="I962" s="21">
        <v>0</v>
      </c>
      <c r="J962" s="21">
        <v>0</v>
      </c>
      <c r="K962" s="21">
        <v>0</v>
      </c>
      <c r="L962" s="3">
        <f t="shared" si="47"/>
        <v>0</v>
      </c>
      <c r="M962" s="3"/>
      <c r="N962" s="3">
        <f t="shared" si="48"/>
        <v>0</v>
      </c>
      <c r="O962" s="21"/>
      <c r="R962" s="89"/>
      <c r="S962" s="89">
        <f>100%-Table34[[#This Row],[PDF_initial fee]]</f>
        <v>1</v>
      </c>
      <c r="T962" s="89"/>
      <c r="U962" s="26"/>
    </row>
    <row r="963" spans="1:21" hidden="1" x14ac:dyDescent="0.25">
      <c r="A963">
        <v>221468</v>
      </c>
      <c r="B963" t="s">
        <v>1288</v>
      </c>
      <c r="C963" t="s">
        <v>29717</v>
      </c>
      <c r="D963">
        <v>7</v>
      </c>
      <c r="E963" t="s">
        <v>1288</v>
      </c>
      <c r="G963" s="3"/>
      <c r="H963" s="21">
        <v>0</v>
      </c>
      <c r="I963" s="21">
        <v>0</v>
      </c>
      <c r="J963" s="21">
        <v>0</v>
      </c>
      <c r="K963" s="21">
        <v>0</v>
      </c>
      <c r="L963" s="3">
        <f t="shared" si="47"/>
        <v>0</v>
      </c>
      <c r="M963" s="3"/>
      <c r="N963" s="3">
        <f t="shared" si="48"/>
        <v>0</v>
      </c>
      <c r="O963" s="21"/>
      <c r="R963" s="89"/>
      <c r="S963" s="89">
        <f>100%-Table34[[#This Row],[PDF_initial fee]]</f>
        <v>1</v>
      </c>
      <c r="T963" s="89"/>
      <c r="U963" s="26"/>
    </row>
    <row r="964" spans="1:21" hidden="1" x14ac:dyDescent="0.25">
      <c r="A964">
        <v>221540</v>
      </c>
      <c r="B964" t="s">
        <v>1289</v>
      </c>
      <c r="C964" t="s">
        <v>6958</v>
      </c>
      <c r="D964">
        <v>2</v>
      </c>
      <c r="E964" t="s">
        <v>1289</v>
      </c>
      <c r="F964" t="s">
        <v>6958</v>
      </c>
      <c r="G964" s="3"/>
      <c r="H964" s="21">
        <v>0</v>
      </c>
      <c r="I964" s="21">
        <v>0</v>
      </c>
      <c r="J964" s="21">
        <v>0</v>
      </c>
      <c r="K964" s="21">
        <v>0</v>
      </c>
      <c r="L964" s="3">
        <f t="shared" si="47"/>
        <v>0</v>
      </c>
      <c r="M964" s="3"/>
      <c r="N964" s="3">
        <f t="shared" si="48"/>
        <v>0</v>
      </c>
      <c r="R964" s="89"/>
      <c r="S964" s="89">
        <f>100%-Table34[[#This Row],[PDF_initial fee]]</f>
        <v>1</v>
      </c>
      <c r="T964" s="89"/>
      <c r="U964" s="26"/>
    </row>
    <row r="965" spans="1:21" hidden="1" x14ac:dyDescent="0.25">
      <c r="A965">
        <v>221553</v>
      </c>
      <c r="B965" t="s">
        <v>1290</v>
      </c>
      <c r="C965" t="s">
        <v>29718</v>
      </c>
      <c r="D965">
        <v>1</v>
      </c>
      <c r="E965" t="s">
        <v>1290</v>
      </c>
      <c r="F965" t="s">
        <v>29136</v>
      </c>
      <c r="G965" s="3"/>
      <c r="H965" s="21">
        <v>0</v>
      </c>
      <c r="I965" s="21">
        <v>0</v>
      </c>
      <c r="J965" s="21">
        <v>0</v>
      </c>
      <c r="K965" s="21">
        <v>0</v>
      </c>
      <c r="L965" s="3">
        <f t="shared" si="47"/>
        <v>0</v>
      </c>
      <c r="M965" s="3"/>
      <c r="N965" s="3">
        <f t="shared" si="48"/>
        <v>0</v>
      </c>
      <c r="O965" s="21"/>
      <c r="R965" s="89"/>
      <c r="S965" s="89">
        <f>100%-Table34[[#This Row],[PDF_initial fee]]</f>
        <v>1</v>
      </c>
      <c r="T965" s="89"/>
      <c r="U965" s="26"/>
    </row>
    <row r="966" spans="1:21" hidden="1" x14ac:dyDescent="0.25">
      <c r="A966">
        <v>221594</v>
      </c>
      <c r="B966" t="s">
        <v>1291</v>
      </c>
      <c r="C966" t="s">
        <v>6958</v>
      </c>
      <c r="D966">
        <v>6</v>
      </c>
      <c r="E966" t="s">
        <v>1291</v>
      </c>
      <c r="F966" t="s">
        <v>6958</v>
      </c>
      <c r="G966" s="3"/>
      <c r="H966" s="21">
        <v>0</v>
      </c>
      <c r="I966" s="21">
        <v>0</v>
      </c>
      <c r="J966" s="21">
        <v>0</v>
      </c>
      <c r="K966" s="21">
        <v>0</v>
      </c>
      <c r="L966" s="3">
        <f t="shared" si="47"/>
        <v>0</v>
      </c>
      <c r="M966" s="3"/>
      <c r="N966" s="3">
        <f t="shared" si="48"/>
        <v>0</v>
      </c>
      <c r="R966" s="89"/>
      <c r="S966" s="89">
        <f>100%-Table34[[#This Row],[PDF_initial fee]]</f>
        <v>1</v>
      </c>
      <c r="T966" s="89"/>
      <c r="U966" s="26"/>
    </row>
    <row r="967" spans="1:21" hidden="1" x14ac:dyDescent="0.25">
      <c r="A967">
        <v>221649</v>
      </c>
      <c r="B967" t="s">
        <v>1292</v>
      </c>
      <c r="C967" t="s">
        <v>6958</v>
      </c>
      <c r="D967">
        <v>3</v>
      </c>
      <c r="E967" t="s">
        <v>1292</v>
      </c>
      <c r="F967" t="s">
        <v>6958</v>
      </c>
      <c r="G967" s="3"/>
      <c r="L967" s="3">
        <f t="shared" si="47"/>
        <v>0</v>
      </c>
      <c r="M967" s="3"/>
      <c r="N967" s="3">
        <f t="shared" si="48"/>
        <v>0</v>
      </c>
      <c r="R967" s="89"/>
      <c r="S967" s="89">
        <f>100%-Table34[[#This Row],[PDF_initial fee]]</f>
        <v>1</v>
      </c>
      <c r="T967" s="89"/>
      <c r="U967" s="26"/>
    </row>
    <row r="968" spans="1:21" hidden="1" x14ac:dyDescent="0.25">
      <c r="A968">
        <v>221653</v>
      </c>
      <c r="B968" t="s">
        <v>1293</v>
      </c>
      <c r="C968" t="s">
        <v>6958</v>
      </c>
      <c r="D968">
        <v>2</v>
      </c>
      <c r="E968" t="s">
        <v>1293</v>
      </c>
      <c r="F968" t="s">
        <v>6958</v>
      </c>
      <c r="G968" s="3"/>
      <c r="H968" s="21">
        <v>0</v>
      </c>
      <c r="I968" s="21">
        <v>0</v>
      </c>
      <c r="J968" s="21">
        <v>0</v>
      </c>
      <c r="K968" s="21">
        <v>0</v>
      </c>
      <c r="L968" s="3">
        <f t="shared" si="47"/>
        <v>0</v>
      </c>
      <c r="M968" s="3"/>
      <c r="N968" s="3">
        <f t="shared" si="48"/>
        <v>0</v>
      </c>
      <c r="R968" s="89"/>
      <c r="S968" s="89">
        <f>100%-Table34[[#This Row],[PDF_initial fee]]</f>
        <v>1</v>
      </c>
      <c r="T968" s="89"/>
      <c r="U968" s="26"/>
    </row>
    <row r="969" spans="1:21" hidden="1" x14ac:dyDescent="0.25">
      <c r="A969">
        <v>221867</v>
      </c>
      <c r="B969" t="s">
        <v>1295</v>
      </c>
      <c r="C969" t="s">
        <v>6958</v>
      </c>
      <c r="D969">
        <v>6</v>
      </c>
      <c r="E969" t="s">
        <v>1295</v>
      </c>
      <c r="F969" t="s">
        <v>6958</v>
      </c>
      <c r="G969" s="3"/>
      <c r="H969" s="21">
        <v>0</v>
      </c>
      <c r="I969" s="21">
        <v>0</v>
      </c>
      <c r="J969" s="21">
        <v>0</v>
      </c>
      <c r="K969" s="21">
        <v>0</v>
      </c>
      <c r="L969" s="3">
        <f t="shared" si="47"/>
        <v>0</v>
      </c>
      <c r="M969" s="3"/>
      <c r="N969" s="3">
        <f t="shared" si="48"/>
        <v>0</v>
      </c>
      <c r="R969" s="89"/>
      <c r="S969" s="89">
        <f>100%-Table34[[#This Row],[PDF_initial fee]]</f>
        <v>1</v>
      </c>
      <c r="T969" s="89"/>
      <c r="U969" s="26"/>
    </row>
    <row r="970" spans="1:21" hidden="1" x14ac:dyDescent="0.25">
      <c r="A970">
        <v>222033</v>
      </c>
      <c r="B970" t="s">
        <v>1296</v>
      </c>
      <c r="C970" t="s">
        <v>12048</v>
      </c>
      <c r="D970">
        <v>1</v>
      </c>
      <c r="E970" t="s">
        <v>1296</v>
      </c>
      <c r="G970" s="3"/>
      <c r="H970" s="21">
        <v>0</v>
      </c>
      <c r="I970" s="21">
        <v>0</v>
      </c>
      <c r="J970" s="21">
        <v>0</v>
      </c>
      <c r="K970" s="21">
        <v>0</v>
      </c>
      <c r="L970" s="3">
        <f t="shared" si="47"/>
        <v>0</v>
      </c>
      <c r="M970" s="3"/>
      <c r="N970" s="3">
        <f t="shared" si="48"/>
        <v>0</v>
      </c>
      <c r="R970" s="89"/>
      <c r="S970" s="89">
        <f>100%-Table34[[#This Row],[PDF_initial fee]]</f>
        <v>1</v>
      </c>
      <c r="T970" s="89"/>
      <c r="U970" s="26"/>
    </row>
    <row r="971" spans="1:21" hidden="1" x14ac:dyDescent="0.25">
      <c r="A971">
        <v>222066</v>
      </c>
      <c r="B971" t="s">
        <v>1297</v>
      </c>
      <c r="C971" t="s">
        <v>11365</v>
      </c>
      <c r="D971">
        <v>5</v>
      </c>
      <c r="E971" t="s">
        <v>1297</v>
      </c>
      <c r="G971" s="3"/>
      <c r="H971" s="21">
        <v>0</v>
      </c>
      <c r="I971" s="21">
        <v>0</v>
      </c>
      <c r="J971" s="21">
        <v>0</v>
      </c>
      <c r="K971" s="21">
        <v>0</v>
      </c>
      <c r="L971" s="3">
        <f t="shared" si="47"/>
        <v>0</v>
      </c>
      <c r="M971" s="3"/>
      <c r="N971" s="3">
        <f t="shared" si="48"/>
        <v>0</v>
      </c>
      <c r="R971" s="89"/>
      <c r="S971" s="89">
        <f>100%-Table34[[#This Row],[PDF_initial fee]]</f>
        <v>1</v>
      </c>
      <c r="T971" s="89"/>
      <c r="U971" s="26"/>
    </row>
    <row r="972" spans="1:21" hidden="1" x14ac:dyDescent="0.25">
      <c r="A972">
        <v>222122</v>
      </c>
      <c r="B972" t="s">
        <v>1299</v>
      </c>
      <c r="C972" t="s">
        <v>10530</v>
      </c>
      <c r="D972">
        <v>4</v>
      </c>
      <c r="E972" t="s">
        <v>1299</v>
      </c>
      <c r="G972" s="3"/>
      <c r="L972" s="3">
        <f t="shared" si="47"/>
        <v>0</v>
      </c>
      <c r="M972" s="3"/>
      <c r="N972" s="3">
        <f t="shared" si="48"/>
        <v>0</v>
      </c>
      <c r="R972" s="89"/>
      <c r="S972" s="89">
        <f>100%-Table34[[#This Row],[PDF_initial fee]]</f>
        <v>1</v>
      </c>
      <c r="T972" s="89"/>
      <c r="U972" s="26"/>
    </row>
    <row r="973" spans="1:21" hidden="1" x14ac:dyDescent="0.25">
      <c r="A973">
        <v>222123</v>
      </c>
      <c r="B973" t="s">
        <v>1300</v>
      </c>
      <c r="C973" t="s">
        <v>7016</v>
      </c>
      <c r="D973">
        <v>2</v>
      </c>
      <c r="E973" t="s">
        <v>1300</v>
      </c>
      <c r="G973" s="3"/>
      <c r="H973" s="21">
        <v>0</v>
      </c>
      <c r="I973" s="21">
        <v>0</v>
      </c>
      <c r="J973" s="21">
        <v>0</v>
      </c>
      <c r="K973" s="21">
        <v>0</v>
      </c>
      <c r="L973" s="3">
        <f t="shared" si="47"/>
        <v>0</v>
      </c>
      <c r="M973" s="3"/>
      <c r="N973" s="3">
        <f t="shared" si="48"/>
        <v>0</v>
      </c>
      <c r="R973" s="89"/>
      <c r="S973" s="89">
        <f>100%-Table34[[#This Row],[PDF_initial fee]]</f>
        <v>1</v>
      </c>
      <c r="T973" s="89"/>
      <c r="U973" s="26"/>
    </row>
    <row r="974" spans="1:21" hidden="1" x14ac:dyDescent="0.25">
      <c r="A974">
        <v>222166</v>
      </c>
      <c r="B974" t="s">
        <v>1301</v>
      </c>
      <c r="C974" t="s">
        <v>29719</v>
      </c>
      <c r="D974">
        <v>2</v>
      </c>
      <c r="E974" t="s">
        <v>1301</v>
      </c>
      <c r="G974" s="3"/>
      <c r="H974" s="3">
        <v>0</v>
      </c>
      <c r="I974" s="3">
        <v>0</v>
      </c>
      <c r="J974" s="3">
        <v>0</v>
      </c>
      <c r="K974" s="3">
        <v>0</v>
      </c>
      <c r="L974" s="3">
        <f t="shared" si="47"/>
        <v>0</v>
      </c>
      <c r="M974" s="3"/>
      <c r="N974" s="3">
        <f t="shared" si="48"/>
        <v>0</v>
      </c>
      <c r="R974" s="89"/>
      <c r="S974" s="89">
        <f>100%-Table34[[#This Row],[PDF_initial fee]]</f>
        <v>1</v>
      </c>
      <c r="T974" s="89"/>
      <c r="U974" s="26"/>
    </row>
    <row r="975" spans="1:21" hidden="1" x14ac:dyDescent="0.25">
      <c r="A975">
        <v>222287</v>
      </c>
      <c r="B975" t="s">
        <v>1302</v>
      </c>
      <c r="C975" t="s">
        <v>6958</v>
      </c>
      <c r="D975">
        <v>2</v>
      </c>
      <c r="E975" t="s">
        <v>1302</v>
      </c>
      <c r="F975" t="s">
        <v>6958</v>
      </c>
      <c r="G975" s="3"/>
      <c r="H975" s="21">
        <v>0</v>
      </c>
      <c r="I975" s="21">
        <v>0</v>
      </c>
      <c r="J975" s="21">
        <v>0</v>
      </c>
      <c r="K975" s="21">
        <v>0</v>
      </c>
      <c r="L975" s="3">
        <f t="shared" si="47"/>
        <v>0</v>
      </c>
      <c r="M975" s="3"/>
      <c r="N975" s="3">
        <f t="shared" si="48"/>
        <v>0</v>
      </c>
      <c r="R975" s="89"/>
      <c r="S975" s="89">
        <f>100%-Table34[[#This Row],[PDF_initial fee]]</f>
        <v>1</v>
      </c>
      <c r="T975" s="89"/>
      <c r="U975" s="26"/>
    </row>
    <row r="976" spans="1:21" hidden="1" x14ac:dyDescent="0.25">
      <c r="A976">
        <v>222303</v>
      </c>
      <c r="B976" t="s">
        <v>1303</v>
      </c>
      <c r="C976" t="s">
        <v>6958</v>
      </c>
      <c r="D976">
        <v>1</v>
      </c>
      <c r="E976" t="s">
        <v>1303</v>
      </c>
      <c r="F976" t="s">
        <v>6958</v>
      </c>
      <c r="G976" s="3"/>
      <c r="H976" s="21">
        <v>0</v>
      </c>
      <c r="I976" s="21">
        <v>0</v>
      </c>
      <c r="J976" s="21">
        <v>0</v>
      </c>
      <c r="K976" s="21">
        <v>0</v>
      </c>
      <c r="L976" s="3">
        <f t="shared" si="47"/>
        <v>0</v>
      </c>
      <c r="M976" s="3"/>
      <c r="N976" s="3">
        <f t="shared" si="48"/>
        <v>0</v>
      </c>
      <c r="R976" s="89"/>
      <c r="S976" s="89">
        <f>100%-Table34[[#This Row],[PDF_initial fee]]</f>
        <v>1</v>
      </c>
      <c r="T976" s="89"/>
      <c r="U976" s="26"/>
    </row>
    <row r="977" spans="1:21" hidden="1" x14ac:dyDescent="0.25">
      <c r="A977">
        <v>222325</v>
      </c>
      <c r="B977" t="s">
        <v>1304</v>
      </c>
      <c r="C977" t="s">
        <v>8567</v>
      </c>
      <c r="D977">
        <v>3</v>
      </c>
      <c r="E977" t="s">
        <v>1304</v>
      </c>
      <c r="G977" s="3"/>
      <c r="H977" s="21">
        <v>0</v>
      </c>
      <c r="I977" s="21">
        <v>0</v>
      </c>
      <c r="J977" s="21">
        <v>0</v>
      </c>
      <c r="K977" s="21">
        <v>0</v>
      </c>
      <c r="L977" s="3">
        <f t="shared" si="47"/>
        <v>0</v>
      </c>
      <c r="M977" s="3"/>
      <c r="N977" s="3">
        <f t="shared" si="48"/>
        <v>0</v>
      </c>
      <c r="R977" s="89"/>
      <c r="S977" s="89">
        <f>100%-Table34[[#This Row],[PDF_initial fee]]</f>
        <v>1</v>
      </c>
      <c r="T977" s="89"/>
      <c r="U977" s="26"/>
    </row>
    <row r="978" spans="1:21" hidden="1" x14ac:dyDescent="0.25">
      <c r="A978">
        <v>222342</v>
      </c>
      <c r="B978" t="s">
        <v>1305</v>
      </c>
      <c r="C978" t="s">
        <v>29720</v>
      </c>
      <c r="D978">
        <v>4</v>
      </c>
      <c r="E978" t="s">
        <v>1305</v>
      </c>
      <c r="G978" s="3"/>
      <c r="H978" s="3">
        <v>0</v>
      </c>
      <c r="I978" s="3">
        <v>0</v>
      </c>
      <c r="J978" s="3">
        <v>0</v>
      </c>
      <c r="K978" s="3">
        <v>0</v>
      </c>
      <c r="L978" s="3">
        <f t="shared" si="47"/>
        <v>0</v>
      </c>
      <c r="M978" s="3"/>
      <c r="N978" s="3">
        <f t="shared" si="48"/>
        <v>0</v>
      </c>
      <c r="R978" s="89"/>
      <c r="S978" s="89">
        <f>100%-Table34[[#This Row],[PDF_initial fee]]</f>
        <v>1</v>
      </c>
      <c r="T978" s="89"/>
      <c r="U978" s="26"/>
    </row>
    <row r="979" spans="1:21" hidden="1" x14ac:dyDescent="0.25">
      <c r="A979">
        <v>222411</v>
      </c>
      <c r="B979" t="s">
        <v>1306</v>
      </c>
      <c r="C979" t="s">
        <v>11558</v>
      </c>
      <c r="D979">
        <v>9</v>
      </c>
      <c r="E979" t="s">
        <v>1306</v>
      </c>
      <c r="G979" s="3"/>
      <c r="H979" s="21">
        <v>0</v>
      </c>
      <c r="I979" s="21">
        <v>0</v>
      </c>
      <c r="J979" s="21">
        <v>0</v>
      </c>
      <c r="K979" s="21">
        <v>0</v>
      </c>
      <c r="L979" s="3">
        <f t="shared" si="47"/>
        <v>0</v>
      </c>
      <c r="M979" s="3"/>
      <c r="N979" s="3">
        <f t="shared" si="48"/>
        <v>0</v>
      </c>
      <c r="R979" s="89"/>
      <c r="S979" s="89">
        <f>100%-Table34[[#This Row],[PDF_initial fee]]</f>
        <v>1</v>
      </c>
      <c r="T979" s="89"/>
      <c r="U979" s="26"/>
    </row>
    <row r="980" spans="1:21" hidden="1" x14ac:dyDescent="0.25">
      <c r="A980">
        <v>222458</v>
      </c>
      <c r="B980" t="s">
        <v>1307</v>
      </c>
      <c r="C980" t="s">
        <v>29721</v>
      </c>
      <c r="D980">
        <v>3</v>
      </c>
      <c r="E980" t="s">
        <v>1307</v>
      </c>
      <c r="G980" s="3"/>
      <c r="H980" s="3">
        <v>0</v>
      </c>
      <c r="I980" s="3">
        <v>0</v>
      </c>
      <c r="J980" s="3">
        <v>0</v>
      </c>
      <c r="K980" s="3">
        <v>0</v>
      </c>
      <c r="L980" s="3">
        <f t="shared" si="47"/>
        <v>0</v>
      </c>
      <c r="M980" s="3"/>
      <c r="N980" s="3">
        <f t="shared" si="48"/>
        <v>0</v>
      </c>
      <c r="R980" s="89"/>
      <c r="S980" s="89">
        <f>100%-Table34[[#This Row],[PDF_initial fee]]</f>
        <v>1</v>
      </c>
      <c r="T980" s="89"/>
      <c r="U980" s="26"/>
    </row>
    <row r="981" spans="1:21" hidden="1" x14ac:dyDescent="0.25">
      <c r="A981">
        <v>222501</v>
      </c>
      <c r="B981" t="s">
        <v>1308</v>
      </c>
      <c r="C981" t="s">
        <v>29722</v>
      </c>
      <c r="D981">
        <v>6</v>
      </c>
      <c r="E981" t="s">
        <v>1308</v>
      </c>
      <c r="G981" s="3"/>
      <c r="H981" s="21">
        <v>0</v>
      </c>
      <c r="I981" s="21">
        <v>0</v>
      </c>
      <c r="J981" s="21">
        <v>0</v>
      </c>
      <c r="K981" s="21">
        <v>0</v>
      </c>
      <c r="L981" s="3">
        <f t="shared" si="47"/>
        <v>0</v>
      </c>
      <c r="M981" s="3"/>
      <c r="N981" s="3">
        <f t="shared" si="48"/>
        <v>0</v>
      </c>
      <c r="O981" s="21"/>
      <c r="R981" s="89"/>
      <c r="S981" s="89">
        <f>100%-Table34[[#This Row],[PDF_initial fee]]</f>
        <v>1</v>
      </c>
      <c r="T981" s="89"/>
      <c r="U981" s="26"/>
    </row>
    <row r="982" spans="1:21" hidden="1" x14ac:dyDescent="0.25">
      <c r="A982">
        <v>222562</v>
      </c>
      <c r="B982" t="s">
        <v>1309</v>
      </c>
      <c r="C982" t="s">
        <v>8132</v>
      </c>
      <c r="D982">
        <v>1</v>
      </c>
      <c r="E982" t="s">
        <v>1309</v>
      </c>
      <c r="G982" s="3"/>
      <c r="H982" s="21">
        <v>0</v>
      </c>
      <c r="I982" s="21">
        <v>0</v>
      </c>
      <c r="J982" s="21">
        <v>0</v>
      </c>
      <c r="K982" s="21">
        <v>0</v>
      </c>
      <c r="L982" s="3">
        <f t="shared" si="47"/>
        <v>0</v>
      </c>
      <c r="M982" s="3"/>
      <c r="N982" s="3">
        <f t="shared" si="48"/>
        <v>0</v>
      </c>
      <c r="R982" s="89"/>
      <c r="S982" s="89">
        <f>100%-Table34[[#This Row],[PDF_initial fee]]</f>
        <v>1</v>
      </c>
      <c r="T982" s="89"/>
      <c r="U982" s="26"/>
    </row>
    <row r="983" spans="1:21" hidden="1" x14ac:dyDescent="0.25">
      <c r="A983">
        <v>222564</v>
      </c>
      <c r="B983" t="s">
        <v>1310</v>
      </c>
      <c r="C983" t="s">
        <v>11067</v>
      </c>
      <c r="D983">
        <v>3</v>
      </c>
      <c r="E983" t="s">
        <v>1310</v>
      </c>
      <c r="G983" s="3"/>
      <c r="H983" s="21">
        <v>0</v>
      </c>
      <c r="I983" s="21">
        <v>0</v>
      </c>
      <c r="J983" s="21">
        <v>0</v>
      </c>
      <c r="K983" s="21">
        <v>0</v>
      </c>
      <c r="L983" s="3">
        <f t="shared" si="47"/>
        <v>0</v>
      </c>
      <c r="M983" s="3"/>
      <c r="N983" s="3">
        <f t="shared" si="48"/>
        <v>0</v>
      </c>
      <c r="R983" s="89"/>
      <c r="S983" s="89">
        <f>100%-Table34[[#This Row],[PDF_initial fee]]</f>
        <v>1</v>
      </c>
      <c r="T983" s="89"/>
      <c r="U983" s="26"/>
    </row>
    <row r="984" spans="1:21" hidden="1" x14ac:dyDescent="0.25">
      <c r="A984">
        <v>222570</v>
      </c>
      <c r="B984" t="s">
        <v>1311</v>
      </c>
      <c r="C984" t="s">
        <v>29723</v>
      </c>
      <c r="D984">
        <v>2</v>
      </c>
      <c r="E984" t="s">
        <v>1311</v>
      </c>
      <c r="G984" s="3"/>
      <c r="H984" s="21">
        <v>0</v>
      </c>
      <c r="I984" s="21">
        <v>0</v>
      </c>
      <c r="J984" s="21">
        <v>0</v>
      </c>
      <c r="K984" s="21">
        <v>0</v>
      </c>
      <c r="L984" s="3">
        <f t="shared" si="47"/>
        <v>0</v>
      </c>
      <c r="M984" s="3"/>
      <c r="N984" s="3">
        <f t="shared" si="48"/>
        <v>0</v>
      </c>
      <c r="O984" s="21"/>
      <c r="R984" s="89"/>
      <c r="S984" s="89">
        <f>100%-Table34[[#This Row],[PDF_initial fee]]</f>
        <v>1</v>
      </c>
      <c r="T984" s="89"/>
      <c r="U984" s="26"/>
    </row>
    <row r="985" spans="1:21" hidden="1" x14ac:dyDescent="0.25">
      <c r="A985">
        <v>222594</v>
      </c>
      <c r="B985" t="s">
        <v>1312</v>
      </c>
      <c r="C985" t="s">
        <v>11851</v>
      </c>
      <c r="D985">
        <v>2</v>
      </c>
      <c r="E985" t="s">
        <v>1312</v>
      </c>
      <c r="G985" s="3"/>
      <c r="L985" s="3">
        <f t="shared" si="47"/>
        <v>0</v>
      </c>
      <c r="M985" s="3"/>
      <c r="N985" s="3">
        <f t="shared" si="48"/>
        <v>0</v>
      </c>
      <c r="R985" s="89"/>
      <c r="S985" s="89">
        <f>100%-Table34[[#This Row],[PDF_initial fee]]</f>
        <v>1</v>
      </c>
      <c r="T985" s="89"/>
      <c r="U985" s="26"/>
    </row>
    <row r="986" spans="1:21" hidden="1" x14ac:dyDescent="0.25">
      <c r="A986">
        <v>222626</v>
      </c>
      <c r="B986" t="s">
        <v>1313</v>
      </c>
      <c r="C986" t="s">
        <v>11472</v>
      </c>
      <c r="D986">
        <v>2</v>
      </c>
      <c r="E986" t="s">
        <v>1313</v>
      </c>
      <c r="G986" s="3"/>
      <c r="L986" s="3">
        <f t="shared" ref="L986:L1017" si="49">SUM(H986:K986)</f>
        <v>0</v>
      </c>
      <c r="M986" s="3"/>
      <c r="N986" s="3">
        <f t="shared" si="48"/>
        <v>0</v>
      </c>
      <c r="P986" s="1" t="s">
        <v>29109</v>
      </c>
      <c r="R986" s="89"/>
      <c r="S986" s="89">
        <f>100%-Table34[[#This Row],[PDF_initial fee]]</f>
        <v>1</v>
      </c>
      <c r="T986" s="89"/>
      <c r="U986" s="26"/>
    </row>
    <row r="987" spans="1:21" hidden="1" x14ac:dyDescent="0.25">
      <c r="A987">
        <v>222906</v>
      </c>
      <c r="B987" t="s">
        <v>1314</v>
      </c>
      <c r="C987" t="s">
        <v>8663</v>
      </c>
      <c r="D987">
        <v>1</v>
      </c>
      <c r="E987" t="s">
        <v>1314</v>
      </c>
      <c r="G987" s="3"/>
      <c r="L987" s="3">
        <f t="shared" si="49"/>
        <v>0</v>
      </c>
      <c r="M987" s="3"/>
      <c r="N987" s="3">
        <f t="shared" si="48"/>
        <v>0</v>
      </c>
      <c r="R987" s="89"/>
      <c r="S987" s="89">
        <f>100%-Table34[[#This Row],[PDF_initial fee]]</f>
        <v>1</v>
      </c>
      <c r="T987" s="89"/>
      <c r="U987" s="26"/>
    </row>
    <row r="988" spans="1:21" hidden="1" x14ac:dyDescent="0.25">
      <c r="A988">
        <v>222923</v>
      </c>
      <c r="B988" t="s">
        <v>1315</v>
      </c>
      <c r="C988" t="s">
        <v>6958</v>
      </c>
      <c r="D988">
        <v>1</v>
      </c>
      <c r="E988" t="s">
        <v>1315</v>
      </c>
      <c r="F988" t="s">
        <v>6958</v>
      </c>
      <c r="G988" s="3"/>
      <c r="H988" s="3">
        <v>0</v>
      </c>
      <c r="I988" s="3">
        <v>0</v>
      </c>
      <c r="J988" s="3">
        <v>0</v>
      </c>
      <c r="K988" s="3">
        <v>0</v>
      </c>
      <c r="L988" s="3">
        <f t="shared" si="49"/>
        <v>0</v>
      </c>
      <c r="M988" s="3"/>
      <c r="N988" s="3">
        <f t="shared" si="48"/>
        <v>0</v>
      </c>
      <c r="R988" s="89"/>
      <c r="S988" s="89">
        <f>100%-Table34[[#This Row],[PDF_initial fee]]</f>
        <v>1</v>
      </c>
      <c r="T988" s="89"/>
      <c r="U988" s="26"/>
    </row>
    <row r="989" spans="1:21" hidden="1" x14ac:dyDescent="0.25">
      <c r="A989">
        <v>222924</v>
      </c>
      <c r="B989" t="s">
        <v>1316</v>
      </c>
      <c r="C989" t="s">
        <v>29724</v>
      </c>
      <c r="D989">
        <v>5</v>
      </c>
      <c r="E989" t="s">
        <v>1316</v>
      </c>
      <c r="G989" s="3"/>
      <c r="H989" s="3">
        <v>0</v>
      </c>
      <c r="I989" s="3">
        <v>0</v>
      </c>
      <c r="J989" s="3">
        <v>0</v>
      </c>
      <c r="K989" s="3">
        <v>0</v>
      </c>
      <c r="L989" s="3">
        <f t="shared" si="49"/>
        <v>0</v>
      </c>
      <c r="M989" s="3"/>
      <c r="N989" s="3">
        <f t="shared" si="48"/>
        <v>0</v>
      </c>
      <c r="R989" s="89"/>
      <c r="S989" s="89">
        <f>100%-Table34[[#This Row],[PDF_initial fee]]</f>
        <v>1</v>
      </c>
      <c r="T989" s="89"/>
      <c r="U989" s="26"/>
    </row>
    <row r="990" spans="1:21" hidden="1" x14ac:dyDescent="0.25">
      <c r="A990">
        <v>222974</v>
      </c>
      <c r="B990" t="s">
        <v>1317</v>
      </c>
      <c r="C990" t="s">
        <v>29725</v>
      </c>
      <c r="D990">
        <v>5</v>
      </c>
      <c r="E990" t="s">
        <v>1317</v>
      </c>
      <c r="G990" s="3"/>
      <c r="H990" s="3">
        <v>0</v>
      </c>
      <c r="I990" s="3">
        <v>0</v>
      </c>
      <c r="J990" s="3">
        <v>0</v>
      </c>
      <c r="K990" s="3">
        <v>0</v>
      </c>
      <c r="L990" s="3">
        <f t="shared" si="49"/>
        <v>0</v>
      </c>
      <c r="M990" s="3"/>
      <c r="N990" s="3">
        <f t="shared" si="48"/>
        <v>0</v>
      </c>
      <c r="R990" s="89"/>
      <c r="S990" s="89">
        <f>100%-Table34[[#This Row],[PDF_initial fee]]</f>
        <v>1</v>
      </c>
      <c r="T990" s="89"/>
      <c r="U990" s="26"/>
    </row>
    <row r="991" spans="1:21" hidden="1" x14ac:dyDescent="0.25">
      <c r="A991">
        <v>222981</v>
      </c>
      <c r="B991" t="s">
        <v>1318</v>
      </c>
      <c r="C991" t="s">
        <v>10269</v>
      </c>
      <c r="D991">
        <v>1</v>
      </c>
      <c r="E991" t="s">
        <v>1318</v>
      </c>
      <c r="G991" s="3"/>
      <c r="H991" s="21">
        <v>0</v>
      </c>
      <c r="I991" s="21">
        <v>0</v>
      </c>
      <c r="J991" s="21">
        <v>0</v>
      </c>
      <c r="K991" s="21">
        <v>0</v>
      </c>
      <c r="L991" s="3">
        <f t="shared" si="49"/>
        <v>0</v>
      </c>
      <c r="M991" s="3"/>
      <c r="N991" s="3">
        <f t="shared" si="48"/>
        <v>0</v>
      </c>
      <c r="R991" s="89"/>
      <c r="S991" s="89">
        <f>100%-Table34[[#This Row],[PDF_initial fee]]</f>
        <v>1</v>
      </c>
      <c r="T991" s="89"/>
      <c r="U991" s="26"/>
    </row>
    <row r="992" spans="1:21" hidden="1" x14ac:dyDescent="0.25">
      <c r="A992">
        <v>222993</v>
      </c>
      <c r="B992" t="s">
        <v>1319</v>
      </c>
      <c r="C992" t="s">
        <v>11311</v>
      </c>
      <c r="D992">
        <v>18</v>
      </c>
      <c r="E992" t="s">
        <v>1319</v>
      </c>
      <c r="G992" s="3"/>
      <c r="H992" s="21">
        <v>0</v>
      </c>
      <c r="I992" s="21">
        <v>0</v>
      </c>
      <c r="J992" s="21">
        <v>0</v>
      </c>
      <c r="K992" s="21">
        <v>0</v>
      </c>
      <c r="L992" s="3">
        <f t="shared" si="49"/>
        <v>0</v>
      </c>
      <c r="M992" s="3"/>
      <c r="N992" s="3">
        <f t="shared" si="48"/>
        <v>0</v>
      </c>
      <c r="R992" s="89"/>
      <c r="S992" s="89">
        <f>100%-Table34[[#This Row],[PDF_initial fee]]</f>
        <v>1</v>
      </c>
      <c r="T992" s="89"/>
      <c r="U992" s="26"/>
    </row>
    <row r="993" spans="1:27" hidden="1" x14ac:dyDescent="0.25">
      <c r="A993">
        <v>223009</v>
      </c>
      <c r="B993" t="s">
        <v>1320</v>
      </c>
      <c r="C993" t="s">
        <v>6991</v>
      </c>
      <c r="D993">
        <v>1</v>
      </c>
      <c r="E993" t="s">
        <v>1320</v>
      </c>
      <c r="G993" s="3"/>
      <c r="L993" s="3">
        <f t="shared" si="49"/>
        <v>0</v>
      </c>
      <c r="M993" s="3"/>
      <c r="N993" s="3">
        <f t="shared" si="48"/>
        <v>0</v>
      </c>
      <c r="R993" s="89"/>
      <c r="S993" s="89">
        <f>100%-Table34[[#This Row],[PDF_initial fee]]</f>
        <v>1</v>
      </c>
      <c r="T993" s="89"/>
      <c r="U993" s="26"/>
    </row>
    <row r="994" spans="1:27" x14ac:dyDescent="0.25">
      <c r="A994">
        <v>457963</v>
      </c>
      <c r="B994" t="s">
        <v>178</v>
      </c>
      <c r="C994" t="s">
        <v>29726</v>
      </c>
      <c r="D994">
        <v>3</v>
      </c>
      <c r="E994" t="s">
        <v>178</v>
      </c>
      <c r="F994" t="s">
        <v>3</v>
      </c>
      <c r="G994" s="3">
        <v>1.4E-3</v>
      </c>
      <c r="H994" s="21">
        <v>0.03</v>
      </c>
      <c r="I994" s="3">
        <v>6.0000000000000001E-3</v>
      </c>
      <c r="J994" s="6">
        <v>0</v>
      </c>
      <c r="K994" s="6">
        <v>0</v>
      </c>
      <c r="L994" s="3">
        <f t="shared" si="49"/>
        <v>3.5999999999999997E-2</v>
      </c>
      <c r="M994" s="3"/>
      <c r="N994" s="3">
        <f t="shared" si="48"/>
        <v>3.7399999999999996E-2</v>
      </c>
      <c r="P994" s="31" t="s">
        <v>29726</v>
      </c>
      <c r="Q994" t="s">
        <v>31787</v>
      </c>
      <c r="R994" s="89">
        <v>0.33333333333333348</v>
      </c>
      <c r="S994" s="89">
        <f>100%-Table34[[#This Row],[InitialFee]]</f>
        <v>0.97</v>
      </c>
      <c r="T994" s="89">
        <f>(1-Table34[[#This Row],[OngoingFee (plus Platform fee)]])^5</f>
        <v>0.97035784647222412</v>
      </c>
      <c r="U994" s="26">
        <f>(1+Table34[[#This Row],[Net 5yrs return (mostly up to 28th of Feb 2026)]])*Table34[[#This Row],[Investment after initial charge]]*Table34[[#This Row],[Cummulative 5yrs ongoing advice charge]]-1</f>
        <v>0.25499614810407656</v>
      </c>
      <c r="V994">
        <f>685403+44791</f>
        <v>730194</v>
      </c>
      <c r="W994" t="s">
        <v>29051</v>
      </c>
      <c r="X994" s="9">
        <v>685355</v>
      </c>
      <c r="Y994" s="30">
        <f>X994/V994</f>
        <v>0.93859303144095951</v>
      </c>
      <c r="AA994" s="1" t="s">
        <v>29727</v>
      </c>
    </row>
    <row r="995" spans="1:27" x14ac:dyDescent="0.25">
      <c r="A995">
        <v>423327</v>
      </c>
      <c r="B995" t="s">
        <v>152</v>
      </c>
      <c r="C995" s="1" t="s">
        <v>9204</v>
      </c>
      <c r="D995">
        <v>3</v>
      </c>
      <c r="E995" t="s">
        <v>152</v>
      </c>
      <c r="F995" t="s">
        <v>3</v>
      </c>
      <c r="G995" s="3">
        <v>1.4E-3</v>
      </c>
      <c r="H995" s="6">
        <v>0.02</v>
      </c>
      <c r="I995" s="6">
        <v>0.01</v>
      </c>
      <c r="J995" s="6"/>
      <c r="K995" s="6"/>
      <c r="L995" s="3">
        <f t="shared" si="49"/>
        <v>0.03</v>
      </c>
      <c r="M995" s="3"/>
      <c r="N995" s="3">
        <f t="shared" si="48"/>
        <v>3.1399999999999997E-2</v>
      </c>
      <c r="O995" t="s">
        <v>29728</v>
      </c>
      <c r="P995" s="1" t="s">
        <v>29729</v>
      </c>
      <c r="Q995" t="s">
        <v>31787</v>
      </c>
      <c r="R995" s="89">
        <v>0.33333333333333348</v>
      </c>
      <c r="S995" s="89">
        <f>100%-Table34[[#This Row],[InitialFee]]</f>
        <v>0.98</v>
      </c>
      <c r="T995" s="89">
        <f>(1-Table34[[#This Row],[OngoingFee (plus Platform fee)]])^5</f>
        <v>0.95099004989999991</v>
      </c>
      <c r="U995" s="26">
        <f>(1+Table34[[#This Row],[Net 5yrs return (mostly up to 28th of Feb 2026)]])*Table34[[#This Row],[Investment after initial charge]]*Table34[[#This Row],[Cummulative 5yrs ongoing advice charge]]-1</f>
        <v>0.24262699853600012</v>
      </c>
      <c r="V995" s="9">
        <v>51207</v>
      </c>
      <c r="W995" t="s">
        <v>29051</v>
      </c>
      <c r="X995" s="10">
        <v>41218</v>
      </c>
      <c r="Y995" s="30">
        <f>X995/V995</f>
        <v>0.80492901361142033</v>
      </c>
      <c r="AA995" s="1" t="s">
        <v>29730</v>
      </c>
    </row>
    <row r="996" spans="1:27" hidden="1" x14ac:dyDescent="0.25">
      <c r="A996">
        <v>223145</v>
      </c>
      <c r="B996" t="s">
        <v>1321</v>
      </c>
      <c r="C996" t="s">
        <v>11143</v>
      </c>
      <c r="D996">
        <v>7</v>
      </c>
      <c r="E996" t="s">
        <v>1321</v>
      </c>
      <c r="G996" s="3"/>
      <c r="H996" s="21">
        <v>0</v>
      </c>
      <c r="I996" s="21">
        <v>0</v>
      </c>
      <c r="J996" s="21">
        <v>0</v>
      </c>
      <c r="K996" s="21">
        <v>0</v>
      </c>
      <c r="L996" s="3">
        <f t="shared" si="49"/>
        <v>0</v>
      </c>
      <c r="M996" s="3"/>
      <c r="N996" s="3">
        <f t="shared" si="48"/>
        <v>0</v>
      </c>
      <c r="R996" s="89"/>
      <c r="S996" s="89">
        <f>100%-Table34[[#This Row],[PDF_initial fee]]</f>
        <v>1</v>
      </c>
      <c r="T996" s="89"/>
      <c r="U996" s="26"/>
    </row>
    <row r="997" spans="1:27" hidden="1" x14ac:dyDescent="0.25">
      <c r="A997">
        <v>223173</v>
      </c>
      <c r="B997" t="s">
        <v>1322</v>
      </c>
      <c r="C997" t="s">
        <v>6958</v>
      </c>
      <c r="D997">
        <v>1</v>
      </c>
      <c r="E997" t="s">
        <v>1322</v>
      </c>
      <c r="F997" t="s">
        <v>6958</v>
      </c>
      <c r="G997" s="3"/>
      <c r="H997" s="21">
        <v>0</v>
      </c>
      <c r="I997" s="21">
        <v>0</v>
      </c>
      <c r="J997" s="21">
        <v>0</v>
      </c>
      <c r="K997" s="21">
        <v>0</v>
      </c>
      <c r="L997" s="3">
        <f t="shared" si="49"/>
        <v>0</v>
      </c>
      <c r="M997" s="3"/>
      <c r="N997" s="3">
        <f t="shared" si="48"/>
        <v>0</v>
      </c>
      <c r="R997" s="89"/>
      <c r="S997" s="89">
        <f>100%-Table34[[#This Row],[PDF_initial fee]]</f>
        <v>1</v>
      </c>
      <c r="T997" s="89"/>
      <c r="U997" s="26"/>
    </row>
    <row r="998" spans="1:27" hidden="1" x14ac:dyDescent="0.25">
      <c r="A998">
        <v>223282</v>
      </c>
      <c r="B998" t="s">
        <v>1323</v>
      </c>
      <c r="C998" t="s">
        <v>7006</v>
      </c>
      <c r="D998">
        <v>2</v>
      </c>
      <c r="E998" t="s">
        <v>1323</v>
      </c>
      <c r="G998" s="3"/>
      <c r="L998" s="3">
        <f t="shared" si="49"/>
        <v>0</v>
      </c>
      <c r="M998" s="3"/>
      <c r="N998" s="3">
        <f t="shared" si="48"/>
        <v>0</v>
      </c>
      <c r="R998" s="89"/>
      <c r="S998" s="89">
        <f>100%-Table34[[#This Row],[PDF_initial fee]]</f>
        <v>1</v>
      </c>
      <c r="T998" s="89"/>
      <c r="U998" s="26"/>
    </row>
    <row r="999" spans="1:27" hidden="1" x14ac:dyDescent="0.25">
      <c r="A999">
        <v>223337</v>
      </c>
      <c r="B999" t="s">
        <v>1324</v>
      </c>
      <c r="C999" t="s">
        <v>6958</v>
      </c>
      <c r="D999">
        <v>1</v>
      </c>
      <c r="E999" t="s">
        <v>1324</v>
      </c>
      <c r="F999" t="s">
        <v>6958</v>
      </c>
      <c r="G999" s="3"/>
      <c r="H999" s="21">
        <v>0</v>
      </c>
      <c r="I999" s="21">
        <v>0</v>
      </c>
      <c r="J999" s="21">
        <v>0</v>
      </c>
      <c r="K999" s="21">
        <v>0</v>
      </c>
      <c r="L999" s="3">
        <f t="shared" si="49"/>
        <v>0</v>
      </c>
      <c r="M999" s="3"/>
      <c r="N999" s="3">
        <f t="shared" si="48"/>
        <v>0</v>
      </c>
      <c r="R999" s="89"/>
      <c r="S999" s="89">
        <f>100%-Table34[[#This Row],[PDF_initial fee]]</f>
        <v>1</v>
      </c>
      <c r="T999" s="89"/>
      <c r="U999" s="26"/>
    </row>
    <row r="1000" spans="1:27" hidden="1" x14ac:dyDescent="0.25">
      <c r="A1000">
        <v>223376</v>
      </c>
      <c r="B1000" t="s">
        <v>1325</v>
      </c>
      <c r="C1000" t="s">
        <v>9561</v>
      </c>
      <c r="D1000">
        <v>1</v>
      </c>
      <c r="E1000" t="s">
        <v>1325</v>
      </c>
      <c r="F1000" t="s">
        <v>29731</v>
      </c>
      <c r="G1000" s="3"/>
      <c r="H1000" s="21">
        <v>0</v>
      </c>
      <c r="I1000" s="21">
        <v>0</v>
      </c>
      <c r="J1000" s="21">
        <v>0</v>
      </c>
      <c r="K1000" s="21">
        <v>0</v>
      </c>
      <c r="L1000" s="3">
        <f t="shared" si="49"/>
        <v>0</v>
      </c>
      <c r="M1000" s="3"/>
      <c r="N1000" s="3">
        <f t="shared" si="48"/>
        <v>0</v>
      </c>
      <c r="R1000" s="89"/>
      <c r="S1000" s="89">
        <f>100%-Table34[[#This Row],[PDF_initial fee]]</f>
        <v>1</v>
      </c>
      <c r="T1000" s="89"/>
      <c r="U1000" s="26"/>
    </row>
    <row r="1001" spans="1:27" hidden="1" x14ac:dyDescent="0.25">
      <c r="A1001">
        <v>223496</v>
      </c>
      <c r="B1001" t="s">
        <v>1327</v>
      </c>
      <c r="C1001" t="s">
        <v>12579</v>
      </c>
      <c r="D1001">
        <v>3</v>
      </c>
      <c r="E1001" t="s">
        <v>1327</v>
      </c>
      <c r="G1001" s="3"/>
      <c r="L1001" s="3">
        <f t="shared" si="49"/>
        <v>0</v>
      </c>
      <c r="M1001" s="3"/>
      <c r="N1001" s="3">
        <f t="shared" si="48"/>
        <v>0</v>
      </c>
      <c r="R1001" s="89"/>
      <c r="S1001" s="89">
        <f>100%-Table34[[#This Row],[PDF_initial fee]]</f>
        <v>1</v>
      </c>
      <c r="T1001" s="89"/>
      <c r="U1001" s="26"/>
    </row>
    <row r="1002" spans="1:27" hidden="1" x14ac:dyDescent="0.25">
      <c r="A1002">
        <v>223511</v>
      </c>
      <c r="B1002" t="s">
        <v>1328</v>
      </c>
      <c r="C1002" t="s">
        <v>6958</v>
      </c>
      <c r="D1002">
        <v>3</v>
      </c>
      <c r="E1002" t="s">
        <v>1328</v>
      </c>
      <c r="F1002" t="s">
        <v>6958</v>
      </c>
      <c r="G1002" s="3"/>
      <c r="L1002" s="3">
        <f t="shared" si="49"/>
        <v>0</v>
      </c>
      <c r="M1002" s="3"/>
      <c r="N1002" s="3">
        <f t="shared" si="48"/>
        <v>0</v>
      </c>
      <c r="R1002" s="89"/>
      <c r="S1002" s="89">
        <f>100%-Table34[[#This Row],[PDF_initial fee]]</f>
        <v>1</v>
      </c>
      <c r="T1002" s="89"/>
      <c r="U1002" s="26"/>
    </row>
    <row r="1003" spans="1:27" hidden="1" x14ac:dyDescent="0.25">
      <c r="A1003">
        <v>223530</v>
      </c>
      <c r="B1003" t="s">
        <v>1329</v>
      </c>
      <c r="C1003" t="s">
        <v>9314</v>
      </c>
      <c r="D1003">
        <v>5</v>
      </c>
      <c r="E1003" t="s">
        <v>1329</v>
      </c>
      <c r="G1003" s="3"/>
      <c r="H1003" s="21">
        <v>0</v>
      </c>
      <c r="I1003" s="21">
        <v>0</v>
      </c>
      <c r="J1003" s="21">
        <v>0</v>
      </c>
      <c r="K1003" s="21">
        <v>0</v>
      </c>
      <c r="L1003" s="3">
        <f t="shared" si="49"/>
        <v>0</v>
      </c>
      <c r="M1003" s="3"/>
      <c r="N1003" s="3">
        <f t="shared" si="48"/>
        <v>0</v>
      </c>
      <c r="R1003" s="89"/>
      <c r="S1003" s="89">
        <f>100%-Table34[[#This Row],[PDF_initial fee]]</f>
        <v>1</v>
      </c>
      <c r="T1003" s="89"/>
      <c r="U1003" s="26"/>
    </row>
    <row r="1004" spans="1:27" hidden="1" x14ac:dyDescent="0.25">
      <c r="A1004">
        <v>223586</v>
      </c>
      <c r="B1004" t="s">
        <v>1330</v>
      </c>
      <c r="C1004" t="s">
        <v>11294</v>
      </c>
      <c r="D1004">
        <v>6</v>
      </c>
      <c r="E1004" t="s">
        <v>1330</v>
      </c>
      <c r="G1004" s="3"/>
      <c r="H1004" s="21">
        <v>0</v>
      </c>
      <c r="I1004" s="21">
        <v>0</v>
      </c>
      <c r="J1004" s="21">
        <v>0</v>
      </c>
      <c r="K1004" s="21">
        <v>0</v>
      </c>
      <c r="L1004" s="3">
        <f t="shared" si="49"/>
        <v>0</v>
      </c>
      <c r="M1004" s="3"/>
      <c r="N1004" s="3">
        <f t="shared" si="48"/>
        <v>0</v>
      </c>
      <c r="R1004" s="89"/>
      <c r="S1004" s="89">
        <f>100%-Table34[[#This Row],[PDF_initial fee]]</f>
        <v>1</v>
      </c>
      <c r="T1004" s="89"/>
      <c r="U1004" s="26"/>
    </row>
    <row r="1005" spans="1:27" x14ac:dyDescent="0.25">
      <c r="A1005">
        <v>460572</v>
      </c>
      <c r="B1005" t="s">
        <v>180</v>
      </c>
      <c r="C1005" s="1" t="s">
        <v>9204</v>
      </c>
      <c r="D1005">
        <v>4</v>
      </c>
      <c r="E1005" t="s">
        <v>180</v>
      </c>
      <c r="F1005" t="s">
        <v>3</v>
      </c>
      <c r="G1005" s="3">
        <v>1.4E-3</v>
      </c>
      <c r="H1005" s="6">
        <v>0.02</v>
      </c>
      <c r="I1005" s="6">
        <v>0.01</v>
      </c>
      <c r="J1005" s="6">
        <v>0</v>
      </c>
      <c r="K1005" s="6">
        <v>0</v>
      </c>
      <c r="L1005" s="3">
        <f t="shared" si="49"/>
        <v>0.03</v>
      </c>
      <c r="M1005" s="3"/>
      <c r="N1005" s="3">
        <f t="shared" si="48"/>
        <v>3.1399999999999997E-2</v>
      </c>
      <c r="P1005" s="1" t="s">
        <v>29729</v>
      </c>
      <c r="Q1005" t="s">
        <v>31787</v>
      </c>
      <c r="R1005" s="89">
        <v>0.33333333333333348</v>
      </c>
      <c r="S1005" s="89">
        <f>100%-Table34[[#This Row],[InitialFee]]</f>
        <v>0.98</v>
      </c>
      <c r="T1005" s="89">
        <f>(1-Table34[[#This Row],[OngoingFee (plus Platform fee)]])^5</f>
        <v>0.95099004989999991</v>
      </c>
      <c r="U1005" s="26">
        <f>(1+Table34[[#This Row],[Net 5yrs return (mostly up to 28th of Feb 2026)]])*Table34[[#This Row],[Investment after initial charge]]*Table34[[#This Row],[Cummulative 5yrs ongoing advice charge]]-1</f>
        <v>0.24262699853600012</v>
      </c>
      <c r="V1005">
        <f>313563+83873</f>
        <v>397436</v>
      </c>
      <c r="W1005" t="s">
        <v>29051</v>
      </c>
      <c r="X1005" s="9">
        <v>297157</v>
      </c>
      <c r="Y1005" s="30">
        <f>X1005/V1005</f>
        <v>0.74768516188770018</v>
      </c>
      <c r="AA1005" s="1" t="s">
        <v>29732</v>
      </c>
    </row>
    <row r="1006" spans="1:27" hidden="1" x14ac:dyDescent="0.25">
      <c r="A1006">
        <v>223678</v>
      </c>
      <c r="B1006" t="s">
        <v>1331</v>
      </c>
      <c r="C1006" t="s">
        <v>6958</v>
      </c>
      <c r="D1006">
        <v>4</v>
      </c>
      <c r="E1006" t="s">
        <v>1331</v>
      </c>
      <c r="F1006" t="s">
        <v>6958</v>
      </c>
      <c r="G1006" s="3"/>
      <c r="H1006" s="21">
        <v>0</v>
      </c>
      <c r="I1006" s="21">
        <v>0</v>
      </c>
      <c r="J1006" s="21">
        <v>0</v>
      </c>
      <c r="K1006" s="21">
        <v>0</v>
      </c>
      <c r="L1006" s="3">
        <f t="shared" si="49"/>
        <v>0</v>
      </c>
      <c r="M1006" s="3"/>
      <c r="N1006" s="3">
        <f t="shared" si="48"/>
        <v>0</v>
      </c>
      <c r="R1006" s="89"/>
      <c r="S1006" s="89">
        <f>100%-Table34[[#This Row],[PDF_initial fee]]</f>
        <v>1</v>
      </c>
      <c r="T1006" s="89"/>
      <c r="U1006" s="26"/>
    </row>
    <row r="1007" spans="1:27" hidden="1" x14ac:dyDescent="0.25">
      <c r="A1007">
        <v>223774</v>
      </c>
      <c r="B1007" t="s">
        <v>1332</v>
      </c>
      <c r="C1007" t="s">
        <v>10796</v>
      </c>
      <c r="D1007">
        <v>5</v>
      </c>
      <c r="E1007" t="s">
        <v>1332</v>
      </c>
      <c r="G1007" s="3"/>
      <c r="L1007" s="3">
        <f t="shared" si="49"/>
        <v>0</v>
      </c>
      <c r="M1007" s="3"/>
      <c r="N1007" s="3">
        <f t="shared" si="48"/>
        <v>0</v>
      </c>
      <c r="R1007" s="89"/>
      <c r="S1007" s="89">
        <f>100%-Table34[[#This Row],[PDF_initial fee]]</f>
        <v>1</v>
      </c>
      <c r="T1007" s="89"/>
      <c r="U1007" s="26"/>
    </row>
    <row r="1008" spans="1:27" hidden="1" x14ac:dyDescent="0.25">
      <c r="A1008">
        <v>223802</v>
      </c>
      <c r="B1008" t="s">
        <v>1333</v>
      </c>
      <c r="C1008" t="s">
        <v>10681</v>
      </c>
      <c r="D1008">
        <v>9</v>
      </c>
      <c r="E1008" t="s">
        <v>1333</v>
      </c>
      <c r="G1008" s="3"/>
      <c r="L1008" s="3">
        <f t="shared" si="49"/>
        <v>0</v>
      </c>
      <c r="M1008" s="3"/>
      <c r="N1008" s="3">
        <f t="shared" si="48"/>
        <v>0</v>
      </c>
      <c r="R1008" s="89"/>
      <c r="S1008" s="89">
        <f>100%-Table34[[#This Row],[PDF_initial fee]]</f>
        <v>1</v>
      </c>
      <c r="T1008" s="89"/>
      <c r="U1008" s="26"/>
    </row>
    <row r="1009" spans="1:21" hidden="1" x14ac:dyDescent="0.25">
      <c r="A1009">
        <v>223935</v>
      </c>
      <c r="B1009" t="s">
        <v>1334</v>
      </c>
      <c r="C1009" t="s">
        <v>29733</v>
      </c>
      <c r="D1009">
        <v>2</v>
      </c>
      <c r="E1009" t="s">
        <v>1334</v>
      </c>
      <c r="G1009" s="3"/>
      <c r="H1009" s="21">
        <v>0</v>
      </c>
      <c r="I1009" s="21">
        <v>0</v>
      </c>
      <c r="J1009" s="21">
        <v>0</v>
      </c>
      <c r="K1009" s="21">
        <v>0</v>
      </c>
      <c r="L1009" s="3">
        <f t="shared" si="49"/>
        <v>0</v>
      </c>
      <c r="M1009" s="3"/>
      <c r="N1009" s="3">
        <f t="shared" si="48"/>
        <v>0</v>
      </c>
      <c r="O1009" s="21"/>
      <c r="R1009" s="89"/>
      <c r="S1009" s="89">
        <f>100%-Table34[[#This Row],[PDF_initial fee]]</f>
        <v>1</v>
      </c>
      <c r="T1009" s="89"/>
      <c r="U1009" s="26"/>
    </row>
    <row r="1010" spans="1:21" hidden="1" x14ac:dyDescent="0.25">
      <c r="A1010">
        <v>223936</v>
      </c>
      <c r="B1010" t="s">
        <v>1335</v>
      </c>
      <c r="C1010" t="s">
        <v>10696</v>
      </c>
      <c r="D1010">
        <v>5</v>
      </c>
      <c r="E1010" t="s">
        <v>1335</v>
      </c>
      <c r="G1010" s="3"/>
      <c r="H1010" s="21">
        <v>0</v>
      </c>
      <c r="I1010" s="21">
        <v>0</v>
      </c>
      <c r="J1010" s="21">
        <v>0</v>
      </c>
      <c r="K1010" s="21">
        <v>0</v>
      </c>
      <c r="L1010" s="3">
        <f t="shared" si="49"/>
        <v>0</v>
      </c>
      <c r="M1010" s="3"/>
      <c r="N1010" s="3">
        <f t="shared" si="48"/>
        <v>0</v>
      </c>
      <c r="R1010" s="89"/>
      <c r="S1010" s="89">
        <f>100%-Table34[[#This Row],[PDF_initial fee]]</f>
        <v>1</v>
      </c>
      <c r="T1010" s="89"/>
      <c r="U1010" s="26"/>
    </row>
    <row r="1011" spans="1:21" hidden="1" x14ac:dyDescent="0.25">
      <c r="A1011">
        <v>223962</v>
      </c>
      <c r="B1011" t="s">
        <v>1336</v>
      </c>
      <c r="C1011" t="s">
        <v>6958</v>
      </c>
      <c r="D1011">
        <v>4</v>
      </c>
      <c r="E1011" t="s">
        <v>1336</v>
      </c>
      <c r="F1011" t="s">
        <v>6958</v>
      </c>
      <c r="G1011" s="3"/>
      <c r="H1011" s="21">
        <v>0</v>
      </c>
      <c r="I1011" s="21">
        <v>0</v>
      </c>
      <c r="J1011" s="21">
        <v>0</v>
      </c>
      <c r="K1011" s="21">
        <v>0</v>
      </c>
      <c r="L1011" s="3">
        <f t="shared" si="49"/>
        <v>0</v>
      </c>
      <c r="M1011" s="3"/>
      <c r="N1011" s="3">
        <f t="shared" si="48"/>
        <v>0</v>
      </c>
      <c r="R1011" s="89"/>
      <c r="S1011" s="89">
        <f>100%-Table34[[#This Row],[PDF_initial fee]]</f>
        <v>1</v>
      </c>
      <c r="T1011" s="89"/>
      <c r="U1011" s="26"/>
    </row>
    <row r="1012" spans="1:21" hidden="1" x14ac:dyDescent="0.25">
      <c r="A1012">
        <v>224035</v>
      </c>
      <c r="B1012" t="s">
        <v>1337</v>
      </c>
      <c r="C1012" t="s">
        <v>6958</v>
      </c>
      <c r="D1012">
        <v>3</v>
      </c>
      <c r="E1012" t="s">
        <v>1337</v>
      </c>
      <c r="F1012" t="s">
        <v>6958</v>
      </c>
      <c r="G1012" s="3"/>
      <c r="H1012" s="21">
        <v>0</v>
      </c>
      <c r="I1012" s="21">
        <v>0</v>
      </c>
      <c r="J1012" s="21">
        <v>0</v>
      </c>
      <c r="K1012" s="21">
        <v>0</v>
      </c>
      <c r="L1012" s="3">
        <f t="shared" si="49"/>
        <v>0</v>
      </c>
      <c r="M1012" s="3"/>
      <c r="N1012" s="3">
        <f t="shared" si="48"/>
        <v>0</v>
      </c>
      <c r="R1012" s="89"/>
      <c r="S1012" s="89">
        <f>100%-Table34[[#This Row],[PDF_initial fee]]</f>
        <v>1</v>
      </c>
      <c r="T1012" s="89"/>
      <c r="U1012" s="26"/>
    </row>
    <row r="1013" spans="1:21" hidden="1" x14ac:dyDescent="0.25">
      <c r="A1013">
        <v>224131</v>
      </c>
      <c r="B1013" t="s">
        <v>1339</v>
      </c>
      <c r="C1013" s="1" t="s">
        <v>6958</v>
      </c>
      <c r="D1013">
        <v>10</v>
      </c>
      <c r="E1013" t="s">
        <v>1339</v>
      </c>
      <c r="F1013" t="s">
        <v>6958</v>
      </c>
      <c r="G1013" s="3"/>
      <c r="H1013" s="21">
        <v>0</v>
      </c>
      <c r="I1013" s="21">
        <v>0</v>
      </c>
      <c r="J1013" s="21">
        <v>0</v>
      </c>
      <c r="K1013" s="21">
        <v>0</v>
      </c>
      <c r="L1013" s="3">
        <f t="shared" si="49"/>
        <v>0</v>
      </c>
      <c r="M1013" s="3"/>
      <c r="N1013" s="3">
        <f t="shared" si="48"/>
        <v>0</v>
      </c>
      <c r="R1013" s="89"/>
      <c r="S1013" s="89">
        <f>100%-Table34[[#This Row],[PDF_initial fee]]</f>
        <v>1</v>
      </c>
      <c r="T1013" s="89"/>
      <c r="U1013" s="26"/>
    </row>
    <row r="1014" spans="1:21" hidden="1" x14ac:dyDescent="0.25">
      <c r="A1014">
        <v>224139</v>
      </c>
      <c r="B1014" t="s">
        <v>1340</v>
      </c>
      <c r="C1014" t="s">
        <v>12182</v>
      </c>
      <c r="D1014">
        <v>1</v>
      </c>
      <c r="E1014" t="s">
        <v>1340</v>
      </c>
      <c r="G1014" s="3"/>
      <c r="H1014" s="21">
        <v>0</v>
      </c>
      <c r="I1014" s="21">
        <v>0</v>
      </c>
      <c r="J1014" s="21">
        <v>0</v>
      </c>
      <c r="K1014" s="21">
        <v>0</v>
      </c>
      <c r="L1014" s="3">
        <f t="shared" si="49"/>
        <v>0</v>
      </c>
      <c r="M1014" s="3"/>
      <c r="N1014" s="3">
        <f t="shared" si="48"/>
        <v>0</v>
      </c>
      <c r="R1014" s="89"/>
      <c r="S1014" s="89">
        <f>100%-Table34[[#This Row],[PDF_initial fee]]</f>
        <v>1</v>
      </c>
      <c r="T1014" s="89"/>
      <c r="U1014" s="26"/>
    </row>
    <row r="1015" spans="1:21" hidden="1" x14ac:dyDescent="0.25">
      <c r="A1015">
        <v>224273</v>
      </c>
      <c r="B1015" t="s">
        <v>1341</v>
      </c>
      <c r="C1015" t="s">
        <v>10990</v>
      </c>
      <c r="D1015">
        <v>2</v>
      </c>
      <c r="E1015" t="s">
        <v>1341</v>
      </c>
      <c r="G1015" s="3"/>
      <c r="H1015" s="21">
        <v>0</v>
      </c>
      <c r="I1015" s="21">
        <v>0</v>
      </c>
      <c r="J1015" s="21">
        <v>0</v>
      </c>
      <c r="K1015" s="21">
        <v>0</v>
      </c>
      <c r="L1015" s="3">
        <f t="shared" si="49"/>
        <v>0</v>
      </c>
      <c r="M1015" s="3"/>
      <c r="N1015" s="3">
        <f t="shared" si="48"/>
        <v>0</v>
      </c>
      <c r="R1015" s="89"/>
      <c r="S1015" s="89">
        <f>100%-Table34[[#This Row],[PDF_initial fee]]</f>
        <v>1</v>
      </c>
      <c r="T1015" s="89"/>
      <c r="U1015" s="26"/>
    </row>
    <row r="1016" spans="1:21" hidden="1" x14ac:dyDescent="0.25">
      <c r="A1016">
        <v>224355</v>
      </c>
      <c r="B1016" t="s">
        <v>1342</v>
      </c>
      <c r="C1016" t="s">
        <v>8315</v>
      </c>
      <c r="D1016">
        <v>29</v>
      </c>
      <c r="E1016" t="s">
        <v>1342</v>
      </c>
      <c r="G1016" s="3"/>
      <c r="H1016" s="21">
        <v>0</v>
      </c>
      <c r="I1016" s="21">
        <v>0</v>
      </c>
      <c r="J1016" s="21">
        <v>0</v>
      </c>
      <c r="K1016" s="21">
        <v>0</v>
      </c>
      <c r="L1016" s="3">
        <f t="shared" si="49"/>
        <v>0</v>
      </c>
      <c r="M1016" s="3"/>
      <c r="N1016" s="3">
        <f t="shared" si="48"/>
        <v>0</v>
      </c>
      <c r="R1016" s="89"/>
      <c r="S1016" s="89">
        <f>100%-Table34[[#This Row],[PDF_initial fee]]</f>
        <v>1</v>
      </c>
      <c r="T1016" s="89"/>
      <c r="U1016" s="26"/>
    </row>
    <row r="1017" spans="1:21" hidden="1" x14ac:dyDescent="0.25">
      <c r="A1017">
        <v>224386</v>
      </c>
      <c r="B1017" t="s">
        <v>1343</v>
      </c>
      <c r="C1017" s="1" t="s">
        <v>11030</v>
      </c>
      <c r="D1017">
        <v>1</v>
      </c>
      <c r="E1017" t="s">
        <v>1343</v>
      </c>
      <c r="G1017" s="3"/>
      <c r="H1017" s="21">
        <v>0</v>
      </c>
      <c r="I1017" s="21">
        <v>0</v>
      </c>
      <c r="J1017" s="21">
        <v>0</v>
      </c>
      <c r="K1017" s="21">
        <v>0</v>
      </c>
      <c r="L1017" s="3">
        <f t="shared" si="49"/>
        <v>0</v>
      </c>
      <c r="M1017" s="3"/>
      <c r="N1017" s="3">
        <f t="shared" si="48"/>
        <v>0</v>
      </c>
      <c r="R1017" s="89"/>
      <c r="S1017" s="89">
        <f>100%-Table34[[#This Row],[PDF_initial fee]]</f>
        <v>1</v>
      </c>
      <c r="T1017" s="89"/>
      <c r="U1017" s="26"/>
    </row>
    <row r="1018" spans="1:21" hidden="1" x14ac:dyDescent="0.25">
      <c r="A1018">
        <v>224407</v>
      </c>
      <c r="B1018" t="s">
        <v>1344</v>
      </c>
      <c r="C1018" t="s">
        <v>8245</v>
      </c>
      <c r="D1018">
        <v>5</v>
      </c>
      <c r="E1018" t="s">
        <v>1344</v>
      </c>
      <c r="G1018" s="3"/>
      <c r="I1018" s="3"/>
      <c r="L1018" s="3">
        <f t="shared" ref="L1018:L1031" si="50">SUM(H1018:K1018)</f>
        <v>0</v>
      </c>
      <c r="M1018" s="3"/>
      <c r="N1018" s="3">
        <f t="shared" ref="N1018:N1081" si="51">L1018+G1018</f>
        <v>0</v>
      </c>
      <c r="R1018" s="89"/>
      <c r="S1018" s="89">
        <f>100%-Table34[[#This Row],[PDF_initial fee]]</f>
        <v>1</v>
      </c>
      <c r="T1018" s="89"/>
      <c r="U1018" s="26"/>
    </row>
    <row r="1019" spans="1:21" hidden="1" x14ac:dyDescent="0.25">
      <c r="A1019">
        <v>224443</v>
      </c>
      <c r="B1019" t="s">
        <v>1345</v>
      </c>
      <c r="C1019" t="s">
        <v>7122</v>
      </c>
      <c r="D1019">
        <v>1</v>
      </c>
      <c r="E1019" t="s">
        <v>1345</v>
      </c>
      <c r="G1019" s="3"/>
      <c r="H1019" s="21">
        <v>0</v>
      </c>
      <c r="I1019" s="21">
        <v>0</v>
      </c>
      <c r="J1019" s="21">
        <v>0</v>
      </c>
      <c r="K1019" s="21">
        <v>0</v>
      </c>
      <c r="L1019" s="3">
        <f t="shared" si="50"/>
        <v>0</v>
      </c>
      <c r="M1019" s="3"/>
      <c r="N1019" s="3">
        <f t="shared" si="51"/>
        <v>0</v>
      </c>
      <c r="R1019" s="89"/>
      <c r="S1019" s="89">
        <f>100%-Table34[[#This Row],[PDF_initial fee]]</f>
        <v>1</v>
      </c>
      <c r="T1019" s="89"/>
      <c r="U1019" s="26"/>
    </row>
    <row r="1020" spans="1:21" hidden="1" x14ac:dyDescent="0.25">
      <c r="A1020">
        <v>224475</v>
      </c>
      <c r="B1020" t="s">
        <v>1346</v>
      </c>
      <c r="C1020" t="s">
        <v>6958</v>
      </c>
      <c r="D1020">
        <v>1</v>
      </c>
      <c r="E1020" t="s">
        <v>1346</v>
      </c>
      <c r="F1020" t="s">
        <v>6958</v>
      </c>
      <c r="G1020" s="3"/>
      <c r="H1020" s="21">
        <v>0</v>
      </c>
      <c r="I1020" s="21">
        <v>0</v>
      </c>
      <c r="J1020" s="21">
        <v>0</v>
      </c>
      <c r="K1020" s="21">
        <v>0</v>
      </c>
      <c r="L1020" s="3">
        <f t="shared" si="50"/>
        <v>0</v>
      </c>
      <c r="M1020" s="3"/>
      <c r="N1020" s="3">
        <f t="shared" si="51"/>
        <v>0</v>
      </c>
      <c r="R1020" s="89"/>
      <c r="S1020" s="89">
        <f>100%-Table34[[#This Row],[PDF_initial fee]]</f>
        <v>1</v>
      </c>
      <c r="T1020" s="89"/>
      <c r="U1020" s="26"/>
    </row>
    <row r="1021" spans="1:21" hidden="1" x14ac:dyDescent="0.25">
      <c r="A1021">
        <v>224582</v>
      </c>
      <c r="B1021" t="s">
        <v>1348</v>
      </c>
      <c r="C1021" t="s">
        <v>29734</v>
      </c>
      <c r="D1021">
        <v>1</v>
      </c>
      <c r="E1021" t="s">
        <v>1348</v>
      </c>
      <c r="G1021" s="3"/>
      <c r="H1021" s="3">
        <v>0</v>
      </c>
      <c r="I1021" s="3">
        <v>0</v>
      </c>
      <c r="J1021" s="3">
        <v>0</v>
      </c>
      <c r="K1021" s="3">
        <v>0</v>
      </c>
      <c r="L1021" s="3">
        <f t="shared" si="50"/>
        <v>0</v>
      </c>
      <c r="M1021" s="3"/>
      <c r="N1021" s="3">
        <f t="shared" si="51"/>
        <v>0</v>
      </c>
      <c r="R1021" s="89"/>
      <c r="S1021" s="89">
        <f>100%-Table34[[#This Row],[PDF_initial fee]]</f>
        <v>1</v>
      </c>
      <c r="T1021" s="89"/>
      <c r="U1021" s="26"/>
    </row>
    <row r="1022" spans="1:21" hidden="1" x14ac:dyDescent="0.25">
      <c r="A1022">
        <v>224621</v>
      </c>
      <c r="B1022" t="s">
        <v>1349</v>
      </c>
      <c r="C1022" t="s">
        <v>12678</v>
      </c>
      <c r="D1022">
        <v>0</v>
      </c>
      <c r="E1022" t="s">
        <v>1349</v>
      </c>
      <c r="F1022" t="s">
        <v>29136</v>
      </c>
      <c r="G1022" s="3"/>
      <c r="L1022" s="3">
        <f t="shared" si="50"/>
        <v>0</v>
      </c>
      <c r="M1022" s="3"/>
      <c r="N1022" s="3">
        <f t="shared" si="51"/>
        <v>0</v>
      </c>
      <c r="R1022" s="89"/>
      <c r="S1022" s="89">
        <f>100%-Table34[[#This Row],[PDF_initial fee]]</f>
        <v>1</v>
      </c>
      <c r="T1022" s="89"/>
      <c r="U1022" s="26"/>
    </row>
    <row r="1023" spans="1:21" hidden="1" x14ac:dyDescent="0.25">
      <c r="A1023">
        <v>224806</v>
      </c>
      <c r="B1023" t="s">
        <v>1350</v>
      </c>
      <c r="C1023" t="s">
        <v>9931</v>
      </c>
      <c r="D1023">
        <v>1</v>
      </c>
      <c r="E1023" t="s">
        <v>1350</v>
      </c>
      <c r="G1023" s="3"/>
      <c r="H1023" s="21">
        <v>0</v>
      </c>
      <c r="I1023" s="21">
        <v>0</v>
      </c>
      <c r="J1023" s="21">
        <v>0</v>
      </c>
      <c r="K1023" s="21">
        <v>0</v>
      </c>
      <c r="L1023" s="3">
        <f t="shared" si="50"/>
        <v>0</v>
      </c>
      <c r="M1023" s="3"/>
      <c r="N1023" s="3">
        <f t="shared" si="51"/>
        <v>0</v>
      </c>
      <c r="R1023" s="89"/>
      <c r="S1023" s="89">
        <f>100%-Table34[[#This Row],[PDF_initial fee]]</f>
        <v>1</v>
      </c>
      <c r="T1023" s="89"/>
      <c r="U1023" s="26"/>
    </row>
    <row r="1024" spans="1:21" hidden="1" x14ac:dyDescent="0.25">
      <c r="A1024">
        <v>224864</v>
      </c>
      <c r="B1024" t="s">
        <v>1351</v>
      </c>
      <c r="C1024" t="s">
        <v>6958</v>
      </c>
      <c r="D1024">
        <v>1</v>
      </c>
      <c r="E1024" t="s">
        <v>1351</v>
      </c>
      <c r="F1024" t="s">
        <v>6958</v>
      </c>
      <c r="G1024" s="3"/>
      <c r="H1024" s="21">
        <v>0</v>
      </c>
      <c r="I1024" s="21">
        <v>0</v>
      </c>
      <c r="J1024" s="21">
        <v>0</v>
      </c>
      <c r="K1024" s="21">
        <v>0</v>
      </c>
      <c r="L1024" s="3">
        <f t="shared" si="50"/>
        <v>0</v>
      </c>
      <c r="M1024" s="3"/>
      <c r="N1024" s="3">
        <f t="shared" si="51"/>
        <v>0</v>
      </c>
      <c r="R1024" s="89"/>
      <c r="S1024" s="89">
        <f>100%-Table34[[#This Row],[PDF_initial fee]]</f>
        <v>1</v>
      </c>
      <c r="T1024" s="89"/>
      <c r="U1024" s="26"/>
    </row>
    <row r="1025" spans="1:30" hidden="1" x14ac:dyDescent="0.25">
      <c r="A1025">
        <v>224914</v>
      </c>
      <c r="B1025" t="s">
        <v>1352</v>
      </c>
      <c r="C1025" t="s">
        <v>29735</v>
      </c>
      <c r="D1025">
        <v>0</v>
      </c>
      <c r="E1025" t="s">
        <v>1352</v>
      </c>
      <c r="F1025" t="s">
        <v>29136</v>
      </c>
      <c r="G1025" s="3"/>
      <c r="H1025" s="21">
        <v>0</v>
      </c>
      <c r="I1025" s="21">
        <v>0</v>
      </c>
      <c r="J1025" s="21">
        <v>0</v>
      </c>
      <c r="K1025" s="21">
        <v>0</v>
      </c>
      <c r="L1025" s="3">
        <f t="shared" si="50"/>
        <v>0</v>
      </c>
      <c r="M1025" s="3"/>
      <c r="N1025" s="3">
        <f t="shared" si="51"/>
        <v>0</v>
      </c>
      <c r="O1025" s="21"/>
      <c r="R1025" s="89"/>
      <c r="S1025" s="89">
        <f>100%-Table34[[#This Row],[PDF_initial fee]]</f>
        <v>1</v>
      </c>
      <c r="T1025" s="89"/>
      <c r="U1025" s="26"/>
    </row>
    <row r="1026" spans="1:30" hidden="1" x14ac:dyDescent="0.25">
      <c r="A1026">
        <v>224999</v>
      </c>
      <c r="B1026" t="s">
        <v>1354</v>
      </c>
      <c r="C1026" t="s">
        <v>6958</v>
      </c>
      <c r="D1026">
        <v>2</v>
      </c>
      <c r="E1026" t="s">
        <v>1354</v>
      </c>
      <c r="F1026" t="s">
        <v>6958</v>
      </c>
      <c r="G1026" s="3"/>
      <c r="H1026" s="21">
        <v>0</v>
      </c>
      <c r="I1026" s="21">
        <v>0</v>
      </c>
      <c r="J1026" s="21">
        <v>0</v>
      </c>
      <c r="K1026" s="21">
        <v>0</v>
      </c>
      <c r="L1026" s="3">
        <f t="shared" si="50"/>
        <v>0</v>
      </c>
      <c r="M1026" s="3"/>
      <c r="N1026" s="3">
        <f t="shared" si="51"/>
        <v>0</v>
      </c>
      <c r="R1026" s="89"/>
      <c r="S1026" s="89">
        <f>100%-Table34[[#This Row],[PDF_initial fee]]</f>
        <v>1</v>
      </c>
      <c r="T1026" s="89"/>
      <c r="U1026" s="26"/>
    </row>
    <row r="1027" spans="1:30" hidden="1" x14ac:dyDescent="0.25">
      <c r="A1027">
        <v>225007</v>
      </c>
      <c r="B1027" t="s">
        <v>1355</v>
      </c>
      <c r="C1027" t="s">
        <v>9440</v>
      </c>
      <c r="D1027">
        <v>2</v>
      </c>
      <c r="E1027" t="s">
        <v>1355</v>
      </c>
      <c r="G1027" s="3"/>
      <c r="H1027" s="21">
        <v>0</v>
      </c>
      <c r="I1027" s="21">
        <v>0</v>
      </c>
      <c r="J1027" s="21">
        <v>0</v>
      </c>
      <c r="K1027" s="21">
        <v>0</v>
      </c>
      <c r="L1027" s="3">
        <f t="shared" si="50"/>
        <v>0</v>
      </c>
      <c r="M1027" s="3"/>
      <c r="N1027" s="3">
        <f t="shared" si="51"/>
        <v>0</v>
      </c>
      <c r="R1027" s="89"/>
      <c r="S1027" s="89">
        <f>100%-Table34[[#This Row],[PDF_initial fee]]</f>
        <v>1</v>
      </c>
      <c r="T1027" s="89"/>
      <c r="U1027" s="26"/>
    </row>
    <row r="1028" spans="1:30" hidden="1" x14ac:dyDescent="0.25">
      <c r="A1028">
        <v>225044</v>
      </c>
      <c r="B1028" t="s">
        <v>1356</v>
      </c>
      <c r="C1028" t="s">
        <v>10021</v>
      </c>
      <c r="D1028">
        <v>4</v>
      </c>
      <c r="E1028" t="s">
        <v>1356</v>
      </c>
      <c r="G1028" s="3"/>
      <c r="L1028" s="3">
        <f t="shared" si="50"/>
        <v>0</v>
      </c>
      <c r="M1028" s="3"/>
      <c r="N1028" s="3">
        <f t="shared" si="51"/>
        <v>0</v>
      </c>
      <c r="Q1028" t="s">
        <v>29736</v>
      </c>
      <c r="R1028" s="89"/>
      <c r="S1028" s="89">
        <f>100%-Table34[[#This Row],[PDF_initial fee]]</f>
        <v>1</v>
      </c>
      <c r="T1028" s="89"/>
      <c r="U1028" s="26"/>
    </row>
    <row r="1029" spans="1:30" hidden="1" x14ac:dyDescent="0.25">
      <c r="A1029">
        <v>225045</v>
      </c>
      <c r="B1029" t="s">
        <v>1357</v>
      </c>
      <c r="C1029" t="s">
        <v>6958</v>
      </c>
      <c r="D1029">
        <v>1</v>
      </c>
      <c r="E1029" t="s">
        <v>1357</v>
      </c>
      <c r="F1029" t="s">
        <v>6958</v>
      </c>
      <c r="G1029" s="3"/>
      <c r="L1029" s="3">
        <f t="shared" si="50"/>
        <v>0</v>
      </c>
      <c r="M1029" s="3"/>
      <c r="N1029" s="3">
        <f t="shared" si="51"/>
        <v>0</v>
      </c>
      <c r="R1029" s="89"/>
      <c r="S1029" s="89">
        <f>100%-Table34[[#This Row],[PDF_initial fee]]</f>
        <v>1</v>
      </c>
      <c r="T1029" s="89"/>
      <c r="U1029" s="26"/>
    </row>
    <row r="1030" spans="1:30" x14ac:dyDescent="0.25">
      <c r="A1030">
        <v>844410</v>
      </c>
      <c r="B1030" t="s">
        <v>321</v>
      </c>
      <c r="C1030" s="1" t="s">
        <v>9204</v>
      </c>
      <c r="D1030">
        <v>1</v>
      </c>
      <c r="E1030" t="s">
        <v>321</v>
      </c>
      <c r="F1030" t="s">
        <v>3</v>
      </c>
      <c r="G1030" s="3">
        <v>1.4E-3</v>
      </c>
      <c r="H1030" s="3">
        <v>0.02</v>
      </c>
      <c r="I1030" s="3">
        <v>0.01</v>
      </c>
      <c r="J1030" s="6"/>
      <c r="K1030" s="6"/>
      <c r="L1030" s="3">
        <f t="shared" si="50"/>
        <v>0.03</v>
      </c>
      <c r="M1030" s="3"/>
      <c r="N1030" s="3">
        <f t="shared" si="51"/>
        <v>3.1399999999999997E-2</v>
      </c>
      <c r="O1030" t="s">
        <v>29737</v>
      </c>
      <c r="P1030" s="1" t="s">
        <v>29729</v>
      </c>
      <c r="Q1030" t="s">
        <v>31787</v>
      </c>
      <c r="R1030" s="89">
        <v>0.33333333333333348</v>
      </c>
      <c r="S1030" s="89">
        <f>100%-Table34[[#This Row],[InitialFee]]</f>
        <v>0.98</v>
      </c>
      <c r="T1030" s="89">
        <f>(1-Table34[[#This Row],[OngoingFee (plus Platform fee)]])^5</f>
        <v>0.95099004989999991</v>
      </c>
      <c r="U1030" s="26">
        <f>(1+Table34[[#This Row],[Net 5yrs return (mostly up to 28th of Feb 2026)]])*Table34[[#This Row],[Investment after initial charge]]*Table34[[#This Row],[Cummulative 5yrs ongoing advice charge]]-1</f>
        <v>0.24262699853600012</v>
      </c>
      <c r="V1030">
        <f>94069+41788</f>
        <v>135857</v>
      </c>
      <c r="W1030" t="s">
        <v>29051</v>
      </c>
      <c r="X1030" s="9">
        <v>94069</v>
      </c>
      <c r="Y1030" s="30">
        <f>X1030/V1030</f>
        <v>0.69241187425013062</v>
      </c>
      <c r="Z1030" s="90"/>
      <c r="AA1030" s="1" t="s">
        <v>29738</v>
      </c>
      <c r="AD1030" s="1" t="s">
        <v>29739</v>
      </c>
    </row>
    <row r="1031" spans="1:30" hidden="1" x14ac:dyDescent="0.25">
      <c r="A1031">
        <v>225111</v>
      </c>
      <c r="B1031" t="s">
        <v>1358</v>
      </c>
      <c r="C1031" t="s">
        <v>6958</v>
      </c>
      <c r="D1031">
        <v>2</v>
      </c>
      <c r="E1031" t="s">
        <v>1358</v>
      </c>
      <c r="F1031" t="s">
        <v>6958</v>
      </c>
      <c r="G1031" s="3"/>
      <c r="H1031" s="21">
        <v>0</v>
      </c>
      <c r="I1031" s="21">
        <v>0</v>
      </c>
      <c r="J1031" s="21">
        <v>0</v>
      </c>
      <c r="K1031" s="21">
        <v>0</v>
      </c>
      <c r="L1031" s="3">
        <f t="shared" si="50"/>
        <v>0</v>
      </c>
      <c r="M1031" s="3"/>
      <c r="N1031" s="3">
        <f t="shared" si="51"/>
        <v>0</v>
      </c>
      <c r="R1031" s="89"/>
      <c r="S1031" s="89">
        <f>100%-Table34[[#This Row],[PDF_initial fee]]</f>
        <v>1</v>
      </c>
      <c r="T1031" s="89"/>
      <c r="U1031" s="26"/>
    </row>
    <row r="1032" spans="1:30" hidden="1" x14ac:dyDescent="0.25">
      <c r="A1032">
        <v>225112</v>
      </c>
      <c r="B1032" t="s">
        <v>1359</v>
      </c>
      <c r="C1032" t="s">
        <v>29740</v>
      </c>
      <c r="D1032">
        <v>4</v>
      </c>
      <c r="E1032" t="s">
        <v>1359</v>
      </c>
      <c r="G1032" s="3"/>
      <c r="I1032" s="3"/>
      <c r="J1032" s="21"/>
      <c r="L1032" s="3">
        <v>0</v>
      </c>
      <c r="M1032" s="3"/>
      <c r="N1032" s="3">
        <f t="shared" si="51"/>
        <v>0</v>
      </c>
      <c r="R1032" s="89"/>
      <c r="S1032" s="89">
        <f>100%-Table34[[#This Row],[PDF_initial fee]]</f>
        <v>1</v>
      </c>
      <c r="T1032" s="89"/>
      <c r="U1032" s="26"/>
    </row>
    <row r="1033" spans="1:30" hidden="1" x14ac:dyDescent="0.25">
      <c r="A1033">
        <v>225174</v>
      </c>
      <c r="B1033" t="s">
        <v>1360</v>
      </c>
      <c r="C1033" t="s">
        <v>29741</v>
      </c>
      <c r="D1033">
        <v>16</v>
      </c>
      <c r="E1033" t="s">
        <v>1360</v>
      </c>
      <c r="G1033" s="3"/>
      <c r="H1033" s="21">
        <v>0</v>
      </c>
      <c r="I1033" s="21">
        <v>0</v>
      </c>
      <c r="J1033" s="21">
        <v>0</v>
      </c>
      <c r="K1033" s="21">
        <v>0</v>
      </c>
      <c r="L1033" s="3">
        <f t="shared" ref="L1033:L1065" si="52">SUM(H1033:K1033)</f>
        <v>0</v>
      </c>
      <c r="M1033" s="3"/>
      <c r="N1033" s="3">
        <f t="shared" si="51"/>
        <v>0</v>
      </c>
      <c r="O1033" s="21"/>
      <c r="R1033" s="89"/>
      <c r="S1033" s="89">
        <f>100%-Table34[[#This Row],[PDF_initial fee]]</f>
        <v>1</v>
      </c>
      <c r="T1033" s="89"/>
      <c r="U1033" s="26"/>
    </row>
    <row r="1034" spans="1:30" hidden="1" x14ac:dyDescent="0.25">
      <c r="A1034">
        <v>225179</v>
      </c>
      <c r="B1034" t="s">
        <v>1361</v>
      </c>
      <c r="C1034" t="s">
        <v>12317</v>
      </c>
      <c r="D1034">
        <v>2</v>
      </c>
      <c r="E1034" t="s">
        <v>1361</v>
      </c>
      <c r="G1034" s="3"/>
      <c r="H1034" s="21">
        <v>0</v>
      </c>
      <c r="I1034" s="21">
        <v>0</v>
      </c>
      <c r="J1034" s="21">
        <v>0</v>
      </c>
      <c r="K1034" s="21">
        <v>0</v>
      </c>
      <c r="L1034" s="3">
        <f t="shared" si="52"/>
        <v>0</v>
      </c>
      <c r="M1034" s="3"/>
      <c r="N1034" s="3">
        <f t="shared" si="51"/>
        <v>0</v>
      </c>
      <c r="R1034" s="89"/>
      <c r="S1034" s="89">
        <f>100%-Table34[[#This Row],[PDF_initial fee]]</f>
        <v>1</v>
      </c>
      <c r="T1034" s="89"/>
      <c r="U1034" s="26"/>
    </row>
    <row r="1035" spans="1:30" hidden="1" x14ac:dyDescent="0.25">
      <c r="A1035">
        <v>225183</v>
      </c>
      <c r="B1035" t="s">
        <v>1362</v>
      </c>
      <c r="C1035" t="s">
        <v>6958</v>
      </c>
      <c r="D1035">
        <v>5</v>
      </c>
      <c r="E1035" t="s">
        <v>1362</v>
      </c>
      <c r="F1035" t="s">
        <v>6958</v>
      </c>
      <c r="G1035" s="3"/>
      <c r="H1035" s="21">
        <v>0</v>
      </c>
      <c r="I1035" s="21">
        <v>0</v>
      </c>
      <c r="J1035" s="21">
        <v>0</v>
      </c>
      <c r="K1035" s="21">
        <v>0</v>
      </c>
      <c r="L1035" s="3">
        <f t="shared" si="52"/>
        <v>0</v>
      </c>
      <c r="M1035" s="3"/>
      <c r="N1035" s="3">
        <f t="shared" si="51"/>
        <v>0</v>
      </c>
      <c r="R1035" s="89"/>
      <c r="S1035" s="89">
        <f>100%-Table34[[#This Row],[PDF_initial fee]]</f>
        <v>1</v>
      </c>
      <c r="T1035" s="89"/>
      <c r="U1035" s="26"/>
    </row>
    <row r="1036" spans="1:30" hidden="1" x14ac:dyDescent="0.25">
      <c r="A1036">
        <v>225249</v>
      </c>
      <c r="B1036" t="s">
        <v>1363</v>
      </c>
      <c r="C1036" s="1" t="s">
        <v>29742</v>
      </c>
      <c r="D1036">
        <v>3</v>
      </c>
      <c r="E1036" t="s">
        <v>1363</v>
      </c>
      <c r="G1036" s="3"/>
      <c r="H1036" s="3">
        <v>0</v>
      </c>
      <c r="I1036" s="3">
        <v>0</v>
      </c>
      <c r="J1036" s="3">
        <v>0</v>
      </c>
      <c r="K1036" s="3">
        <v>0</v>
      </c>
      <c r="L1036" s="3">
        <f t="shared" si="52"/>
        <v>0</v>
      </c>
      <c r="M1036" s="3"/>
      <c r="N1036" s="3">
        <f t="shared" si="51"/>
        <v>0</v>
      </c>
      <c r="R1036" s="89"/>
      <c r="S1036" s="89">
        <f>100%-Table34[[#This Row],[PDF_initial fee]]</f>
        <v>1</v>
      </c>
      <c r="T1036" s="89"/>
      <c r="U1036" s="26"/>
    </row>
    <row r="1037" spans="1:30" hidden="1" x14ac:dyDescent="0.25">
      <c r="A1037">
        <v>225286</v>
      </c>
      <c r="B1037" t="s">
        <v>1364</v>
      </c>
      <c r="C1037" t="s">
        <v>8414</v>
      </c>
      <c r="D1037">
        <v>4</v>
      </c>
      <c r="E1037" t="s">
        <v>1364</v>
      </c>
      <c r="G1037" s="3"/>
      <c r="H1037" s="21">
        <v>0</v>
      </c>
      <c r="I1037" s="21">
        <v>0</v>
      </c>
      <c r="J1037" s="21">
        <v>0</v>
      </c>
      <c r="K1037" s="21">
        <v>0</v>
      </c>
      <c r="L1037" s="3">
        <f t="shared" si="52"/>
        <v>0</v>
      </c>
      <c r="M1037" s="3"/>
      <c r="N1037" s="3">
        <f t="shared" si="51"/>
        <v>0</v>
      </c>
      <c r="R1037" s="89"/>
      <c r="S1037" s="89">
        <f>100%-Table34[[#This Row],[PDF_initial fee]]</f>
        <v>1</v>
      </c>
      <c r="T1037" s="89"/>
      <c r="U1037" s="26"/>
    </row>
    <row r="1038" spans="1:30" hidden="1" x14ac:dyDescent="0.25">
      <c r="A1038">
        <v>225350</v>
      </c>
      <c r="B1038" t="s">
        <v>1366</v>
      </c>
      <c r="C1038" t="s">
        <v>7386</v>
      </c>
      <c r="D1038">
        <v>4</v>
      </c>
      <c r="E1038" t="s">
        <v>1366</v>
      </c>
      <c r="G1038" s="3"/>
      <c r="H1038" s="21">
        <v>0</v>
      </c>
      <c r="I1038" s="21">
        <v>0</v>
      </c>
      <c r="J1038" s="21">
        <v>0</v>
      </c>
      <c r="K1038" s="21">
        <v>0</v>
      </c>
      <c r="L1038" s="3">
        <f t="shared" si="52"/>
        <v>0</v>
      </c>
      <c r="M1038" s="3"/>
      <c r="N1038" s="3">
        <f t="shared" si="51"/>
        <v>0</v>
      </c>
      <c r="R1038" s="89"/>
      <c r="S1038" s="89">
        <f>100%-Table34[[#This Row],[PDF_initial fee]]</f>
        <v>1</v>
      </c>
      <c r="T1038" s="89"/>
      <c r="U1038" s="26"/>
    </row>
    <row r="1039" spans="1:30" hidden="1" x14ac:dyDescent="0.25">
      <c r="A1039">
        <v>225367</v>
      </c>
      <c r="B1039" t="s">
        <v>1367</v>
      </c>
      <c r="C1039" t="s">
        <v>6958</v>
      </c>
      <c r="D1039">
        <v>1</v>
      </c>
      <c r="E1039" t="s">
        <v>1367</v>
      </c>
      <c r="F1039" t="s">
        <v>6958</v>
      </c>
      <c r="G1039" s="3"/>
      <c r="H1039" s="21">
        <v>0</v>
      </c>
      <c r="I1039" s="21">
        <v>0</v>
      </c>
      <c r="J1039" s="21">
        <v>0</v>
      </c>
      <c r="K1039" s="21">
        <v>0</v>
      </c>
      <c r="L1039" s="3">
        <f t="shared" si="52"/>
        <v>0</v>
      </c>
      <c r="M1039" s="3"/>
      <c r="N1039" s="3">
        <f t="shared" si="51"/>
        <v>0</v>
      </c>
      <c r="R1039" s="89"/>
      <c r="S1039" s="89">
        <f>100%-Table34[[#This Row],[PDF_initial fee]]</f>
        <v>1</v>
      </c>
      <c r="T1039" s="89"/>
      <c r="U1039" s="26"/>
    </row>
    <row r="1040" spans="1:30" hidden="1" x14ac:dyDescent="0.25">
      <c r="A1040">
        <v>225376</v>
      </c>
      <c r="B1040" t="s">
        <v>1368</v>
      </c>
      <c r="C1040" t="s">
        <v>11047</v>
      </c>
      <c r="D1040">
        <v>5</v>
      </c>
      <c r="E1040" t="s">
        <v>1368</v>
      </c>
      <c r="G1040" s="3"/>
      <c r="H1040" s="21">
        <v>0</v>
      </c>
      <c r="I1040" s="21">
        <v>0</v>
      </c>
      <c r="J1040" s="21">
        <v>0</v>
      </c>
      <c r="K1040" s="21">
        <v>0</v>
      </c>
      <c r="L1040" s="3">
        <f t="shared" si="52"/>
        <v>0</v>
      </c>
      <c r="M1040" s="3"/>
      <c r="N1040" s="3">
        <f t="shared" si="51"/>
        <v>0</v>
      </c>
      <c r="R1040" s="89"/>
      <c r="S1040" s="89">
        <f>100%-Table34[[#This Row],[PDF_initial fee]]</f>
        <v>1</v>
      </c>
      <c r="T1040" s="89"/>
      <c r="U1040" s="26"/>
    </row>
    <row r="1041" spans="1:27" hidden="1" x14ac:dyDescent="0.25">
      <c r="A1041">
        <v>225384</v>
      </c>
      <c r="B1041" t="s">
        <v>1369</v>
      </c>
      <c r="C1041" t="s">
        <v>29743</v>
      </c>
      <c r="D1041">
        <v>1</v>
      </c>
      <c r="E1041" t="s">
        <v>1369</v>
      </c>
      <c r="G1041" s="3"/>
      <c r="H1041" s="21">
        <v>0</v>
      </c>
      <c r="I1041" s="21">
        <v>0</v>
      </c>
      <c r="J1041" s="21">
        <v>0</v>
      </c>
      <c r="K1041" s="21">
        <v>0</v>
      </c>
      <c r="L1041" s="3">
        <f t="shared" si="52"/>
        <v>0</v>
      </c>
      <c r="M1041" s="3"/>
      <c r="N1041" s="3">
        <f t="shared" si="51"/>
        <v>0</v>
      </c>
      <c r="O1041" s="21"/>
      <c r="R1041" s="89"/>
      <c r="S1041" s="89">
        <f>100%-Table34[[#This Row],[PDF_initial fee]]</f>
        <v>1</v>
      </c>
      <c r="T1041" s="89"/>
      <c r="U1041" s="26"/>
    </row>
    <row r="1042" spans="1:27" hidden="1" x14ac:dyDescent="0.25">
      <c r="A1042">
        <v>225401</v>
      </c>
      <c r="B1042" t="s">
        <v>1370</v>
      </c>
      <c r="C1042" s="1" t="s">
        <v>6958</v>
      </c>
      <c r="D1042">
        <v>2</v>
      </c>
      <c r="E1042" t="s">
        <v>1370</v>
      </c>
      <c r="F1042" t="s">
        <v>6958</v>
      </c>
      <c r="G1042" s="3"/>
      <c r="H1042" s="3">
        <v>0</v>
      </c>
      <c r="I1042" s="3">
        <v>0</v>
      </c>
      <c r="J1042" s="3">
        <v>0</v>
      </c>
      <c r="K1042" s="3">
        <v>0</v>
      </c>
      <c r="L1042" s="3">
        <f t="shared" si="52"/>
        <v>0</v>
      </c>
      <c r="M1042" s="3"/>
      <c r="N1042" s="3">
        <f t="shared" si="51"/>
        <v>0</v>
      </c>
      <c r="R1042" s="89"/>
      <c r="S1042" s="89">
        <f>100%-Table34[[#This Row],[PDF_initial fee]]</f>
        <v>1</v>
      </c>
      <c r="T1042" s="89"/>
      <c r="U1042" s="26"/>
    </row>
    <row r="1043" spans="1:27" hidden="1" x14ac:dyDescent="0.25">
      <c r="A1043">
        <v>225488</v>
      </c>
      <c r="B1043" t="s">
        <v>1371</v>
      </c>
      <c r="C1043" t="s">
        <v>10192</v>
      </c>
      <c r="D1043">
        <v>18</v>
      </c>
      <c r="E1043" t="s">
        <v>1371</v>
      </c>
      <c r="G1043" s="3"/>
      <c r="H1043" s="21">
        <v>0</v>
      </c>
      <c r="I1043" s="21">
        <v>0</v>
      </c>
      <c r="J1043" s="21">
        <v>0</v>
      </c>
      <c r="K1043" s="21">
        <v>0</v>
      </c>
      <c r="L1043" s="3">
        <f t="shared" si="52"/>
        <v>0</v>
      </c>
      <c r="M1043" s="3"/>
      <c r="N1043" s="3">
        <f t="shared" si="51"/>
        <v>0</v>
      </c>
      <c r="R1043" s="89"/>
      <c r="S1043" s="89">
        <f>100%-Table34[[#This Row],[PDF_initial fee]]</f>
        <v>1</v>
      </c>
      <c r="T1043" s="89"/>
      <c r="U1043" s="26"/>
    </row>
    <row r="1044" spans="1:27" hidden="1" x14ac:dyDescent="0.25">
      <c r="A1044">
        <v>225495</v>
      </c>
      <c r="B1044" t="s">
        <v>1372</v>
      </c>
      <c r="C1044" t="s">
        <v>7759</v>
      </c>
      <c r="D1044">
        <v>4</v>
      </c>
      <c r="E1044" t="s">
        <v>1372</v>
      </c>
      <c r="G1044" s="3"/>
      <c r="H1044" s="21">
        <v>0</v>
      </c>
      <c r="I1044" s="21">
        <v>0</v>
      </c>
      <c r="J1044" s="21">
        <v>0</v>
      </c>
      <c r="K1044" s="21">
        <v>0</v>
      </c>
      <c r="L1044" s="3">
        <f t="shared" si="52"/>
        <v>0</v>
      </c>
      <c r="M1044" s="3"/>
      <c r="N1044" s="3">
        <f t="shared" si="51"/>
        <v>0</v>
      </c>
      <c r="R1044" s="89"/>
      <c r="S1044" s="89">
        <f>100%-Table34[[#This Row],[PDF_initial fee]]</f>
        <v>1</v>
      </c>
      <c r="T1044" s="89"/>
      <c r="U1044" s="26"/>
    </row>
    <row r="1045" spans="1:27" hidden="1" x14ac:dyDescent="0.25">
      <c r="A1045">
        <v>225509</v>
      </c>
      <c r="B1045" t="s">
        <v>1373</v>
      </c>
      <c r="C1045" t="s">
        <v>29744</v>
      </c>
      <c r="D1045">
        <v>0</v>
      </c>
      <c r="E1045" t="s">
        <v>1373</v>
      </c>
      <c r="F1045" t="s">
        <v>29136</v>
      </c>
      <c r="G1045" s="3"/>
      <c r="H1045" s="21">
        <v>0</v>
      </c>
      <c r="I1045" s="21">
        <v>0</v>
      </c>
      <c r="J1045" s="21">
        <v>0</v>
      </c>
      <c r="K1045" s="21">
        <v>0</v>
      </c>
      <c r="L1045" s="3">
        <f t="shared" si="52"/>
        <v>0</v>
      </c>
      <c r="M1045" s="3"/>
      <c r="N1045" s="3">
        <f t="shared" si="51"/>
        <v>0</v>
      </c>
      <c r="O1045" s="21"/>
      <c r="R1045" s="89"/>
      <c r="S1045" s="89">
        <f>100%-Table34[[#This Row],[PDF_initial fee]]</f>
        <v>1</v>
      </c>
      <c r="T1045" s="89"/>
      <c r="U1045" s="26"/>
    </row>
    <row r="1046" spans="1:27" hidden="1" x14ac:dyDescent="0.25">
      <c r="A1046">
        <v>225538</v>
      </c>
      <c r="B1046" t="s">
        <v>1374</v>
      </c>
      <c r="C1046" t="s">
        <v>10031</v>
      </c>
      <c r="D1046">
        <v>28</v>
      </c>
      <c r="E1046" t="s">
        <v>1374</v>
      </c>
      <c r="G1046" s="3"/>
      <c r="H1046" s="21">
        <v>0</v>
      </c>
      <c r="I1046" s="21">
        <v>0</v>
      </c>
      <c r="J1046" s="21">
        <v>0</v>
      </c>
      <c r="K1046" s="21">
        <v>0</v>
      </c>
      <c r="L1046" s="3">
        <f t="shared" si="52"/>
        <v>0</v>
      </c>
      <c r="M1046" s="3"/>
      <c r="N1046" s="3">
        <f t="shared" si="51"/>
        <v>0</v>
      </c>
      <c r="R1046" s="89"/>
      <c r="S1046" s="89">
        <f>100%-Table34[[#This Row],[PDF_initial fee]]</f>
        <v>1</v>
      </c>
      <c r="T1046" s="89"/>
      <c r="U1046" s="26"/>
    </row>
    <row r="1047" spans="1:27" hidden="1" x14ac:dyDescent="0.25">
      <c r="A1047">
        <v>225553</v>
      </c>
      <c r="B1047" t="s">
        <v>1375</v>
      </c>
      <c r="C1047" t="s">
        <v>6958</v>
      </c>
      <c r="D1047">
        <v>2</v>
      </c>
      <c r="E1047" t="s">
        <v>1375</v>
      </c>
      <c r="F1047" t="s">
        <v>6958</v>
      </c>
      <c r="G1047" s="3"/>
      <c r="H1047" s="21">
        <v>0</v>
      </c>
      <c r="I1047" s="21">
        <v>0</v>
      </c>
      <c r="J1047" s="21">
        <v>0</v>
      </c>
      <c r="K1047" s="21">
        <v>0</v>
      </c>
      <c r="L1047" s="3">
        <f t="shared" si="52"/>
        <v>0</v>
      </c>
      <c r="M1047" s="3"/>
      <c r="N1047" s="3">
        <f t="shared" si="51"/>
        <v>0</v>
      </c>
      <c r="R1047" s="89"/>
      <c r="S1047" s="89">
        <f>100%-Table34[[#This Row],[PDF_initial fee]]</f>
        <v>1</v>
      </c>
      <c r="T1047" s="89"/>
      <c r="U1047" s="26"/>
    </row>
    <row r="1048" spans="1:27" hidden="1" x14ac:dyDescent="0.25">
      <c r="A1048">
        <v>225566</v>
      </c>
      <c r="B1048" t="s">
        <v>1376</v>
      </c>
      <c r="C1048" t="s">
        <v>7072</v>
      </c>
      <c r="D1048">
        <v>11</v>
      </c>
      <c r="E1048" t="s">
        <v>1376</v>
      </c>
      <c r="G1048" s="3"/>
      <c r="H1048" s="21">
        <v>0</v>
      </c>
      <c r="I1048" s="21">
        <v>0</v>
      </c>
      <c r="J1048" s="21">
        <v>0</v>
      </c>
      <c r="K1048" s="21">
        <v>0</v>
      </c>
      <c r="L1048" s="3">
        <f t="shared" si="52"/>
        <v>0</v>
      </c>
      <c r="M1048" s="3"/>
      <c r="N1048" s="3">
        <f t="shared" si="51"/>
        <v>0</v>
      </c>
      <c r="R1048" s="89"/>
      <c r="S1048" s="89">
        <f>100%-Table34[[#This Row],[PDF_initial fee]]</f>
        <v>1</v>
      </c>
      <c r="T1048" s="89"/>
      <c r="U1048" s="26"/>
    </row>
    <row r="1049" spans="1:27" hidden="1" x14ac:dyDescent="0.25">
      <c r="A1049">
        <v>225607</v>
      </c>
      <c r="B1049" t="s">
        <v>1377</v>
      </c>
      <c r="C1049" t="s">
        <v>6958</v>
      </c>
      <c r="D1049">
        <v>1</v>
      </c>
      <c r="E1049" t="s">
        <v>1377</v>
      </c>
      <c r="F1049" t="s">
        <v>6958</v>
      </c>
      <c r="G1049" s="3"/>
      <c r="H1049" s="21">
        <v>0</v>
      </c>
      <c r="I1049" s="21">
        <v>0</v>
      </c>
      <c r="J1049" s="21">
        <v>0</v>
      </c>
      <c r="K1049" s="21">
        <v>0</v>
      </c>
      <c r="L1049" s="3">
        <f t="shared" si="52"/>
        <v>0</v>
      </c>
      <c r="M1049" s="3"/>
      <c r="N1049" s="3">
        <f t="shared" si="51"/>
        <v>0</v>
      </c>
      <c r="R1049" s="89"/>
      <c r="S1049" s="89">
        <f>100%-Table34[[#This Row],[PDF_initial fee]]</f>
        <v>1</v>
      </c>
      <c r="T1049" s="89"/>
      <c r="U1049" s="26"/>
    </row>
    <row r="1050" spans="1:27" hidden="1" x14ac:dyDescent="0.25">
      <c r="A1050">
        <v>225634</v>
      </c>
      <c r="B1050" t="s">
        <v>1378</v>
      </c>
      <c r="C1050" t="s">
        <v>29745</v>
      </c>
      <c r="D1050">
        <v>3</v>
      </c>
      <c r="E1050" t="s">
        <v>1378</v>
      </c>
      <c r="G1050" s="3"/>
      <c r="H1050" s="3">
        <v>0</v>
      </c>
      <c r="I1050" s="3">
        <v>0</v>
      </c>
      <c r="J1050" s="3">
        <v>0</v>
      </c>
      <c r="K1050" s="3">
        <v>0</v>
      </c>
      <c r="L1050" s="3">
        <f t="shared" si="52"/>
        <v>0</v>
      </c>
      <c r="M1050" s="3"/>
      <c r="N1050" s="3">
        <f t="shared" si="51"/>
        <v>0</v>
      </c>
      <c r="R1050" s="89"/>
      <c r="S1050" s="89">
        <f>100%-Table34[[#This Row],[PDF_initial fee]]</f>
        <v>1</v>
      </c>
      <c r="T1050" s="89"/>
      <c r="U1050" s="26"/>
    </row>
    <row r="1051" spans="1:27" hidden="1" x14ac:dyDescent="0.25">
      <c r="A1051">
        <v>225795</v>
      </c>
      <c r="B1051" t="s">
        <v>1379</v>
      </c>
      <c r="C1051" t="s">
        <v>10126</v>
      </c>
      <c r="D1051">
        <v>14</v>
      </c>
      <c r="E1051" t="s">
        <v>1379</v>
      </c>
      <c r="G1051" s="3"/>
      <c r="H1051" s="21">
        <v>0</v>
      </c>
      <c r="I1051" s="21">
        <v>0</v>
      </c>
      <c r="J1051" s="21">
        <v>0</v>
      </c>
      <c r="K1051" s="21">
        <v>0</v>
      </c>
      <c r="L1051" s="3">
        <f t="shared" si="52"/>
        <v>0</v>
      </c>
      <c r="M1051" s="3"/>
      <c r="N1051" s="3">
        <f t="shared" si="51"/>
        <v>0</v>
      </c>
      <c r="R1051" s="89"/>
      <c r="S1051" s="89">
        <f>100%-Table34[[#This Row],[PDF_initial fee]]</f>
        <v>1</v>
      </c>
      <c r="T1051" s="89"/>
      <c r="U1051" s="26"/>
    </row>
    <row r="1052" spans="1:27" hidden="1" x14ac:dyDescent="0.25">
      <c r="A1052">
        <v>225814</v>
      </c>
      <c r="B1052" t="s">
        <v>1380</v>
      </c>
      <c r="C1052" t="s">
        <v>29746</v>
      </c>
      <c r="D1052">
        <v>22</v>
      </c>
      <c r="E1052" t="s">
        <v>1380</v>
      </c>
      <c r="G1052" s="3"/>
      <c r="H1052" s="21">
        <v>0</v>
      </c>
      <c r="I1052" s="21">
        <v>0</v>
      </c>
      <c r="J1052" s="21">
        <v>0</v>
      </c>
      <c r="K1052" s="21">
        <v>0</v>
      </c>
      <c r="L1052" s="3">
        <f t="shared" si="52"/>
        <v>0</v>
      </c>
      <c r="M1052" s="3"/>
      <c r="N1052" s="3">
        <f t="shared" si="51"/>
        <v>0</v>
      </c>
      <c r="O1052" s="21"/>
      <c r="R1052" s="89"/>
      <c r="S1052" s="89">
        <f>100%-Table34[[#This Row],[PDF_initial fee]]</f>
        <v>1</v>
      </c>
      <c r="T1052" s="89"/>
      <c r="U1052" s="26"/>
    </row>
    <row r="1053" spans="1:27" hidden="1" x14ac:dyDescent="0.25">
      <c r="A1053">
        <v>225825</v>
      </c>
      <c r="B1053" t="s">
        <v>1381</v>
      </c>
      <c r="C1053" t="s">
        <v>29747</v>
      </c>
      <c r="D1053">
        <v>1</v>
      </c>
      <c r="E1053" t="s">
        <v>1381</v>
      </c>
      <c r="G1053" s="3"/>
      <c r="H1053" s="21">
        <v>0</v>
      </c>
      <c r="I1053" s="21">
        <v>0</v>
      </c>
      <c r="J1053" s="21">
        <v>0</v>
      </c>
      <c r="K1053" s="21">
        <v>0</v>
      </c>
      <c r="L1053" s="3">
        <f t="shared" si="52"/>
        <v>0</v>
      </c>
      <c r="M1053" s="3"/>
      <c r="N1053" s="3">
        <f t="shared" si="51"/>
        <v>0</v>
      </c>
      <c r="O1053" s="21"/>
      <c r="R1053" s="89"/>
      <c r="S1053" s="89">
        <f>100%-Table34[[#This Row],[PDF_initial fee]]</f>
        <v>1</v>
      </c>
      <c r="T1053" s="89"/>
      <c r="U1053" s="26"/>
    </row>
    <row r="1054" spans="1:27" x14ac:dyDescent="0.25">
      <c r="A1054">
        <v>170982</v>
      </c>
      <c r="B1054" t="s">
        <v>78</v>
      </c>
      <c r="C1054" t="s">
        <v>29748</v>
      </c>
      <c r="D1054">
        <v>6</v>
      </c>
      <c r="E1054" t="s">
        <v>78</v>
      </c>
      <c r="F1054" t="s">
        <v>3</v>
      </c>
      <c r="G1054" s="3">
        <v>1.4E-3</v>
      </c>
      <c r="H1054" s="3">
        <v>0.02</v>
      </c>
      <c r="I1054" s="3">
        <v>5.0000000000000001E-3</v>
      </c>
      <c r="J1054" s="6">
        <v>0</v>
      </c>
      <c r="K1054" s="6">
        <v>0</v>
      </c>
      <c r="L1054" s="3">
        <f t="shared" si="52"/>
        <v>2.5000000000000001E-2</v>
      </c>
      <c r="M1054" s="3"/>
      <c r="N1054" s="3">
        <f t="shared" si="51"/>
        <v>2.64E-2</v>
      </c>
      <c r="P1054" s="1" t="s">
        <v>29749</v>
      </c>
      <c r="Q1054" t="s">
        <v>31787</v>
      </c>
      <c r="R1054" s="89">
        <v>0.33333333333333348</v>
      </c>
      <c r="S1054" s="89">
        <f>100%-Table34[[#This Row],[InitialFee]]</f>
        <v>0.98</v>
      </c>
      <c r="T1054" s="89">
        <f>(1-Table34[[#This Row],[OngoingFee (plus Platform fee)]])^5</f>
        <v>0.97524875312187509</v>
      </c>
      <c r="U1054" s="26">
        <f>(1+Table34[[#This Row],[Net 5yrs return (mostly up to 28th of Feb 2026)]])*Table34[[#This Row],[Investment after initial charge]]*Table34[[#This Row],[Cummulative 5yrs ongoing advice charge]]-1</f>
        <v>0.27432503741258363</v>
      </c>
      <c r="V1054" s="10">
        <v>314916</v>
      </c>
      <c r="W1054" t="s">
        <v>29051</v>
      </c>
      <c r="X1054" s="10">
        <v>313669</v>
      </c>
      <c r="Y1054" s="30">
        <f>X1054/V1054</f>
        <v>0.99604021389830943</v>
      </c>
      <c r="AA1054" s="1" t="s">
        <v>29750</v>
      </c>
    </row>
    <row r="1055" spans="1:27" hidden="1" x14ac:dyDescent="0.25">
      <c r="A1055">
        <v>226032</v>
      </c>
      <c r="B1055" t="s">
        <v>1383</v>
      </c>
      <c r="C1055" t="s">
        <v>7284</v>
      </c>
      <c r="D1055">
        <v>1</v>
      </c>
      <c r="E1055" t="s">
        <v>1383</v>
      </c>
      <c r="G1055" s="3"/>
      <c r="H1055" s="21">
        <v>0</v>
      </c>
      <c r="I1055" s="21">
        <v>0</v>
      </c>
      <c r="J1055" s="21">
        <v>0</v>
      </c>
      <c r="K1055" s="21">
        <v>0</v>
      </c>
      <c r="L1055" s="3">
        <f t="shared" si="52"/>
        <v>0</v>
      </c>
      <c r="M1055" s="3"/>
      <c r="N1055" s="3">
        <f t="shared" si="51"/>
        <v>0</v>
      </c>
      <c r="R1055" s="89"/>
      <c r="S1055" s="89">
        <f>100%-Table34[[#This Row],[PDF_initial fee]]</f>
        <v>1</v>
      </c>
      <c r="T1055" s="89"/>
      <c r="U1055" s="26"/>
    </row>
    <row r="1056" spans="1:27" hidden="1" x14ac:dyDescent="0.25">
      <c r="A1056">
        <v>226033</v>
      </c>
      <c r="B1056" t="s">
        <v>1384</v>
      </c>
      <c r="C1056" t="s">
        <v>6958</v>
      </c>
      <c r="D1056">
        <v>2</v>
      </c>
      <c r="E1056" t="s">
        <v>1384</v>
      </c>
      <c r="F1056" t="s">
        <v>6958</v>
      </c>
      <c r="G1056" s="3"/>
      <c r="H1056" s="21">
        <v>0</v>
      </c>
      <c r="I1056" s="21">
        <v>0</v>
      </c>
      <c r="J1056" s="21">
        <v>0</v>
      </c>
      <c r="K1056" s="21">
        <v>0</v>
      </c>
      <c r="L1056" s="3">
        <f t="shared" si="52"/>
        <v>0</v>
      </c>
      <c r="M1056" s="3"/>
      <c r="N1056" s="3">
        <f t="shared" si="51"/>
        <v>0</v>
      </c>
      <c r="R1056" s="89"/>
      <c r="S1056" s="89">
        <f>100%-Table34[[#This Row],[PDF_initial fee]]</f>
        <v>1</v>
      </c>
      <c r="T1056" s="89"/>
      <c r="U1056" s="26"/>
    </row>
    <row r="1057" spans="1:30" hidden="1" x14ac:dyDescent="0.25">
      <c r="A1057">
        <v>226154</v>
      </c>
      <c r="B1057" t="s">
        <v>1385</v>
      </c>
      <c r="C1057" t="s">
        <v>12591</v>
      </c>
      <c r="D1057">
        <v>1</v>
      </c>
      <c r="E1057" t="s">
        <v>1385</v>
      </c>
      <c r="G1057" s="3"/>
      <c r="H1057" s="21">
        <v>0</v>
      </c>
      <c r="I1057" s="21">
        <v>0</v>
      </c>
      <c r="J1057" s="21">
        <v>0</v>
      </c>
      <c r="K1057" s="21">
        <v>0</v>
      </c>
      <c r="L1057" s="3">
        <f t="shared" si="52"/>
        <v>0</v>
      </c>
      <c r="M1057" s="3"/>
      <c r="N1057" s="3">
        <f t="shared" si="51"/>
        <v>0</v>
      </c>
      <c r="R1057" s="89"/>
      <c r="S1057" s="89">
        <f>100%-Table34[[#This Row],[PDF_initial fee]]</f>
        <v>1</v>
      </c>
      <c r="T1057" s="89"/>
      <c r="U1057" s="26"/>
    </row>
    <row r="1058" spans="1:30" hidden="1" x14ac:dyDescent="0.25">
      <c r="A1058">
        <v>226263</v>
      </c>
      <c r="B1058" t="s">
        <v>1386</v>
      </c>
      <c r="C1058" t="s">
        <v>6958</v>
      </c>
      <c r="D1058">
        <v>2</v>
      </c>
      <c r="E1058" t="s">
        <v>1386</v>
      </c>
      <c r="F1058" t="s">
        <v>6958</v>
      </c>
      <c r="G1058" s="3"/>
      <c r="H1058" s="21">
        <v>0</v>
      </c>
      <c r="I1058" s="21">
        <v>0</v>
      </c>
      <c r="J1058" s="21">
        <v>0</v>
      </c>
      <c r="K1058" s="21">
        <v>0</v>
      </c>
      <c r="L1058" s="3">
        <f t="shared" si="52"/>
        <v>0</v>
      </c>
      <c r="M1058" s="3"/>
      <c r="N1058" s="3">
        <f t="shared" si="51"/>
        <v>0</v>
      </c>
      <c r="R1058" s="89"/>
      <c r="S1058" s="89">
        <f>100%-Table34[[#This Row],[PDF_initial fee]]</f>
        <v>1</v>
      </c>
      <c r="T1058" s="89"/>
      <c r="U1058" s="26"/>
    </row>
    <row r="1059" spans="1:30" hidden="1" x14ac:dyDescent="0.25">
      <c r="A1059">
        <v>226338</v>
      </c>
      <c r="B1059" t="s">
        <v>1387</v>
      </c>
      <c r="C1059" t="s">
        <v>7971</v>
      </c>
      <c r="D1059">
        <v>2</v>
      </c>
      <c r="E1059" t="s">
        <v>1387</v>
      </c>
      <c r="G1059" s="3"/>
      <c r="L1059" s="3">
        <f t="shared" si="52"/>
        <v>0</v>
      </c>
      <c r="M1059" s="3"/>
      <c r="N1059" s="3">
        <f t="shared" si="51"/>
        <v>0</v>
      </c>
      <c r="R1059" s="89"/>
      <c r="S1059" s="89">
        <f>100%-Table34[[#This Row],[PDF_initial fee]]</f>
        <v>1</v>
      </c>
      <c r="T1059" s="89"/>
      <c r="U1059" s="26"/>
    </row>
    <row r="1060" spans="1:30" hidden="1" x14ac:dyDescent="0.25">
      <c r="A1060">
        <v>226344</v>
      </c>
      <c r="B1060" t="s">
        <v>1388</v>
      </c>
      <c r="C1060" t="s">
        <v>29751</v>
      </c>
      <c r="D1060">
        <v>45</v>
      </c>
      <c r="E1060" t="s">
        <v>1388</v>
      </c>
      <c r="F1060" t="s">
        <v>6</v>
      </c>
      <c r="G1060" s="3"/>
      <c r="H1060" s="3">
        <v>0</v>
      </c>
      <c r="I1060" s="3">
        <v>0</v>
      </c>
      <c r="J1060" s="3">
        <v>0</v>
      </c>
      <c r="K1060" s="3">
        <v>0</v>
      </c>
      <c r="L1060" s="3">
        <f t="shared" si="52"/>
        <v>0</v>
      </c>
      <c r="M1060" s="3"/>
      <c r="N1060" s="3">
        <f t="shared" si="51"/>
        <v>0</v>
      </c>
      <c r="R1060" s="89"/>
      <c r="S1060" s="89">
        <f>100%-Table34[[#This Row],[PDF_initial fee]]</f>
        <v>1</v>
      </c>
      <c r="T1060" s="89"/>
      <c r="U1060" s="26"/>
    </row>
    <row r="1061" spans="1:30" hidden="1" x14ac:dyDescent="0.25">
      <c r="A1061">
        <v>226348</v>
      </c>
      <c r="B1061" t="s">
        <v>1389</v>
      </c>
      <c r="C1061" t="s">
        <v>12435</v>
      </c>
      <c r="D1061">
        <v>1</v>
      </c>
      <c r="E1061" t="s">
        <v>1389</v>
      </c>
      <c r="G1061" s="3"/>
      <c r="L1061" s="3">
        <f t="shared" si="52"/>
        <v>0</v>
      </c>
      <c r="M1061" s="3"/>
      <c r="N1061" s="3">
        <f t="shared" si="51"/>
        <v>0</v>
      </c>
      <c r="R1061" s="89"/>
      <c r="S1061" s="89">
        <f>100%-Table34[[#This Row],[PDF_initial fee]]</f>
        <v>1</v>
      </c>
      <c r="T1061" s="89"/>
      <c r="U1061" s="26"/>
    </row>
    <row r="1062" spans="1:30" hidden="1" x14ac:dyDescent="0.25">
      <c r="A1062">
        <v>226351</v>
      </c>
      <c r="B1062" t="s">
        <v>1390</v>
      </c>
      <c r="C1062" t="s">
        <v>7348</v>
      </c>
      <c r="D1062">
        <v>1</v>
      </c>
      <c r="E1062" t="s">
        <v>1390</v>
      </c>
      <c r="G1062" s="3"/>
      <c r="H1062" s="21">
        <v>0</v>
      </c>
      <c r="I1062" s="21">
        <v>0</v>
      </c>
      <c r="J1062" s="21">
        <v>0</v>
      </c>
      <c r="K1062" s="21">
        <v>0</v>
      </c>
      <c r="L1062" s="3">
        <f t="shared" si="52"/>
        <v>0</v>
      </c>
      <c r="M1062" s="3"/>
      <c r="N1062" s="3">
        <f t="shared" si="51"/>
        <v>0</v>
      </c>
      <c r="O1062" s="21"/>
      <c r="R1062" s="89"/>
      <c r="S1062" s="89">
        <f>100%-Table34[[#This Row],[PDF_initial fee]]</f>
        <v>1</v>
      </c>
      <c r="T1062" s="89"/>
      <c r="U1062" s="26"/>
    </row>
    <row r="1063" spans="1:30" hidden="1" x14ac:dyDescent="0.25">
      <c r="A1063">
        <v>226353</v>
      </c>
      <c r="B1063" t="s">
        <v>1391</v>
      </c>
      <c r="C1063" t="s">
        <v>9998</v>
      </c>
      <c r="D1063">
        <v>1</v>
      </c>
      <c r="E1063" t="s">
        <v>1391</v>
      </c>
      <c r="G1063" s="3"/>
      <c r="H1063" s="21">
        <v>0</v>
      </c>
      <c r="I1063" s="21">
        <v>0</v>
      </c>
      <c r="J1063" s="21">
        <v>0</v>
      </c>
      <c r="K1063" s="21">
        <v>0</v>
      </c>
      <c r="L1063" s="3">
        <f t="shared" si="52"/>
        <v>0</v>
      </c>
      <c r="M1063" s="3"/>
      <c r="N1063" s="3">
        <f t="shared" si="51"/>
        <v>0</v>
      </c>
      <c r="R1063" s="89"/>
      <c r="S1063" s="89">
        <f>100%-Table34[[#This Row],[PDF_initial fee]]</f>
        <v>1</v>
      </c>
      <c r="T1063" s="89"/>
      <c r="U1063" s="26"/>
    </row>
    <row r="1064" spans="1:30" hidden="1" x14ac:dyDescent="0.25">
      <c r="A1064">
        <v>226354</v>
      </c>
      <c r="B1064" t="s">
        <v>1392</v>
      </c>
      <c r="C1064" t="s">
        <v>12260</v>
      </c>
      <c r="D1064">
        <v>1</v>
      </c>
      <c r="E1064" t="s">
        <v>1392</v>
      </c>
      <c r="G1064" s="3"/>
      <c r="H1064" s="21">
        <v>0</v>
      </c>
      <c r="I1064" s="21">
        <v>0</v>
      </c>
      <c r="J1064" s="21">
        <v>0</v>
      </c>
      <c r="K1064" s="21">
        <v>0</v>
      </c>
      <c r="L1064" s="3">
        <f t="shared" si="52"/>
        <v>0</v>
      </c>
      <c r="M1064" s="3"/>
      <c r="N1064" s="3">
        <f t="shared" si="51"/>
        <v>0</v>
      </c>
      <c r="R1064" s="89"/>
      <c r="S1064" s="89">
        <f>100%-Table34[[#This Row],[PDF_initial fee]]</f>
        <v>1</v>
      </c>
      <c r="T1064" s="89"/>
      <c r="U1064" s="26"/>
    </row>
    <row r="1065" spans="1:30" hidden="1" x14ac:dyDescent="0.25">
      <c r="A1065">
        <v>226391</v>
      </c>
      <c r="B1065" t="s">
        <v>1393</v>
      </c>
      <c r="C1065" t="s">
        <v>10369</v>
      </c>
      <c r="D1065">
        <v>2</v>
      </c>
      <c r="E1065" t="s">
        <v>1393</v>
      </c>
      <c r="G1065" s="3"/>
      <c r="H1065" s="21">
        <v>0</v>
      </c>
      <c r="I1065" s="21">
        <v>0</v>
      </c>
      <c r="J1065" s="21">
        <v>0</v>
      </c>
      <c r="K1065" s="21">
        <v>0</v>
      </c>
      <c r="L1065" s="3">
        <f t="shared" si="52"/>
        <v>0</v>
      </c>
      <c r="M1065" s="3"/>
      <c r="N1065" s="3">
        <f t="shared" si="51"/>
        <v>0</v>
      </c>
      <c r="R1065" s="89"/>
      <c r="S1065" s="89">
        <f>100%-Table34[[#This Row],[PDF_initial fee]]</f>
        <v>1</v>
      </c>
      <c r="T1065" s="89"/>
      <c r="U1065" s="26"/>
    </row>
    <row r="1066" spans="1:30" x14ac:dyDescent="0.25">
      <c r="A1066">
        <v>921826</v>
      </c>
      <c r="B1066" t="s">
        <v>329</v>
      </c>
      <c r="C1066" s="1" t="s">
        <v>9489</v>
      </c>
      <c r="D1066">
        <v>1</v>
      </c>
      <c r="E1066" t="s">
        <v>329</v>
      </c>
      <c r="F1066" t="s">
        <v>3</v>
      </c>
      <c r="G1066" s="3">
        <v>1.4E-3</v>
      </c>
      <c r="H1066" s="3"/>
      <c r="I1066" s="3"/>
      <c r="J1066" s="6">
        <v>0.03</v>
      </c>
      <c r="K1066" s="6">
        <v>0</v>
      </c>
      <c r="L1066" s="3">
        <f>SUM(I1066:K1066)</f>
        <v>0.03</v>
      </c>
      <c r="M1066" s="3"/>
      <c r="N1066" s="3">
        <f t="shared" si="51"/>
        <v>3.1399999999999997E-2</v>
      </c>
      <c r="O1066" t="s">
        <v>29752</v>
      </c>
      <c r="P1066" s="31" t="s">
        <v>29753</v>
      </c>
      <c r="Q1066" t="s">
        <v>31787</v>
      </c>
      <c r="R1066" s="89">
        <v>0.33333333333333348</v>
      </c>
      <c r="S1066" s="89">
        <f>100%-Table34[[#This Row],[PDF_initial fee]]</f>
        <v>0.97</v>
      </c>
      <c r="T1066" s="89">
        <f>(1-Table34[[#This Row],[PDF ongoing fee]])^5</f>
        <v>1</v>
      </c>
      <c r="U1066" s="26">
        <f>(1+Table34[[#This Row],[Net 5yrs return (mostly up to 28th of Feb 2026)]])*Table34[[#This Row],[Investment after initial charge]]*Table34[[#This Row],[Cummulative 5yrs ongoing advice charge]]-1</f>
        <v>0.29333333333333345</v>
      </c>
      <c r="V1066">
        <f>98011+3173</f>
        <v>101184</v>
      </c>
      <c r="W1066" t="s">
        <v>29051</v>
      </c>
      <c r="X1066" s="9">
        <v>84438</v>
      </c>
      <c r="Y1066" s="30">
        <f>X1066/V1066</f>
        <v>0.83449952561669827</v>
      </c>
      <c r="AA1066" s="1" t="s">
        <v>29754</v>
      </c>
      <c r="AD1066" t="s">
        <v>29753</v>
      </c>
    </row>
    <row r="1067" spans="1:30" hidden="1" x14ac:dyDescent="0.25">
      <c r="A1067">
        <v>226615</v>
      </c>
      <c r="B1067" t="s">
        <v>1394</v>
      </c>
      <c r="C1067" t="s">
        <v>8528</v>
      </c>
      <c r="D1067">
        <v>1</v>
      </c>
      <c r="E1067" t="s">
        <v>1394</v>
      </c>
      <c r="G1067" s="3"/>
      <c r="H1067" s="21">
        <v>0</v>
      </c>
      <c r="I1067" s="21">
        <v>0</v>
      </c>
      <c r="J1067" s="21">
        <v>0</v>
      </c>
      <c r="K1067" s="21">
        <v>0</v>
      </c>
      <c r="L1067" s="3">
        <f t="shared" ref="L1067:L1098" si="53">SUM(H1067:K1067)</f>
        <v>0</v>
      </c>
      <c r="M1067" s="3"/>
      <c r="N1067" s="3">
        <f t="shared" si="51"/>
        <v>0</v>
      </c>
      <c r="R1067" s="89"/>
      <c r="S1067" s="89">
        <f>100%-Table34[[#This Row],[PDF_initial fee]]</f>
        <v>1</v>
      </c>
      <c r="T1067" s="89"/>
      <c r="U1067" s="26"/>
    </row>
    <row r="1068" spans="1:30" hidden="1" x14ac:dyDescent="0.25">
      <c r="A1068">
        <v>226748</v>
      </c>
      <c r="B1068" t="s">
        <v>1395</v>
      </c>
      <c r="C1068" t="s">
        <v>29755</v>
      </c>
      <c r="D1068">
        <v>1</v>
      </c>
      <c r="E1068" t="s">
        <v>1395</v>
      </c>
      <c r="G1068" s="3"/>
      <c r="H1068" s="3">
        <v>0</v>
      </c>
      <c r="I1068" s="3">
        <v>0</v>
      </c>
      <c r="J1068" s="3">
        <v>0</v>
      </c>
      <c r="K1068" s="3">
        <v>0</v>
      </c>
      <c r="L1068" s="3">
        <f t="shared" si="53"/>
        <v>0</v>
      </c>
      <c r="M1068" s="3"/>
      <c r="N1068" s="3">
        <f t="shared" si="51"/>
        <v>0</v>
      </c>
      <c r="R1068" s="89"/>
      <c r="S1068" s="89">
        <f>100%-Table34[[#This Row],[PDF_initial fee]]</f>
        <v>1</v>
      </c>
      <c r="T1068" s="89"/>
      <c r="U1068" s="26"/>
    </row>
    <row r="1069" spans="1:30" hidden="1" x14ac:dyDescent="0.25">
      <c r="A1069">
        <v>226749</v>
      </c>
      <c r="B1069" t="s">
        <v>1396</v>
      </c>
      <c r="C1069" t="s">
        <v>9962</v>
      </c>
      <c r="D1069">
        <v>3</v>
      </c>
      <c r="E1069" t="s">
        <v>1396</v>
      </c>
      <c r="G1069" s="3"/>
      <c r="H1069" s="21">
        <v>0</v>
      </c>
      <c r="I1069" s="21">
        <v>0</v>
      </c>
      <c r="J1069" s="21">
        <v>0</v>
      </c>
      <c r="K1069" s="21">
        <v>0</v>
      </c>
      <c r="L1069" s="3">
        <f t="shared" si="53"/>
        <v>0</v>
      </c>
      <c r="M1069" s="3"/>
      <c r="N1069" s="3">
        <f t="shared" si="51"/>
        <v>0</v>
      </c>
      <c r="R1069" s="89"/>
      <c r="S1069" s="89">
        <f>100%-Table34[[#This Row],[PDF_initial fee]]</f>
        <v>1</v>
      </c>
      <c r="T1069" s="89"/>
      <c r="U1069" s="26"/>
    </row>
    <row r="1070" spans="1:30" hidden="1" x14ac:dyDescent="0.25">
      <c r="A1070">
        <v>226779</v>
      </c>
      <c r="B1070" t="s">
        <v>1397</v>
      </c>
      <c r="C1070" t="s">
        <v>12146</v>
      </c>
      <c r="D1070">
        <v>1</v>
      </c>
      <c r="E1070" t="s">
        <v>1397</v>
      </c>
      <c r="G1070" s="3"/>
      <c r="L1070" s="3">
        <f t="shared" si="53"/>
        <v>0</v>
      </c>
      <c r="M1070" s="3"/>
      <c r="N1070" s="3">
        <f t="shared" si="51"/>
        <v>0</v>
      </c>
      <c r="R1070" s="89"/>
      <c r="S1070" s="89">
        <f>100%-Table34[[#This Row],[PDF_initial fee]]</f>
        <v>1</v>
      </c>
      <c r="T1070" s="89"/>
      <c r="U1070" s="26"/>
    </row>
    <row r="1071" spans="1:30" hidden="1" x14ac:dyDescent="0.25">
      <c r="A1071">
        <v>226918</v>
      </c>
      <c r="B1071" t="s">
        <v>1398</v>
      </c>
      <c r="C1071" t="s">
        <v>29756</v>
      </c>
      <c r="D1071">
        <v>8</v>
      </c>
      <c r="E1071" t="s">
        <v>1398</v>
      </c>
      <c r="G1071" s="3"/>
      <c r="H1071" s="3">
        <v>0</v>
      </c>
      <c r="I1071" s="3">
        <v>0</v>
      </c>
      <c r="J1071" s="3">
        <v>0</v>
      </c>
      <c r="K1071" s="3">
        <v>0</v>
      </c>
      <c r="L1071" s="3">
        <f t="shared" si="53"/>
        <v>0</v>
      </c>
      <c r="M1071" s="3"/>
      <c r="N1071" s="3">
        <f t="shared" si="51"/>
        <v>0</v>
      </c>
      <c r="R1071" s="89"/>
      <c r="S1071" s="89">
        <f>100%-Table34[[#This Row],[PDF_initial fee]]</f>
        <v>1</v>
      </c>
      <c r="T1071" s="89"/>
      <c r="U1071" s="26"/>
    </row>
    <row r="1072" spans="1:30" hidden="1" x14ac:dyDescent="0.25">
      <c r="A1072">
        <v>226955</v>
      </c>
      <c r="B1072" t="s">
        <v>1399</v>
      </c>
      <c r="C1072" t="s">
        <v>6958</v>
      </c>
      <c r="D1072">
        <v>3</v>
      </c>
      <c r="E1072" t="s">
        <v>1399</v>
      </c>
      <c r="F1072" t="s">
        <v>6958</v>
      </c>
      <c r="G1072" s="3"/>
      <c r="L1072" s="3">
        <f t="shared" si="53"/>
        <v>0</v>
      </c>
      <c r="M1072" s="3"/>
      <c r="N1072" s="3">
        <f t="shared" si="51"/>
        <v>0</v>
      </c>
      <c r="R1072" s="89"/>
      <c r="S1072" s="89">
        <f>100%-Table34[[#This Row],[PDF_initial fee]]</f>
        <v>1</v>
      </c>
      <c r="T1072" s="89"/>
      <c r="U1072" s="26"/>
    </row>
    <row r="1073" spans="1:21" hidden="1" x14ac:dyDescent="0.25">
      <c r="A1073">
        <v>227136</v>
      </c>
      <c r="B1073" t="s">
        <v>1400</v>
      </c>
      <c r="C1073" t="s">
        <v>29757</v>
      </c>
      <c r="D1073">
        <v>1</v>
      </c>
      <c r="E1073" t="s">
        <v>1400</v>
      </c>
      <c r="G1073" s="3"/>
      <c r="H1073" s="21">
        <v>0</v>
      </c>
      <c r="I1073" s="21">
        <v>0</v>
      </c>
      <c r="J1073" s="21">
        <v>0</v>
      </c>
      <c r="K1073" s="21">
        <v>0</v>
      </c>
      <c r="L1073" s="3">
        <f t="shared" si="53"/>
        <v>0</v>
      </c>
      <c r="M1073" s="3"/>
      <c r="N1073" s="3">
        <f t="shared" si="51"/>
        <v>0</v>
      </c>
      <c r="O1073" s="21"/>
      <c r="R1073" s="89"/>
      <c r="S1073" s="89">
        <f>100%-Table34[[#This Row],[PDF_initial fee]]</f>
        <v>1</v>
      </c>
      <c r="T1073" s="89"/>
      <c r="U1073" s="26"/>
    </row>
    <row r="1074" spans="1:21" hidden="1" x14ac:dyDescent="0.25">
      <c r="A1074">
        <v>227218</v>
      </c>
      <c r="B1074" t="s">
        <v>1401</v>
      </c>
      <c r="C1074" t="s">
        <v>6958</v>
      </c>
      <c r="D1074">
        <v>1</v>
      </c>
      <c r="E1074" t="s">
        <v>1401</v>
      </c>
      <c r="F1074" t="s">
        <v>6958</v>
      </c>
      <c r="G1074" s="3"/>
      <c r="H1074" s="21">
        <v>0</v>
      </c>
      <c r="I1074" s="21">
        <v>0</v>
      </c>
      <c r="J1074" s="21">
        <v>0</v>
      </c>
      <c r="K1074" s="21">
        <v>0</v>
      </c>
      <c r="L1074" s="3">
        <f t="shared" si="53"/>
        <v>0</v>
      </c>
      <c r="M1074" s="3"/>
      <c r="N1074" s="3">
        <f t="shared" si="51"/>
        <v>0</v>
      </c>
      <c r="R1074" s="89"/>
      <c r="S1074" s="89">
        <f>100%-Table34[[#This Row],[PDF_initial fee]]</f>
        <v>1</v>
      </c>
      <c r="T1074" s="89"/>
      <c r="U1074" s="26"/>
    </row>
    <row r="1075" spans="1:21" hidden="1" x14ac:dyDescent="0.25">
      <c r="A1075">
        <v>227440</v>
      </c>
      <c r="B1075" t="s">
        <v>1402</v>
      </c>
      <c r="C1075" t="s">
        <v>6958</v>
      </c>
      <c r="D1075">
        <v>1</v>
      </c>
      <c r="E1075" t="s">
        <v>1402</v>
      </c>
      <c r="F1075" t="s">
        <v>6958</v>
      </c>
      <c r="G1075" s="3"/>
      <c r="H1075" s="21">
        <v>0</v>
      </c>
      <c r="I1075" s="21">
        <v>0</v>
      </c>
      <c r="J1075" s="21">
        <v>0</v>
      </c>
      <c r="K1075" s="21">
        <v>0</v>
      </c>
      <c r="L1075" s="3">
        <f t="shared" si="53"/>
        <v>0</v>
      </c>
      <c r="M1075" s="3"/>
      <c r="N1075" s="3">
        <f t="shared" si="51"/>
        <v>0</v>
      </c>
      <c r="R1075" s="89"/>
      <c r="S1075" s="89">
        <f>100%-Table34[[#This Row],[PDF_initial fee]]</f>
        <v>1</v>
      </c>
      <c r="T1075" s="89"/>
      <c r="U1075" s="26"/>
    </row>
    <row r="1076" spans="1:21" hidden="1" x14ac:dyDescent="0.25">
      <c r="A1076">
        <v>227492</v>
      </c>
      <c r="B1076" t="s">
        <v>1403</v>
      </c>
      <c r="C1076" t="s">
        <v>29758</v>
      </c>
      <c r="D1076">
        <v>4</v>
      </c>
      <c r="E1076" t="s">
        <v>1403</v>
      </c>
      <c r="G1076" s="3"/>
      <c r="H1076" s="21">
        <v>0</v>
      </c>
      <c r="I1076" s="21">
        <v>0</v>
      </c>
      <c r="J1076" s="21">
        <v>0</v>
      </c>
      <c r="K1076" s="21">
        <v>0</v>
      </c>
      <c r="L1076" s="3">
        <f t="shared" si="53"/>
        <v>0</v>
      </c>
      <c r="M1076" s="3"/>
      <c r="N1076" s="3">
        <f t="shared" si="51"/>
        <v>0</v>
      </c>
      <c r="O1076" s="21"/>
      <c r="R1076" s="89"/>
      <c r="S1076" s="89">
        <f>100%-Table34[[#This Row],[PDF_initial fee]]</f>
        <v>1</v>
      </c>
      <c r="T1076" s="89"/>
      <c r="U1076" s="26"/>
    </row>
    <row r="1077" spans="1:21" hidden="1" x14ac:dyDescent="0.25">
      <c r="A1077">
        <v>227534</v>
      </c>
      <c r="B1077" t="s">
        <v>1404</v>
      </c>
      <c r="C1077" t="s">
        <v>29759</v>
      </c>
      <c r="D1077">
        <v>1</v>
      </c>
      <c r="E1077" t="s">
        <v>1404</v>
      </c>
      <c r="G1077" s="3"/>
      <c r="H1077" s="3">
        <v>0</v>
      </c>
      <c r="I1077" s="3">
        <v>0</v>
      </c>
      <c r="J1077" s="3">
        <v>0</v>
      </c>
      <c r="K1077" s="3">
        <v>0</v>
      </c>
      <c r="L1077" s="3">
        <f t="shared" si="53"/>
        <v>0</v>
      </c>
      <c r="M1077" s="3"/>
      <c r="N1077" s="3">
        <f t="shared" si="51"/>
        <v>0</v>
      </c>
      <c r="R1077" s="89"/>
      <c r="S1077" s="89">
        <f>100%-Table34[[#This Row],[PDF_initial fee]]</f>
        <v>1</v>
      </c>
      <c r="T1077" s="89"/>
      <c r="U1077" s="26"/>
    </row>
    <row r="1078" spans="1:21" hidden="1" x14ac:dyDescent="0.25">
      <c r="A1078">
        <v>227651</v>
      </c>
      <c r="B1078" t="s">
        <v>1405</v>
      </c>
      <c r="C1078" t="s">
        <v>10070</v>
      </c>
      <c r="D1078">
        <v>4</v>
      </c>
      <c r="E1078" t="s">
        <v>1405</v>
      </c>
      <c r="G1078" s="3"/>
      <c r="H1078" s="21">
        <v>0</v>
      </c>
      <c r="I1078" s="21">
        <v>0</v>
      </c>
      <c r="J1078" s="21">
        <v>0</v>
      </c>
      <c r="K1078" s="21">
        <v>0</v>
      </c>
      <c r="L1078" s="3">
        <f t="shared" si="53"/>
        <v>0</v>
      </c>
      <c r="M1078" s="3"/>
      <c r="N1078" s="3">
        <f t="shared" si="51"/>
        <v>0</v>
      </c>
      <c r="R1078" s="89"/>
      <c r="S1078" s="89">
        <f>100%-Table34[[#This Row],[PDF_initial fee]]</f>
        <v>1</v>
      </c>
      <c r="T1078" s="89"/>
      <c r="U1078" s="26"/>
    </row>
    <row r="1079" spans="1:21" hidden="1" x14ac:dyDescent="0.25">
      <c r="A1079">
        <v>227661</v>
      </c>
      <c r="B1079" t="s">
        <v>1406</v>
      </c>
      <c r="C1079" t="s">
        <v>29760</v>
      </c>
      <c r="D1079">
        <v>3</v>
      </c>
      <c r="E1079" t="s">
        <v>1406</v>
      </c>
      <c r="F1079" t="s">
        <v>3</v>
      </c>
      <c r="G1079" s="3"/>
      <c r="H1079" s="21">
        <v>0</v>
      </c>
      <c r="I1079" s="3">
        <v>0</v>
      </c>
      <c r="J1079" s="3">
        <v>0</v>
      </c>
      <c r="K1079">
        <v>0</v>
      </c>
      <c r="L1079" s="3">
        <f t="shared" si="53"/>
        <v>0</v>
      </c>
      <c r="M1079" s="3"/>
      <c r="N1079" s="3">
        <f t="shared" si="51"/>
        <v>0</v>
      </c>
      <c r="R1079" s="89"/>
      <c r="S1079" s="89">
        <f>100%-Table34[[#This Row],[PDF_initial fee]]</f>
        <v>1</v>
      </c>
      <c r="T1079" s="89"/>
      <c r="U1079" s="26"/>
    </row>
    <row r="1080" spans="1:21" hidden="1" x14ac:dyDescent="0.25">
      <c r="A1080">
        <v>227737</v>
      </c>
      <c r="B1080" t="s">
        <v>1407</v>
      </c>
      <c r="C1080" t="s">
        <v>6958</v>
      </c>
      <c r="D1080">
        <v>1</v>
      </c>
      <c r="E1080" t="s">
        <v>1407</v>
      </c>
      <c r="F1080" t="s">
        <v>6958</v>
      </c>
      <c r="G1080" s="3"/>
      <c r="H1080" s="21">
        <v>0</v>
      </c>
      <c r="I1080" s="21">
        <v>0</v>
      </c>
      <c r="J1080" s="21">
        <v>0</v>
      </c>
      <c r="K1080" s="21">
        <v>0</v>
      </c>
      <c r="L1080" s="3">
        <f t="shared" si="53"/>
        <v>0</v>
      </c>
      <c r="M1080" s="3"/>
      <c r="N1080" s="3">
        <f t="shared" si="51"/>
        <v>0</v>
      </c>
      <c r="R1080" s="89"/>
      <c r="S1080" s="89">
        <f>100%-Table34[[#This Row],[PDF_initial fee]]</f>
        <v>1</v>
      </c>
      <c r="T1080" s="89"/>
      <c r="U1080" s="26"/>
    </row>
    <row r="1081" spans="1:21" hidden="1" x14ac:dyDescent="0.25">
      <c r="A1081">
        <v>227780</v>
      </c>
      <c r="B1081" t="s">
        <v>1408</v>
      </c>
      <c r="C1081" t="s">
        <v>6958</v>
      </c>
      <c r="D1081">
        <v>1</v>
      </c>
      <c r="E1081" t="s">
        <v>1408</v>
      </c>
      <c r="F1081" t="s">
        <v>6958</v>
      </c>
      <c r="G1081" s="3"/>
      <c r="H1081" s="21">
        <v>0</v>
      </c>
      <c r="I1081" s="21">
        <v>0</v>
      </c>
      <c r="J1081" s="21">
        <v>0</v>
      </c>
      <c r="K1081" s="21">
        <v>0</v>
      </c>
      <c r="L1081" s="3">
        <f t="shared" si="53"/>
        <v>0</v>
      </c>
      <c r="M1081" s="3"/>
      <c r="N1081" s="3">
        <f t="shared" si="51"/>
        <v>0</v>
      </c>
      <c r="R1081" s="89"/>
      <c r="S1081" s="89">
        <f>100%-Table34[[#This Row],[PDF_initial fee]]</f>
        <v>1</v>
      </c>
      <c r="T1081" s="89"/>
      <c r="U1081" s="26"/>
    </row>
    <row r="1082" spans="1:21" hidden="1" x14ac:dyDescent="0.25">
      <c r="A1082">
        <v>227808</v>
      </c>
      <c r="B1082" t="s">
        <v>1409</v>
      </c>
      <c r="C1082" t="s">
        <v>6958</v>
      </c>
      <c r="D1082">
        <v>2</v>
      </c>
      <c r="E1082" t="s">
        <v>1409</v>
      </c>
      <c r="F1082" t="s">
        <v>6958</v>
      </c>
      <c r="G1082" s="3"/>
      <c r="H1082" s="21">
        <v>0</v>
      </c>
      <c r="I1082" s="21">
        <v>0</v>
      </c>
      <c r="J1082" s="21">
        <v>0</v>
      </c>
      <c r="K1082" s="21">
        <v>0</v>
      </c>
      <c r="L1082" s="3">
        <f t="shared" si="53"/>
        <v>0</v>
      </c>
      <c r="M1082" s="3"/>
      <c r="N1082" s="3">
        <f t="shared" ref="N1082:N1145" si="54">L1082+G1082</f>
        <v>0</v>
      </c>
      <c r="R1082" s="89"/>
      <c r="S1082" s="89">
        <f>100%-Table34[[#This Row],[PDF_initial fee]]</f>
        <v>1</v>
      </c>
      <c r="T1082" s="89"/>
      <c r="U1082" s="26"/>
    </row>
    <row r="1083" spans="1:21" hidden="1" x14ac:dyDescent="0.25">
      <c r="A1083">
        <v>227810</v>
      </c>
      <c r="B1083" t="s">
        <v>1410</v>
      </c>
      <c r="C1083" s="1" t="s">
        <v>29761</v>
      </c>
      <c r="D1083">
        <v>4</v>
      </c>
      <c r="E1083" t="s">
        <v>1410</v>
      </c>
      <c r="G1083" s="3"/>
      <c r="H1083" s="3">
        <v>0</v>
      </c>
      <c r="I1083" s="3">
        <v>0</v>
      </c>
      <c r="J1083" s="3">
        <v>0</v>
      </c>
      <c r="K1083" s="3">
        <v>0</v>
      </c>
      <c r="L1083" s="3">
        <f t="shared" si="53"/>
        <v>0</v>
      </c>
      <c r="M1083" s="3"/>
      <c r="N1083" s="3">
        <f t="shared" si="54"/>
        <v>0</v>
      </c>
      <c r="R1083" s="89"/>
      <c r="S1083" s="89">
        <f>100%-Table34[[#This Row],[PDF_initial fee]]</f>
        <v>1</v>
      </c>
      <c r="T1083" s="89"/>
      <c r="U1083" s="26"/>
    </row>
    <row r="1084" spans="1:21" hidden="1" x14ac:dyDescent="0.25">
      <c r="A1084">
        <v>227838</v>
      </c>
      <c r="B1084" t="s">
        <v>1411</v>
      </c>
      <c r="C1084" t="s">
        <v>6958</v>
      </c>
      <c r="D1084">
        <v>1</v>
      </c>
      <c r="E1084" t="s">
        <v>1411</v>
      </c>
      <c r="F1084" t="s">
        <v>6958</v>
      </c>
      <c r="G1084" s="3"/>
      <c r="H1084" s="21">
        <v>0</v>
      </c>
      <c r="I1084" s="21">
        <v>0</v>
      </c>
      <c r="J1084" s="21">
        <v>0</v>
      </c>
      <c r="K1084" s="21">
        <v>0</v>
      </c>
      <c r="L1084" s="3">
        <f t="shared" si="53"/>
        <v>0</v>
      </c>
      <c r="M1084" s="3"/>
      <c r="N1084" s="3">
        <f t="shared" si="54"/>
        <v>0</v>
      </c>
      <c r="R1084" s="89"/>
      <c r="S1084" s="89">
        <f>100%-Table34[[#This Row],[PDF_initial fee]]</f>
        <v>1</v>
      </c>
      <c r="T1084" s="89"/>
      <c r="U1084" s="26"/>
    </row>
    <row r="1085" spans="1:21" hidden="1" x14ac:dyDescent="0.25">
      <c r="A1085">
        <v>227844</v>
      </c>
      <c r="B1085" t="s">
        <v>1412</v>
      </c>
      <c r="C1085" t="s">
        <v>6958</v>
      </c>
      <c r="D1085">
        <v>0</v>
      </c>
      <c r="E1085" t="s">
        <v>1412</v>
      </c>
      <c r="F1085" t="s">
        <v>6958</v>
      </c>
      <c r="G1085" s="3"/>
      <c r="H1085" s="21">
        <v>0</v>
      </c>
      <c r="I1085" s="21">
        <v>0</v>
      </c>
      <c r="J1085" s="21">
        <v>0</v>
      </c>
      <c r="K1085" s="21">
        <v>0</v>
      </c>
      <c r="L1085" s="3">
        <f t="shared" si="53"/>
        <v>0</v>
      </c>
      <c r="M1085" s="3"/>
      <c r="N1085" s="3">
        <f t="shared" si="54"/>
        <v>0</v>
      </c>
      <c r="R1085" s="89"/>
      <c r="S1085" s="89">
        <f>100%-Table34[[#This Row],[PDF_initial fee]]</f>
        <v>1</v>
      </c>
      <c r="T1085" s="89"/>
      <c r="U1085" s="26"/>
    </row>
    <row r="1086" spans="1:21" hidden="1" x14ac:dyDescent="0.25">
      <c r="A1086">
        <v>228199</v>
      </c>
      <c r="B1086" t="s">
        <v>1413</v>
      </c>
      <c r="C1086" t="s">
        <v>7890</v>
      </c>
      <c r="D1086">
        <v>1</v>
      </c>
      <c r="E1086" t="s">
        <v>1413</v>
      </c>
      <c r="G1086" s="3"/>
      <c r="L1086" s="3">
        <f t="shared" si="53"/>
        <v>0</v>
      </c>
      <c r="M1086" s="3"/>
      <c r="N1086" s="3">
        <f t="shared" si="54"/>
        <v>0</v>
      </c>
      <c r="R1086" s="89"/>
      <c r="S1086" s="89">
        <f>100%-Table34[[#This Row],[PDF_initial fee]]</f>
        <v>1</v>
      </c>
      <c r="T1086" s="89"/>
      <c r="U1086" s="26"/>
    </row>
    <row r="1087" spans="1:21" hidden="1" x14ac:dyDescent="0.25">
      <c r="A1087">
        <v>228222</v>
      </c>
      <c r="B1087" t="s">
        <v>1414</v>
      </c>
      <c r="C1087" t="s">
        <v>6958</v>
      </c>
      <c r="D1087">
        <v>1</v>
      </c>
      <c r="E1087" t="s">
        <v>1414</v>
      </c>
      <c r="F1087" t="s">
        <v>6958</v>
      </c>
      <c r="G1087" s="3"/>
      <c r="H1087" s="21">
        <v>0</v>
      </c>
      <c r="I1087" s="21">
        <v>0</v>
      </c>
      <c r="J1087" s="21">
        <v>0</v>
      </c>
      <c r="K1087" s="21">
        <v>0</v>
      </c>
      <c r="L1087" s="3">
        <f t="shared" si="53"/>
        <v>0</v>
      </c>
      <c r="M1087" s="3"/>
      <c r="N1087" s="3">
        <f t="shared" si="54"/>
        <v>0</v>
      </c>
      <c r="R1087" s="89"/>
      <c r="S1087" s="89">
        <f>100%-Table34[[#This Row],[PDF_initial fee]]</f>
        <v>1</v>
      </c>
      <c r="T1087" s="89"/>
      <c r="U1087" s="26"/>
    </row>
    <row r="1088" spans="1:21" hidden="1" x14ac:dyDescent="0.25">
      <c r="A1088">
        <v>228341</v>
      </c>
      <c r="B1088" t="s">
        <v>1415</v>
      </c>
      <c r="C1088" t="s">
        <v>7186</v>
      </c>
      <c r="D1088">
        <v>42</v>
      </c>
      <c r="E1088" t="s">
        <v>1415</v>
      </c>
      <c r="G1088" s="3"/>
      <c r="L1088" s="3">
        <f t="shared" si="53"/>
        <v>0</v>
      </c>
      <c r="M1088" s="3"/>
      <c r="N1088" s="3">
        <f t="shared" si="54"/>
        <v>0</v>
      </c>
      <c r="R1088" s="89"/>
      <c r="S1088" s="89">
        <f>100%-Table34[[#This Row],[PDF_initial fee]]</f>
        <v>1</v>
      </c>
      <c r="T1088" s="89"/>
      <c r="U1088" s="26"/>
    </row>
    <row r="1089" spans="1:28" hidden="1" x14ac:dyDescent="0.25">
      <c r="A1089">
        <v>228522</v>
      </c>
      <c r="B1089" t="s">
        <v>1416</v>
      </c>
      <c r="C1089" t="s">
        <v>6958</v>
      </c>
      <c r="D1089">
        <v>1</v>
      </c>
      <c r="E1089" t="s">
        <v>1416</v>
      </c>
      <c r="F1089" t="s">
        <v>6958</v>
      </c>
      <c r="G1089" s="3"/>
      <c r="L1089" s="3">
        <f t="shared" si="53"/>
        <v>0</v>
      </c>
      <c r="M1089" s="3"/>
      <c r="N1089" s="3">
        <f t="shared" si="54"/>
        <v>0</v>
      </c>
      <c r="R1089" s="89"/>
      <c r="S1089" s="89">
        <f>100%-Table34[[#This Row],[PDF_initial fee]]</f>
        <v>1</v>
      </c>
      <c r="T1089" s="89"/>
      <c r="U1089" s="26"/>
    </row>
    <row r="1090" spans="1:28" hidden="1" x14ac:dyDescent="0.25">
      <c r="A1090">
        <v>228570</v>
      </c>
      <c r="B1090" t="s">
        <v>1417</v>
      </c>
      <c r="C1090" t="s">
        <v>11686</v>
      </c>
      <c r="D1090">
        <v>1</v>
      </c>
      <c r="E1090" t="s">
        <v>1417</v>
      </c>
      <c r="F1090" t="s">
        <v>3</v>
      </c>
      <c r="G1090" s="3"/>
      <c r="H1090" s="21">
        <v>0</v>
      </c>
      <c r="I1090" s="21">
        <v>0</v>
      </c>
      <c r="J1090" s="21">
        <v>0</v>
      </c>
      <c r="K1090" s="21">
        <v>0</v>
      </c>
      <c r="L1090" s="3">
        <f t="shared" si="53"/>
        <v>0</v>
      </c>
      <c r="M1090" s="3"/>
      <c r="N1090" s="3">
        <f t="shared" si="54"/>
        <v>0</v>
      </c>
      <c r="R1090" s="89"/>
      <c r="S1090" s="89">
        <f>100%-Table34[[#This Row],[PDF_initial fee]]</f>
        <v>1</v>
      </c>
      <c r="T1090" s="89"/>
      <c r="U1090" s="26"/>
    </row>
    <row r="1091" spans="1:28" x14ac:dyDescent="0.25">
      <c r="A1091">
        <v>434382</v>
      </c>
      <c r="B1091" t="s">
        <v>158</v>
      </c>
      <c r="C1091" t="s">
        <v>9590</v>
      </c>
      <c r="D1091">
        <v>2</v>
      </c>
      <c r="E1091" t="s">
        <v>158</v>
      </c>
      <c r="F1091" t="s">
        <v>3</v>
      </c>
      <c r="G1091" s="3">
        <v>1.4E-3</v>
      </c>
      <c r="J1091" s="44">
        <f>0.995%+1.5%+0.5%</f>
        <v>2.9950000000000001E-2</v>
      </c>
      <c r="K1091" s="3">
        <v>7.4999999999999997E-3</v>
      </c>
      <c r="L1091" s="3">
        <f t="shared" si="53"/>
        <v>3.7449999999999997E-2</v>
      </c>
      <c r="M1091" s="3"/>
      <c r="N1091" s="3">
        <f t="shared" si="54"/>
        <v>3.8849999999999996E-2</v>
      </c>
      <c r="P1091" s="1" t="s">
        <v>29762</v>
      </c>
      <c r="Q1091" t="s">
        <v>31787</v>
      </c>
      <c r="R1091" s="89">
        <v>0.33333333333333348</v>
      </c>
      <c r="S1091" s="89">
        <f>100%-Table34[[#This Row],[PDF_initial fee]]</f>
        <v>0.97004999999999997</v>
      </c>
      <c r="T1091" s="89">
        <f>(1-Table34[[#This Row],[PDF ongoing fee]])^5</f>
        <v>0.9630582970465823</v>
      </c>
      <c r="U1091" s="26">
        <f>(1+Table34[[#This Row],[Net 5yrs return (mostly up to 28th of Feb 2026)]])*Table34[[#This Row],[Investment after initial charge]]*Table34[[#This Row],[Cummulative 5yrs ongoing advice charge]]-1</f>
        <v>0.24561960140004957</v>
      </c>
      <c r="V1091" s="10">
        <f>59488+488115</f>
        <v>547603</v>
      </c>
      <c r="W1091" t="s">
        <v>29051</v>
      </c>
      <c r="X1091" s="10">
        <v>515323</v>
      </c>
      <c r="Y1091" s="30">
        <f>X1091/V1091</f>
        <v>0.94105218561622195</v>
      </c>
      <c r="AA1091" s="1" t="s">
        <v>29763</v>
      </c>
    </row>
    <row r="1092" spans="1:28" hidden="1" x14ac:dyDescent="0.25">
      <c r="A1092">
        <v>228585</v>
      </c>
      <c r="B1092" t="s">
        <v>1418</v>
      </c>
      <c r="C1092" t="s">
        <v>11496</v>
      </c>
      <c r="D1092">
        <v>1</v>
      </c>
      <c r="E1092" t="s">
        <v>1418</v>
      </c>
      <c r="F1092" t="s">
        <v>3</v>
      </c>
      <c r="G1092" s="3"/>
      <c r="H1092" s="21">
        <v>0</v>
      </c>
      <c r="I1092" s="21">
        <v>0</v>
      </c>
      <c r="J1092" s="21">
        <v>0</v>
      </c>
      <c r="K1092" s="21">
        <v>0</v>
      </c>
      <c r="L1092" s="3">
        <f t="shared" si="53"/>
        <v>0</v>
      </c>
      <c r="M1092" s="3"/>
      <c r="N1092" s="3">
        <f t="shared" si="54"/>
        <v>0</v>
      </c>
      <c r="R1092" s="89"/>
      <c r="S1092" s="89">
        <f>100%-Table34[[#This Row],[PDF_initial fee]]</f>
        <v>1</v>
      </c>
      <c r="T1092" s="89"/>
      <c r="U1092" s="26"/>
    </row>
    <row r="1093" spans="1:28" x14ac:dyDescent="0.25">
      <c r="A1093">
        <v>304984</v>
      </c>
      <c r="B1093" t="s">
        <v>142</v>
      </c>
      <c r="C1093" t="s">
        <v>29764</v>
      </c>
      <c r="D1093">
        <v>1</v>
      </c>
      <c r="E1093" t="s">
        <v>142</v>
      </c>
      <c r="F1093" t="s">
        <v>3</v>
      </c>
      <c r="G1093" s="3">
        <v>1.4E-3</v>
      </c>
      <c r="H1093" s="3"/>
      <c r="I1093" s="3"/>
      <c r="J1093" s="6">
        <v>0.05</v>
      </c>
      <c r="K1093" s="6">
        <v>0.01</v>
      </c>
      <c r="L1093" s="3">
        <f t="shared" si="53"/>
        <v>6.0000000000000005E-2</v>
      </c>
      <c r="M1093" s="3"/>
      <c r="N1093" s="3">
        <f t="shared" si="54"/>
        <v>6.1400000000000003E-2</v>
      </c>
      <c r="P1093" s="1" t="s">
        <v>29765</v>
      </c>
      <c r="Q1093" t="s">
        <v>31787</v>
      </c>
      <c r="R1093" s="89">
        <v>0.33333333333333348</v>
      </c>
      <c r="S1093" s="89">
        <f>100%-Table34[[#This Row],[PDF_initial fee]]</f>
        <v>0.95</v>
      </c>
      <c r="T1093" s="89">
        <f>(1-Table34[[#This Row],[PDF ongoing fee]])^5</f>
        <v>0.95099004989999991</v>
      </c>
      <c r="U1093" s="26">
        <f>(1+Table34[[#This Row],[Net 5yrs return (mostly up to 28th of Feb 2026)]])*Table34[[#This Row],[Investment after initial charge]]*Table34[[#This Row],[Cummulative 5yrs ongoing advice charge]]-1</f>
        <v>0.20458739654000002</v>
      </c>
      <c r="V1093">
        <f>259817+6178</f>
        <v>265995</v>
      </c>
      <c r="W1093" t="s">
        <v>29051</v>
      </c>
      <c r="X1093" s="10">
        <v>182550</v>
      </c>
      <c r="Y1093" s="30">
        <f>X1093/V1093</f>
        <v>0.68629109569728752</v>
      </c>
      <c r="AA1093" s="1" t="s">
        <v>29766</v>
      </c>
      <c r="AB1093" t="s">
        <v>29349</v>
      </c>
    </row>
    <row r="1094" spans="1:28" hidden="1" x14ac:dyDescent="0.25">
      <c r="A1094">
        <v>228614</v>
      </c>
      <c r="B1094" t="s">
        <v>1419</v>
      </c>
      <c r="C1094" t="s">
        <v>6958</v>
      </c>
      <c r="D1094">
        <v>1</v>
      </c>
      <c r="E1094" t="s">
        <v>1419</v>
      </c>
      <c r="F1094" t="s">
        <v>6958</v>
      </c>
      <c r="G1094" s="3"/>
      <c r="H1094" s="21">
        <v>0</v>
      </c>
      <c r="I1094" s="21">
        <v>0</v>
      </c>
      <c r="J1094" s="21">
        <v>0</v>
      </c>
      <c r="K1094" s="21">
        <v>0</v>
      </c>
      <c r="L1094" s="3">
        <f t="shared" si="53"/>
        <v>0</v>
      </c>
      <c r="M1094" s="3"/>
      <c r="N1094" s="3">
        <f t="shared" si="54"/>
        <v>0</v>
      </c>
      <c r="R1094" s="89"/>
      <c r="S1094" s="89">
        <f>100%-Table34[[#This Row],[PDF_initial fee]]</f>
        <v>1</v>
      </c>
      <c r="T1094" s="89"/>
      <c r="U1094" s="26"/>
    </row>
    <row r="1095" spans="1:28" hidden="1" x14ac:dyDescent="0.25">
      <c r="A1095">
        <v>228837</v>
      </c>
      <c r="B1095" t="s">
        <v>1421</v>
      </c>
      <c r="C1095" t="s">
        <v>29767</v>
      </c>
      <c r="D1095">
        <v>3</v>
      </c>
      <c r="E1095" t="s">
        <v>1421</v>
      </c>
      <c r="G1095" s="3"/>
      <c r="H1095" s="3">
        <v>0</v>
      </c>
      <c r="I1095" s="3">
        <v>0</v>
      </c>
      <c r="J1095" s="3">
        <v>0</v>
      </c>
      <c r="K1095" s="3">
        <v>0</v>
      </c>
      <c r="L1095" s="3">
        <f t="shared" si="53"/>
        <v>0</v>
      </c>
      <c r="M1095" s="3"/>
      <c r="N1095" s="3">
        <f t="shared" si="54"/>
        <v>0</v>
      </c>
      <c r="R1095" s="89"/>
      <c r="S1095" s="89">
        <f>100%-Table34[[#This Row],[PDF_initial fee]]</f>
        <v>1</v>
      </c>
      <c r="T1095" s="89"/>
      <c r="U1095" s="26"/>
    </row>
    <row r="1096" spans="1:28" x14ac:dyDescent="0.25">
      <c r="A1096">
        <v>212859</v>
      </c>
      <c r="B1096" t="s">
        <v>114</v>
      </c>
      <c r="C1096" t="s">
        <v>9745</v>
      </c>
      <c r="D1096">
        <v>1</v>
      </c>
      <c r="E1096" t="s">
        <v>114</v>
      </c>
      <c r="F1096" t="s">
        <v>3</v>
      </c>
      <c r="G1096" s="3">
        <v>1.4E-3</v>
      </c>
      <c r="H1096" s="3">
        <v>2.5000000000000001E-2</v>
      </c>
      <c r="I1096" s="3">
        <v>8.5000000000000006E-3</v>
      </c>
      <c r="J1096" s="6">
        <v>0</v>
      </c>
      <c r="K1096" s="6">
        <v>0</v>
      </c>
      <c r="L1096" s="3">
        <f t="shared" si="53"/>
        <v>3.3500000000000002E-2</v>
      </c>
      <c r="M1096" s="3"/>
      <c r="N1096" s="3">
        <f t="shared" si="54"/>
        <v>3.49E-2</v>
      </c>
      <c r="P1096" s="1" t="s">
        <v>29768</v>
      </c>
      <c r="Q1096" t="s">
        <v>31787</v>
      </c>
      <c r="R1096" s="89">
        <v>0.33333333333333348</v>
      </c>
      <c r="S1096" s="89">
        <f>100%-Table34[[#This Row],[InitialFee]]</f>
        <v>0.97499999999999998</v>
      </c>
      <c r="T1096" s="89">
        <f>(1-Table34[[#This Row],[OngoingFee (plus Platform fee)]])^5</f>
        <v>0.95821638480594218</v>
      </c>
      <c r="U1096" s="26">
        <f>(1+Table34[[#This Row],[Net 5yrs return (mostly up to 28th of Feb 2026)]])*Table34[[#This Row],[Investment after initial charge]]*Table34[[#This Row],[Cummulative 5yrs ongoing advice charge]]-1</f>
        <v>0.24568130024772494</v>
      </c>
      <c r="V1096" s="10">
        <f>96225+458980</f>
        <v>555205</v>
      </c>
      <c r="W1096" t="s">
        <v>29051</v>
      </c>
      <c r="X1096" s="10">
        <v>393088</v>
      </c>
      <c r="Y1096" s="30">
        <f>X1096/V1096</f>
        <v>0.70800515125043906</v>
      </c>
      <c r="AA1096" s="1" t="s">
        <v>29769</v>
      </c>
    </row>
    <row r="1097" spans="1:28" hidden="1" x14ac:dyDescent="0.25">
      <c r="A1097">
        <v>228877</v>
      </c>
      <c r="B1097" t="s">
        <v>1422</v>
      </c>
      <c r="C1097" t="s">
        <v>8397</v>
      </c>
      <c r="D1097">
        <v>3</v>
      </c>
      <c r="E1097" t="s">
        <v>1422</v>
      </c>
      <c r="F1097" t="s">
        <v>3</v>
      </c>
      <c r="G1097" s="3"/>
      <c r="H1097" s="21">
        <v>0</v>
      </c>
      <c r="I1097" s="21">
        <v>0</v>
      </c>
      <c r="J1097" s="21">
        <v>0</v>
      </c>
      <c r="K1097" s="21">
        <v>0</v>
      </c>
      <c r="L1097" s="3">
        <f t="shared" si="53"/>
        <v>0</v>
      </c>
      <c r="M1097" s="3"/>
      <c r="N1097" s="3">
        <f t="shared" si="54"/>
        <v>0</v>
      </c>
      <c r="R1097" s="89"/>
      <c r="S1097" s="89">
        <f>100%-Table34[[#This Row],[PDF_initial fee]]</f>
        <v>1</v>
      </c>
      <c r="T1097" s="89"/>
      <c r="U1097" s="26"/>
    </row>
    <row r="1098" spans="1:28" hidden="1" x14ac:dyDescent="0.25">
      <c r="A1098">
        <v>228969</v>
      </c>
      <c r="B1098" t="s">
        <v>1423</v>
      </c>
      <c r="C1098" t="s">
        <v>11221</v>
      </c>
      <c r="D1098">
        <v>9</v>
      </c>
      <c r="E1098" t="s">
        <v>1423</v>
      </c>
      <c r="G1098" s="3"/>
      <c r="H1098" s="21">
        <v>0</v>
      </c>
      <c r="I1098" s="21">
        <v>0</v>
      </c>
      <c r="J1098" s="21">
        <v>0</v>
      </c>
      <c r="K1098" s="21">
        <v>0</v>
      </c>
      <c r="L1098" s="3">
        <f t="shared" si="53"/>
        <v>0</v>
      </c>
      <c r="M1098" s="3"/>
      <c r="N1098" s="3">
        <f t="shared" si="54"/>
        <v>0</v>
      </c>
      <c r="R1098" s="89"/>
      <c r="S1098" s="89">
        <f>100%-Table34[[#This Row],[PDF_initial fee]]</f>
        <v>1</v>
      </c>
      <c r="T1098" s="89"/>
      <c r="U1098" s="26"/>
    </row>
    <row r="1099" spans="1:28" hidden="1" x14ac:dyDescent="0.25">
      <c r="A1099">
        <v>229135</v>
      </c>
      <c r="B1099" t="s">
        <v>1424</v>
      </c>
      <c r="C1099" t="s">
        <v>29770</v>
      </c>
      <c r="D1099">
        <v>25</v>
      </c>
      <c r="E1099" t="s">
        <v>1424</v>
      </c>
      <c r="G1099" s="3"/>
      <c r="H1099" s="21">
        <v>0</v>
      </c>
      <c r="I1099" s="21">
        <v>0</v>
      </c>
      <c r="J1099" s="21">
        <v>0</v>
      </c>
      <c r="K1099" s="21">
        <v>0</v>
      </c>
      <c r="L1099" s="3">
        <f t="shared" ref="L1099:L1125" si="55">SUM(H1099:K1099)</f>
        <v>0</v>
      </c>
      <c r="M1099" s="3"/>
      <c r="N1099" s="3">
        <f t="shared" si="54"/>
        <v>0</v>
      </c>
      <c r="O1099" s="21" t="s">
        <v>29771</v>
      </c>
      <c r="R1099" s="89"/>
      <c r="S1099" s="89">
        <f>100%-Table34[[#This Row],[PDF_initial fee]]</f>
        <v>1</v>
      </c>
      <c r="T1099" s="89"/>
      <c r="U1099" s="26"/>
    </row>
    <row r="1100" spans="1:28" hidden="1" x14ac:dyDescent="0.25">
      <c r="A1100">
        <v>229181</v>
      </c>
      <c r="B1100" t="s">
        <v>1425</v>
      </c>
      <c r="C1100" t="s">
        <v>29772</v>
      </c>
      <c r="D1100">
        <v>0</v>
      </c>
      <c r="E1100" t="s">
        <v>1425</v>
      </c>
      <c r="F1100" t="s">
        <v>29773</v>
      </c>
      <c r="G1100" s="3"/>
      <c r="H1100" s="21">
        <v>0</v>
      </c>
      <c r="I1100" s="21">
        <v>0</v>
      </c>
      <c r="J1100" s="21">
        <v>0</v>
      </c>
      <c r="K1100" s="21">
        <v>0</v>
      </c>
      <c r="L1100" s="3">
        <f t="shared" si="55"/>
        <v>0</v>
      </c>
      <c r="M1100" s="3"/>
      <c r="N1100" s="3">
        <f t="shared" si="54"/>
        <v>0</v>
      </c>
      <c r="O1100" s="21"/>
      <c r="R1100" s="89"/>
      <c r="S1100" s="89">
        <f>100%-Table34[[#This Row],[PDF_initial fee]]</f>
        <v>1</v>
      </c>
      <c r="T1100" s="89"/>
      <c r="U1100" s="26"/>
    </row>
    <row r="1101" spans="1:28" hidden="1" x14ac:dyDescent="0.25">
      <c r="A1101">
        <v>229235</v>
      </c>
      <c r="B1101" t="s">
        <v>1426</v>
      </c>
      <c r="C1101" t="s">
        <v>29774</v>
      </c>
      <c r="D1101">
        <v>4</v>
      </c>
      <c r="E1101" t="s">
        <v>1426</v>
      </c>
      <c r="G1101" s="3"/>
      <c r="H1101" s="3">
        <v>0</v>
      </c>
      <c r="I1101" s="3">
        <v>0</v>
      </c>
      <c r="J1101" s="3">
        <v>0</v>
      </c>
      <c r="K1101" s="3">
        <v>0</v>
      </c>
      <c r="L1101" s="3">
        <f t="shared" si="55"/>
        <v>0</v>
      </c>
      <c r="M1101" s="3"/>
      <c r="N1101" s="3">
        <f t="shared" si="54"/>
        <v>0</v>
      </c>
      <c r="R1101" s="89"/>
      <c r="S1101" s="89">
        <f>100%-Table34[[#This Row],[PDF_initial fee]]</f>
        <v>1</v>
      </c>
      <c r="T1101" s="89"/>
      <c r="U1101" s="26"/>
    </row>
    <row r="1102" spans="1:28" hidden="1" x14ac:dyDescent="0.25">
      <c r="A1102">
        <v>229257</v>
      </c>
      <c r="B1102" t="s">
        <v>1427</v>
      </c>
      <c r="C1102" t="s">
        <v>29775</v>
      </c>
      <c r="D1102">
        <v>2</v>
      </c>
      <c r="E1102" t="s">
        <v>1427</v>
      </c>
      <c r="G1102" s="3"/>
      <c r="H1102" s="3">
        <v>0</v>
      </c>
      <c r="I1102" s="3">
        <v>0</v>
      </c>
      <c r="J1102" s="3">
        <v>0</v>
      </c>
      <c r="K1102" s="3">
        <v>0</v>
      </c>
      <c r="L1102" s="3">
        <f t="shared" si="55"/>
        <v>0</v>
      </c>
      <c r="M1102" s="3"/>
      <c r="N1102" s="3">
        <f t="shared" si="54"/>
        <v>0</v>
      </c>
      <c r="R1102" s="89"/>
      <c r="S1102" s="89">
        <f>100%-Table34[[#This Row],[PDF_initial fee]]</f>
        <v>1</v>
      </c>
      <c r="T1102" s="89"/>
      <c r="U1102" s="26"/>
    </row>
    <row r="1103" spans="1:28" hidden="1" x14ac:dyDescent="0.25">
      <c r="A1103">
        <v>229310</v>
      </c>
      <c r="B1103" t="s">
        <v>1428</v>
      </c>
      <c r="C1103" t="s">
        <v>9015</v>
      </c>
      <c r="D1103">
        <v>1</v>
      </c>
      <c r="E1103" t="s">
        <v>1428</v>
      </c>
      <c r="G1103" s="3"/>
      <c r="H1103" s="21">
        <v>0</v>
      </c>
      <c r="I1103" s="21">
        <v>0</v>
      </c>
      <c r="J1103" s="21">
        <v>0</v>
      </c>
      <c r="K1103" s="21">
        <v>0</v>
      </c>
      <c r="L1103" s="3">
        <f t="shared" si="55"/>
        <v>0</v>
      </c>
      <c r="M1103" s="3"/>
      <c r="N1103" s="3">
        <f t="shared" si="54"/>
        <v>0</v>
      </c>
      <c r="R1103" s="89"/>
      <c r="S1103" s="89">
        <f>100%-Table34[[#This Row],[PDF_initial fee]]</f>
        <v>1</v>
      </c>
      <c r="T1103" s="89"/>
      <c r="U1103" s="26"/>
    </row>
    <row r="1104" spans="1:28" hidden="1" x14ac:dyDescent="0.25">
      <c r="A1104">
        <v>229317</v>
      </c>
      <c r="B1104" t="s">
        <v>1429</v>
      </c>
      <c r="C1104" t="s">
        <v>10865</v>
      </c>
      <c r="D1104">
        <v>4</v>
      </c>
      <c r="E1104" t="s">
        <v>1429</v>
      </c>
      <c r="G1104" s="3"/>
      <c r="H1104" s="21">
        <v>0</v>
      </c>
      <c r="I1104" s="21">
        <v>0</v>
      </c>
      <c r="J1104" s="21">
        <v>0</v>
      </c>
      <c r="K1104" s="21">
        <v>0</v>
      </c>
      <c r="L1104" s="3">
        <f t="shared" si="55"/>
        <v>0</v>
      </c>
      <c r="M1104" s="3"/>
      <c r="N1104" s="3">
        <f t="shared" si="54"/>
        <v>0</v>
      </c>
      <c r="R1104" s="89"/>
      <c r="S1104" s="89">
        <f>100%-Table34[[#This Row],[PDF_initial fee]]</f>
        <v>1</v>
      </c>
      <c r="T1104" s="89"/>
      <c r="U1104" s="26"/>
    </row>
    <row r="1105" spans="1:29" hidden="1" x14ac:dyDescent="0.25">
      <c r="A1105">
        <v>229325</v>
      </c>
      <c r="B1105" t="s">
        <v>1430</v>
      </c>
      <c r="C1105" t="s">
        <v>6958</v>
      </c>
      <c r="D1105">
        <v>1</v>
      </c>
      <c r="E1105" t="s">
        <v>1430</v>
      </c>
      <c r="F1105" t="s">
        <v>6958</v>
      </c>
      <c r="G1105" s="3"/>
      <c r="H1105" s="21">
        <v>0</v>
      </c>
      <c r="I1105" s="21">
        <v>0</v>
      </c>
      <c r="J1105" s="21">
        <v>0</v>
      </c>
      <c r="K1105" s="21">
        <v>0</v>
      </c>
      <c r="L1105" s="3">
        <f t="shared" si="55"/>
        <v>0</v>
      </c>
      <c r="M1105" s="3"/>
      <c r="N1105" s="3">
        <f t="shared" si="54"/>
        <v>0</v>
      </c>
      <c r="R1105" s="89"/>
      <c r="S1105" s="89">
        <f>100%-Table34[[#This Row],[PDF_initial fee]]</f>
        <v>1</v>
      </c>
      <c r="T1105" s="89"/>
      <c r="U1105" s="26"/>
    </row>
    <row r="1106" spans="1:29" hidden="1" x14ac:dyDescent="0.25">
      <c r="A1106">
        <v>229328</v>
      </c>
      <c r="B1106" t="s">
        <v>1431</v>
      </c>
      <c r="C1106" t="s">
        <v>7632</v>
      </c>
      <c r="D1106">
        <v>6</v>
      </c>
      <c r="E1106" t="s">
        <v>1431</v>
      </c>
      <c r="F1106" t="s">
        <v>3</v>
      </c>
      <c r="G1106" s="3"/>
      <c r="H1106" s="3">
        <v>0</v>
      </c>
      <c r="I1106" s="21">
        <v>0</v>
      </c>
      <c r="J1106" s="21">
        <v>0</v>
      </c>
      <c r="K1106" s="21">
        <v>0</v>
      </c>
      <c r="L1106" s="3">
        <f t="shared" si="55"/>
        <v>0</v>
      </c>
      <c r="M1106" s="3"/>
      <c r="N1106" s="3">
        <f t="shared" si="54"/>
        <v>0</v>
      </c>
      <c r="R1106" s="89"/>
      <c r="S1106" s="89">
        <f>100%-Table34[[#This Row],[PDF_initial fee]]</f>
        <v>1</v>
      </c>
      <c r="T1106" s="89"/>
      <c r="U1106" s="26"/>
    </row>
    <row r="1107" spans="1:29" hidden="1" x14ac:dyDescent="0.25">
      <c r="A1107">
        <v>229355</v>
      </c>
      <c r="B1107" t="s">
        <v>1432</v>
      </c>
      <c r="C1107" t="s">
        <v>10808</v>
      </c>
      <c r="D1107">
        <v>7</v>
      </c>
      <c r="E1107" t="s">
        <v>1432</v>
      </c>
      <c r="G1107" s="3"/>
      <c r="H1107" s="21">
        <v>0</v>
      </c>
      <c r="I1107" s="21">
        <v>0</v>
      </c>
      <c r="J1107" s="21">
        <v>0</v>
      </c>
      <c r="K1107" s="21">
        <v>0</v>
      </c>
      <c r="L1107" s="3">
        <f t="shared" si="55"/>
        <v>0</v>
      </c>
      <c r="M1107" s="3"/>
      <c r="N1107" s="3">
        <f t="shared" si="54"/>
        <v>0</v>
      </c>
      <c r="R1107" s="89"/>
      <c r="S1107" s="89">
        <f>100%-Table34[[#This Row],[PDF_initial fee]]</f>
        <v>1</v>
      </c>
      <c r="T1107" s="89"/>
      <c r="U1107" s="26"/>
    </row>
    <row r="1108" spans="1:29" hidden="1" x14ac:dyDescent="0.25">
      <c r="A1108">
        <v>229380</v>
      </c>
      <c r="B1108" t="s">
        <v>1433</v>
      </c>
      <c r="C1108" t="s">
        <v>6958</v>
      </c>
      <c r="D1108">
        <v>4</v>
      </c>
      <c r="E1108" t="s">
        <v>1433</v>
      </c>
      <c r="F1108" t="s">
        <v>6958</v>
      </c>
      <c r="G1108" s="3"/>
      <c r="H1108" s="21">
        <v>0</v>
      </c>
      <c r="I1108" s="21">
        <v>0</v>
      </c>
      <c r="J1108" s="21">
        <v>0</v>
      </c>
      <c r="K1108" s="21">
        <v>0</v>
      </c>
      <c r="L1108" s="3">
        <f t="shared" si="55"/>
        <v>0</v>
      </c>
      <c r="M1108" s="3"/>
      <c r="N1108" s="3">
        <f t="shared" si="54"/>
        <v>0</v>
      </c>
      <c r="R1108" s="89"/>
      <c r="S1108" s="89">
        <f>100%-Table34[[#This Row],[PDF_initial fee]]</f>
        <v>1</v>
      </c>
      <c r="T1108" s="89"/>
      <c r="U1108" s="26"/>
    </row>
    <row r="1109" spans="1:29" hidden="1" x14ac:dyDescent="0.25">
      <c r="A1109">
        <v>229461</v>
      </c>
      <c r="B1109" t="s">
        <v>1434</v>
      </c>
      <c r="C1109" t="s">
        <v>6958</v>
      </c>
      <c r="D1109">
        <v>1</v>
      </c>
      <c r="E1109" t="s">
        <v>1434</v>
      </c>
      <c r="F1109" t="s">
        <v>6958</v>
      </c>
      <c r="G1109" s="3"/>
      <c r="H1109" s="21">
        <v>0</v>
      </c>
      <c r="I1109" s="21">
        <v>0</v>
      </c>
      <c r="J1109" s="21">
        <v>0</v>
      </c>
      <c r="K1109" s="21">
        <v>0</v>
      </c>
      <c r="L1109" s="3">
        <f t="shared" si="55"/>
        <v>0</v>
      </c>
      <c r="M1109" s="3"/>
      <c r="N1109" s="3">
        <f t="shared" si="54"/>
        <v>0</v>
      </c>
      <c r="R1109" s="89"/>
      <c r="S1109" s="89">
        <f>100%-Table34[[#This Row],[PDF_initial fee]]</f>
        <v>1</v>
      </c>
      <c r="T1109" s="89"/>
      <c r="U1109" s="26"/>
    </row>
    <row r="1110" spans="1:29" hidden="1" x14ac:dyDescent="0.25">
      <c r="A1110">
        <v>229501</v>
      </c>
      <c r="B1110" t="s">
        <v>1435</v>
      </c>
      <c r="C1110" t="s">
        <v>6958</v>
      </c>
      <c r="D1110">
        <v>1</v>
      </c>
      <c r="E1110" t="s">
        <v>1435</v>
      </c>
      <c r="F1110" t="s">
        <v>6958</v>
      </c>
      <c r="G1110" s="3"/>
      <c r="H1110" s="21">
        <v>0</v>
      </c>
      <c r="I1110" s="21">
        <v>0</v>
      </c>
      <c r="J1110" s="21">
        <v>0</v>
      </c>
      <c r="K1110" s="21">
        <v>0</v>
      </c>
      <c r="L1110" s="3">
        <f t="shared" si="55"/>
        <v>0</v>
      </c>
      <c r="M1110" s="3"/>
      <c r="N1110" s="3">
        <f t="shared" si="54"/>
        <v>0</v>
      </c>
      <c r="O1110" s="21"/>
      <c r="R1110" s="89"/>
      <c r="S1110" s="89">
        <f>100%-Table34[[#This Row],[PDF_initial fee]]</f>
        <v>1</v>
      </c>
      <c r="T1110" s="89"/>
      <c r="U1110" s="26"/>
    </row>
    <row r="1111" spans="1:29" hidden="1" x14ac:dyDescent="0.25">
      <c r="A1111">
        <v>229554</v>
      </c>
      <c r="B1111" t="s">
        <v>1436</v>
      </c>
      <c r="C1111" t="s">
        <v>10170</v>
      </c>
      <c r="D1111">
        <v>5</v>
      </c>
      <c r="E1111" t="s">
        <v>1436</v>
      </c>
      <c r="G1111" s="3"/>
      <c r="H1111" s="21">
        <v>0</v>
      </c>
      <c r="I1111" s="21">
        <v>0</v>
      </c>
      <c r="J1111" s="21">
        <v>0</v>
      </c>
      <c r="K1111" s="21">
        <v>0</v>
      </c>
      <c r="L1111" s="3">
        <f t="shared" si="55"/>
        <v>0</v>
      </c>
      <c r="M1111" s="3"/>
      <c r="N1111" s="3">
        <f t="shared" si="54"/>
        <v>0</v>
      </c>
      <c r="R1111" s="89"/>
      <c r="S1111" s="89">
        <f>100%-Table34[[#This Row],[PDF_initial fee]]</f>
        <v>1</v>
      </c>
      <c r="T1111" s="89"/>
      <c r="U1111" s="26"/>
    </row>
    <row r="1112" spans="1:29" hidden="1" x14ac:dyDescent="0.25">
      <c r="A1112">
        <v>229704</v>
      </c>
      <c r="B1112" t="s">
        <v>1437</v>
      </c>
      <c r="C1112" t="s">
        <v>9503</v>
      </c>
      <c r="D1112">
        <v>2</v>
      </c>
      <c r="E1112" t="s">
        <v>1437</v>
      </c>
      <c r="G1112" s="3"/>
      <c r="H1112" s="21">
        <v>0</v>
      </c>
      <c r="I1112" s="21">
        <v>0</v>
      </c>
      <c r="J1112" s="21">
        <v>0</v>
      </c>
      <c r="K1112" s="21">
        <v>0</v>
      </c>
      <c r="L1112" s="3">
        <f t="shared" si="55"/>
        <v>0</v>
      </c>
      <c r="M1112" s="3"/>
      <c r="N1112" s="3">
        <f t="shared" si="54"/>
        <v>0</v>
      </c>
      <c r="R1112" s="89"/>
      <c r="S1112" s="89">
        <f>100%-Table34[[#This Row],[PDF_initial fee]]</f>
        <v>1</v>
      </c>
      <c r="T1112" s="89"/>
      <c r="U1112" s="26"/>
    </row>
    <row r="1113" spans="1:29" hidden="1" x14ac:dyDescent="0.25">
      <c r="A1113">
        <v>229752</v>
      </c>
      <c r="B1113" t="s">
        <v>1438</v>
      </c>
      <c r="C1113" t="s">
        <v>11266</v>
      </c>
      <c r="D1113">
        <v>2</v>
      </c>
      <c r="E1113" t="s">
        <v>1438</v>
      </c>
      <c r="F1113" t="s">
        <v>3</v>
      </c>
      <c r="G1113" s="3"/>
      <c r="H1113" s="21">
        <v>0</v>
      </c>
      <c r="I1113" s="21">
        <v>0</v>
      </c>
      <c r="J1113" s="21">
        <v>0</v>
      </c>
      <c r="K1113" s="21">
        <v>0</v>
      </c>
      <c r="L1113" s="3">
        <f t="shared" si="55"/>
        <v>0</v>
      </c>
      <c r="M1113" s="3"/>
      <c r="N1113" s="3">
        <f t="shared" si="54"/>
        <v>0</v>
      </c>
      <c r="R1113" s="89"/>
      <c r="S1113" s="89">
        <f>100%-Table34[[#This Row],[PDF_initial fee]]</f>
        <v>1</v>
      </c>
      <c r="T1113" s="89"/>
      <c r="U1113" s="26"/>
    </row>
    <row r="1114" spans="1:29" hidden="1" x14ac:dyDescent="0.25">
      <c r="A1114">
        <v>229808</v>
      </c>
      <c r="B1114" t="s">
        <v>1439</v>
      </c>
      <c r="C1114" s="1" t="s">
        <v>29776</v>
      </c>
      <c r="D1114">
        <v>16</v>
      </c>
      <c r="E1114" t="s">
        <v>1439</v>
      </c>
      <c r="G1114" s="3"/>
      <c r="H1114" s="21">
        <v>0</v>
      </c>
      <c r="I1114" s="21">
        <v>0</v>
      </c>
      <c r="J1114" s="21">
        <v>0</v>
      </c>
      <c r="K1114" s="21">
        <v>0</v>
      </c>
      <c r="L1114" s="3">
        <f t="shared" si="55"/>
        <v>0</v>
      </c>
      <c r="M1114" s="3"/>
      <c r="N1114" s="3">
        <f t="shared" si="54"/>
        <v>0</v>
      </c>
      <c r="R1114" s="89"/>
      <c r="S1114" s="89">
        <f>100%-Table34[[#This Row],[PDF_initial fee]]</f>
        <v>1</v>
      </c>
      <c r="T1114" s="89"/>
      <c r="U1114" s="26"/>
    </row>
    <row r="1115" spans="1:29" hidden="1" x14ac:dyDescent="0.25">
      <c r="A1115">
        <v>229821</v>
      </c>
      <c r="B1115" t="s">
        <v>1440</v>
      </c>
      <c r="C1115" t="s">
        <v>6958</v>
      </c>
      <c r="D1115">
        <v>6</v>
      </c>
      <c r="E1115" t="s">
        <v>1440</v>
      </c>
      <c r="F1115" t="s">
        <v>6958</v>
      </c>
      <c r="G1115" s="3"/>
      <c r="H1115" s="21">
        <v>0</v>
      </c>
      <c r="I1115" s="21">
        <v>0</v>
      </c>
      <c r="J1115" s="21">
        <v>0</v>
      </c>
      <c r="K1115" s="21">
        <v>0</v>
      </c>
      <c r="L1115" s="3">
        <f t="shared" si="55"/>
        <v>0</v>
      </c>
      <c r="M1115" s="3"/>
      <c r="N1115" s="3">
        <f t="shared" si="54"/>
        <v>0</v>
      </c>
      <c r="R1115" s="89"/>
      <c r="S1115" s="89">
        <f>100%-Table34[[#This Row],[PDF_initial fee]]</f>
        <v>1</v>
      </c>
      <c r="T1115" s="89"/>
      <c r="U1115" s="26"/>
    </row>
    <row r="1116" spans="1:29" hidden="1" x14ac:dyDescent="0.25">
      <c r="A1116">
        <v>229879</v>
      </c>
      <c r="B1116" t="s">
        <v>1441</v>
      </c>
      <c r="C1116" t="s">
        <v>9908</v>
      </c>
      <c r="D1116">
        <v>2</v>
      </c>
      <c r="E1116" t="s">
        <v>1441</v>
      </c>
      <c r="G1116" s="3"/>
      <c r="H1116" s="21">
        <v>0</v>
      </c>
      <c r="I1116" s="21">
        <v>0</v>
      </c>
      <c r="J1116" s="21">
        <v>0</v>
      </c>
      <c r="K1116" s="21">
        <v>0</v>
      </c>
      <c r="L1116" s="3">
        <f t="shared" si="55"/>
        <v>0</v>
      </c>
      <c r="M1116" s="3"/>
      <c r="N1116" s="3">
        <f t="shared" si="54"/>
        <v>0</v>
      </c>
      <c r="R1116" s="89"/>
      <c r="S1116" s="89">
        <f>100%-Table34[[#This Row],[PDF_initial fee]]</f>
        <v>1</v>
      </c>
      <c r="T1116" s="89"/>
      <c r="U1116" s="26"/>
    </row>
    <row r="1117" spans="1:29" hidden="1" x14ac:dyDescent="0.25">
      <c r="A1117">
        <v>229886</v>
      </c>
      <c r="B1117" t="s">
        <v>1442</v>
      </c>
      <c r="C1117" t="s">
        <v>9549</v>
      </c>
      <c r="D1117">
        <v>2</v>
      </c>
      <c r="E1117" t="s">
        <v>1442</v>
      </c>
      <c r="F1117" t="s">
        <v>3</v>
      </c>
      <c r="G1117" s="3"/>
      <c r="H1117" s="21">
        <v>0</v>
      </c>
      <c r="I1117" s="21">
        <v>0</v>
      </c>
      <c r="J1117" s="21">
        <v>0</v>
      </c>
      <c r="K1117" s="21">
        <v>0</v>
      </c>
      <c r="L1117" s="3">
        <f t="shared" si="55"/>
        <v>0</v>
      </c>
      <c r="M1117" s="3"/>
      <c r="N1117" s="3">
        <f t="shared" si="54"/>
        <v>0</v>
      </c>
      <c r="R1117" s="89"/>
      <c r="S1117" s="89">
        <f>100%-Table34[[#This Row],[PDF_initial fee]]</f>
        <v>1</v>
      </c>
      <c r="T1117" s="89"/>
      <c r="U1117" s="26"/>
    </row>
    <row r="1118" spans="1:29" x14ac:dyDescent="0.25">
      <c r="A1118">
        <v>462016</v>
      </c>
      <c r="B1118" t="s">
        <v>181</v>
      </c>
      <c r="C1118" t="s">
        <v>29777</v>
      </c>
      <c r="D1118">
        <v>85</v>
      </c>
      <c r="E1118" t="s">
        <v>181</v>
      </c>
      <c r="F1118" t="s">
        <v>3</v>
      </c>
      <c r="G1118" s="3">
        <v>1.4E-3</v>
      </c>
      <c r="H1118" s="3">
        <v>9.4999999999999998E-3</v>
      </c>
      <c r="I1118" s="3">
        <v>0</v>
      </c>
      <c r="J1118" s="6">
        <v>0</v>
      </c>
      <c r="K1118" s="6">
        <v>0</v>
      </c>
      <c r="L1118" s="3">
        <f t="shared" si="55"/>
        <v>9.4999999999999998E-3</v>
      </c>
      <c r="M1118" s="3"/>
      <c r="N1118" s="3">
        <f t="shared" si="54"/>
        <v>1.09E-2</v>
      </c>
      <c r="O1118" s="21" t="s">
        <v>29778</v>
      </c>
      <c r="P1118" s="1" t="s">
        <v>29779</v>
      </c>
      <c r="Q1118" t="s">
        <v>31787</v>
      </c>
      <c r="R1118" s="89">
        <v>0.33333333333333348</v>
      </c>
      <c r="S1118" s="89">
        <f>100%-Table34[[#This Row],[InitialFee]]</f>
        <v>0.99050000000000005</v>
      </c>
      <c r="T1118" s="89">
        <f>(1-Table34[[#This Row],[PDF ongoing fee]])^5</f>
        <v>1</v>
      </c>
      <c r="U1118" s="26">
        <f>(1+Table34[[#This Row],[Net 5yrs return (mostly up to 28th of Feb 2026)]])*Table34[[#This Row],[Investment after initial charge]]*Table34[[#This Row],[Cummulative 5yrs ongoing advice charge]]-1</f>
        <v>0.32066666666666688</v>
      </c>
      <c r="V1118">
        <v>232000</v>
      </c>
      <c r="W1118" t="s">
        <v>29051</v>
      </c>
      <c r="X1118" s="10">
        <v>222000</v>
      </c>
      <c r="Y1118" s="30">
        <f>X1118/V1118</f>
        <v>0.9568965517241379</v>
      </c>
      <c r="AA1118" s="1" t="s">
        <v>29780</v>
      </c>
      <c r="AC1118" t="s">
        <v>29781</v>
      </c>
    </row>
    <row r="1119" spans="1:29" hidden="1" x14ac:dyDescent="0.25">
      <c r="A1119">
        <v>229893</v>
      </c>
      <c r="B1119" t="s">
        <v>1443</v>
      </c>
      <c r="C1119" t="s">
        <v>12095</v>
      </c>
      <c r="D1119">
        <v>0</v>
      </c>
      <c r="E1119" t="s">
        <v>1443</v>
      </c>
      <c r="F1119" t="s">
        <v>29136</v>
      </c>
      <c r="G1119" s="3"/>
      <c r="H1119" s="21">
        <v>0</v>
      </c>
      <c r="I1119" s="21">
        <v>0</v>
      </c>
      <c r="J1119" s="21">
        <v>0</v>
      </c>
      <c r="K1119" s="21">
        <v>0</v>
      </c>
      <c r="L1119" s="3">
        <f t="shared" si="55"/>
        <v>0</v>
      </c>
      <c r="M1119" s="3"/>
      <c r="N1119" s="3">
        <f t="shared" si="54"/>
        <v>0</v>
      </c>
      <c r="R1119" s="89"/>
      <c r="S1119" s="89">
        <f>100%-Table34[[#This Row],[PDF_initial fee]]</f>
        <v>1</v>
      </c>
      <c r="T1119" s="89"/>
      <c r="U1119" s="26"/>
    </row>
    <row r="1120" spans="1:29" hidden="1" x14ac:dyDescent="0.25">
      <c r="A1120">
        <v>229947</v>
      </c>
      <c r="B1120" t="s">
        <v>1444</v>
      </c>
      <c r="C1120" t="s">
        <v>6958</v>
      </c>
      <c r="D1120">
        <v>1</v>
      </c>
      <c r="E1120" t="s">
        <v>1444</v>
      </c>
      <c r="F1120" t="s">
        <v>6958</v>
      </c>
      <c r="G1120" s="3"/>
      <c r="H1120" s="21">
        <v>0</v>
      </c>
      <c r="I1120" s="21">
        <v>0</v>
      </c>
      <c r="J1120" s="21">
        <v>0</v>
      </c>
      <c r="K1120" s="21">
        <v>0</v>
      </c>
      <c r="L1120" s="3">
        <f t="shared" si="55"/>
        <v>0</v>
      </c>
      <c r="M1120" s="3"/>
      <c r="N1120" s="3">
        <f t="shared" si="54"/>
        <v>0</v>
      </c>
      <c r="R1120" s="89"/>
      <c r="S1120" s="89">
        <f>100%-Table34[[#This Row],[PDF_initial fee]]</f>
        <v>1</v>
      </c>
      <c r="T1120" s="89"/>
      <c r="U1120" s="26"/>
    </row>
    <row r="1121" spans="1:30" hidden="1" x14ac:dyDescent="0.25">
      <c r="A1121">
        <v>230080</v>
      </c>
      <c r="B1121" t="s">
        <v>1445</v>
      </c>
      <c r="C1121" t="s">
        <v>29782</v>
      </c>
      <c r="D1121">
        <v>1</v>
      </c>
      <c r="E1121" t="s">
        <v>1445</v>
      </c>
      <c r="G1121" s="3"/>
      <c r="H1121" s="3">
        <v>0</v>
      </c>
      <c r="I1121" s="3">
        <v>0</v>
      </c>
      <c r="J1121" s="3">
        <v>0</v>
      </c>
      <c r="K1121" s="3">
        <v>0</v>
      </c>
      <c r="L1121" s="3">
        <f t="shared" si="55"/>
        <v>0</v>
      </c>
      <c r="M1121" s="3"/>
      <c r="N1121" s="3">
        <f t="shared" si="54"/>
        <v>0</v>
      </c>
      <c r="R1121" s="89"/>
      <c r="S1121" s="89">
        <f>100%-Table34[[#This Row],[PDF_initial fee]]</f>
        <v>1</v>
      </c>
      <c r="T1121" s="89"/>
      <c r="U1121" s="26"/>
    </row>
    <row r="1122" spans="1:30" hidden="1" x14ac:dyDescent="0.25">
      <c r="A1122">
        <v>230096</v>
      </c>
      <c r="B1122" t="s">
        <v>1446</v>
      </c>
      <c r="C1122" t="s">
        <v>29783</v>
      </c>
      <c r="D1122">
        <v>1</v>
      </c>
      <c r="E1122" t="s">
        <v>1446</v>
      </c>
      <c r="G1122" s="3"/>
      <c r="H1122" s="3">
        <v>0</v>
      </c>
      <c r="I1122" s="3">
        <v>0</v>
      </c>
      <c r="J1122" s="3">
        <v>0</v>
      </c>
      <c r="K1122" s="3">
        <v>0</v>
      </c>
      <c r="L1122" s="3">
        <f t="shared" si="55"/>
        <v>0</v>
      </c>
      <c r="M1122" s="3"/>
      <c r="N1122" s="3">
        <f t="shared" si="54"/>
        <v>0</v>
      </c>
      <c r="R1122" s="89"/>
      <c r="S1122" s="89">
        <f>100%-Table34[[#This Row],[PDF_initial fee]]</f>
        <v>1</v>
      </c>
      <c r="T1122" s="89"/>
      <c r="U1122" s="26"/>
    </row>
    <row r="1123" spans="1:30" hidden="1" x14ac:dyDescent="0.25">
      <c r="A1123">
        <v>230151</v>
      </c>
      <c r="B1123" t="s">
        <v>1447</v>
      </c>
      <c r="C1123" t="s">
        <v>6958</v>
      </c>
      <c r="D1123">
        <v>2</v>
      </c>
      <c r="E1123" t="s">
        <v>1447</v>
      </c>
      <c r="F1123" t="s">
        <v>6958</v>
      </c>
      <c r="G1123" s="3"/>
      <c r="H1123" s="21">
        <v>0</v>
      </c>
      <c r="I1123" s="21">
        <v>0</v>
      </c>
      <c r="J1123" s="21">
        <v>0</v>
      </c>
      <c r="K1123" s="21">
        <v>0</v>
      </c>
      <c r="L1123" s="3">
        <f t="shared" si="55"/>
        <v>0</v>
      </c>
      <c r="M1123" s="3"/>
      <c r="N1123" s="3">
        <f t="shared" si="54"/>
        <v>0</v>
      </c>
      <c r="R1123" s="89"/>
      <c r="S1123" s="89">
        <f>100%-Table34[[#This Row],[PDF_initial fee]]</f>
        <v>1</v>
      </c>
      <c r="T1123" s="89"/>
      <c r="U1123" s="26"/>
    </row>
    <row r="1124" spans="1:30" hidden="1" x14ac:dyDescent="0.25">
      <c r="A1124">
        <v>230342</v>
      </c>
      <c r="B1124" t="s">
        <v>1448</v>
      </c>
      <c r="C1124" t="s">
        <v>12079</v>
      </c>
      <c r="D1124">
        <v>89</v>
      </c>
      <c r="E1124" t="s">
        <v>1448</v>
      </c>
      <c r="F1124" t="s">
        <v>3</v>
      </c>
      <c r="G1124" s="3"/>
      <c r="H1124" s="21">
        <v>0</v>
      </c>
      <c r="I1124" s="21">
        <v>0</v>
      </c>
      <c r="J1124" s="21">
        <v>0</v>
      </c>
      <c r="K1124" s="21">
        <v>0</v>
      </c>
      <c r="L1124" s="3">
        <f t="shared" si="55"/>
        <v>0</v>
      </c>
      <c r="M1124" s="3"/>
      <c r="N1124" s="3">
        <f t="shared" si="54"/>
        <v>0</v>
      </c>
      <c r="R1124" s="89"/>
      <c r="S1124" s="89">
        <f>100%-Table34[[#This Row],[PDF_initial fee]]</f>
        <v>1</v>
      </c>
      <c r="T1124" s="89"/>
      <c r="U1124" s="26"/>
    </row>
    <row r="1125" spans="1:30" hidden="1" x14ac:dyDescent="0.25">
      <c r="A1125">
        <v>230443</v>
      </c>
      <c r="B1125" t="s">
        <v>1449</v>
      </c>
      <c r="C1125" t="s">
        <v>8167</v>
      </c>
      <c r="D1125">
        <v>1</v>
      </c>
      <c r="E1125" t="s">
        <v>1449</v>
      </c>
      <c r="G1125" s="3"/>
      <c r="H1125" s="21">
        <v>0</v>
      </c>
      <c r="I1125" s="21">
        <v>0</v>
      </c>
      <c r="J1125" s="21">
        <v>0</v>
      </c>
      <c r="K1125" s="21">
        <v>0</v>
      </c>
      <c r="L1125" s="3">
        <f t="shared" si="55"/>
        <v>0</v>
      </c>
      <c r="M1125" s="3"/>
      <c r="N1125" s="3">
        <f t="shared" si="54"/>
        <v>0</v>
      </c>
      <c r="R1125" s="89"/>
      <c r="S1125" s="89">
        <f>100%-Table34[[#This Row],[PDF_initial fee]]</f>
        <v>1</v>
      </c>
      <c r="T1125" s="89"/>
      <c r="U1125" s="26"/>
    </row>
    <row r="1126" spans="1:30" x14ac:dyDescent="0.25">
      <c r="A1126">
        <v>955889</v>
      </c>
      <c r="B1126" t="s">
        <v>345</v>
      </c>
      <c r="C1126" t="s">
        <v>10532</v>
      </c>
      <c r="D1126">
        <v>1</v>
      </c>
      <c r="E1126" t="s">
        <v>345</v>
      </c>
      <c r="F1126" t="s">
        <v>3</v>
      </c>
      <c r="G1126" s="3">
        <v>1.4E-3</v>
      </c>
      <c r="H1126" s="3"/>
      <c r="I1126" s="3">
        <v>0</v>
      </c>
      <c r="J1126" s="6">
        <v>2.7E-2</v>
      </c>
      <c r="K1126" s="6">
        <v>0.01</v>
      </c>
      <c r="L1126" s="3">
        <f>SUM(J1126:K1126)</f>
        <v>3.6999999999999998E-2</v>
      </c>
      <c r="M1126" s="3"/>
      <c r="N1126" s="3">
        <f t="shared" si="54"/>
        <v>3.8399999999999997E-2</v>
      </c>
      <c r="O1126" t="s">
        <v>29784</v>
      </c>
      <c r="P1126" s="31" t="s">
        <v>29785</v>
      </c>
      <c r="Q1126" t="s">
        <v>31787</v>
      </c>
      <c r="R1126" s="89">
        <v>0.33333333333333348</v>
      </c>
      <c r="S1126" s="89">
        <f>100%-Table34[[#This Row],[PDF_initial fee]]</f>
        <v>0.97299999999999998</v>
      </c>
      <c r="T1126" s="89">
        <f>(1-Table34[[#This Row],[PDF ongoing fee]])^5</f>
        <v>0.95099004989999991</v>
      </c>
      <c r="U1126" s="26">
        <f>(1+Table34[[#This Row],[Net 5yrs return (mostly up to 28th of Feb 2026)]])*Table34[[#This Row],[Investment after initial charge]]*Table34[[#This Row],[Cummulative 5yrs ongoing advice charge]]-1</f>
        <v>0.23375109140360006</v>
      </c>
      <c r="V1126" s="9">
        <f>48229+17082</f>
        <v>65311</v>
      </c>
      <c r="W1126" t="s">
        <v>29051</v>
      </c>
      <c r="X1126" s="9">
        <v>16229</v>
      </c>
      <c r="Y1126" s="30">
        <f>X1126/V1126</f>
        <v>0.24848800355223469</v>
      </c>
      <c r="AA1126" s="1" t="s">
        <v>29786</v>
      </c>
      <c r="AD1126" t="s">
        <v>29785</v>
      </c>
    </row>
    <row r="1127" spans="1:30" hidden="1" x14ac:dyDescent="0.25">
      <c r="A1127">
        <v>230606</v>
      </c>
      <c r="B1127" t="s">
        <v>1450</v>
      </c>
      <c r="C1127" t="s">
        <v>6958</v>
      </c>
      <c r="D1127">
        <v>0</v>
      </c>
      <c r="E1127" t="s">
        <v>1450</v>
      </c>
      <c r="F1127" t="s">
        <v>6958</v>
      </c>
      <c r="G1127" s="3"/>
      <c r="H1127" s="21">
        <v>0</v>
      </c>
      <c r="I1127" s="21">
        <v>0</v>
      </c>
      <c r="J1127" s="21">
        <v>0</v>
      </c>
      <c r="K1127" s="21">
        <v>0</v>
      </c>
      <c r="L1127" s="3">
        <f t="shared" ref="L1127:L1158" si="56">SUM(H1127:K1127)</f>
        <v>0</v>
      </c>
      <c r="M1127" s="3"/>
      <c r="N1127" s="3">
        <f t="shared" si="54"/>
        <v>0</v>
      </c>
      <c r="R1127" s="89"/>
      <c r="S1127" s="89">
        <f>100%-Table34[[#This Row],[PDF_initial fee]]</f>
        <v>1</v>
      </c>
      <c r="T1127" s="89"/>
      <c r="U1127" s="26"/>
    </row>
    <row r="1128" spans="1:30" hidden="1" x14ac:dyDescent="0.25">
      <c r="A1128">
        <v>230608</v>
      </c>
      <c r="B1128" t="s">
        <v>1451</v>
      </c>
      <c r="C1128" t="s">
        <v>29787</v>
      </c>
      <c r="D1128">
        <v>2</v>
      </c>
      <c r="E1128" t="s">
        <v>1451</v>
      </c>
      <c r="G1128" s="3"/>
      <c r="H1128" s="21">
        <v>0</v>
      </c>
      <c r="I1128" s="21">
        <v>0</v>
      </c>
      <c r="J1128" s="21">
        <v>0</v>
      </c>
      <c r="K1128" s="21">
        <v>0</v>
      </c>
      <c r="L1128" s="3">
        <f t="shared" si="56"/>
        <v>0</v>
      </c>
      <c r="M1128" s="3"/>
      <c r="N1128" s="3">
        <f t="shared" si="54"/>
        <v>0</v>
      </c>
      <c r="O1128" s="21"/>
      <c r="R1128" s="89"/>
      <c r="S1128" s="89">
        <f>100%-Table34[[#This Row],[PDF_initial fee]]</f>
        <v>1</v>
      </c>
      <c r="T1128" s="89"/>
      <c r="U1128" s="26"/>
    </row>
    <row r="1129" spans="1:30" hidden="1" x14ac:dyDescent="0.25">
      <c r="A1129">
        <v>230687</v>
      </c>
      <c r="B1129" t="s">
        <v>1453</v>
      </c>
      <c r="C1129" t="s">
        <v>11749</v>
      </c>
      <c r="D1129">
        <v>3</v>
      </c>
      <c r="E1129" t="s">
        <v>1453</v>
      </c>
      <c r="G1129" s="3"/>
      <c r="H1129" s="21">
        <v>0</v>
      </c>
      <c r="I1129" s="21">
        <v>0</v>
      </c>
      <c r="J1129" s="21">
        <v>0</v>
      </c>
      <c r="K1129" s="21">
        <v>0</v>
      </c>
      <c r="L1129" s="3">
        <f t="shared" si="56"/>
        <v>0</v>
      </c>
      <c r="M1129" s="3"/>
      <c r="N1129" s="3">
        <f t="shared" si="54"/>
        <v>0</v>
      </c>
      <c r="R1129" s="89"/>
      <c r="S1129" s="89">
        <f>100%-Table34[[#This Row],[PDF_initial fee]]</f>
        <v>1</v>
      </c>
      <c r="T1129" s="89"/>
      <c r="U1129" s="26"/>
    </row>
    <row r="1130" spans="1:30" x14ac:dyDescent="0.25">
      <c r="A1130">
        <v>115187</v>
      </c>
      <c r="B1130" t="s">
        <v>11</v>
      </c>
      <c r="C1130" s="1" t="s">
        <v>10752</v>
      </c>
      <c r="D1130">
        <v>4</v>
      </c>
      <c r="E1130" t="s">
        <v>11</v>
      </c>
      <c r="F1130" t="s">
        <v>3</v>
      </c>
      <c r="G1130" s="3">
        <v>1.4E-3</v>
      </c>
      <c r="H1130" s="3">
        <f>0.695%+1.5%</f>
        <v>2.1949999999999997E-2</v>
      </c>
      <c r="I1130" s="3">
        <v>5.0000000000000001E-3</v>
      </c>
      <c r="J1130" s="6"/>
      <c r="K1130" s="6"/>
      <c r="L1130" s="3">
        <f t="shared" si="56"/>
        <v>2.6949999999999998E-2</v>
      </c>
      <c r="M1130" s="3"/>
      <c r="N1130" s="3">
        <f t="shared" si="54"/>
        <v>2.8349999999999997E-2</v>
      </c>
      <c r="O1130" t="s">
        <v>29788</v>
      </c>
      <c r="P1130" s="1" t="s">
        <v>29789</v>
      </c>
      <c r="Q1130" t="s">
        <v>31787</v>
      </c>
      <c r="R1130" s="89">
        <v>0.33333333333333348</v>
      </c>
      <c r="S1130" s="89">
        <f>100%-Table34[[#This Row],[InitialFee]]</f>
        <v>0.97804999999999997</v>
      </c>
      <c r="T1130" s="89">
        <f>(1-Table34[[#This Row],[OngoingFee (plus Platform fee)]])^5</f>
        <v>0.97524875312187509</v>
      </c>
      <c r="U1130" s="26">
        <f>(1+Table34[[#This Row],[Net 5yrs return (mostly up to 28th of Feb 2026)]])*Table34[[#This Row],[Investment after initial charge]]*Table34[[#This Row],[Cummulative 5yrs ongoing advice charge]]-1</f>
        <v>0.27178939065446661</v>
      </c>
      <c r="V1130" s="10">
        <v>362830</v>
      </c>
      <c r="W1130" s="10" t="s">
        <v>29051</v>
      </c>
      <c r="X1130" s="10">
        <v>381707</v>
      </c>
      <c r="Y1130" s="91">
        <f>X1130/V1130</f>
        <v>1.052027120138908</v>
      </c>
      <c r="AA1130" s="1" t="s">
        <v>29790</v>
      </c>
    </row>
    <row r="1131" spans="1:30" hidden="1" x14ac:dyDescent="0.25">
      <c r="A1131">
        <v>230693</v>
      </c>
      <c r="B1131" t="s">
        <v>1454</v>
      </c>
      <c r="C1131" t="s">
        <v>11535</v>
      </c>
      <c r="D1131">
        <v>1</v>
      </c>
      <c r="E1131" t="s">
        <v>1454</v>
      </c>
      <c r="F1131" t="s">
        <v>29791</v>
      </c>
      <c r="G1131" s="3"/>
      <c r="H1131" s="21">
        <v>0</v>
      </c>
      <c r="I1131" s="21">
        <v>0</v>
      </c>
      <c r="J1131" s="21">
        <v>0</v>
      </c>
      <c r="K1131" s="21">
        <v>0</v>
      </c>
      <c r="L1131" s="3">
        <f t="shared" si="56"/>
        <v>0</v>
      </c>
      <c r="M1131" s="3"/>
      <c r="N1131" s="3">
        <f t="shared" si="54"/>
        <v>0</v>
      </c>
      <c r="R1131" s="89"/>
      <c r="S1131" s="89">
        <f>100%-Table34[[#This Row],[PDF_initial fee]]</f>
        <v>1</v>
      </c>
      <c r="T1131" s="89"/>
      <c r="U1131" s="26"/>
    </row>
    <row r="1132" spans="1:30" hidden="1" x14ac:dyDescent="0.25">
      <c r="A1132">
        <v>230734</v>
      </c>
      <c r="B1132" t="s">
        <v>1455</v>
      </c>
      <c r="C1132" t="s">
        <v>6958</v>
      </c>
      <c r="D1132">
        <v>1</v>
      </c>
      <c r="E1132" t="s">
        <v>1455</v>
      </c>
      <c r="F1132" t="s">
        <v>6958</v>
      </c>
      <c r="G1132" s="3"/>
      <c r="H1132" s="21">
        <v>0</v>
      </c>
      <c r="I1132" s="21">
        <v>0</v>
      </c>
      <c r="J1132" s="21">
        <v>0</v>
      </c>
      <c r="K1132" s="21">
        <v>0</v>
      </c>
      <c r="L1132" s="3">
        <f t="shared" si="56"/>
        <v>0</v>
      </c>
      <c r="M1132" s="3"/>
      <c r="N1132" s="3">
        <f t="shared" si="54"/>
        <v>0</v>
      </c>
      <c r="R1132" s="89"/>
      <c r="S1132" s="89">
        <f>100%-Table34[[#This Row],[PDF_initial fee]]</f>
        <v>1</v>
      </c>
      <c r="T1132" s="89"/>
      <c r="U1132" s="26"/>
    </row>
    <row r="1133" spans="1:30" hidden="1" x14ac:dyDescent="0.25">
      <c r="A1133">
        <v>230809</v>
      </c>
      <c r="B1133" t="s">
        <v>1456</v>
      </c>
      <c r="C1133" t="s">
        <v>29792</v>
      </c>
      <c r="D1133">
        <v>3</v>
      </c>
      <c r="E1133" t="s">
        <v>1456</v>
      </c>
      <c r="G1133" s="3"/>
      <c r="H1133" s="3">
        <v>0</v>
      </c>
      <c r="I1133" s="3">
        <v>0</v>
      </c>
      <c r="J1133" s="3">
        <v>0</v>
      </c>
      <c r="K1133" s="3">
        <v>0</v>
      </c>
      <c r="L1133" s="3">
        <f t="shared" si="56"/>
        <v>0</v>
      </c>
      <c r="M1133" s="3"/>
      <c r="N1133" s="3">
        <f t="shared" si="54"/>
        <v>0</v>
      </c>
      <c r="R1133" s="89"/>
      <c r="S1133" s="89">
        <f>100%-Table34[[#This Row],[PDF_initial fee]]</f>
        <v>1</v>
      </c>
      <c r="T1133" s="89"/>
      <c r="U1133" s="26"/>
    </row>
    <row r="1134" spans="1:30" hidden="1" x14ac:dyDescent="0.25">
      <c r="A1134">
        <v>230900</v>
      </c>
      <c r="B1134" t="s">
        <v>1458</v>
      </c>
      <c r="C1134" t="s">
        <v>6958</v>
      </c>
      <c r="D1134">
        <v>0</v>
      </c>
      <c r="E1134" t="s">
        <v>1458</v>
      </c>
      <c r="F1134" t="s">
        <v>6958</v>
      </c>
      <c r="G1134" s="3"/>
      <c r="H1134" s="21">
        <v>0</v>
      </c>
      <c r="I1134" s="21">
        <v>0</v>
      </c>
      <c r="J1134" s="21">
        <v>0</v>
      </c>
      <c r="K1134" s="21">
        <v>0</v>
      </c>
      <c r="L1134" s="3">
        <f t="shared" si="56"/>
        <v>0</v>
      </c>
      <c r="M1134" s="3"/>
      <c r="N1134" s="3">
        <f t="shared" si="54"/>
        <v>0</v>
      </c>
      <c r="R1134" s="89"/>
      <c r="S1134" s="89">
        <f>100%-Table34[[#This Row],[PDF_initial fee]]</f>
        <v>1</v>
      </c>
      <c r="T1134" s="89"/>
      <c r="U1134" s="26"/>
    </row>
    <row r="1135" spans="1:30" hidden="1" x14ac:dyDescent="0.25">
      <c r="A1135">
        <v>231014</v>
      </c>
      <c r="B1135" t="s">
        <v>1459</v>
      </c>
      <c r="C1135" t="s">
        <v>11833</v>
      </c>
      <c r="D1135">
        <v>3</v>
      </c>
      <c r="E1135" t="s">
        <v>1459</v>
      </c>
      <c r="G1135" s="3"/>
      <c r="L1135" s="3">
        <f t="shared" si="56"/>
        <v>0</v>
      </c>
      <c r="M1135" s="3"/>
      <c r="N1135" s="3">
        <f t="shared" si="54"/>
        <v>0</v>
      </c>
      <c r="R1135" s="89"/>
      <c r="S1135" s="89">
        <f>100%-Table34[[#This Row],[PDF_initial fee]]</f>
        <v>1</v>
      </c>
      <c r="T1135" s="89"/>
      <c r="U1135" s="26"/>
    </row>
    <row r="1136" spans="1:30" hidden="1" x14ac:dyDescent="0.25">
      <c r="A1136">
        <v>231108</v>
      </c>
      <c r="B1136" t="s">
        <v>1460</v>
      </c>
      <c r="C1136" t="s">
        <v>29793</v>
      </c>
      <c r="D1136">
        <v>10</v>
      </c>
      <c r="E1136" t="s">
        <v>1460</v>
      </c>
      <c r="G1136" s="3"/>
      <c r="H1136" s="3">
        <v>0</v>
      </c>
      <c r="I1136" s="3">
        <v>0</v>
      </c>
      <c r="J1136" s="3">
        <v>0</v>
      </c>
      <c r="K1136" s="3">
        <v>0</v>
      </c>
      <c r="L1136" s="3">
        <f t="shared" si="56"/>
        <v>0</v>
      </c>
      <c r="M1136" s="3"/>
      <c r="N1136" s="3">
        <f t="shared" si="54"/>
        <v>0</v>
      </c>
      <c r="R1136" s="89"/>
      <c r="S1136" s="89">
        <f>100%-Table34[[#This Row],[PDF_initial fee]]</f>
        <v>1</v>
      </c>
      <c r="T1136" s="89"/>
      <c r="U1136" s="26"/>
    </row>
    <row r="1137" spans="1:27" hidden="1" x14ac:dyDescent="0.25">
      <c r="A1137">
        <v>231131</v>
      </c>
      <c r="B1137" t="s">
        <v>1461</v>
      </c>
      <c r="C1137" t="s">
        <v>6958</v>
      </c>
      <c r="D1137">
        <v>1</v>
      </c>
      <c r="E1137" t="s">
        <v>1461</v>
      </c>
      <c r="F1137" t="s">
        <v>6958</v>
      </c>
      <c r="G1137" s="3"/>
      <c r="H1137" s="21">
        <v>0</v>
      </c>
      <c r="I1137" s="21">
        <v>0</v>
      </c>
      <c r="J1137" s="21">
        <v>0</v>
      </c>
      <c r="K1137" s="21">
        <v>0</v>
      </c>
      <c r="L1137" s="3">
        <f t="shared" si="56"/>
        <v>0</v>
      </c>
      <c r="M1137" s="3"/>
      <c r="N1137" s="3">
        <f t="shared" si="54"/>
        <v>0</v>
      </c>
      <c r="R1137" s="89"/>
      <c r="S1137" s="89">
        <f>100%-Table34[[#This Row],[PDF_initial fee]]</f>
        <v>1</v>
      </c>
      <c r="T1137" s="89"/>
      <c r="U1137" s="26"/>
    </row>
    <row r="1138" spans="1:27" hidden="1" x14ac:dyDescent="0.25">
      <c r="A1138">
        <v>231135</v>
      </c>
      <c r="B1138" t="s">
        <v>1462</v>
      </c>
      <c r="C1138" t="s">
        <v>11115</v>
      </c>
      <c r="D1138">
        <v>2</v>
      </c>
      <c r="E1138" t="s">
        <v>1462</v>
      </c>
      <c r="G1138" s="3"/>
      <c r="L1138" s="3">
        <f t="shared" si="56"/>
        <v>0</v>
      </c>
      <c r="M1138" s="3"/>
      <c r="N1138" s="3">
        <f t="shared" si="54"/>
        <v>0</v>
      </c>
      <c r="R1138" s="89"/>
      <c r="S1138" s="89">
        <f>100%-Table34[[#This Row],[PDF_initial fee]]</f>
        <v>1</v>
      </c>
      <c r="T1138" s="89"/>
      <c r="U1138" s="26"/>
    </row>
    <row r="1139" spans="1:27" hidden="1" x14ac:dyDescent="0.25">
      <c r="A1139">
        <v>231167</v>
      </c>
      <c r="B1139" t="s">
        <v>1463</v>
      </c>
      <c r="C1139" t="s">
        <v>29794</v>
      </c>
      <c r="D1139">
        <v>3</v>
      </c>
      <c r="E1139" t="s">
        <v>1463</v>
      </c>
      <c r="G1139" s="3"/>
      <c r="H1139" s="3">
        <v>0</v>
      </c>
      <c r="I1139" s="3">
        <v>0</v>
      </c>
      <c r="J1139" s="3">
        <v>0</v>
      </c>
      <c r="K1139" s="3">
        <v>0</v>
      </c>
      <c r="L1139" s="3">
        <f t="shared" si="56"/>
        <v>0</v>
      </c>
      <c r="M1139" s="3"/>
      <c r="N1139" s="3">
        <f t="shared" si="54"/>
        <v>0</v>
      </c>
      <c r="R1139" s="89"/>
      <c r="S1139" s="89">
        <f>100%-Table34[[#This Row],[PDF_initial fee]]</f>
        <v>1</v>
      </c>
      <c r="T1139" s="89"/>
      <c r="U1139" s="26"/>
    </row>
    <row r="1140" spans="1:27" hidden="1" x14ac:dyDescent="0.25">
      <c r="A1140">
        <v>231170</v>
      </c>
      <c r="B1140" t="s">
        <v>1464</v>
      </c>
      <c r="C1140" t="s">
        <v>12652</v>
      </c>
      <c r="D1140">
        <v>4</v>
      </c>
      <c r="E1140" t="s">
        <v>1464</v>
      </c>
      <c r="F1140" t="s">
        <v>3</v>
      </c>
      <c r="G1140" s="3"/>
      <c r="H1140" s="21">
        <v>0</v>
      </c>
      <c r="I1140" s="21">
        <v>0</v>
      </c>
      <c r="J1140" s="21">
        <v>0</v>
      </c>
      <c r="K1140" s="21">
        <v>0</v>
      </c>
      <c r="L1140" s="3">
        <f t="shared" si="56"/>
        <v>0</v>
      </c>
      <c r="M1140" s="3"/>
      <c r="N1140" s="3">
        <f t="shared" si="54"/>
        <v>0</v>
      </c>
      <c r="R1140" s="89"/>
      <c r="S1140" s="89">
        <f>100%-Table34[[#This Row],[PDF_initial fee]]</f>
        <v>1</v>
      </c>
      <c r="T1140" s="89"/>
      <c r="U1140" s="26"/>
    </row>
    <row r="1141" spans="1:27" hidden="1" x14ac:dyDescent="0.25">
      <c r="A1141">
        <v>231230</v>
      </c>
      <c r="B1141" t="s">
        <v>1465</v>
      </c>
      <c r="C1141" t="s">
        <v>6958</v>
      </c>
      <c r="D1141">
        <v>2</v>
      </c>
      <c r="E1141" t="s">
        <v>1465</v>
      </c>
      <c r="F1141" t="s">
        <v>6958</v>
      </c>
      <c r="G1141" s="3"/>
      <c r="H1141" s="21">
        <v>0</v>
      </c>
      <c r="I1141" s="21">
        <v>0</v>
      </c>
      <c r="J1141" s="21">
        <v>0</v>
      </c>
      <c r="K1141" s="21">
        <v>0</v>
      </c>
      <c r="L1141" s="3">
        <f t="shared" si="56"/>
        <v>0</v>
      </c>
      <c r="M1141" s="3"/>
      <c r="N1141" s="3">
        <f t="shared" si="54"/>
        <v>0</v>
      </c>
      <c r="R1141" s="89"/>
      <c r="S1141" s="89">
        <f>100%-Table34[[#This Row],[PDF_initial fee]]</f>
        <v>1</v>
      </c>
      <c r="T1141" s="89"/>
      <c r="U1141" s="26"/>
    </row>
    <row r="1142" spans="1:27" hidden="1" x14ac:dyDescent="0.25">
      <c r="A1142">
        <v>231328</v>
      </c>
      <c r="B1142" t="s">
        <v>1466</v>
      </c>
      <c r="C1142" t="s">
        <v>9498</v>
      </c>
      <c r="D1142">
        <v>0</v>
      </c>
      <c r="E1142" t="s">
        <v>1466</v>
      </c>
      <c r="F1142" t="s">
        <v>29136</v>
      </c>
      <c r="G1142" s="3"/>
      <c r="H1142" s="21">
        <v>0</v>
      </c>
      <c r="I1142" s="21">
        <v>0</v>
      </c>
      <c r="J1142" s="21">
        <v>0</v>
      </c>
      <c r="K1142" s="21">
        <v>0</v>
      </c>
      <c r="L1142" s="3">
        <f t="shared" si="56"/>
        <v>0</v>
      </c>
      <c r="M1142" s="3"/>
      <c r="N1142" s="3">
        <f t="shared" si="54"/>
        <v>0</v>
      </c>
      <c r="R1142" s="89"/>
      <c r="S1142" s="89">
        <f>100%-Table34[[#This Row],[PDF_initial fee]]</f>
        <v>1</v>
      </c>
      <c r="T1142" s="89"/>
      <c r="U1142" s="26"/>
    </row>
    <row r="1143" spans="1:27" hidden="1" x14ac:dyDescent="0.25">
      <c r="A1143">
        <v>231370</v>
      </c>
      <c r="B1143" t="s">
        <v>1467</v>
      </c>
      <c r="C1143" t="s">
        <v>6958</v>
      </c>
      <c r="D1143">
        <v>1</v>
      </c>
      <c r="E1143" t="s">
        <v>1467</v>
      </c>
      <c r="F1143" t="s">
        <v>6958</v>
      </c>
      <c r="G1143" s="3"/>
      <c r="H1143" s="21">
        <v>0</v>
      </c>
      <c r="I1143" s="21">
        <v>0</v>
      </c>
      <c r="J1143" s="21">
        <v>0</v>
      </c>
      <c r="K1143" s="21">
        <v>0</v>
      </c>
      <c r="L1143" s="3">
        <f t="shared" si="56"/>
        <v>0</v>
      </c>
      <c r="M1143" s="3"/>
      <c r="N1143" s="3">
        <f t="shared" si="54"/>
        <v>0</v>
      </c>
      <c r="R1143" s="89"/>
      <c r="S1143" s="89">
        <f>100%-Table34[[#This Row],[PDF_initial fee]]</f>
        <v>1</v>
      </c>
      <c r="T1143" s="89"/>
      <c r="U1143" s="26"/>
    </row>
    <row r="1144" spans="1:27" hidden="1" x14ac:dyDescent="0.25">
      <c r="A1144">
        <v>231408</v>
      </c>
      <c r="B1144" t="s">
        <v>1468</v>
      </c>
      <c r="C1144" t="s">
        <v>6958</v>
      </c>
      <c r="D1144">
        <v>2</v>
      </c>
      <c r="E1144" t="s">
        <v>1468</v>
      </c>
      <c r="F1144" t="s">
        <v>6958</v>
      </c>
      <c r="G1144" s="3"/>
      <c r="H1144" s="21">
        <v>0</v>
      </c>
      <c r="I1144" s="21">
        <v>0</v>
      </c>
      <c r="J1144" s="21">
        <v>0</v>
      </c>
      <c r="K1144" s="21">
        <v>0</v>
      </c>
      <c r="L1144" s="3">
        <f t="shared" si="56"/>
        <v>0</v>
      </c>
      <c r="M1144" s="3"/>
      <c r="N1144" s="3">
        <f t="shared" si="54"/>
        <v>0</v>
      </c>
      <c r="R1144" s="89"/>
      <c r="S1144" s="89">
        <f>100%-Table34[[#This Row],[PDF_initial fee]]</f>
        <v>1</v>
      </c>
      <c r="T1144" s="89"/>
      <c r="U1144" s="26"/>
    </row>
    <row r="1145" spans="1:27" hidden="1" x14ac:dyDescent="0.25">
      <c r="A1145">
        <v>231418</v>
      </c>
      <c r="B1145" t="s">
        <v>1469</v>
      </c>
      <c r="C1145" t="s">
        <v>12378</v>
      </c>
      <c r="D1145">
        <v>2</v>
      </c>
      <c r="E1145" t="s">
        <v>1469</v>
      </c>
      <c r="G1145" s="3"/>
      <c r="H1145" s="21">
        <v>0</v>
      </c>
      <c r="I1145" s="21">
        <v>0</v>
      </c>
      <c r="J1145" s="21">
        <v>0</v>
      </c>
      <c r="K1145" s="21">
        <v>0</v>
      </c>
      <c r="L1145" s="3">
        <f t="shared" si="56"/>
        <v>0</v>
      </c>
      <c r="M1145" s="3"/>
      <c r="N1145" s="3">
        <f t="shared" si="54"/>
        <v>0</v>
      </c>
      <c r="R1145" s="89"/>
      <c r="S1145" s="89">
        <f>100%-Table34[[#This Row],[PDF_initial fee]]</f>
        <v>1</v>
      </c>
      <c r="T1145" s="89"/>
      <c r="U1145" s="26"/>
    </row>
    <row r="1146" spans="1:27" hidden="1" x14ac:dyDescent="0.25">
      <c r="A1146">
        <v>231492</v>
      </c>
      <c r="B1146" t="s">
        <v>1470</v>
      </c>
      <c r="C1146" t="s">
        <v>6966</v>
      </c>
      <c r="D1146">
        <v>3</v>
      </c>
      <c r="E1146" t="s">
        <v>1470</v>
      </c>
      <c r="G1146" s="3"/>
      <c r="H1146" s="21">
        <v>0</v>
      </c>
      <c r="I1146" s="21">
        <v>0</v>
      </c>
      <c r="J1146" s="21">
        <v>0</v>
      </c>
      <c r="K1146" s="21">
        <v>0</v>
      </c>
      <c r="L1146" s="3">
        <f t="shared" si="56"/>
        <v>0</v>
      </c>
      <c r="M1146" s="3"/>
      <c r="N1146" s="3">
        <f t="shared" ref="N1146:N1209" si="57">L1146+G1146</f>
        <v>0</v>
      </c>
      <c r="R1146" s="89"/>
      <c r="S1146" s="89">
        <f>100%-Table34[[#This Row],[PDF_initial fee]]</f>
        <v>1</v>
      </c>
      <c r="T1146" s="89"/>
      <c r="U1146" s="26"/>
    </row>
    <row r="1147" spans="1:27" hidden="1" x14ac:dyDescent="0.25">
      <c r="A1147">
        <v>231578</v>
      </c>
      <c r="B1147" t="s">
        <v>1471</v>
      </c>
      <c r="C1147" t="s">
        <v>6958</v>
      </c>
      <c r="D1147">
        <v>2</v>
      </c>
      <c r="E1147" t="s">
        <v>1471</v>
      </c>
      <c r="F1147" t="s">
        <v>6958</v>
      </c>
      <c r="G1147" s="3"/>
      <c r="H1147" s="21">
        <v>0</v>
      </c>
      <c r="I1147" s="21">
        <v>0</v>
      </c>
      <c r="J1147" s="21">
        <v>0</v>
      </c>
      <c r="K1147" s="21">
        <v>0</v>
      </c>
      <c r="L1147" s="3">
        <f t="shared" si="56"/>
        <v>0</v>
      </c>
      <c r="M1147" s="3"/>
      <c r="N1147" s="3">
        <f t="shared" si="57"/>
        <v>0</v>
      </c>
      <c r="R1147" s="89"/>
      <c r="S1147" s="89">
        <f>100%-Table34[[#This Row],[PDF_initial fee]]</f>
        <v>1</v>
      </c>
      <c r="T1147" s="89"/>
      <c r="U1147" s="26"/>
    </row>
    <row r="1148" spans="1:27" hidden="1" x14ac:dyDescent="0.25">
      <c r="A1148">
        <v>231580</v>
      </c>
      <c r="B1148" t="s">
        <v>1472</v>
      </c>
      <c r="C1148" t="s">
        <v>10066</v>
      </c>
      <c r="D1148">
        <v>5</v>
      </c>
      <c r="E1148" t="s">
        <v>1472</v>
      </c>
      <c r="G1148" s="3"/>
      <c r="H1148" s="21">
        <v>0</v>
      </c>
      <c r="I1148" s="21">
        <v>0</v>
      </c>
      <c r="J1148" s="21">
        <v>0</v>
      </c>
      <c r="K1148" s="21">
        <v>0</v>
      </c>
      <c r="L1148" s="3">
        <f t="shared" si="56"/>
        <v>0</v>
      </c>
      <c r="M1148" s="3"/>
      <c r="N1148" s="3">
        <f t="shared" si="57"/>
        <v>0</v>
      </c>
      <c r="R1148" s="89"/>
      <c r="S1148" s="89">
        <f>100%-Table34[[#This Row],[PDF_initial fee]]</f>
        <v>1</v>
      </c>
      <c r="T1148" s="89"/>
      <c r="U1148" s="26"/>
    </row>
    <row r="1149" spans="1:27" hidden="1" x14ac:dyDescent="0.25">
      <c r="A1149">
        <v>231629</v>
      </c>
      <c r="B1149" t="s">
        <v>1473</v>
      </c>
      <c r="C1149" t="s">
        <v>11007</v>
      </c>
      <c r="D1149">
        <v>2</v>
      </c>
      <c r="E1149" t="s">
        <v>1473</v>
      </c>
      <c r="G1149" s="3"/>
      <c r="H1149" s="21">
        <v>0</v>
      </c>
      <c r="I1149" s="21">
        <v>0</v>
      </c>
      <c r="J1149" s="21">
        <v>0</v>
      </c>
      <c r="K1149" s="21">
        <v>0</v>
      </c>
      <c r="L1149" s="3">
        <f t="shared" si="56"/>
        <v>0</v>
      </c>
      <c r="M1149" s="3"/>
      <c r="N1149" s="3">
        <f t="shared" si="57"/>
        <v>0</v>
      </c>
      <c r="R1149" s="89"/>
      <c r="S1149" s="89">
        <f>100%-Table34[[#This Row],[PDF_initial fee]]</f>
        <v>1</v>
      </c>
      <c r="T1149" s="89"/>
      <c r="U1149" s="26"/>
    </row>
    <row r="1150" spans="1:27" x14ac:dyDescent="0.25">
      <c r="A1150">
        <v>963900</v>
      </c>
      <c r="B1150" t="s">
        <v>349</v>
      </c>
      <c r="C1150" s="1" t="s">
        <v>10822</v>
      </c>
      <c r="D1150">
        <v>1</v>
      </c>
      <c r="E1150" t="s">
        <v>349</v>
      </c>
      <c r="F1150" t="s">
        <v>3</v>
      </c>
      <c r="G1150" s="3">
        <v>1.4E-3</v>
      </c>
      <c r="H1150" s="3">
        <v>2.5000000000000001E-2</v>
      </c>
      <c r="I1150" s="3">
        <v>5.0000000000000001E-3</v>
      </c>
      <c r="J1150" s="6"/>
      <c r="K1150" s="6"/>
      <c r="L1150" s="3">
        <f t="shared" si="56"/>
        <v>3.0000000000000002E-2</v>
      </c>
      <c r="M1150" s="3"/>
      <c r="N1150" s="3">
        <f t="shared" si="57"/>
        <v>3.1400000000000004E-2</v>
      </c>
      <c r="P1150" s="31" t="s">
        <v>29795</v>
      </c>
      <c r="Q1150" t="s">
        <v>31787</v>
      </c>
      <c r="R1150" s="89">
        <v>0.33333333333333348</v>
      </c>
      <c r="S1150" s="89">
        <f>100%-Table34[[#This Row],[InitialFee]]</f>
        <v>0.97499999999999998</v>
      </c>
      <c r="T1150" s="89">
        <f>(1-Table34[[#This Row],[OngoingFee (plus Platform fee)]])^5</f>
        <v>0.97524875312187509</v>
      </c>
      <c r="U1150" s="26">
        <f>(1+Table34[[#This Row],[Net 5yrs return (mostly up to 28th of Feb 2026)]])*Table34[[#This Row],[Investment after initial charge]]*Table34[[#This Row],[Cummulative 5yrs ongoing advice charge]]-1</f>
        <v>0.26782337905843767</v>
      </c>
      <c r="V1150">
        <f>44676+12625</f>
        <v>57301</v>
      </c>
      <c r="W1150" t="s">
        <v>29051</v>
      </c>
      <c r="X1150" s="9">
        <v>44676</v>
      </c>
      <c r="Y1150" s="30">
        <f>X1150/V1150</f>
        <v>0.77967225702867315</v>
      </c>
      <c r="AA1150" s="1" t="s">
        <v>29796</v>
      </c>
    </row>
    <row r="1151" spans="1:27" hidden="1" x14ac:dyDescent="0.25">
      <c r="A1151">
        <v>231683</v>
      </c>
      <c r="B1151" t="s">
        <v>1474</v>
      </c>
      <c r="C1151" t="s">
        <v>6958</v>
      </c>
      <c r="D1151">
        <v>3</v>
      </c>
      <c r="E1151" t="s">
        <v>1474</v>
      </c>
      <c r="F1151" t="s">
        <v>6958</v>
      </c>
      <c r="G1151" s="3"/>
      <c r="H1151" s="21">
        <v>0</v>
      </c>
      <c r="I1151" s="21">
        <v>0</v>
      </c>
      <c r="J1151" s="21">
        <v>0</v>
      </c>
      <c r="K1151" s="21">
        <v>0</v>
      </c>
      <c r="L1151" s="3">
        <f t="shared" si="56"/>
        <v>0</v>
      </c>
      <c r="M1151" s="3"/>
      <c r="N1151" s="3">
        <f t="shared" si="57"/>
        <v>0</v>
      </c>
      <c r="R1151" s="89"/>
      <c r="S1151" s="89">
        <f>100%-Table34[[#This Row],[PDF_initial fee]]</f>
        <v>1</v>
      </c>
      <c r="T1151" s="89"/>
      <c r="U1151" s="26"/>
    </row>
    <row r="1152" spans="1:27" hidden="1" x14ac:dyDescent="0.25">
      <c r="A1152">
        <v>231686</v>
      </c>
      <c r="B1152" t="s">
        <v>1475</v>
      </c>
      <c r="C1152" t="s">
        <v>6958</v>
      </c>
      <c r="D1152">
        <v>0</v>
      </c>
      <c r="E1152" t="s">
        <v>1475</v>
      </c>
      <c r="F1152" t="s">
        <v>6958</v>
      </c>
      <c r="G1152" s="3"/>
      <c r="H1152" s="21">
        <v>0</v>
      </c>
      <c r="I1152" s="21">
        <v>0</v>
      </c>
      <c r="J1152" s="21">
        <v>0</v>
      </c>
      <c r="K1152" s="21">
        <v>0</v>
      </c>
      <c r="L1152" s="3">
        <f t="shared" si="56"/>
        <v>0</v>
      </c>
      <c r="M1152" s="3"/>
      <c r="N1152" s="3">
        <f t="shared" si="57"/>
        <v>0</v>
      </c>
      <c r="R1152" s="89"/>
      <c r="S1152" s="89">
        <f>100%-Table34[[#This Row],[PDF_initial fee]]</f>
        <v>1</v>
      </c>
      <c r="T1152" s="89"/>
      <c r="U1152" s="26"/>
    </row>
    <row r="1153" spans="1:27" hidden="1" x14ac:dyDescent="0.25">
      <c r="A1153">
        <v>231706</v>
      </c>
      <c r="B1153" t="s">
        <v>1476</v>
      </c>
      <c r="C1153" t="s">
        <v>29797</v>
      </c>
      <c r="D1153">
        <v>1</v>
      </c>
      <c r="E1153" t="s">
        <v>1476</v>
      </c>
      <c r="G1153" s="3"/>
      <c r="H1153" s="3">
        <v>0</v>
      </c>
      <c r="I1153" s="3">
        <v>0</v>
      </c>
      <c r="J1153" s="3">
        <v>0</v>
      </c>
      <c r="K1153" s="3">
        <v>0</v>
      </c>
      <c r="L1153" s="3">
        <f t="shared" si="56"/>
        <v>0</v>
      </c>
      <c r="M1153" s="3"/>
      <c r="N1153" s="3">
        <f t="shared" si="57"/>
        <v>0</v>
      </c>
      <c r="R1153" s="89"/>
      <c r="S1153" s="89">
        <f>100%-Table34[[#This Row],[PDF_initial fee]]</f>
        <v>1</v>
      </c>
      <c r="T1153" s="89"/>
      <c r="U1153" s="26"/>
    </row>
    <row r="1154" spans="1:27" hidden="1" x14ac:dyDescent="0.25">
      <c r="A1154">
        <v>231708</v>
      </c>
      <c r="B1154" t="s">
        <v>1477</v>
      </c>
      <c r="C1154" t="s">
        <v>6958</v>
      </c>
      <c r="D1154">
        <v>0</v>
      </c>
      <c r="E1154" t="s">
        <v>1477</v>
      </c>
      <c r="F1154" t="s">
        <v>6958</v>
      </c>
      <c r="G1154" s="3"/>
      <c r="H1154" s="21">
        <v>0</v>
      </c>
      <c r="I1154" s="21">
        <v>0</v>
      </c>
      <c r="J1154" s="21">
        <v>0</v>
      </c>
      <c r="K1154" s="21">
        <v>0</v>
      </c>
      <c r="L1154" s="3">
        <f t="shared" si="56"/>
        <v>0</v>
      </c>
      <c r="M1154" s="3"/>
      <c r="N1154" s="3">
        <f t="shared" si="57"/>
        <v>0</v>
      </c>
      <c r="O1154" s="21"/>
      <c r="R1154" s="89"/>
      <c r="S1154" s="89">
        <f>100%-Table34[[#This Row],[PDF_initial fee]]</f>
        <v>1</v>
      </c>
      <c r="T1154" s="89"/>
      <c r="U1154" s="26"/>
    </row>
    <row r="1155" spans="1:27" hidden="1" x14ac:dyDescent="0.25">
      <c r="A1155">
        <v>231749</v>
      </c>
      <c r="B1155" t="s">
        <v>1478</v>
      </c>
      <c r="C1155" t="s">
        <v>10052</v>
      </c>
      <c r="D1155">
        <v>6</v>
      </c>
      <c r="E1155" t="s">
        <v>1478</v>
      </c>
      <c r="G1155" s="3"/>
      <c r="H1155" s="21">
        <v>0</v>
      </c>
      <c r="I1155" s="21">
        <v>0</v>
      </c>
      <c r="J1155" s="21">
        <v>0</v>
      </c>
      <c r="K1155" s="21">
        <v>0</v>
      </c>
      <c r="L1155" s="3">
        <f t="shared" si="56"/>
        <v>0</v>
      </c>
      <c r="M1155" s="3"/>
      <c r="N1155" s="3">
        <f t="shared" si="57"/>
        <v>0</v>
      </c>
      <c r="R1155" s="89"/>
      <c r="S1155" s="89">
        <f>100%-Table34[[#This Row],[PDF_initial fee]]</f>
        <v>1</v>
      </c>
      <c r="T1155" s="89"/>
      <c r="U1155" s="26"/>
    </row>
    <row r="1156" spans="1:27" hidden="1" x14ac:dyDescent="0.25">
      <c r="A1156">
        <v>231772</v>
      </c>
      <c r="B1156" t="s">
        <v>1479</v>
      </c>
      <c r="C1156" t="s">
        <v>6958</v>
      </c>
      <c r="D1156">
        <v>1</v>
      </c>
      <c r="E1156" t="s">
        <v>1479</v>
      </c>
      <c r="F1156" t="s">
        <v>6958</v>
      </c>
      <c r="G1156" s="3"/>
      <c r="L1156" s="3">
        <f t="shared" si="56"/>
        <v>0</v>
      </c>
      <c r="M1156" s="3"/>
      <c r="N1156" s="3">
        <f t="shared" si="57"/>
        <v>0</v>
      </c>
      <c r="R1156" s="89"/>
      <c r="S1156" s="89">
        <f>100%-Table34[[#This Row],[PDF_initial fee]]</f>
        <v>1</v>
      </c>
      <c r="T1156" s="89"/>
      <c r="U1156" s="26"/>
    </row>
    <row r="1157" spans="1:27" hidden="1" x14ac:dyDescent="0.25">
      <c r="A1157">
        <v>231791</v>
      </c>
      <c r="B1157" t="s">
        <v>1480</v>
      </c>
      <c r="C1157" t="s">
        <v>29798</v>
      </c>
      <c r="D1157">
        <v>0</v>
      </c>
      <c r="E1157" t="s">
        <v>1480</v>
      </c>
      <c r="F1157" t="s">
        <v>29136</v>
      </c>
      <c r="G1157" s="3"/>
      <c r="H1157" s="21">
        <v>0</v>
      </c>
      <c r="I1157" s="21">
        <v>0</v>
      </c>
      <c r="J1157" s="21">
        <v>0</v>
      </c>
      <c r="K1157" s="21">
        <v>0</v>
      </c>
      <c r="L1157" s="3">
        <f t="shared" si="56"/>
        <v>0</v>
      </c>
      <c r="M1157" s="3"/>
      <c r="N1157" s="3">
        <f t="shared" si="57"/>
        <v>0</v>
      </c>
      <c r="O1157" s="21"/>
      <c r="R1157" s="89"/>
      <c r="S1157" s="89">
        <f>100%-Table34[[#This Row],[PDF_initial fee]]</f>
        <v>1</v>
      </c>
      <c r="T1157" s="89"/>
      <c r="U1157" s="26"/>
    </row>
    <row r="1158" spans="1:27" x14ac:dyDescent="0.25">
      <c r="A1158">
        <v>823906</v>
      </c>
      <c r="B1158" t="s">
        <v>313</v>
      </c>
      <c r="C1158" t="s">
        <v>8230</v>
      </c>
      <c r="D1158">
        <v>12</v>
      </c>
      <c r="E1158" t="s">
        <v>313</v>
      </c>
      <c r="F1158" t="s">
        <v>3</v>
      </c>
      <c r="G1158" s="3">
        <v>1.4E-3</v>
      </c>
      <c r="H1158" s="3"/>
      <c r="I1158" s="3"/>
      <c r="J1158" s="6">
        <v>3.0000000000000001E-3</v>
      </c>
      <c r="K1158" s="6">
        <v>5.0000000000000001E-3</v>
      </c>
      <c r="L1158" s="3">
        <f t="shared" si="56"/>
        <v>8.0000000000000002E-3</v>
      </c>
      <c r="M1158" s="3"/>
      <c r="N1158" s="3">
        <f t="shared" si="57"/>
        <v>9.4000000000000004E-3</v>
      </c>
      <c r="P1158" s="1" t="s">
        <v>29799</v>
      </c>
      <c r="Q1158" t="s">
        <v>31787</v>
      </c>
      <c r="R1158" s="89">
        <v>0.33333333333333348</v>
      </c>
      <c r="S1158" s="99">
        <f>100%-Table34[[#This Row],[PDF_initial fee]]</f>
        <v>0.997</v>
      </c>
      <c r="T1158" s="99">
        <f>(1-Table34[[#This Row],[PDF ongoing fee]])^5</f>
        <v>0.97524875312187509</v>
      </c>
      <c r="U1158" s="26">
        <f>(1+Table34[[#This Row],[Net 5yrs return (mostly up to 28th of Feb 2026)]])*Table34[[#This Row],[Investment after initial charge]]*Table34[[#This Row],[Cummulative 5yrs ongoing advice charge]]-1</f>
        <v>0.29643067581667948</v>
      </c>
      <c r="V1158" s="10">
        <f>454117+807543</f>
        <v>1261660</v>
      </c>
      <c r="W1158" t="s">
        <v>29051</v>
      </c>
      <c r="X1158" s="10">
        <v>412850</v>
      </c>
      <c r="Y1158" s="30">
        <f>X1158/V1158</f>
        <v>0.32722762075361034</v>
      </c>
      <c r="AA1158" s="1" t="s">
        <v>29800</v>
      </c>
    </row>
    <row r="1159" spans="1:27" hidden="1" x14ac:dyDescent="0.25">
      <c r="A1159">
        <v>231905</v>
      </c>
      <c r="B1159" t="s">
        <v>1481</v>
      </c>
      <c r="C1159" t="s">
        <v>6958</v>
      </c>
      <c r="D1159">
        <v>1</v>
      </c>
      <c r="E1159" t="s">
        <v>1481</v>
      </c>
      <c r="F1159" t="s">
        <v>6958</v>
      </c>
      <c r="G1159" s="3"/>
      <c r="H1159" s="21">
        <v>0</v>
      </c>
      <c r="I1159" s="21">
        <v>0</v>
      </c>
      <c r="J1159" s="21">
        <v>0</v>
      </c>
      <c r="K1159" s="21">
        <v>0</v>
      </c>
      <c r="L1159" s="3">
        <f t="shared" ref="L1159:L1190" si="58">SUM(H1159:K1159)</f>
        <v>0</v>
      </c>
      <c r="M1159" s="3"/>
      <c r="N1159" s="3">
        <f t="shared" si="57"/>
        <v>0</v>
      </c>
      <c r="R1159" s="89"/>
      <c r="S1159" s="89">
        <f>100%-Table34[[#This Row],[PDF_initial fee]]</f>
        <v>1</v>
      </c>
      <c r="T1159" s="89"/>
      <c r="U1159" s="26"/>
    </row>
    <row r="1160" spans="1:27" hidden="1" x14ac:dyDescent="0.25">
      <c r="A1160">
        <v>231910</v>
      </c>
      <c r="B1160" t="s">
        <v>1482</v>
      </c>
      <c r="C1160" t="s">
        <v>7905</v>
      </c>
      <c r="D1160">
        <v>4</v>
      </c>
      <c r="E1160" t="s">
        <v>1482</v>
      </c>
      <c r="G1160" s="3"/>
      <c r="L1160" s="3">
        <f t="shared" si="58"/>
        <v>0</v>
      </c>
      <c r="M1160" s="3"/>
      <c r="N1160" s="3">
        <f t="shared" si="57"/>
        <v>0</v>
      </c>
      <c r="R1160" s="89"/>
      <c r="S1160" s="89">
        <f>100%-Table34[[#This Row],[PDF_initial fee]]</f>
        <v>1</v>
      </c>
      <c r="T1160" s="89"/>
      <c r="U1160" s="26"/>
    </row>
    <row r="1161" spans="1:27" hidden="1" x14ac:dyDescent="0.25">
      <c r="A1161">
        <v>231993</v>
      </c>
      <c r="B1161" t="s">
        <v>1483</v>
      </c>
      <c r="C1161" t="s">
        <v>12345</v>
      </c>
      <c r="D1161">
        <v>2</v>
      </c>
      <c r="E1161" t="s">
        <v>1483</v>
      </c>
      <c r="G1161" s="3"/>
      <c r="H1161" s="21">
        <v>0</v>
      </c>
      <c r="I1161" s="21">
        <v>0</v>
      </c>
      <c r="J1161" s="21">
        <v>0</v>
      </c>
      <c r="K1161" s="21">
        <v>0</v>
      </c>
      <c r="L1161" s="3">
        <f t="shared" si="58"/>
        <v>0</v>
      </c>
      <c r="M1161" s="3"/>
      <c r="N1161" s="3">
        <f t="shared" si="57"/>
        <v>0</v>
      </c>
      <c r="R1161" s="89"/>
      <c r="S1161" s="89">
        <f>100%-Table34[[#This Row],[PDF_initial fee]]</f>
        <v>1</v>
      </c>
      <c r="T1161" s="89"/>
      <c r="U1161" s="26"/>
    </row>
    <row r="1162" spans="1:27" hidden="1" x14ac:dyDescent="0.25">
      <c r="A1162">
        <v>232027</v>
      </c>
      <c r="B1162" t="s">
        <v>1484</v>
      </c>
      <c r="C1162" t="s">
        <v>6958</v>
      </c>
      <c r="D1162">
        <v>1</v>
      </c>
      <c r="E1162" t="s">
        <v>1484</v>
      </c>
      <c r="F1162" t="s">
        <v>6958</v>
      </c>
      <c r="G1162" s="3"/>
      <c r="H1162" s="21">
        <v>0</v>
      </c>
      <c r="I1162" s="21">
        <v>0</v>
      </c>
      <c r="J1162" s="21">
        <v>0</v>
      </c>
      <c r="K1162" s="21">
        <v>0</v>
      </c>
      <c r="L1162" s="3">
        <f t="shared" si="58"/>
        <v>0</v>
      </c>
      <c r="M1162" s="3"/>
      <c r="N1162" s="3">
        <f t="shared" si="57"/>
        <v>0</v>
      </c>
      <c r="R1162" s="89"/>
      <c r="S1162" s="89">
        <f>100%-Table34[[#This Row],[PDF_initial fee]]</f>
        <v>1</v>
      </c>
      <c r="T1162" s="89"/>
      <c r="U1162" s="26"/>
    </row>
    <row r="1163" spans="1:27" hidden="1" x14ac:dyDescent="0.25">
      <c r="A1163">
        <v>232052</v>
      </c>
      <c r="B1163" t="s">
        <v>1485</v>
      </c>
      <c r="C1163" t="s">
        <v>29801</v>
      </c>
      <c r="D1163">
        <v>3</v>
      </c>
      <c r="E1163" t="s">
        <v>1485</v>
      </c>
      <c r="F1163" t="s">
        <v>3</v>
      </c>
      <c r="G1163" s="3"/>
      <c r="H1163" s="3">
        <v>0</v>
      </c>
      <c r="I1163" s="3">
        <v>0</v>
      </c>
      <c r="J1163" s="3">
        <v>0</v>
      </c>
      <c r="K1163" s="3">
        <v>0</v>
      </c>
      <c r="L1163" s="3">
        <f t="shared" si="58"/>
        <v>0</v>
      </c>
      <c r="M1163" s="3"/>
      <c r="N1163" s="3">
        <f t="shared" si="57"/>
        <v>0</v>
      </c>
      <c r="R1163" s="89"/>
      <c r="S1163" s="89">
        <f>100%-Table34[[#This Row],[PDF_initial fee]]</f>
        <v>1</v>
      </c>
      <c r="T1163" s="89"/>
      <c r="U1163" s="26"/>
    </row>
    <row r="1164" spans="1:27" hidden="1" x14ac:dyDescent="0.25">
      <c r="A1164">
        <v>232070</v>
      </c>
      <c r="B1164" t="s">
        <v>1486</v>
      </c>
      <c r="C1164" t="s">
        <v>29802</v>
      </c>
      <c r="D1164">
        <v>5</v>
      </c>
      <c r="E1164" t="s">
        <v>1486</v>
      </c>
      <c r="F1164" t="s">
        <v>3</v>
      </c>
      <c r="G1164" s="3"/>
      <c r="H1164" s="3">
        <v>0</v>
      </c>
      <c r="I1164" s="3">
        <v>0</v>
      </c>
      <c r="J1164" s="3">
        <v>0</v>
      </c>
      <c r="K1164" s="3">
        <v>0</v>
      </c>
      <c r="L1164" s="3">
        <f t="shared" si="58"/>
        <v>0</v>
      </c>
      <c r="M1164" s="3"/>
      <c r="N1164" s="3">
        <f t="shared" si="57"/>
        <v>0</v>
      </c>
      <c r="R1164" s="89"/>
      <c r="S1164" s="89">
        <f>100%-Table34[[#This Row],[PDF_initial fee]]</f>
        <v>1</v>
      </c>
      <c r="T1164" s="89"/>
      <c r="U1164" s="26"/>
    </row>
    <row r="1165" spans="1:27" x14ac:dyDescent="0.25">
      <c r="A1165">
        <v>190914</v>
      </c>
      <c r="B1165" t="s">
        <v>98</v>
      </c>
      <c r="C1165" t="s">
        <v>29803</v>
      </c>
      <c r="D1165">
        <v>5</v>
      </c>
      <c r="E1165" t="s">
        <v>98</v>
      </c>
      <c r="F1165" t="s">
        <v>3</v>
      </c>
      <c r="G1165" s="3">
        <v>1.4E-3</v>
      </c>
      <c r="H1165" s="3">
        <f>2250/100000</f>
        <v>2.2499999999999999E-2</v>
      </c>
      <c r="I1165" s="3">
        <v>0.01</v>
      </c>
      <c r="J1165" s="6">
        <v>0</v>
      </c>
      <c r="K1165" s="6">
        <v>0</v>
      </c>
      <c r="L1165" s="3">
        <f t="shared" si="58"/>
        <v>3.2500000000000001E-2</v>
      </c>
      <c r="M1165" s="3"/>
      <c r="N1165" s="3">
        <f t="shared" si="57"/>
        <v>3.39E-2</v>
      </c>
      <c r="P1165" s="1" t="s">
        <v>29804</v>
      </c>
      <c r="Q1165" t="s">
        <v>31787</v>
      </c>
      <c r="R1165" s="89">
        <v>0.33333333333333348</v>
      </c>
      <c r="S1165" s="89">
        <f>100%-Table34[[#This Row],[InitialFee]]</f>
        <v>0.97750000000000004</v>
      </c>
      <c r="T1165" s="89">
        <f>(1-Table34[[#This Row],[OngoingFee (plus Platform fee)]])^5</f>
        <v>0.95099004989999991</v>
      </c>
      <c r="U1165" s="26">
        <f>(1+Table34[[#This Row],[Net 5yrs return (mostly up to 28th of Feb 2026)]])*Table34[[#This Row],[Investment after initial charge]]*Table34[[#This Row],[Cummulative 5yrs ongoing advice charge]]-1</f>
        <v>0.23945703170300003</v>
      </c>
      <c r="V1165" s="10">
        <f>389331+8720</f>
        <v>398051</v>
      </c>
      <c r="W1165" t="s">
        <v>29051</v>
      </c>
      <c r="X1165" s="10">
        <v>239238</v>
      </c>
      <c r="Y1165" s="30">
        <f>X1165/V1165</f>
        <v>0.60102348694011576</v>
      </c>
      <c r="AA1165" s="1" t="s">
        <v>29805</v>
      </c>
    </row>
    <row r="1166" spans="1:27" hidden="1" x14ac:dyDescent="0.25">
      <c r="A1166">
        <v>232166</v>
      </c>
      <c r="B1166" t="s">
        <v>1487</v>
      </c>
      <c r="C1166" t="s">
        <v>29806</v>
      </c>
      <c r="D1166">
        <v>3</v>
      </c>
      <c r="E1166" t="s">
        <v>1487</v>
      </c>
      <c r="F1166" t="s">
        <v>3</v>
      </c>
      <c r="G1166" s="3"/>
      <c r="H1166" s="3">
        <v>0</v>
      </c>
      <c r="I1166" s="3">
        <v>0</v>
      </c>
      <c r="J1166" s="3">
        <v>0</v>
      </c>
      <c r="K1166" s="3">
        <v>0</v>
      </c>
      <c r="L1166" s="3">
        <f t="shared" si="58"/>
        <v>0</v>
      </c>
      <c r="M1166" s="3"/>
      <c r="N1166" s="3">
        <f t="shared" si="57"/>
        <v>0</v>
      </c>
      <c r="R1166" s="89"/>
      <c r="S1166" s="89">
        <f>100%-Table34[[#This Row],[PDF_initial fee]]</f>
        <v>1</v>
      </c>
      <c r="T1166" s="89"/>
      <c r="U1166" s="26"/>
    </row>
    <row r="1167" spans="1:27" hidden="1" x14ac:dyDescent="0.25">
      <c r="A1167">
        <v>232169</v>
      </c>
      <c r="B1167" t="s">
        <v>1488</v>
      </c>
      <c r="C1167" t="s">
        <v>11961</v>
      </c>
      <c r="D1167">
        <v>2</v>
      </c>
      <c r="E1167" t="s">
        <v>1488</v>
      </c>
      <c r="G1167" s="3"/>
      <c r="L1167" s="3">
        <f t="shared" si="58"/>
        <v>0</v>
      </c>
      <c r="M1167" s="3"/>
      <c r="N1167" s="3">
        <f t="shared" si="57"/>
        <v>0</v>
      </c>
      <c r="R1167" s="89"/>
      <c r="S1167" s="89">
        <f>100%-Table34[[#This Row],[PDF_initial fee]]</f>
        <v>1</v>
      </c>
      <c r="T1167" s="89"/>
      <c r="U1167" s="26"/>
    </row>
    <row r="1168" spans="1:27" hidden="1" x14ac:dyDescent="0.25">
      <c r="A1168">
        <v>232170</v>
      </c>
      <c r="B1168" t="s">
        <v>1489</v>
      </c>
      <c r="C1168" t="s">
        <v>8254</v>
      </c>
      <c r="D1168">
        <v>1</v>
      </c>
      <c r="E1168" t="s">
        <v>1489</v>
      </c>
      <c r="G1168" s="3"/>
      <c r="H1168" s="21">
        <v>0</v>
      </c>
      <c r="I1168" s="21">
        <v>0</v>
      </c>
      <c r="J1168" s="21">
        <v>0</v>
      </c>
      <c r="K1168" s="21">
        <v>0</v>
      </c>
      <c r="L1168" s="3">
        <f t="shared" si="58"/>
        <v>0</v>
      </c>
      <c r="M1168" s="3"/>
      <c r="N1168" s="3">
        <f t="shared" si="57"/>
        <v>0</v>
      </c>
      <c r="R1168" s="89"/>
      <c r="S1168" s="89">
        <f>100%-Table34[[#This Row],[PDF_initial fee]]</f>
        <v>1</v>
      </c>
      <c r="T1168" s="89"/>
      <c r="U1168" s="26"/>
    </row>
    <row r="1169" spans="1:30" hidden="1" x14ac:dyDescent="0.25">
      <c r="A1169">
        <v>232236</v>
      </c>
      <c r="B1169" t="s">
        <v>1490</v>
      </c>
      <c r="C1169" s="59" t="s">
        <v>29807</v>
      </c>
      <c r="D1169">
        <v>24</v>
      </c>
      <c r="E1169" t="s">
        <v>1490</v>
      </c>
      <c r="G1169" s="3"/>
      <c r="H1169" s="21">
        <v>0</v>
      </c>
      <c r="I1169" s="21">
        <v>0</v>
      </c>
      <c r="J1169" s="21">
        <v>0</v>
      </c>
      <c r="K1169" s="21">
        <v>0</v>
      </c>
      <c r="L1169" s="3">
        <f t="shared" si="58"/>
        <v>0</v>
      </c>
      <c r="M1169" s="3"/>
      <c r="N1169" s="3">
        <f t="shared" si="57"/>
        <v>0</v>
      </c>
      <c r="O1169" t="s">
        <v>29808</v>
      </c>
      <c r="R1169" s="89"/>
      <c r="S1169" s="89">
        <f>100%-Table34[[#This Row],[PDF_initial fee]]</f>
        <v>1</v>
      </c>
      <c r="T1169" s="89"/>
      <c r="U1169" s="26"/>
    </row>
    <row r="1170" spans="1:30" hidden="1" x14ac:dyDescent="0.25">
      <c r="A1170">
        <v>232445</v>
      </c>
      <c r="B1170" t="s">
        <v>1491</v>
      </c>
      <c r="C1170" t="s">
        <v>7036</v>
      </c>
      <c r="D1170">
        <v>0</v>
      </c>
      <c r="E1170" t="s">
        <v>1491</v>
      </c>
      <c r="G1170" s="3"/>
      <c r="H1170" s="21">
        <v>0</v>
      </c>
      <c r="I1170" s="21">
        <v>0</v>
      </c>
      <c r="J1170" s="21">
        <v>0</v>
      </c>
      <c r="K1170" s="21">
        <v>0</v>
      </c>
      <c r="L1170" s="3">
        <f t="shared" si="58"/>
        <v>0</v>
      </c>
      <c r="M1170" s="3"/>
      <c r="N1170" s="3">
        <f t="shared" si="57"/>
        <v>0</v>
      </c>
      <c r="R1170" s="89"/>
      <c r="S1170" s="89">
        <f>100%-Table34[[#This Row],[PDF_initial fee]]</f>
        <v>1</v>
      </c>
      <c r="T1170" s="89"/>
      <c r="U1170" s="26"/>
    </row>
    <row r="1171" spans="1:30" x14ac:dyDescent="0.25">
      <c r="A1171">
        <v>618272</v>
      </c>
      <c r="B1171" t="s">
        <v>257</v>
      </c>
      <c r="C1171" t="s">
        <v>10934</v>
      </c>
      <c r="D1171">
        <v>20</v>
      </c>
      <c r="E1171" t="s">
        <v>257</v>
      </c>
      <c r="F1171" t="s">
        <v>3</v>
      </c>
      <c r="G1171" s="3">
        <v>1.4E-3</v>
      </c>
      <c r="H1171" s="3">
        <v>0</v>
      </c>
      <c r="I1171" s="3">
        <v>0</v>
      </c>
      <c r="J1171" s="3">
        <v>0.03</v>
      </c>
      <c r="K1171" s="3">
        <v>7.4999999999999997E-3</v>
      </c>
      <c r="L1171" s="3">
        <f t="shared" si="58"/>
        <v>3.7499999999999999E-2</v>
      </c>
      <c r="M1171" s="3"/>
      <c r="N1171" s="3">
        <f t="shared" si="57"/>
        <v>3.8899999999999997E-2</v>
      </c>
      <c r="O1171" t="s">
        <v>29809</v>
      </c>
      <c r="P1171" s="31" t="s">
        <v>29810</v>
      </c>
      <c r="Q1171" t="s">
        <v>31787</v>
      </c>
      <c r="R1171" s="89">
        <v>0.33333333333333348</v>
      </c>
      <c r="S1171" s="89">
        <f>100%-Table34[[#This Row],[PDF_initial fee]]</f>
        <v>0.97</v>
      </c>
      <c r="T1171" s="89">
        <f>(1-Table34[[#This Row],[PDF ongoing fee]])^5</f>
        <v>0.9630582970465823</v>
      </c>
      <c r="U1171" s="26">
        <f>(1+Table34[[#This Row],[Net 5yrs return (mostly up to 28th of Feb 2026)]])*Table34[[#This Row],[Investment after initial charge]]*Table34[[#This Row],[Cummulative 5yrs ongoing advice charge]]-1</f>
        <v>0.2455553975135798</v>
      </c>
      <c r="V1171" s="10">
        <f>1326386+984359</f>
        <v>2310745</v>
      </c>
      <c r="W1171" t="s">
        <v>29051</v>
      </c>
      <c r="X1171" s="9">
        <v>1306958</v>
      </c>
      <c r="Y1171" s="30">
        <f>X1171/V1171</f>
        <v>0.56560027177382188</v>
      </c>
      <c r="AA1171" s="1" t="s">
        <v>29811</v>
      </c>
      <c r="AD1171" t="s">
        <v>29812</v>
      </c>
    </row>
    <row r="1172" spans="1:30" hidden="1" x14ac:dyDescent="0.25">
      <c r="A1172">
        <v>232552</v>
      </c>
      <c r="B1172" t="s">
        <v>1493</v>
      </c>
      <c r="C1172" t="s">
        <v>6958</v>
      </c>
      <c r="D1172">
        <v>1</v>
      </c>
      <c r="E1172" t="s">
        <v>1493</v>
      </c>
      <c r="F1172" t="s">
        <v>6958</v>
      </c>
      <c r="G1172" s="3"/>
      <c r="H1172" s="21">
        <v>0</v>
      </c>
      <c r="I1172" s="21">
        <v>0</v>
      </c>
      <c r="J1172" s="21">
        <v>0</v>
      </c>
      <c r="K1172" s="21">
        <v>0</v>
      </c>
      <c r="L1172" s="3">
        <f t="shared" si="58"/>
        <v>0</v>
      </c>
      <c r="M1172" s="3"/>
      <c r="N1172" s="3">
        <f t="shared" si="57"/>
        <v>0</v>
      </c>
      <c r="R1172" s="89"/>
      <c r="S1172" s="89">
        <f>100%-Table34[[#This Row],[PDF_initial fee]]</f>
        <v>1</v>
      </c>
      <c r="T1172" s="89"/>
      <c r="U1172" s="26"/>
    </row>
    <row r="1173" spans="1:30" hidden="1" x14ac:dyDescent="0.25">
      <c r="A1173">
        <v>300190</v>
      </c>
      <c r="B1173" t="s">
        <v>1494</v>
      </c>
      <c r="C1173" t="s">
        <v>6958</v>
      </c>
      <c r="D1173">
        <v>1</v>
      </c>
      <c r="E1173" t="s">
        <v>1494</v>
      </c>
      <c r="F1173" t="s">
        <v>6958</v>
      </c>
      <c r="G1173" s="3"/>
      <c r="H1173" s="21">
        <v>0</v>
      </c>
      <c r="I1173" s="21">
        <v>0</v>
      </c>
      <c r="J1173" s="21">
        <v>0</v>
      </c>
      <c r="K1173" s="21">
        <v>0</v>
      </c>
      <c r="L1173" s="3">
        <f t="shared" si="58"/>
        <v>0</v>
      </c>
      <c r="M1173" s="3"/>
      <c r="N1173" s="3">
        <f t="shared" si="57"/>
        <v>0</v>
      </c>
      <c r="R1173" s="89"/>
      <c r="S1173" s="89">
        <f>100%-Table34[[#This Row],[PDF_initial fee]]</f>
        <v>1</v>
      </c>
      <c r="T1173" s="89"/>
      <c r="U1173" s="26"/>
    </row>
    <row r="1174" spans="1:30" hidden="1" x14ac:dyDescent="0.25">
      <c r="A1174">
        <v>300261</v>
      </c>
      <c r="B1174" t="s">
        <v>1495</v>
      </c>
      <c r="C1174" t="s">
        <v>9084</v>
      </c>
      <c r="D1174">
        <v>1</v>
      </c>
      <c r="E1174" t="s">
        <v>1495</v>
      </c>
      <c r="F1174" t="s">
        <v>29104</v>
      </c>
      <c r="G1174" s="3"/>
      <c r="H1174" s="21">
        <v>0</v>
      </c>
      <c r="I1174" s="21">
        <v>0</v>
      </c>
      <c r="J1174" s="21">
        <v>0</v>
      </c>
      <c r="K1174" s="21">
        <v>0</v>
      </c>
      <c r="L1174" s="3">
        <f t="shared" si="58"/>
        <v>0</v>
      </c>
      <c r="M1174" s="3"/>
      <c r="N1174" s="3">
        <f t="shared" si="57"/>
        <v>0</v>
      </c>
      <c r="R1174" s="89"/>
      <c r="S1174" s="89">
        <f>100%-Table34[[#This Row],[PDF_initial fee]]</f>
        <v>1</v>
      </c>
      <c r="T1174" s="89"/>
      <c r="U1174" s="26"/>
    </row>
    <row r="1175" spans="1:30" hidden="1" x14ac:dyDescent="0.25">
      <c r="A1175">
        <v>300320</v>
      </c>
      <c r="B1175" t="s">
        <v>1496</v>
      </c>
      <c r="C1175" t="s">
        <v>7984</v>
      </c>
      <c r="D1175">
        <v>1</v>
      </c>
      <c r="E1175" t="s">
        <v>1496</v>
      </c>
      <c r="G1175" s="3"/>
      <c r="H1175" s="21">
        <v>0</v>
      </c>
      <c r="I1175" s="21">
        <v>0</v>
      </c>
      <c r="J1175" s="21">
        <v>0</v>
      </c>
      <c r="K1175" s="21">
        <v>0</v>
      </c>
      <c r="L1175" s="3">
        <f t="shared" si="58"/>
        <v>0</v>
      </c>
      <c r="M1175" s="3"/>
      <c r="N1175" s="3">
        <f t="shared" si="57"/>
        <v>0</v>
      </c>
      <c r="R1175" s="89"/>
      <c r="S1175" s="89">
        <f>100%-Table34[[#This Row],[PDF_initial fee]]</f>
        <v>1</v>
      </c>
      <c r="T1175" s="89"/>
      <c r="U1175" s="26"/>
    </row>
    <row r="1176" spans="1:30" x14ac:dyDescent="0.25">
      <c r="A1176">
        <v>457946</v>
      </c>
      <c r="B1176" t="s">
        <v>177</v>
      </c>
      <c r="C1176" t="s">
        <v>29813</v>
      </c>
      <c r="D1176">
        <v>3</v>
      </c>
      <c r="E1176" t="s">
        <v>177</v>
      </c>
      <c r="F1176" t="s">
        <v>3</v>
      </c>
      <c r="G1176" s="3">
        <v>1.4E-3</v>
      </c>
      <c r="H1176" s="3">
        <f>4%+2%</f>
        <v>0.06</v>
      </c>
      <c r="I1176" s="3">
        <v>6.0000000000000001E-3</v>
      </c>
      <c r="J1176" s="6">
        <v>0</v>
      </c>
      <c r="K1176" s="6">
        <v>0</v>
      </c>
      <c r="L1176" s="3">
        <f t="shared" si="58"/>
        <v>6.6000000000000003E-2</v>
      </c>
      <c r="M1176" s="3"/>
      <c r="N1176" s="3">
        <f t="shared" si="57"/>
        <v>6.7400000000000002E-2</v>
      </c>
      <c r="P1176" s="31" t="s">
        <v>29814</v>
      </c>
      <c r="Q1176" t="s">
        <v>31787</v>
      </c>
      <c r="R1176" s="89">
        <v>0.33333333333333348</v>
      </c>
      <c r="S1176" s="89">
        <f>100%-Table34[[#This Row],[InitialFee]]</f>
        <v>0.94</v>
      </c>
      <c r="T1176" s="89">
        <f>(1-Table34[[#This Row],[OngoingFee (plus Platform fee)]])^5</f>
        <v>0.97035784647222412</v>
      </c>
      <c r="U1176" s="26">
        <f>(1+Table34[[#This Row],[Net 5yrs return (mostly up to 28th of Feb 2026)]])*Table34[[#This Row],[Investment after initial charge]]*Table34[[#This Row],[Cummulative 5yrs ongoing advice charge]]-1</f>
        <v>0.21618183424518755</v>
      </c>
      <c r="V1176" s="9">
        <f>X1176+71424</f>
        <v>343179</v>
      </c>
      <c r="W1176" t="s">
        <v>29051</v>
      </c>
      <c r="X1176" s="9">
        <v>271755</v>
      </c>
      <c r="Y1176" s="30">
        <f>X1176/V1176</f>
        <v>0.79187537698985078</v>
      </c>
      <c r="AA1176" s="1" t="s">
        <v>29815</v>
      </c>
      <c r="AB1176" t="s">
        <v>29349</v>
      </c>
    </row>
    <row r="1177" spans="1:30" hidden="1" x14ac:dyDescent="0.25">
      <c r="A1177">
        <v>300657</v>
      </c>
      <c r="B1177" t="s">
        <v>1497</v>
      </c>
      <c r="C1177" t="s">
        <v>8151</v>
      </c>
      <c r="D1177">
        <v>6</v>
      </c>
      <c r="E1177" t="s">
        <v>1497</v>
      </c>
      <c r="G1177" s="3"/>
      <c r="L1177" s="3">
        <f t="shared" si="58"/>
        <v>0</v>
      </c>
      <c r="M1177" s="3"/>
      <c r="N1177" s="3">
        <f t="shared" si="57"/>
        <v>0</v>
      </c>
      <c r="R1177" s="89"/>
      <c r="S1177" s="89">
        <f>100%-Table34[[#This Row],[PDF_initial fee]]</f>
        <v>1</v>
      </c>
      <c r="T1177" s="89"/>
      <c r="U1177" s="26"/>
    </row>
    <row r="1178" spans="1:30" s="62" customFormat="1" hidden="1" x14ac:dyDescent="0.25">
      <c r="A1178" s="62">
        <v>300684</v>
      </c>
      <c r="B1178" s="62" t="s">
        <v>1498</v>
      </c>
      <c r="C1178" s="62" t="s">
        <v>29816</v>
      </c>
      <c r="D1178" s="62">
        <v>4</v>
      </c>
      <c r="E1178" s="62" t="s">
        <v>1498</v>
      </c>
      <c r="G1178" s="63"/>
      <c r="H1178" s="63">
        <v>0</v>
      </c>
      <c r="I1178" s="63">
        <v>0</v>
      </c>
      <c r="J1178" s="63">
        <v>0</v>
      </c>
      <c r="K1178" s="63">
        <v>0</v>
      </c>
      <c r="L1178" s="63">
        <f t="shared" si="58"/>
        <v>0</v>
      </c>
      <c r="M1178" s="63"/>
      <c r="N1178" s="63">
        <f t="shared" si="57"/>
        <v>0</v>
      </c>
      <c r="R1178" s="89"/>
      <c r="S1178" s="89">
        <f>100%-Table34[[#This Row],[PDF_initial fee]]</f>
        <v>1</v>
      </c>
      <c r="T1178" s="89"/>
      <c r="U1178" s="26"/>
      <c r="Y1178" s="30"/>
    </row>
    <row r="1179" spans="1:30" hidden="1" x14ac:dyDescent="0.25">
      <c r="A1179">
        <v>300718</v>
      </c>
      <c r="B1179" t="s">
        <v>1499</v>
      </c>
      <c r="C1179" t="s">
        <v>10123</v>
      </c>
      <c r="D1179">
        <v>0</v>
      </c>
      <c r="E1179" t="s">
        <v>1499</v>
      </c>
      <c r="F1179" t="s">
        <v>3</v>
      </c>
      <c r="G1179" s="3"/>
      <c r="H1179" s="21">
        <v>0</v>
      </c>
      <c r="I1179" s="21">
        <v>0</v>
      </c>
      <c r="J1179" s="21">
        <v>0</v>
      </c>
      <c r="K1179" s="21">
        <v>0</v>
      </c>
      <c r="L1179" s="3">
        <f t="shared" si="58"/>
        <v>0</v>
      </c>
      <c r="M1179" s="3"/>
      <c r="N1179" s="3">
        <f t="shared" si="57"/>
        <v>0</v>
      </c>
      <c r="R1179" s="89"/>
      <c r="S1179" s="89">
        <f>100%-Table34[[#This Row],[PDF_initial fee]]</f>
        <v>1</v>
      </c>
      <c r="T1179" s="89"/>
      <c r="U1179" s="26"/>
    </row>
    <row r="1180" spans="1:30" hidden="1" x14ac:dyDescent="0.25">
      <c r="A1180">
        <v>300784</v>
      </c>
      <c r="B1180" t="s">
        <v>1500</v>
      </c>
      <c r="C1180" t="s">
        <v>29817</v>
      </c>
      <c r="D1180">
        <v>2</v>
      </c>
      <c r="E1180" t="s">
        <v>1500</v>
      </c>
      <c r="F1180" t="s">
        <v>3</v>
      </c>
      <c r="G1180" s="3"/>
      <c r="H1180" s="3">
        <v>0</v>
      </c>
      <c r="I1180" s="3">
        <v>0</v>
      </c>
      <c r="J1180" s="3">
        <v>0</v>
      </c>
      <c r="K1180" s="3">
        <v>0</v>
      </c>
      <c r="L1180" s="3">
        <f t="shared" si="58"/>
        <v>0</v>
      </c>
      <c r="M1180" s="3"/>
      <c r="N1180" s="3">
        <f t="shared" si="57"/>
        <v>0</v>
      </c>
      <c r="R1180" s="89"/>
      <c r="S1180" s="89">
        <f>100%-Table34[[#This Row],[PDF_initial fee]]</f>
        <v>1</v>
      </c>
      <c r="T1180" s="89"/>
      <c r="U1180" s="26"/>
    </row>
    <row r="1181" spans="1:30" hidden="1" x14ac:dyDescent="0.25">
      <c r="A1181">
        <v>300815</v>
      </c>
      <c r="B1181" t="s">
        <v>1501</v>
      </c>
      <c r="C1181" t="s">
        <v>8462</v>
      </c>
      <c r="D1181">
        <v>1</v>
      </c>
      <c r="E1181" t="s">
        <v>1501</v>
      </c>
      <c r="F1181" t="s">
        <v>3</v>
      </c>
      <c r="G1181" s="3"/>
      <c r="H1181" s="21">
        <v>0</v>
      </c>
      <c r="I1181" s="21">
        <v>0</v>
      </c>
      <c r="J1181" s="21">
        <v>0</v>
      </c>
      <c r="K1181" s="21">
        <v>0</v>
      </c>
      <c r="L1181" s="3">
        <f t="shared" si="58"/>
        <v>0</v>
      </c>
      <c r="M1181" s="3"/>
      <c r="N1181" s="3">
        <f t="shared" si="57"/>
        <v>0</v>
      </c>
      <c r="R1181" s="89"/>
      <c r="S1181" s="89">
        <f>100%-Table34[[#This Row],[PDF_initial fee]]</f>
        <v>1</v>
      </c>
      <c r="T1181" s="89"/>
      <c r="U1181" s="26"/>
    </row>
    <row r="1182" spans="1:30" hidden="1" x14ac:dyDescent="0.25">
      <c r="A1182">
        <v>300856</v>
      </c>
      <c r="B1182" t="s">
        <v>1502</v>
      </c>
      <c r="C1182" t="s">
        <v>8518</v>
      </c>
      <c r="D1182">
        <v>2</v>
      </c>
      <c r="E1182" t="s">
        <v>1502</v>
      </c>
      <c r="F1182" t="s">
        <v>3</v>
      </c>
      <c r="G1182" s="3"/>
      <c r="H1182" s="21">
        <v>0</v>
      </c>
      <c r="I1182" s="21">
        <v>0</v>
      </c>
      <c r="J1182" s="21">
        <v>0</v>
      </c>
      <c r="K1182" s="21">
        <v>0</v>
      </c>
      <c r="L1182" s="3">
        <f t="shared" si="58"/>
        <v>0</v>
      </c>
      <c r="M1182" s="3"/>
      <c r="N1182" s="3">
        <f t="shared" si="57"/>
        <v>0</v>
      </c>
      <c r="R1182" s="89"/>
      <c r="S1182" s="89">
        <f>100%-Table34[[#This Row],[PDF_initial fee]]</f>
        <v>1</v>
      </c>
      <c r="T1182" s="89"/>
      <c r="U1182" s="26"/>
    </row>
    <row r="1183" spans="1:30" hidden="1" x14ac:dyDescent="0.25">
      <c r="A1183">
        <v>300899</v>
      </c>
      <c r="B1183" t="s">
        <v>1503</v>
      </c>
      <c r="C1183" t="s">
        <v>12448</v>
      </c>
      <c r="D1183">
        <v>2</v>
      </c>
      <c r="E1183" t="s">
        <v>1503</v>
      </c>
      <c r="F1183" t="s">
        <v>3</v>
      </c>
      <c r="G1183" s="3"/>
      <c r="L1183" s="3">
        <f t="shared" si="58"/>
        <v>0</v>
      </c>
      <c r="M1183" s="3"/>
      <c r="N1183" s="3">
        <f t="shared" si="57"/>
        <v>0</v>
      </c>
      <c r="R1183" s="89"/>
      <c r="S1183" s="89">
        <f>100%-Table34[[#This Row],[PDF_initial fee]]</f>
        <v>1</v>
      </c>
      <c r="T1183" s="89"/>
      <c r="U1183" s="26"/>
    </row>
    <row r="1184" spans="1:30" hidden="1" x14ac:dyDescent="0.25">
      <c r="A1184">
        <v>300939</v>
      </c>
      <c r="B1184" t="s">
        <v>1504</v>
      </c>
      <c r="C1184" t="s">
        <v>6958</v>
      </c>
      <c r="D1184">
        <v>1</v>
      </c>
      <c r="E1184" t="s">
        <v>1504</v>
      </c>
      <c r="F1184" t="s">
        <v>6958</v>
      </c>
      <c r="G1184" s="3"/>
      <c r="H1184" s="21">
        <v>0</v>
      </c>
      <c r="I1184" s="21">
        <v>0</v>
      </c>
      <c r="J1184" s="21">
        <v>0</v>
      </c>
      <c r="K1184" s="21">
        <v>0</v>
      </c>
      <c r="L1184" s="3">
        <f t="shared" si="58"/>
        <v>0</v>
      </c>
      <c r="M1184" s="3"/>
      <c r="N1184" s="3">
        <f t="shared" si="57"/>
        <v>0</v>
      </c>
      <c r="R1184" s="89"/>
      <c r="S1184" s="89">
        <f>100%-Table34[[#This Row],[PDF_initial fee]]</f>
        <v>1</v>
      </c>
      <c r="T1184" s="89"/>
      <c r="U1184" s="26"/>
    </row>
    <row r="1185" spans="1:27" hidden="1" x14ac:dyDescent="0.25">
      <c r="A1185">
        <v>300999</v>
      </c>
      <c r="B1185" t="s">
        <v>1505</v>
      </c>
      <c r="C1185" t="s">
        <v>9394</v>
      </c>
      <c r="D1185">
        <v>5</v>
      </c>
      <c r="E1185" t="s">
        <v>1505</v>
      </c>
      <c r="F1185" t="s">
        <v>3</v>
      </c>
      <c r="G1185" s="3"/>
      <c r="L1185" s="3">
        <f t="shared" si="58"/>
        <v>0</v>
      </c>
      <c r="M1185" s="3"/>
      <c r="N1185" s="3">
        <f t="shared" si="57"/>
        <v>0</v>
      </c>
      <c r="R1185" s="89"/>
      <c r="S1185" s="89">
        <f>100%-Table34[[#This Row],[PDF_initial fee]]</f>
        <v>1</v>
      </c>
      <c r="T1185" s="89"/>
      <c r="U1185" s="26"/>
    </row>
    <row r="1186" spans="1:27" hidden="1" x14ac:dyDescent="0.25">
      <c r="A1186">
        <v>301132</v>
      </c>
      <c r="B1186" t="s">
        <v>1507</v>
      </c>
      <c r="C1186" t="s">
        <v>8817</v>
      </c>
      <c r="D1186">
        <v>3</v>
      </c>
      <c r="E1186" t="s">
        <v>1507</v>
      </c>
      <c r="F1186" t="s">
        <v>3</v>
      </c>
      <c r="G1186" s="3"/>
      <c r="H1186" s="21">
        <v>0</v>
      </c>
      <c r="I1186" s="21">
        <v>0</v>
      </c>
      <c r="J1186" s="21">
        <v>0</v>
      </c>
      <c r="K1186" s="21">
        <v>0</v>
      </c>
      <c r="L1186" s="3">
        <f t="shared" si="58"/>
        <v>0</v>
      </c>
      <c r="M1186" s="3"/>
      <c r="N1186" s="3">
        <f t="shared" si="57"/>
        <v>0</v>
      </c>
      <c r="R1186" s="89"/>
      <c r="S1186" s="89">
        <f>100%-Table34[[#This Row],[PDF_initial fee]]</f>
        <v>1</v>
      </c>
      <c r="T1186" s="89"/>
      <c r="U1186" s="26"/>
    </row>
    <row r="1187" spans="1:27" hidden="1" x14ac:dyDescent="0.25">
      <c r="A1187">
        <v>301296</v>
      </c>
      <c r="B1187" t="s">
        <v>1508</v>
      </c>
      <c r="C1187" t="s">
        <v>29818</v>
      </c>
      <c r="D1187">
        <v>2</v>
      </c>
      <c r="E1187" t="s">
        <v>1508</v>
      </c>
      <c r="F1187" t="s">
        <v>3</v>
      </c>
      <c r="G1187" s="3"/>
      <c r="H1187" s="3">
        <v>0</v>
      </c>
      <c r="I1187" s="3">
        <v>0</v>
      </c>
      <c r="J1187" s="3">
        <v>0</v>
      </c>
      <c r="K1187" s="3">
        <v>0</v>
      </c>
      <c r="L1187" s="3">
        <f t="shared" si="58"/>
        <v>0</v>
      </c>
      <c r="M1187" s="3"/>
      <c r="N1187" s="3">
        <f t="shared" si="57"/>
        <v>0</v>
      </c>
      <c r="R1187" s="89"/>
      <c r="S1187" s="89">
        <f>100%-Table34[[#This Row],[PDF_initial fee]]</f>
        <v>1</v>
      </c>
      <c r="T1187" s="89"/>
      <c r="U1187" s="26"/>
    </row>
    <row r="1188" spans="1:27" hidden="1" x14ac:dyDescent="0.25">
      <c r="A1188">
        <v>301368</v>
      </c>
      <c r="B1188" t="s">
        <v>1509</v>
      </c>
      <c r="C1188" t="s">
        <v>6968</v>
      </c>
      <c r="D1188">
        <v>1</v>
      </c>
      <c r="E1188" t="s">
        <v>1509</v>
      </c>
      <c r="F1188" t="s">
        <v>3</v>
      </c>
      <c r="G1188" s="3"/>
      <c r="H1188" s="21">
        <v>0</v>
      </c>
      <c r="I1188" s="21">
        <v>0</v>
      </c>
      <c r="J1188" s="21">
        <v>0</v>
      </c>
      <c r="K1188" s="21">
        <v>0</v>
      </c>
      <c r="L1188" s="3">
        <f t="shared" si="58"/>
        <v>0</v>
      </c>
      <c r="M1188" s="3"/>
      <c r="N1188" s="3">
        <f t="shared" si="57"/>
        <v>0</v>
      </c>
      <c r="R1188" s="89"/>
      <c r="S1188" s="89">
        <f>100%-Table34[[#This Row],[PDF_initial fee]]</f>
        <v>1</v>
      </c>
      <c r="T1188" s="89"/>
      <c r="U1188" s="26"/>
    </row>
    <row r="1189" spans="1:27" x14ac:dyDescent="0.25">
      <c r="A1189">
        <v>114394</v>
      </c>
      <c r="B1189" t="s">
        <v>8</v>
      </c>
      <c r="C1189" s="1" t="s">
        <v>29819</v>
      </c>
      <c r="D1189">
        <v>19</v>
      </c>
      <c r="E1189" t="s">
        <v>8</v>
      </c>
      <c r="F1189" t="s">
        <v>6</v>
      </c>
      <c r="G1189" s="3">
        <v>9.1000000000000004E-3</v>
      </c>
      <c r="H1189" s="3">
        <v>0.02</v>
      </c>
      <c r="I1189" s="3">
        <v>7.4999999999999997E-3</v>
      </c>
      <c r="J1189" s="6">
        <v>0</v>
      </c>
      <c r="K1189" s="6">
        <v>0</v>
      </c>
      <c r="L1189" s="3">
        <f t="shared" si="58"/>
        <v>2.75E-2</v>
      </c>
      <c r="M1189" s="3"/>
      <c r="N1189" s="3">
        <f t="shared" si="57"/>
        <v>3.6600000000000001E-2</v>
      </c>
      <c r="O1189" t="s">
        <v>29820</v>
      </c>
      <c r="P1189" s="1" t="s">
        <v>29821</v>
      </c>
      <c r="Q1189" s="1" t="s">
        <v>29822</v>
      </c>
      <c r="R1189" s="89">
        <v>0.2828</v>
      </c>
      <c r="S1189" s="89">
        <f>100%-Table34[[#This Row],[InitialFee]]</f>
        <v>0.98</v>
      </c>
      <c r="T1189" s="89">
        <f>(1-Table34[[#This Row],[OngoingFee (plus Platform fee)]])^5</f>
        <v>0.9630582970465823</v>
      </c>
      <c r="U1189" s="26">
        <f>(1+Table34[[#This Row],[Net 5yrs return (mostly up to 28th of Feb 2026)]])*Table34[[#This Row],[Investment after initial charge]]*Table34[[#This Row],[Cummulative 5yrs ongoing advice charge]]-1</f>
        <v>0.21070295978232845</v>
      </c>
      <c r="V1189" s="10">
        <f>21895536+2032833</f>
        <v>23928369</v>
      </c>
      <c r="W1189" s="10" t="s">
        <v>29051</v>
      </c>
      <c r="X1189" s="10">
        <v>21891619</v>
      </c>
      <c r="Y1189" s="91">
        <f>X1189/V1189</f>
        <v>0.91488136947403309</v>
      </c>
      <c r="Z1189" s="10"/>
      <c r="AA1189" s="1" t="s">
        <v>29823</v>
      </c>
    </row>
    <row r="1190" spans="1:27" hidden="1" x14ac:dyDescent="0.25">
      <c r="A1190">
        <v>301860</v>
      </c>
      <c r="B1190" t="s">
        <v>1513</v>
      </c>
      <c r="C1190" t="s">
        <v>7002</v>
      </c>
      <c r="D1190">
        <v>14</v>
      </c>
      <c r="E1190" t="s">
        <v>1513</v>
      </c>
      <c r="F1190" t="s">
        <v>3</v>
      </c>
      <c r="G1190" s="3"/>
      <c r="H1190" s="21">
        <v>0</v>
      </c>
      <c r="I1190" s="21">
        <v>0</v>
      </c>
      <c r="J1190" s="21">
        <v>0</v>
      </c>
      <c r="K1190" s="21">
        <v>0</v>
      </c>
      <c r="L1190" s="3">
        <f t="shared" si="58"/>
        <v>0</v>
      </c>
      <c r="M1190" s="3"/>
      <c r="N1190" s="3">
        <f t="shared" si="57"/>
        <v>0</v>
      </c>
      <c r="R1190" s="89"/>
      <c r="S1190" s="89">
        <f>100%-Table34[[#This Row],[PDF_initial fee]]</f>
        <v>1</v>
      </c>
      <c r="T1190" s="89"/>
      <c r="U1190" s="26"/>
    </row>
    <row r="1191" spans="1:27" hidden="1" x14ac:dyDescent="0.25">
      <c r="A1191">
        <v>301880</v>
      </c>
      <c r="B1191" t="s">
        <v>1514</v>
      </c>
      <c r="C1191" t="s">
        <v>6958</v>
      </c>
      <c r="D1191">
        <v>1</v>
      </c>
      <c r="E1191" t="s">
        <v>1514</v>
      </c>
      <c r="F1191" t="s">
        <v>6958</v>
      </c>
      <c r="G1191" s="3"/>
      <c r="H1191" s="21">
        <v>0</v>
      </c>
      <c r="I1191" s="21">
        <v>0</v>
      </c>
      <c r="J1191" s="21">
        <v>0</v>
      </c>
      <c r="K1191" s="21">
        <v>0</v>
      </c>
      <c r="L1191" s="3">
        <f t="shared" ref="L1191:L1222" si="59">SUM(H1191:K1191)</f>
        <v>0</v>
      </c>
      <c r="M1191" s="3"/>
      <c r="N1191" s="3">
        <f t="shared" si="57"/>
        <v>0</v>
      </c>
      <c r="R1191" s="89"/>
      <c r="S1191" s="89">
        <f>100%-Table34[[#This Row],[PDF_initial fee]]</f>
        <v>1</v>
      </c>
      <c r="T1191" s="89"/>
      <c r="U1191" s="26"/>
    </row>
    <row r="1192" spans="1:27" hidden="1" x14ac:dyDescent="0.25">
      <c r="A1192">
        <v>302104</v>
      </c>
      <c r="B1192" t="s">
        <v>1515</v>
      </c>
      <c r="C1192" t="s">
        <v>6958</v>
      </c>
      <c r="D1192">
        <v>1</v>
      </c>
      <c r="E1192" t="s">
        <v>1515</v>
      </c>
      <c r="F1192" t="s">
        <v>6958</v>
      </c>
      <c r="G1192" s="3"/>
      <c r="H1192" s="21">
        <v>0</v>
      </c>
      <c r="I1192" s="21">
        <v>0</v>
      </c>
      <c r="J1192" s="21">
        <v>0</v>
      </c>
      <c r="K1192" s="21">
        <v>0</v>
      </c>
      <c r="L1192" s="3">
        <f t="shared" si="59"/>
        <v>0</v>
      </c>
      <c r="M1192" s="3"/>
      <c r="N1192" s="3">
        <f t="shared" si="57"/>
        <v>0</v>
      </c>
      <c r="R1192" s="89"/>
      <c r="S1192" s="89">
        <f>100%-Table34[[#This Row],[PDF_initial fee]]</f>
        <v>1</v>
      </c>
      <c r="T1192" s="89"/>
      <c r="U1192" s="26"/>
    </row>
    <row r="1193" spans="1:27" hidden="1" x14ac:dyDescent="0.25">
      <c r="A1193">
        <v>302170</v>
      </c>
      <c r="B1193" t="s">
        <v>1516</v>
      </c>
      <c r="C1193" t="s">
        <v>6958</v>
      </c>
      <c r="D1193">
        <v>1</v>
      </c>
      <c r="E1193" t="s">
        <v>1516</v>
      </c>
      <c r="F1193" t="s">
        <v>6958</v>
      </c>
      <c r="G1193" s="3"/>
      <c r="H1193" s="21">
        <v>0</v>
      </c>
      <c r="I1193" s="21">
        <v>0</v>
      </c>
      <c r="J1193" s="21">
        <v>0</v>
      </c>
      <c r="K1193" s="21">
        <v>0</v>
      </c>
      <c r="L1193" s="3">
        <f t="shared" si="59"/>
        <v>0</v>
      </c>
      <c r="M1193" s="3"/>
      <c r="N1193" s="3">
        <f t="shared" si="57"/>
        <v>0</v>
      </c>
      <c r="O1193" s="21"/>
      <c r="R1193" s="89"/>
      <c r="S1193" s="89">
        <f>100%-Table34[[#This Row],[PDF_initial fee]]</f>
        <v>1</v>
      </c>
      <c r="T1193" s="89"/>
      <c r="U1193" s="26"/>
    </row>
    <row r="1194" spans="1:27" hidden="1" x14ac:dyDescent="0.25">
      <c r="A1194">
        <v>302540</v>
      </c>
      <c r="B1194" t="s">
        <v>1517</v>
      </c>
      <c r="C1194" t="s">
        <v>11419</v>
      </c>
      <c r="D1194">
        <v>3</v>
      </c>
      <c r="E1194" t="s">
        <v>1517</v>
      </c>
      <c r="F1194" t="s">
        <v>3</v>
      </c>
      <c r="G1194" s="3"/>
      <c r="H1194" s="21">
        <v>0</v>
      </c>
      <c r="I1194" s="21">
        <v>0</v>
      </c>
      <c r="J1194" s="21">
        <v>0</v>
      </c>
      <c r="K1194" s="21">
        <v>0</v>
      </c>
      <c r="L1194" s="3">
        <f t="shared" si="59"/>
        <v>0</v>
      </c>
      <c r="M1194" s="3"/>
      <c r="N1194" s="3">
        <f t="shared" si="57"/>
        <v>0</v>
      </c>
      <c r="R1194" s="89"/>
      <c r="S1194" s="89">
        <f>100%-Table34[[#This Row],[PDF_initial fee]]</f>
        <v>1</v>
      </c>
      <c r="T1194" s="89"/>
      <c r="U1194" s="26"/>
    </row>
    <row r="1195" spans="1:27" hidden="1" x14ac:dyDescent="0.25">
      <c r="A1195">
        <v>302553</v>
      </c>
      <c r="B1195" t="s">
        <v>1518</v>
      </c>
      <c r="C1195" t="s">
        <v>9577</v>
      </c>
      <c r="D1195">
        <v>4</v>
      </c>
      <c r="E1195" t="s">
        <v>1518</v>
      </c>
      <c r="F1195" t="s">
        <v>29824</v>
      </c>
      <c r="G1195" s="3"/>
      <c r="H1195" s="21">
        <v>0</v>
      </c>
      <c r="I1195" s="21">
        <v>0</v>
      </c>
      <c r="J1195" s="21">
        <v>0</v>
      </c>
      <c r="K1195" s="21">
        <v>0</v>
      </c>
      <c r="L1195" s="3">
        <f t="shared" si="59"/>
        <v>0</v>
      </c>
      <c r="M1195" s="3"/>
      <c r="N1195" s="3">
        <f t="shared" si="57"/>
        <v>0</v>
      </c>
      <c r="R1195" s="89"/>
      <c r="S1195" s="89">
        <f>100%-Table34[[#This Row],[PDF_initial fee]]</f>
        <v>1</v>
      </c>
      <c r="T1195" s="89"/>
      <c r="U1195" s="26"/>
    </row>
    <row r="1196" spans="1:27" hidden="1" x14ac:dyDescent="0.25">
      <c r="A1196">
        <v>302581</v>
      </c>
      <c r="B1196" t="s">
        <v>1519</v>
      </c>
      <c r="C1196" t="s">
        <v>11120</v>
      </c>
      <c r="D1196">
        <v>3</v>
      </c>
      <c r="E1196" t="s">
        <v>1519</v>
      </c>
      <c r="F1196" t="s">
        <v>3</v>
      </c>
      <c r="G1196" s="3"/>
      <c r="H1196" s="21">
        <v>0</v>
      </c>
      <c r="I1196" s="21">
        <v>0</v>
      </c>
      <c r="J1196" s="21">
        <v>0</v>
      </c>
      <c r="K1196" s="21">
        <v>0</v>
      </c>
      <c r="L1196" s="3">
        <f t="shared" si="59"/>
        <v>0</v>
      </c>
      <c r="M1196" s="3"/>
      <c r="N1196" s="3">
        <f t="shared" si="57"/>
        <v>0</v>
      </c>
      <c r="R1196" s="89"/>
      <c r="S1196" s="89">
        <f>100%-Table34[[#This Row],[PDF_initial fee]]</f>
        <v>1</v>
      </c>
      <c r="T1196" s="89"/>
      <c r="U1196" s="26"/>
    </row>
    <row r="1197" spans="1:27" hidden="1" x14ac:dyDescent="0.25">
      <c r="A1197">
        <v>302865</v>
      </c>
      <c r="B1197" t="s">
        <v>1520</v>
      </c>
      <c r="C1197" t="s">
        <v>10667</v>
      </c>
      <c r="D1197">
        <v>2</v>
      </c>
      <c r="E1197" t="s">
        <v>1520</v>
      </c>
      <c r="F1197" t="s">
        <v>3</v>
      </c>
      <c r="G1197" s="3"/>
      <c r="H1197" s="21">
        <v>0</v>
      </c>
      <c r="I1197" s="21">
        <v>0</v>
      </c>
      <c r="J1197" s="21">
        <v>0</v>
      </c>
      <c r="K1197" s="21">
        <v>0</v>
      </c>
      <c r="L1197" s="3">
        <f t="shared" si="59"/>
        <v>0</v>
      </c>
      <c r="M1197" s="3"/>
      <c r="N1197" s="3">
        <f t="shared" si="57"/>
        <v>0</v>
      </c>
      <c r="R1197" s="89"/>
      <c r="S1197" s="89">
        <f>100%-Table34[[#This Row],[PDF_initial fee]]</f>
        <v>1</v>
      </c>
      <c r="T1197" s="89"/>
      <c r="U1197" s="26"/>
    </row>
    <row r="1198" spans="1:27" hidden="1" x14ac:dyDescent="0.25">
      <c r="A1198">
        <v>302942</v>
      </c>
      <c r="B1198" t="s">
        <v>1521</v>
      </c>
      <c r="C1198" t="s">
        <v>29825</v>
      </c>
      <c r="D1198">
        <v>1</v>
      </c>
      <c r="E1198" t="s">
        <v>1521</v>
      </c>
      <c r="F1198" t="s">
        <v>3</v>
      </c>
      <c r="G1198" s="3"/>
      <c r="H1198" s="3">
        <v>0</v>
      </c>
      <c r="I1198" s="3">
        <v>0</v>
      </c>
      <c r="J1198" s="3">
        <v>0</v>
      </c>
      <c r="K1198" s="3">
        <v>0</v>
      </c>
      <c r="L1198" s="3">
        <f t="shared" si="59"/>
        <v>0</v>
      </c>
      <c r="M1198" s="3"/>
      <c r="N1198" s="3">
        <f t="shared" si="57"/>
        <v>0</v>
      </c>
      <c r="R1198" s="89"/>
      <c r="S1198" s="89">
        <f>100%-Table34[[#This Row],[PDF_initial fee]]</f>
        <v>1</v>
      </c>
      <c r="T1198" s="89"/>
      <c r="U1198" s="26"/>
    </row>
    <row r="1199" spans="1:27" hidden="1" x14ac:dyDescent="0.25">
      <c r="A1199">
        <v>302979</v>
      </c>
      <c r="B1199" t="s">
        <v>1522</v>
      </c>
      <c r="C1199" t="s">
        <v>10617</v>
      </c>
      <c r="D1199">
        <v>2</v>
      </c>
      <c r="E1199" t="s">
        <v>1522</v>
      </c>
      <c r="F1199" t="s">
        <v>29826</v>
      </c>
      <c r="G1199" s="3"/>
      <c r="H1199" s="21">
        <v>0</v>
      </c>
      <c r="I1199" s="21">
        <v>0</v>
      </c>
      <c r="J1199" s="21">
        <v>0</v>
      </c>
      <c r="K1199" s="21">
        <v>0</v>
      </c>
      <c r="L1199" s="3">
        <f t="shared" si="59"/>
        <v>0</v>
      </c>
      <c r="M1199" s="3"/>
      <c r="N1199" s="3">
        <f t="shared" si="57"/>
        <v>0</v>
      </c>
      <c r="R1199" s="89"/>
      <c r="S1199" s="89">
        <f>100%-Table34[[#This Row],[PDF_initial fee]]</f>
        <v>1</v>
      </c>
      <c r="T1199" s="89"/>
      <c r="U1199" s="26"/>
    </row>
    <row r="1200" spans="1:27" hidden="1" x14ac:dyDescent="0.25">
      <c r="A1200">
        <v>303315</v>
      </c>
      <c r="B1200" t="s">
        <v>1523</v>
      </c>
      <c r="C1200" t="s">
        <v>7383</v>
      </c>
      <c r="D1200">
        <v>1</v>
      </c>
      <c r="E1200" t="s">
        <v>1523</v>
      </c>
      <c r="F1200" t="s">
        <v>3</v>
      </c>
      <c r="G1200" s="3"/>
      <c r="H1200" s="21">
        <v>0</v>
      </c>
      <c r="I1200" s="21">
        <v>0</v>
      </c>
      <c r="J1200" s="21">
        <v>0</v>
      </c>
      <c r="K1200" s="21">
        <v>0</v>
      </c>
      <c r="L1200" s="3">
        <f t="shared" si="59"/>
        <v>0</v>
      </c>
      <c r="M1200" s="3"/>
      <c r="N1200" s="3">
        <f t="shared" si="57"/>
        <v>0</v>
      </c>
      <c r="R1200" s="89"/>
      <c r="S1200" s="89">
        <f>100%-Table34[[#This Row],[PDF_initial fee]]</f>
        <v>1</v>
      </c>
      <c r="T1200" s="89"/>
      <c r="U1200" s="26"/>
    </row>
    <row r="1201" spans="1:27" hidden="1" x14ac:dyDescent="0.25">
      <c r="A1201">
        <v>303543</v>
      </c>
      <c r="B1201" t="s">
        <v>1524</v>
      </c>
      <c r="C1201" t="s">
        <v>8638</v>
      </c>
      <c r="D1201">
        <v>1</v>
      </c>
      <c r="E1201" t="s">
        <v>1524</v>
      </c>
      <c r="G1201" s="3"/>
      <c r="H1201" s="21">
        <v>0</v>
      </c>
      <c r="I1201" s="21">
        <v>0</v>
      </c>
      <c r="J1201" s="21">
        <v>0</v>
      </c>
      <c r="K1201" s="21">
        <v>0</v>
      </c>
      <c r="L1201" s="3">
        <f t="shared" si="59"/>
        <v>0</v>
      </c>
      <c r="M1201" s="3"/>
      <c r="N1201" s="3">
        <f t="shared" si="57"/>
        <v>0</v>
      </c>
      <c r="R1201" s="89"/>
      <c r="S1201" s="89">
        <f>100%-Table34[[#This Row],[PDF_initial fee]]</f>
        <v>1</v>
      </c>
      <c r="T1201" s="89"/>
      <c r="U1201" s="26"/>
    </row>
    <row r="1202" spans="1:27" hidden="1" x14ac:dyDescent="0.25">
      <c r="A1202">
        <v>303560</v>
      </c>
      <c r="B1202" t="s">
        <v>1525</v>
      </c>
      <c r="C1202" t="s">
        <v>6958</v>
      </c>
      <c r="D1202">
        <v>3</v>
      </c>
      <c r="E1202" t="s">
        <v>1525</v>
      </c>
      <c r="F1202" t="s">
        <v>6958</v>
      </c>
      <c r="G1202" s="3"/>
      <c r="H1202" s="21">
        <v>0</v>
      </c>
      <c r="I1202" s="21">
        <v>0</v>
      </c>
      <c r="J1202" s="21">
        <v>0</v>
      </c>
      <c r="K1202" s="21">
        <v>0</v>
      </c>
      <c r="L1202" s="3">
        <f t="shared" si="59"/>
        <v>0</v>
      </c>
      <c r="M1202" s="3"/>
      <c r="N1202" s="3">
        <f t="shared" si="57"/>
        <v>0</v>
      </c>
      <c r="R1202" s="89"/>
      <c r="S1202" s="89">
        <f>100%-Table34[[#This Row],[PDF_initial fee]]</f>
        <v>1</v>
      </c>
      <c r="T1202" s="89"/>
      <c r="U1202" s="26"/>
    </row>
    <row r="1203" spans="1:27" hidden="1" x14ac:dyDescent="0.25">
      <c r="A1203">
        <v>303713</v>
      </c>
      <c r="B1203" t="s">
        <v>1526</v>
      </c>
      <c r="C1203" t="s">
        <v>7180</v>
      </c>
      <c r="D1203">
        <v>0</v>
      </c>
      <c r="E1203" t="s">
        <v>1526</v>
      </c>
      <c r="F1203" t="s">
        <v>29136</v>
      </c>
      <c r="G1203" s="3"/>
      <c r="L1203" s="3">
        <f t="shared" si="59"/>
        <v>0</v>
      </c>
      <c r="M1203" s="3"/>
      <c r="N1203" s="3">
        <f t="shared" si="57"/>
        <v>0</v>
      </c>
      <c r="R1203" s="89"/>
      <c r="S1203" s="89">
        <f>100%-Table34[[#This Row],[PDF_initial fee]]</f>
        <v>1</v>
      </c>
      <c r="T1203" s="89"/>
      <c r="U1203" s="26"/>
    </row>
    <row r="1204" spans="1:27" hidden="1" x14ac:dyDescent="0.25">
      <c r="A1204">
        <v>303822</v>
      </c>
      <c r="B1204" t="s">
        <v>1527</v>
      </c>
      <c r="C1204" t="s">
        <v>29827</v>
      </c>
      <c r="D1204">
        <v>1</v>
      </c>
      <c r="E1204" t="s">
        <v>1527</v>
      </c>
      <c r="G1204" s="3"/>
      <c r="H1204" s="3">
        <v>0</v>
      </c>
      <c r="I1204" s="3">
        <v>0</v>
      </c>
      <c r="J1204" s="3">
        <v>0</v>
      </c>
      <c r="K1204" s="3">
        <v>0</v>
      </c>
      <c r="L1204" s="3">
        <f t="shared" si="59"/>
        <v>0</v>
      </c>
      <c r="M1204" s="3"/>
      <c r="N1204" s="3">
        <f t="shared" si="57"/>
        <v>0</v>
      </c>
      <c r="R1204" s="89"/>
      <c r="S1204" s="89">
        <f>100%-Table34[[#This Row],[PDF_initial fee]]</f>
        <v>1</v>
      </c>
      <c r="T1204" s="89"/>
      <c r="U1204" s="26"/>
    </row>
    <row r="1205" spans="1:27" hidden="1" x14ac:dyDescent="0.25">
      <c r="A1205">
        <v>304902</v>
      </c>
      <c r="B1205" t="s">
        <v>1528</v>
      </c>
      <c r="C1205" t="s">
        <v>6958</v>
      </c>
      <c r="D1205">
        <v>1</v>
      </c>
      <c r="E1205" t="s">
        <v>1528</v>
      </c>
      <c r="F1205" t="s">
        <v>6958</v>
      </c>
      <c r="G1205" s="3"/>
      <c r="H1205" s="21">
        <v>0</v>
      </c>
      <c r="I1205" s="21">
        <v>0</v>
      </c>
      <c r="J1205" s="21">
        <v>0</v>
      </c>
      <c r="K1205" s="21">
        <v>0</v>
      </c>
      <c r="L1205" s="3">
        <f t="shared" si="59"/>
        <v>0</v>
      </c>
      <c r="M1205" s="3"/>
      <c r="N1205" s="3">
        <f t="shared" si="57"/>
        <v>0</v>
      </c>
      <c r="R1205" s="89"/>
      <c r="S1205" s="89">
        <f>100%-Table34[[#This Row],[PDF_initial fee]]</f>
        <v>1</v>
      </c>
      <c r="T1205" s="89"/>
      <c r="U1205" s="26"/>
    </row>
    <row r="1206" spans="1:27" x14ac:dyDescent="0.25">
      <c r="A1206">
        <v>229892</v>
      </c>
      <c r="B1206" t="s">
        <v>131</v>
      </c>
      <c r="C1206" t="s">
        <v>29828</v>
      </c>
      <c r="D1206">
        <v>6</v>
      </c>
      <c r="E1206" t="s">
        <v>131</v>
      </c>
      <c r="F1206" t="s">
        <v>6</v>
      </c>
      <c r="G1206" s="3">
        <v>9.1000000000000004E-3</v>
      </c>
      <c r="H1206" s="3">
        <v>0.02</v>
      </c>
      <c r="I1206" s="3">
        <v>7.4999999999999997E-3</v>
      </c>
      <c r="J1206" s="6">
        <v>0</v>
      </c>
      <c r="K1206" s="6">
        <v>0</v>
      </c>
      <c r="L1206" s="3">
        <f t="shared" si="59"/>
        <v>2.75E-2</v>
      </c>
      <c r="M1206" s="3"/>
      <c r="N1206" s="3">
        <f t="shared" si="57"/>
        <v>3.6600000000000001E-2</v>
      </c>
      <c r="O1206" s="21"/>
      <c r="P1206" s="1" t="s">
        <v>29821</v>
      </c>
      <c r="Q1206" s="1" t="s">
        <v>29822</v>
      </c>
      <c r="R1206" s="89">
        <v>0.2828</v>
      </c>
      <c r="S1206" s="89">
        <f>100%-Table34[[#This Row],[InitialFee]]</f>
        <v>0.98</v>
      </c>
      <c r="T1206" s="89">
        <f>(1-Table34[[#This Row],[OngoingFee (plus Platform fee)]])^5</f>
        <v>0.9630582970465823</v>
      </c>
      <c r="U1206" s="26">
        <f>(1+Table34[[#This Row],[Net 5yrs return (mostly up to 28th of Feb 2026)]])*Table34[[#This Row],[Investment after initial charge]]*Table34[[#This Row],[Cummulative 5yrs ongoing advice charge]]-1</f>
        <v>0.21070295978232845</v>
      </c>
      <c r="V1206" s="10">
        <f>21895536+2032833</f>
        <v>23928369</v>
      </c>
      <c r="W1206" s="10" t="s">
        <v>29051</v>
      </c>
      <c r="X1206" s="10">
        <v>21891619</v>
      </c>
      <c r="Y1206" s="30">
        <f>X1206/V1206</f>
        <v>0.91488136947403309</v>
      </c>
      <c r="AA1206" s="1" t="s">
        <v>29823</v>
      </c>
    </row>
    <row r="1207" spans="1:27" hidden="1" x14ac:dyDescent="0.25">
      <c r="A1207">
        <v>305375</v>
      </c>
      <c r="B1207" t="s">
        <v>1529</v>
      </c>
      <c r="C1207" t="s">
        <v>9061</v>
      </c>
      <c r="D1207">
        <v>1</v>
      </c>
      <c r="E1207" t="s">
        <v>1529</v>
      </c>
      <c r="G1207" s="3"/>
      <c r="H1207" s="21">
        <v>0</v>
      </c>
      <c r="I1207" s="21">
        <v>0</v>
      </c>
      <c r="J1207" s="21">
        <v>0</v>
      </c>
      <c r="K1207" s="21">
        <v>0</v>
      </c>
      <c r="L1207" s="3">
        <f t="shared" si="59"/>
        <v>0</v>
      </c>
      <c r="M1207" s="3"/>
      <c r="N1207" s="3">
        <f t="shared" si="57"/>
        <v>0</v>
      </c>
      <c r="R1207" s="89"/>
      <c r="S1207" s="89">
        <f>100%-Table34[[#This Row],[PDF_initial fee]]</f>
        <v>1</v>
      </c>
      <c r="T1207" s="89"/>
      <c r="U1207" s="26"/>
    </row>
    <row r="1208" spans="1:27" hidden="1" x14ac:dyDescent="0.25">
      <c r="A1208">
        <v>305811</v>
      </c>
      <c r="B1208" t="s">
        <v>1531</v>
      </c>
      <c r="C1208" t="s">
        <v>10994</v>
      </c>
      <c r="D1208">
        <v>3</v>
      </c>
      <c r="E1208" t="s">
        <v>1531</v>
      </c>
      <c r="G1208" s="3"/>
      <c r="H1208" s="21">
        <v>0</v>
      </c>
      <c r="I1208" s="21">
        <v>0</v>
      </c>
      <c r="J1208" s="21">
        <v>0</v>
      </c>
      <c r="K1208" s="21">
        <v>0</v>
      </c>
      <c r="L1208" s="3">
        <f t="shared" si="59"/>
        <v>0</v>
      </c>
      <c r="M1208" s="3"/>
      <c r="N1208" s="3">
        <f t="shared" si="57"/>
        <v>0</v>
      </c>
      <c r="R1208" s="89"/>
      <c r="S1208" s="89">
        <f>100%-Table34[[#This Row],[PDF_initial fee]]</f>
        <v>1</v>
      </c>
      <c r="T1208" s="89"/>
      <c r="U1208" s="26"/>
    </row>
    <row r="1209" spans="1:27" hidden="1" x14ac:dyDescent="0.25">
      <c r="A1209">
        <v>305837</v>
      </c>
      <c r="B1209" t="s">
        <v>1532</v>
      </c>
      <c r="C1209" t="s">
        <v>29829</v>
      </c>
      <c r="D1209">
        <v>2</v>
      </c>
      <c r="E1209" t="s">
        <v>1532</v>
      </c>
      <c r="G1209" s="3"/>
      <c r="H1209" s="3">
        <v>0</v>
      </c>
      <c r="I1209" s="3">
        <v>0</v>
      </c>
      <c r="J1209" s="3">
        <v>0</v>
      </c>
      <c r="K1209" s="3">
        <v>0</v>
      </c>
      <c r="L1209" s="3">
        <f t="shared" si="59"/>
        <v>0</v>
      </c>
      <c r="M1209" s="3"/>
      <c r="N1209" s="3">
        <f t="shared" si="57"/>
        <v>0</v>
      </c>
      <c r="R1209" s="89"/>
      <c r="S1209" s="89">
        <f>100%-Table34[[#This Row],[PDF_initial fee]]</f>
        <v>1</v>
      </c>
      <c r="T1209" s="89"/>
      <c r="U1209" s="26"/>
    </row>
    <row r="1210" spans="1:27" hidden="1" x14ac:dyDescent="0.25">
      <c r="A1210">
        <v>306352</v>
      </c>
      <c r="B1210" t="s">
        <v>1533</v>
      </c>
      <c r="C1210" t="s">
        <v>6958</v>
      </c>
      <c r="D1210">
        <v>1</v>
      </c>
      <c r="E1210" t="s">
        <v>1533</v>
      </c>
      <c r="F1210" t="s">
        <v>6958</v>
      </c>
      <c r="G1210" s="3"/>
      <c r="H1210" s="21">
        <v>0</v>
      </c>
      <c r="I1210" s="21">
        <v>0</v>
      </c>
      <c r="J1210" s="21">
        <v>0</v>
      </c>
      <c r="K1210" s="21">
        <v>0</v>
      </c>
      <c r="L1210" s="3">
        <f t="shared" si="59"/>
        <v>0</v>
      </c>
      <c r="M1210" s="3"/>
      <c r="N1210" s="3">
        <f t="shared" ref="N1210:N1276" si="60">L1210+G1210</f>
        <v>0</v>
      </c>
      <c r="R1210" s="89"/>
      <c r="S1210" s="89">
        <f>100%-Table34[[#This Row],[PDF_initial fee]]</f>
        <v>1</v>
      </c>
      <c r="T1210" s="89"/>
      <c r="U1210" s="26"/>
    </row>
    <row r="1211" spans="1:27" hidden="1" x14ac:dyDescent="0.25">
      <c r="A1211">
        <v>307222</v>
      </c>
      <c r="B1211" t="s">
        <v>1534</v>
      </c>
      <c r="C1211" t="s">
        <v>29830</v>
      </c>
      <c r="D1211">
        <v>0</v>
      </c>
      <c r="E1211" t="s">
        <v>1534</v>
      </c>
      <c r="F1211" t="s">
        <v>29136</v>
      </c>
      <c r="G1211" s="3"/>
      <c r="H1211" s="3">
        <v>0</v>
      </c>
      <c r="I1211" s="3">
        <v>0</v>
      </c>
      <c r="J1211" s="3">
        <v>0</v>
      </c>
      <c r="K1211" s="3">
        <v>0</v>
      </c>
      <c r="L1211" s="3">
        <f t="shared" si="59"/>
        <v>0</v>
      </c>
      <c r="M1211" s="3"/>
      <c r="N1211" s="3">
        <f t="shared" si="60"/>
        <v>0</v>
      </c>
      <c r="R1211" s="89"/>
      <c r="S1211" s="89">
        <f>100%-Table34[[#This Row],[PDF_initial fee]]</f>
        <v>1</v>
      </c>
      <c r="T1211" s="89"/>
      <c r="U1211" s="26"/>
    </row>
    <row r="1212" spans="1:27" hidden="1" x14ac:dyDescent="0.25">
      <c r="A1212">
        <v>307774</v>
      </c>
      <c r="B1212" t="s">
        <v>1535</v>
      </c>
      <c r="C1212" t="s">
        <v>7168</v>
      </c>
      <c r="D1212">
        <v>2</v>
      </c>
      <c r="E1212" t="s">
        <v>1535</v>
      </c>
      <c r="G1212" s="3"/>
      <c r="H1212" s="21">
        <v>0</v>
      </c>
      <c r="I1212" s="21">
        <v>0</v>
      </c>
      <c r="J1212" s="21">
        <v>0</v>
      </c>
      <c r="K1212" s="21">
        <v>0</v>
      </c>
      <c r="L1212" s="3">
        <f t="shared" si="59"/>
        <v>0</v>
      </c>
      <c r="M1212" s="3"/>
      <c r="N1212" s="3">
        <f t="shared" si="60"/>
        <v>0</v>
      </c>
      <c r="R1212" s="89"/>
      <c r="S1212" s="89">
        <f>100%-Table34[[#This Row],[PDF_initial fee]]</f>
        <v>1</v>
      </c>
      <c r="T1212" s="89"/>
      <c r="U1212" s="26"/>
    </row>
    <row r="1213" spans="1:27" hidden="1" x14ac:dyDescent="0.25">
      <c r="A1213">
        <v>308443</v>
      </c>
      <c r="B1213" t="s">
        <v>1536</v>
      </c>
      <c r="C1213" t="s">
        <v>6958</v>
      </c>
      <c r="D1213">
        <v>1</v>
      </c>
      <c r="E1213" t="s">
        <v>1536</v>
      </c>
      <c r="F1213" t="s">
        <v>6958</v>
      </c>
      <c r="G1213" s="3"/>
      <c r="L1213" s="3">
        <f t="shared" si="59"/>
        <v>0</v>
      </c>
      <c r="M1213" s="3"/>
      <c r="N1213" s="3">
        <f t="shared" si="60"/>
        <v>0</v>
      </c>
      <c r="R1213" s="89"/>
      <c r="S1213" s="89">
        <f>100%-Table34[[#This Row],[PDF_initial fee]]</f>
        <v>1</v>
      </c>
      <c r="T1213" s="89"/>
      <c r="U1213" s="26"/>
    </row>
    <row r="1214" spans="1:27" hidden="1" x14ac:dyDescent="0.25">
      <c r="A1214">
        <v>309124</v>
      </c>
      <c r="B1214" t="s">
        <v>1537</v>
      </c>
      <c r="C1214" s="1" t="s">
        <v>29831</v>
      </c>
      <c r="D1214">
        <v>5</v>
      </c>
      <c r="E1214" t="s">
        <v>1537</v>
      </c>
      <c r="G1214" s="3"/>
      <c r="H1214" s="3">
        <v>0</v>
      </c>
      <c r="I1214" s="3">
        <v>0</v>
      </c>
      <c r="J1214" s="3">
        <v>0</v>
      </c>
      <c r="K1214" s="3">
        <v>0</v>
      </c>
      <c r="L1214" s="3">
        <f t="shared" si="59"/>
        <v>0</v>
      </c>
      <c r="M1214" s="3"/>
      <c r="N1214" s="3">
        <f t="shared" si="60"/>
        <v>0</v>
      </c>
      <c r="R1214" s="89"/>
      <c r="S1214" s="89">
        <f>100%-Table34[[#This Row],[PDF_initial fee]]</f>
        <v>1</v>
      </c>
      <c r="T1214" s="89"/>
      <c r="U1214" s="26"/>
    </row>
    <row r="1215" spans="1:27" hidden="1" x14ac:dyDescent="0.25">
      <c r="A1215">
        <v>309463</v>
      </c>
      <c r="B1215" t="s">
        <v>1538</v>
      </c>
      <c r="C1215" t="s">
        <v>8871</v>
      </c>
      <c r="D1215">
        <v>1</v>
      </c>
      <c r="E1215" t="s">
        <v>1538</v>
      </c>
      <c r="G1215" s="3"/>
      <c r="L1215" s="3">
        <f t="shared" si="59"/>
        <v>0</v>
      </c>
      <c r="M1215" s="3"/>
      <c r="N1215" s="3">
        <f t="shared" si="60"/>
        <v>0</v>
      </c>
      <c r="R1215" s="89"/>
      <c r="S1215" s="89">
        <f>100%-Table34[[#This Row],[PDF_initial fee]]</f>
        <v>1</v>
      </c>
      <c r="T1215" s="89"/>
      <c r="U1215" s="26"/>
    </row>
    <row r="1216" spans="1:27" hidden="1" x14ac:dyDescent="0.25">
      <c r="A1216">
        <v>309709</v>
      </c>
      <c r="B1216" t="s">
        <v>1539</v>
      </c>
      <c r="C1216" t="s">
        <v>7863</v>
      </c>
      <c r="D1216">
        <v>1</v>
      </c>
      <c r="E1216" t="s">
        <v>1539</v>
      </c>
      <c r="G1216" s="3"/>
      <c r="H1216" s="21">
        <v>0</v>
      </c>
      <c r="I1216" s="21">
        <v>0</v>
      </c>
      <c r="J1216" s="21">
        <v>0</v>
      </c>
      <c r="K1216" s="21">
        <v>0</v>
      </c>
      <c r="L1216" s="3">
        <f t="shared" si="59"/>
        <v>0</v>
      </c>
      <c r="M1216" s="3"/>
      <c r="N1216" s="3">
        <f t="shared" si="60"/>
        <v>0</v>
      </c>
      <c r="R1216" s="89"/>
      <c r="S1216" s="89">
        <f>100%-Table34[[#This Row],[PDF_initial fee]]</f>
        <v>1</v>
      </c>
      <c r="T1216" s="89"/>
      <c r="U1216" s="26"/>
    </row>
    <row r="1217" spans="1:21" hidden="1" x14ac:dyDescent="0.25">
      <c r="A1217">
        <v>310129</v>
      </c>
      <c r="B1217" t="s">
        <v>1540</v>
      </c>
      <c r="C1217" t="s">
        <v>6958</v>
      </c>
      <c r="D1217">
        <v>1</v>
      </c>
      <c r="E1217" t="s">
        <v>1540</v>
      </c>
      <c r="F1217" t="s">
        <v>6958</v>
      </c>
      <c r="G1217" s="3"/>
      <c r="H1217" s="21">
        <v>0</v>
      </c>
      <c r="I1217" s="21">
        <v>0</v>
      </c>
      <c r="J1217" s="21">
        <v>0</v>
      </c>
      <c r="K1217" s="21">
        <v>0</v>
      </c>
      <c r="L1217" s="3">
        <f t="shared" si="59"/>
        <v>0</v>
      </c>
      <c r="M1217" s="3"/>
      <c r="N1217" s="3">
        <f t="shared" si="60"/>
        <v>0</v>
      </c>
      <c r="R1217" s="89"/>
      <c r="S1217" s="89">
        <f>100%-Table34[[#This Row],[PDF_initial fee]]</f>
        <v>1</v>
      </c>
      <c r="T1217" s="89"/>
      <c r="U1217" s="26"/>
    </row>
    <row r="1218" spans="1:21" hidden="1" x14ac:dyDescent="0.25">
      <c r="A1218">
        <v>310451</v>
      </c>
      <c r="B1218" t="s">
        <v>1541</v>
      </c>
      <c r="C1218" t="s">
        <v>29832</v>
      </c>
      <c r="D1218">
        <v>16</v>
      </c>
      <c r="E1218" t="s">
        <v>1541</v>
      </c>
      <c r="F1218" t="s">
        <v>29136</v>
      </c>
      <c r="G1218" s="3"/>
      <c r="H1218" s="21">
        <v>0</v>
      </c>
      <c r="I1218" s="21">
        <v>0</v>
      </c>
      <c r="J1218" s="21">
        <v>0</v>
      </c>
      <c r="K1218" s="21">
        <v>0</v>
      </c>
      <c r="L1218" s="3">
        <f t="shared" si="59"/>
        <v>0</v>
      </c>
      <c r="M1218" s="3"/>
      <c r="N1218" s="3">
        <f t="shared" si="60"/>
        <v>0</v>
      </c>
      <c r="O1218" s="21"/>
      <c r="R1218" s="89"/>
      <c r="S1218" s="89">
        <f>100%-Table34[[#This Row],[PDF_initial fee]]</f>
        <v>1</v>
      </c>
      <c r="T1218" s="89"/>
      <c r="U1218" s="26"/>
    </row>
    <row r="1219" spans="1:21" hidden="1" x14ac:dyDescent="0.25">
      <c r="A1219">
        <v>310658</v>
      </c>
      <c r="B1219" t="s">
        <v>1542</v>
      </c>
      <c r="C1219" t="s">
        <v>9797</v>
      </c>
      <c r="D1219">
        <v>0</v>
      </c>
      <c r="E1219" t="s">
        <v>1542</v>
      </c>
      <c r="F1219" t="s">
        <v>29136</v>
      </c>
      <c r="G1219" s="3"/>
      <c r="H1219" s="21">
        <v>0</v>
      </c>
      <c r="I1219" s="21">
        <v>0</v>
      </c>
      <c r="J1219" s="21">
        <v>0</v>
      </c>
      <c r="K1219" s="21">
        <v>0</v>
      </c>
      <c r="L1219" s="3">
        <f t="shared" si="59"/>
        <v>0</v>
      </c>
      <c r="M1219" s="3"/>
      <c r="N1219" s="3">
        <f t="shared" si="60"/>
        <v>0</v>
      </c>
      <c r="R1219" s="89"/>
      <c r="S1219" s="89">
        <f>100%-Table34[[#This Row],[PDF_initial fee]]</f>
        <v>1</v>
      </c>
      <c r="T1219" s="89"/>
      <c r="U1219" s="26"/>
    </row>
    <row r="1220" spans="1:21" hidden="1" x14ac:dyDescent="0.25">
      <c r="A1220">
        <v>312045</v>
      </c>
      <c r="B1220" t="s">
        <v>1543</v>
      </c>
      <c r="C1220" t="s">
        <v>6958</v>
      </c>
      <c r="D1220">
        <v>1</v>
      </c>
      <c r="E1220" t="s">
        <v>1543</v>
      </c>
      <c r="F1220" t="s">
        <v>6958</v>
      </c>
      <c r="G1220" s="3"/>
      <c r="H1220" s="21">
        <v>0</v>
      </c>
      <c r="I1220" s="21">
        <v>0</v>
      </c>
      <c r="J1220" s="21">
        <v>0</v>
      </c>
      <c r="K1220" s="21">
        <v>0</v>
      </c>
      <c r="L1220" s="3">
        <f t="shared" si="59"/>
        <v>0</v>
      </c>
      <c r="M1220" s="3"/>
      <c r="N1220" s="3">
        <f t="shared" si="60"/>
        <v>0</v>
      </c>
      <c r="R1220" s="89"/>
      <c r="S1220" s="89">
        <f>100%-Table34[[#This Row],[PDF_initial fee]]</f>
        <v>1</v>
      </c>
      <c r="T1220" s="89"/>
      <c r="U1220" s="26"/>
    </row>
    <row r="1221" spans="1:21" hidden="1" x14ac:dyDescent="0.25">
      <c r="A1221">
        <v>312416</v>
      </c>
      <c r="B1221" t="s">
        <v>1544</v>
      </c>
      <c r="C1221" t="s">
        <v>12054</v>
      </c>
      <c r="D1221">
        <v>0</v>
      </c>
      <c r="E1221" t="s">
        <v>1544</v>
      </c>
      <c r="F1221" t="s">
        <v>29136</v>
      </c>
      <c r="G1221" s="3"/>
      <c r="H1221" s="21">
        <v>0</v>
      </c>
      <c r="I1221" s="21">
        <v>0</v>
      </c>
      <c r="J1221" s="21">
        <v>0</v>
      </c>
      <c r="K1221" s="21">
        <v>0</v>
      </c>
      <c r="L1221" s="3">
        <f t="shared" si="59"/>
        <v>0</v>
      </c>
      <c r="M1221" s="3"/>
      <c r="N1221" s="3">
        <f t="shared" si="60"/>
        <v>0</v>
      </c>
      <c r="R1221" s="89"/>
      <c r="S1221" s="89">
        <f>100%-Table34[[#This Row],[PDF_initial fee]]</f>
        <v>1</v>
      </c>
      <c r="T1221" s="89"/>
      <c r="U1221" s="26"/>
    </row>
    <row r="1222" spans="1:21" hidden="1" x14ac:dyDescent="0.25">
      <c r="A1222">
        <v>312841</v>
      </c>
      <c r="B1222" t="s">
        <v>1545</v>
      </c>
      <c r="C1222" t="s">
        <v>29833</v>
      </c>
      <c r="D1222">
        <v>1</v>
      </c>
      <c r="E1222" t="s">
        <v>1545</v>
      </c>
      <c r="G1222" s="3"/>
      <c r="H1222" s="21">
        <v>0</v>
      </c>
      <c r="I1222" s="21">
        <v>0</v>
      </c>
      <c r="J1222" s="21">
        <v>0</v>
      </c>
      <c r="K1222" s="21">
        <v>0</v>
      </c>
      <c r="L1222" s="3">
        <f t="shared" si="59"/>
        <v>0</v>
      </c>
      <c r="M1222" s="3"/>
      <c r="N1222" s="3">
        <f t="shared" si="60"/>
        <v>0</v>
      </c>
      <c r="O1222" s="21"/>
      <c r="R1222" s="89"/>
      <c r="S1222" s="89">
        <f>100%-Table34[[#This Row],[PDF_initial fee]]</f>
        <v>1</v>
      </c>
      <c r="T1222" s="89"/>
      <c r="U1222" s="26"/>
    </row>
    <row r="1223" spans="1:21" hidden="1" x14ac:dyDescent="0.25">
      <c r="A1223">
        <v>313189</v>
      </c>
      <c r="B1223" t="s">
        <v>1546</v>
      </c>
      <c r="C1223" t="s">
        <v>29834</v>
      </c>
      <c r="D1223">
        <v>16</v>
      </c>
      <c r="E1223" t="s">
        <v>1546</v>
      </c>
      <c r="G1223" s="3"/>
      <c r="H1223" s="21">
        <v>0</v>
      </c>
      <c r="I1223" s="21">
        <v>0</v>
      </c>
      <c r="J1223" s="21">
        <v>0</v>
      </c>
      <c r="K1223" s="21">
        <v>0</v>
      </c>
      <c r="L1223" s="3">
        <f t="shared" ref="L1223:L1254" si="61">SUM(H1223:K1223)</f>
        <v>0</v>
      </c>
      <c r="M1223" s="3"/>
      <c r="N1223" s="3">
        <f t="shared" si="60"/>
        <v>0</v>
      </c>
      <c r="O1223" s="21"/>
      <c r="R1223" s="89"/>
      <c r="S1223" s="89">
        <f>100%-Table34[[#This Row],[PDF_initial fee]]</f>
        <v>1</v>
      </c>
      <c r="T1223" s="89"/>
      <c r="U1223" s="26"/>
    </row>
    <row r="1224" spans="1:21" hidden="1" x14ac:dyDescent="0.25">
      <c r="A1224">
        <v>313234</v>
      </c>
      <c r="B1224" t="s">
        <v>1547</v>
      </c>
      <c r="C1224" t="s">
        <v>6958</v>
      </c>
      <c r="D1224">
        <v>1</v>
      </c>
      <c r="E1224" t="s">
        <v>1547</v>
      </c>
      <c r="F1224" t="s">
        <v>6958</v>
      </c>
      <c r="G1224" s="3"/>
      <c r="H1224" s="21">
        <v>0</v>
      </c>
      <c r="I1224" s="21">
        <v>0</v>
      </c>
      <c r="J1224" s="21">
        <v>0</v>
      </c>
      <c r="K1224" s="21">
        <v>0</v>
      </c>
      <c r="L1224" s="3">
        <f t="shared" si="61"/>
        <v>0</v>
      </c>
      <c r="M1224" s="3"/>
      <c r="N1224" s="3">
        <f t="shared" si="60"/>
        <v>0</v>
      </c>
      <c r="R1224" s="89"/>
      <c r="S1224" s="89">
        <f>100%-Table34[[#This Row],[PDF_initial fee]]</f>
        <v>1</v>
      </c>
      <c r="T1224" s="89"/>
      <c r="U1224" s="26"/>
    </row>
    <row r="1225" spans="1:21" hidden="1" x14ac:dyDescent="0.25">
      <c r="A1225">
        <v>313585</v>
      </c>
      <c r="B1225" t="s">
        <v>1548</v>
      </c>
      <c r="C1225" t="s">
        <v>11429</v>
      </c>
      <c r="D1225">
        <v>1</v>
      </c>
      <c r="E1225" t="s">
        <v>1548</v>
      </c>
      <c r="G1225" s="3"/>
      <c r="H1225" s="21">
        <v>0</v>
      </c>
      <c r="I1225" s="21">
        <v>0</v>
      </c>
      <c r="J1225" s="21">
        <v>0</v>
      </c>
      <c r="K1225" s="21">
        <v>0</v>
      </c>
      <c r="L1225" s="3">
        <f t="shared" si="61"/>
        <v>0</v>
      </c>
      <c r="M1225" s="3"/>
      <c r="N1225" s="3">
        <f t="shared" si="60"/>
        <v>0</v>
      </c>
      <c r="R1225" s="89"/>
      <c r="S1225" s="89">
        <f>100%-Table34[[#This Row],[PDF_initial fee]]</f>
        <v>1</v>
      </c>
      <c r="T1225" s="89"/>
      <c r="U1225" s="26"/>
    </row>
    <row r="1226" spans="1:21" hidden="1" x14ac:dyDescent="0.25">
      <c r="A1226">
        <v>313897</v>
      </c>
      <c r="B1226" t="s">
        <v>1549</v>
      </c>
      <c r="C1226" t="s">
        <v>6958</v>
      </c>
      <c r="D1226">
        <v>1</v>
      </c>
      <c r="E1226" t="s">
        <v>1549</v>
      </c>
      <c r="F1226" t="s">
        <v>6958</v>
      </c>
      <c r="G1226" s="3"/>
      <c r="L1226" s="3">
        <f t="shared" si="61"/>
        <v>0</v>
      </c>
      <c r="M1226" s="3"/>
      <c r="N1226" s="3">
        <f t="shared" si="60"/>
        <v>0</v>
      </c>
      <c r="R1226" s="89"/>
      <c r="S1226" s="89">
        <f>100%-Table34[[#This Row],[PDF_initial fee]]</f>
        <v>1</v>
      </c>
      <c r="T1226" s="89"/>
      <c r="U1226" s="26"/>
    </row>
    <row r="1227" spans="1:21" hidden="1" x14ac:dyDescent="0.25">
      <c r="A1227">
        <v>400040</v>
      </c>
      <c r="B1227" t="s">
        <v>1551</v>
      </c>
      <c r="C1227" t="s">
        <v>29835</v>
      </c>
      <c r="D1227">
        <v>2</v>
      </c>
      <c r="E1227" t="s">
        <v>1551</v>
      </c>
      <c r="G1227" s="3"/>
      <c r="H1227" s="21">
        <v>0</v>
      </c>
      <c r="I1227" s="21">
        <v>0</v>
      </c>
      <c r="J1227" s="21">
        <v>0</v>
      </c>
      <c r="K1227" s="21">
        <v>0</v>
      </c>
      <c r="L1227" s="3">
        <f t="shared" si="61"/>
        <v>0</v>
      </c>
      <c r="M1227" s="3"/>
      <c r="N1227" s="3">
        <f t="shared" si="60"/>
        <v>0</v>
      </c>
      <c r="O1227" s="21"/>
      <c r="R1227" s="89"/>
      <c r="S1227" s="89">
        <f>100%-Table34[[#This Row],[PDF_initial fee]]</f>
        <v>1</v>
      </c>
      <c r="T1227" s="89"/>
      <c r="U1227" s="26"/>
    </row>
    <row r="1228" spans="1:21" hidden="1" x14ac:dyDescent="0.25">
      <c r="A1228">
        <v>400042</v>
      </c>
      <c r="B1228" t="s">
        <v>1552</v>
      </c>
      <c r="C1228" t="s">
        <v>29836</v>
      </c>
      <c r="D1228">
        <v>2</v>
      </c>
      <c r="E1228" t="s">
        <v>1552</v>
      </c>
      <c r="G1228" s="3"/>
      <c r="H1228" s="21">
        <v>0</v>
      </c>
      <c r="I1228" s="21">
        <v>0</v>
      </c>
      <c r="J1228" s="21">
        <v>0</v>
      </c>
      <c r="K1228" s="21">
        <v>0</v>
      </c>
      <c r="L1228" s="3">
        <f t="shared" si="61"/>
        <v>0</v>
      </c>
      <c r="M1228" s="3"/>
      <c r="N1228" s="3">
        <f t="shared" si="60"/>
        <v>0</v>
      </c>
      <c r="O1228" s="21"/>
      <c r="R1228" s="89"/>
      <c r="S1228" s="89">
        <f>100%-Table34[[#This Row],[PDF_initial fee]]</f>
        <v>1</v>
      </c>
      <c r="T1228" s="89"/>
      <c r="U1228" s="26"/>
    </row>
    <row r="1229" spans="1:21" hidden="1" x14ac:dyDescent="0.25">
      <c r="A1229">
        <v>400072</v>
      </c>
      <c r="B1229" t="s">
        <v>1553</v>
      </c>
      <c r="C1229" t="s">
        <v>6958</v>
      </c>
      <c r="D1229">
        <v>7</v>
      </c>
      <c r="E1229" t="s">
        <v>1553</v>
      </c>
      <c r="F1229" t="s">
        <v>6958</v>
      </c>
      <c r="G1229" s="3"/>
      <c r="H1229" s="21">
        <v>0</v>
      </c>
      <c r="I1229" s="21">
        <v>0</v>
      </c>
      <c r="J1229" s="21">
        <v>0</v>
      </c>
      <c r="K1229" s="21">
        <v>0</v>
      </c>
      <c r="L1229" s="3">
        <f t="shared" si="61"/>
        <v>0</v>
      </c>
      <c r="M1229" s="3"/>
      <c r="N1229" s="3">
        <f t="shared" si="60"/>
        <v>0</v>
      </c>
      <c r="R1229" s="89"/>
      <c r="S1229" s="89">
        <f>100%-Table34[[#This Row],[PDF_initial fee]]</f>
        <v>1</v>
      </c>
      <c r="T1229" s="89"/>
      <c r="U1229" s="26"/>
    </row>
    <row r="1230" spans="1:21" hidden="1" x14ac:dyDescent="0.25">
      <c r="A1230">
        <v>400119</v>
      </c>
      <c r="B1230" t="s">
        <v>1554</v>
      </c>
      <c r="C1230" t="s">
        <v>7619</v>
      </c>
      <c r="D1230">
        <v>3</v>
      </c>
      <c r="E1230" t="s">
        <v>1554</v>
      </c>
      <c r="G1230" s="3"/>
      <c r="L1230" s="3">
        <f t="shared" si="61"/>
        <v>0</v>
      </c>
      <c r="M1230" s="3"/>
      <c r="N1230" s="3">
        <f t="shared" si="60"/>
        <v>0</v>
      </c>
      <c r="R1230" s="89"/>
      <c r="S1230" s="89">
        <f>100%-Table34[[#This Row],[PDF_initial fee]]</f>
        <v>1</v>
      </c>
      <c r="T1230" s="89"/>
      <c r="U1230" s="26"/>
    </row>
    <row r="1231" spans="1:21" hidden="1" x14ac:dyDescent="0.25">
      <c r="A1231">
        <v>400155</v>
      </c>
      <c r="B1231" t="s">
        <v>1555</v>
      </c>
      <c r="C1231" t="s">
        <v>6958</v>
      </c>
      <c r="D1231">
        <v>1</v>
      </c>
      <c r="E1231" t="s">
        <v>1555</v>
      </c>
      <c r="F1231" t="s">
        <v>6958</v>
      </c>
      <c r="G1231" s="3"/>
      <c r="L1231" s="3">
        <f t="shared" si="61"/>
        <v>0</v>
      </c>
      <c r="M1231" s="3"/>
      <c r="N1231" s="3">
        <f t="shared" si="60"/>
        <v>0</v>
      </c>
      <c r="R1231" s="89"/>
      <c r="S1231" s="89">
        <f>100%-Table34[[#This Row],[PDF_initial fee]]</f>
        <v>1</v>
      </c>
      <c r="T1231" s="89"/>
      <c r="U1231" s="26"/>
    </row>
    <row r="1232" spans="1:21" hidden="1" x14ac:dyDescent="0.25">
      <c r="A1232">
        <v>400263</v>
      </c>
      <c r="B1232" t="s">
        <v>1556</v>
      </c>
      <c r="C1232" t="s">
        <v>11313</v>
      </c>
      <c r="D1232">
        <v>1</v>
      </c>
      <c r="E1232" t="s">
        <v>1556</v>
      </c>
      <c r="G1232" s="3"/>
      <c r="L1232" s="3">
        <f t="shared" si="61"/>
        <v>0</v>
      </c>
      <c r="M1232" s="3"/>
      <c r="N1232" s="3">
        <f t="shared" si="60"/>
        <v>0</v>
      </c>
      <c r="R1232" s="89"/>
      <c r="S1232" s="89">
        <f>100%-Table34[[#This Row],[PDF_initial fee]]</f>
        <v>1</v>
      </c>
      <c r="T1232" s="89"/>
      <c r="U1232" s="26"/>
    </row>
    <row r="1233" spans="1:21" hidden="1" x14ac:dyDescent="0.25">
      <c r="A1233">
        <v>400269</v>
      </c>
      <c r="B1233" t="s">
        <v>1557</v>
      </c>
      <c r="C1233" t="s">
        <v>9970</v>
      </c>
      <c r="D1233">
        <v>2</v>
      </c>
      <c r="E1233" t="s">
        <v>1557</v>
      </c>
      <c r="G1233" s="3"/>
      <c r="H1233" s="21">
        <v>0</v>
      </c>
      <c r="I1233" s="21">
        <v>0</v>
      </c>
      <c r="J1233" s="21">
        <v>0</v>
      </c>
      <c r="K1233" s="21">
        <v>0</v>
      </c>
      <c r="L1233" s="3">
        <f t="shared" si="61"/>
        <v>0</v>
      </c>
      <c r="M1233" s="3"/>
      <c r="N1233" s="3">
        <f t="shared" si="60"/>
        <v>0</v>
      </c>
      <c r="R1233" s="89"/>
      <c r="S1233" s="89">
        <f>100%-Table34[[#This Row],[PDF_initial fee]]</f>
        <v>1</v>
      </c>
      <c r="T1233" s="89"/>
      <c r="U1233" s="26"/>
    </row>
    <row r="1234" spans="1:21" hidden="1" x14ac:dyDescent="0.25">
      <c r="A1234">
        <v>400275</v>
      </c>
      <c r="B1234" t="s">
        <v>1558</v>
      </c>
      <c r="C1234" t="s">
        <v>6970</v>
      </c>
      <c r="D1234">
        <v>1</v>
      </c>
      <c r="E1234" t="s">
        <v>1558</v>
      </c>
      <c r="G1234" s="3"/>
      <c r="H1234" s="21">
        <v>0</v>
      </c>
      <c r="I1234" s="21">
        <v>0</v>
      </c>
      <c r="J1234" s="21">
        <v>0</v>
      </c>
      <c r="K1234" s="21">
        <v>0</v>
      </c>
      <c r="L1234" s="3">
        <f t="shared" si="61"/>
        <v>0</v>
      </c>
      <c r="M1234" s="3"/>
      <c r="N1234" s="3">
        <f t="shared" si="60"/>
        <v>0</v>
      </c>
      <c r="R1234" s="89"/>
      <c r="S1234" s="89">
        <f>100%-Table34[[#This Row],[PDF_initial fee]]</f>
        <v>1</v>
      </c>
      <c r="T1234" s="89"/>
      <c r="U1234" s="26"/>
    </row>
    <row r="1235" spans="1:21" hidden="1" x14ac:dyDescent="0.25">
      <c r="A1235">
        <v>400276</v>
      </c>
      <c r="B1235" t="s">
        <v>1559</v>
      </c>
      <c r="C1235" t="s">
        <v>7042</v>
      </c>
      <c r="D1235">
        <v>1</v>
      </c>
      <c r="E1235" t="s">
        <v>1559</v>
      </c>
      <c r="G1235" s="3"/>
      <c r="H1235" s="21">
        <v>0</v>
      </c>
      <c r="I1235" s="21">
        <v>0</v>
      </c>
      <c r="J1235" s="21">
        <v>0</v>
      </c>
      <c r="K1235" s="21">
        <v>0</v>
      </c>
      <c r="L1235" s="3">
        <f t="shared" si="61"/>
        <v>0</v>
      </c>
      <c r="M1235" s="3"/>
      <c r="N1235" s="3">
        <f t="shared" si="60"/>
        <v>0</v>
      </c>
      <c r="R1235" s="89"/>
      <c r="S1235" s="89">
        <f>100%-Table34[[#This Row],[PDF_initial fee]]</f>
        <v>1</v>
      </c>
      <c r="T1235" s="89"/>
      <c r="U1235" s="26"/>
    </row>
    <row r="1236" spans="1:21" hidden="1" x14ac:dyDescent="0.25">
      <c r="A1236">
        <v>400309</v>
      </c>
      <c r="B1236" t="s">
        <v>1560</v>
      </c>
      <c r="C1236" t="s">
        <v>29837</v>
      </c>
      <c r="D1236">
        <v>18</v>
      </c>
      <c r="E1236" t="s">
        <v>1560</v>
      </c>
      <c r="F1236" t="s">
        <v>29136</v>
      </c>
      <c r="G1236" s="3"/>
      <c r="H1236" s="21">
        <v>0</v>
      </c>
      <c r="I1236" s="3">
        <v>0</v>
      </c>
      <c r="J1236" s="3">
        <v>0</v>
      </c>
      <c r="K1236">
        <v>0</v>
      </c>
      <c r="L1236" s="3">
        <f t="shared" si="61"/>
        <v>0</v>
      </c>
      <c r="M1236" s="3"/>
      <c r="N1236" s="3">
        <f t="shared" si="60"/>
        <v>0</v>
      </c>
      <c r="R1236" s="89"/>
      <c r="S1236" s="89">
        <f>100%-Table34[[#This Row],[PDF_initial fee]]</f>
        <v>1</v>
      </c>
      <c r="T1236" s="89"/>
      <c r="U1236" s="26"/>
    </row>
    <row r="1237" spans="1:21" hidden="1" x14ac:dyDescent="0.25">
      <c r="A1237">
        <v>400359</v>
      </c>
      <c r="B1237" t="s">
        <v>1561</v>
      </c>
      <c r="C1237" t="s">
        <v>9240</v>
      </c>
      <c r="D1237">
        <v>1</v>
      </c>
      <c r="E1237" t="s">
        <v>1561</v>
      </c>
      <c r="G1237" s="3"/>
      <c r="H1237" s="21">
        <v>0</v>
      </c>
      <c r="I1237" s="21">
        <v>0</v>
      </c>
      <c r="J1237" s="21">
        <v>0</v>
      </c>
      <c r="K1237" s="21">
        <v>0</v>
      </c>
      <c r="L1237" s="3">
        <f t="shared" si="61"/>
        <v>0</v>
      </c>
      <c r="M1237" s="3"/>
      <c r="N1237" s="3">
        <f t="shared" si="60"/>
        <v>0</v>
      </c>
      <c r="R1237" s="89"/>
      <c r="S1237" s="89">
        <f>100%-Table34[[#This Row],[PDF_initial fee]]</f>
        <v>1</v>
      </c>
      <c r="T1237" s="89"/>
      <c r="U1237" s="26"/>
    </row>
    <row r="1238" spans="1:21" hidden="1" x14ac:dyDescent="0.25">
      <c r="A1238">
        <v>400367</v>
      </c>
      <c r="B1238" t="s">
        <v>1562</v>
      </c>
      <c r="C1238" t="s">
        <v>29838</v>
      </c>
      <c r="D1238">
        <v>2</v>
      </c>
      <c r="E1238" t="s">
        <v>1562</v>
      </c>
      <c r="G1238" s="3"/>
      <c r="H1238" s="3">
        <v>0</v>
      </c>
      <c r="I1238" s="3">
        <v>0</v>
      </c>
      <c r="J1238" s="3">
        <v>0</v>
      </c>
      <c r="K1238" s="3">
        <v>0</v>
      </c>
      <c r="L1238" s="3">
        <f t="shared" si="61"/>
        <v>0</v>
      </c>
      <c r="M1238" s="3"/>
      <c r="N1238" s="3">
        <f t="shared" si="60"/>
        <v>0</v>
      </c>
      <c r="R1238" s="89"/>
      <c r="S1238" s="89">
        <f>100%-Table34[[#This Row],[PDF_initial fee]]</f>
        <v>1</v>
      </c>
      <c r="T1238" s="89"/>
      <c r="U1238" s="26"/>
    </row>
    <row r="1239" spans="1:21" hidden="1" x14ac:dyDescent="0.25">
      <c r="A1239">
        <v>400453</v>
      </c>
      <c r="B1239" t="s">
        <v>1563</v>
      </c>
      <c r="C1239" t="s">
        <v>6958</v>
      </c>
      <c r="D1239">
        <v>1</v>
      </c>
      <c r="E1239" t="s">
        <v>1563</v>
      </c>
      <c r="F1239" t="s">
        <v>6958</v>
      </c>
      <c r="G1239" s="3"/>
      <c r="H1239" s="21">
        <v>0</v>
      </c>
      <c r="I1239" s="21">
        <v>0</v>
      </c>
      <c r="J1239" s="21">
        <v>0</v>
      </c>
      <c r="K1239" s="21">
        <v>0</v>
      </c>
      <c r="L1239" s="3">
        <f t="shared" si="61"/>
        <v>0</v>
      </c>
      <c r="M1239" s="3"/>
      <c r="N1239" s="3">
        <f t="shared" si="60"/>
        <v>0</v>
      </c>
      <c r="R1239" s="89"/>
      <c r="S1239" s="89">
        <f>100%-Table34[[#This Row],[PDF_initial fee]]</f>
        <v>1</v>
      </c>
      <c r="T1239" s="89"/>
      <c r="U1239" s="26"/>
    </row>
    <row r="1240" spans="1:21" hidden="1" x14ac:dyDescent="0.25">
      <c r="A1240">
        <v>400473</v>
      </c>
      <c r="B1240" t="s">
        <v>1565</v>
      </c>
      <c r="C1240" t="s">
        <v>6958</v>
      </c>
      <c r="D1240">
        <v>1</v>
      </c>
      <c r="E1240" t="s">
        <v>1565</v>
      </c>
      <c r="F1240" t="s">
        <v>6958</v>
      </c>
      <c r="G1240" s="3"/>
      <c r="H1240" s="21">
        <v>0</v>
      </c>
      <c r="I1240" s="21">
        <v>0</v>
      </c>
      <c r="J1240" s="21">
        <v>0</v>
      </c>
      <c r="K1240" s="21">
        <v>0</v>
      </c>
      <c r="L1240" s="3">
        <f t="shared" si="61"/>
        <v>0</v>
      </c>
      <c r="M1240" s="3"/>
      <c r="N1240" s="3">
        <f t="shared" si="60"/>
        <v>0</v>
      </c>
      <c r="R1240" s="89"/>
      <c r="S1240" s="89">
        <f>100%-Table34[[#This Row],[PDF_initial fee]]</f>
        <v>1</v>
      </c>
      <c r="T1240" s="89"/>
      <c r="U1240" s="26"/>
    </row>
    <row r="1241" spans="1:21" hidden="1" x14ac:dyDescent="0.25">
      <c r="A1241">
        <v>400509</v>
      </c>
      <c r="B1241" t="s">
        <v>1566</v>
      </c>
      <c r="C1241" t="s">
        <v>12526</v>
      </c>
      <c r="D1241">
        <v>3</v>
      </c>
      <c r="E1241" t="s">
        <v>1566</v>
      </c>
      <c r="G1241" s="3"/>
      <c r="H1241" s="21">
        <v>0</v>
      </c>
      <c r="I1241" s="21">
        <v>0</v>
      </c>
      <c r="J1241" s="21">
        <v>0</v>
      </c>
      <c r="K1241" s="21">
        <v>0</v>
      </c>
      <c r="L1241" s="3">
        <f t="shared" si="61"/>
        <v>0</v>
      </c>
      <c r="M1241" s="3"/>
      <c r="N1241" s="3">
        <f t="shared" si="60"/>
        <v>0</v>
      </c>
      <c r="R1241" s="89"/>
      <c r="S1241" s="89">
        <f>100%-Table34[[#This Row],[PDF_initial fee]]</f>
        <v>1</v>
      </c>
      <c r="T1241" s="89"/>
      <c r="U1241" s="26"/>
    </row>
    <row r="1242" spans="1:21" hidden="1" x14ac:dyDescent="0.25">
      <c r="A1242">
        <v>400529</v>
      </c>
      <c r="B1242" t="s">
        <v>1567</v>
      </c>
      <c r="C1242" t="s">
        <v>6958</v>
      </c>
      <c r="D1242">
        <v>9</v>
      </c>
      <c r="E1242" t="s">
        <v>1567</v>
      </c>
      <c r="F1242" t="s">
        <v>6958</v>
      </c>
      <c r="G1242" s="3"/>
      <c r="H1242" s="21">
        <v>0</v>
      </c>
      <c r="I1242" s="21">
        <v>0</v>
      </c>
      <c r="J1242" s="21">
        <v>0</v>
      </c>
      <c r="K1242" s="21">
        <v>0</v>
      </c>
      <c r="L1242" s="3">
        <f t="shared" si="61"/>
        <v>0</v>
      </c>
      <c r="M1242" s="3"/>
      <c r="N1242" s="3">
        <f t="shared" si="60"/>
        <v>0</v>
      </c>
      <c r="R1242" s="89"/>
      <c r="S1242" s="89">
        <f>100%-Table34[[#This Row],[PDF_initial fee]]</f>
        <v>1</v>
      </c>
      <c r="T1242" s="89"/>
      <c r="U1242" s="26"/>
    </row>
    <row r="1243" spans="1:21" hidden="1" x14ac:dyDescent="0.25">
      <c r="A1243">
        <v>400531</v>
      </c>
      <c r="B1243" t="s">
        <v>1568</v>
      </c>
      <c r="C1243" t="s">
        <v>11997</v>
      </c>
      <c r="D1243">
        <v>4</v>
      </c>
      <c r="E1243" t="s">
        <v>1568</v>
      </c>
      <c r="G1243" s="3"/>
      <c r="L1243" s="3">
        <f t="shared" si="61"/>
        <v>0</v>
      </c>
      <c r="M1243" s="3"/>
      <c r="N1243" s="3">
        <f t="shared" si="60"/>
        <v>0</v>
      </c>
      <c r="R1243" s="89"/>
      <c r="S1243" s="89">
        <f>100%-Table34[[#This Row],[PDF_initial fee]]</f>
        <v>1</v>
      </c>
      <c r="T1243" s="89"/>
      <c r="U1243" s="26"/>
    </row>
    <row r="1244" spans="1:21" hidden="1" x14ac:dyDescent="0.25">
      <c r="A1244">
        <v>400533</v>
      </c>
      <c r="B1244" t="s">
        <v>1569</v>
      </c>
      <c r="C1244" t="s">
        <v>9912</v>
      </c>
      <c r="D1244">
        <v>1</v>
      </c>
      <c r="E1244" t="s">
        <v>1569</v>
      </c>
      <c r="G1244" s="3"/>
      <c r="H1244" s="21">
        <v>0</v>
      </c>
      <c r="I1244" s="21">
        <v>0</v>
      </c>
      <c r="J1244" s="21">
        <v>0</v>
      </c>
      <c r="K1244" s="21">
        <v>0</v>
      </c>
      <c r="L1244" s="3">
        <f t="shared" si="61"/>
        <v>0</v>
      </c>
      <c r="M1244" s="3"/>
      <c r="N1244" s="3">
        <f t="shared" si="60"/>
        <v>0</v>
      </c>
      <c r="R1244" s="89"/>
      <c r="S1244" s="89">
        <f>100%-Table34[[#This Row],[PDF_initial fee]]</f>
        <v>1</v>
      </c>
      <c r="T1244" s="89"/>
      <c r="U1244" s="26"/>
    </row>
    <row r="1245" spans="1:21" hidden="1" x14ac:dyDescent="0.25">
      <c r="A1245">
        <v>400536</v>
      </c>
      <c r="B1245" t="s">
        <v>1570</v>
      </c>
      <c r="C1245" t="s">
        <v>8604</v>
      </c>
      <c r="D1245">
        <v>2</v>
      </c>
      <c r="E1245" t="s">
        <v>1570</v>
      </c>
      <c r="G1245" s="3"/>
      <c r="H1245" s="21">
        <v>0</v>
      </c>
      <c r="I1245" s="21">
        <v>0</v>
      </c>
      <c r="J1245" s="21">
        <v>0</v>
      </c>
      <c r="K1245" s="21">
        <v>0</v>
      </c>
      <c r="L1245" s="3">
        <f t="shared" si="61"/>
        <v>0</v>
      </c>
      <c r="M1245" s="3"/>
      <c r="N1245" s="3">
        <f t="shared" si="60"/>
        <v>0</v>
      </c>
      <c r="R1245" s="89"/>
      <c r="S1245" s="89">
        <f>100%-Table34[[#This Row],[PDF_initial fee]]</f>
        <v>1</v>
      </c>
      <c r="T1245" s="89"/>
      <c r="U1245" s="26"/>
    </row>
    <row r="1246" spans="1:21" hidden="1" x14ac:dyDescent="0.25">
      <c r="A1246">
        <v>400566</v>
      </c>
      <c r="B1246" t="s">
        <v>1571</v>
      </c>
      <c r="C1246" t="s">
        <v>12654</v>
      </c>
      <c r="D1246">
        <v>1</v>
      </c>
      <c r="E1246" t="s">
        <v>1571</v>
      </c>
      <c r="G1246" s="3"/>
      <c r="H1246" s="21">
        <v>0</v>
      </c>
      <c r="I1246" s="21">
        <v>0</v>
      </c>
      <c r="J1246" s="21">
        <v>0</v>
      </c>
      <c r="K1246" s="21">
        <v>0</v>
      </c>
      <c r="L1246" s="3">
        <f t="shared" si="61"/>
        <v>0</v>
      </c>
      <c r="M1246" s="3"/>
      <c r="N1246" s="3">
        <f t="shared" si="60"/>
        <v>0</v>
      </c>
      <c r="R1246" s="89"/>
      <c r="S1246" s="89">
        <f>100%-Table34[[#This Row],[PDF_initial fee]]</f>
        <v>1</v>
      </c>
      <c r="T1246" s="89"/>
      <c r="U1246" s="26"/>
    </row>
    <row r="1247" spans="1:21" hidden="1" x14ac:dyDescent="0.25">
      <c r="A1247">
        <v>400603</v>
      </c>
      <c r="B1247" t="s">
        <v>1572</v>
      </c>
      <c r="C1247" t="s">
        <v>8203</v>
      </c>
      <c r="D1247">
        <v>1</v>
      </c>
      <c r="E1247" t="s">
        <v>1572</v>
      </c>
      <c r="G1247" s="3"/>
      <c r="H1247" s="21">
        <v>0</v>
      </c>
      <c r="I1247" s="21">
        <v>0</v>
      </c>
      <c r="J1247" s="21">
        <v>0</v>
      </c>
      <c r="K1247" s="21">
        <v>0</v>
      </c>
      <c r="L1247" s="3">
        <f t="shared" si="61"/>
        <v>0</v>
      </c>
      <c r="M1247" s="3"/>
      <c r="N1247" s="3">
        <f t="shared" si="60"/>
        <v>0</v>
      </c>
      <c r="R1247" s="89"/>
      <c r="S1247" s="89">
        <f>100%-Table34[[#This Row],[PDF_initial fee]]</f>
        <v>1</v>
      </c>
      <c r="T1247" s="89"/>
      <c r="U1247" s="26"/>
    </row>
    <row r="1248" spans="1:21" hidden="1" x14ac:dyDescent="0.25">
      <c r="A1248">
        <v>400658</v>
      </c>
      <c r="B1248" t="s">
        <v>1573</v>
      </c>
      <c r="C1248" t="s">
        <v>29839</v>
      </c>
      <c r="D1248">
        <v>3</v>
      </c>
      <c r="E1248" t="s">
        <v>1573</v>
      </c>
      <c r="G1248" s="3"/>
      <c r="H1248" s="3">
        <v>0</v>
      </c>
      <c r="I1248" s="3">
        <v>0</v>
      </c>
      <c r="J1248" s="3">
        <v>0</v>
      </c>
      <c r="K1248" s="3">
        <v>0</v>
      </c>
      <c r="L1248" s="3">
        <f t="shared" si="61"/>
        <v>0</v>
      </c>
      <c r="M1248" s="3"/>
      <c r="N1248" s="3">
        <f t="shared" si="60"/>
        <v>0</v>
      </c>
      <c r="R1248" s="89"/>
      <c r="S1248" s="89">
        <f>100%-Table34[[#This Row],[PDF_initial fee]]</f>
        <v>1</v>
      </c>
      <c r="T1248" s="89"/>
      <c r="U1248" s="26"/>
    </row>
    <row r="1249" spans="1:27" hidden="1" x14ac:dyDescent="0.25">
      <c r="A1249">
        <v>400804</v>
      </c>
      <c r="B1249" t="s">
        <v>1574</v>
      </c>
      <c r="C1249" t="s">
        <v>6958</v>
      </c>
      <c r="D1249">
        <v>1</v>
      </c>
      <c r="E1249" t="s">
        <v>1574</v>
      </c>
      <c r="F1249" t="s">
        <v>6958</v>
      </c>
      <c r="G1249" s="3"/>
      <c r="H1249" s="21">
        <v>0</v>
      </c>
      <c r="I1249" s="21">
        <v>0</v>
      </c>
      <c r="J1249" s="21">
        <v>0</v>
      </c>
      <c r="K1249" s="21">
        <v>0</v>
      </c>
      <c r="L1249" s="3">
        <f t="shared" si="61"/>
        <v>0</v>
      </c>
      <c r="M1249" s="3"/>
      <c r="N1249" s="3">
        <f t="shared" si="60"/>
        <v>0</v>
      </c>
      <c r="R1249" s="89"/>
      <c r="S1249" s="89">
        <f>100%-Table34[[#This Row],[PDF_initial fee]]</f>
        <v>1</v>
      </c>
      <c r="T1249" s="89"/>
      <c r="U1249" s="26"/>
    </row>
    <row r="1250" spans="1:27" hidden="1" x14ac:dyDescent="0.25">
      <c r="A1250">
        <v>400805</v>
      </c>
      <c r="B1250" t="s">
        <v>1575</v>
      </c>
      <c r="C1250" t="s">
        <v>10062</v>
      </c>
      <c r="D1250">
        <v>1</v>
      </c>
      <c r="E1250" t="s">
        <v>1575</v>
      </c>
      <c r="G1250" s="3"/>
      <c r="H1250" s="21">
        <v>0</v>
      </c>
      <c r="I1250" s="21">
        <v>0</v>
      </c>
      <c r="J1250" s="21">
        <v>0</v>
      </c>
      <c r="K1250" s="21">
        <v>0</v>
      </c>
      <c r="L1250" s="3">
        <f t="shared" si="61"/>
        <v>0</v>
      </c>
      <c r="M1250" s="3"/>
      <c r="N1250" s="3">
        <f t="shared" si="60"/>
        <v>0</v>
      </c>
      <c r="R1250" s="89"/>
      <c r="S1250" s="89">
        <f>100%-Table34[[#This Row],[PDF_initial fee]]</f>
        <v>1</v>
      </c>
      <c r="T1250" s="89"/>
      <c r="U1250" s="26"/>
    </row>
    <row r="1251" spans="1:27" hidden="1" x14ac:dyDescent="0.25">
      <c r="A1251">
        <v>400806</v>
      </c>
      <c r="B1251" t="s">
        <v>1576</v>
      </c>
      <c r="C1251" t="s">
        <v>6958</v>
      </c>
      <c r="D1251">
        <v>1</v>
      </c>
      <c r="E1251" t="s">
        <v>1576</v>
      </c>
      <c r="F1251" t="s">
        <v>6958</v>
      </c>
      <c r="G1251" s="3"/>
      <c r="L1251" s="3">
        <f t="shared" si="61"/>
        <v>0</v>
      </c>
      <c r="M1251" s="3"/>
      <c r="N1251" s="3">
        <f t="shared" si="60"/>
        <v>0</v>
      </c>
      <c r="R1251" s="89"/>
      <c r="S1251" s="89">
        <f>100%-Table34[[#This Row],[PDF_initial fee]]</f>
        <v>1</v>
      </c>
      <c r="T1251" s="89"/>
      <c r="U1251" s="26"/>
    </row>
    <row r="1252" spans="1:27" hidden="1" x14ac:dyDescent="0.25">
      <c r="A1252">
        <v>400853</v>
      </c>
      <c r="B1252" t="s">
        <v>1577</v>
      </c>
      <c r="C1252" t="s">
        <v>6958</v>
      </c>
      <c r="D1252">
        <v>1</v>
      </c>
      <c r="E1252" t="s">
        <v>1577</v>
      </c>
      <c r="F1252" t="s">
        <v>6958</v>
      </c>
      <c r="G1252" s="3"/>
      <c r="H1252" s="21">
        <v>0</v>
      </c>
      <c r="I1252" s="21">
        <v>0</v>
      </c>
      <c r="J1252" s="21">
        <v>0</v>
      </c>
      <c r="K1252" s="21">
        <v>0</v>
      </c>
      <c r="L1252" s="3">
        <f t="shared" si="61"/>
        <v>0</v>
      </c>
      <c r="M1252" s="3"/>
      <c r="N1252" s="3">
        <f t="shared" si="60"/>
        <v>0</v>
      </c>
      <c r="R1252" s="89"/>
      <c r="S1252" s="89">
        <f>100%-Table34[[#This Row],[PDF_initial fee]]</f>
        <v>1</v>
      </c>
      <c r="T1252" s="89"/>
      <c r="U1252" s="26"/>
    </row>
    <row r="1253" spans="1:27" hidden="1" x14ac:dyDescent="0.25">
      <c r="A1253">
        <v>400865</v>
      </c>
      <c r="B1253" t="s">
        <v>1578</v>
      </c>
      <c r="C1253" t="s">
        <v>6958</v>
      </c>
      <c r="D1253">
        <v>0</v>
      </c>
      <c r="E1253" t="s">
        <v>1578</v>
      </c>
      <c r="F1253" t="s">
        <v>6958</v>
      </c>
      <c r="G1253" s="3"/>
      <c r="H1253" s="21">
        <v>0</v>
      </c>
      <c r="I1253" s="21">
        <v>0</v>
      </c>
      <c r="J1253" s="21">
        <v>0</v>
      </c>
      <c r="K1253" s="21">
        <v>0</v>
      </c>
      <c r="L1253" s="3">
        <f t="shared" si="61"/>
        <v>0</v>
      </c>
      <c r="M1253" s="3"/>
      <c r="N1253" s="3">
        <f t="shared" si="60"/>
        <v>0</v>
      </c>
      <c r="O1253" s="21"/>
      <c r="R1253" s="89"/>
      <c r="S1253" s="89">
        <f>100%-Table34[[#This Row],[PDF_initial fee]]</f>
        <v>1</v>
      </c>
      <c r="T1253" s="89"/>
      <c r="U1253" s="26"/>
    </row>
    <row r="1254" spans="1:27" hidden="1" x14ac:dyDescent="0.25">
      <c r="A1254">
        <v>400992</v>
      </c>
      <c r="B1254" t="s">
        <v>1579</v>
      </c>
      <c r="C1254" t="s">
        <v>6958</v>
      </c>
      <c r="D1254">
        <v>1</v>
      </c>
      <c r="E1254" t="s">
        <v>1579</v>
      </c>
      <c r="F1254" t="s">
        <v>6958</v>
      </c>
      <c r="G1254" s="3"/>
      <c r="H1254" s="21">
        <v>0</v>
      </c>
      <c r="I1254" s="21">
        <v>0</v>
      </c>
      <c r="J1254" s="21">
        <v>0</v>
      </c>
      <c r="K1254" s="21">
        <v>0</v>
      </c>
      <c r="L1254" s="3">
        <f t="shared" si="61"/>
        <v>0</v>
      </c>
      <c r="M1254" s="3"/>
      <c r="N1254" s="3">
        <f t="shared" si="60"/>
        <v>0</v>
      </c>
      <c r="R1254" s="89"/>
      <c r="S1254" s="89">
        <f>100%-Table34[[#This Row],[PDF_initial fee]]</f>
        <v>1</v>
      </c>
      <c r="T1254" s="89"/>
      <c r="U1254" s="26"/>
    </row>
    <row r="1255" spans="1:27" hidden="1" x14ac:dyDescent="0.25">
      <c r="A1255">
        <v>401000</v>
      </c>
      <c r="B1255" t="s">
        <v>1580</v>
      </c>
      <c r="C1255" t="s">
        <v>29840</v>
      </c>
      <c r="D1255">
        <v>2</v>
      </c>
      <c r="E1255" t="s">
        <v>1580</v>
      </c>
      <c r="G1255" s="3"/>
      <c r="H1255" s="21">
        <v>0</v>
      </c>
      <c r="I1255" s="21">
        <v>0</v>
      </c>
      <c r="J1255" s="21">
        <v>0</v>
      </c>
      <c r="K1255" s="21">
        <v>0</v>
      </c>
      <c r="L1255" s="3">
        <f t="shared" ref="L1255:L1276" si="62">SUM(H1255:K1255)</f>
        <v>0</v>
      </c>
      <c r="M1255" s="3"/>
      <c r="N1255" s="3">
        <f t="shared" si="60"/>
        <v>0</v>
      </c>
      <c r="O1255" s="21"/>
      <c r="R1255" s="89"/>
      <c r="S1255" s="89">
        <f>100%-Table34[[#This Row],[PDF_initial fee]]</f>
        <v>1</v>
      </c>
      <c r="T1255" s="89"/>
      <c r="U1255" s="26"/>
    </row>
    <row r="1256" spans="1:27" hidden="1" x14ac:dyDescent="0.25">
      <c r="A1256">
        <v>401022</v>
      </c>
      <c r="B1256" t="s">
        <v>1581</v>
      </c>
      <c r="C1256" t="s">
        <v>10013</v>
      </c>
      <c r="D1256">
        <v>2</v>
      </c>
      <c r="E1256" t="s">
        <v>1581</v>
      </c>
      <c r="G1256" s="3"/>
      <c r="H1256" s="21">
        <v>0</v>
      </c>
      <c r="I1256" s="21">
        <v>0</v>
      </c>
      <c r="J1256" s="21">
        <v>0</v>
      </c>
      <c r="K1256" s="21">
        <v>0</v>
      </c>
      <c r="L1256" s="3">
        <f t="shared" si="62"/>
        <v>0</v>
      </c>
      <c r="M1256" s="3"/>
      <c r="N1256" s="3">
        <f t="shared" si="60"/>
        <v>0</v>
      </c>
      <c r="R1256" s="89"/>
      <c r="S1256" s="89">
        <f>100%-Table34[[#This Row],[PDF_initial fee]]</f>
        <v>1</v>
      </c>
      <c r="T1256" s="89"/>
      <c r="U1256" s="26"/>
    </row>
    <row r="1257" spans="1:27" hidden="1" x14ac:dyDescent="0.25">
      <c r="A1257">
        <v>401041</v>
      </c>
      <c r="B1257" t="s">
        <v>1582</v>
      </c>
      <c r="C1257" t="s">
        <v>12415</v>
      </c>
      <c r="D1257">
        <v>3</v>
      </c>
      <c r="E1257" t="s">
        <v>1582</v>
      </c>
      <c r="G1257" s="3"/>
      <c r="H1257" s="21">
        <v>0</v>
      </c>
      <c r="I1257" s="21">
        <v>0</v>
      </c>
      <c r="J1257" s="21">
        <v>0</v>
      </c>
      <c r="K1257" s="21">
        <v>0</v>
      </c>
      <c r="L1257" s="3">
        <f t="shared" si="62"/>
        <v>0</v>
      </c>
      <c r="M1257" s="3"/>
      <c r="N1257" s="3">
        <f t="shared" si="60"/>
        <v>0</v>
      </c>
      <c r="R1257" s="89"/>
      <c r="S1257" s="89">
        <f>100%-Table34[[#This Row],[PDF_initial fee]]</f>
        <v>1</v>
      </c>
      <c r="T1257" s="89"/>
      <c r="U1257" s="26"/>
    </row>
    <row r="1258" spans="1:27" hidden="1" x14ac:dyDescent="0.25">
      <c r="A1258">
        <v>401042</v>
      </c>
      <c r="B1258" t="s">
        <v>1583</v>
      </c>
      <c r="C1258" t="s">
        <v>29841</v>
      </c>
      <c r="D1258">
        <v>0</v>
      </c>
      <c r="E1258" t="s">
        <v>1583</v>
      </c>
      <c r="F1258" t="s">
        <v>29136</v>
      </c>
      <c r="G1258" s="3"/>
      <c r="H1258" s="21">
        <v>0</v>
      </c>
      <c r="I1258" s="3">
        <v>0</v>
      </c>
      <c r="J1258" s="3">
        <v>0</v>
      </c>
      <c r="K1258">
        <v>0</v>
      </c>
      <c r="L1258" s="3">
        <f t="shared" si="62"/>
        <v>0</v>
      </c>
      <c r="M1258" s="3"/>
      <c r="N1258" s="3">
        <f t="shared" si="60"/>
        <v>0</v>
      </c>
      <c r="R1258" s="89"/>
      <c r="S1258" s="89">
        <f>100%-Table34[[#This Row],[PDF_initial fee]]</f>
        <v>1</v>
      </c>
      <c r="T1258" s="89"/>
      <c r="U1258" s="26"/>
    </row>
    <row r="1259" spans="1:27" hidden="1" x14ac:dyDescent="0.25">
      <c r="A1259">
        <v>401049</v>
      </c>
      <c r="B1259" t="s">
        <v>1584</v>
      </c>
      <c r="C1259" t="s">
        <v>12396</v>
      </c>
      <c r="D1259">
        <v>2</v>
      </c>
      <c r="E1259" t="s">
        <v>1584</v>
      </c>
      <c r="G1259" s="3"/>
      <c r="H1259" s="21">
        <v>0</v>
      </c>
      <c r="I1259" s="21">
        <v>0</v>
      </c>
      <c r="J1259" s="21">
        <v>0</v>
      </c>
      <c r="K1259" s="21">
        <v>0</v>
      </c>
      <c r="L1259" s="3">
        <f t="shared" si="62"/>
        <v>0</v>
      </c>
      <c r="M1259" s="3"/>
      <c r="N1259" s="3">
        <f t="shared" si="60"/>
        <v>0</v>
      </c>
      <c r="R1259" s="89"/>
      <c r="S1259" s="89">
        <f>100%-Table34[[#This Row],[PDF_initial fee]]</f>
        <v>1</v>
      </c>
      <c r="T1259" s="89"/>
      <c r="U1259" s="26"/>
    </row>
    <row r="1260" spans="1:27" hidden="1" x14ac:dyDescent="0.25">
      <c r="A1260">
        <v>401059</v>
      </c>
      <c r="B1260" t="s">
        <v>1585</v>
      </c>
      <c r="C1260" t="s">
        <v>6958</v>
      </c>
      <c r="D1260">
        <v>1</v>
      </c>
      <c r="E1260" t="s">
        <v>1585</v>
      </c>
      <c r="F1260" t="s">
        <v>6958</v>
      </c>
      <c r="G1260" s="3"/>
      <c r="H1260" s="21">
        <v>0</v>
      </c>
      <c r="I1260" s="21">
        <v>0</v>
      </c>
      <c r="J1260" s="21">
        <v>0</v>
      </c>
      <c r="K1260" s="21">
        <v>0</v>
      </c>
      <c r="L1260" s="3">
        <f t="shared" si="62"/>
        <v>0</v>
      </c>
      <c r="M1260" s="3"/>
      <c r="N1260" s="3">
        <f t="shared" si="60"/>
        <v>0</v>
      </c>
      <c r="R1260" s="89"/>
      <c r="S1260" s="89">
        <f>100%-Table34[[#This Row],[PDF_initial fee]]</f>
        <v>1</v>
      </c>
      <c r="T1260" s="89"/>
      <c r="U1260" s="26"/>
    </row>
    <row r="1261" spans="1:27" hidden="1" x14ac:dyDescent="0.25">
      <c r="A1261">
        <v>401101</v>
      </c>
      <c r="B1261" t="s">
        <v>1586</v>
      </c>
      <c r="C1261" t="s">
        <v>9325</v>
      </c>
      <c r="D1261">
        <v>3</v>
      </c>
      <c r="E1261" t="s">
        <v>1586</v>
      </c>
      <c r="G1261" s="3"/>
      <c r="L1261" s="3">
        <f t="shared" si="62"/>
        <v>0</v>
      </c>
      <c r="M1261" s="3"/>
      <c r="N1261" s="3">
        <f t="shared" si="60"/>
        <v>0</v>
      </c>
      <c r="R1261" s="89"/>
      <c r="S1261" s="89">
        <f>100%-Table34[[#This Row],[PDF_initial fee]]</f>
        <v>1</v>
      </c>
      <c r="T1261" s="89"/>
      <c r="U1261" s="26"/>
    </row>
    <row r="1262" spans="1:27" hidden="1" x14ac:dyDescent="0.25">
      <c r="A1262">
        <v>401135</v>
      </c>
      <c r="B1262" t="s">
        <v>1588</v>
      </c>
      <c r="C1262" t="s">
        <v>6988</v>
      </c>
      <c r="D1262">
        <v>31</v>
      </c>
      <c r="E1262" t="s">
        <v>1588</v>
      </c>
      <c r="F1262" t="s">
        <v>3</v>
      </c>
      <c r="G1262" s="3"/>
      <c r="H1262" s="21">
        <v>0</v>
      </c>
      <c r="I1262" s="21">
        <v>0</v>
      </c>
      <c r="J1262" s="21">
        <v>0</v>
      </c>
      <c r="K1262" s="21">
        <v>0</v>
      </c>
      <c r="L1262" s="3">
        <f t="shared" si="62"/>
        <v>0</v>
      </c>
      <c r="M1262" s="3"/>
      <c r="N1262" s="3">
        <f t="shared" si="60"/>
        <v>0</v>
      </c>
      <c r="R1262" s="89"/>
      <c r="S1262" s="89">
        <f>100%-Table34[[#This Row],[PDF_initial fee]]</f>
        <v>1</v>
      </c>
      <c r="T1262" s="89"/>
      <c r="U1262" s="26"/>
    </row>
    <row r="1263" spans="1:27" x14ac:dyDescent="0.25">
      <c r="A1263">
        <v>231843</v>
      </c>
      <c r="B1263" t="s">
        <v>136</v>
      </c>
      <c r="C1263" s="1" t="s">
        <v>29842</v>
      </c>
      <c r="D1263">
        <v>5</v>
      </c>
      <c r="E1263" t="s">
        <v>136</v>
      </c>
      <c r="F1263" t="s">
        <v>6</v>
      </c>
      <c r="G1263" s="3">
        <v>9.1000000000000004E-3</v>
      </c>
      <c r="H1263" s="3">
        <v>0.02</v>
      </c>
      <c r="I1263" s="3">
        <v>7.4999999999999997E-3</v>
      </c>
      <c r="J1263" s="6">
        <v>0</v>
      </c>
      <c r="K1263" s="6">
        <v>0</v>
      </c>
      <c r="L1263" s="3">
        <f t="shared" si="62"/>
        <v>2.75E-2</v>
      </c>
      <c r="M1263" s="3"/>
      <c r="N1263" s="3">
        <f t="shared" si="60"/>
        <v>3.6600000000000001E-2</v>
      </c>
      <c r="O1263" t="s">
        <v>29843</v>
      </c>
      <c r="P1263" s="1" t="s">
        <v>29821</v>
      </c>
      <c r="Q1263" s="1" t="s">
        <v>29822</v>
      </c>
      <c r="R1263" s="89">
        <v>0.2828</v>
      </c>
      <c r="S1263" s="89">
        <f>100%-Table34[[#This Row],[InitialFee]]</f>
        <v>0.98</v>
      </c>
      <c r="T1263" s="89">
        <f>(1-Table34[[#This Row],[OngoingFee (plus Platform fee)]])^5</f>
        <v>0.9630582970465823</v>
      </c>
      <c r="U1263" s="26">
        <f>(1+Table34[[#This Row],[Net 5yrs return (mostly up to 28th of Feb 2026)]])*Table34[[#This Row],[Investment after initial charge]]*Table34[[#This Row],[Cummulative 5yrs ongoing advice charge]]-1</f>
        <v>0.21070295978232845</v>
      </c>
      <c r="V1263" s="10">
        <f>21895536+2032833</f>
        <v>23928369</v>
      </c>
      <c r="W1263" s="10" t="s">
        <v>29051</v>
      </c>
      <c r="X1263" s="10">
        <v>21891619</v>
      </c>
      <c r="Y1263" s="30">
        <f>X1263/V1263</f>
        <v>0.91488136947403309</v>
      </c>
      <c r="AA1263" s="1" t="s">
        <v>29823</v>
      </c>
    </row>
    <row r="1264" spans="1:27" hidden="1" x14ac:dyDescent="0.25">
      <c r="A1264">
        <v>401223</v>
      </c>
      <c r="B1264" t="s">
        <v>1589</v>
      </c>
      <c r="C1264" t="s">
        <v>9565</v>
      </c>
      <c r="D1264">
        <v>2</v>
      </c>
      <c r="E1264" t="s">
        <v>1589</v>
      </c>
      <c r="G1264" s="3"/>
      <c r="H1264" s="21">
        <v>0</v>
      </c>
      <c r="I1264" s="21">
        <v>0</v>
      </c>
      <c r="J1264" s="21">
        <v>0</v>
      </c>
      <c r="K1264" s="21">
        <v>0</v>
      </c>
      <c r="L1264" s="3">
        <f t="shared" si="62"/>
        <v>0</v>
      </c>
      <c r="M1264" s="3"/>
      <c r="N1264" s="3">
        <f t="shared" si="60"/>
        <v>0</v>
      </c>
      <c r="R1264" s="89"/>
      <c r="S1264" s="89">
        <f>100%-Table34[[#This Row],[PDF_initial fee]]</f>
        <v>1</v>
      </c>
      <c r="T1264" s="89"/>
      <c r="U1264" s="26"/>
    </row>
    <row r="1265" spans="1:25" hidden="1" x14ac:dyDescent="0.25">
      <c r="A1265">
        <v>401226</v>
      </c>
      <c r="B1265" t="s">
        <v>1590</v>
      </c>
      <c r="C1265" t="s">
        <v>7628</v>
      </c>
      <c r="D1265">
        <v>2</v>
      </c>
      <c r="E1265" t="s">
        <v>1590</v>
      </c>
      <c r="G1265" s="3"/>
      <c r="H1265" s="21">
        <v>0</v>
      </c>
      <c r="I1265" s="21">
        <v>0</v>
      </c>
      <c r="J1265" s="21">
        <v>0</v>
      </c>
      <c r="K1265" s="21">
        <v>0</v>
      </c>
      <c r="L1265" s="3">
        <f t="shared" si="62"/>
        <v>0</v>
      </c>
      <c r="M1265" s="3"/>
      <c r="N1265" s="3">
        <f t="shared" si="60"/>
        <v>0</v>
      </c>
      <c r="R1265" s="89"/>
      <c r="S1265" s="89">
        <f>100%-Table34[[#This Row],[PDF_initial fee]]</f>
        <v>1</v>
      </c>
      <c r="T1265" s="89"/>
      <c r="U1265" s="26"/>
    </row>
    <row r="1266" spans="1:25" hidden="1" x14ac:dyDescent="0.25">
      <c r="A1266">
        <v>401283</v>
      </c>
      <c r="B1266" t="s">
        <v>1591</v>
      </c>
      <c r="C1266" t="s">
        <v>11165</v>
      </c>
      <c r="D1266">
        <v>5</v>
      </c>
      <c r="E1266" t="s">
        <v>1591</v>
      </c>
      <c r="G1266" s="3"/>
      <c r="L1266" s="3">
        <f t="shared" si="62"/>
        <v>0</v>
      </c>
      <c r="M1266" s="3"/>
      <c r="N1266" s="3">
        <f t="shared" si="60"/>
        <v>0</v>
      </c>
      <c r="R1266" s="89"/>
      <c r="S1266" s="89">
        <f>100%-Table34[[#This Row],[PDF_initial fee]]</f>
        <v>1</v>
      </c>
      <c r="T1266" s="89"/>
      <c r="U1266" s="26"/>
    </row>
    <row r="1267" spans="1:25" hidden="1" x14ac:dyDescent="0.25">
      <c r="A1267">
        <v>401295</v>
      </c>
      <c r="B1267" t="s">
        <v>1592</v>
      </c>
      <c r="C1267" t="s">
        <v>6958</v>
      </c>
      <c r="D1267">
        <v>3</v>
      </c>
      <c r="E1267" t="s">
        <v>1592</v>
      </c>
      <c r="F1267" t="s">
        <v>6958</v>
      </c>
      <c r="G1267" s="3"/>
      <c r="H1267" s="21">
        <v>0</v>
      </c>
      <c r="I1267" s="21">
        <v>0</v>
      </c>
      <c r="J1267" s="21">
        <v>0</v>
      </c>
      <c r="K1267" s="21">
        <v>0</v>
      </c>
      <c r="L1267" s="3">
        <f t="shared" si="62"/>
        <v>0</v>
      </c>
      <c r="M1267" s="3"/>
      <c r="N1267" s="3">
        <f t="shared" si="60"/>
        <v>0</v>
      </c>
      <c r="R1267" s="89"/>
      <c r="S1267" s="89">
        <f>100%-Table34[[#This Row],[PDF_initial fee]]</f>
        <v>1</v>
      </c>
      <c r="T1267" s="89"/>
      <c r="U1267" s="26"/>
    </row>
    <row r="1268" spans="1:25" hidden="1" x14ac:dyDescent="0.25">
      <c r="A1268">
        <v>401304</v>
      </c>
      <c r="B1268" t="s">
        <v>1593</v>
      </c>
      <c r="C1268" t="s">
        <v>6958</v>
      </c>
      <c r="D1268">
        <v>1</v>
      </c>
      <c r="E1268" t="s">
        <v>1593</v>
      </c>
      <c r="F1268" t="s">
        <v>6958</v>
      </c>
      <c r="G1268" s="3"/>
      <c r="H1268" s="21">
        <v>0</v>
      </c>
      <c r="I1268" s="21">
        <v>0</v>
      </c>
      <c r="J1268" s="21">
        <v>0</v>
      </c>
      <c r="K1268" s="21">
        <v>0</v>
      </c>
      <c r="L1268" s="3">
        <f t="shared" si="62"/>
        <v>0</v>
      </c>
      <c r="M1268" s="3"/>
      <c r="N1268" s="3">
        <f t="shared" si="60"/>
        <v>0</v>
      </c>
      <c r="R1268" s="89"/>
      <c r="S1268" s="89">
        <f>100%-Table34[[#This Row],[PDF_initial fee]]</f>
        <v>1</v>
      </c>
      <c r="T1268" s="89"/>
      <c r="U1268" s="26"/>
    </row>
    <row r="1269" spans="1:25" hidden="1" x14ac:dyDescent="0.25">
      <c r="A1269">
        <v>401315</v>
      </c>
      <c r="B1269" t="s">
        <v>1594</v>
      </c>
      <c r="C1269" t="s">
        <v>8171</v>
      </c>
      <c r="D1269">
        <v>1</v>
      </c>
      <c r="E1269" t="s">
        <v>1594</v>
      </c>
      <c r="G1269" s="3"/>
      <c r="H1269" s="21">
        <v>0</v>
      </c>
      <c r="I1269" s="21">
        <v>0</v>
      </c>
      <c r="J1269" s="21">
        <v>0</v>
      </c>
      <c r="K1269" s="21">
        <v>0</v>
      </c>
      <c r="L1269" s="3">
        <f t="shared" si="62"/>
        <v>0</v>
      </c>
      <c r="M1269" s="3"/>
      <c r="N1269" s="3">
        <f t="shared" si="60"/>
        <v>0</v>
      </c>
      <c r="R1269" s="89"/>
      <c r="S1269" s="89">
        <f>100%-Table34[[#This Row],[PDF_initial fee]]</f>
        <v>1</v>
      </c>
      <c r="T1269" s="89"/>
      <c r="U1269" s="26"/>
    </row>
    <row r="1270" spans="1:25" hidden="1" x14ac:dyDescent="0.25">
      <c r="A1270">
        <v>401319</v>
      </c>
      <c r="B1270" t="s">
        <v>1595</v>
      </c>
      <c r="C1270" t="s">
        <v>29844</v>
      </c>
      <c r="D1270">
        <v>2</v>
      </c>
      <c r="E1270" t="s">
        <v>1595</v>
      </c>
      <c r="G1270" s="3"/>
      <c r="H1270" s="3">
        <v>0</v>
      </c>
      <c r="I1270" s="3">
        <v>0</v>
      </c>
      <c r="J1270" s="3">
        <v>0</v>
      </c>
      <c r="K1270" s="3">
        <v>0</v>
      </c>
      <c r="L1270" s="3">
        <f t="shared" si="62"/>
        <v>0</v>
      </c>
      <c r="M1270" s="3"/>
      <c r="N1270" s="3">
        <f t="shared" si="60"/>
        <v>0</v>
      </c>
      <c r="R1270" s="89"/>
      <c r="S1270" s="89">
        <f>100%-Table34[[#This Row],[PDF_initial fee]]</f>
        <v>1</v>
      </c>
      <c r="T1270" s="89"/>
      <c r="U1270" s="26"/>
    </row>
    <row r="1271" spans="1:25" hidden="1" x14ac:dyDescent="0.25">
      <c r="A1271">
        <v>401320</v>
      </c>
      <c r="B1271" t="s">
        <v>1596</v>
      </c>
      <c r="C1271" t="s">
        <v>11457</v>
      </c>
      <c r="D1271">
        <v>2</v>
      </c>
      <c r="E1271" t="s">
        <v>1596</v>
      </c>
      <c r="G1271" s="3"/>
      <c r="H1271" s="21">
        <v>0</v>
      </c>
      <c r="I1271" s="21">
        <v>0</v>
      </c>
      <c r="J1271" s="21">
        <v>0</v>
      </c>
      <c r="K1271" s="21">
        <v>0</v>
      </c>
      <c r="L1271" s="3">
        <f t="shared" si="62"/>
        <v>0</v>
      </c>
      <c r="M1271" s="3"/>
      <c r="N1271" s="3">
        <f t="shared" si="60"/>
        <v>0</v>
      </c>
      <c r="R1271" s="89"/>
      <c r="S1271" s="89">
        <f>100%-Table34[[#This Row],[PDF_initial fee]]</f>
        <v>1</v>
      </c>
      <c r="T1271" s="89"/>
      <c r="U1271" s="26"/>
    </row>
    <row r="1272" spans="1:25" hidden="1" x14ac:dyDescent="0.25">
      <c r="A1272">
        <v>401372</v>
      </c>
      <c r="B1272" t="s">
        <v>1597</v>
      </c>
      <c r="C1272" t="s">
        <v>11623</v>
      </c>
      <c r="D1272">
        <v>5</v>
      </c>
      <c r="E1272" t="s">
        <v>1597</v>
      </c>
      <c r="G1272" s="3"/>
      <c r="L1272" s="3">
        <f t="shared" si="62"/>
        <v>0</v>
      </c>
      <c r="M1272" s="3"/>
      <c r="N1272" s="3">
        <f t="shared" si="60"/>
        <v>0</v>
      </c>
      <c r="R1272" s="89"/>
      <c r="S1272" s="89">
        <f>100%-Table34[[#This Row],[PDF_initial fee]]</f>
        <v>1</v>
      </c>
      <c r="T1272" s="89"/>
      <c r="U1272" s="26"/>
    </row>
    <row r="1273" spans="1:25" hidden="1" x14ac:dyDescent="0.25">
      <c r="A1273">
        <v>401373</v>
      </c>
      <c r="B1273" t="s">
        <v>1598</v>
      </c>
      <c r="C1273" t="s">
        <v>6958</v>
      </c>
      <c r="D1273">
        <v>2</v>
      </c>
      <c r="E1273" t="s">
        <v>1598</v>
      </c>
      <c r="F1273" t="s">
        <v>6958</v>
      </c>
      <c r="G1273" s="3"/>
      <c r="H1273" s="21">
        <v>0</v>
      </c>
      <c r="I1273" s="21">
        <v>0</v>
      </c>
      <c r="J1273" s="21">
        <v>0</v>
      </c>
      <c r="K1273" s="21">
        <v>0</v>
      </c>
      <c r="L1273" s="3">
        <f t="shared" si="62"/>
        <v>0</v>
      </c>
      <c r="M1273" s="3"/>
      <c r="N1273" s="3">
        <f t="shared" si="60"/>
        <v>0</v>
      </c>
      <c r="O1273" s="21"/>
      <c r="R1273" s="89"/>
      <c r="S1273" s="89">
        <f>100%-Table34[[#This Row],[PDF_initial fee]]</f>
        <v>1</v>
      </c>
      <c r="T1273" s="89"/>
      <c r="U1273" s="26"/>
    </row>
    <row r="1274" spans="1:25" hidden="1" x14ac:dyDescent="0.25">
      <c r="A1274">
        <v>401375</v>
      </c>
      <c r="B1274" t="s">
        <v>1599</v>
      </c>
      <c r="C1274" t="s">
        <v>6958</v>
      </c>
      <c r="D1274">
        <v>1</v>
      </c>
      <c r="E1274" t="s">
        <v>1599</v>
      </c>
      <c r="F1274" t="s">
        <v>6958</v>
      </c>
      <c r="G1274" s="3"/>
      <c r="L1274" s="3">
        <f t="shared" si="62"/>
        <v>0</v>
      </c>
      <c r="M1274" s="3"/>
      <c r="N1274" s="3">
        <f t="shared" si="60"/>
        <v>0</v>
      </c>
      <c r="R1274" s="89"/>
      <c r="S1274" s="89">
        <f>100%-Table34[[#This Row],[PDF_initial fee]]</f>
        <v>1</v>
      </c>
      <c r="T1274" s="89"/>
      <c r="U1274" s="26"/>
    </row>
    <row r="1275" spans="1:25" hidden="1" x14ac:dyDescent="0.25">
      <c r="A1275">
        <v>401398</v>
      </c>
      <c r="B1275" t="s">
        <v>1600</v>
      </c>
      <c r="C1275" t="s">
        <v>8874</v>
      </c>
      <c r="D1275">
        <v>6</v>
      </c>
      <c r="E1275" t="s">
        <v>1600</v>
      </c>
      <c r="G1275" s="3"/>
      <c r="H1275" s="21">
        <v>0</v>
      </c>
      <c r="I1275" s="21">
        <v>0</v>
      </c>
      <c r="J1275" s="21">
        <v>0</v>
      </c>
      <c r="K1275" s="21">
        <v>0</v>
      </c>
      <c r="L1275" s="3">
        <f t="shared" si="62"/>
        <v>0</v>
      </c>
      <c r="M1275" s="3"/>
      <c r="N1275" s="3">
        <f t="shared" si="60"/>
        <v>0</v>
      </c>
      <c r="R1275" s="89"/>
      <c r="S1275" s="89">
        <f>100%-Table34[[#This Row],[PDF_initial fee]]</f>
        <v>1</v>
      </c>
      <c r="T1275" s="89"/>
      <c r="U1275" s="26"/>
    </row>
    <row r="1276" spans="1:25" hidden="1" x14ac:dyDescent="0.25">
      <c r="A1276">
        <v>401461</v>
      </c>
      <c r="B1276" t="s">
        <v>1601</v>
      </c>
      <c r="C1276" t="s">
        <v>29845</v>
      </c>
      <c r="D1276">
        <v>1</v>
      </c>
      <c r="E1276" t="s">
        <v>1601</v>
      </c>
      <c r="G1276" s="3"/>
      <c r="H1276" s="3">
        <v>0</v>
      </c>
      <c r="I1276" s="3">
        <v>0</v>
      </c>
      <c r="J1276" s="3">
        <v>0</v>
      </c>
      <c r="K1276" s="3">
        <v>0</v>
      </c>
      <c r="L1276" s="3">
        <f t="shared" si="62"/>
        <v>0</v>
      </c>
      <c r="M1276" s="3"/>
      <c r="N1276" s="3">
        <f t="shared" si="60"/>
        <v>0</v>
      </c>
      <c r="R1276" s="89"/>
      <c r="S1276" s="89">
        <f>100%-Table34[[#This Row],[PDF_initial fee]]</f>
        <v>1</v>
      </c>
      <c r="T1276" s="89"/>
      <c r="U1276" s="26"/>
    </row>
    <row r="1277" spans="1:25" hidden="1" x14ac:dyDescent="0.25">
      <c r="A1277">
        <v>401477</v>
      </c>
      <c r="B1277" t="s">
        <v>1602</v>
      </c>
      <c r="C1277" t="s">
        <v>29846</v>
      </c>
      <c r="D1277" s="58">
        <v>0</v>
      </c>
      <c r="E1277" t="s">
        <v>1602</v>
      </c>
      <c r="F1277" t="s">
        <v>29847</v>
      </c>
      <c r="G1277" s="3">
        <v>2.2000000000000001E-3</v>
      </c>
      <c r="H1277" s="3">
        <v>2.5000000000000001E-2</v>
      </c>
      <c r="I1277" s="3">
        <v>0.01</v>
      </c>
      <c r="J1277" s="6">
        <v>0</v>
      </c>
      <c r="K1277" s="6">
        <v>0</v>
      </c>
      <c r="L1277" s="3">
        <v>0</v>
      </c>
      <c r="M1277" s="3"/>
      <c r="N1277" s="3">
        <v>0</v>
      </c>
      <c r="O1277" s="64" t="s">
        <v>29848</v>
      </c>
      <c r="P1277" s="65" t="s">
        <v>29849</v>
      </c>
      <c r="Q1277" s="65" t="s">
        <v>29849</v>
      </c>
      <c r="R1277" s="89"/>
      <c r="S1277" s="89">
        <f>100%-Table34[[#This Row],[PDF_initial fee]]</f>
        <v>1</v>
      </c>
      <c r="T1277" s="89"/>
      <c r="U1277" s="26"/>
      <c r="V1277" s="39">
        <v>4028000</v>
      </c>
      <c r="W1277" t="s">
        <v>29051</v>
      </c>
      <c r="X1277" s="10">
        <v>2033000</v>
      </c>
      <c r="Y1277" s="30">
        <f>X1277/V1277</f>
        <v>0.50471698113207553</v>
      </c>
    </row>
    <row r="1278" spans="1:25" hidden="1" x14ac:dyDescent="0.25">
      <c r="A1278">
        <v>401484</v>
      </c>
      <c r="B1278" t="s">
        <v>1603</v>
      </c>
      <c r="C1278" s="1" t="s">
        <v>29850</v>
      </c>
      <c r="D1278">
        <v>2</v>
      </c>
      <c r="E1278" t="s">
        <v>1603</v>
      </c>
      <c r="G1278" s="3"/>
      <c r="H1278" s="3">
        <v>0</v>
      </c>
      <c r="I1278" s="3">
        <v>0</v>
      </c>
      <c r="J1278" s="3">
        <v>0</v>
      </c>
      <c r="K1278" s="3">
        <v>0</v>
      </c>
      <c r="L1278" s="3">
        <f t="shared" ref="L1278:L1341" si="63">SUM(H1278:K1278)</f>
        <v>0</v>
      </c>
      <c r="M1278" s="3"/>
      <c r="N1278" s="3">
        <f t="shared" ref="N1278:N1341" si="64">L1278+G1278</f>
        <v>0</v>
      </c>
      <c r="R1278" s="89"/>
      <c r="S1278" s="89">
        <f>100%-Table34[[#This Row],[PDF_initial fee]]</f>
        <v>1</v>
      </c>
      <c r="T1278" s="89"/>
      <c r="U1278" s="26"/>
    </row>
    <row r="1279" spans="1:25" hidden="1" x14ac:dyDescent="0.25">
      <c r="A1279">
        <v>401507</v>
      </c>
      <c r="B1279" t="s">
        <v>1604</v>
      </c>
      <c r="C1279" t="s">
        <v>6958</v>
      </c>
      <c r="D1279">
        <v>1</v>
      </c>
      <c r="E1279" t="s">
        <v>1604</v>
      </c>
      <c r="F1279" t="s">
        <v>6958</v>
      </c>
      <c r="G1279" s="3"/>
      <c r="H1279" s="21">
        <v>0</v>
      </c>
      <c r="I1279" s="21">
        <v>0</v>
      </c>
      <c r="J1279" s="21">
        <v>0</v>
      </c>
      <c r="K1279" s="21">
        <v>0</v>
      </c>
      <c r="L1279" s="3">
        <f t="shared" si="63"/>
        <v>0</v>
      </c>
      <c r="M1279" s="3"/>
      <c r="N1279" s="3">
        <f t="shared" si="64"/>
        <v>0</v>
      </c>
      <c r="R1279" s="89"/>
      <c r="S1279" s="89">
        <f>100%-Table34[[#This Row],[PDF_initial fee]]</f>
        <v>1</v>
      </c>
      <c r="T1279" s="89"/>
      <c r="U1279" s="26"/>
    </row>
    <row r="1280" spans="1:25" hidden="1" x14ac:dyDescent="0.25">
      <c r="A1280">
        <v>401581</v>
      </c>
      <c r="B1280" t="s">
        <v>1605</v>
      </c>
      <c r="C1280" t="s">
        <v>6958</v>
      </c>
      <c r="D1280">
        <v>7</v>
      </c>
      <c r="E1280" t="s">
        <v>1605</v>
      </c>
      <c r="F1280" t="s">
        <v>6958</v>
      </c>
      <c r="G1280" s="3"/>
      <c r="H1280" s="21">
        <v>0</v>
      </c>
      <c r="I1280" s="21">
        <v>0</v>
      </c>
      <c r="J1280" s="21">
        <v>0</v>
      </c>
      <c r="K1280" s="21">
        <v>0</v>
      </c>
      <c r="L1280" s="3">
        <f t="shared" si="63"/>
        <v>0</v>
      </c>
      <c r="M1280" s="3"/>
      <c r="N1280" s="3">
        <f t="shared" si="64"/>
        <v>0</v>
      </c>
      <c r="R1280" s="89"/>
      <c r="S1280" s="89">
        <f>100%-Table34[[#This Row],[PDF_initial fee]]</f>
        <v>1</v>
      </c>
      <c r="T1280" s="89"/>
      <c r="U1280" s="26"/>
    </row>
    <row r="1281" spans="1:21" hidden="1" x14ac:dyDescent="0.25">
      <c r="A1281">
        <v>401740</v>
      </c>
      <c r="B1281" t="s">
        <v>1606</v>
      </c>
      <c r="C1281" t="s">
        <v>12105</v>
      </c>
      <c r="D1281">
        <v>1</v>
      </c>
      <c r="E1281" t="s">
        <v>1606</v>
      </c>
      <c r="G1281" s="3"/>
      <c r="L1281" s="3">
        <f t="shared" si="63"/>
        <v>0</v>
      </c>
      <c r="M1281" s="3"/>
      <c r="N1281" s="3">
        <f t="shared" si="64"/>
        <v>0</v>
      </c>
      <c r="R1281" s="89"/>
      <c r="S1281" s="89">
        <f>100%-Table34[[#This Row],[PDF_initial fee]]</f>
        <v>1</v>
      </c>
      <c r="T1281" s="89"/>
      <c r="U1281" s="26"/>
    </row>
    <row r="1282" spans="1:21" hidden="1" x14ac:dyDescent="0.25">
      <c r="A1282">
        <v>401741</v>
      </c>
      <c r="B1282" t="s">
        <v>1607</v>
      </c>
      <c r="C1282" t="s">
        <v>10895</v>
      </c>
      <c r="D1282">
        <v>1</v>
      </c>
      <c r="E1282" t="s">
        <v>1607</v>
      </c>
      <c r="G1282" s="3"/>
      <c r="H1282" s="21">
        <v>0</v>
      </c>
      <c r="I1282" s="21">
        <v>0</v>
      </c>
      <c r="J1282" s="21">
        <v>0</v>
      </c>
      <c r="K1282" s="21">
        <v>0</v>
      </c>
      <c r="L1282" s="3">
        <f t="shared" si="63"/>
        <v>0</v>
      </c>
      <c r="M1282" s="3"/>
      <c r="N1282" s="3">
        <f t="shared" si="64"/>
        <v>0</v>
      </c>
      <c r="R1282" s="89"/>
      <c r="S1282" s="89">
        <f>100%-Table34[[#This Row],[PDF_initial fee]]</f>
        <v>1</v>
      </c>
      <c r="T1282" s="89"/>
      <c r="U1282" s="26"/>
    </row>
    <row r="1283" spans="1:21" hidden="1" x14ac:dyDescent="0.25">
      <c r="A1283">
        <v>401757</v>
      </c>
      <c r="B1283" t="s">
        <v>1608</v>
      </c>
      <c r="C1283" t="s">
        <v>9102</v>
      </c>
      <c r="D1283">
        <v>1</v>
      </c>
      <c r="E1283" t="s">
        <v>1608</v>
      </c>
      <c r="G1283" s="3"/>
      <c r="H1283" s="39"/>
      <c r="I1283" s="39"/>
      <c r="J1283" s="39"/>
      <c r="K1283" s="39"/>
      <c r="L1283" s="3">
        <f t="shared" si="63"/>
        <v>0</v>
      </c>
      <c r="M1283" s="3"/>
      <c r="N1283" s="3">
        <f t="shared" si="64"/>
        <v>0</v>
      </c>
      <c r="R1283" s="89"/>
      <c r="S1283" s="89">
        <f>100%-Table34[[#This Row],[PDF_initial fee]]</f>
        <v>1</v>
      </c>
      <c r="T1283" s="89"/>
      <c r="U1283" s="26"/>
    </row>
    <row r="1284" spans="1:21" hidden="1" x14ac:dyDescent="0.25">
      <c r="A1284">
        <v>401758</v>
      </c>
      <c r="B1284" t="s">
        <v>1609</v>
      </c>
      <c r="C1284" t="s">
        <v>6958</v>
      </c>
      <c r="D1284">
        <v>2</v>
      </c>
      <c r="E1284" t="s">
        <v>1609</v>
      </c>
      <c r="F1284" t="s">
        <v>6958</v>
      </c>
      <c r="G1284" s="3"/>
      <c r="H1284" s="21">
        <v>0</v>
      </c>
      <c r="I1284" s="21">
        <v>0</v>
      </c>
      <c r="J1284" s="21">
        <v>0</v>
      </c>
      <c r="K1284" s="21">
        <v>0</v>
      </c>
      <c r="L1284" s="3">
        <f t="shared" si="63"/>
        <v>0</v>
      </c>
      <c r="M1284" s="3"/>
      <c r="N1284" s="3">
        <f t="shared" si="64"/>
        <v>0</v>
      </c>
      <c r="R1284" s="89"/>
      <c r="S1284" s="89">
        <f>100%-Table34[[#This Row],[PDF_initial fee]]</f>
        <v>1</v>
      </c>
      <c r="T1284" s="89"/>
      <c r="U1284" s="26"/>
    </row>
    <row r="1285" spans="1:21" hidden="1" x14ac:dyDescent="0.25">
      <c r="A1285">
        <v>401761</v>
      </c>
      <c r="B1285" t="s">
        <v>1610</v>
      </c>
      <c r="C1285" t="s">
        <v>11906</v>
      </c>
      <c r="D1285">
        <v>1</v>
      </c>
      <c r="E1285" t="s">
        <v>1610</v>
      </c>
      <c r="G1285" s="3"/>
      <c r="H1285" s="21">
        <v>0</v>
      </c>
      <c r="I1285" s="21">
        <v>0</v>
      </c>
      <c r="J1285" s="21">
        <v>0</v>
      </c>
      <c r="K1285" s="21">
        <v>0</v>
      </c>
      <c r="L1285" s="3">
        <f t="shared" si="63"/>
        <v>0</v>
      </c>
      <c r="M1285" s="3"/>
      <c r="N1285" s="3">
        <f t="shared" si="64"/>
        <v>0</v>
      </c>
      <c r="R1285" s="89"/>
      <c r="S1285" s="89">
        <f>100%-Table34[[#This Row],[PDF_initial fee]]</f>
        <v>1</v>
      </c>
      <c r="T1285" s="89"/>
      <c r="U1285" s="26"/>
    </row>
    <row r="1286" spans="1:21" hidden="1" x14ac:dyDescent="0.25">
      <c r="A1286">
        <v>401809</v>
      </c>
      <c r="B1286" t="s">
        <v>1611</v>
      </c>
      <c r="C1286" t="s">
        <v>29851</v>
      </c>
      <c r="D1286">
        <v>8</v>
      </c>
      <c r="E1286" t="s">
        <v>1611</v>
      </c>
      <c r="G1286" s="3"/>
      <c r="H1286" s="21">
        <v>0</v>
      </c>
      <c r="I1286" s="21">
        <v>0</v>
      </c>
      <c r="J1286" s="21">
        <v>0</v>
      </c>
      <c r="K1286" s="21">
        <v>0</v>
      </c>
      <c r="L1286" s="3">
        <f t="shared" si="63"/>
        <v>0</v>
      </c>
      <c r="M1286" s="3"/>
      <c r="N1286" s="3">
        <f t="shared" si="64"/>
        <v>0</v>
      </c>
      <c r="O1286" s="21"/>
      <c r="R1286" s="89"/>
      <c r="S1286" s="89">
        <f>100%-Table34[[#This Row],[PDF_initial fee]]</f>
        <v>1</v>
      </c>
      <c r="T1286" s="89"/>
      <c r="U1286" s="26"/>
    </row>
    <row r="1287" spans="1:21" hidden="1" x14ac:dyDescent="0.25">
      <c r="A1287">
        <v>401833</v>
      </c>
      <c r="B1287" t="s">
        <v>1612</v>
      </c>
      <c r="C1287" t="s">
        <v>8043</v>
      </c>
      <c r="D1287">
        <v>1</v>
      </c>
      <c r="E1287" t="s">
        <v>1612</v>
      </c>
      <c r="G1287" s="3"/>
      <c r="H1287" s="21">
        <v>0</v>
      </c>
      <c r="I1287" s="21">
        <v>0</v>
      </c>
      <c r="J1287" s="21">
        <v>0</v>
      </c>
      <c r="K1287" s="21">
        <v>0</v>
      </c>
      <c r="L1287" s="3">
        <f t="shared" si="63"/>
        <v>0</v>
      </c>
      <c r="M1287" s="3"/>
      <c r="N1287" s="3">
        <f t="shared" si="64"/>
        <v>0</v>
      </c>
      <c r="R1287" s="89"/>
      <c r="S1287" s="89">
        <f>100%-Table34[[#This Row],[PDF_initial fee]]</f>
        <v>1</v>
      </c>
      <c r="T1287" s="89"/>
      <c r="U1287" s="26"/>
    </row>
    <row r="1288" spans="1:21" hidden="1" x14ac:dyDescent="0.25">
      <c r="A1288">
        <v>401850</v>
      </c>
      <c r="B1288" t="s">
        <v>1614</v>
      </c>
      <c r="C1288" t="s">
        <v>10950</v>
      </c>
      <c r="D1288">
        <v>3</v>
      </c>
      <c r="E1288" t="s">
        <v>1614</v>
      </c>
      <c r="G1288" s="3"/>
      <c r="H1288" s="21">
        <v>0</v>
      </c>
      <c r="I1288" s="21">
        <v>0</v>
      </c>
      <c r="J1288" s="21">
        <v>0</v>
      </c>
      <c r="K1288" s="21">
        <v>0</v>
      </c>
      <c r="L1288" s="3">
        <f t="shared" si="63"/>
        <v>0</v>
      </c>
      <c r="M1288" s="3"/>
      <c r="N1288" s="3">
        <f t="shared" si="64"/>
        <v>0</v>
      </c>
      <c r="R1288" s="89"/>
      <c r="S1288" s="89">
        <f>100%-Table34[[#This Row],[PDF_initial fee]]</f>
        <v>1</v>
      </c>
      <c r="T1288" s="89"/>
      <c r="U1288" s="26"/>
    </row>
    <row r="1289" spans="1:21" hidden="1" x14ac:dyDescent="0.25">
      <c r="A1289">
        <v>402045</v>
      </c>
      <c r="B1289" t="s">
        <v>1615</v>
      </c>
      <c r="C1289" t="s">
        <v>6958</v>
      </c>
      <c r="D1289">
        <v>1</v>
      </c>
      <c r="E1289" t="s">
        <v>1615</v>
      </c>
      <c r="F1289" t="s">
        <v>6958</v>
      </c>
      <c r="G1289" s="3"/>
      <c r="H1289" s="21">
        <v>0</v>
      </c>
      <c r="I1289" s="21">
        <v>0</v>
      </c>
      <c r="J1289" s="21">
        <v>0</v>
      </c>
      <c r="K1289" s="21">
        <v>0</v>
      </c>
      <c r="L1289" s="3">
        <f t="shared" si="63"/>
        <v>0</v>
      </c>
      <c r="M1289" s="3"/>
      <c r="N1289" s="3">
        <f t="shared" si="64"/>
        <v>0</v>
      </c>
      <c r="R1289" s="89"/>
      <c r="S1289" s="89">
        <f>100%-Table34[[#This Row],[PDF_initial fee]]</f>
        <v>1</v>
      </c>
      <c r="T1289" s="89"/>
      <c r="U1289" s="26"/>
    </row>
    <row r="1290" spans="1:21" hidden="1" x14ac:dyDescent="0.25">
      <c r="A1290">
        <v>402130</v>
      </c>
      <c r="B1290" t="s">
        <v>1616</v>
      </c>
      <c r="C1290" t="s">
        <v>11268</v>
      </c>
      <c r="D1290">
        <v>2</v>
      </c>
      <c r="E1290" t="s">
        <v>1616</v>
      </c>
      <c r="G1290" s="3"/>
      <c r="H1290" s="21">
        <v>0</v>
      </c>
      <c r="I1290" s="21">
        <v>0</v>
      </c>
      <c r="J1290" s="21">
        <v>0</v>
      </c>
      <c r="K1290" s="21">
        <v>0</v>
      </c>
      <c r="L1290" s="3">
        <f t="shared" si="63"/>
        <v>0</v>
      </c>
      <c r="M1290" s="3"/>
      <c r="N1290" s="3">
        <f t="shared" si="64"/>
        <v>0</v>
      </c>
      <c r="R1290" s="89"/>
      <c r="S1290" s="89">
        <f>100%-Table34[[#This Row],[PDF_initial fee]]</f>
        <v>1</v>
      </c>
      <c r="T1290" s="89"/>
      <c r="U1290" s="26"/>
    </row>
    <row r="1291" spans="1:21" hidden="1" x14ac:dyDescent="0.25">
      <c r="A1291">
        <v>402190</v>
      </c>
      <c r="B1291" t="s">
        <v>1617</v>
      </c>
      <c r="C1291" t="s">
        <v>8772</v>
      </c>
      <c r="D1291">
        <v>2</v>
      </c>
      <c r="E1291" t="s">
        <v>1617</v>
      </c>
      <c r="G1291" s="3"/>
      <c r="H1291" s="21">
        <v>0</v>
      </c>
      <c r="I1291" s="21">
        <v>0</v>
      </c>
      <c r="J1291" s="21">
        <v>0</v>
      </c>
      <c r="K1291" s="21">
        <v>0</v>
      </c>
      <c r="L1291" s="3">
        <f t="shared" si="63"/>
        <v>0</v>
      </c>
      <c r="M1291" s="3"/>
      <c r="N1291" s="3">
        <f t="shared" si="64"/>
        <v>0</v>
      </c>
      <c r="R1291" s="89"/>
      <c r="S1291" s="89">
        <f>100%-Table34[[#This Row],[PDF_initial fee]]</f>
        <v>1</v>
      </c>
      <c r="T1291" s="89"/>
      <c r="U1291" s="26"/>
    </row>
    <row r="1292" spans="1:21" hidden="1" x14ac:dyDescent="0.25">
      <c r="A1292">
        <v>402226</v>
      </c>
      <c r="B1292" t="s">
        <v>1618</v>
      </c>
      <c r="C1292" t="s">
        <v>6958</v>
      </c>
      <c r="D1292">
        <v>2</v>
      </c>
      <c r="E1292" t="s">
        <v>1618</v>
      </c>
      <c r="F1292" t="s">
        <v>6958</v>
      </c>
      <c r="G1292" s="3"/>
      <c r="H1292" s="21">
        <v>0</v>
      </c>
      <c r="I1292" s="21">
        <v>0</v>
      </c>
      <c r="J1292" s="21">
        <v>0</v>
      </c>
      <c r="K1292" s="21">
        <v>0</v>
      </c>
      <c r="L1292" s="3">
        <f t="shared" si="63"/>
        <v>0</v>
      </c>
      <c r="M1292" s="3"/>
      <c r="N1292" s="3">
        <f t="shared" si="64"/>
        <v>0</v>
      </c>
      <c r="R1292" s="89"/>
      <c r="S1292" s="89">
        <f>100%-Table34[[#This Row],[PDF_initial fee]]</f>
        <v>1</v>
      </c>
      <c r="T1292" s="89"/>
      <c r="U1292" s="26"/>
    </row>
    <row r="1293" spans="1:21" hidden="1" x14ac:dyDescent="0.25">
      <c r="A1293">
        <v>402246</v>
      </c>
      <c r="B1293" t="s">
        <v>1619</v>
      </c>
      <c r="C1293" t="s">
        <v>12533</v>
      </c>
      <c r="D1293">
        <v>2</v>
      </c>
      <c r="E1293" t="s">
        <v>1619</v>
      </c>
      <c r="G1293" s="3"/>
      <c r="H1293" s="21">
        <v>0</v>
      </c>
      <c r="I1293" s="21">
        <v>0</v>
      </c>
      <c r="J1293" s="21">
        <v>0</v>
      </c>
      <c r="K1293" s="21">
        <v>0</v>
      </c>
      <c r="L1293" s="3">
        <f t="shared" si="63"/>
        <v>0</v>
      </c>
      <c r="M1293" s="3"/>
      <c r="N1293" s="3">
        <f t="shared" si="64"/>
        <v>0</v>
      </c>
      <c r="R1293" s="89"/>
      <c r="S1293" s="89">
        <f>100%-Table34[[#This Row],[PDF_initial fee]]</f>
        <v>1</v>
      </c>
      <c r="T1293" s="89"/>
      <c r="U1293" s="26"/>
    </row>
    <row r="1294" spans="1:21" hidden="1" x14ac:dyDescent="0.25">
      <c r="A1294">
        <v>402270</v>
      </c>
      <c r="B1294" t="s">
        <v>1620</v>
      </c>
      <c r="C1294" t="s">
        <v>6958</v>
      </c>
      <c r="D1294">
        <v>2</v>
      </c>
      <c r="E1294" t="s">
        <v>1620</v>
      </c>
      <c r="F1294" t="s">
        <v>6958</v>
      </c>
      <c r="G1294" s="3"/>
      <c r="H1294" s="21">
        <v>0</v>
      </c>
      <c r="I1294" s="21">
        <v>0</v>
      </c>
      <c r="J1294" s="21">
        <v>0</v>
      </c>
      <c r="K1294" s="21">
        <v>0</v>
      </c>
      <c r="L1294" s="3">
        <f t="shared" si="63"/>
        <v>0</v>
      </c>
      <c r="M1294" s="3"/>
      <c r="N1294" s="3">
        <f t="shared" si="64"/>
        <v>0</v>
      </c>
      <c r="R1294" s="89"/>
      <c r="S1294" s="89">
        <f>100%-Table34[[#This Row],[PDF_initial fee]]</f>
        <v>1</v>
      </c>
      <c r="T1294" s="89"/>
      <c r="U1294" s="26"/>
    </row>
    <row r="1295" spans="1:21" hidden="1" x14ac:dyDescent="0.25">
      <c r="A1295">
        <v>402291</v>
      </c>
      <c r="B1295" t="s">
        <v>1621</v>
      </c>
      <c r="C1295" t="s">
        <v>10072</v>
      </c>
      <c r="D1295">
        <v>1</v>
      </c>
      <c r="E1295" t="s">
        <v>1621</v>
      </c>
      <c r="G1295" s="3"/>
      <c r="H1295" s="21">
        <v>0</v>
      </c>
      <c r="I1295" s="21">
        <v>0</v>
      </c>
      <c r="J1295" s="21">
        <v>0</v>
      </c>
      <c r="K1295" s="21">
        <v>0</v>
      </c>
      <c r="L1295" s="3">
        <f t="shared" si="63"/>
        <v>0</v>
      </c>
      <c r="M1295" s="3"/>
      <c r="N1295" s="3">
        <f t="shared" si="64"/>
        <v>0</v>
      </c>
      <c r="R1295" s="89"/>
      <c r="S1295" s="89">
        <f>100%-Table34[[#This Row],[PDF_initial fee]]</f>
        <v>1</v>
      </c>
      <c r="T1295" s="89"/>
      <c r="U1295" s="26"/>
    </row>
    <row r="1296" spans="1:21" hidden="1" x14ac:dyDescent="0.25">
      <c r="A1296">
        <v>402303</v>
      </c>
      <c r="B1296" t="s">
        <v>1622</v>
      </c>
      <c r="C1296" t="s">
        <v>6958</v>
      </c>
      <c r="D1296">
        <v>0</v>
      </c>
      <c r="E1296" t="s">
        <v>1622</v>
      </c>
      <c r="F1296" t="s">
        <v>6958</v>
      </c>
      <c r="G1296" s="3"/>
      <c r="H1296" s="21">
        <v>0</v>
      </c>
      <c r="I1296" s="21">
        <v>0</v>
      </c>
      <c r="J1296" s="21">
        <v>0</v>
      </c>
      <c r="K1296" s="21">
        <v>0</v>
      </c>
      <c r="L1296" s="3">
        <f t="shared" si="63"/>
        <v>0</v>
      </c>
      <c r="M1296" s="3"/>
      <c r="N1296" s="3">
        <f t="shared" si="64"/>
        <v>0</v>
      </c>
      <c r="R1296" s="89"/>
      <c r="S1296" s="89">
        <f>100%-Table34[[#This Row],[PDF_initial fee]]</f>
        <v>1</v>
      </c>
      <c r="T1296" s="89"/>
      <c r="U1296" s="26"/>
    </row>
    <row r="1297" spans="1:27" hidden="1" x14ac:dyDescent="0.25">
      <c r="A1297">
        <v>402322</v>
      </c>
      <c r="B1297" t="s">
        <v>1623</v>
      </c>
      <c r="C1297" t="s">
        <v>6958</v>
      </c>
      <c r="D1297">
        <v>1</v>
      </c>
      <c r="E1297" t="s">
        <v>1623</v>
      </c>
      <c r="F1297" t="s">
        <v>6958</v>
      </c>
      <c r="G1297" s="3"/>
      <c r="H1297" s="21">
        <v>0</v>
      </c>
      <c r="I1297" s="21">
        <v>0</v>
      </c>
      <c r="J1297" s="21">
        <v>0</v>
      </c>
      <c r="K1297" s="21">
        <v>0</v>
      </c>
      <c r="L1297" s="3">
        <f t="shared" si="63"/>
        <v>0</v>
      </c>
      <c r="M1297" s="3"/>
      <c r="N1297" s="3">
        <f t="shared" si="64"/>
        <v>0</v>
      </c>
      <c r="R1297" s="89"/>
      <c r="S1297" s="89">
        <f>100%-Table34[[#This Row],[PDF_initial fee]]</f>
        <v>1</v>
      </c>
      <c r="T1297" s="89"/>
      <c r="U1297" s="26"/>
    </row>
    <row r="1298" spans="1:27" hidden="1" x14ac:dyDescent="0.25">
      <c r="A1298">
        <v>402324</v>
      </c>
      <c r="B1298" t="s">
        <v>1624</v>
      </c>
      <c r="C1298" t="s">
        <v>6958</v>
      </c>
      <c r="D1298">
        <v>1</v>
      </c>
      <c r="E1298" t="s">
        <v>1624</v>
      </c>
      <c r="F1298" t="s">
        <v>6958</v>
      </c>
      <c r="G1298" s="3"/>
      <c r="H1298" s="21">
        <v>0</v>
      </c>
      <c r="I1298" s="21">
        <v>0</v>
      </c>
      <c r="J1298" s="21">
        <v>0</v>
      </c>
      <c r="K1298" s="21">
        <v>0</v>
      </c>
      <c r="L1298" s="3">
        <f t="shared" si="63"/>
        <v>0</v>
      </c>
      <c r="M1298" s="3"/>
      <c r="N1298" s="3">
        <f t="shared" si="64"/>
        <v>0</v>
      </c>
      <c r="R1298" s="89"/>
      <c r="S1298" s="89">
        <f>100%-Table34[[#This Row],[PDF_initial fee]]</f>
        <v>1</v>
      </c>
      <c r="T1298" s="89"/>
      <c r="U1298" s="26"/>
    </row>
    <row r="1299" spans="1:27" hidden="1" x14ac:dyDescent="0.25">
      <c r="A1299">
        <v>402334</v>
      </c>
      <c r="B1299" t="s">
        <v>1625</v>
      </c>
      <c r="C1299" t="s">
        <v>6958</v>
      </c>
      <c r="D1299">
        <v>1</v>
      </c>
      <c r="E1299" t="s">
        <v>1625</v>
      </c>
      <c r="F1299" t="s">
        <v>6958</v>
      </c>
      <c r="G1299" s="3"/>
      <c r="H1299" s="21">
        <v>0</v>
      </c>
      <c r="I1299" s="21">
        <v>0</v>
      </c>
      <c r="J1299" s="21">
        <v>0</v>
      </c>
      <c r="K1299" s="21">
        <v>0</v>
      </c>
      <c r="L1299" s="3">
        <f t="shared" si="63"/>
        <v>0</v>
      </c>
      <c r="M1299" s="3"/>
      <c r="N1299" s="3">
        <f t="shared" si="64"/>
        <v>0</v>
      </c>
      <c r="R1299" s="89"/>
      <c r="S1299" s="89">
        <f>100%-Table34[[#This Row],[PDF_initial fee]]</f>
        <v>1</v>
      </c>
      <c r="T1299" s="89"/>
      <c r="U1299" s="26"/>
    </row>
    <row r="1300" spans="1:27" hidden="1" x14ac:dyDescent="0.25">
      <c r="A1300">
        <v>402391</v>
      </c>
      <c r="B1300" t="s">
        <v>1626</v>
      </c>
      <c r="C1300" t="s">
        <v>9740</v>
      </c>
      <c r="D1300">
        <v>1</v>
      </c>
      <c r="E1300" t="s">
        <v>1626</v>
      </c>
      <c r="G1300" s="3"/>
      <c r="H1300" s="21">
        <v>0</v>
      </c>
      <c r="I1300" s="21">
        <v>0</v>
      </c>
      <c r="J1300" s="21">
        <v>0</v>
      </c>
      <c r="K1300" s="21">
        <v>0</v>
      </c>
      <c r="L1300" s="3">
        <f t="shared" si="63"/>
        <v>0</v>
      </c>
      <c r="M1300" s="3"/>
      <c r="N1300" s="3">
        <f t="shared" si="64"/>
        <v>0</v>
      </c>
      <c r="R1300" s="89"/>
      <c r="S1300" s="89">
        <f>100%-Table34[[#This Row],[PDF_initial fee]]</f>
        <v>1</v>
      </c>
      <c r="T1300" s="89"/>
      <c r="U1300" s="26"/>
    </row>
    <row r="1301" spans="1:27" hidden="1" x14ac:dyDescent="0.25">
      <c r="A1301">
        <v>402393</v>
      </c>
      <c r="B1301" t="s">
        <v>1627</v>
      </c>
      <c r="C1301" t="s">
        <v>11024</v>
      </c>
      <c r="D1301">
        <v>5</v>
      </c>
      <c r="E1301" t="s">
        <v>1627</v>
      </c>
      <c r="G1301" s="3"/>
      <c r="H1301" s="21">
        <v>0</v>
      </c>
      <c r="I1301" s="21">
        <v>0</v>
      </c>
      <c r="J1301" s="21">
        <v>0</v>
      </c>
      <c r="K1301" s="21">
        <v>0</v>
      </c>
      <c r="L1301" s="3">
        <f t="shared" si="63"/>
        <v>0</v>
      </c>
      <c r="M1301" s="3"/>
      <c r="N1301" s="3">
        <f t="shared" si="64"/>
        <v>0</v>
      </c>
      <c r="R1301" s="89"/>
      <c r="S1301" s="89">
        <f>100%-Table34[[#This Row],[PDF_initial fee]]</f>
        <v>1</v>
      </c>
      <c r="T1301" s="89"/>
      <c r="U1301" s="26"/>
    </row>
    <row r="1302" spans="1:27" hidden="1" x14ac:dyDescent="0.25">
      <c r="A1302">
        <v>402410</v>
      </c>
      <c r="B1302" t="s">
        <v>1629</v>
      </c>
      <c r="C1302" t="s">
        <v>6958</v>
      </c>
      <c r="D1302">
        <v>1</v>
      </c>
      <c r="E1302" t="s">
        <v>1629</v>
      </c>
      <c r="F1302" t="s">
        <v>6958</v>
      </c>
      <c r="G1302" s="3"/>
      <c r="L1302" s="3">
        <f t="shared" si="63"/>
        <v>0</v>
      </c>
      <c r="M1302" s="3"/>
      <c r="N1302" s="3">
        <f t="shared" si="64"/>
        <v>0</v>
      </c>
      <c r="R1302" s="89"/>
      <c r="S1302" s="89">
        <f>100%-Table34[[#This Row],[PDF_initial fee]]</f>
        <v>1</v>
      </c>
      <c r="T1302" s="89"/>
      <c r="U1302" s="26"/>
    </row>
    <row r="1303" spans="1:27" x14ac:dyDescent="0.25">
      <c r="A1303">
        <v>403170</v>
      </c>
      <c r="B1303" t="s">
        <v>148</v>
      </c>
      <c r="C1303" t="s">
        <v>7933</v>
      </c>
      <c r="D1303">
        <v>6</v>
      </c>
      <c r="E1303" t="s">
        <v>148</v>
      </c>
      <c r="F1303" t="s">
        <v>6</v>
      </c>
      <c r="G1303" s="3">
        <v>9.1000000000000004E-3</v>
      </c>
      <c r="H1303" s="3">
        <v>0.02</v>
      </c>
      <c r="I1303" s="3">
        <v>7.4999999999999997E-3</v>
      </c>
      <c r="J1303" s="6">
        <v>0</v>
      </c>
      <c r="K1303" s="6">
        <v>0</v>
      </c>
      <c r="L1303" s="3">
        <f t="shared" si="63"/>
        <v>2.75E-2</v>
      </c>
      <c r="M1303" s="3"/>
      <c r="N1303" s="3">
        <f t="shared" si="64"/>
        <v>3.6600000000000001E-2</v>
      </c>
      <c r="P1303" s="1" t="s">
        <v>29821</v>
      </c>
      <c r="Q1303" s="1" t="s">
        <v>29822</v>
      </c>
      <c r="R1303" s="89">
        <v>0.2828</v>
      </c>
      <c r="S1303" s="89">
        <f>100%-Table34[[#This Row],[InitialFee]]</f>
        <v>0.98</v>
      </c>
      <c r="T1303" s="89">
        <f>(1-Table34[[#This Row],[OngoingFee (plus Platform fee)]])^5</f>
        <v>0.9630582970465823</v>
      </c>
      <c r="U1303" s="26">
        <f>(1+Table34[[#This Row],[Net 5yrs return (mostly up to 28th of Feb 2026)]])*Table34[[#This Row],[Investment after initial charge]]*Table34[[#This Row],[Cummulative 5yrs ongoing advice charge]]-1</f>
        <v>0.21070295978232845</v>
      </c>
      <c r="V1303" s="10">
        <f>21895536+2032833</f>
        <v>23928369</v>
      </c>
      <c r="W1303" s="10" t="s">
        <v>29051</v>
      </c>
      <c r="X1303" s="10">
        <v>21891619</v>
      </c>
      <c r="Y1303" s="30">
        <f>X1303/V1303</f>
        <v>0.91488136947403309</v>
      </c>
      <c r="AA1303" s="1" t="s">
        <v>29823</v>
      </c>
    </row>
    <row r="1304" spans="1:27" hidden="1" x14ac:dyDescent="0.25">
      <c r="A1304">
        <v>402441</v>
      </c>
      <c r="B1304" t="s">
        <v>1631</v>
      </c>
      <c r="C1304" t="s">
        <v>29852</v>
      </c>
      <c r="D1304">
        <v>5</v>
      </c>
      <c r="E1304" t="s">
        <v>1631</v>
      </c>
      <c r="G1304" s="3"/>
      <c r="H1304" s="3">
        <v>0</v>
      </c>
      <c r="I1304" s="3">
        <v>0</v>
      </c>
      <c r="J1304" s="3">
        <v>0</v>
      </c>
      <c r="K1304" s="3">
        <v>0</v>
      </c>
      <c r="L1304" s="3">
        <f t="shared" si="63"/>
        <v>0</v>
      </c>
      <c r="M1304" s="3"/>
      <c r="N1304" s="3">
        <f t="shared" si="64"/>
        <v>0</v>
      </c>
      <c r="R1304" s="89"/>
      <c r="S1304" s="89">
        <f>100%-Table34[[#This Row],[PDF_initial fee]]</f>
        <v>1</v>
      </c>
      <c r="T1304" s="89"/>
      <c r="U1304" s="26"/>
    </row>
    <row r="1305" spans="1:27" hidden="1" x14ac:dyDescent="0.25">
      <c r="A1305">
        <v>402458</v>
      </c>
      <c r="B1305" t="s">
        <v>1632</v>
      </c>
      <c r="C1305" t="s">
        <v>8848</v>
      </c>
      <c r="D1305">
        <v>7</v>
      </c>
      <c r="E1305" t="s">
        <v>1632</v>
      </c>
      <c r="G1305" s="3"/>
      <c r="H1305" s="21">
        <v>0</v>
      </c>
      <c r="I1305" s="21">
        <v>0</v>
      </c>
      <c r="J1305" s="21">
        <v>0</v>
      </c>
      <c r="K1305" s="21">
        <v>0</v>
      </c>
      <c r="L1305" s="3">
        <f t="shared" si="63"/>
        <v>0</v>
      </c>
      <c r="M1305" s="3"/>
      <c r="N1305" s="3">
        <f t="shared" si="64"/>
        <v>0</v>
      </c>
      <c r="R1305" s="89"/>
      <c r="S1305" s="89">
        <f>100%-Table34[[#This Row],[PDF_initial fee]]</f>
        <v>1</v>
      </c>
      <c r="T1305" s="89"/>
      <c r="U1305" s="26"/>
    </row>
    <row r="1306" spans="1:27" x14ac:dyDescent="0.25">
      <c r="A1306">
        <v>422752</v>
      </c>
      <c r="B1306" t="s">
        <v>151</v>
      </c>
      <c r="C1306" t="s">
        <v>7933</v>
      </c>
      <c r="D1306">
        <v>3</v>
      </c>
      <c r="E1306" t="s">
        <v>151</v>
      </c>
      <c r="F1306" t="s">
        <v>6</v>
      </c>
      <c r="G1306" s="3">
        <v>9.1000000000000004E-3</v>
      </c>
      <c r="H1306" s="3">
        <v>0.02</v>
      </c>
      <c r="I1306" s="3">
        <v>7.4999999999999997E-3</v>
      </c>
      <c r="J1306" s="6">
        <v>0</v>
      </c>
      <c r="K1306" s="6">
        <v>0</v>
      </c>
      <c r="L1306" s="3">
        <f t="shared" si="63"/>
        <v>2.75E-2</v>
      </c>
      <c r="M1306" s="3"/>
      <c r="N1306" s="3">
        <f t="shared" si="64"/>
        <v>3.6600000000000001E-2</v>
      </c>
      <c r="P1306" s="1" t="s">
        <v>29821</v>
      </c>
      <c r="Q1306" s="1" t="s">
        <v>29822</v>
      </c>
      <c r="R1306" s="89">
        <v>0.2828</v>
      </c>
      <c r="S1306" s="89">
        <f>100%-Table34[[#This Row],[InitialFee]]</f>
        <v>0.98</v>
      </c>
      <c r="T1306" s="89">
        <f>(1-Table34[[#This Row],[OngoingFee (plus Platform fee)]])^5</f>
        <v>0.9630582970465823</v>
      </c>
      <c r="U1306" s="26">
        <f>(1+Table34[[#This Row],[Net 5yrs return (mostly up to 28th of Feb 2026)]])*Table34[[#This Row],[Investment after initial charge]]*Table34[[#This Row],[Cummulative 5yrs ongoing advice charge]]-1</f>
        <v>0.21070295978232845</v>
      </c>
      <c r="V1306" s="10">
        <f>21895536+2032833</f>
        <v>23928369</v>
      </c>
      <c r="W1306" s="10" t="s">
        <v>29051</v>
      </c>
      <c r="X1306" s="10">
        <v>21891619</v>
      </c>
      <c r="Y1306" s="30">
        <f>X1306/V1306</f>
        <v>0.91488136947403309</v>
      </c>
      <c r="AA1306" s="1" t="s">
        <v>29823</v>
      </c>
    </row>
    <row r="1307" spans="1:27" hidden="1" x14ac:dyDescent="0.25">
      <c r="A1307">
        <v>402532</v>
      </c>
      <c r="B1307" t="s">
        <v>1633</v>
      </c>
      <c r="C1307" t="s">
        <v>9774</v>
      </c>
      <c r="D1307">
        <v>2</v>
      </c>
      <c r="E1307" t="s">
        <v>1633</v>
      </c>
      <c r="G1307" s="3"/>
      <c r="H1307" s="21">
        <v>0</v>
      </c>
      <c r="I1307" s="21">
        <v>0</v>
      </c>
      <c r="J1307" s="21">
        <v>0</v>
      </c>
      <c r="K1307" s="21">
        <v>0</v>
      </c>
      <c r="L1307" s="3">
        <f t="shared" si="63"/>
        <v>0</v>
      </c>
      <c r="M1307" s="3"/>
      <c r="N1307" s="3">
        <f t="shared" si="64"/>
        <v>0</v>
      </c>
      <c r="R1307" s="89"/>
      <c r="S1307" s="89">
        <f>100%-Table34[[#This Row],[PDF_initial fee]]</f>
        <v>1</v>
      </c>
      <c r="T1307" s="89"/>
      <c r="U1307" s="26"/>
    </row>
    <row r="1308" spans="1:27" hidden="1" x14ac:dyDescent="0.25">
      <c r="A1308">
        <v>402614</v>
      </c>
      <c r="B1308" t="s">
        <v>1634</v>
      </c>
      <c r="C1308" t="s">
        <v>7646</v>
      </c>
      <c r="D1308">
        <v>4</v>
      </c>
      <c r="E1308" t="s">
        <v>1634</v>
      </c>
      <c r="G1308" s="3"/>
      <c r="H1308" s="21">
        <v>0</v>
      </c>
      <c r="I1308" s="21">
        <v>0</v>
      </c>
      <c r="J1308" s="21">
        <v>0</v>
      </c>
      <c r="K1308" s="21">
        <v>0</v>
      </c>
      <c r="L1308" s="3">
        <f t="shared" si="63"/>
        <v>0</v>
      </c>
      <c r="M1308" s="3"/>
      <c r="N1308" s="3">
        <f t="shared" si="64"/>
        <v>0</v>
      </c>
      <c r="R1308" s="89"/>
      <c r="S1308" s="89">
        <f>100%-Table34[[#This Row],[PDF_initial fee]]</f>
        <v>1</v>
      </c>
      <c r="T1308" s="89"/>
      <c r="U1308" s="26"/>
    </row>
    <row r="1309" spans="1:27" hidden="1" x14ac:dyDescent="0.25">
      <c r="A1309">
        <v>402654</v>
      </c>
      <c r="B1309" t="s">
        <v>1635</v>
      </c>
      <c r="C1309" t="s">
        <v>29853</v>
      </c>
      <c r="D1309">
        <v>5</v>
      </c>
      <c r="E1309" t="s">
        <v>1635</v>
      </c>
      <c r="G1309" s="3"/>
      <c r="H1309" s="3">
        <v>0</v>
      </c>
      <c r="I1309" s="3">
        <v>0</v>
      </c>
      <c r="J1309" s="3">
        <v>0</v>
      </c>
      <c r="K1309" s="3">
        <v>0</v>
      </c>
      <c r="L1309" s="3">
        <f t="shared" si="63"/>
        <v>0</v>
      </c>
      <c r="M1309" s="3"/>
      <c r="N1309" s="3">
        <f t="shared" si="64"/>
        <v>0</v>
      </c>
      <c r="R1309" s="89"/>
      <c r="S1309" s="89">
        <f>100%-Table34[[#This Row],[PDF_initial fee]]</f>
        <v>1</v>
      </c>
      <c r="T1309" s="89"/>
      <c r="U1309" s="26"/>
    </row>
    <row r="1310" spans="1:27" hidden="1" x14ac:dyDescent="0.25">
      <c r="A1310">
        <v>402695</v>
      </c>
      <c r="B1310" t="s">
        <v>1636</v>
      </c>
      <c r="C1310" t="s">
        <v>6958</v>
      </c>
      <c r="D1310">
        <v>2</v>
      </c>
      <c r="E1310" t="s">
        <v>1636</v>
      </c>
      <c r="F1310" t="s">
        <v>6958</v>
      </c>
      <c r="G1310" s="3"/>
      <c r="H1310" s="21">
        <v>0</v>
      </c>
      <c r="I1310" s="21">
        <v>0</v>
      </c>
      <c r="J1310" s="21">
        <v>0</v>
      </c>
      <c r="K1310" s="21">
        <v>0</v>
      </c>
      <c r="L1310" s="3">
        <f t="shared" si="63"/>
        <v>0</v>
      </c>
      <c r="M1310" s="3"/>
      <c r="N1310" s="3">
        <f t="shared" si="64"/>
        <v>0</v>
      </c>
      <c r="R1310" s="89"/>
      <c r="S1310" s="89">
        <f>100%-Table34[[#This Row],[PDF_initial fee]]</f>
        <v>1</v>
      </c>
      <c r="T1310" s="89"/>
      <c r="U1310" s="26"/>
    </row>
    <row r="1311" spans="1:27" hidden="1" x14ac:dyDescent="0.25">
      <c r="A1311">
        <v>402725</v>
      </c>
      <c r="B1311" t="s">
        <v>1637</v>
      </c>
      <c r="C1311" t="s">
        <v>6978</v>
      </c>
      <c r="D1311">
        <v>1</v>
      </c>
      <c r="E1311" t="s">
        <v>1637</v>
      </c>
      <c r="G1311" s="3"/>
      <c r="L1311" s="3">
        <f t="shared" si="63"/>
        <v>0</v>
      </c>
      <c r="M1311" s="3"/>
      <c r="N1311" s="3">
        <f t="shared" si="64"/>
        <v>0</v>
      </c>
      <c r="R1311" s="89"/>
      <c r="S1311" s="89">
        <f>100%-Table34[[#This Row],[PDF_initial fee]]</f>
        <v>1</v>
      </c>
      <c r="T1311" s="89"/>
      <c r="U1311" s="26"/>
    </row>
    <row r="1312" spans="1:27" hidden="1" x14ac:dyDescent="0.25">
      <c r="A1312">
        <v>402740</v>
      </c>
      <c r="B1312" t="s">
        <v>1638</v>
      </c>
      <c r="C1312" t="s">
        <v>29854</v>
      </c>
      <c r="D1312">
        <v>0</v>
      </c>
      <c r="E1312" t="s">
        <v>1638</v>
      </c>
      <c r="F1312" t="s">
        <v>29136</v>
      </c>
      <c r="G1312" s="3"/>
      <c r="L1312" s="3">
        <f t="shared" si="63"/>
        <v>0</v>
      </c>
      <c r="M1312" s="3"/>
      <c r="N1312" s="3">
        <f t="shared" si="64"/>
        <v>0</v>
      </c>
      <c r="R1312" s="89"/>
      <c r="S1312" s="89">
        <f>100%-Table34[[#This Row],[PDF_initial fee]]</f>
        <v>1</v>
      </c>
      <c r="T1312" s="89"/>
      <c r="U1312" s="26"/>
    </row>
    <row r="1313" spans="1:30" hidden="1" x14ac:dyDescent="0.25">
      <c r="A1313">
        <v>402746</v>
      </c>
      <c r="B1313" t="s">
        <v>1639</v>
      </c>
      <c r="C1313" t="s">
        <v>7015</v>
      </c>
      <c r="D1313">
        <v>2</v>
      </c>
      <c r="E1313" t="s">
        <v>1639</v>
      </c>
      <c r="G1313" s="3"/>
      <c r="H1313" s="21">
        <v>0</v>
      </c>
      <c r="I1313" s="21">
        <v>0</v>
      </c>
      <c r="J1313" s="21">
        <v>0</v>
      </c>
      <c r="K1313" s="21">
        <v>0</v>
      </c>
      <c r="L1313" s="3">
        <f t="shared" si="63"/>
        <v>0</v>
      </c>
      <c r="M1313" s="3"/>
      <c r="N1313" s="3">
        <f t="shared" si="64"/>
        <v>0</v>
      </c>
      <c r="R1313" s="89"/>
      <c r="S1313" s="89">
        <f>100%-Table34[[#This Row],[PDF_initial fee]]</f>
        <v>1</v>
      </c>
      <c r="T1313" s="89"/>
      <c r="U1313" s="26"/>
    </row>
    <row r="1314" spans="1:30" hidden="1" x14ac:dyDescent="0.25">
      <c r="A1314">
        <v>402757</v>
      </c>
      <c r="B1314" t="s">
        <v>1640</v>
      </c>
      <c r="C1314" t="s">
        <v>29855</v>
      </c>
      <c r="D1314">
        <v>3</v>
      </c>
      <c r="E1314" t="s">
        <v>1640</v>
      </c>
      <c r="G1314" s="3"/>
      <c r="H1314" s="3">
        <v>0</v>
      </c>
      <c r="I1314" s="3">
        <v>0</v>
      </c>
      <c r="J1314" s="3">
        <v>0</v>
      </c>
      <c r="K1314" s="3">
        <v>0</v>
      </c>
      <c r="L1314" s="3">
        <f t="shared" si="63"/>
        <v>0</v>
      </c>
      <c r="M1314" s="3"/>
      <c r="N1314" s="3">
        <f t="shared" si="64"/>
        <v>0</v>
      </c>
      <c r="R1314" s="89"/>
      <c r="S1314" s="89">
        <f>100%-Table34[[#This Row],[PDF_initial fee]]</f>
        <v>1</v>
      </c>
      <c r="T1314" s="89"/>
      <c r="U1314" s="26"/>
    </row>
    <row r="1315" spans="1:30" x14ac:dyDescent="0.25">
      <c r="A1315">
        <v>467858</v>
      </c>
      <c r="B1315" t="s">
        <v>184</v>
      </c>
      <c r="C1315" t="s">
        <v>29828</v>
      </c>
      <c r="D1315">
        <v>4</v>
      </c>
      <c r="E1315" t="s">
        <v>184</v>
      </c>
      <c r="F1315" t="s">
        <v>6</v>
      </c>
      <c r="G1315" s="3">
        <v>9.1000000000000004E-3</v>
      </c>
      <c r="H1315" s="3">
        <v>0.02</v>
      </c>
      <c r="I1315" s="3">
        <v>7.4999999999999997E-3</v>
      </c>
      <c r="J1315" s="6">
        <v>0</v>
      </c>
      <c r="K1315" s="6">
        <v>0</v>
      </c>
      <c r="L1315" s="3">
        <f t="shared" si="63"/>
        <v>2.75E-2</v>
      </c>
      <c r="M1315" s="3"/>
      <c r="N1315" s="3">
        <f t="shared" si="64"/>
        <v>3.6600000000000001E-2</v>
      </c>
      <c r="P1315" s="1" t="s">
        <v>29821</v>
      </c>
      <c r="Q1315" s="1" t="s">
        <v>29822</v>
      </c>
      <c r="R1315" s="89">
        <v>0.2828</v>
      </c>
      <c r="S1315" s="89">
        <f>100%-Table34[[#This Row],[InitialFee]]</f>
        <v>0.98</v>
      </c>
      <c r="T1315" s="89">
        <f>(1-Table34[[#This Row],[OngoingFee (plus Platform fee)]])^5</f>
        <v>0.9630582970465823</v>
      </c>
      <c r="U1315" s="26">
        <f>(1+Table34[[#This Row],[Net 5yrs return (mostly up to 28th of Feb 2026)]])*Table34[[#This Row],[Investment after initial charge]]*Table34[[#This Row],[Cummulative 5yrs ongoing advice charge]]-1</f>
        <v>0.21070295978232845</v>
      </c>
      <c r="V1315" s="10">
        <f>21895536+2032833</f>
        <v>23928369</v>
      </c>
      <c r="W1315" s="10" t="s">
        <v>29051</v>
      </c>
      <c r="X1315" s="10">
        <v>21891619</v>
      </c>
      <c r="Y1315" s="30">
        <f>X1315/V1315</f>
        <v>0.91488136947403309</v>
      </c>
      <c r="AA1315" s="1" t="s">
        <v>29823</v>
      </c>
    </row>
    <row r="1316" spans="1:30" hidden="1" x14ac:dyDescent="0.25">
      <c r="A1316">
        <v>402899</v>
      </c>
      <c r="B1316" t="s">
        <v>1642</v>
      </c>
      <c r="C1316" t="s">
        <v>7957</v>
      </c>
      <c r="D1316">
        <v>2</v>
      </c>
      <c r="E1316" t="s">
        <v>1642</v>
      </c>
      <c r="G1316" s="3"/>
      <c r="L1316" s="3">
        <f t="shared" si="63"/>
        <v>0</v>
      </c>
      <c r="M1316" s="3"/>
      <c r="N1316" s="3">
        <f t="shared" si="64"/>
        <v>0</v>
      </c>
      <c r="R1316" s="89"/>
      <c r="S1316" s="89">
        <f>100%-Table34[[#This Row],[PDF_initial fee]]</f>
        <v>1</v>
      </c>
      <c r="T1316" s="89"/>
      <c r="U1316" s="26"/>
    </row>
    <row r="1317" spans="1:30" hidden="1" x14ac:dyDescent="0.25">
      <c r="A1317">
        <v>402915</v>
      </c>
      <c r="B1317" t="s">
        <v>1643</v>
      </c>
      <c r="C1317" t="s">
        <v>6958</v>
      </c>
      <c r="D1317">
        <v>1</v>
      </c>
      <c r="E1317" t="s">
        <v>1643</v>
      </c>
      <c r="F1317" t="s">
        <v>6958</v>
      </c>
      <c r="G1317" s="3"/>
      <c r="H1317" s="21">
        <v>0</v>
      </c>
      <c r="I1317" s="21">
        <v>0</v>
      </c>
      <c r="J1317" s="21">
        <v>0</v>
      </c>
      <c r="K1317" s="21">
        <v>0</v>
      </c>
      <c r="L1317" s="3">
        <f t="shared" si="63"/>
        <v>0</v>
      </c>
      <c r="M1317" s="3"/>
      <c r="N1317" s="3">
        <f t="shared" si="64"/>
        <v>0</v>
      </c>
      <c r="R1317" s="89"/>
      <c r="S1317" s="89">
        <f>100%-Table34[[#This Row],[PDF_initial fee]]</f>
        <v>1</v>
      </c>
      <c r="T1317" s="89"/>
      <c r="U1317" s="26"/>
    </row>
    <row r="1318" spans="1:30" hidden="1" x14ac:dyDescent="0.25">
      <c r="A1318">
        <v>402963</v>
      </c>
      <c r="B1318" t="s">
        <v>1645</v>
      </c>
      <c r="C1318" t="s">
        <v>29856</v>
      </c>
      <c r="D1318">
        <v>3</v>
      </c>
      <c r="E1318" t="s">
        <v>1645</v>
      </c>
      <c r="G1318" s="3"/>
      <c r="H1318" s="3">
        <v>0</v>
      </c>
      <c r="I1318" s="3">
        <v>0</v>
      </c>
      <c r="J1318" s="3">
        <v>0</v>
      </c>
      <c r="K1318" s="3">
        <v>0</v>
      </c>
      <c r="L1318" s="3">
        <f t="shared" si="63"/>
        <v>0</v>
      </c>
      <c r="M1318" s="3"/>
      <c r="N1318" s="3">
        <f t="shared" si="64"/>
        <v>0</v>
      </c>
      <c r="R1318" s="89"/>
      <c r="S1318" s="89">
        <f>100%-Table34[[#This Row],[PDF_initial fee]]</f>
        <v>1</v>
      </c>
      <c r="T1318" s="89"/>
      <c r="U1318" s="26"/>
    </row>
    <row r="1319" spans="1:30" hidden="1" x14ac:dyDescent="0.25">
      <c r="A1319">
        <v>403014</v>
      </c>
      <c r="B1319" t="s">
        <v>1647</v>
      </c>
      <c r="C1319" t="s">
        <v>11744</v>
      </c>
      <c r="D1319">
        <v>5</v>
      </c>
      <c r="E1319" t="s">
        <v>1647</v>
      </c>
      <c r="G1319" s="3"/>
      <c r="L1319" s="3">
        <f t="shared" si="63"/>
        <v>0</v>
      </c>
      <c r="M1319" s="3"/>
      <c r="N1319" s="3">
        <f t="shared" si="64"/>
        <v>0</v>
      </c>
      <c r="R1319" s="89"/>
      <c r="S1319" s="89">
        <f>100%-Table34[[#This Row],[PDF_initial fee]]</f>
        <v>1</v>
      </c>
      <c r="T1319" s="89"/>
      <c r="U1319" s="26"/>
    </row>
    <row r="1320" spans="1:30" hidden="1" x14ac:dyDescent="0.25">
      <c r="A1320">
        <v>403017</v>
      </c>
      <c r="B1320" t="s">
        <v>1648</v>
      </c>
      <c r="C1320" t="s">
        <v>7084</v>
      </c>
      <c r="D1320">
        <v>1</v>
      </c>
      <c r="E1320" t="s">
        <v>1648</v>
      </c>
      <c r="G1320" s="3"/>
      <c r="H1320" s="21">
        <v>0</v>
      </c>
      <c r="I1320" s="21">
        <v>0</v>
      </c>
      <c r="J1320" s="21">
        <v>0</v>
      </c>
      <c r="K1320" s="21">
        <v>0</v>
      </c>
      <c r="L1320" s="3">
        <f t="shared" si="63"/>
        <v>0</v>
      </c>
      <c r="M1320" s="3"/>
      <c r="N1320" s="3">
        <f t="shared" si="64"/>
        <v>0</v>
      </c>
      <c r="R1320" s="89"/>
      <c r="S1320" s="89">
        <f>100%-Table34[[#This Row],[PDF_initial fee]]</f>
        <v>1</v>
      </c>
      <c r="T1320" s="89"/>
      <c r="U1320" s="26"/>
    </row>
    <row r="1321" spans="1:30" hidden="1" x14ac:dyDescent="0.25">
      <c r="A1321">
        <v>403030</v>
      </c>
      <c r="B1321" t="s">
        <v>1649</v>
      </c>
      <c r="C1321" t="s">
        <v>6958</v>
      </c>
      <c r="D1321">
        <v>1</v>
      </c>
      <c r="E1321" t="s">
        <v>1649</v>
      </c>
      <c r="F1321" t="s">
        <v>6958</v>
      </c>
      <c r="G1321" s="3"/>
      <c r="L1321" s="3">
        <f t="shared" si="63"/>
        <v>0</v>
      </c>
      <c r="M1321" s="3"/>
      <c r="N1321" s="3">
        <f t="shared" si="64"/>
        <v>0</v>
      </c>
      <c r="R1321" s="89"/>
      <c r="S1321" s="89">
        <f>100%-Table34[[#This Row],[PDF_initial fee]]</f>
        <v>1</v>
      </c>
      <c r="T1321" s="89"/>
      <c r="U1321" s="26"/>
    </row>
    <row r="1322" spans="1:30" hidden="1" x14ac:dyDescent="0.25">
      <c r="A1322">
        <v>403031</v>
      </c>
      <c r="B1322" t="s">
        <v>1650</v>
      </c>
      <c r="C1322" t="s">
        <v>6958</v>
      </c>
      <c r="D1322">
        <v>1</v>
      </c>
      <c r="E1322" t="s">
        <v>1650</v>
      </c>
      <c r="F1322" t="s">
        <v>6958</v>
      </c>
      <c r="G1322" s="3"/>
      <c r="H1322" s="21">
        <v>0</v>
      </c>
      <c r="I1322" s="21">
        <v>0</v>
      </c>
      <c r="J1322" s="21">
        <v>0</v>
      </c>
      <c r="K1322" s="21">
        <v>0</v>
      </c>
      <c r="L1322" s="3">
        <f t="shared" si="63"/>
        <v>0</v>
      </c>
      <c r="M1322" s="3"/>
      <c r="N1322" s="3">
        <f t="shared" si="64"/>
        <v>0</v>
      </c>
      <c r="R1322" s="89"/>
      <c r="S1322" s="89">
        <f>100%-Table34[[#This Row],[PDF_initial fee]]</f>
        <v>1</v>
      </c>
      <c r="T1322" s="89"/>
      <c r="U1322" s="26"/>
    </row>
    <row r="1323" spans="1:30" hidden="1" x14ac:dyDescent="0.25">
      <c r="A1323">
        <v>403035</v>
      </c>
      <c r="B1323" t="s">
        <v>1651</v>
      </c>
      <c r="C1323" t="s">
        <v>29857</v>
      </c>
      <c r="D1323">
        <v>2</v>
      </c>
      <c r="E1323" t="s">
        <v>1651</v>
      </c>
      <c r="G1323" s="3"/>
      <c r="H1323" s="21">
        <v>0</v>
      </c>
      <c r="I1323" s="21">
        <v>0</v>
      </c>
      <c r="J1323" s="21">
        <v>0</v>
      </c>
      <c r="K1323" s="21">
        <v>0</v>
      </c>
      <c r="L1323" s="3">
        <f t="shared" si="63"/>
        <v>0</v>
      </c>
      <c r="M1323" s="3"/>
      <c r="N1323" s="3">
        <f t="shared" si="64"/>
        <v>0</v>
      </c>
      <c r="O1323" s="21"/>
      <c r="R1323" s="89"/>
      <c r="S1323" s="89">
        <f>100%-Table34[[#This Row],[PDF_initial fee]]</f>
        <v>1</v>
      </c>
      <c r="T1323" s="89"/>
      <c r="U1323" s="26"/>
    </row>
    <row r="1324" spans="1:30" hidden="1" x14ac:dyDescent="0.25">
      <c r="A1324">
        <v>403139</v>
      </c>
      <c r="B1324" t="s">
        <v>1652</v>
      </c>
      <c r="C1324" t="s">
        <v>29858</v>
      </c>
      <c r="D1324">
        <v>0</v>
      </c>
      <c r="E1324" t="s">
        <v>1652</v>
      </c>
      <c r="F1324" t="s">
        <v>29136</v>
      </c>
      <c r="G1324" s="3"/>
      <c r="H1324" s="21">
        <v>0</v>
      </c>
      <c r="I1324" s="21">
        <v>0</v>
      </c>
      <c r="J1324" s="21">
        <v>0</v>
      </c>
      <c r="K1324" s="21">
        <v>0</v>
      </c>
      <c r="L1324" s="3">
        <f t="shared" si="63"/>
        <v>0</v>
      </c>
      <c r="M1324" s="3"/>
      <c r="N1324" s="3">
        <f t="shared" si="64"/>
        <v>0</v>
      </c>
      <c r="O1324" s="21"/>
      <c r="R1324" s="89"/>
      <c r="S1324" s="89">
        <f>100%-Table34[[#This Row],[PDF_initial fee]]</f>
        <v>1</v>
      </c>
      <c r="T1324" s="89"/>
      <c r="U1324" s="26"/>
    </row>
    <row r="1325" spans="1:30" hidden="1" x14ac:dyDescent="0.25">
      <c r="A1325">
        <v>403154</v>
      </c>
      <c r="B1325" t="s">
        <v>1653</v>
      </c>
      <c r="C1325" t="s">
        <v>12356</v>
      </c>
      <c r="D1325">
        <v>3</v>
      </c>
      <c r="E1325" t="s">
        <v>1653</v>
      </c>
      <c r="G1325" s="3"/>
      <c r="H1325" s="21">
        <v>0</v>
      </c>
      <c r="I1325" s="21">
        <v>0</v>
      </c>
      <c r="J1325" s="21">
        <v>0</v>
      </c>
      <c r="K1325" s="21">
        <v>0</v>
      </c>
      <c r="L1325" s="3">
        <f t="shared" si="63"/>
        <v>0</v>
      </c>
      <c r="M1325" s="3"/>
      <c r="N1325" s="3">
        <f t="shared" si="64"/>
        <v>0</v>
      </c>
      <c r="R1325" s="89"/>
      <c r="S1325" s="89">
        <f>100%-Table34[[#This Row],[PDF_initial fee]]</f>
        <v>1</v>
      </c>
      <c r="T1325" s="89"/>
      <c r="U1325" s="26"/>
    </row>
    <row r="1326" spans="1:30" x14ac:dyDescent="0.25">
      <c r="A1326">
        <v>912090</v>
      </c>
      <c r="B1326" t="s">
        <v>322</v>
      </c>
      <c r="C1326" t="s">
        <v>11828</v>
      </c>
      <c r="D1326">
        <v>5</v>
      </c>
      <c r="E1326" t="s">
        <v>322</v>
      </c>
      <c r="F1326" t="s">
        <v>3</v>
      </c>
      <c r="G1326" s="3">
        <v>1.4E-3</v>
      </c>
      <c r="H1326" s="3">
        <f>2.8%+1.2%</f>
        <v>3.9999999999999994E-2</v>
      </c>
      <c r="I1326" s="3">
        <v>2.1000000000000001E-2</v>
      </c>
      <c r="J1326" s="6"/>
      <c r="K1326" s="6"/>
      <c r="L1326" s="3">
        <f t="shared" si="63"/>
        <v>6.0999999999999999E-2</v>
      </c>
      <c r="M1326" s="3"/>
      <c r="N1326" s="3">
        <f t="shared" si="64"/>
        <v>6.2399999999999997E-2</v>
      </c>
      <c r="O1326" t="s">
        <v>29859</v>
      </c>
      <c r="P1326" s="31" t="s">
        <v>29860</v>
      </c>
      <c r="Q1326" t="s">
        <v>31787</v>
      </c>
      <c r="R1326" s="89">
        <v>0.33333333333333348</v>
      </c>
      <c r="S1326" s="89">
        <f>100%-Table34[[#This Row],[InitialFee]]</f>
        <v>0.96</v>
      </c>
      <c r="T1326" s="89">
        <f>(1-Table34[[#This Row],[OngoingFee (plus Platform fee)]])^5</f>
        <v>0.89931835832089901</v>
      </c>
      <c r="U1326" s="26">
        <f>(1+Table34[[#This Row],[Net 5yrs return (mostly up to 28th of Feb 2026)]])*Table34[[#This Row],[Investment after initial charge]]*Table34[[#This Row],[Cummulative 5yrs ongoing advice charge]]-1</f>
        <v>0.1511274986507507</v>
      </c>
      <c r="V1326">
        <f>41989+73445</f>
        <v>115434</v>
      </c>
      <c r="W1326" t="s">
        <v>29051</v>
      </c>
      <c r="X1326" s="9">
        <v>41989</v>
      </c>
      <c r="Y1326" s="30">
        <f>X1326/V1326</f>
        <v>0.36374898210232687</v>
      </c>
      <c r="AA1326" s="1" t="s">
        <v>29861</v>
      </c>
      <c r="AB1326" t="s">
        <v>29302</v>
      </c>
      <c r="AD1326" t="s">
        <v>29860</v>
      </c>
    </row>
    <row r="1327" spans="1:30" hidden="1" x14ac:dyDescent="0.25">
      <c r="A1327">
        <v>403210</v>
      </c>
      <c r="B1327" t="s">
        <v>1654</v>
      </c>
      <c r="C1327" t="s">
        <v>29862</v>
      </c>
      <c r="D1327">
        <v>3</v>
      </c>
      <c r="E1327" t="s">
        <v>1654</v>
      </c>
      <c r="G1327" s="3"/>
      <c r="H1327" s="3">
        <v>0</v>
      </c>
      <c r="I1327" s="3">
        <v>0</v>
      </c>
      <c r="J1327" s="3">
        <v>0</v>
      </c>
      <c r="K1327" s="3">
        <v>0</v>
      </c>
      <c r="L1327" s="3">
        <f t="shared" si="63"/>
        <v>0</v>
      </c>
      <c r="M1327" s="3"/>
      <c r="N1327" s="3">
        <f t="shared" si="64"/>
        <v>0</v>
      </c>
      <c r="R1327" s="89"/>
      <c r="S1327" s="89">
        <f>100%-Table34[[#This Row],[PDF_initial fee]]</f>
        <v>1</v>
      </c>
      <c r="T1327" s="89"/>
      <c r="U1327" s="26"/>
    </row>
    <row r="1328" spans="1:30" hidden="1" x14ac:dyDescent="0.25">
      <c r="A1328">
        <v>403248</v>
      </c>
      <c r="B1328" t="s">
        <v>1655</v>
      </c>
      <c r="C1328" t="s">
        <v>6958</v>
      </c>
      <c r="D1328">
        <v>3</v>
      </c>
      <c r="E1328" t="s">
        <v>1655</v>
      </c>
      <c r="F1328" t="s">
        <v>6958</v>
      </c>
      <c r="G1328" s="3"/>
      <c r="H1328" s="21">
        <v>0</v>
      </c>
      <c r="I1328" s="21">
        <v>0</v>
      </c>
      <c r="J1328" s="21">
        <v>0</v>
      </c>
      <c r="K1328" s="21">
        <v>0</v>
      </c>
      <c r="L1328" s="3">
        <f t="shared" si="63"/>
        <v>0</v>
      </c>
      <c r="M1328" s="3"/>
      <c r="N1328" s="3">
        <f t="shared" si="64"/>
        <v>0</v>
      </c>
      <c r="R1328" s="89"/>
      <c r="S1328" s="89">
        <f>100%-Table34[[#This Row],[PDF_initial fee]]</f>
        <v>1</v>
      </c>
      <c r="T1328" s="89"/>
      <c r="U1328" s="26"/>
    </row>
    <row r="1329" spans="1:21" hidden="1" x14ac:dyDescent="0.25">
      <c r="A1329">
        <v>403259</v>
      </c>
      <c r="B1329" t="s">
        <v>1656</v>
      </c>
      <c r="C1329" t="s">
        <v>9181</v>
      </c>
      <c r="D1329">
        <v>4</v>
      </c>
      <c r="E1329" t="s">
        <v>1656</v>
      </c>
      <c r="G1329" s="3"/>
      <c r="H1329" s="21">
        <v>0</v>
      </c>
      <c r="I1329" s="21">
        <v>0</v>
      </c>
      <c r="J1329" s="21">
        <v>0</v>
      </c>
      <c r="K1329" s="21">
        <v>0</v>
      </c>
      <c r="L1329" s="3">
        <f t="shared" si="63"/>
        <v>0</v>
      </c>
      <c r="M1329" s="3"/>
      <c r="N1329" s="3">
        <f t="shared" si="64"/>
        <v>0</v>
      </c>
      <c r="R1329" s="89"/>
      <c r="S1329" s="89">
        <f>100%-Table34[[#This Row],[PDF_initial fee]]</f>
        <v>1</v>
      </c>
      <c r="T1329" s="89"/>
      <c r="U1329" s="26"/>
    </row>
    <row r="1330" spans="1:21" hidden="1" x14ac:dyDescent="0.25">
      <c r="A1330">
        <v>403304</v>
      </c>
      <c r="B1330" t="s">
        <v>1657</v>
      </c>
      <c r="C1330" t="s">
        <v>29863</v>
      </c>
      <c r="D1330">
        <v>0</v>
      </c>
      <c r="E1330" t="s">
        <v>1657</v>
      </c>
      <c r="F1330" t="s">
        <v>29136</v>
      </c>
      <c r="G1330" s="3"/>
      <c r="H1330" s="21">
        <v>0</v>
      </c>
      <c r="I1330" s="21">
        <v>0</v>
      </c>
      <c r="J1330" s="21">
        <v>0</v>
      </c>
      <c r="K1330" s="21">
        <v>0</v>
      </c>
      <c r="L1330" s="3">
        <f t="shared" si="63"/>
        <v>0</v>
      </c>
      <c r="M1330" s="3"/>
      <c r="N1330" s="3">
        <f t="shared" si="64"/>
        <v>0</v>
      </c>
      <c r="O1330" s="21"/>
      <c r="R1330" s="89"/>
      <c r="S1330" s="89">
        <f>100%-Table34[[#This Row],[PDF_initial fee]]</f>
        <v>1</v>
      </c>
      <c r="T1330" s="89"/>
      <c r="U1330" s="26"/>
    </row>
    <row r="1331" spans="1:21" hidden="1" x14ac:dyDescent="0.25">
      <c r="A1331">
        <v>403308</v>
      </c>
      <c r="B1331" t="s">
        <v>1658</v>
      </c>
      <c r="C1331" t="s">
        <v>12551</v>
      </c>
      <c r="D1331">
        <v>3</v>
      </c>
      <c r="E1331" t="s">
        <v>1658</v>
      </c>
      <c r="G1331" s="3"/>
      <c r="H1331" s="21">
        <v>0</v>
      </c>
      <c r="I1331" s="21">
        <v>0</v>
      </c>
      <c r="J1331" s="21">
        <v>0</v>
      </c>
      <c r="K1331" s="21">
        <v>0</v>
      </c>
      <c r="L1331" s="3">
        <f t="shared" si="63"/>
        <v>0</v>
      </c>
      <c r="M1331" s="3"/>
      <c r="N1331" s="3">
        <f t="shared" si="64"/>
        <v>0</v>
      </c>
      <c r="R1331" s="89"/>
      <c r="S1331" s="89">
        <f>100%-Table34[[#This Row],[PDF_initial fee]]</f>
        <v>1</v>
      </c>
      <c r="T1331" s="89"/>
      <c r="U1331" s="26"/>
    </row>
    <row r="1332" spans="1:21" hidden="1" x14ac:dyDescent="0.25">
      <c r="A1332">
        <v>403360</v>
      </c>
      <c r="B1332" t="s">
        <v>1659</v>
      </c>
      <c r="C1332" t="s">
        <v>7669</v>
      </c>
      <c r="D1332">
        <v>0</v>
      </c>
      <c r="E1332" t="s">
        <v>1659</v>
      </c>
      <c r="G1332" s="3"/>
      <c r="L1332" s="3">
        <f t="shared" si="63"/>
        <v>0</v>
      </c>
      <c r="M1332" s="3"/>
      <c r="N1332" s="3">
        <f t="shared" si="64"/>
        <v>0</v>
      </c>
      <c r="Q1332" t="s">
        <v>29864</v>
      </c>
      <c r="R1332" s="89"/>
      <c r="S1332" s="89">
        <f>100%-Table34[[#This Row],[PDF_initial fee]]</f>
        <v>1</v>
      </c>
      <c r="T1332" s="89"/>
      <c r="U1332" s="26"/>
    </row>
    <row r="1333" spans="1:21" hidden="1" x14ac:dyDescent="0.25">
      <c r="A1333">
        <v>403433</v>
      </c>
      <c r="B1333" t="s">
        <v>1660</v>
      </c>
      <c r="C1333" t="s">
        <v>6958</v>
      </c>
      <c r="D1333">
        <v>1</v>
      </c>
      <c r="E1333" t="s">
        <v>1660</v>
      </c>
      <c r="F1333" t="s">
        <v>6958</v>
      </c>
      <c r="G1333" s="3"/>
      <c r="H1333" s="21">
        <v>0</v>
      </c>
      <c r="I1333" s="21">
        <v>0</v>
      </c>
      <c r="J1333" s="21">
        <v>0</v>
      </c>
      <c r="K1333" s="21">
        <v>0</v>
      </c>
      <c r="L1333" s="3">
        <f t="shared" si="63"/>
        <v>0</v>
      </c>
      <c r="M1333" s="3"/>
      <c r="N1333" s="3">
        <f t="shared" si="64"/>
        <v>0</v>
      </c>
      <c r="R1333" s="89"/>
      <c r="S1333" s="89">
        <f>100%-Table34[[#This Row],[PDF_initial fee]]</f>
        <v>1</v>
      </c>
      <c r="T1333" s="89"/>
      <c r="U1333" s="26"/>
    </row>
    <row r="1334" spans="1:21" hidden="1" x14ac:dyDescent="0.25">
      <c r="A1334">
        <v>403456</v>
      </c>
      <c r="B1334" t="s">
        <v>1661</v>
      </c>
      <c r="C1334" t="s">
        <v>29865</v>
      </c>
      <c r="D1334">
        <v>2</v>
      </c>
      <c r="E1334" t="s">
        <v>1661</v>
      </c>
      <c r="G1334" s="3"/>
      <c r="H1334" s="21">
        <v>0</v>
      </c>
      <c r="I1334" s="21">
        <v>0</v>
      </c>
      <c r="J1334" s="21">
        <v>0</v>
      </c>
      <c r="K1334" s="21">
        <v>0</v>
      </c>
      <c r="L1334" s="3">
        <f t="shared" si="63"/>
        <v>0</v>
      </c>
      <c r="M1334" s="3"/>
      <c r="N1334" s="3">
        <f t="shared" si="64"/>
        <v>0</v>
      </c>
      <c r="O1334" s="21"/>
      <c r="R1334" s="89"/>
      <c r="S1334" s="89">
        <f>100%-Table34[[#This Row],[PDF_initial fee]]</f>
        <v>1</v>
      </c>
      <c r="T1334" s="89"/>
      <c r="U1334" s="26"/>
    </row>
    <row r="1335" spans="1:21" hidden="1" x14ac:dyDescent="0.25">
      <c r="A1335">
        <v>403458</v>
      </c>
      <c r="B1335" t="s">
        <v>1662</v>
      </c>
      <c r="C1335" t="s">
        <v>11908</v>
      </c>
      <c r="D1335">
        <v>1</v>
      </c>
      <c r="E1335" t="s">
        <v>1662</v>
      </c>
      <c r="G1335" s="3"/>
      <c r="H1335" s="21">
        <v>0</v>
      </c>
      <c r="I1335" s="21">
        <v>0</v>
      </c>
      <c r="J1335" s="21">
        <v>0</v>
      </c>
      <c r="K1335" s="21">
        <v>0</v>
      </c>
      <c r="L1335" s="3">
        <f t="shared" si="63"/>
        <v>0</v>
      </c>
      <c r="M1335" s="3"/>
      <c r="N1335" s="3">
        <f t="shared" si="64"/>
        <v>0</v>
      </c>
      <c r="R1335" s="89"/>
      <c r="S1335" s="89">
        <f>100%-Table34[[#This Row],[PDF_initial fee]]</f>
        <v>1</v>
      </c>
      <c r="T1335" s="89"/>
      <c r="U1335" s="26"/>
    </row>
    <row r="1336" spans="1:21" hidden="1" x14ac:dyDescent="0.25">
      <c r="A1336">
        <v>403464</v>
      </c>
      <c r="B1336" t="s">
        <v>1663</v>
      </c>
      <c r="C1336" t="s">
        <v>8375</v>
      </c>
      <c r="D1336">
        <v>1</v>
      </c>
      <c r="E1336" t="s">
        <v>1663</v>
      </c>
      <c r="G1336" s="3"/>
      <c r="H1336" s="21">
        <v>0</v>
      </c>
      <c r="I1336" s="21">
        <v>0</v>
      </c>
      <c r="J1336" s="21">
        <v>0</v>
      </c>
      <c r="K1336" s="21">
        <v>0</v>
      </c>
      <c r="L1336" s="3">
        <f t="shared" si="63"/>
        <v>0</v>
      </c>
      <c r="M1336" s="3"/>
      <c r="N1336" s="3">
        <f t="shared" si="64"/>
        <v>0</v>
      </c>
      <c r="R1336" s="89"/>
      <c r="S1336" s="89">
        <f>100%-Table34[[#This Row],[PDF_initial fee]]</f>
        <v>1</v>
      </c>
      <c r="T1336" s="89"/>
      <c r="U1336" s="26"/>
    </row>
    <row r="1337" spans="1:21" hidden="1" x14ac:dyDescent="0.25">
      <c r="A1337">
        <v>403595</v>
      </c>
      <c r="B1337" t="s">
        <v>1664</v>
      </c>
      <c r="C1337" t="s">
        <v>6958</v>
      </c>
      <c r="D1337">
        <v>1</v>
      </c>
      <c r="E1337" t="s">
        <v>1664</v>
      </c>
      <c r="F1337" t="s">
        <v>6958</v>
      </c>
      <c r="G1337" s="3"/>
      <c r="H1337" s="21">
        <v>0</v>
      </c>
      <c r="I1337" s="21">
        <v>0</v>
      </c>
      <c r="J1337" s="21">
        <v>0</v>
      </c>
      <c r="K1337" s="21">
        <v>0</v>
      </c>
      <c r="L1337" s="3">
        <f t="shared" si="63"/>
        <v>0</v>
      </c>
      <c r="M1337" s="3"/>
      <c r="N1337" s="3">
        <f t="shared" si="64"/>
        <v>0</v>
      </c>
      <c r="R1337" s="89"/>
      <c r="S1337" s="89">
        <f>100%-Table34[[#This Row],[PDF_initial fee]]</f>
        <v>1</v>
      </c>
      <c r="T1337" s="89"/>
      <c r="U1337" s="26"/>
    </row>
    <row r="1338" spans="1:21" hidden="1" x14ac:dyDescent="0.25">
      <c r="A1338">
        <v>403708</v>
      </c>
      <c r="B1338" t="s">
        <v>1665</v>
      </c>
      <c r="C1338" t="s">
        <v>8483</v>
      </c>
      <c r="D1338">
        <v>1</v>
      </c>
      <c r="E1338" t="s">
        <v>1665</v>
      </c>
      <c r="G1338" s="3"/>
      <c r="H1338" s="21">
        <v>0</v>
      </c>
      <c r="I1338" s="21">
        <v>0</v>
      </c>
      <c r="J1338" s="21">
        <v>0</v>
      </c>
      <c r="K1338" s="21">
        <v>0</v>
      </c>
      <c r="L1338" s="3">
        <f t="shared" si="63"/>
        <v>0</v>
      </c>
      <c r="M1338" s="3"/>
      <c r="N1338" s="3">
        <f t="shared" si="64"/>
        <v>0</v>
      </c>
      <c r="R1338" s="89"/>
      <c r="S1338" s="89">
        <f>100%-Table34[[#This Row],[PDF_initial fee]]</f>
        <v>1</v>
      </c>
      <c r="T1338" s="89"/>
      <c r="U1338" s="26"/>
    </row>
    <row r="1339" spans="1:21" hidden="1" x14ac:dyDescent="0.25">
      <c r="A1339">
        <v>403721</v>
      </c>
      <c r="B1339" t="s">
        <v>1666</v>
      </c>
      <c r="C1339" t="s">
        <v>29866</v>
      </c>
      <c r="D1339">
        <v>0</v>
      </c>
      <c r="E1339" t="s">
        <v>1666</v>
      </c>
      <c r="F1339" t="s">
        <v>29136</v>
      </c>
      <c r="G1339" s="3"/>
      <c r="H1339" s="21">
        <v>0</v>
      </c>
      <c r="I1339" s="21">
        <v>0</v>
      </c>
      <c r="J1339" s="21">
        <v>0</v>
      </c>
      <c r="K1339" s="21">
        <v>0</v>
      </c>
      <c r="L1339" s="3">
        <f t="shared" si="63"/>
        <v>0</v>
      </c>
      <c r="M1339" s="3"/>
      <c r="N1339" s="3">
        <f t="shared" si="64"/>
        <v>0</v>
      </c>
      <c r="O1339" s="21"/>
      <c r="R1339" s="89"/>
      <c r="S1339" s="89">
        <f>100%-Table34[[#This Row],[PDF_initial fee]]</f>
        <v>1</v>
      </c>
      <c r="T1339" s="89"/>
      <c r="U1339" s="26"/>
    </row>
    <row r="1340" spans="1:21" hidden="1" x14ac:dyDescent="0.25">
      <c r="A1340">
        <v>407373</v>
      </c>
      <c r="B1340" t="s">
        <v>1667</v>
      </c>
      <c r="C1340" t="s">
        <v>6958</v>
      </c>
      <c r="D1340">
        <v>1</v>
      </c>
      <c r="E1340" t="s">
        <v>1667</v>
      </c>
      <c r="F1340" t="s">
        <v>6958</v>
      </c>
      <c r="G1340" s="3"/>
      <c r="H1340" s="21">
        <v>0</v>
      </c>
      <c r="I1340" s="21">
        <v>0</v>
      </c>
      <c r="J1340" s="21">
        <v>0</v>
      </c>
      <c r="K1340" s="21">
        <v>0</v>
      </c>
      <c r="L1340" s="3">
        <f t="shared" si="63"/>
        <v>0</v>
      </c>
      <c r="M1340" s="3"/>
      <c r="N1340" s="3">
        <f t="shared" si="64"/>
        <v>0</v>
      </c>
      <c r="R1340" s="89"/>
      <c r="S1340" s="89">
        <f>100%-Table34[[#This Row],[PDF_initial fee]]</f>
        <v>1</v>
      </c>
      <c r="T1340" s="89"/>
      <c r="U1340" s="26"/>
    </row>
    <row r="1341" spans="1:21" hidden="1" x14ac:dyDescent="0.25">
      <c r="A1341">
        <v>407875</v>
      </c>
      <c r="B1341" t="s">
        <v>1668</v>
      </c>
      <c r="C1341" t="s">
        <v>6958</v>
      </c>
      <c r="D1341">
        <v>1</v>
      </c>
      <c r="E1341" t="s">
        <v>1668</v>
      </c>
      <c r="F1341" t="s">
        <v>6958</v>
      </c>
      <c r="G1341" s="3"/>
      <c r="H1341" s="21">
        <v>0</v>
      </c>
      <c r="I1341" s="21">
        <v>0</v>
      </c>
      <c r="J1341" s="21">
        <v>0</v>
      </c>
      <c r="K1341" s="21">
        <v>0</v>
      </c>
      <c r="L1341" s="3">
        <f t="shared" si="63"/>
        <v>0</v>
      </c>
      <c r="M1341" s="3"/>
      <c r="N1341" s="3">
        <f t="shared" si="64"/>
        <v>0</v>
      </c>
      <c r="R1341" s="89"/>
      <c r="S1341" s="89">
        <f>100%-Table34[[#This Row],[PDF_initial fee]]</f>
        <v>1</v>
      </c>
      <c r="T1341" s="89"/>
      <c r="U1341" s="26"/>
    </row>
    <row r="1342" spans="1:21" hidden="1" x14ac:dyDescent="0.25">
      <c r="A1342">
        <v>407889</v>
      </c>
      <c r="B1342" t="s">
        <v>1669</v>
      </c>
      <c r="C1342" t="s">
        <v>29867</v>
      </c>
      <c r="D1342">
        <v>17</v>
      </c>
      <c r="E1342" t="s">
        <v>1669</v>
      </c>
      <c r="G1342" s="3"/>
      <c r="H1342" s="3">
        <v>0</v>
      </c>
      <c r="I1342" s="3">
        <v>0</v>
      </c>
      <c r="J1342" s="3">
        <v>0</v>
      </c>
      <c r="K1342" s="3">
        <v>0</v>
      </c>
      <c r="L1342" s="3">
        <f t="shared" ref="L1342:L1405" si="65">SUM(H1342:K1342)</f>
        <v>0</v>
      </c>
      <c r="M1342" s="3"/>
      <c r="N1342" s="3">
        <f t="shared" ref="N1342:N1405" si="66">L1342+G1342</f>
        <v>0</v>
      </c>
      <c r="R1342" s="89"/>
      <c r="S1342" s="89">
        <f>100%-Table34[[#This Row],[PDF_initial fee]]</f>
        <v>1</v>
      </c>
      <c r="T1342" s="89"/>
      <c r="U1342" s="26"/>
    </row>
    <row r="1343" spans="1:21" hidden="1" x14ac:dyDescent="0.25">
      <c r="A1343">
        <v>407900</v>
      </c>
      <c r="B1343" t="s">
        <v>1670</v>
      </c>
      <c r="C1343" t="s">
        <v>10855</v>
      </c>
      <c r="D1343">
        <v>2</v>
      </c>
      <c r="E1343" t="s">
        <v>1670</v>
      </c>
      <c r="G1343" s="3"/>
      <c r="H1343" s="21">
        <v>0</v>
      </c>
      <c r="I1343" s="21">
        <v>0</v>
      </c>
      <c r="J1343" s="21">
        <v>0</v>
      </c>
      <c r="K1343" s="21">
        <v>0</v>
      </c>
      <c r="L1343" s="3">
        <f t="shared" si="65"/>
        <v>0</v>
      </c>
      <c r="M1343" s="3"/>
      <c r="N1343" s="3">
        <f t="shared" si="66"/>
        <v>0</v>
      </c>
      <c r="R1343" s="89"/>
      <c r="S1343" s="89">
        <f>100%-Table34[[#This Row],[PDF_initial fee]]</f>
        <v>1</v>
      </c>
      <c r="T1343" s="89"/>
      <c r="U1343" s="26"/>
    </row>
    <row r="1344" spans="1:21" hidden="1" x14ac:dyDescent="0.25">
      <c r="A1344">
        <v>408054</v>
      </c>
      <c r="B1344" t="s">
        <v>1671</v>
      </c>
      <c r="C1344" t="s">
        <v>9829</v>
      </c>
      <c r="D1344">
        <v>1</v>
      </c>
      <c r="E1344" t="s">
        <v>1671</v>
      </c>
      <c r="G1344" s="3"/>
      <c r="H1344" s="21">
        <v>0</v>
      </c>
      <c r="I1344" s="21">
        <v>0</v>
      </c>
      <c r="J1344" s="21">
        <v>0</v>
      </c>
      <c r="K1344" s="21">
        <v>0</v>
      </c>
      <c r="L1344" s="3">
        <f t="shared" si="65"/>
        <v>0</v>
      </c>
      <c r="M1344" s="3"/>
      <c r="N1344" s="3">
        <f t="shared" si="66"/>
        <v>0</v>
      </c>
      <c r="R1344" s="89"/>
      <c r="S1344" s="89">
        <f>100%-Table34[[#This Row],[PDF_initial fee]]</f>
        <v>1</v>
      </c>
      <c r="T1344" s="89"/>
      <c r="U1344" s="26"/>
    </row>
    <row r="1345" spans="1:27" x14ac:dyDescent="0.25">
      <c r="A1345">
        <v>430562</v>
      </c>
      <c r="B1345" t="s">
        <v>155</v>
      </c>
      <c r="C1345" t="s">
        <v>11875</v>
      </c>
      <c r="D1345">
        <v>1</v>
      </c>
      <c r="E1345" t="s">
        <v>155</v>
      </c>
      <c r="F1345" t="s">
        <v>3</v>
      </c>
      <c r="G1345" s="3">
        <v>1.4E-3</v>
      </c>
      <c r="H1345" s="3">
        <v>0.03</v>
      </c>
      <c r="I1345" s="3">
        <v>6.4999999999999997E-3</v>
      </c>
      <c r="J1345" s="6"/>
      <c r="K1345" s="6"/>
      <c r="L1345" s="3">
        <f t="shared" si="65"/>
        <v>3.6499999999999998E-2</v>
      </c>
      <c r="M1345" s="3"/>
      <c r="N1345" s="3">
        <f t="shared" si="66"/>
        <v>3.7899999999999996E-2</v>
      </c>
      <c r="P1345" s="1" t="s">
        <v>29868</v>
      </c>
      <c r="Q1345" t="s">
        <v>31787</v>
      </c>
      <c r="R1345" s="89">
        <v>0.33333333333333348</v>
      </c>
      <c r="S1345" s="89">
        <f>100%-Table34[[#This Row],[InitialFee]]</f>
        <v>0.97</v>
      </c>
      <c r="T1345" s="89">
        <f>(1-Table34[[#This Row],[OngoingFee (plus Platform fee)]])^5</f>
        <v>0.96791976266370983</v>
      </c>
      <c r="U1345" s="26">
        <f>(1+Table34[[#This Row],[Net 5yrs return (mostly up to 28th of Feb 2026)]])*Table34[[#This Row],[Investment after initial charge]]*Table34[[#This Row],[Cummulative 5yrs ongoing advice charge]]-1</f>
        <v>0.25184289304506491</v>
      </c>
      <c r="V1345">
        <f>198828+8921</f>
        <v>207749</v>
      </c>
      <c r="W1345" t="s">
        <v>29051</v>
      </c>
      <c r="X1345" s="10">
        <v>119359</v>
      </c>
      <c r="Y1345" s="30">
        <f>X1345/V1345</f>
        <v>0.57453465479978238</v>
      </c>
      <c r="AA1345" s="1" t="s">
        <v>29869</v>
      </c>
    </row>
    <row r="1346" spans="1:27" hidden="1" x14ac:dyDescent="0.25">
      <c r="A1346">
        <v>408228</v>
      </c>
      <c r="B1346" t="s">
        <v>1673</v>
      </c>
      <c r="C1346" t="s">
        <v>6958</v>
      </c>
      <c r="D1346">
        <v>2</v>
      </c>
      <c r="E1346" t="s">
        <v>1673</v>
      </c>
      <c r="F1346" t="s">
        <v>6958</v>
      </c>
      <c r="G1346" s="3"/>
      <c r="H1346" s="21">
        <v>0</v>
      </c>
      <c r="I1346" s="21">
        <v>0</v>
      </c>
      <c r="J1346" s="21">
        <v>0</v>
      </c>
      <c r="K1346" s="21">
        <v>0</v>
      </c>
      <c r="L1346" s="3">
        <f t="shared" si="65"/>
        <v>0</v>
      </c>
      <c r="M1346" s="3"/>
      <c r="N1346" s="3">
        <f t="shared" si="66"/>
        <v>0</v>
      </c>
      <c r="R1346" s="89"/>
      <c r="S1346" s="89">
        <f>100%-Table34[[#This Row],[PDF_initial fee]]</f>
        <v>1</v>
      </c>
      <c r="T1346" s="89"/>
      <c r="U1346" s="26"/>
    </row>
    <row r="1347" spans="1:27" hidden="1" x14ac:dyDescent="0.25">
      <c r="A1347">
        <v>408233</v>
      </c>
      <c r="B1347" t="s">
        <v>1674</v>
      </c>
      <c r="C1347" t="s">
        <v>29870</v>
      </c>
      <c r="D1347">
        <v>1</v>
      </c>
      <c r="E1347" t="s">
        <v>1674</v>
      </c>
      <c r="G1347" s="3"/>
      <c r="H1347" s="3">
        <v>0</v>
      </c>
      <c r="I1347" s="3">
        <v>0</v>
      </c>
      <c r="J1347" s="3">
        <v>0</v>
      </c>
      <c r="K1347" s="3">
        <v>0</v>
      </c>
      <c r="L1347" s="3">
        <f t="shared" si="65"/>
        <v>0</v>
      </c>
      <c r="M1347" s="3"/>
      <c r="N1347" s="3">
        <f t="shared" si="66"/>
        <v>0</v>
      </c>
      <c r="R1347" s="89"/>
      <c r="S1347" s="89">
        <f>100%-Table34[[#This Row],[PDF_initial fee]]</f>
        <v>1</v>
      </c>
      <c r="T1347" s="89"/>
      <c r="U1347" s="26"/>
    </row>
    <row r="1348" spans="1:27" hidden="1" x14ac:dyDescent="0.25">
      <c r="A1348">
        <v>408280</v>
      </c>
      <c r="B1348" t="s">
        <v>1675</v>
      </c>
      <c r="C1348" t="s">
        <v>9715</v>
      </c>
      <c r="D1348">
        <v>2</v>
      </c>
      <c r="E1348" t="s">
        <v>1675</v>
      </c>
      <c r="G1348" s="3"/>
      <c r="L1348" s="3">
        <f t="shared" si="65"/>
        <v>0</v>
      </c>
      <c r="M1348" s="3"/>
      <c r="N1348" s="3">
        <f t="shared" si="66"/>
        <v>0</v>
      </c>
      <c r="R1348" s="89"/>
      <c r="S1348" s="89">
        <f>100%-Table34[[#This Row],[PDF_initial fee]]</f>
        <v>1</v>
      </c>
      <c r="T1348" s="89"/>
      <c r="U1348" s="26"/>
    </row>
    <row r="1349" spans="1:27" hidden="1" x14ac:dyDescent="0.25">
      <c r="A1349">
        <v>408285</v>
      </c>
      <c r="B1349" t="s">
        <v>1676</v>
      </c>
      <c r="C1349" t="s">
        <v>10849</v>
      </c>
      <c r="D1349">
        <v>858</v>
      </c>
      <c r="E1349" t="s">
        <v>1676</v>
      </c>
      <c r="G1349" s="3"/>
      <c r="H1349" s="21">
        <v>0</v>
      </c>
      <c r="I1349" s="21">
        <v>0</v>
      </c>
      <c r="J1349" s="21">
        <v>0</v>
      </c>
      <c r="K1349" s="21">
        <v>0</v>
      </c>
      <c r="L1349" s="3">
        <f t="shared" si="65"/>
        <v>0</v>
      </c>
      <c r="M1349" s="3"/>
      <c r="N1349" s="3">
        <f t="shared" si="66"/>
        <v>0</v>
      </c>
      <c r="O1349" t="s">
        <v>29871</v>
      </c>
      <c r="R1349" s="89"/>
      <c r="S1349" s="89">
        <f>100%-Table34[[#This Row],[PDF_initial fee]]</f>
        <v>1</v>
      </c>
      <c r="T1349" s="89"/>
      <c r="U1349" s="26"/>
    </row>
    <row r="1350" spans="1:27" hidden="1" x14ac:dyDescent="0.25">
      <c r="A1350">
        <v>408286</v>
      </c>
      <c r="B1350" t="s">
        <v>1677</v>
      </c>
      <c r="C1350" t="s">
        <v>29872</v>
      </c>
      <c r="D1350">
        <v>6</v>
      </c>
      <c r="E1350" t="s">
        <v>1677</v>
      </c>
      <c r="G1350" s="3"/>
      <c r="H1350" s="3">
        <v>0</v>
      </c>
      <c r="I1350" s="3">
        <v>0</v>
      </c>
      <c r="J1350" s="3">
        <v>0</v>
      </c>
      <c r="K1350" s="3">
        <v>0</v>
      </c>
      <c r="L1350" s="3">
        <f t="shared" si="65"/>
        <v>0</v>
      </c>
      <c r="M1350" s="3"/>
      <c r="N1350" s="3">
        <f t="shared" si="66"/>
        <v>0</v>
      </c>
      <c r="R1350" s="89"/>
      <c r="S1350" s="89">
        <f>100%-Table34[[#This Row],[PDF_initial fee]]</f>
        <v>1</v>
      </c>
      <c r="T1350" s="89"/>
      <c r="U1350" s="26"/>
    </row>
    <row r="1351" spans="1:27" hidden="1" x14ac:dyDescent="0.25">
      <c r="A1351">
        <v>408302</v>
      </c>
      <c r="B1351" t="s">
        <v>1678</v>
      </c>
      <c r="C1351" t="s">
        <v>6958</v>
      </c>
      <c r="D1351">
        <v>2</v>
      </c>
      <c r="E1351" t="s">
        <v>1678</v>
      </c>
      <c r="F1351" t="s">
        <v>6958</v>
      </c>
      <c r="G1351" s="3"/>
      <c r="H1351" s="21">
        <v>0</v>
      </c>
      <c r="I1351" s="21">
        <v>0</v>
      </c>
      <c r="J1351" s="21">
        <v>0</v>
      </c>
      <c r="K1351" s="21">
        <v>0</v>
      </c>
      <c r="L1351" s="3">
        <f t="shared" si="65"/>
        <v>0</v>
      </c>
      <c r="M1351" s="3"/>
      <c r="N1351" s="3">
        <f t="shared" si="66"/>
        <v>0</v>
      </c>
      <c r="R1351" s="89"/>
      <c r="S1351" s="89">
        <f>100%-Table34[[#This Row],[PDF_initial fee]]</f>
        <v>1</v>
      </c>
      <c r="T1351" s="89"/>
      <c r="U1351" s="26"/>
    </row>
    <row r="1352" spans="1:27" hidden="1" x14ac:dyDescent="0.25">
      <c r="A1352">
        <v>409034</v>
      </c>
      <c r="B1352" t="s">
        <v>1679</v>
      </c>
      <c r="C1352" t="s">
        <v>9403</v>
      </c>
      <c r="D1352">
        <v>5</v>
      </c>
      <c r="E1352" t="s">
        <v>1679</v>
      </c>
      <c r="G1352" s="3"/>
      <c r="L1352" s="3">
        <f t="shared" si="65"/>
        <v>0</v>
      </c>
      <c r="M1352" s="3"/>
      <c r="N1352" s="3">
        <f t="shared" si="66"/>
        <v>0</v>
      </c>
      <c r="R1352" s="89"/>
      <c r="S1352" s="89">
        <f>100%-Table34[[#This Row],[PDF_initial fee]]</f>
        <v>1</v>
      </c>
      <c r="T1352" s="89"/>
      <c r="U1352" s="26"/>
    </row>
    <row r="1353" spans="1:27" hidden="1" x14ac:dyDescent="0.25">
      <c r="A1353">
        <v>409051</v>
      </c>
      <c r="B1353" t="s">
        <v>1680</v>
      </c>
      <c r="C1353" t="s">
        <v>7451</v>
      </c>
      <c r="D1353">
        <v>6</v>
      </c>
      <c r="E1353" t="s">
        <v>1680</v>
      </c>
      <c r="G1353" s="3"/>
      <c r="H1353" s="21">
        <v>0</v>
      </c>
      <c r="I1353" s="21">
        <v>0</v>
      </c>
      <c r="J1353" s="21">
        <v>0</v>
      </c>
      <c r="K1353" s="21">
        <v>0</v>
      </c>
      <c r="L1353" s="3">
        <f t="shared" si="65"/>
        <v>0</v>
      </c>
      <c r="M1353" s="3"/>
      <c r="N1353" s="3">
        <f t="shared" si="66"/>
        <v>0</v>
      </c>
      <c r="R1353" s="89"/>
      <c r="S1353" s="89">
        <f>100%-Table34[[#This Row],[PDF_initial fee]]</f>
        <v>1</v>
      </c>
      <c r="T1353" s="89"/>
      <c r="U1353" s="26"/>
    </row>
    <row r="1354" spans="1:27" hidden="1" x14ac:dyDescent="0.25">
      <c r="A1354">
        <v>409085</v>
      </c>
      <c r="B1354" t="s">
        <v>1681</v>
      </c>
      <c r="C1354" t="s">
        <v>6958</v>
      </c>
      <c r="D1354">
        <v>1</v>
      </c>
      <c r="E1354" t="s">
        <v>1681</v>
      </c>
      <c r="F1354" t="s">
        <v>6958</v>
      </c>
      <c r="G1354" s="3"/>
      <c r="H1354" s="21">
        <v>0</v>
      </c>
      <c r="I1354" s="21">
        <v>0</v>
      </c>
      <c r="J1354" s="21">
        <v>0</v>
      </c>
      <c r="K1354" s="21">
        <v>0</v>
      </c>
      <c r="L1354" s="3">
        <f t="shared" si="65"/>
        <v>0</v>
      </c>
      <c r="M1354" s="3"/>
      <c r="N1354" s="3">
        <f t="shared" si="66"/>
        <v>0</v>
      </c>
      <c r="R1354" s="89"/>
      <c r="S1354" s="89">
        <f>100%-Table34[[#This Row],[PDF_initial fee]]</f>
        <v>1</v>
      </c>
      <c r="T1354" s="89"/>
      <c r="U1354" s="26"/>
    </row>
    <row r="1355" spans="1:27" hidden="1" x14ac:dyDescent="0.25">
      <c r="A1355">
        <v>409087</v>
      </c>
      <c r="B1355" t="s">
        <v>1682</v>
      </c>
      <c r="C1355" t="s">
        <v>6958</v>
      </c>
      <c r="D1355">
        <v>1</v>
      </c>
      <c r="E1355" t="s">
        <v>1682</v>
      </c>
      <c r="F1355" t="s">
        <v>6958</v>
      </c>
      <c r="G1355" s="3"/>
      <c r="H1355" s="21">
        <v>0</v>
      </c>
      <c r="I1355" s="21">
        <v>0</v>
      </c>
      <c r="J1355" s="21">
        <v>0</v>
      </c>
      <c r="K1355" s="21">
        <v>0</v>
      </c>
      <c r="L1355" s="3">
        <f t="shared" si="65"/>
        <v>0</v>
      </c>
      <c r="M1355" s="3"/>
      <c r="N1355" s="3">
        <f t="shared" si="66"/>
        <v>0</v>
      </c>
      <c r="R1355" s="89"/>
      <c r="S1355" s="89">
        <f>100%-Table34[[#This Row],[PDF_initial fee]]</f>
        <v>1</v>
      </c>
      <c r="T1355" s="89"/>
      <c r="U1355" s="26"/>
    </row>
    <row r="1356" spans="1:27" hidden="1" x14ac:dyDescent="0.25">
      <c r="A1356">
        <v>409112</v>
      </c>
      <c r="B1356" t="s">
        <v>1683</v>
      </c>
      <c r="C1356" t="s">
        <v>9357</v>
      </c>
      <c r="D1356">
        <v>2</v>
      </c>
      <c r="E1356" t="s">
        <v>1683</v>
      </c>
      <c r="G1356" s="3"/>
      <c r="H1356" s="21">
        <v>0</v>
      </c>
      <c r="I1356" s="21">
        <v>0</v>
      </c>
      <c r="J1356" s="21">
        <v>0</v>
      </c>
      <c r="K1356" s="21">
        <v>0</v>
      </c>
      <c r="L1356" s="3">
        <f t="shared" si="65"/>
        <v>0</v>
      </c>
      <c r="M1356" s="3"/>
      <c r="N1356" s="3">
        <f t="shared" si="66"/>
        <v>0</v>
      </c>
      <c r="R1356" s="89"/>
      <c r="S1356" s="89">
        <f>100%-Table34[[#This Row],[PDF_initial fee]]</f>
        <v>1</v>
      </c>
      <c r="T1356" s="89"/>
      <c r="U1356" s="26"/>
    </row>
    <row r="1357" spans="1:27" hidden="1" x14ac:dyDescent="0.25">
      <c r="A1357">
        <v>409160</v>
      </c>
      <c r="B1357" t="s">
        <v>1684</v>
      </c>
      <c r="C1357" t="s">
        <v>29873</v>
      </c>
      <c r="D1357">
        <v>89</v>
      </c>
      <c r="E1357" t="s">
        <v>1684</v>
      </c>
      <c r="F1357" t="s">
        <v>3</v>
      </c>
      <c r="G1357" s="3"/>
      <c r="H1357" s="3">
        <v>0</v>
      </c>
      <c r="I1357" s="3">
        <v>0</v>
      </c>
      <c r="J1357" s="3">
        <v>0</v>
      </c>
      <c r="K1357" s="3">
        <v>0</v>
      </c>
      <c r="L1357" s="3">
        <f t="shared" si="65"/>
        <v>0</v>
      </c>
      <c r="M1357" s="3"/>
      <c r="N1357" s="3">
        <f t="shared" si="66"/>
        <v>0</v>
      </c>
      <c r="R1357" s="89"/>
      <c r="S1357" s="89">
        <f>100%-Table34[[#This Row],[PDF_initial fee]]</f>
        <v>1</v>
      </c>
      <c r="T1357" s="89"/>
      <c r="U1357" s="26"/>
    </row>
    <row r="1358" spans="1:27" hidden="1" x14ac:dyDescent="0.25">
      <c r="A1358">
        <v>409209</v>
      </c>
      <c r="B1358" t="s">
        <v>1685</v>
      </c>
      <c r="C1358" t="s">
        <v>6958</v>
      </c>
      <c r="D1358">
        <v>1</v>
      </c>
      <c r="E1358" t="s">
        <v>1685</v>
      </c>
      <c r="F1358" t="s">
        <v>6958</v>
      </c>
      <c r="G1358" s="3"/>
      <c r="H1358" s="21">
        <v>0</v>
      </c>
      <c r="I1358" s="21">
        <v>0</v>
      </c>
      <c r="J1358" s="21">
        <v>0</v>
      </c>
      <c r="K1358" s="21">
        <v>0</v>
      </c>
      <c r="L1358" s="3">
        <f t="shared" si="65"/>
        <v>0</v>
      </c>
      <c r="M1358" s="3"/>
      <c r="N1358" s="3">
        <f t="shared" si="66"/>
        <v>0</v>
      </c>
      <c r="R1358" s="89"/>
      <c r="S1358" s="89">
        <f>100%-Table34[[#This Row],[PDF_initial fee]]</f>
        <v>1</v>
      </c>
      <c r="T1358" s="89"/>
      <c r="U1358" s="26"/>
    </row>
    <row r="1359" spans="1:27" hidden="1" x14ac:dyDescent="0.25">
      <c r="A1359">
        <v>409228</v>
      </c>
      <c r="B1359" t="s">
        <v>1686</v>
      </c>
      <c r="C1359" t="s">
        <v>29874</v>
      </c>
      <c r="D1359">
        <v>2</v>
      </c>
      <c r="E1359" t="s">
        <v>1686</v>
      </c>
      <c r="G1359" s="3"/>
      <c r="H1359" s="3">
        <v>0</v>
      </c>
      <c r="I1359" s="3">
        <v>0</v>
      </c>
      <c r="J1359" s="3">
        <v>0</v>
      </c>
      <c r="K1359" s="3">
        <v>0</v>
      </c>
      <c r="L1359" s="3">
        <f t="shared" si="65"/>
        <v>0</v>
      </c>
      <c r="M1359" s="3"/>
      <c r="N1359" s="3">
        <f t="shared" si="66"/>
        <v>0</v>
      </c>
      <c r="R1359" s="89"/>
      <c r="S1359" s="89">
        <f>100%-Table34[[#This Row],[PDF_initial fee]]</f>
        <v>1</v>
      </c>
      <c r="T1359" s="89"/>
      <c r="U1359" s="26"/>
    </row>
    <row r="1360" spans="1:27" hidden="1" x14ac:dyDescent="0.25">
      <c r="A1360">
        <v>409239</v>
      </c>
      <c r="B1360" t="s">
        <v>1687</v>
      </c>
      <c r="C1360" t="s">
        <v>12576</v>
      </c>
      <c r="D1360">
        <v>2</v>
      </c>
      <c r="E1360" t="s">
        <v>1687</v>
      </c>
      <c r="G1360" s="3"/>
      <c r="L1360" s="3">
        <f t="shared" si="65"/>
        <v>0</v>
      </c>
      <c r="M1360" s="3"/>
      <c r="N1360" s="3">
        <f t="shared" si="66"/>
        <v>0</v>
      </c>
      <c r="R1360" s="89"/>
      <c r="S1360" s="89">
        <f>100%-Table34[[#This Row],[PDF_initial fee]]</f>
        <v>1</v>
      </c>
      <c r="T1360" s="89"/>
      <c r="U1360" s="26"/>
    </row>
    <row r="1361" spans="1:30" x14ac:dyDescent="0.25">
      <c r="A1361">
        <v>525733</v>
      </c>
      <c r="B1361" t="s">
        <v>209</v>
      </c>
      <c r="C1361" t="s">
        <v>11992</v>
      </c>
      <c r="D1361">
        <v>31</v>
      </c>
      <c r="E1361" t="s">
        <v>209</v>
      </c>
      <c r="F1361" t="s">
        <v>3</v>
      </c>
      <c r="G1361" s="3">
        <v>1.4E-3</v>
      </c>
      <c r="H1361" s="3"/>
      <c r="I1361" s="3"/>
      <c r="J1361" s="6">
        <v>0.03</v>
      </c>
      <c r="K1361" s="6">
        <v>8.0000000000000002E-3</v>
      </c>
      <c r="L1361" s="3">
        <f t="shared" si="65"/>
        <v>3.7999999999999999E-2</v>
      </c>
      <c r="M1361" s="3"/>
      <c r="N1361" s="3">
        <f t="shared" si="66"/>
        <v>3.9399999999999998E-2</v>
      </c>
      <c r="O1361" t="s">
        <v>29875</v>
      </c>
      <c r="P1361" s="31" t="s">
        <v>29875</v>
      </c>
      <c r="Q1361" t="s">
        <v>31787</v>
      </c>
      <c r="R1361" s="89">
        <v>0.33333333333333348</v>
      </c>
      <c r="S1361" s="89">
        <f>100%-Table34[[#This Row],[PDF_initial fee]]</f>
        <v>0.97</v>
      </c>
      <c r="T1361" s="89">
        <f>(1-Table34[[#This Row],[PDF ongoing fee]])^5</f>
        <v>0.96063490044723188</v>
      </c>
      <c r="U1361" s="26">
        <f>(1+Table34[[#This Row],[Net 5yrs return (mostly up to 28th of Feb 2026)]])*Table34[[#This Row],[Investment after initial charge]]*Table34[[#This Row],[Cummulative 5yrs ongoing advice charge]]-1</f>
        <v>0.24242113791175335</v>
      </c>
      <c r="V1361" s="10">
        <v>100</v>
      </c>
      <c r="W1361" t="s">
        <v>29051</v>
      </c>
      <c r="X1361" s="9">
        <v>100</v>
      </c>
      <c r="Y1361" s="30">
        <f>X1361/V1361</f>
        <v>1</v>
      </c>
      <c r="AA1361" s="1" t="s">
        <v>29876</v>
      </c>
      <c r="AD1361" t="s">
        <v>29875</v>
      </c>
    </row>
    <row r="1362" spans="1:30" hidden="1" x14ac:dyDescent="0.25">
      <c r="A1362">
        <v>409749</v>
      </c>
      <c r="B1362" t="s">
        <v>1689</v>
      </c>
      <c r="C1362" t="s">
        <v>11932</v>
      </c>
      <c r="D1362">
        <v>2</v>
      </c>
      <c r="E1362" t="s">
        <v>1689</v>
      </c>
      <c r="G1362" s="3"/>
      <c r="H1362" s="21">
        <v>0</v>
      </c>
      <c r="I1362" s="21">
        <v>0</v>
      </c>
      <c r="J1362" s="21">
        <v>0</v>
      </c>
      <c r="K1362" s="21">
        <v>0</v>
      </c>
      <c r="L1362" s="3">
        <f t="shared" si="65"/>
        <v>0</v>
      </c>
      <c r="M1362" s="3"/>
      <c r="N1362" s="3">
        <f t="shared" si="66"/>
        <v>0</v>
      </c>
      <c r="R1362" s="89"/>
      <c r="S1362" s="89">
        <f>100%-Table34[[#This Row],[PDF_initial fee]]</f>
        <v>1</v>
      </c>
      <c r="T1362" s="89"/>
      <c r="U1362" s="26"/>
    </row>
    <row r="1363" spans="1:30" hidden="1" x14ac:dyDescent="0.25">
      <c r="A1363">
        <v>409895</v>
      </c>
      <c r="B1363" t="s">
        <v>1690</v>
      </c>
      <c r="C1363" t="s">
        <v>6958</v>
      </c>
      <c r="D1363">
        <v>4</v>
      </c>
      <c r="E1363" t="s">
        <v>1690</v>
      </c>
      <c r="F1363" t="s">
        <v>6958</v>
      </c>
      <c r="G1363" s="3"/>
      <c r="H1363" s="21">
        <v>0</v>
      </c>
      <c r="I1363" s="21">
        <v>0</v>
      </c>
      <c r="J1363" s="21">
        <v>0</v>
      </c>
      <c r="K1363" s="21">
        <v>0</v>
      </c>
      <c r="L1363" s="3">
        <f t="shared" si="65"/>
        <v>0</v>
      </c>
      <c r="M1363" s="3"/>
      <c r="N1363" s="3">
        <f t="shared" si="66"/>
        <v>0</v>
      </c>
      <c r="R1363" s="89"/>
      <c r="S1363" s="89">
        <f>100%-Table34[[#This Row],[PDF_initial fee]]</f>
        <v>1</v>
      </c>
      <c r="T1363" s="89"/>
      <c r="U1363" s="26"/>
    </row>
    <row r="1364" spans="1:30" hidden="1" x14ac:dyDescent="0.25">
      <c r="A1364">
        <v>410497</v>
      </c>
      <c r="B1364" t="s">
        <v>1691</v>
      </c>
      <c r="C1364" t="s">
        <v>7464</v>
      </c>
      <c r="D1364">
        <v>2</v>
      </c>
      <c r="E1364" t="s">
        <v>1691</v>
      </c>
      <c r="G1364" s="3"/>
      <c r="H1364" s="21">
        <v>0</v>
      </c>
      <c r="I1364" s="21">
        <v>0</v>
      </c>
      <c r="J1364" s="21">
        <v>0</v>
      </c>
      <c r="K1364" s="21">
        <v>0</v>
      </c>
      <c r="L1364" s="3">
        <f t="shared" si="65"/>
        <v>0</v>
      </c>
      <c r="M1364" s="3"/>
      <c r="N1364" s="3">
        <f t="shared" si="66"/>
        <v>0</v>
      </c>
      <c r="R1364" s="89"/>
      <c r="S1364" s="89">
        <f>100%-Table34[[#This Row],[PDF_initial fee]]</f>
        <v>1</v>
      </c>
      <c r="T1364" s="89"/>
      <c r="U1364" s="26"/>
    </row>
    <row r="1365" spans="1:30" hidden="1" x14ac:dyDescent="0.25">
      <c r="A1365">
        <v>410508</v>
      </c>
      <c r="B1365" t="s">
        <v>1692</v>
      </c>
      <c r="C1365" t="s">
        <v>7375</v>
      </c>
      <c r="D1365">
        <v>1</v>
      </c>
      <c r="E1365" t="s">
        <v>1692</v>
      </c>
      <c r="G1365" s="3"/>
      <c r="H1365" s="21">
        <v>0</v>
      </c>
      <c r="I1365" s="21">
        <v>0</v>
      </c>
      <c r="J1365" s="21">
        <v>0</v>
      </c>
      <c r="K1365" s="21">
        <v>0</v>
      </c>
      <c r="L1365" s="3">
        <f t="shared" si="65"/>
        <v>0</v>
      </c>
      <c r="M1365" s="3"/>
      <c r="N1365" s="3">
        <f t="shared" si="66"/>
        <v>0</v>
      </c>
      <c r="R1365" s="89"/>
      <c r="S1365" s="89">
        <f>100%-Table34[[#This Row],[PDF_initial fee]]</f>
        <v>1</v>
      </c>
      <c r="T1365" s="89"/>
      <c r="U1365" s="26"/>
    </row>
    <row r="1366" spans="1:30" hidden="1" x14ac:dyDescent="0.25">
      <c r="A1366">
        <v>410550</v>
      </c>
      <c r="B1366" t="s">
        <v>1693</v>
      </c>
      <c r="C1366" t="s">
        <v>11434</v>
      </c>
      <c r="D1366">
        <v>1</v>
      </c>
      <c r="E1366" t="s">
        <v>1693</v>
      </c>
      <c r="G1366" s="3"/>
      <c r="H1366" s="21">
        <v>0</v>
      </c>
      <c r="I1366" s="21">
        <v>0</v>
      </c>
      <c r="J1366" s="21">
        <v>0</v>
      </c>
      <c r="K1366" s="21">
        <v>0</v>
      </c>
      <c r="L1366" s="3">
        <f t="shared" si="65"/>
        <v>0</v>
      </c>
      <c r="M1366" s="3"/>
      <c r="N1366" s="3">
        <f t="shared" si="66"/>
        <v>0</v>
      </c>
      <c r="R1366" s="89"/>
      <c r="S1366" s="89">
        <f>100%-Table34[[#This Row],[PDF_initial fee]]</f>
        <v>1</v>
      </c>
      <c r="T1366" s="89"/>
      <c r="U1366" s="26"/>
    </row>
    <row r="1367" spans="1:30" hidden="1" x14ac:dyDescent="0.25">
      <c r="A1367">
        <v>410555</v>
      </c>
      <c r="B1367" t="s">
        <v>1694</v>
      </c>
      <c r="C1367" t="s">
        <v>6958</v>
      </c>
      <c r="D1367">
        <v>1</v>
      </c>
      <c r="E1367" t="s">
        <v>1694</v>
      </c>
      <c r="F1367" t="s">
        <v>6958</v>
      </c>
      <c r="G1367" s="3"/>
      <c r="H1367" s="21">
        <v>0</v>
      </c>
      <c r="I1367" s="21">
        <v>0</v>
      </c>
      <c r="J1367" s="21">
        <v>0</v>
      </c>
      <c r="K1367" s="21">
        <v>0</v>
      </c>
      <c r="L1367" s="3">
        <f t="shared" si="65"/>
        <v>0</v>
      </c>
      <c r="M1367" s="3"/>
      <c r="N1367" s="3">
        <f t="shared" si="66"/>
        <v>0</v>
      </c>
      <c r="R1367" s="89"/>
      <c r="S1367" s="89">
        <f>100%-Table34[[#This Row],[PDF_initial fee]]</f>
        <v>1</v>
      </c>
      <c r="T1367" s="89"/>
      <c r="U1367" s="26"/>
    </row>
    <row r="1368" spans="1:30" hidden="1" x14ac:dyDescent="0.25">
      <c r="A1368">
        <v>410619</v>
      </c>
      <c r="B1368" t="s">
        <v>1695</v>
      </c>
      <c r="C1368" t="s">
        <v>9257</v>
      </c>
      <c r="D1368">
        <v>1</v>
      </c>
      <c r="E1368" t="s">
        <v>1695</v>
      </c>
      <c r="G1368" s="3"/>
      <c r="H1368" s="21">
        <v>0</v>
      </c>
      <c r="I1368" s="21">
        <v>0</v>
      </c>
      <c r="J1368" s="21">
        <v>0</v>
      </c>
      <c r="K1368" s="21">
        <v>0</v>
      </c>
      <c r="L1368" s="3">
        <f t="shared" si="65"/>
        <v>0</v>
      </c>
      <c r="M1368" s="3"/>
      <c r="N1368" s="3">
        <f t="shared" si="66"/>
        <v>0</v>
      </c>
      <c r="R1368" s="89"/>
      <c r="S1368" s="89">
        <f>100%-Table34[[#This Row],[PDF_initial fee]]</f>
        <v>1</v>
      </c>
      <c r="T1368" s="89"/>
      <c r="U1368" s="26"/>
    </row>
    <row r="1369" spans="1:30" hidden="1" x14ac:dyDescent="0.25">
      <c r="A1369">
        <v>410624</v>
      </c>
      <c r="B1369" t="s">
        <v>1696</v>
      </c>
      <c r="C1369" t="s">
        <v>29877</v>
      </c>
      <c r="D1369">
        <v>0</v>
      </c>
      <c r="E1369" t="s">
        <v>1696</v>
      </c>
      <c r="F1369" t="s">
        <v>29136</v>
      </c>
      <c r="G1369" s="3"/>
      <c r="H1369" s="21">
        <v>0</v>
      </c>
      <c r="I1369" s="21">
        <v>0</v>
      </c>
      <c r="J1369" s="21">
        <v>0</v>
      </c>
      <c r="K1369" s="21">
        <v>0</v>
      </c>
      <c r="L1369" s="3">
        <f t="shared" si="65"/>
        <v>0</v>
      </c>
      <c r="M1369" s="3"/>
      <c r="N1369" s="3">
        <f t="shared" si="66"/>
        <v>0</v>
      </c>
      <c r="O1369" s="21"/>
      <c r="R1369" s="89"/>
      <c r="S1369" s="89">
        <f>100%-Table34[[#This Row],[PDF_initial fee]]</f>
        <v>1</v>
      </c>
      <c r="T1369" s="89"/>
      <c r="U1369" s="26"/>
    </row>
    <row r="1370" spans="1:30" hidden="1" x14ac:dyDescent="0.25">
      <c r="A1370">
        <v>413109</v>
      </c>
      <c r="B1370" t="s">
        <v>1697</v>
      </c>
      <c r="C1370" t="s">
        <v>29878</v>
      </c>
      <c r="D1370">
        <v>1</v>
      </c>
      <c r="E1370" t="s">
        <v>1697</v>
      </c>
      <c r="G1370" s="3"/>
      <c r="H1370" s="3">
        <v>0</v>
      </c>
      <c r="I1370" s="3">
        <v>0</v>
      </c>
      <c r="J1370" s="3">
        <v>0</v>
      </c>
      <c r="K1370" s="3">
        <v>0</v>
      </c>
      <c r="L1370" s="3">
        <f t="shared" si="65"/>
        <v>0</v>
      </c>
      <c r="M1370" s="3"/>
      <c r="N1370" s="3">
        <f t="shared" si="66"/>
        <v>0</v>
      </c>
      <c r="R1370" s="89"/>
      <c r="S1370" s="89">
        <f>100%-Table34[[#This Row],[PDF_initial fee]]</f>
        <v>1</v>
      </c>
      <c r="T1370" s="89"/>
      <c r="U1370" s="26"/>
    </row>
    <row r="1371" spans="1:30" hidden="1" x14ac:dyDescent="0.25">
      <c r="A1371">
        <v>413227</v>
      </c>
      <c r="B1371" t="s">
        <v>1698</v>
      </c>
      <c r="C1371" t="s">
        <v>11987</v>
      </c>
      <c r="D1371">
        <v>2</v>
      </c>
      <c r="E1371" t="s">
        <v>1698</v>
      </c>
      <c r="G1371" s="3"/>
      <c r="L1371" s="3">
        <f t="shared" si="65"/>
        <v>0</v>
      </c>
      <c r="M1371" s="3"/>
      <c r="N1371" s="3">
        <f t="shared" si="66"/>
        <v>0</v>
      </c>
      <c r="R1371" s="89"/>
      <c r="S1371" s="89">
        <f>100%-Table34[[#This Row],[PDF_initial fee]]</f>
        <v>1</v>
      </c>
      <c r="T1371" s="89"/>
      <c r="U1371" s="26"/>
    </row>
    <row r="1372" spans="1:30" hidden="1" x14ac:dyDescent="0.25">
      <c r="A1372">
        <v>413234</v>
      </c>
      <c r="B1372" t="s">
        <v>1699</v>
      </c>
      <c r="C1372" t="s">
        <v>11964</v>
      </c>
      <c r="D1372">
        <v>17</v>
      </c>
      <c r="E1372" t="s">
        <v>1699</v>
      </c>
      <c r="G1372" s="3"/>
      <c r="H1372" s="21">
        <v>0</v>
      </c>
      <c r="I1372" s="21">
        <v>0</v>
      </c>
      <c r="J1372" s="21">
        <v>0</v>
      </c>
      <c r="K1372" s="21">
        <v>0</v>
      </c>
      <c r="L1372" s="3">
        <f t="shared" si="65"/>
        <v>0</v>
      </c>
      <c r="M1372" s="3"/>
      <c r="N1372" s="3">
        <f t="shared" si="66"/>
        <v>0</v>
      </c>
      <c r="R1372" s="89"/>
      <c r="S1372" s="89">
        <f>100%-Table34[[#This Row],[PDF_initial fee]]</f>
        <v>1</v>
      </c>
      <c r="T1372" s="89"/>
      <c r="U1372" s="26"/>
    </row>
    <row r="1373" spans="1:30" hidden="1" x14ac:dyDescent="0.25">
      <c r="A1373">
        <v>413308</v>
      </c>
      <c r="B1373" t="s">
        <v>1701</v>
      </c>
      <c r="C1373" t="s">
        <v>10554</v>
      </c>
      <c r="D1373">
        <v>4</v>
      </c>
      <c r="E1373" t="s">
        <v>1701</v>
      </c>
      <c r="G1373" s="3"/>
      <c r="H1373" s="21">
        <v>0</v>
      </c>
      <c r="I1373" s="21">
        <v>0</v>
      </c>
      <c r="J1373" s="21">
        <v>0</v>
      </c>
      <c r="K1373" s="21">
        <v>0</v>
      </c>
      <c r="L1373" s="3">
        <f t="shared" si="65"/>
        <v>0</v>
      </c>
      <c r="M1373" s="3"/>
      <c r="N1373" s="3">
        <f t="shared" si="66"/>
        <v>0</v>
      </c>
      <c r="R1373" s="89"/>
      <c r="S1373" s="89">
        <f>100%-Table34[[#This Row],[PDF_initial fee]]</f>
        <v>1</v>
      </c>
      <c r="T1373" s="89"/>
      <c r="U1373" s="26"/>
    </row>
    <row r="1374" spans="1:30" hidden="1" x14ac:dyDescent="0.25">
      <c r="A1374">
        <v>413317</v>
      </c>
      <c r="B1374" t="s">
        <v>1702</v>
      </c>
      <c r="C1374" s="1" t="s">
        <v>8779</v>
      </c>
      <c r="D1374">
        <v>8</v>
      </c>
      <c r="E1374" t="s">
        <v>1702</v>
      </c>
      <c r="F1374" t="s">
        <v>3</v>
      </c>
      <c r="G1374" s="3"/>
      <c r="L1374" s="3">
        <f t="shared" si="65"/>
        <v>0</v>
      </c>
      <c r="M1374" s="3"/>
      <c r="N1374" s="3">
        <f t="shared" si="66"/>
        <v>0</v>
      </c>
      <c r="R1374" s="89"/>
      <c r="S1374" s="89">
        <f>100%-Table34[[#This Row],[PDF_initial fee]]</f>
        <v>1</v>
      </c>
      <c r="T1374" s="89"/>
      <c r="U1374" s="26"/>
    </row>
    <row r="1375" spans="1:30" hidden="1" x14ac:dyDescent="0.25">
      <c r="A1375">
        <v>413443</v>
      </c>
      <c r="B1375" t="s">
        <v>1703</v>
      </c>
      <c r="C1375" t="s">
        <v>9126</v>
      </c>
      <c r="D1375">
        <v>1</v>
      </c>
      <c r="E1375" t="s">
        <v>1703</v>
      </c>
      <c r="G1375" s="3"/>
      <c r="H1375" s="21">
        <v>0</v>
      </c>
      <c r="I1375" s="21">
        <v>0</v>
      </c>
      <c r="J1375" s="21">
        <v>0</v>
      </c>
      <c r="K1375" s="21">
        <v>0</v>
      </c>
      <c r="L1375" s="3">
        <f t="shared" si="65"/>
        <v>0</v>
      </c>
      <c r="M1375" s="3"/>
      <c r="N1375" s="3">
        <f t="shared" si="66"/>
        <v>0</v>
      </c>
      <c r="R1375" s="89"/>
      <c r="S1375" s="89">
        <f>100%-Table34[[#This Row],[PDF_initial fee]]</f>
        <v>1</v>
      </c>
      <c r="T1375" s="89"/>
      <c r="U1375" s="26"/>
    </row>
    <row r="1376" spans="1:30" hidden="1" x14ac:dyDescent="0.25">
      <c r="A1376">
        <v>413455</v>
      </c>
      <c r="B1376" t="s">
        <v>1705</v>
      </c>
      <c r="C1376" t="s">
        <v>6958</v>
      </c>
      <c r="D1376">
        <v>1</v>
      </c>
      <c r="E1376" t="s">
        <v>1705</v>
      </c>
      <c r="F1376" t="s">
        <v>6958</v>
      </c>
      <c r="G1376" s="3"/>
      <c r="H1376" s="21">
        <v>0</v>
      </c>
      <c r="I1376" s="21">
        <v>0</v>
      </c>
      <c r="J1376" s="21">
        <v>0</v>
      </c>
      <c r="K1376" s="21">
        <v>0</v>
      </c>
      <c r="L1376" s="3">
        <f t="shared" si="65"/>
        <v>0</v>
      </c>
      <c r="M1376" s="3"/>
      <c r="N1376" s="3">
        <f t="shared" si="66"/>
        <v>0</v>
      </c>
      <c r="R1376" s="89"/>
      <c r="S1376" s="89">
        <f>100%-Table34[[#This Row],[PDF_initial fee]]</f>
        <v>1</v>
      </c>
      <c r="T1376" s="89"/>
      <c r="U1376" s="26"/>
    </row>
    <row r="1377" spans="1:21" hidden="1" x14ac:dyDescent="0.25">
      <c r="A1377">
        <v>413664</v>
      </c>
      <c r="B1377" t="s">
        <v>1706</v>
      </c>
      <c r="C1377" t="s">
        <v>7520</v>
      </c>
      <c r="D1377">
        <v>7</v>
      </c>
      <c r="E1377" t="s">
        <v>1706</v>
      </c>
      <c r="G1377" s="3"/>
      <c r="H1377" s="21">
        <v>0</v>
      </c>
      <c r="I1377" s="21">
        <v>0</v>
      </c>
      <c r="J1377" s="21">
        <v>0</v>
      </c>
      <c r="K1377" s="21">
        <v>0</v>
      </c>
      <c r="L1377" s="3">
        <f t="shared" si="65"/>
        <v>0</v>
      </c>
      <c r="M1377" s="3"/>
      <c r="N1377" s="3">
        <f t="shared" si="66"/>
        <v>0</v>
      </c>
      <c r="R1377" s="89"/>
      <c r="S1377" s="89">
        <f>100%-Table34[[#This Row],[PDF_initial fee]]</f>
        <v>1</v>
      </c>
      <c r="T1377" s="89"/>
      <c r="U1377" s="26"/>
    </row>
    <row r="1378" spans="1:21" hidden="1" x14ac:dyDescent="0.25">
      <c r="A1378">
        <v>413888</v>
      </c>
      <c r="B1378" t="s">
        <v>1707</v>
      </c>
      <c r="C1378" t="s">
        <v>10725</v>
      </c>
      <c r="D1378">
        <v>2</v>
      </c>
      <c r="E1378" t="s">
        <v>1707</v>
      </c>
      <c r="G1378" s="3"/>
      <c r="H1378" s="21">
        <v>0</v>
      </c>
      <c r="I1378" s="21">
        <v>0</v>
      </c>
      <c r="J1378" s="21">
        <v>0</v>
      </c>
      <c r="K1378" s="21">
        <v>0</v>
      </c>
      <c r="L1378" s="3">
        <f t="shared" si="65"/>
        <v>0</v>
      </c>
      <c r="M1378" s="3"/>
      <c r="N1378" s="3">
        <f t="shared" si="66"/>
        <v>0</v>
      </c>
      <c r="R1378" s="89"/>
      <c r="S1378" s="89">
        <f>100%-Table34[[#This Row],[PDF_initial fee]]</f>
        <v>1</v>
      </c>
      <c r="T1378" s="89"/>
      <c r="U1378" s="26"/>
    </row>
    <row r="1379" spans="1:21" hidden="1" x14ac:dyDescent="0.25">
      <c r="A1379">
        <v>413890</v>
      </c>
      <c r="B1379" t="s">
        <v>1708</v>
      </c>
      <c r="C1379" t="s">
        <v>11448</v>
      </c>
      <c r="D1379">
        <v>6</v>
      </c>
      <c r="E1379" t="s">
        <v>1708</v>
      </c>
      <c r="G1379" s="3"/>
      <c r="H1379" s="21">
        <v>0</v>
      </c>
      <c r="I1379" s="21">
        <v>0</v>
      </c>
      <c r="J1379" s="21">
        <v>0</v>
      </c>
      <c r="K1379" s="21">
        <v>0</v>
      </c>
      <c r="L1379" s="3">
        <f t="shared" si="65"/>
        <v>0</v>
      </c>
      <c r="M1379" s="3"/>
      <c r="N1379" s="3">
        <f t="shared" si="66"/>
        <v>0</v>
      </c>
      <c r="R1379" s="89"/>
      <c r="S1379" s="89">
        <f>100%-Table34[[#This Row],[PDF_initial fee]]</f>
        <v>1</v>
      </c>
      <c r="T1379" s="89"/>
      <c r="U1379" s="26"/>
    </row>
    <row r="1380" spans="1:21" hidden="1" x14ac:dyDescent="0.25">
      <c r="A1380">
        <v>413915</v>
      </c>
      <c r="B1380" t="s">
        <v>1709</v>
      </c>
      <c r="C1380" t="s">
        <v>29879</v>
      </c>
      <c r="D1380">
        <v>3</v>
      </c>
      <c r="E1380" t="s">
        <v>1709</v>
      </c>
      <c r="G1380" s="3"/>
      <c r="H1380" s="40"/>
      <c r="I1380" s="40"/>
      <c r="J1380" s="40"/>
      <c r="K1380" s="40"/>
      <c r="L1380" s="3">
        <f t="shared" si="65"/>
        <v>0</v>
      </c>
      <c r="M1380" s="3"/>
      <c r="N1380" s="3">
        <f t="shared" si="66"/>
        <v>0</v>
      </c>
      <c r="R1380" s="89"/>
      <c r="S1380" s="89">
        <f>100%-Table34[[#This Row],[PDF_initial fee]]</f>
        <v>1</v>
      </c>
      <c r="T1380" s="89"/>
      <c r="U1380" s="26"/>
    </row>
    <row r="1381" spans="1:21" hidden="1" x14ac:dyDescent="0.25">
      <c r="A1381">
        <v>413974</v>
      </c>
      <c r="B1381" t="s">
        <v>1710</v>
      </c>
      <c r="C1381" t="s">
        <v>8654</v>
      </c>
      <c r="D1381">
        <v>1</v>
      </c>
      <c r="E1381" t="s">
        <v>1710</v>
      </c>
      <c r="G1381" s="3"/>
      <c r="H1381" s="21">
        <v>0</v>
      </c>
      <c r="I1381" s="21">
        <v>0</v>
      </c>
      <c r="J1381" s="21">
        <v>0</v>
      </c>
      <c r="K1381" s="21">
        <v>0</v>
      </c>
      <c r="L1381" s="3">
        <f t="shared" si="65"/>
        <v>0</v>
      </c>
      <c r="M1381" s="3"/>
      <c r="N1381" s="3">
        <f t="shared" si="66"/>
        <v>0</v>
      </c>
      <c r="R1381" s="89"/>
      <c r="S1381" s="89">
        <f>100%-Table34[[#This Row],[PDF_initial fee]]</f>
        <v>1</v>
      </c>
      <c r="T1381" s="89"/>
      <c r="U1381" s="26"/>
    </row>
    <row r="1382" spans="1:21" hidden="1" x14ac:dyDescent="0.25">
      <c r="A1382">
        <v>414369</v>
      </c>
      <c r="B1382" t="s">
        <v>1711</v>
      </c>
      <c r="C1382" t="s">
        <v>7031</v>
      </c>
      <c r="D1382">
        <v>8</v>
      </c>
      <c r="E1382" t="s">
        <v>1711</v>
      </c>
      <c r="G1382" s="3"/>
      <c r="H1382" s="21">
        <v>0</v>
      </c>
      <c r="I1382" s="21">
        <v>0</v>
      </c>
      <c r="J1382" s="21">
        <v>0</v>
      </c>
      <c r="K1382" s="21">
        <v>0</v>
      </c>
      <c r="L1382" s="3">
        <f t="shared" si="65"/>
        <v>0</v>
      </c>
      <c r="M1382" s="3"/>
      <c r="N1382" s="3">
        <f t="shared" si="66"/>
        <v>0</v>
      </c>
      <c r="R1382" s="89"/>
      <c r="S1382" s="89">
        <f>100%-Table34[[#This Row],[PDF_initial fee]]</f>
        <v>1</v>
      </c>
      <c r="T1382" s="89"/>
      <c r="U1382" s="26"/>
    </row>
    <row r="1383" spans="1:21" hidden="1" x14ac:dyDescent="0.25">
      <c r="A1383">
        <v>414391</v>
      </c>
      <c r="B1383" t="s">
        <v>1712</v>
      </c>
      <c r="C1383" t="s">
        <v>6958</v>
      </c>
      <c r="D1383">
        <v>1</v>
      </c>
      <c r="E1383" t="s">
        <v>1712</v>
      </c>
      <c r="F1383" t="s">
        <v>6958</v>
      </c>
      <c r="G1383" s="3"/>
      <c r="H1383" s="21">
        <v>0</v>
      </c>
      <c r="I1383" s="21">
        <v>0</v>
      </c>
      <c r="J1383" s="21">
        <v>0</v>
      </c>
      <c r="K1383" s="21">
        <v>0</v>
      </c>
      <c r="L1383" s="3">
        <f t="shared" si="65"/>
        <v>0</v>
      </c>
      <c r="M1383" s="3"/>
      <c r="N1383" s="3">
        <f t="shared" si="66"/>
        <v>0</v>
      </c>
      <c r="R1383" s="89"/>
      <c r="S1383" s="89">
        <f>100%-Table34[[#This Row],[PDF_initial fee]]</f>
        <v>1</v>
      </c>
      <c r="T1383" s="89"/>
      <c r="U1383" s="26"/>
    </row>
    <row r="1384" spans="1:21" hidden="1" x14ac:dyDescent="0.25">
      <c r="A1384">
        <v>414430</v>
      </c>
      <c r="B1384" t="s">
        <v>1713</v>
      </c>
      <c r="C1384" t="s">
        <v>29880</v>
      </c>
      <c r="D1384">
        <v>0</v>
      </c>
      <c r="E1384" t="s">
        <v>1713</v>
      </c>
      <c r="F1384" t="s">
        <v>29136</v>
      </c>
      <c r="G1384" s="3"/>
      <c r="H1384" s="21">
        <v>0</v>
      </c>
      <c r="I1384" s="21">
        <v>0</v>
      </c>
      <c r="J1384" s="21">
        <v>0</v>
      </c>
      <c r="K1384" s="21">
        <v>0</v>
      </c>
      <c r="L1384" s="3">
        <f t="shared" si="65"/>
        <v>0</v>
      </c>
      <c r="M1384" s="3"/>
      <c r="N1384" s="3">
        <f t="shared" si="66"/>
        <v>0</v>
      </c>
      <c r="O1384" s="21"/>
      <c r="R1384" s="89"/>
      <c r="S1384" s="89">
        <f>100%-Table34[[#This Row],[PDF_initial fee]]</f>
        <v>1</v>
      </c>
      <c r="T1384" s="89"/>
      <c r="U1384" s="26"/>
    </row>
    <row r="1385" spans="1:21" hidden="1" x14ac:dyDescent="0.25">
      <c r="A1385">
        <v>414752</v>
      </c>
      <c r="B1385" t="s">
        <v>1714</v>
      </c>
      <c r="C1385" t="s">
        <v>8977</v>
      </c>
      <c r="D1385">
        <v>2</v>
      </c>
      <c r="E1385" t="s">
        <v>1714</v>
      </c>
      <c r="G1385" s="3"/>
      <c r="L1385" s="3">
        <f t="shared" si="65"/>
        <v>0</v>
      </c>
      <c r="M1385" s="3"/>
      <c r="N1385" s="3">
        <f t="shared" si="66"/>
        <v>0</v>
      </c>
      <c r="R1385" s="89"/>
      <c r="S1385" s="89">
        <f>100%-Table34[[#This Row],[PDF_initial fee]]</f>
        <v>1</v>
      </c>
      <c r="T1385" s="89"/>
      <c r="U1385" s="26"/>
    </row>
    <row r="1386" spans="1:21" hidden="1" x14ac:dyDescent="0.25">
      <c r="A1386">
        <v>415232</v>
      </c>
      <c r="B1386" t="s">
        <v>1715</v>
      </c>
      <c r="C1386" t="s">
        <v>29881</v>
      </c>
      <c r="D1386">
        <v>7</v>
      </c>
      <c r="E1386" t="s">
        <v>1715</v>
      </c>
      <c r="G1386" s="3"/>
      <c r="H1386" s="3">
        <v>0</v>
      </c>
      <c r="I1386" s="3">
        <v>0</v>
      </c>
      <c r="J1386" s="3">
        <v>0</v>
      </c>
      <c r="K1386" s="3">
        <v>0</v>
      </c>
      <c r="L1386" s="3">
        <f t="shared" si="65"/>
        <v>0</v>
      </c>
      <c r="M1386" s="3"/>
      <c r="N1386" s="3">
        <f t="shared" si="66"/>
        <v>0</v>
      </c>
      <c r="R1386" s="89"/>
      <c r="S1386" s="89">
        <f>100%-Table34[[#This Row],[PDF_initial fee]]</f>
        <v>1</v>
      </c>
      <c r="T1386" s="89"/>
      <c r="U1386" s="26"/>
    </row>
    <row r="1387" spans="1:21" hidden="1" x14ac:dyDescent="0.25">
      <c r="A1387">
        <v>415562</v>
      </c>
      <c r="B1387" t="s">
        <v>1716</v>
      </c>
      <c r="C1387" t="s">
        <v>12224</v>
      </c>
      <c r="D1387">
        <v>3</v>
      </c>
      <c r="E1387" t="s">
        <v>1716</v>
      </c>
      <c r="G1387" s="3"/>
      <c r="H1387" s="21">
        <v>0</v>
      </c>
      <c r="I1387" s="21">
        <v>0</v>
      </c>
      <c r="J1387" s="21">
        <v>0</v>
      </c>
      <c r="K1387" s="21">
        <v>0</v>
      </c>
      <c r="L1387" s="3">
        <f t="shared" si="65"/>
        <v>0</v>
      </c>
      <c r="M1387" s="3"/>
      <c r="N1387" s="3">
        <f t="shared" si="66"/>
        <v>0</v>
      </c>
      <c r="R1387" s="89"/>
      <c r="S1387" s="89">
        <f>100%-Table34[[#This Row],[PDF_initial fee]]</f>
        <v>1</v>
      </c>
      <c r="T1387" s="89"/>
      <c r="U1387" s="26"/>
    </row>
    <row r="1388" spans="1:21" hidden="1" x14ac:dyDescent="0.25">
      <c r="A1388">
        <v>415656</v>
      </c>
      <c r="B1388" t="s">
        <v>1717</v>
      </c>
      <c r="C1388" t="s">
        <v>6958</v>
      </c>
      <c r="D1388">
        <v>1</v>
      </c>
      <c r="E1388" t="s">
        <v>1717</v>
      </c>
      <c r="F1388" t="s">
        <v>6958</v>
      </c>
      <c r="G1388" s="3"/>
      <c r="H1388" s="21">
        <v>0</v>
      </c>
      <c r="I1388" s="21">
        <v>0</v>
      </c>
      <c r="J1388" s="21">
        <v>0</v>
      </c>
      <c r="K1388" s="21">
        <v>0</v>
      </c>
      <c r="L1388" s="3">
        <f t="shared" si="65"/>
        <v>0</v>
      </c>
      <c r="M1388" s="3"/>
      <c r="N1388" s="3">
        <f t="shared" si="66"/>
        <v>0</v>
      </c>
      <c r="R1388" s="89"/>
      <c r="S1388" s="89">
        <f>100%-Table34[[#This Row],[PDF_initial fee]]</f>
        <v>1</v>
      </c>
      <c r="T1388" s="89"/>
      <c r="U1388" s="26"/>
    </row>
    <row r="1389" spans="1:21" hidden="1" x14ac:dyDescent="0.25">
      <c r="A1389">
        <v>415898</v>
      </c>
      <c r="B1389" t="s">
        <v>1718</v>
      </c>
      <c r="C1389" t="s">
        <v>6958</v>
      </c>
      <c r="D1389">
        <v>4</v>
      </c>
      <c r="E1389" t="s">
        <v>1718</v>
      </c>
      <c r="F1389" t="s">
        <v>6958</v>
      </c>
      <c r="G1389" s="3"/>
      <c r="H1389" s="21">
        <v>0</v>
      </c>
      <c r="I1389" s="21">
        <v>0</v>
      </c>
      <c r="J1389" s="21">
        <v>0</v>
      </c>
      <c r="K1389" s="21">
        <v>0</v>
      </c>
      <c r="L1389" s="3">
        <f t="shared" si="65"/>
        <v>0</v>
      </c>
      <c r="M1389" s="3"/>
      <c r="N1389" s="3">
        <f t="shared" si="66"/>
        <v>0</v>
      </c>
      <c r="R1389" s="89"/>
      <c r="S1389" s="89">
        <f>100%-Table34[[#This Row],[PDF_initial fee]]</f>
        <v>1</v>
      </c>
      <c r="T1389" s="89"/>
      <c r="U1389" s="26"/>
    </row>
    <row r="1390" spans="1:21" hidden="1" x14ac:dyDescent="0.25">
      <c r="A1390">
        <v>415900</v>
      </c>
      <c r="B1390" t="s">
        <v>1719</v>
      </c>
      <c r="C1390" t="s">
        <v>12364</v>
      </c>
      <c r="D1390">
        <v>1</v>
      </c>
      <c r="E1390" t="s">
        <v>1719</v>
      </c>
      <c r="G1390" s="3"/>
      <c r="H1390" s="21">
        <v>0</v>
      </c>
      <c r="I1390" s="21">
        <v>0</v>
      </c>
      <c r="J1390" s="21">
        <v>0</v>
      </c>
      <c r="K1390" s="21">
        <v>0</v>
      </c>
      <c r="L1390" s="3">
        <f t="shared" si="65"/>
        <v>0</v>
      </c>
      <c r="M1390" s="3"/>
      <c r="N1390" s="3">
        <f t="shared" si="66"/>
        <v>0</v>
      </c>
      <c r="R1390" s="89"/>
      <c r="S1390" s="89">
        <f>100%-Table34[[#This Row],[PDF_initial fee]]</f>
        <v>1</v>
      </c>
      <c r="T1390" s="89"/>
      <c r="U1390" s="26"/>
    </row>
    <row r="1391" spans="1:21" hidden="1" x14ac:dyDescent="0.25">
      <c r="A1391">
        <v>416226</v>
      </c>
      <c r="B1391" t="s">
        <v>1721</v>
      </c>
      <c r="C1391" t="s">
        <v>12218</v>
      </c>
      <c r="D1391">
        <v>3</v>
      </c>
      <c r="E1391" t="s">
        <v>1721</v>
      </c>
      <c r="G1391" s="3"/>
      <c r="H1391" s="21">
        <v>0</v>
      </c>
      <c r="I1391" s="21">
        <v>0</v>
      </c>
      <c r="J1391" s="21">
        <v>0</v>
      </c>
      <c r="K1391" s="21">
        <v>0</v>
      </c>
      <c r="L1391" s="3">
        <f t="shared" si="65"/>
        <v>0</v>
      </c>
      <c r="M1391" s="3"/>
      <c r="N1391" s="3">
        <f t="shared" si="66"/>
        <v>0</v>
      </c>
      <c r="R1391" s="89"/>
      <c r="S1391" s="89">
        <f>100%-Table34[[#This Row],[PDF_initial fee]]</f>
        <v>1</v>
      </c>
      <c r="T1391" s="89"/>
      <c r="U1391" s="26"/>
    </row>
    <row r="1392" spans="1:21" hidden="1" x14ac:dyDescent="0.25">
      <c r="A1392">
        <v>416329</v>
      </c>
      <c r="B1392" t="s">
        <v>1722</v>
      </c>
      <c r="C1392" t="s">
        <v>29882</v>
      </c>
      <c r="D1392">
        <v>4</v>
      </c>
      <c r="E1392" t="s">
        <v>1722</v>
      </c>
      <c r="G1392" s="3"/>
      <c r="H1392" s="21">
        <v>0</v>
      </c>
      <c r="I1392" s="21">
        <v>0</v>
      </c>
      <c r="J1392" s="21">
        <v>0</v>
      </c>
      <c r="K1392" s="21">
        <v>0</v>
      </c>
      <c r="L1392" s="3">
        <f t="shared" si="65"/>
        <v>0</v>
      </c>
      <c r="M1392" s="3"/>
      <c r="N1392" s="3">
        <f t="shared" si="66"/>
        <v>0</v>
      </c>
      <c r="O1392" s="21"/>
      <c r="R1392" s="89"/>
      <c r="S1392" s="89">
        <f>100%-Table34[[#This Row],[PDF_initial fee]]</f>
        <v>1</v>
      </c>
      <c r="T1392" s="89"/>
      <c r="U1392" s="26"/>
    </row>
    <row r="1393" spans="1:21" hidden="1" x14ac:dyDescent="0.25">
      <c r="A1393">
        <v>416880</v>
      </c>
      <c r="B1393" t="s">
        <v>1723</v>
      </c>
      <c r="C1393" t="s">
        <v>7138</v>
      </c>
      <c r="D1393">
        <v>2</v>
      </c>
      <c r="E1393" t="s">
        <v>1723</v>
      </c>
      <c r="G1393" s="3"/>
      <c r="H1393" s="21">
        <v>0</v>
      </c>
      <c r="I1393" s="21">
        <v>0</v>
      </c>
      <c r="J1393" s="21">
        <v>0</v>
      </c>
      <c r="K1393" s="21">
        <v>0</v>
      </c>
      <c r="L1393" s="3">
        <f t="shared" si="65"/>
        <v>0</v>
      </c>
      <c r="M1393" s="3"/>
      <c r="N1393" s="3">
        <f t="shared" si="66"/>
        <v>0</v>
      </c>
      <c r="R1393" s="89"/>
      <c r="S1393" s="89">
        <f>100%-Table34[[#This Row],[PDF_initial fee]]</f>
        <v>1</v>
      </c>
      <c r="T1393" s="89"/>
      <c r="U1393" s="26"/>
    </row>
    <row r="1394" spans="1:21" hidden="1" x14ac:dyDescent="0.25">
      <c r="A1394">
        <v>416932</v>
      </c>
      <c r="B1394" t="s">
        <v>1724</v>
      </c>
      <c r="C1394" t="s">
        <v>29883</v>
      </c>
      <c r="D1394">
        <v>0</v>
      </c>
      <c r="E1394" t="s">
        <v>1724</v>
      </c>
      <c r="F1394" t="s">
        <v>29136</v>
      </c>
      <c r="G1394" s="3"/>
      <c r="H1394" s="21">
        <v>0</v>
      </c>
      <c r="I1394" s="21">
        <v>0</v>
      </c>
      <c r="J1394" s="21">
        <v>0</v>
      </c>
      <c r="K1394" s="21">
        <v>0</v>
      </c>
      <c r="L1394" s="3">
        <f t="shared" si="65"/>
        <v>0</v>
      </c>
      <c r="M1394" s="3"/>
      <c r="N1394" s="3">
        <f t="shared" si="66"/>
        <v>0</v>
      </c>
      <c r="O1394" s="21"/>
      <c r="R1394" s="89"/>
      <c r="S1394" s="89">
        <f>100%-Table34[[#This Row],[PDF_initial fee]]</f>
        <v>1</v>
      </c>
      <c r="T1394" s="89"/>
      <c r="U1394" s="26"/>
    </row>
    <row r="1395" spans="1:21" hidden="1" x14ac:dyDescent="0.25">
      <c r="A1395">
        <v>417367</v>
      </c>
      <c r="B1395" t="s">
        <v>1725</v>
      </c>
      <c r="C1395" t="s">
        <v>29884</v>
      </c>
      <c r="D1395">
        <v>92</v>
      </c>
      <c r="E1395" t="s">
        <v>1725</v>
      </c>
      <c r="F1395" t="s">
        <v>3</v>
      </c>
      <c r="G1395" s="3"/>
      <c r="H1395" s="3">
        <v>0</v>
      </c>
      <c r="I1395" s="3">
        <v>0</v>
      </c>
      <c r="J1395" s="3">
        <v>0</v>
      </c>
      <c r="K1395" s="3">
        <v>0</v>
      </c>
      <c r="L1395" s="3">
        <f t="shared" si="65"/>
        <v>0</v>
      </c>
      <c r="M1395" s="3"/>
      <c r="N1395" s="3">
        <f t="shared" si="66"/>
        <v>0</v>
      </c>
      <c r="R1395" s="89"/>
      <c r="S1395" s="89">
        <f>100%-Table34[[#This Row],[PDF_initial fee]]</f>
        <v>1</v>
      </c>
      <c r="T1395" s="89"/>
      <c r="U1395" s="26"/>
    </row>
    <row r="1396" spans="1:21" hidden="1" x14ac:dyDescent="0.25">
      <c r="A1396">
        <v>417383</v>
      </c>
      <c r="B1396" t="s">
        <v>1726</v>
      </c>
      <c r="C1396" t="s">
        <v>11769</v>
      </c>
      <c r="D1396">
        <v>1</v>
      </c>
      <c r="E1396" t="s">
        <v>1726</v>
      </c>
      <c r="G1396" s="3"/>
      <c r="H1396" s="21">
        <v>0</v>
      </c>
      <c r="I1396" s="21">
        <v>0</v>
      </c>
      <c r="J1396" s="21">
        <v>0</v>
      </c>
      <c r="K1396" s="21">
        <v>0</v>
      </c>
      <c r="L1396" s="3">
        <f t="shared" si="65"/>
        <v>0</v>
      </c>
      <c r="M1396" s="3"/>
      <c r="N1396" s="3">
        <f t="shared" si="66"/>
        <v>0</v>
      </c>
      <c r="R1396" s="89"/>
      <c r="S1396" s="89">
        <f>100%-Table34[[#This Row],[PDF_initial fee]]</f>
        <v>1</v>
      </c>
      <c r="T1396" s="89"/>
      <c r="U1396" s="26"/>
    </row>
    <row r="1397" spans="1:21" hidden="1" x14ac:dyDescent="0.25">
      <c r="A1397">
        <v>417404</v>
      </c>
      <c r="B1397" t="s">
        <v>1727</v>
      </c>
      <c r="C1397" t="s">
        <v>10116</v>
      </c>
      <c r="D1397">
        <v>2</v>
      </c>
      <c r="E1397" t="s">
        <v>1727</v>
      </c>
      <c r="G1397" s="3"/>
      <c r="H1397" s="21">
        <v>0</v>
      </c>
      <c r="I1397" s="21">
        <v>0</v>
      </c>
      <c r="J1397" s="21">
        <v>0</v>
      </c>
      <c r="K1397" s="21">
        <v>0</v>
      </c>
      <c r="L1397" s="3">
        <f t="shared" si="65"/>
        <v>0</v>
      </c>
      <c r="M1397" s="3"/>
      <c r="N1397" s="3">
        <f t="shared" si="66"/>
        <v>0</v>
      </c>
      <c r="R1397" s="89"/>
      <c r="S1397" s="89">
        <f>100%-Table34[[#This Row],[PDF_initial fee]]</f>
        <v>1</v>
      </c>
      <c r="T1397" s="89"/>
      <c r="U1397" s="26"/>
    </row>
    <row r="1398" spans="1:21" hidden="1" x14ac:dyDescent="0.25">
      <c r="A1398">
        <v>417502</v>
      </c>
      <c r="B1398" t="s">
        <v>1728</v>
      </c>
      <c r="C1398" t="s">
        <v>6958</v>
      </c>
      <c r="D1398">
        <v>2</v>
      </c>
      <c r="E1398" t="s">
        <v>1728</v>
      </c>
      <c r="F1398" t="s">
        <v>6958</v>
      </c>
      <c r="G1398" s="3"/>
      <c r="H1398" s="21">
        <v>0</v>
      </c>
      <c r="I1398" s="21">
        <v>0</v>
      </c>
      <c r="J1398" s="21">
        <v>0</v>
      </c>
      <c r="K1398" s="21">
        <v>0</v>
      </c>
      <c r="L1398" s="3">
        <f t="shared" si="65"/>
        <v>0</v>
      </c>
      <c r="M1398" s="3"/>
      <c r="N1398" s="3">
        <f t="shared" si="66"/>
        <v>0</v>
      </c>
      <c r="R1398" s="89"/>
      <c r="S1398" s="89">
        <f>100%-Table34[[#This Row],[PDF_initial fee]]</f>
        <v>1</v>
      </c>
      <c r="T1398" s="89"/>
      <c r="U1398" s="26"/>
    </row>
    <row r="1399" spans="1:21" hidden="1" x14ac:dyDescent="0.25">
      <c r="A1399">
        <v>417707</v>
      </c>
      <c r="B1399" t="s">
        <v>1729</v>
      </c>
      <c r="C1399" t="s">
        <v>29885</v>
      </c>
      <c r="D1399">
        <v>5</v>
      </c>
      <c r="E1399" t="s">
        <v>1729</v>
      </c>
      <c r="G1399" s="3"/>
      <c r="H1399" s="3">
        <v>0</v>
      </c>
      <c r="I1399" s="3">
        <v>0</v>
      </c>
      <c r="J1399" s="3">
        <v>0</v>
      </c>
      <c r="K1399" s="3">
        <v>0</v>
      </c>
      <c r="L1399" s="3">
        <f t="shared" si="65"/>
        <v>0</v>
      </c>
      <c r="M1399" s="3"/>
      <c r="N1399" s="3">
        <f t="shared" si="66"/>
        <v>0</v>
      </c>
      <c r="R1399" s="89"/>
      <c r="S1399" s="89">
        <f>100%-Table34[[#This Row],[PDF_initial fee]]</f>
        <v>1</v>
      </c>
      <c r="T1399" s="89"/>
      <c r="U1399" s="26"/>
    </row>
    <row r="1400" spans="1:21" hidden="1" x14ac:dyDescent="0.25">
      <c r="A1400">
        <v>417722</v>
      </c>
      <c r="B1400" t="s">
        <v>1730</v>
      </c>
      <c r="C1400" t="s">
        <v>29886</v>
      </c>
      <c r="D1400">
        <v>1</v>
      </c>
      <c r="E1400" t="s">
        <v>1730</v>
      </c>
      <c r="G1400" s="3"/>
      <c r="H1400" s="21">
        <v>0</v>
      </c>
      <c r="I1400" s="21">
        <v>0</v>
      </c>
      <c r="J1400" s="21">
        <v>0</v>
      </c>
      <c r="K1400" s="21">
        <v>0</v>
      </c>
      <c r="L1400" s="3">
        <f t="shared" si="65"/>
        <v>0</v>
      </c>
      <c r="M1400" s="3"/>
      <c r="N1400" s="3">
        <f t="shared" si="66"/>
        <v>0</v>
      </c>
      <c r="O1400" s="21"/>
      <c r="R1400" s="89"/>
      <c r="S1400" s="89">
        <f>100%-Table34[[#This Row],[PDF_initial fee]]</f>
        <v>1</v>
      </c>
      <c r="T1400" s="89"/>
      <c r="U1400" s="26"/>
    </row>
    <row r="1401" spans="1:21" hidden="1" x14ac:dyDescent="0.25">
      <c r="A1401">
        <v>417734</v>
      </c>
      <c r="B1401" t="s">
        <v>1731</v>
      </c>
      <c r="C1401" t="s">
        <v>6958</v>
      </c>
      <c r="D1401">
        <v>2</v>
      </c>
      <c r="E1401" t="s">
        <v>1731</v>
      </c>
      <c r="F1401" t="s">
        <v>6958</v>
      </c>
      <c r="G1401" s="3"/>
      <c r="H1401" s="21">
        <v>0</v>
      </c>
      <c r="I1401" s="21">
        <v>0</v>
      </c>
      <c r="J1401" s="21">
        <v>0</v>
      </c>
      <c r="K1401" s="21">
        <v>0</v>
      </c>
      <c r="L1401" s="3">
        <f t="shared" si="65"/>
        <v>0</v>
      </c>
      <c r="M1401" s="3"/>
      <c r="N1401" s="3">
        <f t="shared" si="66"/>
        <v>0</v>
      </c>
      <c r="R1401" s="89"/>
      <c r="S1401" s="89">
        <f>100%-Table34[[#This Row],[PDF_initial fee]]</f>
        <v>1</v>
      </c>
      <c r="T1401" s="89"/>
      <c r="U1401" s="26"/>
    </row>
    <row r="1402" spans="1:21" hidden="1" x14ac:dyDescent="0.25">
      <c r="A1402">
        <v>417765</v>
      </c>
      <c r="B1402" t="s">
        <v>1732</v>
      </c>
      <c r="C1402" t="s">
        <v>29887</v>
      </c>
      <c r="D1402">
        <v>1</v>
      </c>
      <c r="E1402" t="s">
        <v>1732</v>
      </c>
      <c r="G1402" s="3"/>
      <c r="H1402" s="3">
        <v>0</v>
      </c>
      <c r="I1402" s="3">
        <v>0</v>
      </c>
      <c r="J1402" s="3">
        <v>0</v>
      </c>
      <c r="K1402" s="3">
        <v>0</v>
      </c>
      <c r="L1402" s="3">
        <f t="shared" si="65"/>
        <v>0</v>
      </c>
      <c r="M1402" s="3"/>
      <c r="N1402" s="3">
        <f t="shared" si="66"/>
        <v>0</v>
      </c>
      <c r="R1402" s="89"/>
      <c r="S1402" s="89">
        <f>100%-Table34[[#This Row],[PDF_initial fee]]</f>
        <v>1</v>
      </c>
      <c r="T1402" s="89"/>
      <c r="U1402" s="26"/>
    </row>
    <row r="1403" spans="1:21" hidden="1" x14ac:dyDescent="0.25">
      <c r="A1403">
        <v>418613</v>
      </c>
      <c r="B1403" t="s">
        <v>1733</v>
      </c>
      <c r="C1403" t="s">
        <v>7974</v>
      </c>
      <c r="D1403">
        <v>2</v>
      </c>
      <c r="E1403" t="s">
        <v>1733</v>
      </c>
      <c r="G1403" s="3"/>
      <c r="H1403" s="21">
        <v>0</v>
      </c>
      <c r="I1403" s="21">
        <v>0</v>
      </c>
      <c r="J1403" s="21">
        <v>0</v>
      </c>
      <c r="K1403" s="21">
        <v>0</v>
      </c>
      <c r="L1403" s="3">
        <f t="shared" si="65"/>
        <v>0</v>
      </c>
      <c r="M1403" s="3"/>
      <c r="N1403" s="3">
        <f t="shared" si="66"/>
        <v>0</v>
      </c>
      <c r="R1403" s="89"/>
      <c r="S1403" s="89">
        <f>100%-Table34[[#This Row],[PDF_initial fee]]</f>
        <v>1</v>
      </c>
      <c r="T1403" s="89"/>
      <c r="U1403" s="26"/>
    </row>
    <row r="1404" spans="1:21" hidden="1" x14ac:dyDescent="0.25">
      <c r="A1404">
        <v>418618</v>
      </c>
      <c r="B1404" t="s">
        <v>1734</v>
      </c>
      <c r="C1404" t="s">
        <v>6964</v>
      </c>
      <c r="D1404">
        <v>10</v>
      </c>
      <c r="E1404" t="s">
        <v>1734</v>
      </c>
      <c r="G1404" s="3"/>
      <c r="H1404" s="21">
        <v>0</v>
      </c>
      <c r="I1404" s="21">
        <v>0</v>
      </c>
      <c r="J1404" s="21">
        <v>0</v>
      </c>
      <c r="K1404" s="21">
        <v>0</v>
      </c>
      <c r="L1404" s="3">
        <f t="shared" si="65"/>
        <v>0</v>
      </c>
      <c r="M1404" s="3"/>
      <c r="N1404" s="3">
        <f t="shared" si="66"/>
        <v>0</v>
      </c>
      <c r="R1404" s="89"/>
      <c r="S1404" s="89">
        <f>100%-Table34[[#This Row],[PDF_initial fee]]</f>
        <v>1</v>
      </c>
      <c r="T1404" s="89"/>
      <c r="U1404" s="26"/>
    </row>
    <row r="1405" spans="1:21" hidden="1" x14ac:dyDescent="0.25">
      <c r="A1405">
        <v>418791</v>
      </c>
      <c r="B1405" t="s">
        <v>1735</v>
      </c>
      <c r="C1405" t="s">
        <v>8034</v>
      </c>
      <c r="D1405">
        <v>1</v>
      </c>
      <c r="E1405" t="s">
        <v>1735</v>
      </c>
      <c r="G1405" s="3"/>
      <c r="H1405" s="21">
        <v>0</v>
      </c>
      <c r="I1405" s="21">
        <v>0</v>
      </c>
      <c r="J1405" s="21">
        <v>0</v>
      </c>
      <c r="K1405" s="21">
        <v>0</v>
      </c>
      <c r="L1405" s="3">
        <f t="shared" si="65"/>
        <v>0</v>
      </c>
      <c r="M1405" s="3"/>
      <c r="N1405" s="3">
        <f t="shared" si="66"/>
        <v>0</v>
      </c>
      <c r="R1405" s="89"/>
      <c r="S1405" s="89">
        <f>100%-Table34[[#This Row],[PDF_initial fee]]</f>
        <v>1</v>
      </c>
      <c r="T1405" s="89"/>
      <c r="U1405" s="26"/>
    </row>
    <row r="1406" spans="1:21" hidden="1" x14ac:dyDescent="0.25">
      <c r="A1406">
        <v>418807</v>
      </c>
      <c r="B1406" t="s">
        <v>1736</v>
      </c>
      <c r="C1406" t="s">
        <v>7513</v>
      </c>
      <c r="D1406">
        <v>2</v>
      </c>
      <c r="E1406" t="s">
        <v>1736</v>
      </c>
      <c r="G1406" s="3"/>
      <c r="L1406" s="3">
        <f t="shared" ref="L1406:L1469" si="67">SUM(H1406:K1406)</f>
        <v>0</v>
      </c>
      <c r="M1406" s="3"/>
      <c r="N1406" s="3">
        <f t="shared" ref="N1406:N1469" si="68">L1406+G1406</f>
        <v>0</v>
      </c>
      <c r="R1406" s="89"/>
      <c r="S1406" s="89">
        <f>100%-Table34[[#This Row],[PDF_initial fee]]</f>
        <v>1</v>
      </c>
      <c r="T1406" s="89"/>
      <c r="U1406" s="26"/>
    </row>
    <row r="1407" spans="1:21" hidden="1" x14ac:dyDescent="0.25">
      <c r="A1407">
        <v>418826</v>
      </c>
      <c r="B1407" t="s">
        <v>1737</v>
      </c>
      <c r="C1407" t="s">
        <v>29888</v>
      </c>
      <c r="D1407">
        <v>7</v>
      </c>
      <c r="E1407" t="s">
        <v>1737</v>
      </c>
      <c r="G1407" s="3"/>
      <c r="H1407" s="3">
        <v>0</v>
      </c>
      <c r="I1407" s="3">
        <v>0</v>
      </c>
      <c r="J1407" s="3">
        <v>0</v>
      </c>
      <c r="K1407" s="3">
        <v>0</v>
      </c>
      <c r="L1407" s="3">
        <f t="shared" si="67"/>
        <v>0</v>
      </c>
      <c r="M1407" s="3"/>
      <c r="N1407" s="3">
        <f t="shared" si="68"/>
        <v>0</v>
      </c>
      <c r="R1407" s="89"/>
      <c r="S1407" s="89">
        <f>100%-Table34[[#This Row],[PDF_initial fee]]</f>
        <v>1</v>
      </c>
      <c r="T1407" s="89"/>
      <c r="U1407" s="26"/>
    </row>
    <row r="1408" spans="1:21" hidden="1" x14ac:dyDescent="0.25">
      <c r="A1408">
        <v>419331</v>
      </c>
      <c r="B1408" t="s">
        <v>1738</v>
      </c>
      <c r="C1408" t="s">
        <v>7222</v>
      </c>
      <c r="D1408">
        <v>70</v>
      </c>
      <c r="E1408" t="s">
        <v>1738</v>
      </c>
      <c r="F1408" t="s">
        <v>3</v>
      </c>
      <c r="G1408" s="3"/>
      <c r="H1408" s="21">
        <v>0</v>
      </c>
      <c r="I1408" s="21">
        <v>0</v>
      </c>
      <c r="J1408" s="21">
        <v>0</v>
      </c>
      <c r="K1408" s="21">
        <v>0</v>
      </c>
      <c r="L1408" s="3">
        <f t="shared" si="67"/>
        <v>0</v>
      </c>
      <c r="M1408" s="3"/>
      <c r="N1408" s="3">
        <f t="shared" si="68"/>
        <v>0</v>
      </c>
      <c r="R1408" s="89"/>
      <c r="S1408" s="89">
        <f>100%-Table34[[#This Row],[PDF_initial fee]]</f>
        <v>1</v>
      </c>
      <c r="T1408" s="89"/>
      <c r="U1408" s="26"/>
    </row>
    <row r="1409" spans="1:30" hidden="1" x14ac:dyDescent="0.25">
      <c r="A1409">
        <v>419415</v>
      </c>
      <c r="B1409" t="s">
        <v>1739</v>
      </c>
      <c r="C1409" t="s">
        <v>10136</v>
      </c>
      <c r="D1409">
        <v>3</v>
      </c>
      <c r="E1409" t="s">
        <v>1739</v>
      </c>
      <c r="G1409" s="3"/>
      <c r="L1409" s="3">
        <f t="shared" si="67"/>
        <v>0</v>
      </c>
      <c r="M1409" s="3"/>
      <c r="N1409" s="3">
        <f t="shared" si="68"/>
        <v>0</v>
      </c>
      <c r="R1409" s="89"/>
      <c r="S1409" s="89">
        <f>100%-Table34[[#This Row],[PDF_initial fee]]</f>
        <v>1</v>
      </c>
      <c r="T1409" s="89"/>
      <c r="U1409" s="26"/>
    </row>
    <row r="1410" spans="1:30" hidden="1" x14ac:dyDescent="0.25">
      <c r="A1410">
        <v>419666</v>
      </c>
      <c r="B1410" t="s">
        <v>1740</v>
      </c>
      <c r="C1410" t="s">
        <v>7214</v>
      </c>
      <c r="D1410">
        <v>3</v>
      </c>
      <c r="E1410" t="s">
        <v>1740</v>
      </c>
      <c r="G1410" s="3"/>
      <c r="H1410" s="21">
        <v>0</v>
      </c>
      <c r="I1410" s="21">
        <v>0</v>
      </c>
      <c r="J1410" s="21">
        <v>0</v>
      </c>
      <c r="K1410" s="21">
        <v>0</v>
      </c>
      <c r="L1410" s="3">
        <f t="shared" si="67"/>
        <v>0</v>
      </c>
      <c r="M1410" s="3"/>
      <c r="N1410" s="3">
        <f t="shared" si="68"/>
        <v>0</v>
      </c>
      <c r="R1410" s="89"/>
      <c r="S1410" s="89">
        <f>100%-Table34[[#This Row],[PDF_initial fee]]</f>
        <v>1</v>
      </c>
      <c r="T1410" s="89"/>
      <c r="U1410" s="26"/>
    </row>
    <row r="1411" spans="1:30" hidden="1" x14ac:dyDescent="0.25">
      <c r="A1411">
        <v>419684</v>
      </c>
      <c r="B1411" t="s">
        <v>1741</v>
      </c>
      <c r="C1411" t="s">
        <v>29889</v>
      </c>
      <c r="D1411">
        <v>5</v>
      </c>
      <c r="E1411" t="s">
        <v>1741</v>
      </c>
      <c r="G1411" s="3"/>
      <c r="H1411" s="21">
        <v>0</v>
      </c>
      <c r="I1411" s="21">
        <v>0</v>
      </c>
      <c r="J1411" s="21">
        <v>0</v>
      </c>
      <c r="K1411" s="21">
        <v>0</v>
      </c>
      <c r="L1411" s="3">
        <f t="shared" si="67"/>
        <v>0</v>
      </c>
      <c r="M1411" s="3"/>
      <c r="N1411" s="3">
        <f t="shared" si="68"/>
        <v>0</v>
      </c>
      <c r="R1411" s="89"/>
      <c r="S1411" s="89">
        <f>100%-Table34[[#This Row],[PDF_initial fee]]</f>
        <v>1</v>
      </c>
      <c r="T1411" s="89"/>
      <c r="U1411" s="26"/>
    </row>
    <row r="1412" spans="1:30" hidden="1" x14ac:dyDescent="0.25">
      <c r="A1412">
        <v>419881</v>
      </c>
      <c r="B1412" t="s">
        <v>1742</v>
      </c>
      <c r="C1412" t="s">
        <v>8924</v>
      </c>
      <c r="D1412">
        <v>4</v>
      </c>
      <c r="E1412" t="s">
        <v>1742</v>
      </c>
      <c r="G1412" s="3"/>
      <c r="H1412" s="21">
        <v>0</v>
      </c>
      <c r="I1412" s="21">
        <v>0</v>
      </c>
      <c r="J1412" s="21">
        <v>0</v>
      </c>
      <c r="K1412" s="21">
        <v>0</v>
      </c>
      <c r="L1412" s="3">
        <f t="shared" si="67"/>
        <v>0</v>
      </c>
      <c r="M1412" s="3"/>
      <c r="N1412" s="3">
        <f t="shared" si="68"/>
        <v>0</v>
      </c>
      <c r="R1412" s="89"/>
      <c r="S1412" s="89">
        <f>100%-Table34[[#This Row],[PDF_initial fee]]</f>
        <v>1</v>
      </c>
      <c r="T1412" s="89"/>
      <c r="U1412" s="26"/>
    </row>
    <row r="1413" spans="1:30" hidden="1" x14ac:dyDescent="0.25">
      <c r="A1413">
        <v>422520</v>
      </c>
      <c r="B1413" t="s">
        <v>1743</v>
      </c>
      <c r="C1413" t="s">
        <v>6958</v>
      </c>
      <c r="D1413">
        <v>2</v>
      </c>
      <c r="E1413" t="s">
        <v>1743</v>
      </c>
      <c r="F1413" t="s">
        <v>6958</v>
      </c>
      <c r="G1413" s="3"/>
      <c r="H1413" s="21">
        <v>0</v>
      </c>
      <c r="I1413" s="21">
        <v>0</v>
      </c>
      <c r="J1413" s="21">
        <v>0</v>
      </c>
      <c r="K1413" s="21">
        <v>0</v>
      </c>
      <c r="L1413" s="3">
        <f t="shared" si="67"/>
        <v>0</v>
      </c>
      <c r="M1413" s="3"/>
      <c r="N1413" s="3">
        <f t="shared" si="68"/>
        <v>0</v>
      </c>
      <c r="R1413" s="89"/>
      <c r="S1413" s="89">
        <f>100%-Table34[[#This Row],[PDF_initial fee]]</f>
        <v>1</v>
      </c>
      <c r="T1413" s="89"/>
      <c r="U1413" s="26"/>
    </row>
    <row r="1414" spans="1:30" x14ac:dyDescent="0.25">
      <c r="A1414">
        <v>135910</v>
      </c>
      <c r="B1414" t="s">
        <v>46</v>
      </c>
      <c r="C1414" t="s">
        <v>29890</v>
      </c>
      <c r="D1414">
        <v>5</v>
      </c>
      <c r="E1414" t="s">
        <v>46</v>
      </c>
      <c r="F1414" t="s">
        <v>3</v>
      </c>
      <c r="G1414" s="3">
        <v>1.4E-3</v>
      </c>
      <c r="H1414" s="3">
        <v>0.03</v>
      </c>
      <c r="I1414" s="21">
        <v>0.01</v>
      </c>
      <c r="J1414" s="6">
        <v>0</v>
      </c>
      <c r="K1414" s="6">
        <v>0</v>
      </c>
      <c r="L1414" s="3">
        <f t="shared" si="67"/>
        <v>0.04</v>
      </c>
      <c r="M1414" s="3"/>
      <c r="N1414" s="3">
        <f t="shared" si="68"/>
        <v>4.1399999999999999E-2</v>
      </c>
      <c r="O1414" s="21"/>
      <c r="P1414" s="1" t="s">
        <v>29891</v>
      </c>
      <c r="Q1414" t="s">
        <v>31787</v>
      </c>
      <c r="R1414" s="89">
        <v>0.33333333333333348</v>
      </c>
      <c r="S1414" s="89">
        <f>100%-Table34[[#This Row],[InitialFee]]</f>
        <v>0.97</v>
      </c>
      <c r="T1414" s="89">
        <f>(1-Table34[[#This Row],[OngoingFee (plus Platform fee)]])^5</f>
        <v>0.95099004989999991</v>
      </c>
      <c r="U1414" s="26">
        <f>(1+Table34[[#This Row],[Net 5yrs return (mostly up to 28th of Feb 2026)]])*Table34[[#This Row],[Investment after initial charge]]*Table34[[#This Row],[Cummulative 5yrs ongoing advice charge]]-1</f>
        <v>0.22994713120400001</v>
      </c>
      <c r="V1414">
        <v>678997</v>
      </c>
      <c r="W1414" t="s">
        <v>29051</v>
      </c>
      <c r="X1414" s="10">
        <v>470427</v>
      </c>
      <c r="Y1414" s="30">
        <f>X1414/V1414</f>
        <v>0.69282633060234433</v>
      </c>
      <c r="AA1414" s="1" t="s">
        <v>29892</v>
      </c>
    </row>
    <row r="1415" spans="1:30" hidden="1" x14ac:dyDescent="0.25">
      <c r="A1415">
        <v>422773</v>
      </c>
      <c r="B1415" t="s">
        <v>1744</v>
      </c>
      <c r="C1415" t="s">
        <v>9738</v>
      </c>
      <c r="D1415">
        <v>6</v>
      </c>
      <c r="E1415" t="s">
        <v>1744</v>
      </c>
      <c r="G1415" s="3"/>
      <c r="H1415" s="21">
        <v>0</v>
      </c>
      <c r="I1415" s="21">
        <v>0</v>
      </c>
      <c r="J1415" s="21">
        <v>0</v>
      </c>
      <c r="K1415" s="21">
        <v>0</v>
      </c>
      <c r="L1415" s="3">
        <f t="shared" si="67"/>
        <v>0</v>
      </c>
      <c r="M1415" s="3"/>
      <c r="N1415" s="3">
        <f t="shared" si="68"/>
        <v>0</v>
      </c>
      <c r="R1415" s="89"/>
      <c r="S1415" s="89">
        <f>100%-Table34[[#This Row],[PDF_initial fee]]</f>
        <v>1</v>
      </c>
      <c r="T1415" s="89"/>
      <c r="U1415" s="26"/>
    </row>
    <row r="1416" spans="1:30" x14ac:dyDescent="0.25">
      <c r="A1416">
        <v>143390</v>
      </c>
      <c r="B1416" t="s">
        <v>58</v>
      </c>
      <c r="C1416" s="1" t="s">
        <v>12101</v>
      </c>
      <c r="D1416">
        <v>9</v>
      </c>
      <c r="E1416" t="s">
        <v>58</v>
      </c>
      <c r="F1416" t="s">
        <v>6</v>
      </c>
      <c r="G1416" s="3">
        <f>(0.25+0.66)%</f>
        <v>9.1000000000000004E-3</v>
      </c>
      <c r="H1416" s="3">
        <v>0</v>
      </c>
      <c r="I1416" s="3">
        <v>0</v>
      </c>
      <c r="J1416" s="3">
        <f>0.75%+1.5%</f>
        <v>2.2499999999999999E-2</v>
      </c>
      <c r="K1416" s="3">
        <v>1.2E-2</v>
      </c>
      <c r="L1416" s="3">
        <f t="shared" si="67"/>
        <v>3.4500000000000003E-2</v>
      </c>
      <c r="M1416" s="3"/>
      <c r="N1416" s="3">
        <f t="shared" si="68"/>
        <v>4.36E-2</v>
      </c>
      <c r="O1416" t="s">
        <v>29893</v>
      </c>
      <c r="P1416" s="1" t="s">
        <v>29894</v>
      </c>
      <c r="Q1416" s="101" t="s">
        <v>31793</v>
      </c>
      <c r="R1416" s="89">
        <v>0.246</v>
      </c>
      <c r="S1416" s="89">
        <f>100%-Table34[[#This Row],[PDF_initial fee]]</f>
        <v>0.97750000000000004</v>
      </c>
      <c r="T1416" s="89">
        <f>(1-Table34[[#This Row],[PDF ongoing fee]])^5</f>
        <v>0.94142282343116801</v>
      </c>
      <c r="U1416" s="26">
        <f>(1+Table34[[#This Row],[Net 5yrs return (mostly up to 28th of Feb 2026)]])*Table34[[#This Row],[Investment after initial charge]]*Table34[[#This Row],[Cummulative 5yrs ongoing advice charge]]-1</f>
        <v>0.14662004914034243</v>
      </c>
      <c r="V1416" s="10">
        <f>70110000+37973000</f>
        <v>108083000</v>
      </c>
      <c r="W1416" s="10" t="s">
        <v>29051</v>
      </c>
      <c r="X1416" s="10">
        <v>54574000</v>
      </c>
      <c r="Y1416" s="30">
        <f>X1416/V1416</f>
        <v>0.50492676924215651</v>
      </c>
      <c r="Z1416" s="10"/>
      <c r="AA1416" s="1" t="s">
        <v>29896</v>
      </c>
      <c r="AD1416" t="s">
        <v>29897</v>
      </c>
    </row>
    <row r="1417" spans="1:30" hidden="1" x14ac:dyDescent="0.25">
      <c r="A1417">
        <v>423980</v>
      </c>
      <c r="B1417" t="s">
        <v>1745</v>
      </c>
      <c r="C1417" t="s">
        <v>11648</v>
      </c>
      <c r="D1417">
        <v>2</v>
      </c>
      <c r="E1417" t="s">
        <v>1745</v>
      </c>
      <c r="G1417" s="3"/>
      <c r="H1417" s="21">
        <v>0</v>
      </c>
      <c r="I1417" s="21">
        <v>0</v>
      </c>
      <c r="J1417" s="21">
        <v>0</v>
      </c>
      <c r="K1417" s="21">
        <v>0</v>
      </c>
      <c r="L1417" s="3">
        <f t="shared" si="67"/>
        <v>0</v>
      </c>
      <c r="M1417" s="3"/>
      <c r="N1417" s="3">
        <f t="shared" si="68"/>
        <v>0</v>
      </c>
      <c r="R1417" s="89"/>
      <c r="S1417" s="89">
        <f>100%-Table34[[#This Row],[PDF_initial fee]]</f>
        <v>1</v>
      </c>
      <c r="T1417" s="89"/>
      <c r="U1417" s="26"/>
    </row>
    <row r="1418" spans="1:30" hidden="1" x14ac:dyDescent="0.25">
      <c r="A1418">
        <v>424022</v>
      </c>
      <c r="B1418" t="s">
        <v>1746</v>
      </c>
      <c r="C1418" t="s">
        <v>8299</v>
      </c>
      <c r="D1418">
        <v>1</v>
      </c>
      <c r="E1418" t="s">
        <v>1746</v>
      </c>
      <c r="G1418" s="3"/>
      <c r="H1418" s="21">
        <v>0</v>
      </c>
      <c r="I1418" s="21">
        <v>0</v>
      </c>
      <c r="J1418" s="21">
        <v>0</v>
      </c>
      <c r="K1418" s="21">
        <v>0</v>
      </c>
      <c r="L1418" s="3">
        <f t="shared" si="67"/>
        <v>0</v>
      </c>
      <c r="M1418" s="3"/>
      <c r="N1418" s="3">
        <f t="shared" si="68"/>
        <v>0</v>
      </c>
      <c r="R1418" s="89"/>
      <c r="S1418" s="89">
        <f>100%-Table34[[#This Row],[PDF_initial fee]]</f>
        <v>1</v>
      </c>
      <c r="T1418" s="89"/>
      <c r="U1418" s="26"/>
    </row>
    <row r="1419" spans="1:30" hidden="1" x14ac:dyDescent="0.25">
      <c r="A1419">
        <v>424062</v>
      </c>
      <c r="B1419" t="s">
        <v>1747</v>
      </c>
      <c r="C1419" t="s">
        <v>6958</v>
      </c>
      <c r="D1419">
        <v>4</v>
      </c>
      <c r="E1419" t="s">
        <v>1747</v>
      </c>
      <c r="F1419" t="s">
        <v>6958</v>
      </c>
      <c r="G1419" s="3"/>
      <c r="H1419" s="21">
        <v>0</v>
      </c>
      <c r="I1419" s="21">
        <v>0</v>
      </c>
      <c r="J1419" s="21">
        <v>0</v>
      </c>
      <c r="K1419" s="21">
        <v>0</v>
      </c>
      <c r="L1419" s="3">
        <f t="shared" si="67"/>
        <v>0</v>
      </c>
      <c r="M1419" s="3"/>
      <c r="N1419" s="3">
        <f t="shared" si="68"/>
        <v>0</v>
      </c>
      <c r="R1419" s="89"/>
      <c r="S1419" s="89">
        <f>100%-Table34[[#This Row],[PDF_initial fee]]</f>
        <v>1</v>
      </c>
      <c r="T1419" s="89"/>
      <c r="U1419" s="26"/>
    </row>
    <row r="1420" spans="1:30" hidden="1" x14ac:dyDescent="0.25">
      <c r="A1420">
        <v>424079</v>
      </c>
      <c r="B1420" t="s">
        <v>1748</v>
      </c>
      <c r="C1420" t="s">
        <v>6958</v>
      </c>
      <c r="D1420">
        <v>3</v>
      </c>
      <c r="E1420" t="s">
        <v>1748</v>
      </c>
      <c r="F1420" t="s">
        <v>6958</v>
      </c>
      <c r="G1420" s="3"/>
      <c r="H1420" s="21">
        <v>0</v>
      </c>
      <c r="I1420" s="21">
        <v>0</v>
      </c>
      <c r="J1420" s="21">
        <v>0</v>
      </c>
      <c r="K1420" s="21">
        <v>0</v>
      </c>
      <c r="L1420" s="3">
        <f t="shared" si="67"/>
        <v>0</v>
      </c>
      <c r="M1420" s="3"/>
      <c r="N1420" s="3">
        <f t="shared" si="68"/>
        <v>0</v>
      </c>
      <c r="R1420" s="89"/>
      <c r="S1420" s="89">
        <f>100%-Table34[[#This Row],[PDF_initial fee]]</f>
        <v>1</v>
      </c>
      <c r="T1420" s="89"/>
      <c r="U1420" s="26"/>
    </row>
    <row r="1421" spans="1:30" hidden="1" x14ac:dyDescent="0.25">
      <c r="A1421">
        <v>424180</v>
      </c>
      <c r="B1421" t="s">
        <v>1749</v>
      </c>
      <c r="C1421" t="s">
        <v>6958</v>
      </c>
      <c r="D1421">
        <v>1</v>
      </c>
      <c r="E1421" t="s">
        <v>1749</v>
      </c>
      <c r="F1421" t="s">
        <v>6958</v>
      </c>
      <c r="G1421" s="3"/>
      <c r="H1421" s="21">
        <v>0</v>
      </c>
      <c r="I1421" s="21">
        <v>0</v>
      </c>
      <c r="J1421" s="21">
        <v>0</v>
      </c>
      <c r="K1421" s="21">
        <v>0</v>
      </c>
      <c r="L1421" s="3">
        <f t="shared" si="67"/>
        <v>0</v>
      </c>
      <c r="M1421" s="3"/>
      <c r="N1421" s="3">
        <f t="shared" si="68"/>
        <v>0</v>
      </c>
      <c r="R1421" s="89"/>
      <c r="S1421" s="89">
        <f>100%-Table34[[#This Row],[PDF_initial fee]]</f>
        <v>1</v>
      </c>
      <c r="T1421" s="89"/>
      <c r="U1421" s="26"/>
    </row>
    <row r="1422" spans="1:30" hidden="1" x14ac:dyDescent="0.25">
      <c r="A1422">
        <v>424217</v>
      </c>
      <c r="B1422" t="s">
        <v>1750</v>
      </c>
      <c r="C1422" t="s">
        <v>7707</v>
      </c>
      <c r="D1422">
        <v>11</v>
      </c>
      <c r="E1422" t="s">
        <v>1750</v>
      </c>
      <c r="G1422" s="3"/>
      <c r="H1422" s="21">
        <v>0</v>
      </c>
      <c r="I1422" s="21">
        <v>0</v>
      </c>
      <c r="J1422" s="21">
        <v>0</v>
      </c>
      <c r="K1422" s="21">
        <v>0</v>
      </c>
      <c r="L1422" s="3">
        <f t="shared" si="67"/>
        <v>0</v>
      </c>
      <c r="M1422" s="3"/>
      <c r="N1422" s="3">
        <f t="shared" si="68"/>
        <v>0</v>
      </c>
      <c r="R1422" s="89"/>
      <c r="S1422" s="89">
        <f>100%-Table34[[#This Row],[PDF_initial fee]]</f>
        <v>1</v>
      </c>
      <c r="T1422" s="89"/>
      <c r="U1422" s="26"/>
    </row>
    <row r="1423" spans="1:30" hidden="1" x14ac:dyDescent="0.25">
      <c r="A1423">
        <v>424343</v>
      </c>
      <c r="B1423" t="s">
        <v>1751</v>
      </c>
      <c r="C1423" t="s">
        <v>29898</v>
      </c>
      <c r="D1423">
        <v>3</v>
      </c>
      <c r="E1423" t="s">
        <v>1751</v>
      </c>
      <c r="G1423" s="3"/>
      <c r="H1423" s="21">
        <v>0</v>
      </c>
      <c r="I1423" s="21">
        <v>0</v>
      </c>
      <c r="J1423" s="21">
        <v>0</v>
      </c>
      <c r="K1423" s="21">
        <v>0</v>
      </c>
      <c r="L1423" s="3">
        <f t="shared" si="67"/>
        <v>0</v>
      </c>
      <c r="M1423" s="3"/>
      <c r="N1423" s="3">
        <f t="shared" si="68"/>
        <v>0</v>
      </c>
      <c r="R1423" s="89"/>
      <c r="S1423" s="89">
        <f>100%-Table34[[#This Row],[PDF_initial fee]]</f>
        <v>1</v>
      </c>
      <c r="T1423" s="89"/>
      <c r="U1423" s="26"/>
    </row>
    <row r="1424" spans="1:30" hidden="1" x14ac:dyDescent="0.25">
      <c r="A1424">
        <v>424574</v>
      </c>
      <c r="B1424" t="s">
        <v>1752</v>
      </c>
      <c r="C1424" t="s">
        <v>8710</v>
      </c>
      <c r="D1424">
        <v>1</v>
      </c>
      <c r="E1424" t="s">
        <v>1752</v>
      </c>
      <c r="G1424" s="3"/>
      <c r="H1424" s="21">
        <v>0</v>
      </c>
      <c r="I1424" s="21">
        <v>0</v>
      </c>
      <c r="J1424" s="21">
        <v>0</v>
      </c>
      <c r="K1424" s="21">
        <v>0</v>
      </c>
      <c r="L1424" s="3">
        <f t="shared" si="67"/>
        <v>0</v>
      </c>
      <c r="M1424" s="3"/>
      <c r="N1424" s="3">
        <f t="shared" si="68"/>
        <v>0</v>
      </c>
      <c r="R1424" s="89"/>
      <c r="S1424" s="89">
        <f>100%-Table34[[#This Row],[PDF_initial fee]]</f>
        <v>1</v>
      </c>
      <c r="T1424" s="89"/>
      <c r="U1424" s="26"/>
    </row>
    <row r="1425" spans="1:27" hidden="1" x14ac:dyDescent="0.25">
      <c r="A1425">
        <v>424729</v>
      </c>
      <c r="B1425" t="s">
        <v>1753</v>
      </c>
      <c r="C1425" t="s">
        <v>29899</v>
      </c>
      <c r="D1425">
        <v>2</v>
      </c>
      <c r="E1425" t="s">
        <v>1753</v>
      </c>
      <c r="G1425" s="3"/>
      <c r="H1425" s="40"/>
      <c r="I1425" s="40"/>
      <c r="J1425" s="40"/>
      <c r="K1425" s="40"/>
      <c r="L1425" s="3">
        <f t="shared" si="67"/>
        <v>0</v>
      </c>
      <c r="M1425" s="3"/>
      <c r="N1425" s="3">
        <f t="shared" si="68"/>
        <v>0</v>
      </c>
      <c r="R1425" s="89"/>
      <c r="S1425" s="89">
        <f>100%-Table34[[#This Row],[PDF_initial fee]]</f>
        <v>1</v>
      </c>
      <c r="T1425" s="89"/>
      <c r="U1425" s="26"/>
    </row>
    <row r="1426" spans="1:27" hidden="1" x14ac:dyDescent="0.25">
      <c r="A1426">
        <v>424784</v>
      </c>
      <c r="B1426" t="s">
        <v>1754</v>
      </c>
      <c r="C1426" t="s">
        <v>11234</v>
      </c>
      <c r="D1426">
        <v>6</v>
      </c>
      <c r="E1426" t="s">
        <v>1754</v>
      </c>
      <c r="G1426" s="3"/>
      <c r="H1426" s="21">
        <v>0</v>
      </c>
      <c r="I1426" s="21">
        <v>0</v>
      </c>
      <c r="J1426" s="21">
        <v>0</v>
      </c>
      <c r="K1426" s="21">
        <v>0</v>
      </c>
      <c r="L1426" s="3">
        <f t="shared" si="67"/>
        <v>0</v>
      </c>
      <c r="M1426" s="3"/>
      <c r="N1426" s="3">
        <f t="shared" si="68"/>
        <v>0</v>
      </c>
      <c r="R1426" s="89"/>
      <c r="S1426" s="89">
        <f>100%-Table34[[#This Row],[PDF_initial fee]]</f>
        <v>1</v>
      </c>
      <c r="T1426" s="89"/>
      <c r="U1426" s="26"/>
    </row>
    <row r="1427" spans="1:27" hidden="1" x14ac:dyDescent="0.25">
      <c r="A1427">
        <v>424919</v>
      </c>
      <c r="B1427" t="s">
        <v>1755</v>
      </c>
      <c r="C1427" t="s">
        <v>6958</v>
      </c>
      <c r="D1427">
        <v>1</v>
      </c>
      <c r="E1427" t="s">
        <v>1755</v>
      </c>
      <c r="F1427" t="s">
        <v>6958</v>
      </c>
      <c r="G1427" s="3"/>
      <c r="H1427" s="21">
        <v>0</v>
      </c>
      <c r="I1427" s="21">
        <v>0</v>
      </c>
      <c r="J1427" s="21">
        <v>0</v>
      </c>
      <c r="K1427" s="21">
        <v>0</v>
      </c>
      <c r="L1427" s="3">
        <f t="shared" si="67"/>
        <v>0</v>
      </c>
      <c r="M1427" s="3"/>
      <c r="N1427" s="3">
        <f t="shared" si="68"/>
        <v>0</v>
      </c>
      <c r="R1427" s="89"/>
      <c r="S1427" s="89">
        <f>100%-Table34[[#This Row],[PDF_initial fee]]</f>
        <v>1</v>
      </c>
      <c r="T1427" s="89"/>
      <c r="U1427" s="26"/>
    </row>
    <row r="1428" spans="1:27" hidden="1" x14ac:dyDescent="0.25">
      <c r="A1428">
        <v>424984</v>
      </c>
      <c r="B1428" t="s">
        <v>1756</v>
      </c>
      <c r="C1428" t="s">
        <v>6958</v>
      </c>
      <c r="D1428">
        <v>2</v>
      </c>
      <c r="E1428" t="s">
        <v>1756</v>
      </c>
      <c r="F1428" t="s">
        <v>6958</v>
      </c>
      <c r="G1428" s="3"/>
      <c r="H1428" s="21">
        <v>0</v>
      </c>
      <c r="I1428" s="21">
        <v>0</v>
      </c>
      <c r="J1428" s="21">
        <v>0</v>
      </c>
      <c r="K1428" s="21">
        <v>0</v>
      </c>
      <c r="L1428" s="3">
        <f t="shared" si="67"/>
        <v>0</v>
      </c>
      <c r="M1428" s="3"/>
      <c r="N1428" s="3">
        <f t="shared" si="68"/>
        <v>0</v>
      </c>
      <c r="R1428" s="89"/>
      <c r="S1428" s="89">
        <f>100%-Table34[[#This Row],[PDF_initial fee]]</f>
        <v>1</v>
      </c>
      <c r="T1428" s="89"/>
      <c r="U1428" s="26"/>
    </row>
    <row r="1429" spans="1:27" hidden="1" x14ac:dyDescent="0.25">
      <c r="A1429">
        <v>425291</v>
      </c>
      <c r="B1429" t="s">
        <v>1757</v>
      </c>
      <c r="C1429" t="s">
        <v>6958</v>
      </c>
      <c r="D1429">
        <v>1</v>
      </c>
      <c r="E1429" t="s">
        <v>1757</v>
      </c>
      <c r="F1429" t="s">
        <v>6958</v>
      </c>
      <c r="G1429" s="3"/>
      <c r="H1429" s="21">
        <v>0</v>
      </c>
      <c r="I1429" s="21">
        <v>0</v>
      </c>
      <c r="J1429" s="21">
        <v>0</v>
      </c>
      <c r="K1429" s="21">
        <v>0</v>
      </c>
      <c r="L1429" s="3">
        <f t="shared" si="67"/>
        <v>0</v>
      </c>
      <c r="M1429" s="3"/>
      <c r="N1429" s="3">
        <f t="shared" si="68"/>
        <v>0</v>
      </c>
      <c r="R1429" s="89"/>
      <c r="S1429" s="89">
        <f>100%-Table34[[#This Row],[PDF_initial fee]]</f>
        <v>1</v>
      </c>
      <c r="T1429" s="89"/>
      <c r="U1429" s="26"/>
    </row>
    <row r="1430" spans="1:27" hidden="1" x14ac:dyDescent="0.25">
      <c r="A1430">
        <v>425418</v>
      </c>
      <c r="B1430" t="s">
        <v>1758</v>
      </c>
      <c r="C1430" t="s">
        <v>6958</v>
      </c>
      <c r="D1430">
        <v>2</v>
      </c>
      <c r="E1430" t="s">
        <v>1758</v>
      </c>
      <c r="F1430" t="s">
        <v>6958</v>
      </c>
      <c r="G1430" s="3"/>
      <c r="H1430" s="21">
        <v>0</v>
      </c>
      <c r="I1430" s="21">
        <v>0</v>
      </c>
      <c r="J1430" s="21">
        <v>0</v>
      </c>
      <c r="K1430" s="21">
        <v>0</v>
      </c>
      <c r="L1430" s="3">
        <f t="shared" si="67"/>
        <v>0</v>
      </c>
      <c r="M1430" s="3"/>
      <c r="N1430" s="3">
        <f t="shared" si="68"/>
        <v>0</v>
      </c>
      <c r="R1430" s="89"/>
      <c r="S1430" s="89">
        <f>100%-Table34[[#This Row],[PDF_initial fee]]</f>
        <v>1</v>
      </c>
      <c r="T1430" s="89"/>
      <c r="U1430" s="26"/>
    </row>
    <row r="1431" spans="1:27" hidden="1" x14ac:dyDescent="0.25">
      <c r="A1431">
        <v>425430</v>
      </c>
      <c r="B1431" t="s">
        <v>1759</v>
      </c>
      <c r="C1431" t="s">
        <v>8796</v>
      </c>
      <c r="D1431">
        <v>2</v>
      </c>
      <c r="E1431" t="s">
        <v>1759</v>
      </c>
      <c r="G1431" s="3"/>
      <c r="H1431" s="21">
        <v>0</v>
      </c>
      <c r="I1431" s="21">
        <v>0</v>
      </c>
      <c r="J1431" s="21">
        <v>0</v>
      </c>
      <c r="K1431" s="21">
        <v>0</v>
      </c>
      <c r="L1431" s="3">
        <f t="shared" si="67"/>
        <v>0</v>
      </c>
      <c r="M1431" s="3"/>
      <c r="N1431" s="3">
        <f t="shared" si="68"/>
        <v>0</v>
      </c>
      <c r="R1431" s="89"/>
      <c r="S1431" s="89">
        <f>100%-Table34[[#This Row],[PDF_initial fee]]</f>
        <v>1</v>
      </c>
      <c r="T1431" s="89"/>
      <c r="U1431" s="26"/>
    </row>
    <row r="1432" spans="1:27" hidden="1" x14ac:dyDescent="0.25">
      <c r="A1432">
        <v>425451</v>
      </c>
      <c r="B1432" t="s">
        <v>1760</v>
      </c>
      <c r="C1432" t="s">
        <v>10579</v>
      </c>
      <c r="D1432">
        <v>2</v>
      </c>
      <c r="E1432" t="s">
        <v>1760</v>
      </c>
      <c r="G1432" s="3"/>
      <c r="H1432" s="21">
        <v>0</v>
      </c>
      <c r="I1432" s="21">
        <v>0</v>
      </c>
      <c r="J1432" s="21">
        <v>0</v>
      </c>
      <c r="K1432" s="21">
        <v>0</v>
      </c>
      <c r="L1432" s="3">
        <f t="shared" si="67"/>
        <v>0</v>
      </c>
      <c r="M1432" s="3"/>
      <c r="N1432" s="3">
        <f t="shared" si="68"/>
        <v>0</v>
      </c>
      <c r="R1432" s="89"/>
      <c r="S1432" s="89">
        <f>100%-Table34[[#This Row],[PDF_initial fee]]</f>
        <v>1</v>
      </c>
      <c r="T1432" s="89"/>
      <c r="U1432" s="26"/>
    </row>
    <row r="1433" spans="1:27" hidden="1" x14ac:dyDescent="0.25">
      <c r="A1433">
        <v>425729</v>
      </c>
      <c r="B1433" t="s">
        <v>1761</v>
      </c>
      <c r="C1433" t="s">
        <v>12314</v>
      </c>
      <c r="D1433">
        <v>3</v>
      </c>
      <c r="E1433" t="s">
        <v>1761</v>
      </c>
      <c r="G1433" s="3"/>
      <c r="L1433" s="3">
        <f t="shared" si="67"/>
        <v>0</v>
      </c>
      <c r="M1433" s="3"/>
      <c r="N1433" s="3">
        <f t="shared" si="68"/>
        <v>0</v>
      </c>
      <c r="R1433" s="89"/>
      <c r="S1433" s="89">
        <f>100%-Table34[[#This Row],[PDF_initial fee]]</f>
        <v>1</v>
      </c>
      <c r="T1433" s="89"/>
      <c r="U1433" s="26"/>
    </row>
    <row r="1434" spans="1:27" x14ac:dyDescent="0.25">
      <c r="A1434">
        <v>226392</v>
      </c>
      <c r="B1434" t="s">
        <v>127</v>
      </c>
      <c r="C1434" s="1" t="s">
        <v>29900</v>
      </c>
      <c r="D1434">
        <v>1</v>
      </c>
      <c r="E1434" t="s">
        <v>127</v>
      </c>
      <c r="F1434" t="s">
        <v>6</v>
      </c>
      <c r="G1434" s="3">
        <f>(0.25+0.66)%</f>
        <v>9.1000000000000004E-3</v>
      </c>
      <c r="H1434" s="3">
        <v>0</v>
      </c>
      <c r="I1434" s="3">
        <v>0</v>
      </c>
      <c r="J1434" s="3">
        <f>0.75%+1.5%</f>
        <v>2.2499999999999999E-2</v>
      </c>
      <c r="K1434" s="3">
        <v>1.2E-2</v>
      </c>
      <c r="L1434" s="3">
        <f t="shared" si="67"/>
        <v>3.4500000000000003E-2</v>
      </c>
      <c r="M1434" s="3"/>
      <c r="N1434" s="3">
        <f t="shared" si="68"/>
        <v>4.36E-2</v>
      </c>
      <c r="P1434" s="1" t="s">
        <v>29894</v>
      </c>
      <c r="Q1434" s="101" t="s">
        <v>31793</v>
      </c>
      <c r="R1434" s="89">
        <v>0.246</v>
      </c>
      <c r="S1434" s="89">
        <f>100%-Table34[[#This Row],[PDF_initial fee]]</f>
        <v>0.97750000000000004</v>
      </c>
      <c r="T1434" s="89">
        <f>(1-Table34[[#This Row],[PDF ongoing fee]])^5</f>
        <v>0.94142282343116801</v>
      </c>
      <c r="U1434" s="26">
        <f>(1+Table34[[#This Row],[Net 5yrs return (mostly up to 28th of Feb 2026)]])*Table34[[#This Row],[Investment after initial charge]]*Table34[[#This Row],[Cummulative 5yrs ongoing advice charge]]-1</f>
        <v>0.14662004914034243</v>
      </c>
      <c r="V1434" s="10">
        <f>70110000+37973000</f>
        <v>108083000</v>
      </c>
      <c r="W1434" s="10" t="s">
        <v>29051</v>
      </c>
      <c r="X1434" s="10">
        <v>54574000</v>
      </c>
      <c r="Y1434" s="30">
        <f>X1434/V1434</f>
        <v>0.50492676924215651</v>
      </c>
      <c r="Z1434" s="10"/>
      <c r="AA1434" s="1" t="s">
        <v>29901</v>
      </c>
    </row>
    <row r="1435" spans="1:27" hidden="1" x14ac:dyDescent="0.25">
      <c r="A1435">
        <v>425743</v>
      </c>
      <c r="B1435" t="s">
        <v>1762</v>
      </c>
      <c r="C1435" t="s">
        <v>8919</v>
      </c>
      <c r="D1435">
        <v>1</v>
      </c>
      <c r="E1435" t="s">
        <v>1762</v>
      </c>
      <c r="G1435" s="3"/>
      <c r="H1435" s="21">
        <v>0</v>
      </c>
      <c r="I1435" s="21">
        <v>0</v>
      </c>
      <c r="J1435" s="21">
        <v>0</v>
      </c>
      <c r="K1435" s="21">
        <v>0</v>
      </c>
      <c r="L1435" s="3">
        <f t="shared" si="67"/>
        <v>0</v>
      </c>
      <c r="M1435" s="3"/>
      <c r="N1435" s="3">
        <f t="shared" si="68"/>
        <v>0</v>
      </c>
      <c r="R1435" s="89"/>
      <c r="S1435" s="89">
        <f>100%-Table34[[#This Row],[PDF_initial fee]]</f>
        <v>1</v>
      </c>
      <c r="T1435" s="89"/>
      <c r="U1435" s="26"/>
    </row>
    <row r="1436" spans="1:27" hidden="1" x14ac:dyDescent="0.25">
      <c r="A1436">
        <v>425865</v>
      </c>
      <c r="B1436" t="s">
        <v>1763</v>
      </c>
      <c r="C1436" t="s">
        <v>7739</v>
      </c>
      <c r="D1436">
        <v>2</v>
      </c>
      <c r="E1436" t="s">
        <v>1763</v>
      </c>
      <c r="G1436" s="3"/>
      <c r="H1436" s="21">
        <v>0</v>
      </c>
      <c r="I1436" s="21">
        <v>0</v>
      </c>
      <c r="J1436" s="21">
        <v>0</v>
      </c>
      <c r="K1436" s="21">
        <v>0</v>
      </c>
      <c r="L1436" s="3">
        <f t="shared" si="67"/>
        <v>0</v>
      </c>
      <c r="M1436" s="3"/>
      <c r="N1436" s="3">
        <f t="shared" si="68"/>
        <v>0</v>
      </c>
      <c r="R1436" s="89"/>
      <c r="S1436" s="89">
        <f>100%-Table34[[#This Row],[PDF_initial fee]]</f>
        <v>1</v>
      </c>
      <c r="T1436" s="89"/>
      <c r="U1436" s="26"/>
    </row>
    <row r="1437" spans="1:27" hidden="1" x14ac:dyDescent="0.25">
      <c r="A1437">
        <v>425881</v>
      </c>
      <c r="B1437" t="s">
        <v>1764</v>
      </c>
      <c r="C1437" t="s">
        <v>9286</v>
      </c>
      <c r="D1437">
        <v>1</v>
      </c>
      <c r="E1437" t="s">
        <v>1764</v>
      </c>
      <c r="G1437" s="3"/>
      <c r="H1437" s="21">
        <v>0</v>
      </c>
      <c r="I1437" s="21">
        <v>0</v>
      </c>
      <c r="J1437" s="21">
        <v>0</v>
      </c>
      <c r="K1437" s="21">
        <v>0</v>
      </c>
      <c r="L1437" s="3">
        <f t="shared" si="67"/>
        <v>0</v>
      </c>
      <c r="M1437" s="3"/>
      <c r="N1437" s="3">
        <f t="shared" si="68"/>
        <v>0</v>
      </c>
      <c r="R1437" s="89"/>
      <c r="S1437" s="89">
        <f>100%-Table34[[#This Row],[PDF_initial fee]]</f>
        <v>1</v>
      </c>
      <c r="T1437" s="89"/>
      <c r="U1437" s="26"/>
    </row>
    <row r="1438" spans="1:27" hidden="1" x14ac:dyDescent="0.25">
      <c r="A1438">
        <v>425911</v>
      </c>
      <c r="B1438" t="s">
        <v>1765</v>
      </c>
      <c r="C1438" t="s">
        <v>9252</v>
      </c>
      <c r="D1438">
        <v>4</v>
      </c>
      <c r="E1438" t="s">
        <v>1765</v>
      </c>
      <c r="G1438" s="3"/>
      <c r="L1438" s="3">
        <f t="shared" si="67"/>
        <v>0</v>
      </c>
      <c r="M1438" s="3"/>
      <c r="N1438" s="3">
        <f t="shared" si="68"/>
        <v>0</v>
      </c>
      <c r="R1438" s="89"/>
      <c r="S1438" s="89">
        <f>100%-Table34[[#This Row],[PDF_initial fee]]</f>
        <v>1</v>
      </c>
      <c r="T1438" s="89"/>
      <c r="U1438" s="26"/>
    </row>
    <row r="1439" spans="1:27" hidden="1" x14ac:dyDescent="0.25">
      <c r="A1439">
        <v>425959</v>
      </c>
      <c r="B1439" t="s">
        <v>1766</v>
      </c>
      <c r="C1439" t="s">
        <v>7184</v>
      </c>
      <c r="D1439">
        <v>1</v>
      </c>
      <c r="E1439" t="s">
        <v>1766</v>
      </c>
      <c r="G1439" s="3"/>
      <c r="H1439" s="21">
        <v>0</v>
      </c>
      <c r="I1439" s="21">
        <v>0</v>
      </c>
      <c r="J1439" s="21">
        <v>0</v>
      </c>
      <c r="K1439" s="21">
        <v>0</v>
      </c>
      <c r="L1439" s="3">
        <f t="shared" si="67"/>
        <v>0</v>
      </c>
      <c r="M1439" s="3"/>
      <c r="N1439" s="3">
        <f t="shared" si="68"/>
        <v>0</v>
      </c>
      <c r="R1439" s="89"/>
      <c r="S1439" s="89">
        <f>100%-Table34[[#This Row],[PDF_initial fee]]</f>
        <v>1</v>
      </c>
      <c r="T1439" s="89"/>
      <c r="U1439" s="26"/>
    </row>
    <row r="1440" spans="1:27" hidden="1" x14ac:dyDescent="0.25">
      <c r="A1440">
        <v>426121</v>
      </c>
      <c r="B1440" t="s">
        <v>1767</v>
      </c>
      <c r="C1440" t="s">
        <v>10511</v>
      </c>
      <c r="D1440">
        <v>1</v>
      </c>
      <c r="E1440" t="s">
        <v>1767</v>
      </c>
      <c r="G1440" s="3"/>
      <c r="H1440" s="21">
        <v>0</v>
      </c>
      <c r="I1440" s="21">
        <v>0</v>
      </c>
      <c r="J1440" s="21">
        <v>0</v>
      </c>
      <c r="K1440" s="21">
        <v>0</v>
      </c>
      <c r="L1440" s="3">
        <f t="shared" si="67"/>
        <v>0</v>
      </c>
      <c r="M1440" s="3"/>
      <c r="N1440" s="3">
        <f t="shared" si="68"/>
        <v>0</v>
      </c>
      <c r="R1440" s="89"/>
      <c r="S1440" s="89">
        <f>100%-Table34[[#This Row],[PDF_initial fee]]</f>
        <v>1</v>
      </c>
      <c r="T1440" s="89"/>
      <c r="U1440" s="26"/>
    </row>
    <row r="1441" spans="1:30" hidden="1" x14ac:dyDescent="0.25">
      <c r="A1441">
        <v>426165</v>
      </c>
      <c r="B1441" t="s">
        <v>1768</v>
      </c>
      <c r="C1441" s="1" t="s">
        <v>29902</v>
      </c>
      <c r="D1441">
        <v>17</v>
      </c>
      <c r="E1441" t="s">
        <v>1768</v>
      </c>
      <c r="G1441" s="3"/>
      <c r="L1441" s="3">
        <f t="shared" si="67"/>
        <v>0</v>
      </c>
      <c r="M1441" s="3"/>
      <c r="N1441" s="3">
        <f t="shared" si="68"/>
        <v>0</v>
      </c>
      <c r="R1441" s="89"/>
      <c r="S1441" s="89">
        <f>100%-Table34[[#This Row],[PDF_initial fee]]</f>
        <v>1</v>
      </c>
      <c r="T1441" s="89"/>
      <c r="U1441" s="26"/>
    </row>
    <row r="1442" spans="1:30" hidden="1" x14ac:dyDescent="0.25">
      <c r="A1442">
        <v>426166</v>
      </c>
      <c r="B1442" t="s">
        <v>1769</v>
      </c>
      <c r="C1442" t="s">
        <v>6958</v>
      </c>
      <c r="D1442">
        <v>7</v>
      </c>
      <c r="E1442" t="s">
        <v>1769</v>
      </c>
      <c r="F1442" t="s">
        <v>6958</v>
      </c>
      <c r="G1442" s="3"/>
      <c r="H1442" s="21">
        <v>0</v>
      </c>
      <c r="I1442" s="21">
        <v>0</v>
      </c>
      <c r="J1442" s="21">
        <v>0</v>
      </c>
      <c r="K1442" s="21">
        <v>0</v>
      </c>
      <c r="L1442" s="3">
        <f t="shared" si="67"/>
        <v>0</v>
      </c>
      <c r="M1442" s="3"/>
      <c r="N1442" s="3">
        <f t="shared" si="68"/>
        <v>0</v>
      </c>
      <c r="R1442" s="89"/>
      <c r="S1442" s="89">
        <f>100%-Table34[[#This Row],[PDF_initial fee]]</f>
        <v>1</v>
      </c>
      <c r="T1442" s="89"/>
      <c r="U1442" s="26"/>
    </row>
    <row r="1443" spans="1:30" hidden="1" x14ac:dyDescent="0.25">
      <c r="A1443">
        <v>426567</v>
      </c>
      <c r="B1443" t="s">
        <v>1770</v>
      </c>
      <c r="C1443" t="s">
        <v>6958</v>
      </c>
      <c r="D1443">
        <v>1</v>
      </c>
      <c r="E1443" t="s">
        <v>1770</v>
      </c>
      <c r="F1443" t="s">
        <v>6958</v>
      </c>
      <c r="G1443" s="3"/>
      <c r="H1443" s="21">
        <v>0</v>
      </c>
      <c r="I1443" s="21">
        <v>0</v>
      </c>
      <c r="J1443" s="21">
        <v>0</v>
      </c>
      <c r="K1443" s="21">
        <v>0</v>
      </c>
      <c r="L1443" s="3">
        <f t="shared" si="67"/>
        <v>0</v>
      </c>
      <c r="M1443" s="3"/>
      <c r="N1443" s="3">
        <f t="shared" si="68"/>
        <v>0</v>
      </c>
      <c r="R1443" s="89"/>
      <c r="S1443" s="89">
        <f>100%-Table34[[#This Row],[PDF_initial fee]]</f>
        <v>1</v>
      </c>
      <c r="T1443" s="89"/>
      <c r="U1443" s="26"/>
    </row>
    <row r="1444" spans="1:30" x14ac:dyDescent="0.25">
      <c r="A1444">
        <v>574458</v>
      </c>
      <c r="B1444" t="s">
        <v>226</v>
      </c>
      <c r="C1444" s="1" t="s">
        <v>29903</v>
      </c>
      <c r="D1444">
        <v>43</v>
      </c>
      <c r="E1444" t="s">
        <v>226</v>
      </c>
      <c r="F1444" t="s">
        <v>6</v>
      </c>
      <c r="G1444" s="3">
        <f>(0.25+0.66)%</f>
        <v>9.1000000000000004E-3</v>
      </c>
      <c r="H1444" s="3">
        <v>0</v>
      </c>
      <c r="I1444" s="3">
        <v>0</v>
      </c>
      <c r="J1444" s="3">
        <f>0.75%+1.5%</f>
        <v>2.2499999999999999E-2</v>
      </c>
      <c r="K1444" s="3">
        <v>1.2E-2</v>
      </c>
      <c r="L1444" s="3">
        <f t="shared" si="67"/>
        <v>3.4500000000000003E-2</v>
      </c>
      <c r="M1444" s="3"/>
      <c r="N1444" s="3">
        <f t="shared" si="68"/>
        <v>4.36E-2</v>
      </c>
      <c r="P1444" s="1" t="s">
        <v>29894</v>
      </c>
      <c r="Q1444" s="101" t="s">
        <v>31793</v>
      </c>
      <c r="R1444" s="89">
        <v>0.246</v>
      </c>
      <c r="S1444" s="89">
        <f>100%-Table34[[#This Row],[PDF_initial fee]]</f>
        <v>0.97750000000000004</v>
      </c>
      <c r="T1444" s="89">
        <f>(1-Table34[[#This Row],[PDF ongoing fee]])^5</f>
        <v>0.94142282343116801</v>
      </c>
      <c r="U1444" s="26">
        <f>(1+Table34[[#This Row],[Net 5yrs return (mostly up to 28th of Feb 2026)]])*Table34[[#This Row],[Investment after initial charge]]*Table34[[#This Row],[Cummulative 5yrs ongoing advice charge]]-1</f>
        <v>0.14662004914034243</v>
      </c>
      <c r="V1444" s="10">
        <f>70110000+37973000</f>
        <v>108083000</v>
      </c>
      <c r="W1444" s="10" t="s">
        <v>29051</v>
      </c>
      <c r="X1444" s="10">
        <v>54574000</v>
      </c>
      <c r="Y1444" s="30">
        <f>X1444/V1444</f>
        <v>0.50492676924215651</v>
      </c>
      <c r="Z1444" s="10"/>
      <c r="AA1444" s="1" t="s">
        <v>29904</v>
      </c>
      <c r="AD1444" s="1" t="s">
        <v>29895</v>
      </c>
    </row>
    <row r="1445" spans="1:30" hidden="1" x14ac:dyDescent="0.25">
      <c r="A1445">
        <v>428377</v>
      </c>
      <c r="B1445" t="s">
        <v>1771</v>
      </c>
      <c r="C1445" t="s">
        <v>12052</v>
      </c>
      <c r="D1445">
        <v>5</v>
      </c>
      <c r="E1445" t="s">
        <v>1771</v>
      </c>
      <c r="G1445" s="3"/>
      <c r="H1445" s="21">
        <v>0</v>
      </c>
      <c r="I1445" s="21">
        <v>0</v>
      </c>
      <c r="J1445" s="21">
        <v>0</v>
      </c>
      <c r="K1445" s="21">
        <v>0</v>
      </c>
      <c r="L1445" s="3">
        <f t="shared" si="67"/>
        <v>0</v>
      </c>
      <c r="M1445" s="3"/>
      <c r="N1445" s="3">
        <f t="shared" si="68"/>
        <v>0</v>
      </c>
      <c r="R1445" s="89"/>
      <c r="S1445" s="89">
        <f>100%-Table34[[#This Row],[PDF_initial fee]]</f>
        <v>1</v>
      </c>
      <c r="T1445" s="89"/>
      <c r="U1445" s="26"/>
    </row>
    <row r="1446" spans="1:30" hidden="1" x14ac:dyDescent="0.25">
      <c r="A1446">
        <v>428489</v>
      </c>
      <c r="B1446" t="s">
        <v>1772</v>
      </c>
      <c r="C1446" t="s">
        <v>8884</v>
      </c>
      <c r="D1446">
        <v>2</v>
      </c>
      <c r="E1446" t="s">
        <v>1772</v>
      </c>
      <c r="G1446" s="3"/>
      <c r="H1446" s="21">
        <v>0</v>
      </c>
      <c r="I1446" s="21">
        <v>0</v>
      </c>
      <c r="J1446" s="21">
        <v>0</v>
      </c>
      <c r="K1446" s="21">
        <v>0</v>
      </c>
      <c r="L1446" s="3">
        <f t="shared" si="67"/>
        <v>0</v>
      </c>
      <c r="M1446" s="3"/>
      <c r="N1446" s="3">
        <f t="shared" si="68"/>
        <v>0</v>
      </c>
      <c r="R1446" s="89"/>
      <c r="S1446" s="89">
        <f>100%-Table34[[#This Row],[PDF_initial fee]]</f>
        <v>1</v>
      </c>
      <c r="T1446" s="89"/>
      <c r="U1446" s="26"/>
    </row>
    <row r="1447" spans="1:30" hidden="1" x14ac:dyDescent="0.25">
      <c r="A1447">
        <v>428551</v>
      </c>
      <c r="B1447" t="s">
        <v>1773</v>
      </c>
      <c r="C1447" t="s">
        <v>9202</v>
      </c>
      <c r="D1447">
        <v>1</v>
      </c>
      <c r="E1447" t="s">
        <v>1773</v>
      </c>
      <c r="G1447" s="3"/>
      <c r="H1447" s="21">
        <v>0</v>
      </c>
      <c r="I1447" s="21">
        <v>0</v>
      </c>
      <c r="J1447" s="21">
        <v>0</v>
      </c>
      <c r="K1447" s="21">
        <v>0</v>
      </c>
      <c r="L1447" s="3">
        <f t="shared" si="67"/>
        <v>0</v>
      </c>
      <c r="M1447" s="3"/>
      <c r="N1447" s="3">
        <f t="shared" si="68"/>
        <v>0</v>
      </c>
      <c r="R1447" s="89"/>
      <c r="S1447" s="89">
        <f>100%-Table34[[#This Row],[PDF_initial fee]]</f>
        <v>1</v>
      </c>
      <c r="T1447" s="89"/>
      <c r="U1447" s="26"/>
    </row>
    <row r="1448" spans="1:30" hidden="1" x14ac:dyDescent="0.25">
      <c r="A1448">
        <v>428563</v>
      </c>
      <c r="B1448" t="s">
        <v>1774</v>
      </c>
      <c r="C1448" t="s">
        <v>10619</v>
      </c>
      <c r="D1448">
        <v>1</v>
      </c>
      <c r="E1448" t="s">
        <v>1774</v>
      </c>
      <c r="G1448" s="3"/>
      <c r="H1448" s="21">
        <v>0</v>
      </c>
      <c r="I1448" s="21">
        <v>0</v>
      </c>
      <c r="J1448" s="21">
        <v>0</v>
      </c>
      <c r="K1448" s="21">
        <v>0</v>
      </c>
      <c r="L1448" s="3">
        <f t="shared" si="67"/>
        <v>0</v>
      </c>
      <c r="M1448" s="3"/>
      <c r="N1448" s="3">
        <f t="shared" si="68"/>
        <v>0</v>
      </c>
      <c r="R1448" s="89"/>
      <c r="S1448" s="89">
        <f>100%-Table34[[#This Row],[PDF_initial fee]]</f>
        <v>1</v>
      </c>
      <c r="T1448" s="89"/>
      <c r="U1448" s="26"/>
    </row>
    <row r="1449" spans="1:30" hidden="1" x14ac:dyDescent="0.25">
      <c r="A1449">
        <v>428590</v>
      </c>
      <c r="B1449" t="s">
        <v>1775</v>
      </c>
      <c r="C1449" t="s">
        <v>6958</v>
      </c>
      <c r="D1449">
        <v>9</v>
      </c>
      <c r="E1449" t="s">
        <v>1775</v>
      </c>
      <c r="F1449" t="s">
        <v>6958</v>
      </c>
      <c r="G1449" s="3"/>
      <c r="H1449" s="21">
        <v>0</v>
      </c>
      <c r="I1449" s="21">
        <v>0</v>
      </c>
      <c r="J1449" s="21">
        <v>0</v>
      </c>
      <c r="K1449" s="21">
        <v>0</v>
      </c>
      <c r="L1449" s="3">
        <f t="shared" si="67"/>
        <v>0</v>
      </c>
      <c r="M1449" s="3"/>
      <c r="N1449" s="3">
        <f t="shared" si="68"/>
        <v>0</v>
      </c>
      <c r="R1449" s="89"/>
      <c r="S1449" s="89">
        <f>100%-Table34[[#This Row],[PDF_initial fee]]</f>
        <v>1</v>
      </c>
      <c r="T1449" s="89"/>
      <c r="U1449" s="26"/>
    </row>
    <row r="1450" spans="1:30" hidden="1" x14ac:dyDescent="0.25">
      <c r="A1450">
        <v>428648</v>
      </c>
      <c r="B1450" t="s">
        <v>1776</v>
      </c>
      <c r="C1450" t="s">
        <v>6958</v>
      </c>
      <c r="D1450">
        <v>1</v>
      </c>
      <c r="E1450" t="s">
        <v>1776</v>
      </c>
      <c r="F1450" t="s">
        <v>6958</v>
      </c>
      <c r="G1450" s="3"/>
      <c r="H1450" s="21">
        <v>0</v>
      </c>
      <c r="I1450" s="21">
        <v>0</v>
      </c>
      <c r="J1450" s="21">
        <v>0</v>
      </c>
      <c r="K1450" s="21">
        <v>0</v>
      </c>
      <c r="L1450" s="3">
        <f t="shared" si="67"/>
        <v>0</v>
      </c>
      <c r="M1450" s="3"/>
      <c r="N1450" s="3">
        <f t="shared" si="68"/>
        <v>0</v>
      </c>
      <c r="R1450" s="89"/>
      <c r="S1450" s="89">
        <f>100%-Table34[[#This Row],[PDF_initial fee]]</f>
        <v>1</v>
      </c>
      <c r="T1450" s="89"/>
      <c r="U1450" s="26"/>
    </row>
    <row r="1451" spans="1:30" hidden="1" x14ac:dyDescent="0.25">
      <c r="A1451">
        <v>428734</v>
      </c>
      <c r="B1451" t="s">
        <v>1777</v>
      </c>
      <c r="C1451" t="s">
        <v>8712</v>
      </c>
      <c r="D1451">
        <v>30</v>
      </c>
      <c r="E1451" t="s">
        <v>1777</v>
      </c>
      <c r="G1451" s="3"/>
      <c r="H1451" s="21">
        <v>0</v>
      </c>
      <c r="I1451" s="21">
        <v>0</v>
      </c>
      <c r="J1451" s="21">
        <v>0</v>
      </c>
      <c r="K1451" s="21">
        <v>0</v>
      </c>
      <c r="L1451" s="3">
        <f t="shared" si="67"/>
        <v>0</v>
      </c>
      <c r="M1451" s="3"/>
      <c r="N1451" s="3">
        <f t="shared" si="68"/>
        <v>0</v>
      </c>
      <c r="O1451" s="21"/>
      <c r="R1451" s="89"/>
      <c r="S1451" s="89">
        <f>100%-Table34[[#This Row],[PDF_initial fee]]</f>
        <v>1</v>
      </c>
      <c r="T1451" s="89"/>
      <c r="U1451" s="26"/>
    </row>
    <row r="1452" spans="1:30" hidden="1" x14ac:dyDescent="0.25">
      <c r="A1452">
        <v>428736</v>
      </c>
      <c r="B1452" t="s">
        <v>1778</v>
      </c>
      <c r="C1452" s="1" t="s">
        <v>29905</v>
      </c>
      <c r="D1452">
        <v>3</v>
      </c>
      <c r="E1452" t="s">
        <v>1778</v>
      </c>
      <c r="G1452" s="3"/>
      <c r="H1452" s="3">
        <v>0</v>
      </c>
      <c r="I1452" s="3">
        <v>0</v>
      </c>
      <c r="J1452" s="3">
        <v>0</v>
      </c>
      <c r="K1452" s="3">
        <v>0</v>
      </c>
      <c r="L1452" s="3">
        <f t="shared" si="67"/>
        <v>0</v>
      </c>
      <c r="M1452" s="3"/>
      <c r="N1452" s="3">
        <f t="shared" si="68"/>
        <v>0</v>
      </c>
      <c r="R1452" s="89"/>
      <c r="S1452" s="89">
        <f>100%-Table34[[#This Row],[PDF_initial fee]]</f>
        <v>1</v>
      </c>
      <c r="T1452" s="89"/>
      <c r="U1452" s="26"/>
    </row>
    <row r="1453" spans="1:30" hidden="1" x14ac:dyDescent="0.25">
      <c r="A1453">
        <v>428789</v>
      </c>
      <c r="B1453" t="s">
        <v>1779</v>
      </c>
      <c r="C1453" t="s">
        <v>29906</v>
      </c>
      <c r="D1453">
        <v>11</v>
      </c>
      <c r="E1453" t="s">
        <v>1779</v>
      </c>
      <c r="G1453" s="3"/>
      <c r="H1453" s="3">
        <v>0</v>
      </c>
      <c r="I1453" s="3">
        <v>0</v>
      </c>
      <c r="J1453" s="3">
        <v>0</v>
      </c>
      <c r="K1453" s="3">
        <v>0</v>
      </c>
      <c r="L1453" s="3">
        <f t="shared" si="67"/>
        <v>0</v>
      </c>
      <c r="M1453" s="3"/>
      <c r="N1453" s="3">
        <f t="shared" si="68"/>
        <v>0</v>
      </c>
      <c r="R1453" s="89"/>
      <c r="S1453" s="89">
        <f>100%-Table34[[#This Row],[PDF_initial fee]]</f>
        <v>1</v>
      </c>
      <c r="T1453" s="89"/>
      <c r="U1453" s="26"/>
    </row>
    <row r="1454" spans="1:30" hidden="1" x14ac:dyDescent="0.25">
      <c r="A1454">
        <v>428814</v>
      </c>
      <c r="B1454" t="s">
        <v>1780</v>
      </c>
      <c r="C1454" t="s">
        <v>8757</v>
      </c>
      <c r="D1454">
        <v>2</v>
      </c>
      <c r="E1454" t="s">
        <v>1780</v>
      </c>
      <c r="G1454" s="3"/>
      <c r="H1454" s="21">
        <v>0</v>
      </c>
      <c r="I1454" s="21">
        <v>0</v>
      </c>
      <c r="J1454" s="21">
        <v>0</v>
      </c>
      <c r="K1454" s="21">
        <v>0</v>
      </c>
      <c r="L1454" s="3">
        <f t="shared" si="67"/>
        <v>0</v>
      </c>
      <c r="M1454" s="3"/>
      <c r="N1454" s="3">
        <f t="shared" si="68"/>
        <v>0</v>
      </c>
      <c r="R1454" s="89"/>
      <c r="S1454" s="89">
        <f>100%-Table34[[#This Row],[PDF_initial fee]]</f>
        <v>1</v>
      </c>
      <c r="T1454" s="89"/>
      <c r="U1454" s="26"/>
    </row>
    <row r="1455" spans="1:30" hidden="1" x14ac:dyDescent="0.25">
      <c r="A1455">
        <v>428827</v>
      </c>
      <c r="B1455" t="s">
        <v>1781</v>
      </c>
      <c r="C1455" t="s">
        <v>6958</v>
      </c>
      <c r="D1455">
        <v>1</v>
      </c>
      <c r="E1455" t="s">
        <v>1781</v>
      </c>
      <c r="F1455" t="s">
        <v>6958</v>
      </c>
      <c r="G1455" s="3"/>
      <c r="L1455" s="3">
        <f t="shared" si="67"/>
        <v>0</v>
      </c>
      <c r="M1455" s="3"/>
      <c r="N1455" s="3">
        <f t="shared" si="68"/>
        <v>0</v>
      </c>
      <c r="R1455" s="89"/>
      <c r="S1455" s="89">
        <f>100%-Table34[[#This Row],[PDF_initial fee]]</f>
        <v>1</v>
      </c>
      <c r="T1455" s="89"/>
      <c r="U1455" s="26"/>
    </row>
    <row r="1456" spans="1:30" hidden="1" x14ac:dyDescent="0.25">
      <c r="A1456">
        <v>428873</v>
      </c>
      <c r="B1456" t="s">
        <v>1782</v>
      </c>
      <c r="C1456" t="s">
        <v>29907</v>
      </c>
      <c r="D1456">
        <v>1</v>
      </c>
      <c r="E1456" t="s">
        <v>1782</v>
      </c>
      <c r="G1456" s="3"/>
      <c r="H1456" s="3">
        <v>0</v>
      </c>
      <c r="I1456" s="3">
        <v>0</v>
      </c>
      <c r="J1456" s="3">
        <v>0</v>
      </c>
      <c r="K1456" s="3">
        <v>0</v>
      </c>
      <c r="L1456" s="3">
        <f t="shared" si="67"/>
        <v>0</v>
      </c>
      <c r="M1456" s="3"/>
      <c r="N1456" s="3">
        <f t="shared" si="68"/>
        <v>0</v>
      </c>
      <c r="R1456" s="89"/>
      <c r="S1456" s="89">
        <f>100%-Table34[[#This Row],[PDF_initial fee]]</f>
        <v>1</v>
      </c>
      <c r="T1456" s="89"/>
      <c r="U1456" s="26"/>
    </row>
    <row r="1457" spans="1:21" hidden="1" x14ac:dyDescent="0.25">
      <c r="A1457">
        <v>428904</v>
      </c>
      <c r="B1457" t="s">
        <v>1783</v>
      </c>
      <c r="C1457" t="s">
        <v>29908</v>
      </c>
      <c r="D1457">
        <v>4</v>
      </c>
      <c r="E1457" t="s">
        <v>1783</v>
      </c>
      <c r="G1457" s="3"/>
      <c r="H1457" s="3">
        <v>0</v>
      </c>
      <c r="I1457" s="3">
        <v>0</v>
      </c>
      <c r="J1457" s="3">
        <v>0</v>
      </c>
      <c r="K1457" s="3">
        <v>0</v>
      </c>
      <c r="L1457" s="3">
        <f t="shared" si="67"/>
        <v>0</v>
      </c>
      <c r="M1457" s="3"/>
      <c r="N1457" s="3">
        <f t="shared" si="68"/>
        <v>0</v>
      </c>
      <c r="R1457" s="89"/>
      <c r="S1457" s="89">
        <f>100%-Table34[[#This Row],[PDF_initial fee]]</f>
        <v>1</v>
      </c>
      <c r="T1457" s="89"/>
      <c r="U1457" s="26"/>
    </row>
    <row r="1458" spans="1:21" hidden="1" x14ac:dyDescent="0.25">
      <c r="A1458">
        <v>428959</v>
      </c>
      <c r="B1458" t="s">
        <v>1784</v>
      </c>
      <c r="C1458" t="s">
        <v>6958</v>
      </c>
      <c r="D1458">
        <v>2</v>
      </c>
      <c r="E1458" t="s">
        <v>1784</v>
      </c>
      <c r="F1458" t="s">
        <v>6958</v>
      </c>
      <c r="G1458" s="3"/>
      <c r="H1458" s="21">
        <v>0</v>
      </c>
      <c r="I1458" s="21">
        <v>0</v>
      </c>
      <c r="J1458" s="21">
        <v>0</v>
      </c>
      <c r="K1458" s="21">
        <v>0</v>
      </c>
      <c r="L1458" s="3">
        <f t="shared" si="67"/>
        <v>0</v>
      </c>
      <c r="M1458" s="3"/>
      <c r="N1458" s="3">
        <f t="shared" si="68"/>
        <v>0</v>
      </c>
      <c r="R1458" s="89"/>
      <c r="S1458" s="89">
        <f>100%-Table34[[#This Row],[PDF_initial fee]]</f>
        <v>1</v>
      </c>
      <c r="T1458" s="89"/>
      <c r="U1458" s="26"/>
    </row>
    <row r="1459" spans="1:21" hidden="1" x14ac:dyDescent="0.25">
      <c r="A1459">
        <v>429045</v>
      </c>
      <c r="B1459" t="s">
        <v>1785</v>
      </c>
      <c r="C1459" t="s">
        <v>29909</v>
      </c>
      <c r="D1459">
        <v>1</v>
      </c>
      <c r="E1459" t="s">
        <v>1785</v>
      </c>
      <c r="G1459" s="3"/>
      <c r="H1459" s="3">
        <v>0</v>
      </c>
      <c r="I1459" s="3">
        <v>0</v>
      </c>
      <c r="J1459" s="3">
        <v>0</v>
      </c>
      <c r="K1459" s="3">
        <v>0</v>
      </c>
      <c r="L1459" s="3">
        <f t="shared" si="67"/>
        <v>0</v>
      </c>
      <c r="M1459" s="3"/>
      <c r="N1459" s="3">
        <f t="shared" si="68"/>
        <v>0</v>
      </c>
      <c r="R1459" s="89"/>
      <c r="S1459" s="89">
        <f>100%-Table34[[#This Row],[PDF_initial fee]]</f>
        <v>1</v>
      </c>
      <c r="T1459" s="89"/>
      <c r="U1459" s="26"/>
    </row>
    <row r="1460" spans="1:21" hidden="1" x14ac:dyDescent="0.25">
      <c r="A1460">
        <v>429088</v>
      </c>
      <c r="B1460" t="s">
        <v>1787</v>
      </c>
      <c r="C1460" t="s">
        <v>8422</v>
      </c>
      <c r="D1460">
        <v>2</v>
      </c>
      <c r="E1460" t="s">
        <v>1787</v>
      </c>
      <c r="G1460" s="3"/>
      <c r="H1460" s="21">
        <v>0</v>
      </c>
      <c r="I1460" s="21">
        <v>0</v>
      </c>
      <c r="J1460" s="21">
        <v>0</v>
      </c>
      <c r="K1460" s="21">
        <v>0</v>
      </c>
      <c r="L1460" s="3">
        <f t="shared" si="67"/>
        <v>0</v>
      </c>
      <c r="M1460" s="3"/>
      <c r="N1460" s="3">
        <f t="shared" si="68"/>
        <v>0</v>
      </c>
      <c r="R1460" s="89"/>
      <c r="S1460" s="89">
        <f>100%-Table34[[#This Row],[PDF_initial fee]]</f>
        <v>1</v>
      </c>
      <c r="T1460" s="89"/>
      <c r="U1460" s="26"/>
    </row>
    <row r="1461" spans="1:21" hidden="1" x14ac:dyDescent="0.25">
      <c r="A1461">
        <v>429142</v>
      </c>
      <c r="B1461" t="s">
        <v>1788</v>
      </c>
      <c r="C1461" t="s">
        <v>8219</v>
      </c>
      <c r="D1461">
        <v>146</v>
      </c>
      <c r="E1461" t="s">
        <v>1788</v>
      </c>
      <c r="G1461" s="3"/>
      <c r="H1461" s="21">
        <v>0</v>
      </c>
      <c r="I1461" s="21">
        <v>0</v>
      </c>
      <c r="J1461" s="21">
        <v>0</v>
      </c>
      <c r="K1461" s="21">
        <v>0</v>
      </c>
      <c r="L1461" s="3">
        <f t="shared" si="67"/>
        <v>0</v>
      </c>
      <c r="M1461" s="3"/>
      <c r="N1461" s="3">
        <f t="shared" si="68"/>
        <v>0</v>
      </c>
      <c r="O1461" t="s">
        <v>29871</v>
      </c>
      <c r="R1461" s="89"/>
      <c r="S1461" s="89">
        <f>100%-Table34[[#This Row],[PDF_initial fee]]</f>
        <v>1</v>
      </c>
      <c r="T1461" s="89"/>
      <c r="U1461" s="26"/>
    </row>
    <row r="1462" spans="1:21" hidden="1" x14ac:dyDescent="0.25">
      <c r="A1462">
        <v>429148</v>
      </c>
      <c r="B1462" t="s">
        <v>1789</v>
      </c>
      <c r="C1462" t="s">
        <v>11872</v>
      </c>
      <c r="D1462">
        <v>1</v>
      </c>
      <c r="E1462" t="s">
        <v>1789</v>
      </c>
      <c r="G1462" s="3"/>
      <c r="H1462" s="21">
        <v>0</v>
      </c>
      <c r="I1462" s="21">
        <v>0</v>
      </c>
      <c r="J1462" s="21">
        <v>0</v>
      </c>
      <c r="K1462" s="21">
        <v>0</v>
      </c>
      <c r="L1462" s="3">
        <f t="shared" si="67"/>
        <v>0</v>
      </c>
      <c r="M1462" s="3"/>
      <c r="N1462" s="3">
        <f t="shared" si="68"/>
        <v>0</v>
      </c>
      <c r="R1462" s="89"/>
      <c r="S1462" s="89">
        <f>100%-Table34[[#This Row],[PDF_initial fee]]</f>
        <v>1</v>
      </c>
      <c r="T1462" s="89"/>
      <c r="U1462" s="26"/>
    </row>
    <row r="1463" spans="1:21" hidden="1" x14ac:dyDescent="0.25">
      <c r="A1463">
        <v>429206</v>
      </c>
      <c r="B1463" t="s">
        <v>1790</v>
      </c>
      <c r="C1463" t="s">
        <v>8113</v>
      </c>
      <c r="D1463">
        <v>1</v>
      </c>
      <c r="E1463" t="s">
        <v>1790</v>
      </c>
      <c r="G1463" s="3"/>
      <c r="H1463" s="21">
        <v>0</v>
      </c>
      <c r="I1463" s="21">
        <v>0</v>
      </c>
      <c r="J1463" s="21">
        <v>0</v>
      </c>
      <c r="K1463" s="21">
        <v>0</v>
      </c>
      <c r="L1463" s="3">
        <f t="shared" si="67"/>
        <v>0</v>
      </c>
      <c r="M1463" s="3"/>
      <c r="N1463" s="3">
        <f t="shared" si="68"/>
        <v>0</v>
      </c>
      <c r="R1463" s="89"/>
      <c r="S1463" s="89">
        <f>100%-Table34[[#This Row],[PDF_initial fee]]</f>
        <v>1</v>
      </c>
      <c r="T1463" s="89"/>
      <c r="U1463" s="26"/>
    </row>
    <row r="1464" spans="1:21" hidden="1" x14ac:dyDescent="0.25">
      <c r="A1464">
        <v>429227</v>
      </c>
      <c r="B1464" t="s">
        <v>1791</v>
      </c>
      <c r="C1464" t="s">
        <v>6958</v>
      </c>
      <c r="D1464">
        <v>2</v>
      </c>
      <c r="E1464" t="s">
        <v>1791</v>
      </c>
      <c r="F1464" t="s">
        <v>6958</v>
      </c>
      <c r="G1464" s="3"/>
      <c r="H1464" s="21">
        <v>0</v>
      </c>
      <c r="I1464" s="21">
        <v>0</v>
      </c>
      <c r="J1464" s="21">
        <v>0</v>
      </c>
      <c r="K1464" s="21">
        <v>0</v>
      </c>
      <c r="L1464" s="3">
        <f t="shared" si="67"/>
        <v>0</v>
      </c>
      <c r="M1464" s="3"/>
      <c r="N1464" s="3">
        <f t="shared" si="68"/>
        <v>0</v>
      </c>
      <c r="R1464" s="89"/>
      <c r="S1464" s="89">
        <f>100%-Table34[[#This Row],[PDF_initial fee]]</f>
        <v>1</v>
      </c>
      <c r="T1464" s="89"/>
      <c r="U1464" s="26"/>
    </row>
    <row r="1465" spans="1:21" hidden="1" x14ac:dyDescent="0.25">
      <c r="A1465">
        <v>429232</v>
      </c>
      <c r="B1465" t="s">
        <v>1792</v>
      </c>
      <c r="C1465" t="s">
        <v>9179</v>
      </c>
      <c r="D1465">
        <v>1</v>
      </c>
      <c r="E1465" t="s">
        <v>1792</v>
      </c>
      <c r="G1465" s="3"/>
      <c r="H1465" s="21">
        <v>0</v>
      </c>
      <c r="I1465" s="21">
        <v>0</v>
      </c>
      <c r="J1465" s="21">
        <v>0</v>
      </c>
      <c r="K1465" s="21">
        <v>0</v>
      </c>
      <c r="L1465" s="3">
        <f t="shared" si="67"/>
        <v>0</v>
      </c>
      <c r="M1465" s="3"/>
      <c r="N1465" s="3">
        <f t="shared" si="68"/>
        <v>0</v>
      </c>
      <c r="R1465" s="89"/>
      <c r="S1465" s="89">
        <f>100%-Table34[[#This Row],[PDF_initial fee]]</f>
        <v>1</v>
      </c>
      <c r="T1465" s="89"/>
      <c r="U1465" s="26"/>
    </row>
    <row r="1466" spans="1:21" hidden="1" x14ac:dyDescent="0.25">
      <c r="A1466">
        <v>429307</v>
      </c>
      <c r="B1466" t="s">
        <v>1793</v>
      </c>
      <c r="C1466" t="s">
        <v>11792</v>
      </c>
      <c r="D1466">
        <v>1</v>
      </c>
      <c r="E1466" t="s">
        <v>1793</v>
      </c>
      <c r="G1466" s="3"/>
      <c r="L1466" s="3">
        <f t="shared" si="67"/>
        <v>0</v>
      </c>
      <c r="M1466" s="3"/>
      <c r="N1466" s="3">
        <f t="shared" si="68"/>
        <v>0</v>
      </c>
      <c r="R1466" s="89"/>
      <c r="S1466" s="89">
        <f>100%-Table34[[#This Row],[PDF_initial fee]]</f>
        <v>1</v>
      </c>
      <c r="T1466" s="89"/>
      <c r="U1466" s="26"/>
    </row>
    <row r="1467" spans="1:21" hidden="1" x14ac:dyDescent="0.25">
      <c r="A1467">
        <v>429319</v>
      </c>
      <c r="B1467" t="s">
        <v>1794</v>
      </c>
      <c r="C1467" t="s">
        <v>6958</v>
      </c>
      <c r="D1467">
        <v>1</v>
      </c>
      <c r="E1467" t="s">
        <v>1794</v>
      </c>
      <c r="F1467" t="s">
        <v>6958</v>
      </c>
      <c r="G1467" s="3"/>
      <c r="H1467" s="3"/>
      <c r="I1467" s="3"/>
      <c r="J1467" s="3"/>
      <c r="K1467" s="3"/>
      <c r="L1467" s="3">
        <f t="shared" si="67"/>
        <v>0</v>
      </c>
      <c r="M1467" s="3"/>
      <c r="N1467" s="3">
        <f t="shared" si="68"/>
        <v>0</v>
      </c>
      <c r="R1467" s="89"/>
      <c r="S1467" s="89">
        <f>100%-Table34[[#This Row],[PDF_initial fee]]</f>
        <v>1</v>
      </c>
      <c r="T1467" s="89"/>
      <c r="U1467" s="26"/>
    </row>
    <row r="1468" spans="1:21" hidden="1" x14ac:dyDescent="0.25">
      <c r="A1468">
        <v>429424</v>
      </c>
      <c r="B1468" t="s">
        <v>1795</v>
      </c>
      <c r="C1468" t="s">
        <v>11446</v>
      </c>
      <c r="D1468">
        <v>2</v>
      </c>
      <c r="E1468" t="s">
        <v>1795</v>
      </c>
      <c r="G1468" s="3"/>
      <c r="H1468" s="21">
        <v>0</v>
      </c>
      <c r="I1468" s="21">
        <v>0</v>
      </c>
      <c r="J1468" s="21">
        <v>0</v>
      </c>
      <c r="K1468" s="21">
        <v>0</v>
      </c>
      <c r="L1468" s="3">
        <f t="shared" si="67"/>
        <v>0</v>
      </c>
      <c r="M1468" s="3"/>
      <c r="N1468" s="3">
        <f t="shared" si="68"/>
        <v>0</v>
      </c>
      <c r="R1468" s="89"/>
      <c r="S1468" s="89">
        <f>100%-Table34[[#This Row],[PDF_initial fee]]</f>
        <v>1</v>
      </c>
      <c r="T1468" s="89"/>
      <c r="U1468" s="26"/>
    </row>
    <row r="1469" spans="1:21" hidden="1" x14ac:dyDescent="0.25">
      <c r="A1469">
        <v>429458</v>
      </c>
      <c r="B1469" t="s">
        <v>1796</v>
      </c>
      <c r="C1469" t="s">
        <v>6958</v>
      </c>
      <c r="D1469">
        <v>1</v>
      </c>
      <c r="E1469" t="s">
        <v>1796</v>
      </c>
      <c r="F1469" t="s">
        <v>6958</v>
      </c>
      <c r="G1469" s="3"/>
      <c r="H1469" s="21">
        <v>0</v>
      </c>
      <c r="I1469" s="21">
        <v>0</v>
      </c>
      <c r="J1469" s="21">
        <v>0</v>
      </c>
      <c r="K1469" s="21">
        <v>0</v>
      </c>
      <c r="L1469" s="3">
        <f t="shared" si="67"/>
        <v>0</v>
      </c>
      <c r="M1469" s="3"/>
      <c r="N1469" s="3">
        <f t="shared" si="68"/>
        <v>0</v>
      </c>
      <c r="R1469" s="89"/>
      <c r="S1469" s="89">
        <f>100%-Table34[[#This Row],[PDF_initial fee]]</f>
        <v>1</v>
      </c>
      <c r="T1469" s="89"/>
      <c r="U1469" s="26"/>
    </row>
    <row r="1470" spans="1:21" hidden="1" x14ac:dyDescent="0.25">
      <c r="A1470">
        <v>429496</v>
      </c>
      <c r="B1470" t="s">
        <v>1797</v>
      </c>
      <c r="C1470" t="s">
        <v>6958</v>
      </c>
      <c r="D1470">
        <v>2</v>
      </c>
      <c r="E1470" t="s">
        <v>1797</v>
      </c>
      <c r="F1470" t="s">
        <v>6958</v>
      </c>
      <c r="G1470" s="3"/>
      <c r="H1470" s="21">
        <v>0</v>
      </c>
      <c r="I1470" s="21">
        <v>0</v>
      </c>
      <c r="J1470" s="21">
        <v>0</v>
      </c>
      <c r="K1470" s="21">
        <v>0</v>
      </c>
      <c r="L1470" s="3">
        <f t="shared" ref="L1470:L1533" si="69">SUM(H1470:K1470)</f>
        <v>0</v>
      </c>
      <c r="M1470" s="3"/>
      <c r="N1470" s="3">
        <f t="shared" ref="N1470:N1533" si="70">L1470+G1470</f>
        <v>0</v>
      </c>
      <c r="O1470" s="21"/>
      <c r="R1470" s="89"/>
      <c r="S1470" s="89">
        <f>100%-Table34[[#This Row],[PDF_initial fee]]</f>
        <v>1</v>
      </c>
      <c r="T1470" s="89"/>
      <c r="U1470" s="26"/>
    </row>
    <row r="1471" spans="1:21" hidden="1" x14ac:dyDescent="0.25">
      <c r="A1471">
        <v>429588</v>
      </c>
      <c r="B1471" t="s">
        <v>1798</v>
      </c>
      <c r="C1471" t="s">
        <v>8288</v>
      </c>
      <c r="D1471">
        <v>6</v>
      </c>
      <c r="E1471" t="s">
        <v>1798</v>
      </c>
      <c r="G1471" s="3"/>
      <c r="L1471" s="3">
        <f t="shared" si="69"/>
        <v>0</v>
      </c>
      <c r="M1471" s="3"/>
      <c r="N1471" s="3">
        <f t="shared" si="70"/>
        <v>0</v>
      </c>
      <c r="R1471" s="89"/>
      <c r="S1471" s="89">
        <f>100%-Table34[[#This Row],[PDF_initial fee]]</f>
        <v>1</v>
      </c>
      <c r="T1471" s="89"/>
      <c r="U1471" s="26"/>
    </row>
    <row r="1472" spans="1:21" hidden="1" x14ac:dyDescent="0.25">
      <c r="A1472">
        <v>429592</v>
      </c>
      <c r="B1472" t="s">
        <v>1799</v>
      </c>
      <c r="C1472" t="s">
        <v>29910</v>
      </c>
      <c r="D1472">
        <v>1</v>
      </c>
      <c r="E1472" t="s">
        <v>1799</v>
      </c>
      <c r="G1472" s="3"/>
      <c r="H1472" s="3">
        <v>0</v>
      </c>
      <c r="I1472" s="3">
        <v>0</v>
      </c>
      <c r="J1472" s="3">
        <v>0</v>
      </c>
      <c r="K1472" s="3">
        <v>0</v>
      </c>
      <c r="L1472" s="3">
        <f t="shared" si="69"/>
        <v>0</v>
      </c>
      <c r="M1472" s="3"/>
      <c r="N1472" s="3">
        <f t="shared" si="70"/>
        <v>0</v>
      </c>
      <c r="R1472" s="89"/>
      <c r="S1472" s="89">
        <f>100%-Table34[[#This Row],[PDF_initial fee]]</f>
        <v>1</v>
      </c>
      <c r="T1472" s="89"/>
      <c r="U1472" s="26"/>
    </row>
    <row r="1473" spans="1:21" hidden="1" x14ac:dyDescent="0.25">
      <c r="A1473">
        <v>429757</v>
      </c>
      <c r="B1473" t="s">
        <v>1800</v>
      </c>
      <c r="C1473" t="s">
        <v>6958</v>
      </c>
      <c r="D1473">
        <v>1</v>
      </c>
      <c r="E1473" t="s">
        <v>1800</v>
      </c>
      <c r="F1473" t="s">
        <v>6958</v>
      </c>
      <c r="G1473" s="3"/>
      <c r="H1473" s="21">
        <v>0</v>
      </c>
      <c r="I1473" s="21">
        <v>0</v>
      </c>
      <c r="J1473" s="21">
        <v>0</v>
      </c>
      <c r="K1473" s="21">
        <v>0</v>
      </c>
      <c r="L1473" s="3">
        <f t="shared" si="69"/>
        <v>0</v>
      </c>
      <c r="M1473" s="3"/>
      <c r="N1473" s="3">
        <f t="shared" si="70"/>
        <v>0</v>
      </c>
      <c r="R1473" s="89"/>
      <c r="S1473" s="89">
        <f>100%-Table34[[#This Row],[PDF_initial fee]]</f>
        <v>1</v>
      </c>
      <c r="T1473" s="89"/>
      <c r="U1473" s="26"/>
    </row>
    <row r="1474" spans="1:21" hidden="1" x14ac:dyDescent="0.25">
      <c r="A1474">
        <v>429764</v>
      </c>
      <c r="B1474" t="s">
        <v>1801</v>
      </c>
      <c r="C1474" t="s">
        <v>9175</v>
      </c>
      <c r="D1474">
        <v>3</v>
      </c>
      <c r="E1474" t="s">
        <v>1801</v>
      </c>
      <c r="G1474" s="3"/>
      <c r="L1474" s="3">
        <f t="shared" si="69"/>
        <v>0</v>
      </c>
      <c r="M1474" s="3"/>
      <c r="N1474" s="3">
        <f t="shared" si="70"/>
        <v>0</v>
      </c>
      <c r="R1474" s="89"/>
      <c r="S1474" s="89">
        <f>100%-Table34[[#This Row],[PDF_initial fee]]</f>
        <v>1</v>
      </c>
      <c r="T1474" s="89"/>
      <c r="U1474" s="26"/>
    </row>
    <row r="1475" spans="1:21" hidden="1" x14ac:dyDescent="0.25">
      <c r="A1475">
        <v>429806</v>
      </c>
      <c r="B1475" t="s">
        <v>1802</v>
      </c>
      <c r="C1475" s="1" t="s">
        <v>29911</v>
      </c>
      <c r="D1475">
        <v>0</v>
      </c>
      <c r="E1475" t="s">
        <v>1802</v>
      </c>
      <c r="F1475" t="s">
        <v>29136</v>
      </c>
      <c r="G1475" s="3"/>
      <c r="H1475" s="3">
        <v>0</v>
      </c>
      <c r="I1475" s="3">
        <v>0</v>
      </c>
      <c r="J1475" s="3">
        <v>0</v>
      </c>
      <c r="K1475" s="3">
        <v>0</v>
      </c>
      <c r="L1475" s="3">
        <f t="shared" si="69"/>
        <v>0</v>
      </c>
      <c r="M1475" s="3"/>
      <c r="N1475" s="3">
        <f t="shared" si="70"/>
        <v>0</v>
      </c>
      <c r="R1475" s="89"/>
      <c r="S1475" s="89">
        <f>100%-Table34[[#This Row],[PDF_initial fee]]</f>
        <v>1</v>
      </c>
      <c r="T1475" s="89"/>
      <c r="U1475" s="26"/>
    </row>
    <row r="1476" spans="1:21" hidden="1" x14ac:dyDescent="0.25">
      <c r="A1476">
        <v>429827</v>
      </c>
      <c r="B1476" t="s">
        <v>1803</v>
      </c>
      <c r="C1476" t="s">
        <v>29912</v>
      </c>
      <c r="D1476">
        <v>1</v>
      </c>
      <c r="E1476" t="s">
        <v>1803</v>
      </c>
      <c r="G1476" s="3"/>
      <c r="H1476" s="21">
        <v>0</v>
      </c>
      <c r="I1476" s="21">
        <v>0</v>
      </c>
      <c r="J1476" s="21">
        <v>0</v>
      </c>
      <c r="K1476" s="21">
        <v>0</v>
      </c>
      <c r="L1476" s="3">
        <f t="shared" si="69"/>
        <v>0</v>
      </c>
      <c r="M1476" s="3"/>
      <c r="N1476" s="3">
        <f t="shared" si="70"/>
        <v>0</v>
      </c>
      <c r="O1476" s="21"/>
      <c r="R1476" s="89"/>
      <c r="S1476" s="89">
        <f>100%-Table34[[#This Row],[PDF_initial fee]]</f>
        <v>1</v>
      </c>
      <c r="T1476" s="89"/>
      <c r="U1476" s="26"/>
    </row>
    <row r="1477" spans="1:21" hidden="1" x14ac:dyDescent="0.25">
      <c r="A1477">
        <v>429859</v>
      </c>
      <c r="B1477" t="s">
        <v>1804</v>
      </c>
      <c r="C1477" t="s">
        <v>8805</v>
      </c>
      <c r="D1477">
        <v>2</v>
      </c>
      <c r="E1477" t="s">
        <v>1804</v>
      </c>
      <c r="G1477" s="3"/>
      <c r="H1477" s="21">
        <v>0</v>
      </c>
      <c r="I1477" s="21">
        <v>0</v>
      </c>
      <c r="J1477" s="21">
        <v>0</v>
      </c>
      <c r="K1477" s="21">
        <v>0</v>
      </c>
      <c r="L1477" s="3">
        <f t="shared" si="69"/>
        <v>0</v>
      </c>
      <c r="M1477" s="3"/>
      <c r="N1477" s="3">
        <f t="shared" si="70"/>
        <v>0</v>
      </c>
      <c r="R1477" s="89"/>
      <c r="S1477" s="89">
        <f>100%-Table34[[#This Row],[PDF_initial fee]]</f>
        <v>1</v>
      </c>
      <c r="T1477" s="89"/>
      <c r="U1477" s="26"/>
    </row>
    <row r="1478" spans="1:21" hidden="1" x14ac:dyDescent="0.25">
      <c r="A1478">
        <v>429914</v>
      </c>
      <c r="B1478" t="s">
        <v>1806</v>
      </c>
      <c r="C1478" t="s">
        <v>6958</v>
      </c>
      <c r="D1478">
        <v>3</v>
      </c>
      <c r="E1478" t="s">
        <v>1806</v>
      </c>
      <c r="F1478" t="s">
        <v>6958</v>
      </c>
      <c r="G1478" s="3"/>
      <c r="H1478" s="21">
        <v>0</v>
      </c>
      <c r="I1478" s="21">
        <v>0</v>
      </c>
      <c r="J1478" s="21">
        <v>0</v>
      </c>
      <c r="K1478" s="21">
        <v>0</v>
      </c>
      <c r="L1478" s="3">
        <f t="shared" si="69"/>
        <v>0</v>
      </c>
      <c r="M1478" s="3"/>
      <c r="N1478" s="3">
        <f t="shared" si="70"/>
        <v>0</v>
      </c>
      <c r="R1478" s="89"/>
      <c r="S1478" s="89">
        <f>100%-Table34[[#This Row],[PDF_initial fee]]</f>
        <v>1</v>
      </c>
      <c r="T1478" s="89"/>
      <c r="U1478" s="26"/>
    </row>
    <row r="1479" spans="1:21" hidden="1" x14ac:dyDescent="0.25">
      <c r="A1479">
        <v>429940</v>
      </c>
      <c r="B1479" t="s">
        <v>1807</v>
      </c>
      <c r="C1479" t="s">
        <v>11292</v>
      </c>
      <c r="D1479">
        <v>3</v>
      </c>
      <c r="E1479" t="s">
        <v>1807</v>
      </c>
      <c r="G1479" s="3"/>
      <c r="L1479" s="3">
        <f t="shared" si="69"/>
        <v>0</v>
      </c>
      <c r="M1479" s="3"/>
      <c r="N1479" s="3">
        <f t="shared" si="70"/>
        <v>0</v>
      </c>
      <c r="R1479" s="89"/>
      <c r="S1479" s="89">
        <f>100%-Table34[[#This Row],[PDF_initial fee]]</f>
        <v>1</v>
      </c>
      <c r="T1479" s="89"/>
      <c r="U1479" s="26"/>
    </row>
    <row r="1480" spans="1:21" hidden="1" x14ac:dyDescent="0.25">
      <c r="A1480">
        <v>429957</v>
      </c>
      <c r="B1480" t="s">
        <v>1808</v>
      </c>
      <c r="C1480" t="s">
        <v>6958</v>
      </c>
      <c r="D1480">
        <v>1</v>
      </c>
      <c r="E1480" t="s">
        <v>1808</v>
      </c>
      <c r="F1480" t="s">
        <v>6958</v>
      </c>
      <c r="G1480" s="3"/>
      <c r="H1480" s="21">
        <v>0</v>
      </c>
      <c r="I1480" s="21">
        <v>0</v>
      </c>
      <c r="J1480" s="21">
        <v>0</v>
      </c>
      <c r="K1480" s="21">
        <v>0</v>
      </c>
      <c r="L1480" s="3">
        <f t="shared" si="69"/>
        <v>0</v>
      </c>
      <c r="M1480" s="3"/>
      <c r="N1480" s="3">
        <f t="shared" si="70"/>
        <v>0</v>
      </c>
      <c r="R1480" s="89"/>
      <c r="S1480" s="89">
        <f>100%-Table34[[#This Row],[PDF_initial fee]]</f>
        <v>1</v>
      </c>
      <c r="T1480" s="89"/>
      <c r="U1480" s="26"/>
    </row>
    <row r="1481" spans="1:21" hidden="1" x14ac:dyDescent="0.25">
      <c r="A1481">
        <v>430007</v>
      </c>
      <c r="B1481" t="s">
        <v>1809</v>
      </c>
      <c r="C1481" t="s">
        <v>29913</v>
      </c>
      <c r="D1481">
        <v>2</v>
      </c>
      <c r="E1481" t="s">
        <v>1809</v>
      </c>
      <c r="G1481" s="3"/>
      <c r="H1481" s="3">
        <v>0</v>
      </c>
      <c r="I1481" s="3">
        <v>0</v>
      </c>
      <c r="J1481" s="3">
        <v>0</v>
      </c>
      <c r="K1481" s="3">
        <v>0</v>
      </c>
      <c r="L1481" s="3">
        <f t="shared" si="69"/>
        <v>0</v>
      </c>
      <c r="M1481" s="3"/>
      <c r="N1481" s="3">
        <f t="shared" si="70"/>
        <v>0</v>
      </c>
      <c r="R1481" s="89"/>
      <c r="S1481" s="89">
        <f>100%-Table34[[#This Row],[PDF_initial fee]]</f>
        <v>1</v>
      </c>
      <c r="T1481" s="89"/>
      <c r="U1481" s="26"/>
    </row>
    <row r="1482" spans="1:21" hidden="1" x14ac:dyDescent="0.25">
      <c r="A1482">
        <v>430022</v>
      </c>
      <c r="B1482" t="s">
        <v>1810</v>
      </c>
      <c r="C1482" s="1" t="s">
        <v>29914</v>
      </c>
      <c r="D1482">
        <v>1</v>
      </c>
      <c r="E1482" t="s">
        <v>1810</v>
      </c>
      <c r="G1482" s="3"/>
      <c r="H1482" s="3">
        <v>0</v>
      </c>
      <c r="I1482" s="3">
        <v>0</v>
      </c>
      <c r="J1482" s="3">
        <v>0</v>
      </c>
      <c r="K1482" s="3">
        <v>0</v>
      </c>
      <c r="L1482" s="3">
        <f t="shared" si="69"/>
        <v>0</v>
      </c>
      <c r="M1482" s="3"/>
      <c r="N1482" s="3">
        <f t="shared" si="70"/>
        <v>0</v>
      </c>
      <c r="R1482" s="89"/>
      <c r="S1482" s="89">
        <f>100%-Table34[[#This Row],[PDF_initial fee]]</f>
        <v>1</v>
      </c>
      <c r="T1482" s="89"/>
      <c r="U1482" s="26"/>
    </row>
    <row r="1483" spans="1:21" hidden="1" x14ac:dyDescent="0.25">
      <c r="A1483">
        <v>430239</v>
      </c>
      <c r="B1483" t="s">
        <v>1811</v>
      </c>
      <c r="C1483" t="s">
        <v>10858</v>
      </c>
      <c r="D1483">
        <v>2</v>
      </c>
      <c r="E1483" t="s">
        <v>1811</v>
      </c>
      <c r="G1483" s="3"/>
      <c r="H1483" s="21">
        <v>0</v>
      </c>
      <c r="I1483" s="21">
        <v>0</v>
      </c>
      <c r="J1483" s="21">
        <v>0</v>
      </c>
      <c r="K1483" s="21">
        <v>0</v>
      </c>
      <c r="L1483" s="3">
        <f t="shared" si="69"/>
        <v>0</v>
      </c>
      <c r="M1483" s="3"/>
      <c r="N1483" s="3">
        <f t="shared" si="70"/>
        <v>0</v>
      </c>
      <c r="R1483" s="89"/>
      <c r="S1483" s="89">
        <f>100%-Table34[[#This Row],[PDF_initial fee]]</f>
        <v>1</v>
      </c>
      <c r="T1483" s="89"/>
      <c r="U1483" s="26"/>
    </row>
    <row r="1484" spans="1:21" hidden="1" x14ac:dyDescent="0.25">
      <c r="A1484">
        <v>430282</v>
      </c>
      <c r="B1484" t="s">
        <v>1812</v>
      </c>
      <c r="C1484" t="s">
        <v>29915</v>
      </c>
      <c r="D1484">
        <v>3</v>
      </c>
      <c r="E1484" t="s">
        <v>1812</v>
      </c>
      <c r="F1484" t="s">
        <v>3</v>
      </c>
      <c r="G1484" s="3">
        <v>0</v>
      </c>
      <c r="H1484" s="3">
        <v>0</v>
      </c>
      <c r="I1484" s="3">
        <v>0</v>
      </c>
      <c r="J1484" s="6">
        <v>0</v>
      </c>
      <c r="K1484" s="6">
        <v>0</v>
      </c>
      <c r="L1484" s="3">
        <f t="shared" si="69"/>
        <v>0</v>
      </c>
      <c r="M1484" s="3"/>
      <c r="N1484" s="3">
        <f t="shared" si="70"/>
        <v>0</v>
      </c>
      <c r="R1484" s="89"/>
      <c r="S1484" s="89">
        <f>100%-Table34[[#This Row],[PDF_initial fee]]</f>
        <v>1</v>
      </c>
      <c r="T1484" s="89"/>
      <c r="U1484" s="26"/>
    </row>
    <row r="1485" spans="1:21" hidden="1" x14ac:dyDescent="0.25">
      <c r="A1485">
        <v>430290</v>
      </c>
      <c r="B1485" t="s">
        <v>1813</v>
      </c>
      <c r="C1485" t="s">
        <v>6958</v>
      </c>
      <c r="D1485">
        <v>1</v>
      </c>
      <c r="E1485" t="s">
        <v>1813</v>
      </c>
      <c r="F1485" t="s">
        <v>6958</v>
      </c>
      <c r="G1485" s="3"/>
      <c r="L1485" s="3">
        <f t="shared" si="69"/>
        <v>0</v>
      </c>
      <c r="M1485" s="3"/>
      <c r="N1485" s="3">
        <f t="shared" si="70"/>
        <v>0</v>
      </c>
      <c r="R1485" s="89"/>
      <c r="S1485" s="89">
        <f>100%-Table34[[#This Row],[PDF_initial fee]]</f>
        <v>1</v>
      </c>
      <c r="T1485" s="89"/>
      <c r="U1485" s="26"/>
    </row>
    <row r="1486" spans="1:21" hidden="1" x14ac:dyDescent="0.25">
      <c r="A1486">
        <v>430294</v>
      </c>
      <c r="B1486" t="s">
        <v>1814</v>
      </c>
      <c r="C1486" t="s">
        <v>9487</v>
      </c>
      <c r="D1486">
        <v>1</v>
      </c>
      <c r="E1486" t="s">
        <v>1814</v>
      </c>
      <c r="G1486" s="3"/>
      <c r="H1486" s="21">
        <v>0</v>
      </c>
      <c r="I1486" s="21">
        <v>0</v>
      </c>
      <c r="J1486" s="21">
        <v>0</v>
      </c>
      <c r="K1486" s="21">
        <v>0</v>
      </c>
      <c r="L1486" s="3">
        <f t="shared" si="69"/>
        <v>0</v>
      </c>
      <c r="M1486" s="3"/>
      <c r="N1486" s="3">
        <f t="shared" si="70"/>
        <v>0</v>
      </c>
      <c r="R1486" s="89"/>
      <c r="S1486" s="89">
        <f>100%-Table34[[#This Row],[PDF_initial fee]]</f>
        <v>1</v>
      </c>
      <c r="T1486" s="89"/>
      <c r="U1486" s="26"/>
    </row>
    <row r="1487" spans="1:21" hidden="1" x14ac:dyDescent="0.25">
      <c r="A1487">
        <v>430299</v>
      </c>
      <c r="B1487" t="s">
        <v>1815</v>
      </c>
      <c r="C1487" t="s">
        <v>12524</v>
      </c>
      <c r="D1487">
        <v>1</v>
      </c>
      <c r="E1487" t="s">
        <v>1815</v>
      </c>
      <c r="G1487" s="3"/>
      <c r="H1487" s="21">
        <v>0</v>
      </c>
      <c r="I1487" s="21">
        <v>0</v>
      </c>
      <c r="J1487" s="21">
        <v>0</v>
      </c>
      <c r="K1487" s="21">
        <v>0</v>
      </c>
      <c r="L1487" s="3">
        <f t="shared" si="69"/>
        <v>0</v>
      </c>
      <c r="M1487" s="3"/>
      <c r="N1487" s="3">
        <f t="shared" si="70"/>
        <v>0</v>
      </c>
      <c r="R1487" s="89"/>
      <c r="S1487" s="89">
        <f>100%-Table34[[#This Row],[PDF_initial fee]]</f>
        <v>1</v>
      </c>
      <c r="T1487" s="89"/>
      <c r="U1487" s="26"/>
    </row>
    <row r="1488" spans="1:21" hidden="1" x14ac:dyDescent="0.25">
      <c r="A1488">
        <v>430306</v>
      </c>
      <c r="B1488" t="s">
        <v>1816</v>
      </c>
      <c r="C1488" t="s">
        <v>29916</v>
      </c>
      <c r="D1488">
        <v>3</v>
      </c>
      <c r="E1488" t="s">
        <v>1816</v>
      </c>
      <c r="G1488" s="3"/>
      <c r="H1488" s="3">
        <v>0</v>
      </c>
      <c r="I1488" s="3">
        <v>0</v>
      </c>
      <c r="J1488" s="3">
        <v>0</v>
      </c>
      <c r="K1488" s="3">
        <v>0</v>
      </c>
      <c r="L1488" s="3">
        <f t="shared" si="69"/>
        <v>0</v>
      </c>
      <c r="M1488" s="3"/>
      <c r="N1488" s="3">
        <f t="shared" si="70"/>
        <v>0</v>
      </c>
      <c r="R1488" s="89"/>
      <c r="S1488" s="89">
        <f>100%-Table34[[#This Row],[PDF_initial fee]]</f>
        <v>1</v>
      </c>
      <c r="T1488" s="89"/>
      <c r="U1488" s="26"/>
    </row>
    <row r="1489" spans="1:30" hidden="1" x14ac:dyDescent="0.25">
      <c r="A1489">
        <v>430317</v>
      </c>
      <c r="B1489" t="s">
        <v>1817</v>
      </c>
      <c r="C1489" t="s">
        <v>9658</v>
      </c>
      <c r="D1489">
        <v>3</v>
      </c>
      <c r="E1489" t="s">
        <v>1817</v>
      </c>
      <c r="G1489" s="3"/>
      <c r="H1489" s="21">
        <v>0</v>
      </c>
      <c r="I1489" s="21">
        <v>0</v>
      </c>
      <c r="J1489" s="21">
        <v>0</v>
      </c>
      <c r="K1489" s="21">
        <v>0</v>
      </c>
      <c r="L1489" s="3">
        <f t="shared" si="69"/>
        <v>0</v>
      </c>
      <c r="M1489" s="3"/>
      <c r="N1489" s="3">
        <f t="shared" si="70"/>
        <v>0</v>
      </c>
      <c r="R1489" s="89"/>
      <c r="S1489" s="89">
        <f>100%-Table34[[#This Row],[PDF_initial fee]]</f>
        <v>1</v>
      </c>
      <c r="T1489" s="89"/>
      <c r="U1489" s="26"/>
    </row>
    <row r="1490" spans="1:30" hidden="1" x14ac:dyDescent="0.25">
      <c r="A1490">
        <v>430324</v>
      </c>
      <c r="B1490" t="s">
        <v>1818</v>
      </c>
      <c r="C1490" t="s">
        <v>11091</v>
      </c>
      <c r="D1490">
        <v>0</v>
      </c>
      <c r="E1490" t="s">
        <v>1818</v>
      </c>
      <c r="F1490" t="s">
        <v>6958</v>
      </c>
      <c r="G1490" s="3"/>
      <c r="H1490" s="21">
        <v>0</v>
      </c>
      <c r="I1490" s="21">
        <v>0</v>
      </c>
      <c r="J1490" s="21">
        <v>0</v>
      </c>
      <c r="K1490" s="21">
        <v>0</v>
      </c>
      <c r="L1490" s="3">
        <f t="shared" si="69"/>
        <v>0</v>
      </c>
      <c r="M1490" s="3"/>
      <c r="N1490" s="3">
        <f t="shared" si="70"/>
        <v>0</v>
      </c>
      <c r="R1490" s="89"/>
      <c r="S1490" s="89">
        <f>100%-Table34[[#This Row],[PDF_initial fee]]</f>
        <v>1</v>
      </c>
      <c r="T1490" s="89"/>
      <c r="U1490" s="26"/>
    </row>
    <row r="1491" spans="1:30" hidden="1" x14ac:dyDescent="0.25">
      <c r="A1491">
        <v>430385</v>
      </c>
      <c r="B1491" t="s">
        <v>1819</v>
      </c>
      <c r="C1491" t="s">
        <v>9719</v>
      </c>
      <c r="D1491">
        <v>1</v>
      </c>
      <c r="E1491" t="s">
        <v>1819</v>
      </c>
      <c r="G1491" s="3"/>
      <c r="L1491" s="3">
        <f t="shared" si="69"/>
        <v>0</v>
      </c>
      <c r="M1491" s="3"/>
      <c r="N1491" s="3">
        <f t="shared" si="70"/>
        <v>0</v>
      </c>
      <c r="R1491" s="89"/>
      <c r="S1491" s="89">
        <f>100%-Table34[[#This Row],[PDF_initial fee]]</f>
        <v>1</v>
      </c>
      <c r="T1491" s="89"/>
      <c r="U1491" s="26"/>
    </row>
    <row r="1492" spans="1:30" hidden="1" x14ac:dyDescent="0.25">
      <c r="A1492">
        <v>430426</v>
      </c>
      <c r="B1492" t="s">
        <v>1820</v>
      </c>
      <c r="C1492" t="s">
        <v>9367</v>
      </c>
      <c r="D1492">
        <v>2</v>
      </c>
      <c r="E1492" t="s">
        <v>1820</v>
      </c>
      <c r="G1492" s="3"/>
      <c r="H1492" s="21">
        <v>0</v>
      </c>
      <c r="I1492" s="21">
        <v>0</v>
      </c>
      <c r="J1492" s="21">
        <v>0</v>
      </c>
      <c r="K1492" s="21">
        <v>0</v>
      </c>
      <c r="L1492" s="3">
        <f t="shared" si="69"/>
        <v>0</v>
      </c>
      <c r="M1492" s="3"/>
      <c r="N1492" s="3">
        <f t="shared" si="70"/>
        <v>0</v>
      </c>
      <c r="R1492" s="89"/>
      <c r="S1492" s="89">
        <f>100%-Table34[[#This Row],[PDF_initial fee]]</f>
        <v>1</v>
      </c>
      <c r="T1492" s="89"/>
      <c r="U1492" s="26"/>
    </row>
    <row r="1493" spans="1:30" hidden="1" x14ac:dyDescent="0.25">
      <c r="A1493">
        <v>430475</v>
      </c>
      <c r="B1493" t="s">
        <v>1821</v>
      </c>
      <c r="C1493" t="s">
        <v>6958</v>
      </c>
      <c r="D1493">
        <v>1</v>
      </c>
      <c r="E1493" t="s">
        <v>1821</v>
      </c>
      <c r="F1493" t="s">
        <v>6958</v>
      </c>
      <c r="G1493" s="3"/>
      <c r="H1493" s="21">
        <v>0</v>
      </c>
      <c r="I1493" s="21">
        <v>0</v>
      </c>
      <c r="J1493" s="21">
        <v>0</v>
      </c>
      <c r="K1493" s="21">
        <v>0</v>
      </c>
      <c r="L1493" s="3">
        <f t="shared" si="69"/>
        <v>0</v>
      </c>
      <c r="M1493" s="3"/>
      <c r="N1493" s="3">
        <f t="shared" si="70"/>
        <v>0</v>
      </c>
      <c r="R1493" s="89"/>
      <c r="S1493" s="89">
        <f>100%-Table34[[#This Row],[PDF_initial fee]]</f>
        <v>1</v>
      </c>
      <c r="T1493" s="89"/>
      <c r="U1493" s="26"/>
    </row>
    <row r="1494" spans="1:30" hidden="1" x14ac:dyDescent="0.25">
      <c r="A1494">
        <v>430498</v>
      </c>
      <c r="B1494" t="s">
        <v>1822</v>
      </c>
      <c r="C1494" t="s">
        <v>6958</v>
      </c>
      <c r="D1494">
        <v>1</v>
      </c>
      <c r="E1494" t="s">
        <v>1822</v>
      </c>
      <c r="F1494" t="s">
        <v>6958</v>
      </c>
      <c r="G1494" s="3"/>
      <c r="H1494" s="21">
        <v>0</v>
      </c>
      <c r="I1494" s="21">
        <v>0</v>
      </c>
      <c r="J1494" s="21">
        <v>0</v>
      </c>
      <c r="K1494" s="21">
        <v>0</v>
      </c>
      <c r="L1494" s="3">
        <f t="shared" si="69"/>
        <v>0</v>
      </c>
      <c r="M1494" s="3"/>
      <c r="N1494" s="3">
        <f t="shared" si="70"/>
        <v>0</v>
      </c>
      <c r="R1494" s="89"/>
      <c r="S1494" s="89">
        <f>100%-Table34[[#This Row],[PDF_initial fee]]</f>
        <v>1</v>
      </c>
      <c r="T1494" s="89"/>
      <c r="U1494" s="26"/>
    </row>
    <row r="1495" spans="1:30" hidden="1" x14ac:dyDescent="0.25">
      <c r="A1495">
        <v>430531</v>
      </c>
      <c r="B1495" t="s">
        <v>1823</v>
      </c>
      <c r="C1495" t="s">
        <v>10919</v>
      </c>
      <c r="D1495">
        <v>2</v>
      </c>
      <c r="E1495" t="s">
        <v>1823</v>
      </c>
      <c r="G1495" s="3"/>
      <c r="H1495" s="21">
        <v>0</v>
      </c>
      <c r="I1495" s="21">
        <v>0</v>
      </c>
      <c r="J1495" s="21">
        <v>0</v>
      </c>
      <c r="K1495" s="21">
        <v>0</v>
      </c>
      <c r="L1495" s="3">
        <f t="shared" si="69"/>
        <v>0</v>
      </c>
      <c r="M1495" s="3"/>
      <c r="N1495" s="3">
        <f t="shared" si="70"/>
        <v>0</v>
      </c>
      <c r="R1495" s="89"/>
      <c r="S1495" s="89">
        <f>100%-Table34[[#This Row],[PDF_initial fee]]</f>
        <v>1</v>
      </c>
      <c r="T1495" s="89"/>
      <c r="U1495" s="26"/>
    </row>
    <row r="1496" spans="1:30" x14ac:dyDescent="0.25">
      <c r="A1496">
        <v>816958</v>
      </c>
      <c r="B1496" t="s">
        <v>308</v>
      </c>
      <c r="C1496" s="1" t="s">
        <v>29917</v>
      </c>
      <c r="D1496">
        <v>10</v>
      </c>
      <c r="E1496" t="s">
        <v>308</v>
      </c>
      <c r="F1496" t="s">
        <v>6</v>
      </c>
      <c r="G1496" s="3">
        <f>(0.25+0.66)%</f>
        <v>9.1000000000000004E-3</v>
      </c>
      <c r="H1496" s="3">
        <v>0</v>
      </c>
      <c r="I1496" s="3">
        <v>0</v>
      </c>
      <c r="J1496" s="3">
        <f>0.75%+1.5%</f>
        <v>2.2499999999999999E-2</v>
      </c>
      <c r="K1496" s="3">
        <v>1.2E-2</v>
      </c>
      <c r="L1496" s="3">
        <f t="shared" si="69"/>
        <v>3.4500000000000003E-2</v>
      </c>
      <c r="M1496" s="3"/>
      <c r="N1496" s="3">
        <f t="shared" si="70"/>
        <v>4.36E-2</v>
      </c>
      <c r="P1496" s="1" t="s">
        <v>29894</v>
      </c>
      <c r="Q1496" s="101" t="s">
        <v>31793</v>
      </c>
      <c r="R1496" s="89">
        <v>0.246</v>
      </c>
      <c r="S1496" s="89">
        <f>100%-Table34[[#This Row],[PDF_initial fee]]</f>
        <v>0.97750000000000004</v>
      </c>
      <c r="T1496" s="89">
        <f>(1-Table34[[#This Row],[PDF ongoing fee]])^5</f>
        <v>0.94142282343116801</v>
      </c>
      <c r="U1496" s="26">
        <f>(1+Table34[[#This Row],[Net 5yrs return (mostly up to 28th of Feb 2026)]])*Table34[[#This Row],[Investment after initial charge]]*Table34[[#This Row],[Cummulative 5yrs ongoing advice charge]]-1</f>
        <v>0.14662004914034243</v>
      </c>
      <c r="V1496" s="10">
        <f>70110000+37973000</f>
        <v>108083000</v>
      </c>
      <c r="W1496" s="10" t="s">
        <v>29051</v>
      </c>
      <c r="X1496" s="10">
        <v>54574000</v>
      </c>
      <c r="Y1496" s="30">
        <f>X1496/V1496</f>
        <v>0.50492676924215651</v>
      </c>
      <c r="Z1496" s="10"/>
      <c r="AA1496" s="1" t="s">
        <v>29918</v>
      </c>
      <c r="AD1496" s="1" t="s">
        <v>29895</v>
      </c>
    </row>
    <row r="1497" spans="1:30" hidden="1" x14ac:dyDescent="0.25">
      <c r="A1497">
        <v>430604</v>
      </c>
      <c r="B1497" t="s">
        <v>1824</v>
      </c>
      <c r="C1497" t="s">
        <v>8617</v>
      </c>
      <c r="D1497">
        <v>3</v>
      </c>
      <c r="E1497" t="s">
        <v>1824</v>
      </c>
      <c r="G1497" s="3"/>
      <c r="H1497" s="21">
        <v>0</v>
      </c>
      <c r="I1497" s="21">
        <v>0</v>
      </c>
      <c r="J1497" s="21">
        <v>0</v>
      </c>
      <c r="K1497" s="21">
        <v>0</v>
      </c>
      <c r="L1497" s="3">
        <f t="shared" si="69"/>
        <v>0</v>
      </c>
      <c r="M1497" s="3"/>
      <c r="N1497" s="3">
        <f t="shared" si="70"/>
        <v>0</v>
      </c>
      <c r="R1497" s="89"/>
      <c r="S1497" s="89">
        <f>100%-Table34[[#This Row],[PDF_initial fee]]</f>
        <v>1</v>
      </c>
      <c r="T1497" s="89"/>
      <c r="U1497" s="26"/>
    </row>
    <row r="1498" spans="1:30" hidden="1" x14ac:dyDescent="0.25">
      <c r="A1498">
        <v>430635</v>
      </c>
      <c r="B1498" t="s">
        <v>1825</v>
      </c>
      <c r="C1498" t="s">
        <v>6958</v>
      </c>
      <c r="D1498">
        <v>1</v>
      </c>
      <c r="E1498" t="s">
        <v>1825</v>
      </c>
      <c r="F1498" t="s">
        <v>6958</v>
      </c>
      <c r="G1498" s="3"/>
      <c r="L1498" s="3">
        <f t="shared" si="69"/>
        <v>0</v>
      </c>
      <c r="M1498" s="3"/>
      <c r="N1498" s="3">
        <f t="shared" si="70"/>
        <v>0</v>
      </c>
      <c r="R1498" s="89"/>
      <c r="S1498" s="89">
        <f>100%-Table34[[#This Row],[PDF_initial fee]]</f>
        <v>1</v>
      </c>
      <c r="T1498" s="89"/>
      <c r="U1498" s="26"/>
    </row>
    <row r="1499" spans="1:30" hidden="1" x14ac:dyDescent="0.25">
      <c r="A1499">
        <v>430680</v>
      </c>
      <c r="B1499" t="s">
        <v>1826</v>
      </c>
      <c r="C1499" t="s">
        <v>12541</v>
      </c>
      <c r="D1499">
        <v>2</v>
      </c>
      <c r="E1499" t="s">
        <v>1826</v>
      </c>
      <c r="G1499" s="3"/>
      <c r="L1499" s="3">
        <f t="shared" si="69"/>
        <v>0</v>
      </c>
      <c r="M1499" s="3"/>
      <c r="N1499" s="3">
        <f t="shared" si="70"/>
        <v>0</v>
      </c>
      <c r="R1499" s="89"/>
      <c r="S1499" s="89">
        <f>100%-Table34[[#This Row],[PDF_initial fee]]</f>
        <v>1</v>
      </c>
      <c r="T1499" s="89"/>
      <c r="U1499" s="26"/>
    </row>
    <row r="1500" spans="1:30" hidden="1" x14ac:dyDescent="0.25">
      <c r="A1500">
        <v>430725</v>
      </c>
      <c r="B1500" t="s">
        <v>1827</v>
      </c>
      <c r="C1500" t="s">
        <v>11263</v>
      </c>
      <c r="D1500">
        <v>1</v>
      </c>
      <c r="E1500" t="s">
        <v>1827</v>
      </c>
      <c r="G1500" s="3"/>
      <c r="H1500" s="21">
        <v>0</v>
      </c>
      <c r="I1500" s="21">
        <v>0</v>
      </c>
      <c r="J1500" s="21">
        <v>0</v>
      </c>
      <c r="K1500" s="21">
        <v>0</v>
      </c>
      <c r="L1500" s="3">
        <f t="shared" si="69"/>
        <v>0</v>
      </c>
      <c r="M1500" s="3"/>
      <c r="N1500" s="3">
        <f t="shared" si="70"/>
        <v>0</v>
      </c>
      <c r="R1500" s="89"/>
      <c r="S1500" s="89">
        <f>100%-Table34[[#This Row],[PDF_initial fee]]</f>
        <v>1</v>
      </c>
      <c r="T1500" s="89"/>
      <c r="U1500" s="26"/>
    </row>
    <row r="1501" spans="1:30" hidden="1" x14ac:dyDescent="0.25">
      <c r="A1501">
        <v>430727</v>
      </c>
      <c r="B1501" t="s">
        <v>1828</v>
      </c>
      <c r="C1501" t="s">
        <v>7291</v>
      </c>
      <c r="D1501">
        <v>2</v>
      </c>
      <c r="E1501" t="s">
        <v>1828</v>
      </c>
      <c r="G1501" s="3"/>
      <c r="L1501" s="3">
        <f t="shared" si="69"/>
        <v>0</v>
      </c>
      <c r="M1501" s="3"/>
      <c r="N1501" s="3">
        <f t="shared" si="70"/>
        <v>0</v>
      </c>
      <c r="R1501" s="89"/>
      <c r="S1501" s="89">
        <f>100%-Table34[[#This Row],[PDF_initial fee]]</f>
        <v>1</v>
      </c>
      <c r="T1501" s="89"/>
      <c r="U1501" s="26"/>
    </row>
    <row r="1502" spans="1:30" hidden="1" x14ac:dyDescent="0.25">
      <c r="A1502">
        <v>430755</v>
      </c>
      <c r="B1502" t="s">
        <v>1829</v>
      </c>
      <c r="C1502" t="s">
        <v>8005</v>
      </c>
      <c r="D1502">
        <v>2</v>
      </c>
      <c r="E1502" t="s">
        <v>1829</v>
      </c>
      <c r="G1502" s="3"/>
      <c r="H1502" s="21">
        <v>0</v>
      </c>
      <c r="I1502" s="21">
        <v>0</v>
      </c>
      <c r="J1502" s="21">
        <v>0</v>
      </c>
      <c r="K1502" s="21">
        <v>0</v>
      </c>
      <c r="L1502" s="3">
        <f t="shared" si="69"/>
        <v>0</v>
      </c>
      <c r="M1502" s="3"/>
      <c r="N1502" s="3">
        <f t="shared" si="70"/>
        <v>0</v>
      </c>
      <c r="R1502" s="89"/>
      <c r="S1502" s="89">
        <f>100%-Table34[[#This Row],[PDF_initial fee]]</f>
        <v>1</v>
      </c>
      <c r="T1502" s="89"/>
      <c r="U1502" s="26"/>
    </row>
    <row r="1503" spans="1:30" hidden="1" x14ac:dyDescent="0.25">
      <c r="A1503">
        <v>430771</v>
      </c>
      <c r="B1503" t="s">
        <v>1830</v>
      </c>
      <c r="C1503" t="s">
        <v>8321</v>
      </c>
      <c r="D1503">
        <v>1</v>
      </c>
      <c r="E1503" t="s">
        <v>1830</v>
      </c>
      <c r="G1503" s="3"/>
      <c r="H1503" s="21">
        <v>0</v>
      </c>
      <c r="I1503" s="21">
        <v>0</v>
      </c>
      <c r="J1503" s="21">
        <v>0</v>
      </c>
      <c r="K1503" s="21">
        <v>0</v>
      </c>
      <c r="L1503" s="3">
        <f t="shared" si="69"/>
        <v>0</v>
      </c>
      <c r="M1503" s="3"/>
      <c r="N1503" s="3">
        <f t="shared" si="70"/>
        <v>0</v>
      </c>
      <c r="R1503" s="89"/>
      <c r="S1503" s="89">
        <f>100%-Table34[[#This Row],[PDF_initial fee]]</f>
        <v>1</v>
      </c>
      <c r="T1503" s="89"/>
      <c r="U1503" s="26"/>
    </row>
    <row r="1504" spans="1:30" hidden="1" x14ac:dyDescent="0.25">
      <c r="A1504">
        <v>430792</v>
      </c>
      <c r="B1504" t="s">
        <v>1831</v>
      </c>
      <c r="C1504" t="s">
        <v>6958</v>
      </c>
      <c r="D1504">
        <v>1</v>
      </c>
      <c r="E1504" t="s">
        <v>1831</v>
      </c>
      <c r="F1504" t="s">
        <v>6958</v>
      </c>
      <c r="G1504" s="3"/>
      <c r="H1504" s="21">
        <v>0</v>
      </c>
      <c r="I1504" s="21">
        <v>0</v>
      </c>
      <c r="J1504" s="21">
        <v>0</v>
      </c>
      <c r="K1504" s="21">
        <v>0</v>
      </c>
      <c r="L1504" s="3">
        <f t="shared" si="69"/>
        <v>0</v>
      </c>
      <c r="M1504" s="3"/>
      <c r="N1504" s="3">
        <f t="shared" si="70"/>
        <v>0</v>
      </c>
      <c r="R1504" s="89"/>
      <c r="S1504" s="89">
        <f>100%-Table34[[#This Row],[PDF_initial fee]]</f>
        <v>1</v>
      </c>
      <c r="T1504" s="89"/>
      <c r="U1504" s="26"/>
    </row>
    <row r="1505" spans="1:21" hidden="1" x14ac:dyDescent="0.25">
      <c r="A1505">
        <v>430871</v>
      </c>
      <c r="B1505" t="s">
        <v>1832</v>
      </c>
      <c r="C1505" t="s">
        <v>29919</v>
      </c>
      <c r="D1505">
        <v>2</v>
      </c>
      <c r="E1505" t="s">
        <v>1832</v>
      </c>
      <c r="G1505" s="3"/>
      <c r="H1505" s="3">
        <v>0</v>
      </c>
      <c r="I1505" s="3">
        <v>0</v>
      </c>
      <c r="J1505" s="3">
        <v>0</v>
      </c>
      <c r="K1505" s="3">
        <v>0</v>
      </c>
      <c r="L1505" s="3">
        <f t="shared" si="69"/>
        <v>0</v>
      </c>
      <c r="M1505" s="3"/>
      <c r="N1505" s="3">
        <f t="shared" si="70"/>
        <v>0</v>
      </c>
      <c r="R1505" s="89"/>
      <c r="S1505" s="89">
        <f>100%-Table34[[#This Row],[PDF_initial fee]]</f>
        <v>1</v>
      </c>
      <c r="T1505" s="89"/>
      <c r="U1505" s="26"/>
    </row>
    <row r="1506" spans="1:21" hidden="1" x14ac:dyDescent="0.25">
      <c r="A1506">
        <v>430877</v>
      </c>
      <c r="B1506" t="s">
        <v>1833</v>
      </c>
      <c r="C1506" t="s">
        <v>10783</v>
      </c>
      <c r="D1506">
        <v>1</v>
      </c>
      <c r="E1506" t="s">
        <v>1833</v>
      </c>
      <c r="G1506" s="3"/>
      <c r="H1506" s="21">
        <v>0</v>
      </c>
      <c r="I1506" s="21">
        <v>0</v>
      </c>
      <c r="J1506" s="21">
        <v>0</v>
      </c>
      <c r="K1506" s="21">
        <v>0</v>
      </c>
      <c r="L1506" s="3">
        <f t="shared" si="69"/>
        <v>0</v>
      </c>
      <c r="M1506" s="3"/>
      <c r="N1506" s="3">
        <f t="shared" si="70"/>
        <v>0</v>
      </c>
      <c r="R1506" s="89"/>
      <c r="S1506" s="89">
        <f>100%-Table34[[#This Row],[PDF_initial fee]]</f>
        <v>1</v>
      </c>
      <c r="T1506" s="89"/>
      <c r="U1506" s="26"/>
    </row>
    <row r="1507" spans="1:21" hidden="1" x14ac:dyDescent="0.25">
      <c r="A1507">
        <v>430887</v>
      </c>
      <c r="B1507" t="s">
        <v>1834</v>
      </c>
      <c r="C1507" t="s">
        <v>6958</v>
      </c>
      <c r="D1507">
        <v>0</v>
      </c>
      <c r="E1507" t="s">
        <v>1834</v>
      </c>
      <c r="F1507" t="s">
        <v>6958</v>
      </c>
      <c r="G1507" s="3"/>
      <c r="H1507" s="21">
        <v>0</v>
      </c>
      <c r="I1507" s="21">
        <v>0</v>
      </c>
      <c r="J1507" s="21">
        <v>0</v>
      </c>
      <c r="K1507" s="21">
        <v>0</v>
      </c>
      <c r="L1507" s="3">
        <f t="shared" si="69"/>
        <v>0</v>
      </c>
      <c r="M1507" s="3"/>
      <c r="N1507" s="3">
        <f t="shared" si="70"/>
        <v>0</v>
      </c>
      <c r="R1507" s="89"/>
      <c r="S1507" s="89">
        <f>100%-Table34[[#This Row],[PDF_initial fee]]</f>
        <v>1</v>
      </c>
      <c r="T1507" s="89"/>
      <c r="U1507" s="26"/>
    </row>
    <row r="1508" spans="1:21" hidden="1" x14ac:dyDescent="0.25">
      <c r="A1508">
        <v>430979</v>
      </c>
      <c r="B1508" t="s">
        <v>1835</v>
      </c>
      <c r="C1508" t="s">
        <v>7236</v>
      </c>
      <c r="D1508">
        <v>4</v>
      </c>
      <c r="E1508" t="s">
        <v>1835</v>
      </c>
      <c r="G1508" s="3"/>
      <c r="H1508" s="21">
        <v>0</v>
      </c>
      <c r="I1508" s="21">
        <v>0</v>
      </c>
      <c r="J1508" s="21">
        <v>0</v>
      </c>
      <c r="K1508" s="21">
        <v>0</v>
      </c>
      <c r="L1508" s="3">
        <f t="shared" si="69"/>
        <v>0</v>
      </c>
      <c r="M1508" s="3"/>
      <c r="N1508" s="3">
        <f t="shared" si="70"/>
        <v>0</v>
      </c>
      <c r="R1508" s="89"/>
      <c r="S1508" s="89">
        <f>100%-Table34[[#This Row],[PDF_initial fee]]</f>
        <v>1</v>
      </c>
      <c r="T1508" s="89"/>
      <c r="U1508" s="26"/>
    </row>
    <row r="1509" spans="1:21" hidden="1" x14ac:dyDescent="0.25">
      <c r="A1509">
        <v>430987</v>
      </c>
      <c r="B1509" t="s">
        <v>1836</v>
      </c>
      <c r="C1509" t="s">
        <v>6958</v>
      </c>
      <c r="D1509">
        <v>2</v>
      </c>
      <c r="E1509" t="s">
        <v>1836</v>
      </c>
      <c r="F1509" t="s">
        <v>6958</v>
      </c>
      <c r="G1509" s="3"/>
      <c r="H1509" s="21">
        <v>0</v>
      </c>
      <c r="I1509" s="21">
        <v>0</v>
      </c>
      <c r="J1509" s="21">
        <v>0</v>
      </c>
      <c r="K1509" s="21">
        <v>0</v>
      </c>
      <c r="L1509" s="3">
        <f t="shared" si="69"/>
        <v>0</v>
      </c>
      <c r="M1509" s="3"/>
      <c r="N1509" s="3">
        <f t="shared" si="70"/>
        <v>0</v>
      </c>
      <c r="R1509" s="89"/>
      <c r="S1509" s="89">
        <f>100%-Table34[[#This Row],[PDF_initial fee]]</f>
        <v>1</v>
      </c>
      <c r="T1509" s="89"/>
      <c r="U1509" s="26"/>
    </row>
    <row r="1510" spans="1:21" hidden="1" x14ac:dyDescent="0.25">
      <c r="A1510">
        <v>431003</v>
      </c>
      <c r="B1510" t="s">
        <v>1838</v>
      </c>
      <c r="C1510" t="s">
        <v>7833</v>
      </c>
      <c r="D1510">
        <v>14</v>
      </c>
      <c r="E1510" t="s">
        <v>1838</v>
      </c>
      <c r="G1510" s="3"/>
      <c r="H1510" s="21">
        <v>0</v>
      </c>
      <c r="I1510" s="21">
        <v>0</v>
      </c>
      <c r="J1510" s="21">
        <v>0</v>
      </c>
      <c r="K1510" s="21">
        <v>0</v>
      </c>
      <c r="L1510" s="3">
        <f t="shared" si="69"/>
        <v>0</v>
      </c>
      <c r="M1510" s="3"/>
      <c r="N1510" s="3">
        <f t="shared" si="70"/>
        <v>0</v>
      </c>
      <c r="R1510" s="89"/>
      <c r="S1510" s="89">
        <f>100%-Table34[[#This Row],[PDF_initial fee]]</f>
        <v>1</v>
      </c>
      <c r="T1510" s="89"/>
      <c r="U1510" s="26"/>
    </row>
    <row r="1511" spans="1:21" hidden="1" x14ac:dyDescent="0.25">
      <c r="A1511">
        <v>431009</v>
      </c>
      <c r="B1511" t="s">
        <v>1839</v>
      </c>
      <c r="C1511" t="s">
        <v>8903</v>
      </c>
      <c r="D1511">
        <v>1</v>
      </c>
      <c r="E1511" t="s">
        <v>1839</v>
      </c>
      <c r="G1511" s="3"/>
      <c r="H1511" s="21">
        <v>0</v>
      </c>
      <c r="I1511" s="21">
        <v>0</v>
      </c>
      <c r="J1511" s="21">
        <v>0</v>
      </c>
      <c r="K1511" s="21">
        <v>0</v>
      </c>
      <c r="L1511" s="3">
        <f t="shared" si="69"/>
        <v>0</v>
      </c>
      <c r="M1511" s="3"/>
      <c r="N1511" s="3">
        <f t="shared" si="70"/>
        <v>0</v>
      </c>
      <c r="R1511" s="89"/>
      <c r="S1511" s="89">
        <f>100%-Table34[[#This Row],[PDF_initial fee]]</f>
        <v>1</v>
      </c>
      <c r="T1511" s="89"/>
      <c r="U1511" s="26"/>
    </row>
    <row r="1512" spans="1:21" hidden="1" x14ac:dyDescent="0.25">
      <c r="A1512">
        <v>431032</v>
      </c>
      <c r="B1512" t="s">
        <v>1840</v>
      </c>
      <c r="C1512" t="s">
        <v>9149</v>
      </c>
      <c r="D1512">
        <v>7</v>
      </c>
      <c r="E1512" t="s">
        <v>1840</v>
      </c>
      <c r="G1512" s="3"/>
      <c r="L1512" s="3">
        <f t="shared" si="69"/>
        <v>0</v>
      </c>
      <c r="M1512" s="3"/>
      <c r="N1512" s="3">
        <f t="shared" si="70"/>
        <v>0</v>
      </c>
      <c r="R1512" s="89"/>
      <c r="S1512" s="89">
        <f>100%-Table34[[#This Row],[PDF_initial fee]]</f>
        <v>1</v>
      </c>
      <c r="T1512" s="89"/>
      <c r="U1512" s="26"/>
    </row>
    <row r="1513" spans="1:21" hidden="1" x14ac:dyDescent="0.25">
      <c r="A1513">
        <v>431033</v>
      </c>
      <c r="B1513" t="s">
        <v>1841</v>
      </c>
      <c r="C1513" t="s">
        <v>6958</v>
      </c>
      <c r="D1513">
        <v>1</v>
      </c>
      <c r="E1513" t="s">
        <v>1841</v>
      </c>
      <c r="F1513" t="s">
        <v>6958</v>
      </c>
      <c r="G1513" s="3"/>
      <c r="H1513" s="21">
        <v>0</v>
      </c>
      <c r="I1513" s="21">
        <v>0</v>
      </c>
      <c r="J1513" s="21">
        <v>0</v>
      </c>
      <c r="K1513" s="21">
        <v>0</v>
      </c>
      <c r="L1513" s="3">
        <f t="shared" si="69"/>
        <v>0</v>
      </c>
      <c r="M1513" s="3"/>
      <c r="N1513" s="3">
        <f t="shared" si="70"/>
        <v>0</v>
      </c>
      <c r="R1513" s="89"/>
      <c r="S1513" s="89">
        <f>100%-Table34[[#This Row],[PDF_initial fee]]</f>
        <v>1</v>
      </c>
      <c r="T1513" s="89"/>
      <c r="U1513" s="26"/>
    </row>
    <row r="1514" spans="1:21" hidden="1" x14ac:dyDescent="0.25">
      <c r="A1514">
        <v>431048</v>
      </c>
      <c r="B1514" t="s">
        <v>1842</v>
      </c>
      <c r="C1514" t="s">
        <v>10229</v>
      </c>
      <c r="D1514">
        <v>3</v>
      </c>
      <c r="E1514" t="s">
        <v>1842</v>
      </c>
      <c r="G1514" s="3"/>
      <c r="H1514" s="21">
        <v>0</v>
      </c>
      <c r="I1514" s="21">
        <v>0</v>
      </c>
      <c r="J1514" s="21">
        <v>0</v>
      </c>
      <c r="K1514" s="21">
        <v>0</v>
      </c>
      <c r="L1514" s="3">
        <f t="shared" si="69"/>
        <v>0</v>
      </c>
      <c r="M1514" s="3"/>
      <c r="N1514" s="3">
        <f t="shared" si="70"/>
        <v>0</v>
      </c>
      <c r="R1514" s="89"/>
      <c r="S1514" s="89">
        <f>100%-Table34[[#This Row],[PDF_initial fee]]</f>
        <v>1</v>
      </c>
      <c r="T1514" s="89"/>
      <c r="U1514" s="26"/>
    </row>
    <row r="1515" spans="1:21" hidden="1" x14ac:dyDescent="0.25">
      <c r="A1515">
        <v>431065</v>
      </c>
      <c r="B1515" t="s">
        <v>1843</v>
      </c>
      <c r="C1515" t="s">
        <v>6958</v>
      </c>
      <c r="D1515">
        <v>1</v>
      </c>
      <c r="E1515" t="s">
        <v>1843</v>
      </c>
      <c r="F1515" t="s">
        <v>6958</v>
      </c>
      <c r="G1515" s="3"/>
      <c r="L1515" s="3">
        <f t="shared" si="69"/>
        <v>0</v>
      </c>
      <c r="M1515" s="3"/>
      <c r="N1515" s="3">
        <f t="shared" si="70"/>
        <v>0</v>
      </c>
      <c r="R1515" s="89"/>
      <c r="S1515" s="89">
        <f>100%-Table34[[#This Row],[PDF_initial fee]]</f>
        <v>1</v>
      </c>
      <c r="T1515" s="89"/>
      <c r="U1515" s="26"/>
    </row>
    <row r="1516" spans="1:21" hidden="1" x14ac:dyDescent="0.25">
      <c r="A1516">
        <v>431113</v>
      </c>
      <c r="B1516" t="s">
        <v>1844</v>
      </c>
      <c r="C1516" t="s">
        <v>6958</v>
      </c>
      <c r="D1516">
        <v>2</v>
      </c>
      <c r="E1516" t="s">
        <v>1844</v>
      </c>
      <c r="F1516" t="s">
        <v>6958</v>
      </c>
      <c r="G1516" s="3"/>
      <c r="H1516" s="21">
        <v>0</v>
      </c>
      <c r="I1516" s="21">
        <v>0</v>
      </c>
      <c r="J1516" s="21">
        <v>0</v>
      </c>
      <c r="K1516" s="21">
        <v>0</v>
      </c>
      <c r="L1516" s="3">
        <f t="shared" si="69"/>
        <v>0</v>
      </c>
      <c r="M1516" s="3"/>
      <c r="N1516" s="3">
        <f t="shared" si="70"/>
        <v>0</v>
      </c>
      <c r="R1516" s="89"/>
      <c r="S1516" s="89">
        <f>100%-Table34[[#This Row],[PDF_initial fee]]</f>
        <v>1</v>
      </c>
      <c r="T1516" s="89"/>
      <c r="U1516" s="26"/>
    </row>
    <row r="1517" spans="1:21" hidden="1" x14ac:dyDescent="0.25">
      <c r="A1517">
        <v>431157</v>
      </c>
      <c r="B1517" t="s">
        <v>1845</v>
      </c>
      <c r="C1517" t="s">
        <v>12238</v>
      </c>
      <c r="D1517">
        <v>33</v>
      </c>
      <c r="E1517" t="s">
        <v>1845</v>
      </c>
      <c r="G1517" s="3"/>
      <c r="L1517" s="3">
        <f t="shared" si="69"/>
        <v>0</v>
      </c>
      <c r="M1517" s="3"/>
      <c r="N1517" s="3">
        <f t="shared" si="70"/>
        <v>0</v>
      </c>
      <c r="R1517" s="89"/>
      <c r="S1517" s="89">
        <f>100%-Table34[[#This Row],[PDF_initial fee]]</f>
        <v>1</v>
      </c>
      <c r="T1517" s="89"/>
      <c r="U1517" s="26"/>
    </row>
    <row r="1518" spans="1:21" hidden="1" x14ac:dyDescent="0.25">
      <c r="A1518">
        <v>431206</v>
      </c>
      <c r="B1518" t="s">
        <v>1846</v>
      </c>
      <c r="C1518" t="s">
        <v>29920</v>
      </c>
      <c r="D1518">
        <v>2</v>
      </c>
      <c r="E1518" t="s">
        <v>1846</v>
      </c>
      <c r="G1518" s="3"/>
      <c r="H1518" s="21">
        <v>0</v>
      </c>
      <c r="I1518" s="21">
        <v>0</v>
      </c>
      <c r="J1518" s="21">
        <v>0</v>
      </c>
      <c r="K1518" s="21">
        <v>0</v>
      </c>
      <c r="L1518" s="3">
        <f t="shared" si="69"/>
        <v>0</v>
      </c>
      <c r="M1518" s="3"/>
      <c r="N1518" s="3">
        <f t="shared" si="70"/>
        <v>0</v>
      </c>
      <c r="O1518" s="21"/>
      <c r="R1518" s="89"/>
      <c r="S1518" s="89">
        <f>100%-Table34[[#This Row],[PDF_initial fee]]</f>
        <v>1</v>
      </c>
      <c r="T1518" s="89"/>
      <c r="U1518" s="26"/>
    </row>
    <row r="1519" spans="1:21" hidden="1" x14ac:dyDescent="0.25">
      <c r="A1519">
        <v>431269</v>
      </c>
      <c r="B1519" t="s">
        <v>1847</v>
      </c>
      <c r="C1519" t="s">
        <v>6958</v>
      </c>
      <c r="D1519">
        <v>1</v>
      </c>
      <c r="E1519" t="s">
        <v>1847</v>
      </c>
      <c r="F1519" t="s">
        <v>6958</v>
      </c>
      <c r="G1519" s="3"/>
      <c r="H1519" s="21">
        <v>0</v>
      </c>
      <c r="I1519" s="21">
        <v>0</v>
      </c>
      <c r="J1519" s="21">
        <v>0</v>
      </c>
      <c r="K1519" s="21">
        <v>0</v>
      </c>
      <c r="L1519" s="3">
        <f t="shared" si="69"/>
        <v>0</v>
      </c>
      <c r="M1519" s="3"/>
      <c r="N1519" s="3">
        <f t="shared" si="70"/>
        <v>0</v>
      </c>
      <c r="R1519" s="89"/>
      <c r="S1519" s="89">
        <f>100%-Table34[[#This Row],[PDF_initial fee]]</f>
        <v>1</v>
      </c>
      <c r="T1519" s="89"/>
      <c r="U1519" s="26"/>
    </row>
    <row r="1520" spans="1:21" hidden="1" x14ac:dyDescent="0.25">
      <c r="A1520">
        <v>431351</v>
      </c>
      <c r="B1520" t="s">
        <v>1848</v>
      </c>
      <c r="C1520" t="s">
        <v>6958</v>
      </c>
      <c r="D1520">
        <v>1</v>
      </c>
      <c r="E1520" t="s">
        <v>1848</v>
      </c>
      <c r="F1520" t="s">
        <v>6958</v>
      </c>
      <c r="G1520" s="3"/>
      <c r="L1520" s="3">
        <f t="shared" si="69"/>
        <v>0</v>
      </c>
      <c r="M1520" s="3"/>
      <c r="N1520" s="3">
        <f t="shared" si="70"/>
        <v>0</v>
      </c>
      <c r="R1520" s="89"/>
      <c r="S1520" s="89">
        <f>100%-Table34[[#This Row],[PDF_initial fee]]</f>
        <v>1</v>
      </c>
      <c r="T1520" s="89"/>
      <c r="U1520" s="26"/>
    </row>
    <row r="1521" spans="1:21" hidden="1" x14ac:dyDescent="0.25">
      <c r="A1521">
        <v>431356</v>
      </c>
      <c r="B1521" t="s">
        <v>1849</v>
      </c>
      <c r="C1521" t="s">
        <v>29921</v>
      </c>
      <c r="D1521">
        <v>1</v>
      </c>
      <c r="E1521" t="s">
        <v>1849</v>
      </c>
      <c r="G1521" s="3"/>
      <c r="H1521" s="3">
        <v>0</v>
      </c>
      <c r="I1521" s="3">
        <v>0</v>
      </c>
      <c r="J1521" s="3">
        <v>0</v>
      </c>
      <c r="K1521" s="3">
        <v>0</v>
      </c>
      <c r="L1521" s="3">
        <f t="shared" si="69"/>
        <v>0</v>
      </c>
      <c r="M1521" s="3"/>
      <c r="N1521" s="3">
        <f t="shared" si="70"/>
        <v>0</v>
      </c>
      <c r="R1521" s="89"/>
      <c r="S1521" s="89">
        <f>100%-Table34[[#This Row],[PDF_initial fee]]</f>
        <v>1</v>
      </c>
      <c r="T1521" s="89"/>
      <c r="U1521" s="26"/>
    </row>
    <row r="1522" spans="1:21" hidden="1" x14ac:dyDescent="0.25">
      <c r="A1522">
        <v>431387</v>
      </c>
      <c r="B1522" t="s">
        <v>1850</v>
      </c>
      <c r="C1522" t="s">
        <v>8999</v>
      </c>
      <c r="D1522">
        <v>0</v>
      </c>
      <c r="E1522" t="s">
        <v>1850</v>
      </c>
      <c r="F1522" t="s">
        <v>29136</v>
      </c>
      <c r="G1522" s="3"/>
      <c r="I1522" s="21"/>
      <c r="L1522" s="3">
        <f t="shared" si="69"/>
        <v>0</v>
      </c>
      <c r="M1522" s="3"/>
      <c r="N1522" s="3">
        <f t="shared" si="70"/>
        <v>0</v>
      </c>
      <c r="O1522" t="s">
        <v>29922</v>
      </c>
      <c r="R1522" s="89"/>
      <c r="S1522" s="89">
        <f>100%-Table34[[#This Row],[PDF_initial fee]]</f>
        <v>1</v>
      </c>
      <c r="T1522" s="89"/>
      <c r="U1522" s="26"/>
    </row>
    <row r="1523" spans="1:21" hidden="1" x14ac:dyDescent="0.25">
      <c r="A1523">
        <v>431390</v>
      </c>
      <c r="B1523" t="s">
        <v>1851</v>
      </c>
      <c r="C1523" t="s">
        <v>9860</v>
      </c>
      <c r="D1523">
        <v>3</v>
      </c>
      <c r="E1523" t="s">
        <v>1851</v>
      </c>
      <c r="G1523" s="3"/>
      <c r="H1523" s="21">
        <v>0</v>
      </c>
      <c r="I1523" s="21">
        <v>0</v>
      </c>
      <c r="J1523" s="21">
        <v>0</v>
      </c>
      <c r="K1523" s="21">
        <v>0</v>
      </c>
      <c r="L1523" s="3">
        <f t="shared" si="69"/>
        <v>0</v>
      </c>
      <c r="M1523" s="3"/>
      <c r="N1523" s="3">
        <f t="shared" si="70"/>
        <v>0</v>
      </c>
      <c r="R1523" s="89"/>
      <c r="S1523" s="89">
        <f>100%-Table34[[#This Row],[PDF_initial fee]]</f>
        <v>1</v>
      </c>
      <c r="T1523" s="89"/>
      <c r="U1523" s="26"/>
    </row>
    <row r="1524" spans="1:21" hidden="1" x14ac:dyDescent="0.25">
      <c r="A1524">
        <v>431467</v>
      </c>
      <c r="B1524" t="s">
        <v>1852</v>
      </c>
      <c r="C1524" t="s">
        <v>29923</v>
      </c>
      <c r="D1524">
        <v>9</v>
      </c>
      <c r="E1524" t="s">
        <v>1852</v>
      </c>
      <c r="G1524" s="3"/>
      <c r="H1524" s="3">
        <v>0</v>
      </c>
      <c r="I1524" s="3">
        <v>0</v>
      </c>
      <c r="J1524" s="3">
        <v>0</v>
      </c>
      <c r="K1524" s="3">
        <v>0</v>
      </c>
      <c r="L1524" s="3">
        <f t="shared" si="69"/>
        <v>0</v>
      </c>
      <c r="M1524" s="3"/>
      <c r="N1524" s="3">
        <f t="shared" si="70"/>
        <v>0</v>
      </c>
      <c r="R1524" s="89"/>
      <c r="S1524" s="89">
        <f>100%-Table34[[#This Row],[PDF_initial fee]]</f>
        <v>1</v>
      </c>
      <c r="T1524" s="89"/>
      <c r="U1524" s="26"/>
    </row>
    <row r="1525" spans="1:21" hidden="1" x14ac:dyDescent="0.25">
      <c r="A1525">
        <v>431522</v>
      </c>
      <c r="B1525" t="s">
        <v>1853</v>
      </c>
      <c r="C1525" t="s">
        <v>6958</v>
      </c>
      <c r="D1525">
        <v>1</v>
      </c>
      <c r="E1525" t="s">
        <v>1853</v>
      </c>
      <c r="F1525" t="s">
        <v>6958</v>
      </c>
      <c r="G1525" s="3"/>
      <c r="H1525" s="21">
        <v>0</v>
      </c>
      <c r="I1525" s="21">
        <v>0</v>
      </c>
      <c r="J1525" s="21">
        <v>0</v>
      </c>
      <c r="K1525" s="21">
        <v>0</v>
      </c>
      <c r="L1525" s="3">
        <f t="shared" si="69"/>
        <v>0</v>
      </c>
      <c r="M1525" s="3"/>
      <c r="N1525" s="3">
        <f t="shared" si="70"/>
        <v>0</v>
      </c>
      <c r="R1525" s="89"/>
      <c r="S1525" s="89">
        <f>100%-Table34[[#This Row],[PDF_initial fee]]</f>
        <v>1</v>
      </c>
      <c r="T1525" s="89"/>
      <c r="U1525" s="26"/>
    </row>
    <row r="1526" spans="1:21" hidden="1" x14ac:dyDescent="0.25">
      <c r="A1526">
        <v>431577</v>
      </c>
      <c r="B1526" t="s">
        <v>1854</v>
      </c>
      <c r="C1526" t="s">
        <v>6958</v>
      </c>
      <c r="D1526">
        <v>1</v>
      </c>
      <c r="E1526" t="s">
        <v>1854</v>
      </c>
      <c r="F1526" t="s">
        <v>6958</v>
      </c>
      <c r="G1526" s="3"/>
      <c r="H1526" s="21">
        <v>0</v>
      </c>
      <c r="I1526" s="21">
        <v>0</v>
      </c>
      <c r="J1526" s="21">
        <v>0</v>
      </c>
      <c r="K1526" s="21">
        <v>0</v>
      </c>
      <c r="L1526" s="3">
        <f t="shared" si="69"/>
        <v>0</v>
      </c>
      <c r="M1526" s="3"/>
      <c r="N1526" s="3">
        <f t="shared" si="70"/>
        <v>0</v>
      </c>
      <c r="R1526" s="89"/>
      <c r="S1526" s="89">
        <f>100%-Table34[[#This Row],[PDF_initial fee]]</f>
        <v>1</v>
      </c>
      <c r="T1526" s="89"/>
      <c r="U1526" s="26"/>
    </row>
    <row r="1527" spans="1:21" hidden="1" x14ac:dyDescent="0.25">
      <c r="A1527">
        <v>431767</v>
      </c>
      <c r="B1527" t="s">
        <v>1858</v>
      </c>
      <c r="C1527" t="s">
        <v>10090</v>
      </c>
      <c r="D1527">
        <v>1</v>
      </c>
      <c r="E1527" t="s">
        <v>1858</v>
      </c>
      <c r="G1527" s="3"/>
      <c r="H1527" s="21">
        <v>0</v>
      </c>
      <c r="I1527" s="21">
        <v>0</v>
      </c>
      <c r="J1527" s="21">
        <v>0</v>
      </c>
      <c r="K1527" s="21">
        <v>0</v>
      </c>
      <c r="L1527" s="3">
        <f t="shared" si="69"/>
        <v>0</v>
      </c>
      <c r="M1527" s="3"/>
      <c r="N1527" s="3">
        <f t="shared" si="70"/>
        <v>0</v>
      </c>
      <c r="R1527" s="89"/>
      <c r="S1527" s="89">
        <f>100%-Table34[[#This Row],[PDF_initial fee]]</f>
        <v>1</v>
      </c>
      <c r="T1527" s="89"/>
      <c r="U1527" s="26"/>
    </row>
    <row r="1528" spans="1:21" hidden="1" x14ac:dyDescent="0.25">
      <c r="A1528">
        <v>431844</v>
      </c>
      <c r="B1528" t="s">
        <v>1859</v>
      </c>
      <c r="C1528" t="s">
        <v>29924</v>
      </c>
      <c r="D1528">
        <v>0</v>
      </c>
      <c r="E1528" t="s">
        <v>1859</v>
      </c>
      <c r="F1528" t="s">
        <v>29136</v>
      </c>
      <c r="G1528" s="3"/>
      <c r="H1528" s="21">
        <v>0</v>
      </c>
      <c r="I1528" s="21">
        <v>0</v>
      </c>
      <c r="J1528" s="21">
        <v>0</v>
      </c>
      <c r="K1528" s="21">
        <v>0</v>
      </c>
      <c r="L1528" s="3">
        <f t="shared" si="69"/>
        <v>0</v>
      </c>
      <c r="M1528" s="3"/>
      <c r="N1528" s="3">
        <f t="shared" si="70"/>
        <v>0</v>
      </c>
      <c r="O1528" s="21"/>
      <c r="R1528" s="89"/>
      <c r="S1528" s="89">
        <f>100%-Table34[[#This Row],[PDF_initial fee]]</f>
        <v>1</v>
      </c>
      <c r="T1528" s="89"/>
      <c r="U1528" s="26"/>
    </row>
    <row r="1529" spans="1:21" hidden="1" x14ac:dyDescent="0.25">
      <c r="A1529">
        <v>431882</v>
      </c>
      <c r="B1529" t="s">
        <v>1860</v>
      </c>
      <c r="C1529" t="s">
        <v>29925</v>
      </c>
      <c r="D1529">
        <v>2</v>
      </c>
      <c r="E1529" t="s">
        <v>1860</v>
      </c>
      <c r="G1529" s="3"/>
      <c r="H1529" s="3">
        <v>0</v>
      </c>
      <c r="I1529" s="3">
        <v>0</v>
      </c>
      <c r="J1529" s="3">
        <v>0</v>
      </c>
      <c r="K1529" s="3">
        <v>0</v>
      </c>
      <c r="L1529" s="3">
        <f t="shared" si="69"/>
        <v>0</v>
      </c>
      <c r="M1529" s="3"/>
      <c r="N1529" s="3">
        <f t="shared" si="70"/>
        <v>0</v>
      </c>
      <c r="R1529" s="89"/>
      <c r="S1529" s="89">
        <f>100%-Table34[[#This Row],[PDF_initial fee]]</f>
        <v>1</v>
      </c>
      <c r="T1529" s="89"/>
      <c r="U1529" s="26"/>
    </row>
    <row r="1530" spans="1:21" hidden="1" x14ac:dyDescent="0.25">
      <c r="A1530">
        <v>431904</v>
      </c>
      <c r="B1530" t="s">
        <v>1861</v>
      </c>
      <c r="C1530" t="s">
        <v>6958</v>
      </c>
      <c r="D1530">
        <v>4</v>
      </c>
      <c r="E1530" t="s">
        <v>1861</v>
      </c>
      <c r="F1530" t="s">
        <v>6958</v>
      </c>
      <c r="G1530" s="3"/>
      <c r="L1530" s="3">
        <f t="shared" si="69"/>
        <v>0</v>
      </c>
      <c r="M1530" s="3"/>
      <c r="N1530" s="3">
        <f t="shared" si="70"/>
        <v>0</v>
      </c>
      <c r="R1530" s="89"/>
      <c r="S1530" s="89">
        <f>100%-Table34[[#This Row],[PDF_initial fee]]</f>
        <v>1</v>
      </c>
      <c r="T1530" s="89"/>
      <c r="U1530" s="26"/>
    </row>
    <row r="1531" spans="1:21" hidden="1" x14ac:dyDescent="0.25">
      <c r="A1531">
        <v>431908</v>
      </c>
      <c r="B1531" t="s">
        <v>1862</v>
      </c>
      <c r="C1531" t="s">
        <v>6958</v>
      </c>
      <c r="D1531">
        <v>1</v>
      </c>
      <c r="E1531" t="s">
        <v>1862</v>
      </c>
      <c r="F1531" t="s">
        <v>6958</v>
      </c>
      <c r="G1531" s="3"/>
      <c r="H1531" s="21">
        <v>0</v>
      </c>
      <c r="I1531" s="21">
        <v>0</v>
      </c>
      <c r="J1531" s="21">
        <v>0</v>
      </c>
      <c r="K1531" s="21">
        <v>0</v>
      </c>
      <c r="L1531" s="3">
        <f t="shared" si="69"/>
        <v>0</v>
      </c>
      <c r="M1531" s="3"/>
      <c r="N1531" s="3">
        <f t="shared" si="70"/>
        <v>0</v>
      </c>
      <c r="R1531" s="89"/>
      <c r="S1531" s="89">
        <f>100%-Table34[[#This Row],[PDF_initial fee]]</f>
        <v>1</v>
      </c>
      <c r="T1531" s="89"/>
      <c r="U1531" s="26"/>
    </row>
    <row r="1532" spans="1:21" hidden="1" x14ac:dyDescent="0.25">
      <c r="A1532">
        <v>432009</v>
      </c>
      <c r="B1532" t="s">
        <v>1863</v>
      </c>
      <c r="C1532" t="s">
        <v>6958</v>
      </c>
      <c r="D1532">
        <v>3</v>
      </c>
      <c r="E1532" t="s">
        <v>1863</v>
      </c>
      <c r="F1532" t="s">
        <v>6958</v>
      </c>
      <c r="G1532" s="3"/>
      <c r="H1532" s="21">
        <v>0</v>
      </c>
      <c r="I1532" s="21">
        <v>0</v>
      </c>
      <c r="J1532" s="21">
        <v>0</v>
      </c>
      <c r="K1532" s="21">
        <v>0</v>
      </c>
      <c r="L1532" s="3">
        <f t="shared" si="69"/>
        <v>0</v>
      </c>
      <c r="M1532" s="3"/>
      <c r="N1532" s="3">
        <f t="shared" si="70"/>
        <v>0</v>
      </c>
      <c r="R1532" s="89"/>
      <c r="S1532" s="89">
        <f>100%-Table34[[#This Row],[PDF_initial fee]]</f>
        <v>1</v>
      </c>
      <c r="T1532" s="89"/>
      <c r="U1532" s="26"/>
    </row>
    <row r="1533" spans="1:21" hidden="1" x14ac:dyDescent="0.25">
      <c r="A1533">
        <v>432014</v>
      </c>
      <c r="B1533" t="s">
        <v>1864</v>
      </c>
      <c r="C1533" t="s">
        <v>29926</v>
      </c>
      <c r="D1533">
        <v>29</v>
      </c>
      <c r="E1533" t="s">
        <v>1864</v>
      </c>
      <c r="G1533" s="3"/>
      <c r="H1533" s="3">
        <v>0</v>
      </c>
      <c r="I1533" s="3">
        <v>0</v>
      </c>
      <c r="J1533" s="3">
        <v>0</v>
      </c>
      <c r="K1533" s="3">
        <v>0</v>
      </c>
      <c r="L1533" s="3">
        <f t="shared" si="69"/>
        <v>0</v>
      </c>
      <c r="M1533" s="3"/>
      <c r="N1533" s="3">
        <f t="shared" si="70"/>
        <v>0</v>
      </c>
      <c r="R1533" s="89"/>
      <c r="S1533" s="89">
        <f>100%-Table34[[#This Row],[PDF_initial fee]]</f>
        <v>1</v>
      </c>
      <c r="T1533" s="89"/>
      <c r="U1533" s="26"/>
    </row>
    <row r="1534" spans="1:21" hidden="1" x14ac:dyDescent="0.25">
      <c r="A1534">
        <v>432177</v>
      </c>
      <c r="B1534" t="s">
        <v>1865</v>
      </c>
      <c r="C1534" t="s">
        <v>6958</v>
      </c>
      <c r="D1534">
        <v>1</v>
      </c>
      <c r="E1534" t="s">
        <v>1865</v>
      </c>
      <c r="F1534" t="s">
        <v>6958</v>
      </c>
      <c r="G1534" s="3"/>
      <c r="H1534" s="21">
        <v>0</v>
      </c>
      <c r="I1534" s="21">
        <v>0</v>
      </c>
      <c r="J1534" s="21">
        <v>0</v>
      </c>
      <c r="K1534" s="21">
        <v>0</v>
      </c>
      <c r="L1534" s="3">
        <f t="shared" ref="L1534:L1597" si="71">SUM(H1534:K1534)</f>
        <v>0</v>
      </c>
      <c r="M1534" s="3"/>
      <c r="N1534" s="3">
        <f t="shared" ref="N1534:N1597" si="72">L1534+G1534</f>
        <v>0</v>
      </c>
      <c r="R1534" s="89"/>
      <c r="S1534" s="89">
        <f>100%-Table34[[#This Row],[PDF_initial fee]]</f>
        <v>1</v>
      </c>
      <c r="T1534" s="89"/>
      <c r="U1534" s="26"/>
    </row>
    <row r="1535" spans="1:21" hidden="1" x14ac:dyDescent="0.25">
      <c r="A1535">
        <v>432334</v>
      </c>
      <c r="B1535" t="s">
        <v>1866</v>
      </c>
      <c r="C1535" t="s">
        <v>6958</v>
      </c>
      <c r="D1535">
        <v>1</v>
      </c>
      <c r="E1535" t="s">
        <v>1866</v>
      </c>
      <c r="F1535" t="s">
        <v>6958</v>
      </c>
      <c r="G1535" s="3"/>
      <c r="H1535" s="21">
        <v>0</v>
      </c>
      <c r="I1535" s="21">
        <v>0</v>
      </c>
      <c r="J1535" s="21">
        <v>0</v>
      </c>
      <c r="K1535" s="21">
        <v>0</v>
      </c>
      <c r="L1535" s="3">
        <f t="shared" si="71"/>
        <v>0</v>
      </c>
      <c r="M1535" s="3"/>
      <c r="N1535" s="3">
        <f t="shared" si="72"/>
        <v>0</v>
      </c>
      <c r="R1535" s="89"/>
      <c r="S1535" s="89">
        <f>100%-Table34[[#This Row],[PDF_initial fee]]</f>
        <v>1</v>
      </c>
      <c r="T1535" s="89"/>
      <c r="U1535" s="26"/>
    </row>
    <row r="1536" spans="1:21" hidden="1" x14ac:dyDescent="0.25">
      <c r="A1536">
        <v>432431</v>
      </c>
      <c r="B1536" t="s">
        <v>1867</v>
      </c>
      <c r="C1536" t="s">
        <v>8825</v>
      </c>
      <c r="D1536">
        <v>4</v>
      </c>
      <c r="E1536" t="s">
        <v>1867</v>
      </c>
      <c r="G1536" s="3"/>
      <c r="H1536" s="21">
        <v>0</v>
      </c>
      <c r="I1536" s="21">
        <v>0</v>
      </c>
      <c r="J1536" s="21">
        <v>0</v>
      </c>
      <c r="K1536" s="21">
        <v>0</v>
      </c>
      <c r="L1536" s="3">
        <f t="shared" si="71"/>
        <v>0</v>
      </c>
      <c r="M1536" s="3"/>
      <c r="N1536" s="3">
        <f t="shared" si="72"/>
        <v>0</v>
      </c>
      <c r="R1536" s="89"/>
      <c r="S1536" s="89">
        <f>100%-Table34[[#This Row],[PDF_initial fee]]</f>
        <v>1</v>
      </c>
      <c r="T1536" s="89"/>
      <c r="U1536" s="26"/>
    </row>
    <row r="1537" spans="1:30" hidden="1" x14ac:dyDescent="0.25">
      <c r="A1537">
        <v>432451</v>
      </c>
      <c r="B1537" t="s">
        <v>1868</v>
      </c>
      <c r="C1537" t="s">
        <v>29927</v>
      </c>
      <c r="D1537">
        <v>2</v>
      </c>
      <c r="E1537" t="s">
        <v>1868</v>
      </c>
      <c r="G1537" s="3"/>
      <c r="H1537" s="3">
        <v>0</v>
      </c>
      <c r="I1537" s="3">
        <v>0</v>
      </c>
      <c r="J1537" s="3">
        <v>0</v>
      </c>
      <c r="K1537" s="3">
        <v>0</v>
      </c>
      <c r="L1537" s="3">
        <f t="shared" si="71"/>
        <v>0</v>
      </c>
      <c r="M1537" s="3"/>
      <c r="N1537" s="3">
        <f t="shared" si="72"/>
        <v>0</v>
      </c>
      <c r="R1537" s="89"/>
      <c r="S1537" s="89">
        <f>100%-Table34[[#This Row],[PDF_initial fee]]</f>
        <v>1</v>
      </c>
      <c r="T1537" s="89"/>
      <c r="U1537" s="26"/>
    </row>
    <row r="1538" spans="1:30" hidden="1" x14ac:dyDescent="0.25">
      <c r="A1538">
        <v>432488</v>
      </c>
      <c r="B1538" t="s">
        <v>1869</v>
      </c>
      <c r="C1538" t="s">
        <v>7898</v>
      </c>
      <c r="D1538">
        <v>6</v>
      </c>
      <c r="E1538" t="s">
        <v>1869</v>
      </c>
      <c r="G1538" s="3"/>
      <c r="H1538" s="21">
        <v>0</v>
      </c>
      <c r="I1538" s="21">
        <v>0</v>
      </c>
      <c r="J1538" s="21">
        <v>0</v>
      </c>
      <c r="K1538" s="21">
        <v>0</v>
      </c>
      <c r="L1538" s="3">
        <f t="shared" si="71"/>
        <v>0</v>
      </c>
      <c r="M1538" s="3"/>
      <c r="N1538" s="3">
        <f t="shared" si="72"/>
        <v>0</v>
      </c>
      <c r="R1538" s="89"/>
      <c r="S1538" s="89">
        <f>100%-Table34[[#This Row],[PDF_initial fee]]</f>
        <v>1</v>
      </c>
      <c r="T1538" s="89"/>
      <c r="U1538" s="26"/>
    </row>
    <row r="1539" spans="1:30" x14ac:dyDescent="0.25">
      <c r="A1539">
        <v>513655</v>
      </c>
      <c r="B1539" t="s">
        <v>201</v>
      </c>
      <c r="C1539" s="1" t="s">
        <v>12309</v>
      </c>
      <c r="D1539">
        <v>66</v>
      </c>
      <c r="E1539" t="s">
        <v>201</v>
      </c>
      <c r="F1539" t="s">
        <v>3</v>
      </c>
      <c r="G1539" s="3">
        <v>1.4E-3</v>
      </c>
      <c r="H1539" s="3">
        <v>0.03</v>
      </c>
      <c r="I1539" s="3">
        <v>0</v>
      </c>
      <c r="J1539" s="6">
        <v>0</v>
      </c>
      <c r="K1539" s="6">
        <v>1E-3</v>
      </c>
      <c r="L1539" s="3">
        <f t="shared" si="71"/>
        <v>3.1E-2</v>
      </c>
      <c r="M1539" s="3"/>
      <c r="N1539" s="3">
        <f t="shared" si="72"/>
        <v>3.2399999999999998E-2</v>
      </c>
      <c r="O1539" t="s">
        <v>29928</v>
      </c>
      <c r="P1539" s="31" t="s">
        <v>29929</v>
      </c>
      <c r="Q1539" t="s">
        <v>31787</v>
      </c>
      <c r="R1539" s="89">
        <v>0.33333333333333348</v>
      </c>
      <c r="S1539" s="89">
        <f>100%-Table34[[#This Row],[InitialFee]]</f>
        <v>0.97</v>
      </c>
      <c r="T1539" s="89">
        <f>(1-Table34[[#This Row],[PDF ongoing fee]])^5</f>
        <v>0.99500999000499901</v>
      </c>
      <c r="U1539" s="26">
        <f>(1+Table34[[#This Row],[Net 5yrs return (mostly up to 28th of Feb 2026)]])*Table34[[#This Row],[Investment after initial charge]]*Table34[[#This Row],[Cummulative 5yrs ongoing advice charge]]-1</f>
        <v>0.28687958707313221</v>
      </c>
      <c r="V1539" s="10">
        <f>400112+263897</f>
        <v>664009</v>
      </c>
      <c r="W1539" t="s">
        <v>29051</v>
      </c>
      <c r="X1539" s="9">
        <v>3809497</v>
      </c>
      <c r="Y1539" s="30">
        <f>X1539/V1539</f>
        <v>5.7371165149869956</v>
      </c>
      <c r="AA1539" s="1" t="s">
        <v>29930</v>
      </c>
      <c r="AD1539" t="s">
        <v>29931</v>
      </c>
    </row>
    <row r="1540" spans="1:30" hidden="1" x14ac:dyDescent="0.25">
      <c r="A1540">
        <v>432689</v>
      </c>
      <c r="B1540" t="s">
        <v>1870</v>
      </c>
      <c r="C1540" t="s">
        <v>6958</v>
      </c>
      <c r="D1540">
        <v>1</v>
      </c>
      <c r="E1540" t="s">
        <v>1870</v>
      </c>
      <c r="F1540" t="s">
        <v>6958</v>
      </c>
      <c r="G1540" s="3"/>
      <c r="L1540" s="3">
        <f t="shared" si="71"/>
        <v>0</v>
      </c>
      <c r="M1540" s="3"/>
      <c r="N1540" s="3">
        <f t="shared" si="72"/>
        <v>0</v>
      </c>
      <c r="R1540" s="89"/>
      <c r="S1540" s="89">
        <f>100%-Table34[[#This Row],[PDF_initial fee]]</f>
        <v>1</v>
      </c>
      <c r="T1540" s="89"/>
      <c r="U1540" s="26"/>
    </row>
    <row r="1541" spans="1:30" hidden="1" x14ac:dyDescent="0.25">
      <c r="A1541">
        <v>432722</v>
      </c>
      <c r="B1541" t="s">
        <v>1871</v>
      </c>
      <c r="C1541" t="s">
        <v>6995</v>
      </c>
      <c r="D1541">
        <v>2</v>
      </c>
      <c r="E1541" t="s">
        <v>1871</v>
      </c>
      <c r="G1541" s="3"/>
      <c r="H1541" s="21">
        <v>0</v>
      </c>
      <c r="I1541" s="21">
        <v>0</v>
      </c>
      <c r="J1541" s="21">
        <v>0</v>
      </c>
      <c r="K1541" s="21">
        <v>0</v>
      </c>
      <c r="L1541" s="3">
        <f t="shared" si="71"/>
        <v>0</v>
      </c>
      <c r="M1541" s="3"/>
      <c r="N1541" s="3">
        <f t="shared" si="72"/>
        <v>0</v>
      </c>
      <c r="R1541" s="89"/>
      <c r="S1541" s="89">
        <f>100%-Table34[[#This Row],[PDF_initial fee]]</f>
        <v>1</v>
      </c>
      <c r="T1541" s="89"/>
      <c r="U1541" s="26"/>
    </row>
    <row r="1542" spans="1:30" hidden="1" x14ac:dyDescent="0.25">
      <c r="A1542">
        <v>432748</v>
      </c>
      <c r="B1542" t="s">
        <v>1872</v>
      </c>
      <c r="C1542" t="s">
        <v>6958</v>
      </c>
      <c r="D1542">
        <v>1</v>
      </c>
      <c r="E1542" t="s">
        <v>1872</v>
      </c>
      <c r="F1542" t="s">
        <v>6958</v>
      </c>
      <c r="G1542" s="3"/>
      <c r="H1542" s="21">
        <v>0</v>
      </c>
      <c r="I1542" s="21">
        <v>0</v>
      </c>
      <c r="J1542" s="21">
        <v>0</v>
      </c>
      <c r="K1542" s="21">
        <v>0</v>
      </c>
      <c r="L1542" s="3">
        <f t="shared" si="71"/>
        <v>0</v>
      </c>
      <c r="M1542" s="3"/>
      <c r="N1542" s="3">
        <f t="shared" si="72"/>
        <v>0</v>
      </c>
      <c r="R1542" s="89"/>
      <c r="S1542" s="89">
        <f>100%-Table34[[#This Row],[PDF_initial fee]]</f>
        <v>1</v>
      </c>
      <c r="T1542" s="89"/>
      <c r="U1542" s="26"/>
    </row>
    <row r="1543" spans="1:30" hidden="1" x14ac:dyDescent="0.25">
      <c r="A1543">
        <v>432784</v>
      </c>
      <c r="B1543" t="s">
        <v>1873</v>
      </c>
      <c r="C1543" t="s">
        <v>29932</v>
      </c>
      <c r="D1543">
        <v>2</v>
      </c>
      <c r="E1543" t="s">
        <v>1873</v>
      </c>
      <c r="G1543" s="3"/>
      <c r="H1543" s="3">
        <v>0</v>
      </c>
      <c r="I1543" s="3">
        <v>0</v>
      </c>
      <c r="J1543" s="3">
        <v>0</v>
      </c>
      <c r="K1543" s="3">
        <v>0</v>
      </c>
      <c r="L1543" s="3">
        <f t="shared" si="71"/>
        <v>0</v>
      </c>
      <c r="M1543" s="3"/>
      <c r="N1543" s="3">
        <f t="shared" si="72"/>
        <v>0</v>
      </c>
      <c r="R1543" s="89"/>
      <c r="S1543" s="89">
        <f>100%-Table34[[#This Row],[PDF_initial fee]]</f>
        <v>1</v>
      </c>
      <c r="T1543" s="89"/>
      <c r="U1543" s="26"/>
    </row>
    <row r="1544" spans="1:30" hidden="1" x14ac:dyDescent="0.25">
      <c r="A1544">
        <v>432886</v>
      </c>
      <c r="B1544" t="s">
        <v>1874</v>
      </c>
      <c r="C1544" t="s">
        <v>12280</v>
      </c>
      <c r="D1544">
        <v>7</v>
      </c>
      <c r="E1544" t="s">
        <v>1874</v>
      </c>
      <c r="G1544" s="3"/>
      <c r="L1544" s="3">
        <f t="shared" si="71"/>
        <v>0</v>
      </c>
      <c r="M1544" s="3"/>
      <c r="N1544" s="3">
        <f t="shared" si="72"/>
        <v>0</v>
      </c>
      <c r="R1544" s="89"/>
      <c r="S1544" s="89">
        <f>100%-Table34[[#This Row],[PDF_initial fee]]</f>
        <v>1</v>
      </c>
      <c r="T1544" s="89"/>
      <c r="U1544" s="26"/>
    </row>
    <row r="1545" spans="1:30" hidden="1" x14ac:dyDescent="0.25">
      <c r="A1545">
        <v>432949</v>
      </c>
      <c r="B1545" t="s">
        <v>1875</v>
      </c>
      <c r="C1545" t="s">
        <v>6958</v>
      </c>
      <c r="D1545">
        <v>0</v>
      </c>
      <c r="E1545" t="s">
        <v>1875</v>
      </c>
      <c r="F1545" t="s">
        <v>6958</v>
      </c>
      <c r="G1545" s="3"/>
      <c r="H1545" s="21">
        <v>0</v>
      </c>
      <c r="I1545" s="21">
        <v>0</v>
      </c>
      <c r="J1545" s="21">
        <v>0</v>
      </c>
      <c r="K1545" s="21">
        <v>0</v>
      </c>
      <c r="L1545" s="3">
        <f t="shared" si="71"/>
        <v>0</v>
      </c>
      <c r="M1545" s="3"/>
      <c r="N1545" s="3">
        <f t="shared" si="72"/>
        <v>0</v>
      </c>
      <c r="R1545" s="89"/>
      <c r="S1545" s="89">
        <f>100%-Table34[[#This Row],[PDF_initial fee]]</f>
        <v>1</v>
      </c>
      <c r="T1545" s="89"/>
      <c r="U1545" s="26"/>
    </row>
    <row r="1546" spans="1:30" hidden="1" x14ac:dyDescent="0.25">
      <c r="A1546">
        <v>432965</v>
      </c>
      <c r="B1546" t="s">
        <v>1876</v>
      </c>
      <c r="C1546" t="s">
        <v>29933</v>
      </c>
      <c r="D1546">
        <v>2</v>
      </c>
      <c r="E1546" t="s">
        <v>1876</v>
      </c>
      <c r="G1546" s="3"/>
      <c r="H1546" s="21">
        <v>0</v>
      </c>
      <c r="I1546" s="21">
        <v>0</v>
      </c>
      <c r="J1546" s="21">
        <v>0</v>
      </c>
      <c r="K1546" s="21">
        <v>0</v>
      </c>
      <c r="L1546" s="3">
        <f t="shared" si="71"/>
        <v>0</v>
      </c>
      <c r="M1546" s="3"/>
      <c r="N1546" s="3">
        <f t="shared" si="72"/>
        <v>0</v>
      </c>
      <c r="O1546" s="21"/>
      <c r="R1546" s="89"/>
      <c r="S1546" s="89">
        <f>100%-Table34[[#This Row],[PDF_initial fee]]</f>
        <v>1</v>
      </c>
      <c r="T1546" s="89"/>
      <c r="U1546" s="26"/>
    </row>
    <row r="1547" spans="1:30" hidden="1" x14ac:dyDescent="0.25">
      <c r="A1547">
        <v>433008</v>
      </c>
      <c r="B1547" t="s">
        <v>1877</v>
      </c>
      <c r="C1547" t="s">
        <v>12468</v>
      </c>
      <c r="D1547">
        <v>4</v>
      </c>
      <c r="E1547" t="s">
        <v>1877</v>
      </c>
      <c r="G1547" s="3"/>
      <c r="H1547" s="21">
        <v>0</v>
      </c>
      <c r="I1547" s="21">
        <v>0</v>
      </c>
      <c r="J1547" s="21">
        <v>0</v>
      </c>
      <c r="K1547" s="21">
        <v>0</v>
      </c>
      <c r="L1547" s="3">
        <f t="shared" si="71"/>
        <v>0</v>
      </c>
      <c r="M1547" s="3"/>
      <c r="N1547" s="3">
        <f t="shared" si="72"/>
        <v>0</v>
      </c>
      <c r="R1547" s="89"/>
      <c r="S1547" s="89">
        <f>100%-Table34[[#This Row],[PDF_initial fee]]</f>
        <v>1</v>
      </c>
      <c r="T1547" s="89"/>
      <c r="U1547" s="26"/>
    </row>
    <row r="1548" spans="1:30" hidden="1" x14ac:dyDescent="0.25">
      <c r="A1548">
        <v>433052</v>
      </c>
      <c r="B1548" t="s">
        <v>1878</v>
      </c>
      <c r="C1548" s="1" t="s">
        <v>29934</v>
      </c>
      <c r="D1548">
        <v>7</v>
      </c>
      <c r="E1548" t="s">
        <v>1878</v>
      </c>
      <c r="G1548" s="3"/>
      <c r="H1548" s="3">
        <v>0</v>
      </c>
      <c r="I1548" s="3">
        <v>0</v>
      </c>
      <c r="J1548" s="3">
        <v>0</v>
      </c>
      <c r="K1548" s="3">
        <v>0</v>
      </c>
      <c r="L1548" s="3">
        <f t="shared" si="71"/>
        <v>0</v>
      </c>
      <c r="M1548" s="3"/>
      <c r="N1548" s="3">
        <f t="shared" si="72"/>
        <v>0</v>
      </c>
      <c r="R1548" s="89"/>
      <c r="S1548" s="89">
        <f>100%-Table34[[#This Row],[PDF_initial fee]]</f>
        <v>1</v>
      </c>
      <c r="T1548" s="89"/>
      <c r="U1548" s="26"/>
    </row>
    <row r="1549" spans="1:30" hidden="1" x14ac:dyDescent="0.25">
      <c r="A1549">
        <v>433181</v>
      </c>
      <c r="B1549" t="s">
        <v>1879</v>
      </c>
      <c r="C1549" t="s">
        <v>10867</v>
      </c>
      <c r="D1549">
        <v>8</v>
      </c>
      <c r="E1549" t="s">
        <v>1879</v>
      </c>
      <c r="G1549" s="3"/>
      <c r="L1549" s="3">
        <f t="shared" si="71"/>
        <v>0</v>
      </c>
      <c r="M1549" s="3"/>
      <c r="N1549" s="3">
        <f t="shared" si="72"/>
        <v>0</v>
      </c>
      <c r="R1549" s="89"/>
      <c r="S1549" s="89">
        <f>100%-Table34[[#This Row],[PDF_initial fee]]</f>
        <v>1</v>
      </c>
      <c r="T1549" s="89"/>
      <c r="U1549" s="26"/>
    </row>
    <row r="1550" spans="1:30" hidden="1" x14ac:dyDescent="0.25">
      <c r="A1550">
        <v>433207</v>
      </c>
      <c r="B1550" t="s">
        <v>1880</v>
      </c>
      <c r="C1550" t="s">
        <v>6958</v>
      </c>
      <c r="D1550">
        <v>1</v>
      </c>
      <c r="E1550" t="s">
        <v>1880</v>
      </c>
      <c r="F1550" t="s">
        <v>6958</v>
      </c>
      <c r="G1550" s="3"/>
      <c r="H1550" s="21">
        <v>0</v>
      </c>
      <c r="I1550" s="21">
        <v>0</v>
      </c>
      <c r="J1550" s="21">
        <v>0</v>
      </c>
      <c r="K1550" s="21">
        <v>0</v>
      </c>
      <c r="L1550" s="3">
        <f t="shared" si="71"/>
        <v>0</v>
      </c>
      <c r="M1550" s="3"/>
      <c r="N1550" s="3">
        <f t="shared" si="72"/>
        <v>0</v>
      </c>
      <c r="R1550" s="89"/>
      <c r="S1550" s="89">
        <f>100%-Table34[[#This Row],[PDF_initial fee]]</f>
        <v>1</v>
      </c>
      <c r="T1550" s="89"/>
      <c r="U1550" s="26"/>
    </row>
    <row r="1551" spans="1:30" hidden="1" x14ac:dyDescent="0.25">
      <c r="A1551">
        <v>433208</v>
      </c>
      <c r="B1551" t="s">
        <v>1881</v>
      </c>
      <c r="C1551" t="s">
        <v>29935</v>
      </c>
      <c r="D1551">
        <v>6</v>
      </c>
      <c r="E1551" t="s">
        <v>1881</v>
      </c>
      <c r="F1551" t="s">
        <v>29936</v>
      </c>
      <c r="G1551" s="3"/>
      <c r="H1551" s="3">
        <v>0</v>
      </c>
      <c r="I1551" s="3">
        <v>0</v>
      </c>
      <c r="J1551" s="3">
        <v>0</v>
      </c>
      <c r="K1551" s="3">
        <v>0</v>
      </c>
      <c r="L1551" s="3">
        <f t="shared" si="71"/>
        <v>0</v>
      </c>
      <c r="M1551" s="3"/>
      <c r="N1551" s="3">
        <f t="shared" si="72"/>
        <v>0</v>
      </c>
      <c r="Q1551">
        <f>P1551*0.02</f>
        <v>0</v>
      </c>
      <c r="R1551" s="89"/>
      <c r="S1551" s="89">
        <f>100%-Table34[[#This Row],[PDF_initial fee]]</f>
        <v>1</v>
      </c>
      <c r="T1551" s="89"/>
      <c r="U1551" s="26"/>
    </row>
    <row r="1552" spans="1:30" hidden="1" x14ac:dyDescent="0.25">
      <c r="A1552">
        <v>433288</v>
      </c>
      <c r="B1552" t="s">
        <v>1882</v>
      </c>
      <c r="C1552" t="s">
        <v>29937</v>
      </c>
      <c r="D1552">
        <v>4</v>
      </c>
      <c r="E1552" t="s">
        <v>1882</v>
      </c>
      <c r="G1552" s="3"/>
      <c r="H1552" s="3">
        <v>0</v>
      </c>
      <c r="I1552" s="3">
        <v>0</v>
      </c>
      <c r="J1552" s="3">
        <v>0</v>
      </c>
      <c r="K1552" s="3">
        <v>0</v>
      </c>
      <c r="L1552" s="3">
        <f t="shared" si="71"/>
        <v>0</v>
      </c>
      <c r="M1552" s="3"/>
      <c r="N1552" s="3">
        <f t="shared" si="72"/>
        <v>0</v>
      </c>
      <c r="R1552" s="89"/>
      <c r="S1552" s="89">
        <f>100%-Table34[[#This Row],[PDF_initial fee]]</f>
        <v>1</v>
      </c>
      <c r="T1552" s="89"/>
      <c r="U1552" s="26"/>
    </row>
    <row r="1553" spans="1:30" hidden="1" x14ac:dyDescent="0.25">
      <c r="A1553">
        <v>433429</v>
      </c>
      <c r="B1553" t="s">
        <v>1883</v>
      </c>
      <c r="C1553" t="s">
        <v>6958</v>
      </c>
      <c r="D1553">
        <v>2</v>
      </c>
      <c r="E1553" t="s">
        <v>1883</v>
      </c>
      <c r="F1553" t="s">
        <v>6958</v>
      </c>
      <c r="G1553" s="3"/>
      <c r="H1553" s="21">
        <v>0</v>
      </c>
      <c r="I1553" s="21">
        <v>0</v>
      </c>
      <c r="J1553" s="21">
        <v>0</v>
      </c>
      <c r="K1553" s="21">
        <v>0</v>
      </c>
      <c r="L1553" s="3">
        <f t="shared" si="71"/>
        <v>0</v>
      </c>
      <c r="M1553" s="3"/>
      <c r="N1553" s="3">
        <f t="shared" si="72"/>
        <v>0</v>
      </c>
      <c r="R1553" s="89"/>
      <c r="S1553" s="89">
        <f>100%-Table34[[#This Row],[PDF_initial fee]]</f>
        <v>1</v>
      </c>
      <c r="T1553" s="89"/>
      <c r="U1553" s="26"/>
    </row>
    <row r="1554" spans="1:30" hidden="1" x14ac:dyDescent="0.25">
      <c r="A1554">
        <v>433591</v>
      </c>
      <c r="B1554" t="s">
        <v>1884</v>
      </c>
      <c r="C1554" t="s">
        <v>29938</v>
      </c>
      <c r="D1554">
        <v>20</v>
      </c>
      <c r="E1554" t="s">
        <v>1884</v>
      </c>
      <c r="G1554" s="3"/>
      <c r="H1554" s="3">
        <v>0</v>
      </c>
      <c r="I1554" s="3">
        <v>0</v>
      </c>
      <c r="J1554" s="3">
        <v>0</v>
      </c>
      <c r="K1554" s="3">
        <v>0</v>
      </c>
      <c r="L1554" s="3">
        <f t="shared" si="71"/>
        <v>0</v>
      </c>
      <c r="M1554" s="3"/>
      <c r="N1554" s="3">
        <f t="shared" si="72"/>
        <v>0</v>
      </c>
      <c r="R1554" s="89"/>
      <c r="S1554" s="89">
        <f>100%-Table34[[#This Row],[PDF_initial fee]]</f>
        <v>1</v>
      </c>
      <c r="T1554" s="89"/>
      <c r="U1554" s="26"/>
    </row>
    <row r="1555" spans="1:30" hidden="1" x14ac:dyDescent="0.25">
      <c r="A1555">
        <v>433784</v>
      </c>
      <c r="B1555" t="s">
        <v>1885</v>
      </c>
      <c r="C1555" t="s">
        <v>8102</v>
      </c>
      <c r="D1555">
        <v>1</v>
      </c>
      <c r="E1555" t="s">
        <v>1885</v>
      </c>
      <c r="G1555" s="3"/>
      <c r="H1555" s="21">
        <v>0</v>
      </c>
      <c r="I1555" s="21">
        <v>0</v>
      </c>
      <c r="J1555" s="21">
        <v>0</v>
      </c>
      <c r="K1555" s="21">
        <v>0</v>
      </c>
      <c r="L1555" s="3">
        <f t="shared" si="71"/>
        <v>0</v>
      </c>
      <c r="M1555" s="3"/>
      <c r="N1555" s="3">
        <f t="shared" si="72"/>
        <v>0</v>
      </c>
      <c r="R1555" s="89"/>
      <c r="S1555" s="89">
        <f>100%-Table34[[#This Row],[PDF_initial fee]]</f>
        <v>1</v>
      </c>
      <c r="T1555" s="89"/>
      <c r="U1555" s="26"/>
    </row>
    <row r="1556" spans="1:30" x14ac:dyDescent="0.25">
      <c r="A1556">
        <v>746535</v>
      </c>
      <c r="B1556" t="s">
        <v>281</v>
      </c>
      <c r="C1556" t="s">
        <v>12425</v>
      </c>
      <c r="D1556">
        <v>1</v>
      </c>
      <c r="E1556" t="s">
        <v>281</v>
      </c>
      <c r="F1556" t="s">
        <v>3</v>
      </c>
      <c r="G1556" s="3">
        <v>1.4E-3</v>
      </c>
      <c r="H1556" s="3"/>
      <c r="I1556" s="3"/>
      <c r="J1556" s="6">
        <v>2.7E-2</v>
      </c>
      <c r="K1556" s="6">
        <v>5.0000000000000001E-3</v>
      </c>
      <c r="L1556" s="3">
        <f t="shared" si="71"/>
        <v>3.2000000000000001E-2</v>
      </c>
      <c r="M1556" s="3"/>
      <c r="N1556" s="3">
        <f t="shared" si="72"/>
        <v>3.3399999999999999E-2</v>
      </c>
      <c r="P1556" s="31" t="s">
        <v>29939</v>
      </c>
      <c r="Q1556" t="s">
        <v>31787</v>
      </c>
      <c r="R1556" s="89">
        <v>0.33333333333333348</v>
      </c>
      <c r="S1556" s="89">
        <f>100%-Table34[[#This Row],[PDF_initial fee]]</f>
        <v>0.97299999999999998</v>
      </c>
      <c r="T1556" s="89">
        <f>(1-Table34[[#This Row],[PDF ongoing fee]])^5</f>
        <v>0.97524875312187509</v>
      </c>
      <c r="U1556" s="26">
        <f>(1+Table34[[#This Row],[Net 5yrs return (mostly up to 28th of Feb 2026)]])*Table34[[#This Row],[Investment after initial charge]]*Table34[[#This Row],[Cummulative 5yrs ongoing advice charge]]-1</f>
        <v>0.26522271571677947</v>
      </c>
      <c r="V1556">
        <f>36975+2900</f>
        <v>39875</v>
      </c>
      <c r="W1556" t="s">
        <v>29051</v>
      </c>
      <c r="X1556" s="9">
        <v>36626</v>
      </c>
      <c r="Y1556" s="30">
        <f>X1556/V1556</f>
        <v>0.9185203761755486</v>
      </c>
      <c r="AA1556" s="1" t="s">
        <v>29940</v>
      </c>
      <c r="AD1556" t="s">
        <v>29939</v>
      </c>
    </row>
    <row r="1557" spans="1:30" hidden="1" x14ac:dyDescent="0.25">
      <c r="A1557">
        <v>434317</v>
      </c>
      <c r="B1557" t="s">
        <v>1886</v>
      </c>
      <c r="C1557" t="s">
        <v>8677</v>
      </c>
      <c r="D1557">
        <v>2</v>
      </c>
      <c r="E1557" t="s">
        <v>1886</v>
      </c>
      <c r="G1557" s="3"/>
      <c r="H1557" s="21">
        <v>0</v>
      </c>
      <c r="I1557" s="21">
        <v>0</v>
      </c>
      <c r="J1557" s="21">
        <v>0</v>
      </c>
      <c r="K1557" s="21">
        <v>0</v>
      </c>
      <c r="L1557" s="3">
        <f t="shared" si="71"/>
        <v>0</v>
      </c>
      <c r="M1557" s="3"/>
      <c r="N1557" s="3">
        <f t="shared" si="72"/>
        <v>0</v>
      </c>
      <c r="R1557" s="89"/>
      <c r="S1557" s="89">
        <f>100%-Table34[[#This Row],[PDF_initial fee]]</f>
        <v>1</v>
      </c>
      <c r="T1557" s="89"/>
      <c r="U1557" s="26"/>
    </row>
    <row r="1558" spans="1:30" x14ac:dyDescent="0.25">
      <c r="A1558">
        <v>189461</v>
      </c>
      <c r="B1558" t="s">
        <v>93</v>
      </c>
      <c r="C1558" t="s">
        <v>29941</v>
      </c>
      <c r="D1558">
        <v>3</v>
      </c>
      <c r="E1558" t="s">
        <v>93</v>
      </c>
      <c r="F1558" t="s">
        <v>3</v>
      </c>
      <c r="G1558" s="3">
        <v>1.4E-3</v>
      </c>
      <c r="H1558" s="3">
        <v>0.01</v>
      </c>
      <c r="I1558" s="3">
        <v>0.01</v>
      </c>
      <c r="J1558" s="6">
        <v>0</v>
      </c>
      <c r="K1558" s="6">
        <v>0</v>
      </c>
      <c r="L1558" s="3">
        <f t="shared" si="71"/>
        <v>0.02</v>
      </c>
      <c r="M1558" s="3"/>
      <c r="N1558" s="3">
        <f t="shared" si="72"/>
        <v>2.1399999999999999E-2</v>
      </c>
      <c r="P1558" s="1" t="s">
        <v>29942</v>
      </c>
      <c r="Q1558" t="s">
        <v>31787</v>
      </c>
      <c r="R1558" s="89">
        <v>0.33333333333333348</v>
      </c>
      <c r="S1558" s="89">
        <f>100%-Table34[[#This Row],[InitialFee]]</f>
        <v>0.99</v>
      </c>
      <c r="T1558" s="89">
        <f>(1-Table34[[#This Row],[OngoingFee (plus Platform fee)]])^5</f>
        <v>0.95099004989999991</v>
      </c>
      <c r="U1558" s="26">
        <f>(1+Table34[[#This Row],[Net 5yrs return (mostly up to 28th of Feb 2026)]])*Table34[[#This Row],[Investment after initial charge]]*Table34[[#This Row],[Cummulative 5yrs ongoing advice charge]]-1</f>
        <v>0.255306865868</v>
      </c>
      <c r="V1558" s="10">
        <f>284423+18142</f>
        <v>302565</v>
      </c>
      <c r="W1558" t="s">
        <v>29051</v>
      </c>
      <c r="X1558" s="10">
        <v>135038</v>
      </c>
      <c r="Y1558" s="30">
        <f>X1558/V1558</f>
        <v>0.44631071009535139</v>
      </c>
      <c r="AA1558" s="1" t="s">
        <v>29943</v>
      </c>
    </row>
    <row r="1559" spans="1:30" hidden="1" x14ac:dyDescent="0.25">
      <c r="A1559">
        <v>434722</v>
      </c>
      <c r="B1559" t="s">
        <v>1888</v>
      </c>
      <c r="C1559" t="s">
        <v>9215</v>
      </c>
      <c r="D1559">
        <v>1</v>
      </c>
      <c r="E1559" t="s">
        <v>1888</v>
      </c>
      <c r="G1559" s="3"/>
      <c r="H1559" s="21">
        <v>0</v>
      </c>
      <c r="I1559" s="21">
        <v>0</v>
      </c>
      <c r="J1559" s="21">
        <v>0</v>
      </c>
      <c r="K1559" s="21">
        <v>0</v>
      </c>
      <c r="L1559" s="3">
        <f t="shared" si="71"/>
        <v>0</v>
      </c>
      <c r="M1559" s="3"/>
      <c r="N1559" s="3">
        <f t="shared" si="72"/>
        <v>0</v>
      </c>
      <c r="R1559" s="89"/>
      <c r="S1559" s="89">
        <f>100%-Table34[[#This Row],[PDF_initial fee]]</f>
        <v>1</v>
      </c>
      <c r="T1559" s="89"/>
      <c r="U1559" s="26"/>
    </row>
    <row r="1560" spans="1:30" hidden="1" x14ac:dyDescent="0.25">
      <c r="A1560">
        <v>434724</v>
      </c>
      <c r="B1560" t="s">
        <v>1889</v>
      </c>
      <c r="C1560" t="s">
        <v>8798</v>
      </c>
      <c r="D1560">
        <v>2</v>
      </c>
      <c r="E1560" t="s">
        <v>1889</v>
      </c>
      <c r="G1560" s="3"/>
      <c r="H1560" s="21">
        <v>0</v>
      </c>
      <c r="I1560" s="21">
        <v>0</v>
      </c>
      <c r="J1560" s="21">
        <v>0</v>
      </c>
      <c r="K1560" s="21">
        <v>0</v>
      </c>
      <c r="L1560" s="3">
        <f t="shared" si="71"/>
        <v>0</v>
      </c>
      <c r="M1560" s="3"/>
      <c r="N1560" s="3">
        <f t="shared" si="72"/>
        <v>0</v>
      </c>
      <c r="R1560" s="89"/>
      <c r="S1560" s="89">
        <f>100%-Table34[[#This Row],[PDF_initial fee]]</f>
        <v>1</v>
      </c>
      <c r="T1560" s="89"/>
      <c r="U1560" s="26"/>
    </row>
    <row r="1561" spans="1:30" hidden="1" x14ac:dyDescent="0.25">
      <c r="A1561">
        <v>434743</v>
      </c>
      <c r="B1561" t="s">
        <v>1891</v>
      </c>
      <c r="C1561" t="s">
        <v>10880</v>
      </c>
      <c r="D1561">
        <v>1</v>
      </c>
      <c r="E1561" t="s">
        <v>1891</v>
      </c>
      <c r="G1561" s="3"/>
      <c r="H1561" s="21">
        <v>0</v>
      </c>
      <c r="I1561" s="21">
        <v>0</v>
      </c>
      <c r="J1561" s="21">
        <v>0</v>
      </c>
      <c r="K1561" s="21">
        <v>0</v>
      </c>
      <c r="L1561" s="3">
        <f t="shared" si="71"/>
        <v>0</v>
      </c>
      <c r="M1561" s="3"/>
      <c r="N1561" s="3">
        <f t="shared" si="72"/>
        <v>0</v>
      </c>
      <c r="R1561" s="89"/>
      <c r="S1561" s="89">
        <f>100%-Table34[[#This Row],[PDF_initial fee]]</f>
        <v>1</v>
      </c>
      <c r="T1561" s="89"/>
      <c r="U1561" s="26"/>
    </row>
    <row r="1562" spans="1:30" x14ac:dyDescent="0.25">
      <c r="A1562">
        <v>300635</v>
      </c>
      <c r="B1562" t="s">
        <v>139</v>
      </c>
      <c r="C1562" s="1" t="s">
        <v>12483</v>
      </c>
      <c r="D1562">
        <v>6</v>
      </c>
      <c r="E1562" t="s">
        <v>139</v>
      </c>
      <c r="F1562" t="s">
        <v>3</v>
      </c>
      <c r="G1562" s="3">
        <v>1.4E-3</v>
      </c>
      <c r="H1562" s="3">
        <v>2.5000000000000001E-2</v>
      </c>
      <c r="I1562" s="3">
        <v>5.0000000000000001E-3</v>
      </c>
      <c r="J1562" s="6"/>
      <c r="K1562" s="6"/>
      <c r="L1562" s="3">
        <f t="shared" si="71"/>
        <v>3.0000000000000002E-2</v>
      </c>
      <c r="M1562" s="3"/>
      <c r="N1562" s="3">
        <f t="shared" si="72"/>
        <v>3.1400000000000004E-2</v>
      </c>
      <c r="P1562" s="1" t="s">
        <v>29944</v>
      </c>
      <c r="Q1562" t="s">
        <v>31787</v>
      </c>
      <c r="R1562" s="89">
        <v>0.33333333333333348</v>
      </c>
      <c r="S1562" s="89">
        <f>100%-Table34[[#This Row],[InitialFee]]</f>
        <v>0.97499999999999998</v>
      </c>
      <c r="T1562" s="89">
        <f>(1-Table34[[#This Row],[OngoingFee (plus Platform fee)]])^5</f>
        <v>0.97524875312187509</v>
      </c>
      <c r="U1562" s="26">
        <f>(1+Table34[[#This Row],[Net 5yrs return (mostly up to 28th of Feb 2026)]])*Table34[[#This Row],[Investment after initial charge]]*Table34[[#This Row],[Cummulative 5yrs ongoing advice charge]]-1</f>
        <v>0.26782337905843767</v>
      </c>
      <c r="V1562" s="10">
        <f>8996+5683205</f>
        <v>5692201</v>
      </c>
      <c r="W1562" t="s">
        <v>29051</v>
      </c>
      <c r="X1562" s="10">
        <v>5131043</v>
      </c>
      <c r="Y1562" s="30">
        <f>X1562/V1562</f>
        <v>0.90141634141169646</v>
      </c>
      <c r="AA1562" s="1" t="s">
        <v>29945</v>
      </c>
    </row>
    <row r="1563" spans="1:30" hidden="1" x14ac:dyDescent="0.25">
      <c r="A1563">
        <v>434931</v>
      </c>
      <c r="B1563" t="s">
        <v>1892</v>
      </c>
      <c r="C1563" t="s">
        <v>10631</v>
      </c>
      <c r="D1563">
        <v>19</v>
      </c>
      <c r="E1563" t="s">
        <v>1892</v>
      </c>
      <c r="G1563" s="3"/>
      <c r="L1563" s="3">
        <f t="shared" si="71"/>
        <v>0</v>
      </c>
      <c r="M1563" s="3"/>
      <c r="N1563" s="3">
        <f t="shared" si="72"/>
        <v>0</v>
      </c>
      <c r="R1563" s="89"/>
      <c r="S1563" s="89">
        <f>100%-Table34[[#This Row],[PDF_initial fee]]</f>
        <v>1</v>
      </c>
      <c r="T1563" s="89"/>
      <c r="U1563" s="26"/>
    </row>
    <row r="1564" spans="1:30" hidden="1" x14ac:dyDescent="0.25">
      <c r="A1564">
        <v>435135</v>
      </c>
      <c r="B1564" t="s">
        <v>1893</v>
      </c>
      <c r="C1564" t="s">
        <v>7001</v>
      </c>
      <c r="D1564">
        <v>3</v>
      </c>
      <c r="E1564" t="s">
        <v>1893</v>
      </c>
      <c r="G1564" s="3"/>
      <c r="H1564" s="21">
        <v>0</v>
      </c>
      <c r="I1564" s="21">
        <v>0</v>
      </c>
      <c r="J1564" s="21">
        <v>0</v>
      </c>
      <c r="K1564" s="21">
        <v>0</v>
      </c>
      <c r="L1564" s="3">
        <f t="shared" si="71"/>
        <v>0</v>
      </c>
      <c r="M1564" s="3"/>
      <c r="N1564" s="3">
        <f t="shared" si="72"/>
        <v>0</v>
      </c>
      <c r="R1564" s="89"/>
      <c r="S1564" s="89">
        <f>100%-Table34[[#This Row],[PDF_initial fee]]</f>
        <v>1</v>
      </c>
      <c r="T1564" s="89"/>
      <c r="U1564" s="26"/>
    </row>
    <row r="1565" spans="1:30" hidden="1" x14ac:dyDescent="0.25">
      <c r="A1565">
        <v>435190</v>
      </c>
      <c r="B1565" t="s">
        <v>1894</v>
      </c>
      <c r="C1565" t="s">
        <v>12572</v>
      </c>
      <c r="D1565">
        <v>4</v>
      </c>
      <c r="E1565" t="s">
        <v>1894</v>
      </c>
      <c r="G1565" s="3"/>
      <c r="L1565" s="3">
        <f t="shared" si="71"/>
        <v>0</v>
      </c>
      <c r="M1565" s="3"/>
      <c r="N1565" s="3">
        <f t="shared" si="72"/>
        <v>0</v>
      </c>
      <c r="R1565" s="89"/>
      <c r="S1565" s="89">
        <f>100%-Table34[[#This Row],[PDF_initial fee]]</f>
        <v>1</v>
      </c>
      <c r="T1565" s="89"/>
      <c r="U1565" s="26"/>
    </row>
    <row r="1566" spans="1:30" hidden="1" x14ac:dyDescent="0.25">
      <c r="A1566">
        <v>435238</v>
      </c>
      <c r="B1566" t="s">
        <v>1895</v>
      </c>
      <c r="C1566" t="s">
        <v>11180</v>
      </c>
      <c r="D1566">
        <v>2</v>
      </c>
      <c r="E1566" t="s">
        <v>1895</v>
      </c>
      <c r="G1566" s="3"/>
      <c r="H1566" s="21">
        <v>0</v>
      </c>
      <c r="I1566" s="21">
        <v>0</v>
      </c>
      <c r="J1566" s="21">
        <v>0</v>
      </c>
      <c r="K1566" s="21">
        <v>0</v>
      </c>
      <c r="L1566" s="3">
        <f t="shared" si="71"/>
        <v>0</v>
      </c>
      <c r="M1566" s="3"/>
      <c r="N1566" s="3">
        <f t="shared" si="72"/>
        <v>0</v>
      </c>
      <c r="R1566" s="89"/>
      <c r="S1566" s="89">
        <f>100%-Table34[[#This Row],[PDF_initial fee]]</f>
        <v>1</v>
      </c>
      <c r="T1566" s="89"/>
      <c r="U1566" s="26"/>
    </row>
    <row r="1567" spans="1:30" hidden="1" x14ac:dyDescent="0.25">
      <c r="A1567">
        <v>435492</v>
      </c>
      <c r="B1567" t="s">
        <v>1897</v>
      </c>
      <c r="C1567" t="s">
        <v>12005</v>
      </c>
      <c r="D1567">
        <v>3</v>
      </c>
      <c r="E1567" t="s">
        <v>1897</v>
      </c>
      <c r="G1567" s="3"/>
      <c r="H1567" s="21">
        <v>0</v>
      </c>
      <c r="I1567" s="21">
        <v>0</v>
      </c>
      <c r="J1567" s="21">
        <v>0</v>
      </c>
      <c r="K1567" s="21">
        <v>0</v>
      </c>
      <c r="L1567" s="3">
        <f t="shared" si="71"/>
        <v>0</v>
      </c>
      <c r="M1567" s="3"/>
      <c r="N1567" s="3">
        <f t="shared" si="72"/>
        <v>0</v>
      </c>
      <c r="R1567" s="89"/>
      <c r="S1567" s="89">
        <f>100%-Table34[[#This Row],[PDF_initial fee]]</f>
        <v>1</v>
      </c>
      <c r="T1567" s="89"/>
      <c r="U1567" s="26"/>
    </row>
    <row r="1568" spans="1:30" hidden="1" x14ac:dyDescent="0.25">
      <c r="A1568">
        <v>435878</v>
      </c>
      <c r="B1568" t="s">
        <v>1899</v>
      </c>
      <c r="C1568" t="s">
        <v>10174</v>
      </c>
      <c r="D1568">
        <v>3</v>
      </c>
      <c r="E1568" t="s">
        <v>1899</v>
      </c>
      <c r="G1568" s="3"/>
      <c r="L1568" s="3">
        <f t="shared" si="71"/>
        <v>0</v>
      </c>
      <c r="M1568" s="3"/>
      <c r="N1568" s="3">
        <f t="shared" si="72"/>
        <v>0</v>
      </c>
      <c r="R1568" s="89"/>
      <c r="S1568" s="89">
        <f>100%-Table34[[#This Row],[PDF_initial fee]]</f>
        <v>1</v>
      </c>
      <c r="T1568" s="89"/>
      <c r="U1568" s="26"/>
    </row>
    <row r="1569" spans="1:30" hidden="1" x14ac:dyDescent="0.25">
      <c r="A1569">
        <v>435939</v>
      </c>
      <c r="B1569" t="s">
        <v>1900</v>
      </c>
      <c r="C1569" t="s">
        <v>7843</v>
      </c>
      <c r="D1569">
        <v>2</v>
      </c>
      <c r="E1569" t="s">
        <v>1900</v>
      </c>
      <c r="G1569" s="3"/>
      <c r="H1569" s="21">
        <v>0</v>
      </c>
      <c r="I1569" s="21">
        <v>0</v>
      </c>
      <c r="J1569" s="21">
        <v>0</v>
      </c>
      <c r="K1569" s="21">
        <v>0</v>
      </c>
      <c r="L1569" s="3">
        <f t="shared" si="71"/>
        <v>0</v>
      </c>
      <c r="M1569" s="3"/>
      <c r="N1569" s="3">
        <f t="shared" si="72"/>
        <v>0</v>
      </c>
      <c r="R1569" s="89"/>
      <c r="S1569" s="89">
        <f>100%-Table34[[#This Row],[PDF_initial fee]]</f>
        <v>1</v>
      </c>
      <c r="T1569" s="89"/>
      <c r="U1569" s="26"/>
    </row>
    <row r="1570" spans="1:30" x14ac:dyDescent="0.25">
      <c r="A1570">
        <v>577482</v>
      </c>
      <c r="B1570" t="s">
        <v>230</v>
      </c>
      <c r="C1570" t="s">
        <v>12603</v>
      </c>
      <c r="D1570">
        <v>7</v>
      </c>
      <c r="E1570" t="s">
        <v>230</v>
      </c>
      <c r="F1570" t="s">
        <v>3</v>
      </c>
      <c r="G1570" s="3">
        <v>1.4E-3</v>
      </c>
      <c r="H1570" s="3"/>
      <c r="I1570" s="3"/>
      <c r="J1570" s="6">
        <v>0.02</v>
      </c>
      <c r="K1570" s="6">
        <v>0.02</v>
      </c>
      <c r="L1570" s="3">
        <f t="shared" si="71"/>
        <v>0.04</v>
      </c>
      <c r="M1570" s="3"/>
      <c r="N1570" s="3">
        <f t="shared" si="72"/>
        <v>4.1399999999999999E-2</v>
      </c>
      <c r="O1570" t="s">
        <v>29946</v>
      </c>
      <c r="P1570" s="31" t="s">
        <v>29946</v>
      </c>
      <c r="Q1570" t="s">
        <v>31787</v>
      </c>
      <c r="R1570" s="89">
        <v>0.33333333333333348</v>
      </c>
      <c r="S1570" s="89">
        <f>100%-Table34[[#This Row],[PDF_initial fee]]</f>
        <v>0.98</v>
      </c>
      <c r="T1570" s="89">
        <f>(1-Table34[[#This Row],[PDF ongoing fee]])^5</f>
        <v>0.90392079679999982</v>
      </c>
      <c r="U1570" s="26">
        <f>(1+Table34[[#This Row],[Net 5yrs return (mostly up to 28th of Feb 2026)]])*Table34[[#This Row],[Investment after initial charge]]*Table34[[#This Row],[Cummulative 5yrs ongoing advice charge]]-1</f>
        <v>0.18112317448533322</v>
      </c>
      <c r="V1570" s="10">
        <f>169163+10725</f>
        <v>179888</v>
      </c>
      <c r="W1570" t="s">
        <v>29051</v>
      </c>
      <c r="X1570" s="9">
        <v>-207280</v>
      </c>
      <c r="Y1570" s="30">
        <f>X1570/V1570</f>
        <v>-1.1522725251267456</v>
      </c>
      <c r="AA1570" s="1" t="s">
        <v>29947</v>
      </c>
      <c r="AD1570" t="s">
        <v>29948</v>
      </c>
    </row>
    <row r="1571" spans="1:30" hidden="1" x14ac:dyDescent="0.25">
      <c r="A1571">
        <v>436040</v>
      </c>
      <c r="B1571" t="s">
        <v>1901</v>
      </c>
      <c r="C1571" t="s">
        <v>10218</v>
      </c>
      <c r="D1571">
        <v>6</v>
      </c>
      <c r="E1571" t="s">
        <v>1901</v>
      </c>
      <c r="G1571" s="3"/>
      <c r="H1571" s="21">
        <v>0</v>
      </c>
      <c r="I1571" s="21">
        <v>0</v>
      </c>
      <c r="J1571" s="21">
        <v>0</v>
      </c>
      <c r="K1571" s="21">
        <v>0</v>
      </c>
      <c r="L1571" s="3">
        <f t="shared" si="71"/>
        <v>0</v>
      </c>
      <c r="M1571" s="3"/>
      <c r="N1571" s="3">
        <f t="shared" si="72"/>
        <v>0</v>
      </c>
      <c r="R1571" s="89"/>
      <c r="S1571" s="89">
        <f>100%-Table34[[#This Row],[PDF_initial fee]]</f>
        <v>1</v>
      </c>
      <c r="T1571" s="89"/>
      <c r="U1571" s="26"/>
    </row>
    <row r="1572" spans="1:30" hidden="1" x14ac:dyDescent="0.25">
      <c r="A1572">
        <v>436063</v>
      </c>
      <c r="B1572" t="s">
        <v>1902</v>
      </c>
      <c r="C1572" t="s">
        <v>6958</v>
      </c>
      <c r="D1572">
        <v>2</v>
      </c>
      <c r="E1572" t="s">
        <v>1902</v>
      </c>
      <c r="F1572" t="s">
        <v>6958</v>
      </c>
      <c r="G1572" s="3"/>
      <c r="H1572" s="21">
        <v>0</v>
      </c>
      <c r="I1572" s="21">
        <v>0</v>
      </c>
      <c r="J1572" s="21">
        <v>0</v>
      </c>
      <c r="K1572" s="21">
        <v>0</v>
      </c>
      <c r="L1572" s="3">
        <f t="shared" si="71"/>
        <v>0</v>
      </c>
      <c r="M1572" s="3"/>
      <c r="N1572" s="3">
        <f t="shared" si="72"/>
        <v>0</v>
      </c>
      <c r="R1572" s="89"/>
      <c r="S1572" s="89">
        <f>100%-Table34[[#This Row],[PDF_initial fee]]</f>
        <v>1</v>
      </c>
      <c r="T1572" s="89"/>
      <c r="U1572" s="26"/>
    </row>
    <row r="1573" spans="1:30" hidden="1" x14ac:dyDescent="0.25">
      <c r="A1573">
        <v>436189</v>
      </c>
      <c r="B1573" t="s">
        <v>1903</v>
      </c>
      <c r="C1573" t="s">
        <v>6958</v>
      </c>
      <c r="D1573">
        <v>0</v>
      </c>
      <c r="E1573" t="s">
        <v>1903</v>
      </c>
      <c r="F1573" t="s">
        <v>6958</v>
      </c>
      <c r="G1573" s="3"/>
      <c r="H1573" s="21">
        <v>0</v>
      </c>
      <c r="I1573" s="21">
        <v>0</v>
      </c>
      <c r="J1573" s="21">
        <v>0</v>
      </c>
      <c r="K1573" s="21">
        <v>0</v>
      </c>
      <c r="L1573" s="3">
        <f t="shared" si="71"/>
        <v>0</v>
      </c>
      <c r="M1573" s="3"/>
      <c r="N1573" s="3">
        <f t="shared" si="72"/>
        <v>0</v>
      </c>
      <c r="R1573" s="89"/>
      <c r="S1573" s="89">
        <f>100%-Table34[[#This Row],[PDF_initial fee]]</f>
        <v>1</v>
      </c>
      <c r="T1573" s="89"/>
      <c r="U1573" s="26"/>
    </row>
    <row r="1574" spans="1:30" hidden="1" x14ac:dyDescent="0.25">
      <c r="A1574">
        <v>436239</v>
      </c>
      <c r="B1574" t="s">
        <v>1904</v>
      </c>
      <c r="C1574" t="s">
        <v>9543</v>
      </c>
      <c r="D1574">
        <v>1</v>
      </c>
      <c r="E1574" t="s">
        <v>1904</v>
      </c>
      <c r="G1574" s="3"/>
      <c r="H1574" s="21">
        <v>0</v>
      </c>
      <c r="I1574" s="21">
        <v>0</v>
      </c>
      <c r="J1574" s="21">
        <v>0</v>
      </c>
      <c r="K1574" s="21">
        <v>0</v>
      </c>
      <c r="L1574" s="3">
        <f t="shared" si="71"/>
        <v>0</v>
      </c>
      <c r="M1574" s="3"/>
      <c r="N1574" s="3">
        <f t="shared" si="72"/>
        <v>0</v>
      </c>
      <c r="R1574" s="89"/>
      <c r="S1574" s="89">
        <f>100%-Table34[[#This Row],[PDF_initial fee]]</f>
        <v>1</v>
      </c>
      <c r="T1574" s="89"/>
      <c r="U1574" s="26"/>
    </row>
    <row r="1575" spans="1:30" hidden="1" x14ac:dyDescent="0.25">
      <c r="A1575">
        <v>436263</v>
      </c>
      <c r="B1575" t="s">
        <v>1905</v>
      </c>
      <c r="C1575" t="s">
        <v>6958</v>
      </c>
      <c r="D1575">
        <v>1</v>
      </c>
      <c r="E1575" t="s">
        <v>1905</v>
      </c>
      <c r="F1575" t="s">
        <v>6958</v>
      </c>
      <c r="G1575" s="3"/>
      <c r="H1575" s="21">
        <v>0</v>
      </c>
      <c r="I1575" s="21">
        <v>0</v>
      </c>
      <c r="J1575" s="21">
        <v>0</v>
      </c>
      <c r="K1575" s="21">
        <v>0</v>
      </c>
      <c r="L1575" s="3">
        <f t="shared" si="71"/>
        <v>0</v>
      </c>
      <c r="M1575" s="3"/>
      <c r="N1575" s="3">
        <f t="shared" si="72"/>
        <v>0</v>
      </c>
      <c r="O1575" s="21"/>
      <c r="R1575" s="89"/>
      <c r="S1575" s="89">
        <f>100%-Table34[[#This Row],[PDF_initial fee]]</f>
        <v>1</v>
      </c>
      <c r="T1575" s="89"/>
      <c r="U1575" s="26"/>
    </row>
    <row r="1576" spans="1:30" hidden="1" x14ac:dyDescent="0.25">
      <c r="A1576">
        <v>436295</v>
      </c>
      <c r="B1576" t="s">
        <v>1906</v>
      </c>
      <c r="C1576" t="s">
        <v>6958</v>
      </c>
      <c r="D1576">
        <v>2</v>
      </c>
      <c r="E1576" t="s">
        <v>1906</v>
      </c>
      <c r="F1576" t="s">
        <v>6958</v>
      </c>
      <c r="G1576" s="3"/>
      <c r="H1576" s="21">
        <v>0</v>
      </c>
      <c r="I1576" s="21">
        <v>0</v>
      </c>
      <c r="J1576" s="21">
        <v>0</v>
      </c>
      <c r="K1576" s="21">
        <v>0</v>
      </c>
      <c r="L1576" s="3">
        <f t="shared" si="71"/>
        <v>0</v>
      </c>
      <c r="M1576" s="3"/>
      <c r="N1576" s="3">
        <f t="shared" si="72"/>
        <v>0</v>
      </c>
      <c r="R1576" s="89"/>
      <c r="S1576" s="89">
        <f>100%-Table34[[#This Row],[PDF_initial fee]]</f>
        <v>1</v>
      </c>
      <c r="T1576" s="89"/>
      <c r="U1576" s="26"/>
    </row>
    <row r="1577" spans="1:30" hidden="1" x14ac:dyDescent="0.25">
      <c r="A1577">
        <v>436338</v>
      </c>
      <c r="B1577" t="s">
        <v>1907</v>
      </c>
      <c r="C1577" t="s">
        <v>8569</v>
      </c>
      <c r="D1577">
        <v>3</v>
      </c>
      <c r="E1577" t="s">
        <v>1907</v>
      </c>
      <c r="G1577" s="3"/>
      <c r="L1577" s="3">
        <f t="shared" si="71"/>
        <v>0</v>
      </c>
      <c r="M1577" s="3"/>
      <c r="N1577" s="3">
        <f t="shared" si="72"/>
        <v>0</v>
      </c>
      <c r="R1577" s="89"/>
      <c r="S1577" s="89">
        <f>100%-Table34[[#This Row],[PDF_initial fee]]</f>
        <v>1</v>
      </c>
      <c r="T1577" s="89"/>
      <c r="U1577" s="26"/>
    </row>
    <row r="1578" spans="1:30" hidden="1" x14ac:dyDescent="0.25">
      <c r="A1578">
        <v>436452</v>
      </c>
      <c r="B1578" t="s">
        <v>1908</v>
      </c>
      <c r="C1578" t="s">
        <v>29949</v>
      </c>
      <c r="D1578">
        <v>2</v>
      </c>
      <c r="E1578" t="s">
        <v>1908</v>
      </c>
      <c r="G1578" s="3"/>
      <c r="H1578" s="21">
        <v>0</v>
      </c>
      <c r="I1578" s="21">
        <v>0</v>
      </c>
      <c r="J1578" s="21">
        <v>0</v>
      </c>
      <c r="K1578" s="21">
        <v>0</v>
      </c>
      <c r="L1578" s="3">
        <f t="shared" si="71"/>
        <v>0</v>
      </c>
      <c r="M1578" s="3"/>
      <c r="N1578" s="3">
        <f t="shared" si="72"/>
        <v>0</v>
      </c>
      <c r="O1578" s="21"/>
      <c r="R1578" s="89"/>
      <c r="S1578" s="89">
        <f>100%-Table34[[#This Row],[PDF_initial fee]]</f>
        <v>1</v>
      </c>
      <c r="T1578" s="89"/>
      <c r="U1578" s="26"/>
    </row>
    <row r="1579" spans="1:30" hidden="1" x14ac:dyDescent="0.25">
      <c r="A1579">
        <v>436500</v>
      </c>
      <c r="B1579" t="s">
        <v>1909</v>
      </c>
      <c r="C1579" t="s">
        <v>6958</v>
      </c>
      <c r="D1579">
        <v>1</v>
      </c>
      <c r="E1579" t="s">
        <v>1909</v>
      </c>
      <c r="F1579" t="s">
        <v>6958</v>
      </c>
      <c r="G1579" s="3"/>
      <c r="H1579" s="21">
        <v>0</v>
      </c>
      <c r="I1579" s="21">
        <v>0</v>
      </c>
      <c r="J1579" s="21">
        <v>0</v>
      </c>
      <c r="K1579" s="21">
        <v>0</v>
      </c>
      <c r="L1579" s="3">
        <f t="shared" si="71"/>
        <v>0</v>
      </c>
      <c r="M1579" s="3"/>
      <c r="N1579" s="3">
        <f t="shared" si="72"/>
        <v>0</v>
      </c>
      <c r="R1579" s="89"/>
      <c r="S1579" s="89">
        <f>100%-Table34[[#This Row],[PDF_initial fee]]</f>
        <v>1</v>
      </c>
      <c r="T1579" s="89"/>
      <c r="U1579" s="26"/>
    </row>
    <row r="1580" spans="1:30" hidden="1" x14ac:dyDescent="0.25">
      <c r="A1580">
        <v>436797</v>
      </c>
      <c r="B1580" t="s">
        <v>1910</v>
      </c>
      <c r="C1580" t="s">
        <v>29950</v>
      </c>
      <c r="D1580">
        <v>11</v>
      </c>
      <c r="E1580" t="s">
        <v>1910</v>
      </c>
      <c r="G1580" s="3"/>
      <c r="H1580" s="21">
        <v>0</v>
      </c>
      <c r="I1580" s="21">
        <v>0</v>
      </c>
      <c r="J1580" s="21">
        <v>0</v>
      </c>
      <c r="K1580" s="21">
        <v>0</v>
      </c>
      <c r="L1580" s="3">
        <f t="shared" si="71"/>
        <v>0</v>
      </c>
      <c r="M1580" s="3"/>
      <c r="N1580" s="3">
        <f t="shared" si="72"/>
        <v>0</v>
      </c>
      <c r="O1580" s="21"/>
      <c r="R1580" s="89"/>
      <c r="S1580" s="89">
        <f>100%-Table34[[#This Row],[PDF_initial fee]]</f>
        <v>1</v>
      </c>
      <c r="T1580" s="89"/>
      <c r="U1580" s="26"/>
    </row>
    <row r="1581" spans="1:30" hidden="1" x14ac:dyDescent="0.25">
      <c r="A1581">
        <v>436840</v>
      </c>
      <c r="B1581" t="s">
        <v>1911</v>
      </c>
      <c r="C1581" t="s">
        <v>6958</v>
      </c>
      <c r="D1581">
        <v>1</v>
      </c>
      <c r="E1581" t="s">
        <v>1911</v>
      </c>
      <c r="F1581" t="s">
        <v>6958</v>
      </c>
      <c r="G1581" s="3"/>
      <c r="H1581" s="21">
        <v>0</v>
      </c>
      <c r="I1581" s="21">
        <v>0</v>
      </c>
      <c r="J1581" s="21">
        <v>0</v>
      </c>
      <c r="K1581" s="21">
        <v>0</v>
      </c>
      <c r="L1581" s="3">
        <f t="shared" si="71"/>
        <v>0</v>
      </c>
      <c r="M1581" s="3"/>
      <c r="N1581" s="3">
        <f t="shared" si="72"/>
        <v>0</v>
      </c>
      <c r="R1581" s="89"/>
      <c r="S1581" s="89">
        <f>100%-Table34[[#This Row],[PDF_initial fee]]</f>
        <v>1</v>
      </c>
      <c r="T1581" s="89"/>
      <c r="U1581" s="26"/>
    </row>
    <row r="1582" spans="1:30" hidden="1" x14ac:dyDescent="0.25">
      <c r="A1582">
        <v>436910</v>
      </c>
      <c r="B1582" t="s">
        <v>1912</v>
      </c>
      <c r="C1582" t="s">
        <v>10010</v>
      </c>
      <c r="D1582">
        <v>1</v>
      </c>
      <c r="E1582" t="s">
        <v>1912</v>
      </c>
      <c r="G1582" s="3"/>
      <c r="H1582" s="21">
        <v>0</v>
      </c>
      <c r="I1582" s="21">
        <v>0</v>
      </c>
      <c r="J1582" s="21">
        <v>0</v>
      </c>
      <c r="K1582" s="21">
        <v>0</v>
      </c>
      <c r="L1582" s="3">
        <f t="shared" si="71"/>
        <v>0</v>
      </c>
      <c r="M1582" s="3"/>
      <c r="N1582" s="3">
        <f t="shared" si="72"/>
        <v>0</v>
      </c>
      <c r="R1582" s="89"/>
      <c r="S1582" s="89">
        <f>100%-Table34[[#This Row],[PDF_initial fee]]</f>
        <v>1</v>
      </c>
      <c r="T1582" s="89"/>
      <c r="U1582" s="26"/>
    </row>
    <row r="1583" spans="1:30" hidden="1" x14ac:dyDescent="0.25">
      <c r="A1583">
        <v>437381</v>
      </c>
      <c r="B1583" t="s">
        <v>1913</v>
      </c>
      <c r="C1583" t="s">
        <v>6958</v>
      </c>
      <c r="D1583">
        <v>1</v>
      </c>
      <c r="E1583" t="s">
        <v>1913</v>
      </c>
      <c r="F1583" t="s">
        <v>6958</v>
      </c>
      <c r="G1583" s="3"/>
      <c r="H1583" s="21">
        <v>0</v>
      </c>
      <c r="I1583" s="21">
        <v>0</v>
      </c>
      <c r="J1583" s="21">
        <v>0</v>
      </c>
      <c r="K1583" s="21">
        <v>0</v>
      </c>
      <c r="L1583" s="3">
        <f t="shared" si="71"/>
        <v>0</v>
      </c>
      <c r="M1583" s="3"/>
      <c r="N1583" s="3">
        <f t="shared" si="72"/>
        <v>0</v>
      </c>
      <c r="R1583" s="89"/>
      <c r="S1583" s="89">
        <f>100%-Table34[[#This Row],[PDF_initial fee]]</f>
        <v>1</v>
      </c>
      <c r="T1583" s="89"/>
      <c r="U1583" s="26"/>
    </row>
    <row r="1584" spans="1:30" hidden="1" x14ac:dyDescent="0.25">
      <c r="A1584">
        <v>437797</v>
      </c>
      <c r="B1584" t="s">
        <v>1915</v>
      </c>
      <c r="C1584" t="s">
        <v>6958</v>
      </c>
      <c r="D1584">
        <v>1</v>
      </c>
      <c r="E1584" t="s">
        <v>1915</v>
      </c>
      <c r="F1584" t="s">
        <v>6958</v>
      </c>
      <c r="G1584" s="3"/>
      <c r="L1584" s="3">
        <f t="shared" si="71"/>
        <v>0</v>
      </c>
      <c r="M1584" s="3"/>
      <c r="N1584" s="3">
        <f t="shared" si="72"/>
        <v>0</v>
      </c>
      <c r="R1584" s="89"/>
      <c r="S1584" s="89">
        <f>100%-Table34[[#This Row],[PDF_initial fee]]</f>
        <v>1</v>
      </c>
      <c r="T1584" s="89"/>
      <c r="U1584" s="26"/>
    </row>
    <row r="1585" spans="1:21" hidden="1" x14ac:dyDescent="0.25">
      <c r="A1585">
        <v>437861</v>
      </c>
      <c r="B1585" t="s">
        <v>1916</v>
      </c>
      <c r="C1585" t="s">
        <v>6958</v>
      </c>
      <c r="D1585">
        <v>1</v>
      </c>
      <c r="E1585" t="s">
        <v>1916</v>
      </c>
      <c r="F1585" t="s">
        <v>6958</v>
      </c>
      <c r="G1585" s="3"/>
      <c r="H1585" s="21">
        <v>0</v>
      </c>
      <c r="I1585" s="21">
        <v>0</v>
      </c>
      <c r="J1585" s="21">
        <v>0</v>
      </c>
      <c r="K1585" s="21">
        <v>0</v>
      </c>
      <c r="L1585" s="3">
        <f t="shared" si="71"/>
        <v>0</v>
      </c>
      <c r="M1585" s="3"/>
      <c r="N1585" s="3">
        <f t="shared" si="72"/>
        <v>0</v>
      </c>
      <c r="R1585" s="89"/>
      <c r="S1585" s="89">
        <f>100%-Table34[[#This Row],[PDF_initial fee]]</f>
        <v>1</v>
      </c>
      <c r="T1585" s="89"/>
      <c r="U1585" s="26"/>
    </row>
    <row r="1586" spans="1:21" hidden="1" x14ac:dyDescent="0.25">
      <c r="A1586">
        <v>437887</v>
      </c>
      <c r="B1586" t="s">
        <v>1917</v>
      </c>
      <c r="C1586" t="s">
        <v>6958</v>
      </c>
      <c r="D1586">
        <v>1</v>
      </c>
      <c r="E1586" t="s">
        <v>1917</v>
      </c>
      <c r="F1586" t="s">
        <v>6958</v>
      </c>
      <c r="G1586" s="3"/>
      <c r="H1586" s="21">
        <v>0</v>
      </c>
      <c r="I1586" s="21">
        <v>0</v>
      </c>
      <c r="J1586" s="21">
        <v>0</v>
      </c>
      <c r="K1586" s="21">
        <v>0</v>
      </c>
      <c r="L1586" s="3">
        <f t="shared" si="71"/>
        <v>0</v>
      </c>
      <c r="M1586" s="3"/>
      <c r="N1586" s="3">
        <f t="shared" si="72"/>
        <v>0</v>
      </c>
      <c r="R1586" s="89"/>
      <c r="S1586" s="89">
        <f>100%-Table34[[#This Row],[PDF_initial fee]]</f>
        <v>1</v>
      </c>
      <c r="T1586" s="89"/>
      <c r="U1586" s="26"/>
    </row>
    <row r="1587" spans="1:21" hidden="1" x14ac:dyDescent="0.25">
      <c r="A1587">
        <v>437923</v>
      </c>
      <c r="B1587" t="s">
        <v>1918</v>
      </c>
      <c r="C1587" t="s">
        <v>6958</v>
      </c>
      <c r="D1587">
        <v>0</v>
      </c>
      <c r="E1587" t="s">
        <v>1918</v>
      </c>
      <c r="F1587" t="s">
        <v>6958</v>
      </c>
      <c r="G1587" s="3"/>
      <c r="L1587" s="3">
        <f t="shared" si="71"/>
        <v>0</v>
      </c>
      <c r="M1587" s="3"/>
      <c r="N1587" s="3">
        <f t="shared" si="72"/>
        <v>0</v>
      </c>
      <c r="R1587" s="89"/>
      <c r="S1587" s="89">
        <f>100%-Table34[[#This Row],[PDF_initial fee]]</f>
        <v>1</v>
      </c>
      <c r="T1587" s="89"/>
      <c r="U1587" s="26"/>
    </row>
    <row r="1588" spans="1:21" hidden="1" x14ac:dyDescent="0.25">
      <c r="A1588">
        <v>437966</v>
      </c>
      <c r="B1588" t="s">
        <v>1919</v>
      </c>
      <c r="C1588" t="s">
        <v>7293</v>
      </c>
      <c r="D1588">
        <v>1</v>
      </c>
      <c r="E1588" t="s">
        <v>1919</v>
      </c>
      <c r="G1588" s="3"/>
      <c r="H1588" s="21">
        <v>0</v>
      </c>
      <c r="I1588" s="21">
        <v>0</v>
      </c>
      <c r="J1588" s="21">
        <v>0</v>
      </c>
      <c r="K1588" s="21">
        <v>0</v>
      </c>
      <c r="L1588" s="3">
        <f t="shared" si="71"/>
        <v>0</v>
      </c>
      <c r="M1588" s="3"/>
      <c r="N1588" s="3">
        <f t="shared" si="72"/>
        <v>0</v>
      </c>
      <c r="R1588" s="89"/>
      <c r="S1588" s="89">
        <f>100%-Table34[[#This Row],[PDF_initial fee]]</f>
        <v>1</v>
      </c>
      <c r="T1588" s="89"/>
      <c r="U1588" s="26"/>
    </row>
    <row r="1589" spans="1:21" hidden="1" x14ac:dyDescent="0.25">
      <c r="A1589">
        <v>438073</v>
      </c>
      <c r="B1589" t="s">
        <v>1920</v>
      </c>
      <c r="C1589" t="s">
        <v>29951</v>
      </c>
      <c r="D1589">
        <v>2</v>
      </c>
      <c r="E1589" t="s">
        <v>1920</v>
      </c>
      <c r="G1589" s="3"/>
      <c r="H1589" s="3">
        <v>0</v>
      </c>
      <c r="I1589" s="3">
        <v>0</v>
      </c>
      <c r="J1589" s="3">
        <v>0</v>
      </c>
      <c r="K1589" s="3">
        <v>0</v>
      </c>
      <c r="L1589" s="3">
        <f t="shared" si="71"/>
        <v>0</v>
      </c>
      <c r="M1589" s="3"/>
      <c r="N1589" s="3">
        <f t="shared" si="72"/>
        <v>0</v>
      </c>
      <c r="R1589" s="89"/>
      <c r="S1589" s="89">
        <f>100%-Table34[[#This Row],[PDF_initial fee]]</f>
        <v>1</v>
      </c>
      <c r="T1589" s="89"/>
      <c r="U1589" s="26"/>
    </row>
    <row r="1590" spans="1:21" hidden="1" x14ac:dyDescent="0.25">
      <c r="A1590">
        <v>438187</v>
      </c>
      <c r="B1590" t="s">
        <v>1921</v>
      </c>
      <c r="C1590" t="s">
        <v>7720</v>
      </c>
      <c r="D1590">
        <v>4</v>
      </c>
      <c r="E1590" t="s">
        <v>1921</v>
      </c>
      <c r="G1590" s="3"/>
      <c r="L1590" s="3">
        <f t="shared" si="71"/>
        <v>0</v>
      </c>
      <c r="M1590" s="3"/>
      <c r="N1590" s="3">
        <f t="shared" si="72"/>
        <v>0</v>
      </c>
      <c r="R1590" s="89"/>
      <c r="S1590" s="89">
        <f>100%-Table34[[#This Row],[PDF_initial fee]]</f>
        <v>1</v>
      </c>
      <c r="T1590" s="89"/>
      <c r="U1590" s="26"/>
    </row>
    <row r="1591" spans="1:21" hidden="1" x14ac:dyDescent="0.25">
      <c r="A1591">
        <v>438355</v>
      </c>
      <c r="B1591" t="s">
        <v>1922</v>
      </c>
      <c r="C1591" t="s">
        <v>10033</v>
      </c>
      <c r="D1591">
        <v>2</v>
      </c>
      <c r="E1591" t="s">
        <v>1922</v>
      </c>
      <c r="G1591" s="3"/>
      <c r="H1591" s="21">
        <v>0</v>
      </c>
      <c r="I1591" s="21">
        <v>0</v>
      </c>
      <c r="J1591" s="21">
        <v>0</v>
      </c>
      <c r="K1591" s="21">
        <v>0</v>
      </c>
      <c r="L1591" s="3">
        <f t="shared" si="71"/>
        <v>0</v>
      </c>
      <c r="M1591" s="3"/>
      <c r="N1591" s="3">
        <f t="shared" si="72"/>
        <v>0</v>
      </c>
      <c r="R1591" s="89"/>
      <c r="S1591" s="89">
        <f>100%-Table34[[#This Row],[PDF_initial fee]]</f>
        <v>1</v>
      </c>
      <c r="T1591" s="89"/>
      <c r="U1591" s="26"/>
    </row>
    <row r="1592" spans="1:21" hidden="1" x14ac:dyDescent="0.25">
      <c r="A1592">
        <v>438796</v>
      </c>
      <c r="B1592" t="s">
        <v>1924</v>
      </c>
      <c r="C1592" t="s">
        <v>12209</v>
      </c>
      <c r="D1592">
        <v>2</v>
      </c>
      <c r="E1592" t="s">
        <v>1924</v>
      </c>
      <c r="G1592" s="3"/>
      <c r="H1592" s="21">
        <v>0</v>
      </c>
      <c r="I1592" s="21">
        <v>0</v>
      </c>
      <c r="J1592" s="21">
        <v>0</v>
      </c>
      <c r="K1592" s="21">
        <v>0</v>
      </c>
      <c r="L1592" s="3">
        <f t="shared" si="71"/>
        <v>0</v>
      </c>
      <c r="M1592" s="3"/>
      <c r="N1592" s="3">
        <f t="shared" si="72"/>
        <v>0</v>
      </c>
      <c r="R1592" s="89"/>
      <c r="S1592" s="89">
        <f>100%-Table34[[#This Row],[PDF_initial fee]]</f>
        <v>1</v>
      </c>
      <c r="T1592" s="89"/>
      <c r="U1592" s="26"/>
    </row>
    <row r="1593" spans="1:21" hidden="1" x14ac:dyDescent="0.25">
      <c r="A1593">
        <v>438883</v>
      </c>
      <c r="B1593" t="s">
        <v>1925</v>
      </c>
      <c r="C1593" t="s">
        <v>7799</v>
      </c>
      <c r="D1593">
        <v>2</v>
      </c>
      <c r="E1593" t="s">
        <v>1925</v>
      </c>
      <c r="G1593" s="3"/>
      <c r="H1593" s="21">
        <v>0</v>
      </c>
      <c r="I1593" s="21">
        <v>0</v>
      </c>
      <c r="J1593" s="21">
        <v>0</v>
      </c>
      <c r="K1593" s="21">
        <v>0</v>
      </c>
      <c r="L1593" s="3">
        <f t="shared" si="71"/>
        <v>0</v>
      </c>
      <c r="M1593" s="3"/>
      <c r="N1593" s="3">
        <f t="shared" si="72"/>
        <v>0</v>
      </c>
      <c r="R1593" s="89"/>
      <c r="S1593" s="89">
        <f>100%-Table34[[#This Row],[PDF_initial fee]]</f>
        <v>1</v>
      </c>
      <c r="T1593" s="89"/>
      <c r="U1593" s="26"/>
    </row>
    <row r="1594" spans="1:21" hidden="1" x14ac:dyDescent="0.25">
      <c r="A1594">
        <v>438928</v>
      </c>
      <c r="B1594" t="s">
        <v>1927</v>
      </c>
      <c r="C1594" t="s">
        <v>9557</v>
      </c>
      <c r="D1594">
        <v>2</v>
      </c>
      <c r="E1594" t="s">
        <v>1927</v>
      </c>
      <c r="G1594" s="3"/>
      <c r="H1594" s="21">
        <v>0</v>
      </c>
      <c r="I1594" s="21">
        <v>0</v>
      </c>
      <c r="J1594" s="21">
        <v>0</v>
      </c>
      <c r="K1594" s="21">
        <v>0</v>
      </c>
      <c r="L1594" s="3">
        <f t="shared" si="71"/>
        <v>0</v>
      </c>
      <c r="M1594" s="3"/>
      <c r="N1594" s="3">
        <f t="shared" si="72"/>
        <v>0</v>
      </c>
      <c r="R1594" s="89"/>
      <c r="S1594" s="89">
        <f>100%-Table34[[#This Row],[PDF_initial fee]]</f>
        <v>1</v>
      </c>
      <c r="T1594" s="89"/>
      <c r="U1594" s="26"/>
    </row>
    <row r="1595" spans="1:21" hidden="1" x14ac:dyDescent="0.25">
      <c r="A1595">
        <v>438932</v>
      </c>
      <c r="B1595" t="s">
        <v>1928</v>
      </c>
      <c r="C1595" t="s">
        <v>12650</v>
      </c>
      <c r="D1595">
        <v>2</v>
      </c>
      <c r="E1595" t="s">
        <v>1928</v>
      </c>
      <c r="G1595" s="3"/>
      <c r="H1595" s="21">
        <v>0</v>
      </c>
      <c r="I1595" s="21">
        <v>0</v>
      </c>
      <c r="J1595" s="21">
        <v>0</v>
      </c>
      <c r="K1595" s="21">
        <v>0</v>
      </c>
      <c r="L1595" s="3">
        <f t="shared" si="71"/>
        <v>0</v>
      </c>
      <c r="M1595" s="3"/>
      <c r="N1595" s="3">
        <f t="shared" si="72"/>
        <v>0</v>
      </c>
      <c r="R1595" s="89"/>
      <c r="S1595" s="89">
        <f>100%-Table34[[#This Row],[PDF_initial fee]]</f>
        <v>1</v>
      </c>
      <c r="T1595" s="89"/>
      <c r="U1595" s="26"/>
    </row>
    <row r="1596" spans="1:21" hidden="1" x14ac:dyDescent="0.25">
      <c r="A1596">
        <v>439092</v>
      </c>
      <c r="B1596" t="s">
        <v>1929</v>
      </c>
      <c r="C1596" t="s">
        <v>12629</v>
      </c>
      <c r="D1596">
        <v>2</v>
      </c>
      <c r="E1596" t="s">
        <v>1929</v>
      </c>
      <c r="G1596" s="3"/>
      <c r="H1596" s="21">
        <v>0</v>
      </c>
      <c r="I1596" s="21">
        <v>0</v>
      </c>
      <c r="J1596" s="21">
        <v>0</v>
      </c>
      <c r="K1596" s="21">
        <v>0</v>
      </c>
      <c r="L1596" s="3">
        <f t="shared" si="71"/>
        <v>0</v>
      </c>
      <c r="M1596" s="3"/>
      <c r="N1596" s="3">
        <f t="shared" si="72"/>
        <v>0</v>
      </c>
      <c r="R1596" s="89"/>
      <c r="S1596" s="89">
        <f>100%-Table34[[#This Row],[PDF_initial fee]]</f>
        <v>1</v>
      </c>
      <c r="T1596" s="89"/>
      <c r="U1596" s="26"/>
    </row>
    <row r="1597" spans="1:21" hidden="1" x14ac:dyDescent="0.25">
      <c r="A1597">
        <v>439104</v>
      </c>
      <c r="B1597" t="s">
        <v>1930</v>
      </c>
      <c r="C1597" t="s">
        <v>10785</v>
      </c>
      <c r="D1597">
        <v>1</v>
      </c>
      <c r="E1597" t="s">
        <v>1930</v>
      </c>
      <c r="G1597" s="3"/>
      <c r="H1597" s="21">
        <v>0</v>
      </c>
      <c r="I1597" s="21">
        <v>0</v>
      </c>
      <c r="J1597" s="21">
        <v>0</v>
      </c>
      <c r="K1597" s="21">
        <v>0</v>
      </c>
      <c r="L1597" s="3">
        <f t="shared" si="71"/>
        <v>0</v>
      </c>
      <c r="M1597" s="3"/>
      <c r="N1597" s="3">
        <f t="shared" si="72"/>
        <v>0</v>
      </c>
      <c r="R1597" s="89"/>
      <c r="S1597" s="89">
        <f>100%-Table34[[#This Row],[PDF_initial fee]]</f>
        <v>1</v>
      </c>
      <c r="T1597" s="89"/>
      <c r="U1597" s="26"/>
    </row>
    <row r="1598" spans="1:21" hidden="1" x14ac:dyDescent="0.25">
      <c r="A1598">
        <v>439179</v>
      </c>
      <c r="B1598" t="s">
        <v>1931</v>
      </c>
      <c r="C1598" t="s">
        <v>10261</v>
      </c>
      <c r="D1598">
        <v>2</v>
      </c>
      <c r="E1598" t="s">
        <v>1931</v>
      </c>
      <c r="G1598" s="3"/>
      <c r="H1598" s="21">
        <v>0</v>
      </c>
      <c r="I1598" s="21">
        <v>0</v>
      </c>
      <c r="J1598" s="21">
        <v>0</v>
      </c>
      <c r="K1598" s="21">
        <v>0</v>
      </c>
      <c r="L1598" s="3">
        <f t="shared" ref="L1598:L1661" si="73">SUM(H1598:K1598)</f>
        <v>0</v>
      </c>
      <c r="M1598" s="3"/>
      <c r="N1598" s="3">
        <f t="shared" ref="N1598:N1661" si="74">L1598+G1598</f>
        <v>0</v>
      </c>
      <c r="R1598" s="89"/>
      <c r="S1598" s="89">
        <f>100%-Table34[[#This Row],[PDF_initial fee]]</f>
        <v>1</v>
      </c>
      <c r="T1598" s="89"/>
      <c r="U1598" s="26"/>
    </row>
    <row r="1599" spans="1:21" hidden="1" x14ac:dyDescent="0.25">
      <c r="A1599">
        <v>439187</v>
      </c>
      <c r="B1599" t="s">
        <v>1932</v>
      </c>
      <c r="C1599" t="s">
        <v>6958</v>
      </c>
      <c r="D1599">
        <v>1</v>
      </c>
      <c r="E1599" t="s">
        <v>1932</v>
      </c>
      <c r="F1599" t="s">
        <v>6958</v>
      </c>
      <c r="G1599" s="3"/>
      <c r="H1599" s="21">
        <v>0</v>
      </c>
      <c r="I1599" s="21">
        <v>0</v>
      </c>
      <c r="J1599" s="21">
        <v>0</v>
      </c>
      <c r="K1599" s="21">
        <v>0</v>
      </c>
      <c r="L1599" s="3">
        <f t="shared" si="73"/>
        <v>0</v>
      </c>
      <c r="M1599" s="3"/>
      <c r="N1599" s="3">
        <f t="shared" si="74"/>
        <v>0</v>
      </c>
      <c r="R1599" s="89"/>
      <c r="S1599" s="89">
        <f>100%-Table34[[#This Row],[PDF_initial fee]]</f>
        <v>1</v>
      </c>
      <c r="T1599" s="89"/>
      <c r="U1599" s="26"/>
    </row>
    <row r="1600" spans="1:21" hidden="1" x14ac:dyDescent="0.25">
      <c r="A1600">
        <v>439288</v>
      </c>
      <c r="B1600" t="s">
        <v>1933</v>
      </c>
      <c r="C1600" t="s">
        <v>6958</v>
      </c>
      <c r="D1600">
        <v>2</v>
      </c>
      <c r="E1600" t="s">
        <v>1933</v>
      </c>
      <c r="F1600" t="s">
        <v>6958</v>
      </c>
      <c r="G1600" s="3"/>
      <c r="H1600" s="21">
        <v>0</v>
      </c>
      <c r="I1600" s="21">
        <v>0</v>
      </c>
      <c r="J1600" s="21">
        <v>0</v>
      </c>
      <c r="K1600" s="21">
        <v>0</v>
      </c>
      <c r="L1600" s="3">
        <f t="shared" si="73"/>
        <v>0</v>
      </c>
      <c r="M1600" s="3"/>
      <c r="N1600" s="3">
        <f t="shared" si="74"/>
        <v>0</v>
      </c>
      <c r="O1600" s="21"/>
      <c r="R1600" s="89"/>
      <c r="S1600" s="89">
        <f>100%-Table34[[#This Row],[PDF_initial fee]]</f>
        <v>1</v>
      </c>
      <c r="T1600" s="89"/>
      <c r="U1600" s="26"/>
    </row>
    <row r="1601" spans="1:27" hidden="1" x14ac:dyDescent="0.25">
      <c r="A1601">
        <v>439529</v>
      </c>
      <c r="B1601" t="s">
        <v>1934</v>
      </c>
      <c r="C1601" t="s">
        <v>6958</v>
      </c>
      <c r="D1601">
        <v>1</v>
      </c>
      <c r="E1601" t="s">
        <v>1934</v>
      </c>
      <c r="F1601" t="s">
        <v>6958</v>
      </c>
      <c r="G1601" s="3"/>
      <c r="H1601" s="21">
        <v>0</v>
      </c>
      <c r="I1601" s="21">
        <v>0</v>
      </c>
      <c r="J1601" s="21">
        <v>0</v>
      </c>
      <c r="K1601" s="21">
        <v>0</v>
      </c>
      <c r="L1601" s="3">
        <f t="shared" si="73"/>
        <v>0</v>
      </c>
      <c r="M1601" s="3"/>
      <c r="N1601" s="3">
        <f t="shared" si="74"/>
        <v>0</v>
      </c>
      <c r="R1601" s="89"/>
      <c r="S1601" s="89">
        <f>100%-Table34[[#This Row],[PDF_initial fee]]</f>
        <v>1</v>
      </c>
      <c r="T1601" s="89"/>
      <c r="U1601" s="26"/>
    </row>
    <row r="1602" spans="1:27" hidden="1" x14ac:dyDescent="0.25">
      <c r="A1602">
        <v>439567</v>
      </c>
      <c r="B1602" t="s">
        <v>1935</v>
      </c>
      <c r="C1602" t="s">
        <v>11897</v>
      </c>
      <c r="D1602">
        <v>0</v>
      </c>
      <c r="E1602" t="s">
        <v>1935</v>
      </c>
      <c r="F1602" t="s">
        <v>29136</v>
      </c>
      <c r="G1602" s="3"/>
      <c r="L1602" s="3">
        <f t="shared" si="73"/>
        <v>0</v>
      </c>
      <c r="M1602" s="3"/>
      <c r="N1602" s="3">
        <f t="shared" si="74"/>
        <v>0</v>
      </c>
      <c r="R1602" s="89"/>
      <c r="S1602" s="89">
        <f>100%-Table34[[#This Row],[PDF_initial fee]]</f>
        <v>1</v>
      </c>
      <c r="T1602" s="89"/>
      <c r="U1602" s="26"/>
    </row>
    <row r="1603" spans="1:27" hidden="1" x14ac:dyDescent="0.25">
      <c r="A1603">
        <v>439620</v>
      </c>
      <c r="B1603" t="s">
        <v>1936</v>
      </c>
      <c r="C1603" t="s">
        <v>12421</v>
      </c>
      <c r="D1603">
        <v>2</v>
      </c>
      <c r="E1603" t="s">
        <v>1936</v>
      </c>
      <c r="G1603" s="3"/>
      <c r="L1603" s="3">
        <f t="shared" si="73"/>
        <v>0</v>
      </c>
      <c r="M1603" s="3"/>
      <c r="N1603" s="3">
        <f t="shared" si="74"/>
        <v>0</v>
      </c>
      <c r="R1603" s="89"/>
      <c r="S1603" s="89">
        <f>100%-Table34[[#This Row],[PDF_initial fee]]</f>
        <v>1</v>
      </c>
      <c r="T1603" s="89"/>
      <c r="U1603" s="26"/>
    </row>
    <row r="1604" spans="1:27" hidden="1" x14ac:dyDescent="0.25">
      <c r="A1604">
        <v>439624</v>
      </c>
      <c r="B1604" t="s">
        <v>1937</v>
      </c>
      <c r="C1604" t="s">
        <v>29952</v>
      </c>
      <c r="D1604">
        <v>4</v>
      </c>
      <c r="E1604" t="s">
        <v>1937</v>
      </c>
      <c r="G1604" s="3"/>
      <c r="H1604" s="3">
        <v>0</v>
      </c>
      <c r="I1604" s="3">
        <v>0</v>
      </c>
      <c r="J1604" s="3">
        <v>0</v>
      </c>
      <c r="K1604" s="3">
        <v>0</v>
      </c>
      <c r="L1604" s="3">
        <f t="shared" si="73"/>
        <v>0</v>
      </c>
      <c r="M1604" s="3"/>
      <c r="N1604" s="3">
        <f t="shared" si="74"/>
        <v>0</v>
      </c>
      <c r="R1604" s="89"/>
      <c r="S1604" s="89">
        <f>100%-Table34[[#This Row],[PDF_initial fee]]</f>
        <v>1</v>
      </c>
      <c r="T1604" s="89"/>
      <c r="U1604" s="26"/>
    </row>
    <row r="1605" spans="1:27" hidden="1" x14ac:dyDescent="0.25">
      <c r="A1605">
        <v>439720</v>
      </c>
      <c r="B1605" t="s">
        <v>1939</v>
      </c>
      <c r="C1605" t="s">
        <v>29953</v>
      </c>
      <c r="D1605">
        <v>5</v>
      </c>
      <c r="E1605" t="s">
        <v>1939</v>
      </c>
      <c r="G1605" s="3"/>
      <c r="H1605" s="54">
        <v>0</v>
      </c>
      <c r="I1605" s="54" t="s">
        <v>29954</v>
      </c>
      <c r="J1605" s="54">
        <v>0</v>
      </c>
      <c r="K1605" s="54">
        <v>0</v>
      </c>
      <c r="L1605" s="3">
        <f t="shared" si="73"/>
        <v>0</v>
      </c>
      <c r="M1605" s="3"/>
      <c r="N1605" s="3">
        <f t="shared" si="74"/>
        <v>0</v>
      </c>
      <c r="R1605" s="89"/>
      <c r="S1605" s="89">
        <f>100%-Table34[[#This Row],[PDF_initial fee]]</f>
        <v>1</v>
      </c>
      <c r="T1605" s="89"/>
      <c r="U1605" s="26"/>
    </row>
    <row r="1606" spans="1:27" hidden="1" x14ac:dyDescent="0.25">
      <c r="A1606">
        <v>439731</v>
      </c>
      <c r="B1606" t="s">
        <v>1940</v>
      </c>
      <c r="C1606" t="s">
        <v>29955</v>
      </c>
      <c r="D1606">
        <v>7</v>
      </c>
      <c r="E1606" t="s">
        <v>1940</v>
      </c>
      <c r="G1606" s="3"/>
      <c r="H1606" s="21">
        <v>0</v>
      </c>
      <c r="I1606" s="21">
        <v>0</v>
      </c>
      <c r="J1606" s="21">
        <v>0</v>
      </c>
      <c r="K1606" s="21">
        <v>0</v>
      </c>
      <c r="L1606" s="3">
        <f t="shared" si="73"/>
        <v>0</v>
      </c>
      <c r="M1606" s="3"/>
      <c r="N1606" s="3">
        <f t="shared" si="74"/>
        <v>0</v>
      </c>
      <c r="O1606" s="21"/>
      <c r="R1606" s="89"/>
      <c r="S1606" s="89">
        <f>100%-Table34[[#This Row],[PDF_initial fee]]</f>
        <v>1</v>
      </c>
      <c r="T1606" s="89"/>
      <c r="U1606" s="26"/>
    </row>
    <row r="1607" spans="1:27" hidden="1" x14ac:dyDescent="0.25">
      <c r="A1607">
        <v>439740</v>
      </c>
      <c r="B1607" t="s">
        <v>1941</v>
      </c>
      <c r="C1607" t="s">
        <v>29956</v>
      </c>
      <c r="D1607">
        <v>1</v>
      </c>
      <c r="E1607" t="s">
        <v>1941</v>
      </c>
      <c r="G1607" s="3"/>
      <c r="H1607" s="3">
        <v>0</v>
      </c>
      <c r="I1607" s="3">
        <v>0</v>
      </c>
      <c r="J1607" s="3">
        <v>0</v>
      </c>
      <c r="K1607" s="3">
        <v>0</v>
      </c>
      <c r="L1607" s="3">
        <f t="shared" si="73"/>
        <v>0</v>
      </c>
      <c r="M1607" s="3"/>
      <c r="N1607" s="3">
        <f t="shared" si="74"/>
        <v>0</v>
      </c>
      <c r="R1607" s="89"/>
      <c r="S1607" s="89">
        <f>100%-Table34[[#This Row],[PDF_initial fee]]</f>
        <v>1</v>
      </c>
      <c r="T1607" s="89"/>
      <c r="U1607" s="26"/>
    </row>
    <row r="1608" spans="1:27" hidden="1" x14ac:dyDescent="0.25">
      <c r="A1608">
        <v>439744</v>
      </c>
      <c r="B1608" t="s">
        <v>1942</v>
      </c>
      <c r="C1608" t="s">
        <v>29957</v>
      </c>
      <c r="D1608">
        <v>0</v>
      </c>
      <c r="E1608" t="s">
        <v>1942</v>
      </c>
      <c r="F1608" t="s">
        <v>29136</v>
      </c>
      <c r="G1608" s="3"/>
      <c r="H1608" s="21">
        <v>0</v>
      </c>
      <c r="I1608" s="21">
        <v>0</v>
      </c>
      <c r="J1608" s="21">
        <v>0</v>
      </c>
      <c r="K1608" s="21">
        <v>0</v>
      </c>
      <c r="L1608" s="3">
        <f t="shared" si="73"/>
        <v>0</v>
      </c>
      <c r="M1608" s="3"/>
      <c r="N1608" s="3">
        <f t="shared" si="74"/>
        <v>0</v>
      </c>
      <c r="O1608" s="21"/>
      <c r="R1608" s="89"/>
      <c r="S1608" s="89">
        <f>100%-Table34[[#This Row],[PDF_initial fee]]</f>
        <v>1</v>
      </c>
      <c r="T1608" s="89"/>
      <c r="U1608" s="26"/>
    </row>
    <row r="1609" spans="1:27" x14ac:dyDescent="0.25">
      <c r="A1609">
        <v>230553</v>
      </c>
      <c r="B1609" t="s">
        <v>133</v>
      </c>
      <c r="C1609" t="s">
        <v>12631</v>
      </c>
      <c r="D1609">
        <v>6</v>
      </c>
      <c r="E1609" t="s">
        <v>133</v>
      </c>
      <c r="F1609" t="s">
        <v>6</v>
      </c>
      <c r="G1609" s="3">
        <v>1.0999999999999999E-2</v>
      </c>
      <c r="H1609" s="3">
        <f>((0.6+2)/2)/100+0.4%</f>
        <v>1.7000000000000001E-2</v>
      </c>
      <c r="I1609" s="3">
        <v>1.0999999999999999E-2</v>
      </c>
      <c r="J1609" s="21">
        <v>0</v>
      </c>
      <c r="K1609" s="21">
        <v>0</v>
      </c>
      <c r="L1609" s="3">
        <f t="shared" si="73"/>
        <v>2.8000000000000001E-2</v>
      </c>
      <c r="M1609" s="3"/>
      <c r="N1609" s="3">
        <f t="shared" si="74"/>
        <v>3.9E-2</v>
      </c>
      <c r="O1609" t="s">
        <v>29958</v>
      </c>
      <c r="P1609" s="1" t="s">
        <v>29959</v>
      </c>
      <c r="Q1609" s="101" t="s">
        <v>31791</v>
      </c>
      <c r="R1609" s="89">
        <v>0.42130000000000001</v>
      </c>
      <c r="S1609" s="89">
        <f>100%-Table34[[#This Row],[InitialFee]]</f>
        <v>0.98299999999999998</v>
      </c>
      <c r="T1609" s="89">
        <f>(1-Table34[[#This Row],[OngoingFee (plus Platform fee)]])^5</f>
        <v>0.94619676304394906</v>
      </c>
      <c r="U1609" s="26">
        <f>(1+Table34[[#This Row],[Net 5yrs return (mostly up to 28th of Feb 2026)]])*Table34[[#This Row],[Investment after initial charge]]*Table34[[#This Row],[Cummulative 5yrs ongoing advice charge]]-1</f>
        <v>0.32196735850602054</v>
      </c>
      <c r="V1609" s="10">
        <f>109756+4524190</f>
        <v>4633946</v>
      </c>
      <c r="W1609" t="s">
        <v>29051</v>
      </c>
      <c r="X1609" s="10">
        <v>4055718</v>
      </c>
      <c r="Y1609" s="30">
        <f>X1609/V1609</f>
        <v>0.87521908973475304</v>
      </c>
      <c r="AA1609" s="1" t="s">
        <v>29960</v>
      </c>
    </row>
    <row r="1610" spans="1:27" hidden="1" x14ac:dyDescent="0.25">
      <c r="A1610">
        <v>439777</v>
      </c>
      <c r="B1610" t="s">
        <v>1943</v>
      </c>
      <c r="C1610" t="s">
        <v>6958</v>
      </c>
      <c r="D1610">
        <v>3</v>
      </c>
      <c r="E1610" t="s">
        <v>1943</v>
      </c>
      <c r="F1610" t="s">
        <v>6958</v>
      </c>
      <c r="G1610" s="3"/>
      <c r="H1610" s="21">
        <v>0</v>
      </c>
      <c r="I1610" s="21">
        <v>0</v>
      </c>
      <c r="J1610" s="21">
        <v>0</v>
      </c>
      <c r="K1610" s="21">
        <v>0</v>
      </c>
      <c r="L1610" s="3">
        <f t="shared" si="73"/>
        <v>0</v>
      </c>
      <c r="M1610" s="3"/>
      <c r="N1610" s="3">
        <f t="shared" si="74"/>
        <v>0</v>
      </c>
      <c r="R1610" s="89"/>
      <c r="S1610" s="89">
        <f>100%-Table34[[#This Row],[PDF_initial fee]]</f>
        <v>1</v>
      </c>
      <c r="T1610" s="89"/>
      <c r="U1610" s="26"/>
    </row>
    <row r="1611" spans="1:27" hidden="1" x14ac:dyDescent="0.25">
      <c r="A1611">
        <v>439839</v>
      </c>
      <c r="B1611" t="s">
        <v>1944</v>
      </c>
      <c r="C1611" t="s">
        <v>8215</v>
      </c>
      <c r="D1611">
        <v>1</v>
      </c>
      <c r="E1611" t="s">
        <v>1944</v>
      </c>
      <c r="G1611" s="3"/>
      <c r="L1611" s="3">
        <f t="shared" si="73"/>
        <v>0</v>
      </c>
      <c r="M1611" s="3"/>
      <c r="N1611" s="3">
        <f t="shared" si="74"/>
        <v>0</v>
      </c>
      <c r="R1611" s="89"/>
      <c r="S1611" s="89">
        <f>100%-Table34[[#This Row],[PDF_initial fee]]</f>
        <v>1</v>
      </c>
      <c r="T1611" s="89"/>
      <c r="U1611" s="26"/>
    </row>
    <row r="1612" spans="1:27" hidden="1" x14ac:dyDescent="0.25">
      <c r="A1612">
        <v>439996</v>
      </c>
      <c r="B1612" t="s">
        <v>1946</v>
      </c>
      <c r="C1612" t="s">
        <v>7314</v>
      </c>
      <c r="D1612">
        <v>1</v>
      </c>
      <c r="E1612" t="s">
        <v>1946</v>
      </c>
      <c r="G1612" s="3"/>
      <c r="H1612" s="21">
        <v>0</v>
      </c>
      <c r="I1612" s="21">
        <v>0</v>
      </c>
      <c r="J1612" s="21">
        <v>0</v>
      </c>
      <c r="K1612" s="21">
        <v>0</v>
      </c>
      <c r="L1612" s="3">
        <f t="shared" si="73"/>
        <v>0</v>
      </c>
      <c r="M1612" s="3"/>
      <c r="N1612" s="3">
        <f t="shared" si="74"/>
        <v>0</v>
      </c>
      <c r="R1612" s="89"/>
      <c r="S1612" s="89">
        <f>100%-Table34[[#This Row],[PDF_initial fee]]</f>
        <v>1</v>
      </c>
      <c r="T1612" s="89"/>
      <c r="U1612" s="26"/>
    </row>
    <row r="1613" spans="1:27" hidden="1" x14ac:dyDescent="0.25">
      <c r="A1613">
        <v>440000</v>
      </c>
      <c r="B1613" t="s">
        <v>1947</v>
      </c>
      <c r="C1613" t="s">
        <v>10241</v>
      </c>
      <c r="D1613">
        <v>1</v>
      </c>
      <c r="E1613" t="s">
        <v>1947</v>
      </c>
      <c r="G1613" s="3"/>
      <c r="H1613" s="21">
        <v>0</v>
      </c>
      <c r="I1613" s="21">
        <v>0</v>
      </c>
      <c r="J1613" s="21">
        <v>0</v>
      </c>
      <c r="K1613" s="21">
        <v>0</v>
      </c>
      <c r="L1613" s="3">
        <f t="shared" si="73"/>
        <v>0</v>
      </c>
      <c r="M1613" s="3"/>
      <c r="N1613" s="3">
        <f t="shared" si="74"/>
        <v>0</v>
      </c>
      <c r="R1613" s="89"/>
      <c r="S1613" s="89">
        <f>100%-Table34[[#This Row],[PDF_initial fee]]</f>
        <v>1</v>
      </c>
      <c r="T1613" s="89"/>
      <c r="U1613" s="26"/>
    </row>
    <row r="1614" spans="1:27" hidden="1" x14ac:dyDescent="0.25">
      <c r="A1614">
        <v>440045</v>
      </c>
      <c r="B1614" t="s">
        <v>1948</v>
      </c>
      <c r="C1614" s="1" t="s">
        <v>29961</v>
      </c>
      <c r="D1614">
        <v>1</v>
      </c>
      <c r="E1614" t="s">
        <v>1948</v>
      </c>
      <c r="G1614" s="3"/>
      <c r="H1614" s="3">
        <v>0</v>
      </c>
      <c r="I1614" s="3">
        <v>0</v>
      </c>
      <c r="J1614" s="3">
        <v>0</v>
      </c>
      <c r="K1614" s="3">
        <v>0</v>
      </c>
      <c r="L1614" s="3">
        <f t="shared" si="73"/>
        <v>0</v>
      </c>
      <c r="M1614" s="3"/>
      <c r="N1614" s="3">
        <f t="shared" si="74"/>
        <v>0</v>
      </c>
      <c r="R1614" s="89"/>
      <c r="S1614" s="89">
        <f>100%-Table34[[#This Row],[PDF_initial fee]]</f>
        <v>1</v>
      </c>
      <c r="T1614" s="89"/>
      <c r="U1614" s="26"/>
    </row>
    <row r="1615" spans="1:27" hidden="1" x14ac:dyDescent="0.25">
      <c r="A1615">
        <v>440049</v>
      </c>
      <c r="B1615" t="s">
        <v>1949</v>
      </c>
      <c r="C1615" t="s">
        <v>6958</v>
      </c>
      <c r="D1615">
        <v>1</v>
      </c>
      <c r="E1615" t="s">
        <v>1949</v>
      </c>
      <c r="F1615" t="s">
        <v>6958</v>
      </c>
      <c r="G1615" s="3"/>
      <c r="H1615" s="21">
        <v>0</v>
      </c>
      <c r="I1615" s="21">
        <v>0</v>
      </c>
      <c r="J1615" s="21">
        <v>0</v>
      </c>
      <c r="K1615" s="21">
        <v>0</v>
      </c>
      <c r="L1615" s="3">
        <f t="shared" si="73"/>
        <v>0</v>
      </c>
      <c r="M1615" s="3"/>
      <c r="N1615" s="3">
        <f t="shared" si="74"/>
        <v>0</v>
      </c>
      <c r="R1615" s="89"/>
      <c r="S1615" s="89">
        <f>100%-Table34[[#This Row],[PDF_initial fee]]</f>
        <v>1</v>
      </c>
      <c r="T1615" s="89"/>
      <c r="U1615" s="26"/>
    </row>
    <row r="1616" spans="1:27" hidden="1" x14ac:dyDescent="0.25">
      <c r="A1616">
        <v>440064</v>
      </c>
      <c r="B1616" t="s">
        <v>1950</v>
      </c>
      <c r="C1616" t="s">
        <v>6958</v>
      </c>
      <c r="D1616">
        <v>1</v>
      </c>
      <c r="E1616" t="s">
        <v>1950</v>
      </c>
      <c r="F1616" t="s">
        <v>6958</v>
      </c>
      <c r="G1616" s="3"/>
      <c r="H1616" s="21">
        <v>0</v>
      </c>
      <c r="I1616" s="21">
        <v>0</v>
      </c>
      <c r="J1616" s="21">
        <v>0</v>
      </c>
      <c r="K1616" s="21">
        <v>0</v>
      </c>
      <c r="L1616" s="3">
        <f t="shared" si="73"/>
        <v>0</v>
      </c>
      <c r="M1616" s="3"/>
      <c r="N1616" s="3">
        <f t="shared" si="74"/>
        <v>0</v>
      </c>
      <c r="R1616" s="89"/>
      <c r="S1616" s="89">
        <f>100%-Table34[[#This Row],[PDF_initial fee]]</f>
        <v>1</v>
      </c>
      <c r="T1616" s="89"/>
      <c r="U1616" s="26"/>
    </row>
    <row r="1617" spans="1:21" hidden="1" x14ac:dyDescent="0.25">
      <c r="A1617">
        <v>440099</v>
      </c>
      <c r="B1617" t="s">
        <v>1951</v>
      </c>
      <c r="C1617" t="s">
        <v>10093</v>
      </c>
      <c r="D1617">
        <v>2</v>
      </c>
      <c r="E1617" t="s">
        <v>1951</v>
      </c>
      <c r="G1617" s="3"/>
      <c r="H1617" s="21">
        <v>0</v>
      </c>
      <c r="I1617" s="21">
        <v>0</v>
      </c>
      <c r="J1617" s="21">
        <v>0</v>
      </c>
      <c r="K1617" s="21">
        <v>0</v>
      </c>
      <c r="L1617" s="3">
        <f t="shared" si="73"/>
        <v>0</v>
      </c>
      <c r="M1617" s="3"/>
      <c r="N1617" s="3">
        <f t="shared" si="74"/>
        <v>0</v>
      </c>
      <c r="R1617" s="89"/>
      <c r="S1617" s="89">
        <f>100%-Table34[[#This Row],[PDF_initial fee]]</f>
        <v>1</v>
      </c>
      <c r="T1617" s="89"/>
      <c r="U1617" s="26"/>
    </row>
    <row r="1618" spans="1:21" hidden="1" x14ac:dyDescent="0.25">
      <c r="A1618">
        <v>440201</v>
      </c>
      <c r="B1618" t="s">
        <v>1952</v>
      </c>
      <c r="C1618" t="s">
        <v>6958</v>
      </c>
      <c r="D1618">
        <v>2</v>
      </c>
      <c r="E1618" t="s">
        <v>1952</v>
      </c>
      <c r="F1618" t="s">
        <v>6958</v>
      </c>
      <c r="G1618" s="3"/>
      <c r="H1618" s="21">
        <v>0</v>
      </c>
      <c r="I1618" s="21">
        <v>0</v>
      </c>
      <c r="J1618" s="21">
        <v>0</v>
      </c>
      <c r="K1618" s="21">
        <v>0</v>
      </c>
      <c r="L1618" s="3">
        <f t="shared" si="73"/>
        <v>0</v>
      </c>
      <c r="M1618" s="3"/>
      <c r="N1618" s="3">
        <f t="shared" si="74"/>
        <v>0</v>
      </c>
      <c r="R1618" s="89"/>
      <c r="S1618" s="89">
        <f>100%-Table34[[#This Row],[PDF_initial fee]]</f>
        <v>1</v>
      </c>
      <c r="T1618" s="89"/>
      <c r="U1618" s="26"/>
    </row>
    <row r="1619" spans="1:21" hidden="1" x14ac:dyDescent="0.25">
      <c r="A1619">
        <v>440232</v>
      </c>
      <c r="B1619" t="s">
        <v>1953</v>
      </c>
      <c r="C1619" t="s">
        <v>7949</v>
      </c>
      <c r="D1619">
        <v>1</v>
      </c>
      <c r="E1619" t="s">
        <v>1953</v>
      </c>
      <c r="G1619" s="3"/>
      <c r="H1619" s="21">
        <v>0</v>
      </c>
      <c r="I1619" s="21">
        <v>0</v>
      </c>
      <c r="J1619" s="21">
        <v>0</v>
      </c>
      <c r="K1619" s="21">
        <v>0</v>
      </c>
      <c r="L1619" s="3">
        <f t="shared" si="73"/>
        <v>0</v>
      </c>
      <c r="M1619" s="3"/>
      <c r="N1619" s="3">
        <f t="shared" si="74"/>
        <v>0</v>
      </c>
      <c r="R1619" s="89"/>
      <c r="S1619" s="89">
        <f>100%-Table34[[#This Row],[PDF_initial fee]]</f>
        <v>1</v>
      </c>
      <c r="T1619" s="89"/>
      <c r="U1619" s="26"/>
    </row>
    <row r="1620" spans="1:21" hidden="1" x14ac:dyDescent="0.25">
      <c r="A1620">
        <v>440282</v>
      </c>
      <c r="B1620" t="s">
        <v>1954</v>
      </c>
      <c r="C1620" t="s">
        <v>6958</v>
      </c>
      <c r="D1620">
        <v>2</v>
      </c>
      <c r="E1620" t="s">
        <v>1954</v>
      </c>
      <c r="F1620" t="s">
        <v>6958</v>
      </c>
      <c r="G1620" s="3"/>
      <c r="L1620" s="3">
        <f t="shared" si="73"/>
        <v>0</v>
      </c>
      <c r="M1620" s="3"/>
      <c r="N1620" s="3">
        <f t="shared" si="74"/>
        <v>0</v>
      </c>
      <c r="R1620" s="89"/>
      <c r="S1620" s="89">
        <f>100%-Table34[[#This Row],[PDF_initial fee]]</f>
        <v>1</v>
      </c>
      <c r="T1620" s="89"/>
      <c r="U1620" s="26"/>
    </row>
    <row r="1621" spans="1:21" hidden="1" x14ac:dyDescent="0.25">
      <c r="A1621">
        <v>440408</v>
      </c>
      <c r="B1621" t="s">
        <v>1955</v>
      </c>
      <c r="C1621" t="s">
        <v>7841</v>
      </c>
      <c r="D1621">
        <v>1</v>
      </c>
      <c r="E1621" t="s">
        <v>1955</v>
      </c>
      <c r="G1621" s="3"/>
      <c r="H1621" s="21">
        <v>0</v>
      </c>
      <c r="I1621" s="21">
        <v>0</v>
      </c>
      <c r="J1621" s="21">
        <v>0</v>
      </c>
      <c r="K1621" s="21">
        <v>0</v>
      </c>
      <c r="L1621" s="3">
        <f t="shared" si="73"/>
        <v>0</v>
      </c>
      <c r="M1621" s="3"/>
      <c r="N1621" s="3">
        <f t="shared" si="74"/>
        <v>0</v>
      </c>
      <c r="R1621" s="89"/>
      <c r="S1621" s="89">
        <f>100%-Table34[[#This Row],[PDF_initial fee]]</f>
        <v>1</v>
      </c>
      <c r="T1621" s="89"/>
      <c r="U1621" s="26"/>
    </row>
    <row r="1622" spans="1:21" hidden="1" x14ac:dyDescent="0.25">
      <c r="A1622">
        <v>440472</v>
      </c>
      <c r="B1622" t="s">
        <v>1956</v>
      </c>
      <c r="C1622" t="s">
        <v>11127</v>
      </c>
      <c r="D1622">
        <v>1</v>
      </c>
      <c r="E1622" t="s">
        <v>1956</v>
      </c>
      <c r="G1622" s="3"/>
      <c r="H1622" s="21">
        <v>0</v>
      </c>
      <c r="I1622" s="21">
        <v>0</v>
      </c>
      <c r="J1622" s="21">
        <v>0</v>
      </c>
      <c r="K1622" s="21">
        <v>0</v>
      </c>
      <c r="L1622" s="3">
        <f t="shared" si="73"/>
        <v>0</v>
      </c>
      <c r="M1622" s="3"/>
      <c r="N1622" s="3">
        <f t="shared" si="74"/>
        <v>0</v>
      </c>
      <c r="R1622" s="89"/>
      <c r="S1622" s="89">
        <f>100%-Table34[[#This Row],[PDF_initial fee]]</f>
        <v>1</v>
      </c>
      <c r="T1622" s="89"/>
      <c r="U1622" s="26"/>
    </row>
    <row r="1623" spans="1:21" hidden="1" x14ac:dyDescent="0.25">
      <c r="A1623">
        <v>440481</v>
      </c>
      <c r="B1623" t="s">
        <v>1957</v>
      </c>
      <c r="C1623" t="s">
        <v>10560</v>
      </c>
      <c r="D1623">
        <v>1</v>
      </c>
      <c r="E1623" t="s">
        <v>1957</v>
      </c>
      <c r="G1623" s="3"/>
      <c r="H1623" s="21">
        <v>0</v>
      </c>
      <c r="I1623" s="21">
        <v>0</v>
      </c>
      <c r="J1623" s="21">
        <v>0</v>
      </c>
      <c r="K1623" s="21">
        <v>0</v>
      </c>
      <c r="L1623" s="3">
        <f t="shared" si="73"/>
        <v>0</v>
      </c>
      <c r="M1623" s="3"/>
      <c r="N1623" s="3">
        <f t="shared" si="74"/>
        <v>0</v>
      </c>
      <c r="R1623" s="89"/>
      <c r="S1623" s="89">
        <f>100%-Table34[[#This Row],[PDF_initial fee]]</f>
        <v>1</v>
      </c>
      <c r="T1623" s="89"/>
      <c r="U1623" s="26"/>
    </row>
    <row r="1624" spans="1:21" hidden="1" x14ac:dyDescent="0.25">
      <c r="A1624">
        <v>440484</v>
      </c>
      <c r="B1624" t="s">
        <v>1958</v>
      </c>
      <c r="C1624" t="s">
        <v>29962</v>
      </c>
      <c r="D1624">
        <v>4</v>
      </c>
      <c r="E1624" t="s">
        <v>1958</v>
      </c>
      <c r="F1624" t="s">
        <v>3</v>
      </c>
      <c r="G1624" s="3"/>
      <c r="H1624" s="3">
        <v>0</v>
      </c>
      <c r="I1624" s="3">
        <v>0</v>
      </c>
      <c r="J1624" s="3">
        <v>0</v>
      </c>
      <c r="K1624" s="3">
        <v>0</v>
      </c>
      <c r="L1624" s="3">
        <f t="shared" si="73"/>
        <v>0</v>
      </c>
      <c r="M1624" s="3"/>
      <c r="N1624" s="3">
        <f t="shared" si="74"/>
        <v>0</v>
      </c>
      <c r="R1624" s="89"/>
      <c r="S1624" s="89">
        <f>100%-Table34[[#This Row],[PDF_initial fee]]</f>
        <v>1</v>
      </c>
      <c r="T1624" s="89"/>
      <c r="U1624" s="26"/>
    </row>
    <row r="1625" spans="1:21" hidden="1" x14ac:dyDescent="0.25">
      <c r="A1625">
        <v>440552</v>
      </c>
      <c r="B1625" t="s">
        <v>1959</v>
      </c>
      <c r="C1625" t="s">
        <v>9583</v>
      </c>
      <c r="D1625">
        <v>1</v>
      </c>
      <c r="E1625" t="s">
        <v>1959</v>
      </c>
      <c r="G1625" s="3"/>
      <c r="H1625" s="21">
        <v>0</v>
      </c>
      <c r="I1625" s="21">
        <v>0</v>
      </c>
      <c r="J1625" s="21">
        <v>0</v>
      </c>
      <c r="K1625" s="21">
        <v>0</v>
      </c>
      <c r="L1625" s="3">
        <f t="shared" si="73"/>
        <v>0</v>
      </c>
      <c r="M1625" s="3"/>
      <c r="N1625" s="3">
        <f t="shared" si="74"/>
        <v>0</v>
      </c>
      <c r="R1625" s="89"/>
      <c r="S1625" s="89">
        <f>100%-Table34[[#This Row],[PDF_initial fee]]</f>
        <v>1</v>
      </c>
      <c r="T1625" s="89"/>
      <c r="U1625" s="26"/>
    </row>
    <row r="1626" spans="1:21" hidden="1" x14ac:dyDescent="0.25">
      <c r="A1626">
        <v>440557</v>
      </c>
      <c r="B1626" t="s">
        <v>1960</v>
      </c>
      <c r="C1626" t="s">
        <v>11049</v>
      </c>
      <c r="D1626">
        <v>4</v>
      </c>
      <c r="E1626" t="s">
        <v>1960</v>
      </c>
      <c r="G1626" s="3"/>
      <c r="H1626" s="21">
        <v>0</v>
      </c>
      <c r="I1626" s="21">
        <v>0</v>
      </c>
      <c r="J1626" s="21">
        <v>0</v>
      </c>
      <c r="K1626" s="21">
        <v>0</v>
      </c>
      <c r="L1626" s="3">
        <f t="shared" si="73"/>
        <v>0</v>
      </c>
      <c r="M1626" s="3"/>
      <c r="N1626" s="3">
        <f t="shared" si="74"/>
        <v>0</v>
      </c>
      <c r="R1626" s="89"/>
      <c r="S1626" s="89">
        <f>100%-Table34[[#This Row],[PDF_initial fee]]</f>
        <v>1</v>
      </c>
      <c r="T1626" s="89"/>
      <c r="U1626" s="26"/>
    </row>
    <row r="1627" spans="1:21" hidden="1" x14ac:dyDescent="0.25">
      <c r="A1627">
        <v>440573</v>
      </c>
      <c r="B1627" t="s">
        <v>1961</v>
      </c>
      <c r="C1627" t="s">
        <v>6958</v>
      </c>
      <c r="D1627">
        <v>1</v>
      </c>
      <c r="E1627" t="s">
        <v>1961</v>
      </c>
      <c r="F1627" t="s">
        <v>6958</v>
      </c>
      <c r="G1627" s="3"/>
      <c r="H1627" s="21">
        <v>0</v>
      </c>
      <c r="I1627" s="21">
        <v>0</v>
      </c>
      <c r="J1627" s="21">
        <v>0</v>
      </c>
      <c r="K1627" s="21">
        <v>0</v>
      </c>
      <c r="L1627" s="3">
        <f t="shared" si="73"/>
        <v>0</v>
      </c>
      <c r="M1627" s="3"/>
      <c r="N1627" s="3">
        <f t="shared" si="74"/>
        <v>0</v>
      </c>
      <c r="R1627" s="89"/>
      <c r="S1627" s="89">
        <f>100%-Table34[[#This Row],[PDF_initial fee]]</f>
        <v>1</v>
      </c>
      <c r="T1627" s="89"/>
      <c r="U1627" s="26"/>
    </row>
    <row r="1628" spans="1:21" hidden="1" x14ac:dyDescent="0.25">
      <c r="A1628">
        <v>440577</v>
      </c>
      <c r="B1628" t="s">
        <v>1962</v>
      </c>
      <c r="C1628" t="s">
        <v>12343</v>
      </c>
      <c r="D1628">
        <v>1</v>
      </c>
      <c r="E1628" t="s">
        <v>1962</v>
      </c>
      <c r="G1628" s="3"/>
      <c r="H1628" s="21">
        <v>0</v>
      </c>
      <c r="I1628" s="21">
        <v>0</v>
      </c>
      <c r="J1628" s="21">
        <v>0</v>
      </c>
      <c r="K1628" s="21">
        <v>0</v>
      </c>
      <c r="L1628" s="3">
        <f t="shared" si="73"/>
        <v>0</v>
      </c>
      <c r="M1628" s="3"/>
      <c r="N1628" s="3">
        <f t="shared" si="74"/>
        <v>0</v>
      </c>
      <c r="R1628" s="89"/>
      <c r="S1628" s="89">
        <f>100%-Table34[[#This Row],[PDF_initial fee]]</f>
        <v>1</v>
      </c>
      <c r="T1628" s="89"/>
      <c r="U1628" s="26"/>
    </row>
    <row r="1629" spans="1:21" hidden="1" x14ac:dyDescent="0.25">
      <c r="A1629">
        <v>440589</v>
      </c>
      <c r="B1629" t="s">
        <v>1963</v>
      </c>
      <c r="C1629" t="s">
        <v>10929</v>
      </c>
      <c r="D1629">
        <v>11</v>
      </c>
      <c r="E1629" t="s">
        <v>1963</v>
      </c>
      <c r="G1629" s="3"/>
      <c r="H1629" s="21">
        <v>0</v>
      </c>
      <c r="I1629" s="21">
        <v>0</v>
      </c>
      <c r="J1629" s="21">
        <v>0</v>
      </c>
      <c r="K1629" s="21">
        <v>0</v>
      </c>
      <c r="L1629" s="3">
        <f t="shared" si="73"/>
        <v>0</v>
      </c>
      <c r="M1629" s="3"/>
      <c r="N1629" s="3">
        <f t="shared" si="74"/>
        <v>0</v>
      </c>
      <c r="R1629" s="89"/>
      <c r="S1629" s="89">
        <f>100%-Table34[[#This Row],[PDF_initial fee]]</f>
        <v>1</v>
      </c>
      <c r="T1629" s="89"/>
      <c r="U1629" s="26"/>
    </row>
    <row r="1630" spans="1:21" hidden="1" x14ac:dyDescent="0.25">
      <c r="A1630">
        <v>440633</v>
      </c>
      <c r="B1630" t="s">
        <v>1964</v>
      </c>
      <c r="C1630" t="s">
        <v>8066</v>
      </c>
      <c r="D1630">
        <v>16</v>
      </c>
      <c r="E1630" t="s">
        <v>1964</v>
      </c>
      <c r="G1630" s="3"/>
      <c r="H1630" s="21">
        <v>0</v>
      </c>
      <c r="I1630" s="21">
        <v>0</v>
      </c>
      <c r="J1630" s="21">
        <v>0</v>
      </c>
      <c r="K1630" s="21">
        <v>0</v>
      </c>
      <c r="L1630" s="3">
        <f t="shared" si="73"/>
        <v>0</v>
      </c>
      <c r="M1630" s="3"/>
      <c r="N1630" s="3">
        <f t="shared" si="74"/>
        <v>0</v>
      </c>
      <c r="R1630" s="89"/>
      <c r="S1630" s="89">
        <f>100%-Table34[[#This Row],[PDF_initial fee]]</f>
        <v>1</v>
      </c>
      <c r="T1630" s="89"/>
      <c r="U1630" s="26"/>
    </row>
    <row r="1631" spans="1:21" hidden="1" x14ac:dyDescent="0.25">
      <c r="A1631">
        <v>440668</v>
      </c>
      <c r="B1631" t="s">
        <v>1965</v>
      </c>
      <c r="C1631" t="s">
        <v>12648</v>
      </c>
      <c r="D1631">
        <v>8</v>
      </c>
      <c r="E1631" t="s">
        <v>1965</v>
      </c>
      <c r="G1631" s="3"/>
      <c r="H1631" s="21">
        <v>0</v>
      </c>
      <c r="I1631" s="21">
        <v>0</v>
      </c>
      <c r="J1631" s="21">
        <v>0</v>
      </c>
      <c r="K1631" s="21">
        <v>0</v>
      </c>
      <c r="L1631" s="3">
        <f t="shared" si="73"/>
        <v>0</v>
      </c>
      <c r="M1631" s="3"/>
      <c r="N1631" s="3">
        <f t="shared" si="74"/>
        <v>0</v>
      </c>
      <c r="R1631" s="89"/>
      <c r="S1631" s="89">
        <f>100%-Table34[[#This Row],[PDF_initial fee]]</f>
        <v>1</v>
      </c>
      <c r="T1631" s="89"/>
      <c r="U1631" s="26"/>
    </row>
    <row r="1632" spans="1:21" hidden="1" x14ac:dyDescent="0.25">
      <c r="A1632">
        <v>440698</v>
      </c>
      <c r="B1632" t="s">
        <v>1966</v>
      </c>
      <c r="C1632" t="s">
        <v>11619</v>
      </c>
      <c r="D1632">
        <v>5</v>
      </c>
      <c r="E1632" t="s">
        <v>1966</v>
      </c>
      <c r="G1632" s="3"/>
      <c r="H1632" s="21">
        <v>0</v>
      </c>
      <c r="I1632" s="21">
        <v>0</v>
      </c>
      <c r="J1632" s="21">
        <v>0</v>
      </c>
      <c r="K1632" s="21">
        <v>0</v>
      </c>
      <c r="L1632" s="3">
        <f t="shared" si="73"/>
        <v>0</v>
      </c>
      <c r="M1632" s="3"/>
      <c r="N1632" s="3">
        <f t="shared" si="74"/>
        <v>0</v>
      </c>
      <c r="R1632" s="89"/>
      <c r="S1632" s="89">
        <f>100%-Table34[[#This Row],[PDF_initial fee]]</f>
        <v>1</v>
      </c>
      <c r="T1632" s="89"/>
      <c r="U1632" s="26"/>
    </row>
    <row r="1633" spans="1:27" x14ac:dyDescent="0.25">
      <c r="A1633">
        <v>218745</v>
      </c>
      <c r="B1633" t="s">
        <v>119</v>
      </c>
      <c r="C1633" t="s">
        <v>7009</v>
      </c>
      <c r="D1633">
        <v>27</v>
      </c>
      <c r="E1633" t="s">
        <v>119</v>
      </c>
      <c r="F1633" t="s">
        <v>3</v>
      </c>
      <c r="G1633" s="3">
        <v>1.4E-3</v>
      </c>
      <c r="H1633" s="21">
        <v>0.01</v>
      </c>
      <c r="I1633" s="21">
        <v>0.01</v>
      </c>
      <c r="J1633" s="6"/>
      <c r="K1633" s="6"/>
      <c r="L1633" s="3">
        <f t="shared" si="73"/>
        <v>0.02</v>
      </c>
      <c r="M1633" s="3"/>
      <c r="N1633" s="3">
        <f t="shared" si="74"/>
        <v>2.1399999999999999E-2</v>
      </c>
      <c r="P1633" s="1" t="s">
        <v>29963</v>
      </c>
      <c r="Q1633" t="s">
        <v>31787</v>
      </c>
      <c r="R1633" s="89">
        <v>0.33333333333333348</v>
      </c>
      <c r="S1633" s="89">
        <f>100%-Table34[[#This Row],[InitialFee]]</f>
        <v>0.99</v>
      </c>
      <c r="T1633" s="89">
        <f>(1-Table34[[#This Row],[OngoingFee (plus Platform fee)]])^5</f>
        <v>0.95099004989999991</v>
      </c>
      <c r="U1633" s="26">
        <f>(1+Table34[[#This Row],[Net 5yrs return (mostly up to 28th of Feb 2026)]])*Table34[[#This Row],[Investment after initial charge]]*Table34[[#This Row],[Cummulative 5yrs ongoing advice charge]]-1</f>
        <v>0.255306865868</v>
      </c>
      <c r="V1633" s="10">
        <f>1688977+252324</f>
        <v>1941301</v>
      </c>
      <c r="W1633" t="s">
        <v>29051</v>
      </c>
      <c r="X1633" s="10">
        <v>1053259</v>
      </c>
      <c r="Y1633" s="30">
        <f>X1633/V1633</f>
        <v>0.5425531640894431</v>
      </c>
      <c r="AA1633" s="1" t="s">
        <v>29964</v>
      </c>
    </row>
    <row r="1634" spans="1:27" hidden="1" x14ac:dyDescent="0.25">
      <c r="A1634">
        <v>440751</v>
      </c>
      <c r="B1634" t="s">
        <v>1969</v>
      </c>
      <c r="C1634" t="s">
        <v>29965</v>
      </c>
      <c r="D1634">
        <v>3</v>
      </c>
      <c r="E1634" t="s">
        <v>1969</v>
      </c>
      <c r="G1634" s="3"/>
      <c r="H1634" s="3">
        <v>0</v>
      </c>
      <c r="I1634" s="3">
        <v>0</v>
      </c>
      <c r="J1634" s="3">
        <v>0</v>
      </c>
      <c r="K1634" s="3">
        <v>0</v>
      </c>
      <c r="L1634" s="3">
        <f t="shared" si="73"/>
        <v>0</v>
      </c>
      <c r="M1634" s="3"/>
      <c r="N1634" s="3">
        <f t="shared" si="74"/>
        <v>0</v>
      </c>
      <c r="R1634" s="89"/>
      <c r="S1634" s="89">
        <f>100%-Table34[[#This Row],[PDF_initial fee]]</f>
        <v>1</v>
      </c>
      <c r="T1634" s="89"/>
      <c r="U1634" s="26"/>
    </row>
    <row r="1635" spans="1:27" hidden="1" x14ac:dyDescent="0.25">
      <c r="A1635">
        <v>440753</v>
      </c>
      <c r="B1635" t="s">
        <v>1970</v>
      </c>
      <c r="C1635" t="s">
        <v>7318</v>
      </c>
      <c r="D1635">
        <v>0</v>
      </c>
      <c r="E1635" t="s">
        <v>1970</v>
      </c>
      <c r="F1635" t="s">
        <v>29136</v>
      </c>
      <c r="G1635" s="3"/>
      <c r="H1635" s="21">
        <v>0</v>
      </c>
      <c r="I1635" s="21">
        <v>0</v>
      </c>
      <c r="J1635" s="21">
        <v>0</v>
      </c>
      <c r="K1635" s="21">
        <v>0</v>
      </c>
      <c r="L1635" s="3">
        <f t="shared" si="73"/>
        <v>0</v>
      </c>
      <c r="M1635" s="3"/>
      <c r="N1635" s="3">
        <f t="shared" si="74"/>
        <v>0</v>
      </c>
      <c r="R1635" s="89"/>
      <c r="S1635" s="89">
        <f>100%-Table34[[#This Row],[PDF_initial fee]]</f>
        <v>1</v>
      </c>
      <c r="T1635" s="89"/>
      <c r="U1635" s="26"/>
    </row>
    <row r="1636" spans="1:27" hidden="1" x14ac:dyDescent="0.25">
      <c r="A1636">
        <v>440803</v>
      </c>
      <c r="B1636" t="s">
        <v>1972</v>
      </c>
      <c r="C1636" t="s">
        <v>11156</v>
      </c>
      <c r="D1636">
        <v>2</v>
      </c>
      <c r="E1636" t="s">
        <v>1972</v>
      </c>
      <c r="G1636" s="3"/>
      <c r="H1636" s="21">
        <v>0</v>
      </c>
      <c r="I1636" s="21">
        <v>0</v>
      </c>
      <c r="J1636" s="21">
        <v>0</v>
      </c>
      <c r="K1636" s="21">
        <v>0</v>
      </c>
      <c r="L1636" s="3">
        <f t="shared" si="73"/>
        <v>0</v>
      </c>
      <c r="M1636" s="3"/>
      <c r="N1636" s="3">
        <f t="shared" si="74"/>
        <v>0</v>
      </c>
      <c r="R1636" s="89"/>
      <c r="S1636" s="89">
        <f>100%-Table34[[#This Row],[PDF_initial fee]]</f>
        <v>1</v>
      </c>
      <c r="T1636" s="89"/>
      <c r="U1636" s="26"/>
    </row>
    <row r="1637" spans="1:27" x14ac:dyDescent="0.25">
      <c r="A1637">
        <v>106078</v>
      </c>
      <c r="B1637" t="s">
        <v>7</v>
      </c>
      <c r="C1637" s="1" t="s">
        <v>10691</v>
      </c>
      <c r="D1637">
        <v>245</v>
      </c>
      <c r="E1637" t="s">
        <v>7</v>
      </c>
      <c r="F1637" t="s">
        <v>6</v>
      </c>
      <c r="G1637" s="3">
        <v>5.7999999999999996E-3</v>
      </c>
      <c r="H1637" s="3">
        <v>2.5000000000000001E-2</v>
      </c>
      <c r="I1637" s="3">
        <v>7.4999999999999997E-3</v>
      </c>
      <c r="J1637" s="6">
        <v>0</v>
      </c>
      <c r="K1637" s="6">
        <v>0</v>
      </c>
      <c r="L1637" s="3">
        <f t="shared" si="73"/>
        <v>3.2500000000000001E-2</v>
      </c>
      <c r="M1637" s="3"/>
      <c r="N1637" s="3">
        <f t="shared" si="74"/>
        <v>3.8300000000000001E-2</v>
      </c>
      <c r="O1637" t="s">
        <v>29966</v>
      </c>
      <c r="P1637" s="1" t="s">
        <v>29967</v>
      </c>
      <c r="Q1637" s="1" t="s">
        <v>31783</v>
      </c>
      <c r="R1637" s="89">
        <v>0.35709999999999997</v>
      </c>
      <c r="S1637" s="89">
        <f>100%-Table34[[#This Row],[InitialFee]]</f>
        <v>0.97499999999999998</v>
      </c>
      <c r="T1637" s="89">
        <f>(1-Table34[[#This Row],[OngoingFee (plus Platform fee)]])^5</f>
        <v>0.9630582970465823</v>
      </c>
      <c r="U1637" s="26">
        <f>(1+Table34[[#This Row],[Net 5yrs return (mostly up to 28th of Feb 2026)]])*Table34[[#This Row],[Investment after initial charge]]*Table34[[#This Row],[Cummulative 5yrs ongoing advice charge]]-1</f>
        <v>0.27429225454886885</v>
      </c>
      <c r="V1637" s="10">
        <v>79014000</v>
      </c>
      <c r="W1637" s="10" t="s">
        <v>29968</v>
      </c>
      <c r="X1637" s="10">
        <v>48923000</v>
      </c>
      <c r="Y1637" s="30">
        <f>X1637/V1637</f>
        <v>0.61916875490419421</v>
      </c>
      <c r="Z1637" s="10"/>
      <c r="AA1637" s="1" t="s">
        <v>29969</v>
      </c>
    </row>
    <row r="1638" spans="1:27" hidden="1" x14ac:dyDescent="0.25">
      <c r="A1638">
        <v>440850</v>
      </c>
      <c r="B1638" t="s">
        <v>1973</v>
      </c>
      <c r="C1638" t="s">
        <v>6958</v>
      </c>
      <c r="D1638">
        <v>3</v>
      </c>
      <c r="E1638" t="s">
        <v>1973</v>
      </c>
      <c r="F1638" t="s">
        <v>6958</v>
      </c>
      <c r="G1638" s="3"/>
      <c r="H1638" s="21">
        <v>0</v>
      </c>
      <c r="I1638" s="21">
        <v>0</v>
      </c>
      <c r="J1638" s="21">
        <v>0</v>
      </c>
      <c r="K1638" s="21">
        <v>0</v>
      </c>
      <c r="L1638" s="3">
        <f t="shared" si="73"/>
        <v>0</v>
      </c>
      <c r="M1638" s="3"/>
      <c r="N1638" s="3">
        <f t="shared" si="74"/>
        <v>0</v>
      </c>
      <c r="R1638" s="89"/>
      <c r="S1638" s="89">
        <f>100%-Table34[[#This Row],[PDF_initial fee]]</f>
        <v>1</v>
      </c>
      <c r="T1638" s="89"/>
      <c r="U1638" s="26"/>
    </row>
    <row r="1639" spans="1:27" x14ac:dyDescent="0.25">
      <c r="A1639">
        <v>192666</v>
      </c>
      <c r="B1639" t="s">
        <v>102</v>
      </c>
      <c r="C1639" s="1" t="s">
        <v>10871</v>
      </c>
      <c r="D1639">
        <v>245</v>
      </c>
      <c r="E1639" t="s">
        <v>102</v>
      </c>
      <c r="F1639" t="s">
        <v>6</v>
      </c>
      <c r="G1639" s="3">
        <v>5.7999999999999996E-3</v>
      </c>
      <c r="H1639" s="51">
        <v>2.5000000000000001E-2</v>
      </c>
      <c r="I1639" s="3">
        <v>7.4999999999999997E-3</v>
      </c>
      <c r="J1639" s="6">
        <v>0</v>
      </c>
      <c r="K1639" s="6">
        <v>0</v>
      </c>
      <c r="L1639" s="3">
        <f t="shared" si="73"/>
        <v>3.2500000000000001E-2</v>
      </c>
      <c r="M1639" s="3"/>
      <c r="N1639" s="3">
        <f t="shared" si="74"/>
        <v>3.8300000000000001E-2</v>
      </c>
      <c r="O1639" t="s">
        <v>29970</v>
      </c>
      <c r="P1639" s="1" t="s">
        <v>29967</v>
      </c>
      <c r="Q1639" s="1" t="s">
        <v>31783</v>
      </c>
      <c r="R1639" s="89">
        <v>0.35709999999999997</v>
      </c>
      <c r="S1639" s="89">
        <f>100%-Table34[[#This Row],[InitialFee]]</f>
        <v>0.97499999999999998</v>
      </c>
      <c r="T1639" s="89">
        <f>(1-Table34[[#This Row],[OngoingFee (plus Platform fee)]])^5</f>
        <v>0.9630582970465823</v>
      </c>
      <c r="U1639" s="26">
        <f>(1+Table34[[#This Row],[Net 5yrs return (mostly up to 28th of Feb 2026)]])*Table34[[#This Row],[Investment after initial charge]]*Table34[[#This Row],[Cummulative 5yrs ongoing advice charge]]-1</f>
        <v>0.27429225454886885</v>
      </c>
      <c r="V1639" s="10">
        <v>79014000</v>
      </c>
      <c r="W1639" s="10" t="s">
        <v>29051</v>
      </c>
      <c r="X1639" s="10">
        <v>48923000</v>
      </c>
      <c r="Y1639" s="30">
        <f>X1639/V1639</f>
        <v>0.61916875490419421</v>
      </c>
      <c r="Z1639" s="10"/>
      <c r="AA1639" s="1" t="s">
        <v>29971</v>
      </c>
    </row>
    <row r="1640" spans="1:27" hidden="1" x14ac:dyDescent="0.25">
      <c r="A1640">
        <v>440915</v>
      </c>
      <c r="B1640" t="s">
        <v>1974</v>
      </c>
      <c r="C1640" t="s">
        <v>10442</v>
      </c>
      <c r="D1640">
        <v>2</v>
      </c>
      <c r="E1640" t="s">
        <v>1974</v>
      </c>
      <c r="G1640" s="3"/>
      <c r="H1640" s="21">
        <v>0</v>
      </c>
      <c r="I1640" s="21">
        <v>0</v>
      </c>
      <c r="J1640" s="21">
        <v>0</v>
      </c>
      <c r="K1640" s="21">
        <v>0</v>
      </c>
      <c r="L1640" s="3">
        <f t="shared" si="73"/>
        <v>0</v>
      </c>
      <c r="M1640" s="3"/>
      <c r="N1640" s="3">
        <f t="shared" si="74"/>
        <v>0</v>
      </c>
      <c r="R1640" s="89"/>
      <c r="S1640" s="89">
        <f>100%-Table34[[#This Row],[PDF_initial fee]]</f>
        <v>1</v>
      </c>
      <c r="T1640" s="89"/>
      <c r="U1640" s="26"/>
    </row>
    <row r="1641" spans="1:27" hidden="1" x14ac:dyDescent="0.25">
      <c r="A1641">
        <v>440982</v>
      </c>
      <c r="B1641" t="s">
        <v>1975</v>
      </c>
      <c r="C1641" t="s">
        <v>12256</v>
      </c>
      <c r="D1641">
        <v>3</v>
      </c>
      <c r="E1641" t="s">
        <v>1975</v>
      </c>
      <c r="G1641" s="3"/>
      <c r="H1641" s="21">
        <v>0</v>
      </c>
      <c r="I1641" s="21">
        <v>0</v>
      </c>
      <c r="J1641" s="21">
        <v>0</v>
      </c>
      <c r="K1641" s="21">
        <v>0</v>
      </c>
      <c r="L1641" s="3">
        <f t="shared" si="73"/>
        <v>0</v>
      </c>
      <c r="M1641" s="3"/>
      <c r="N1641" s="3">
        <f t="shared" si="74"/>
        <v>0</v>
      </c>
      <c r="R1641" s="89"/>
      <c r="S1641" s="89">
        <f>100%-Table34[[#This Row],[PDF_initial fee]]</f>
        <v>1</v>
      </c>
      <c r="T1641" s="89"/>
      <c r="U1641" s="26"/>
    </row>
    <row r="1642" spans="1:27" hidden="1" x14ac:dyDescent="0.25">
      <c r="A1642">
        <v>441074</v>
      </c>
      <c r="B1642" t="s">
        <v>1976</v>
      </c>
      <c r="C1642" t="s">
        <v>6958</v>
      </c>
      <c r="D1642">
        <v>4</v>
      </c>
      <c r="E1642" t="s">
        <v>1976</v>
      </c>
      <c r="F1642" t="s">
        <v>6958</v>
      </c>
      <c r="G1642" s="3"/>
      <c r="H1642" s="21">
        <v>0</v>
      </c>
      <c r="I1642" s="21">
        <v>0</v>
      </c>
      <c r="J1642" s="21">
        <v>0</v>
      </c>
      <c r="K1642" s="21">
        <v>0</v>
      </c>
      <c r="L1642" s="3">
        <f t="shared" si="73"/>
        <v>0</v>
      </c>
      <c r="M1642" s="3"/>
      <c r="N1642" s="3">
        <f t="shared" si="74"/>
        <v>0</v>
      </c>
      <c r="R1642" s="89"/>
      <c r="S1642" s="89">
        <f>100%-Table34[[#This Row],[PDF_initial fee]]</f>
        <v>1</v>
      </c>
      <c r="T1642" s="89"/>
      <c r="U1642" s="26"/>
    </row>
    <row r="1643" spans="1:27" hidden="1" x14ac:dyDescent="0.25">
      <c r="A1643">
        <v>441172</v>
      </c>
      <c r="B1643" t="s">
        <v>1978</v>
      </c>
      <c r="C1643" t="s">
        <v>6958</v>
      </c>
      <c r="D1643">
        <v>0</v>
      </c>
      <c r="E1643" t="s">
        <v>1978</v>
      </c>
      <c r="F1643" t="s">
        <v>6958</v>
      </c>
      <c r="G1643" s="3"/>
      <c r="H1643" s="21">
        <v>0</v>
      </c>
      <c r="I1643" s="21">
        <v>0</v>
      </c>
      <c r="J1643" s="21">
        <v>0</v>
      </c>
      <c r="K1643" s="21">
        <v>0</v>
      </c>
      <c r="L1643" s="3">
        <f t="shared" si="73"/>
        <v>0</v>
      </c>
      <c r="M1643" s="3"/>
      <c r="N1643" s="3">
        <f t="shared" si="74"/>
        <v>0</v>
      </c>
      <c r="R1643" s="89"/>
      <c r="S1643" s="89">
        <f>100%-Table34[[#This Row],[PDF_initial fee]]</f>
        <v>1</v>
      </c>
      <c r="T1643" s="89"/>
      <c r="U1643" s="26"/>
    </row>
    <row r="1644" spans="1:27" hidden="1" x14ac:dyDescent="0.25">
      <c r="A1644">
        <v>441181</v>
      </c>
      <c r="B1644" t="s">
        <v>1979</v>
      </c>
      <c r="C1644" t="s">
        <v>11051</v>
      </c>
      <c r="D1644">
        <v>4</v>
      </c>
      <c r="E1644" t="s">
        <v>1979</v>
      </c>
      <c r="G1644" s="3"/>
      <c r="H1644" s="21">
        <v>0</v>
      </c>
      <c r="I1644" s="21">
        <v>0</v>
      </c>
      <c r="J1644" s="21">
        <v>0</v>
      </c>
      <c r="K1644" s="21">
        <v>0</v>
      </c>
      <c r="L1644" s="3">
        <f t="shared" si="73"/>
        <v>0</v>
      </c>
      <c r="M1644" s="3"/>
      <c r="N1644" s="3">
        <f t="shared" si="74"/>
        <v>0</v>
      </c>
      <c r="R1644" s="89"/>
      <c r="S1644" s="89">
        <f>100%-Table34[[#This Row],[PDF_initial fee]]</f>
        <v>1</v>
      </c>
      <c r="T1644" s="89"/>
      <c r="U1644" s="26"/>
    </row>
    <row r="1645" spans="1:27" hidden="1" x14ac:dyDescent="0.25">
      <c r="A1645">
        <v>441196</v>
      </c>
      <c r="B1645" t="s">
        <v>1980</v>
      </c>
      <c r="C1645" t="s">
        <v>6958</v>
      </c>
      <c r="D1645">
        <v>1</v>
      </c>
      <c r="E1645" t="s">
        <v>1980</v>
      </c>
      <c r="F1645" t="s">
        <v>6958</v>
      </c>
      <c r="G1645" s="3"/>
      <c r="H1645" s="21">
        <v>0</v>
      </c>
      <c r="I1645" s="21">
        <v>0</v>
      </c>
      <c r="J1645" s="21">
        <v>0</v>
      </c>
      <c r="K1645" s="21">
        <v>0</v>
      </c>
      <c r="L1645" s="3">
        <f t="shared" si="73"/>
        <v>0</v>
      </c>
      <c r="M1645" s="3"/>
      <c r="N1645" s="3">
        <f t="shared" si="74"/>
        <v>0</v>
      </c>
      <c r="R1645" s="89"/>
      <c r="S1645" s="89">
        <f>100%-Table34[[#This Row],[PDF_initial fee]]</f>
        <v>1</v>
      </c>
      <c r="T1645" s="89"/>
      <c r="U1645" s="26"/>
    </row>
    <row r="1646" spans="1:27" hidden="1" x14ac:dyDescent="0.25">
      <c r="A1646">
        <v>441299</v>
      </c>
      <c r="B1646" t="s">
        <v>1981</v>
      </c>
      <c r="C1646" t="s">
        <v>10494</v>
      </c>
      <c r="D1646">
        <v>6</v>
      </c>
      <c r="E1646" t="s">
        <v>1981</v>
      </c>
      <c r="G1646" s="3"/>
      <c r="H1646" s="21">
        <v>0</v>
      </c>
      <c r="I1646" s="21">
        <v>0</v>
      </c>
      <c r="J1646" s="21">
        <v>0</v>
      </c>
      <c r="K1646" s="21">
        <v>0</v>
      </c>
      <c r="L1646" s="3">
        <f t="shared" si="73"/>
        <v>0</v>
      </c>
      <c r="M1646" s="3"/>
      <c r="N1646" s="3">
        <f t="shared" si="74"/>
        <v>0</v>
      </c>
      <c r="R1646" s="89"/>
      <c r="S1646" s="89">
        <f>100%-Table34[[#This Row],[PDF_initial fee]]</f>
        <v>1</v>
      </c>
      <c r="T1646" s="89"/>
      <c r="U1646" s="26"/>
    </row>
    <row r="1647" spans="1:27" hidden="1" x14ac:dyDescent="0.25">
      <c r="A1647">
        <v>441316</v>
      </c>
      <c r="B1647" t="s">
        <v>1982</v>
      </c>
      <c r="C1647" s="1" t="s">
        <v>29972</v>
      </c>
      <c r="D1647">
        <v>4</v>
      </c>
      <c r="E1647" t="s">
        <v>1982</v>
      </c>
      <c r="G1647" s="3"/>
      <c r="H1647" s="3">
        <v>0</v>
      </c>
      <c r="I1647" s="3">
        <v>0</v>
      </c>
      <c r="J1647" s="3">
        <v>0</v>
      </c>
      <c r="K1647" s="3">
        <v>0</v>
      </c>
      <c r="L1647" s="3">
        <f t="shared" si="73"/>
        <v>0</v>
      </c>
      <c r="M1647" s="3"/>
      <c r="N1647" s="3">
        <f t="shared" si="74"/>
        <v>0</v>
      </c>
      <c r="R1647" s="89"/>
      <c r="S1647" s="89">
        <f>100%-Table34[[#This Row],[PDF_initial fee]]</f>
        <v>1</v>
      </c>
      <c r="T1647" s="89"/>
      <c r="U1647" s="26"/>
    </row>
    <row r="1648" spans="1:27" hidden="1" x14ac:dyDescent="0.25">
      <c r="A1648">
        <v>441352</v>
      </c>
      <c r="B1648" t="s">
        <v>1983</v>
      </c>
      <c r="C1648" t="s">
        <v>9220</v>
      </c>
      <c r="D1648">
        <v>4</v>
      </c>
      <c r="E1648" t="s">
        <v>1983</v>
      </c>
      <c r="G1648" s="3"/>
      <c r="H1648" s="21">
        <v>0</v>
      </c>
      <c r="I1648" s="21">
        <v>0</v>
      </c>
      <c r="J1648" s="21">
        <v>0</v>
      </c>
      <c r="K1648" s="21">
        <v>0</v>
      </c>
      <c r="L1648" s="3">
        <f t="shared" si="73"/>
        <v>0</v>
      </c>
      <c r="M1648" s="3"/>
      <c r="N1648" s="3">
        <f t="shared" si="74"/>
        <v>0</v>
      </c>
      <c r="R1648" s="89"/>
      <c r="S1648" s="89">
        <f>100%-Table34[[#This Row],[PDF_initial fee]]</f>
        <v>1</v>
      </c>
      <c r="T1648" s="89"/>
      <c r="U1648" s="26"/>
    </row>
    <row r="1649" spans="1:21" hidden="1" x14ac:dyDescent="0.25">
      <c r="A1649">
        <v>441359</v>
      </c>
      <c r="B1649" t="s">
        <v>1984</v>
      </c>
      <c r="C1649" s="1" t="s">
        <v>29973</v>
      </c>
      <c r="D1649">
        <v>120</v>
      </c>
      <c r="E1649" t="s">
        <v>1984</v>
      </c>
      <c r="F1649" t="s">
        <v>3</v>
      </c>
      <c r="G1649" s="3"/>
      <c r="H1649" s="21">
        <v>0</v>
      </c>
      <c r="I1649" s="21">
        <v>0</v>
      </c>
      <c r="J1649" s="21">
        <v>0</v>
      </c>
      <c r="K1649" s="21">
        <v>0</v>
      </c>
      <c r="L1649" s="3">
        <f t="shared" si="73"/>
        <v>0</v>
      </c>
      <c r="M1649" s="3"/>
      <c r="N1649" s="3">
        <f t="shared" si="74"/>
        <v>0</v>
      </c>
      <c r="R1649" s="89"/>
      <c r="S1649" s="89">
        <f>100%-Table34[[#This Row],[PDF_initial fee]]</f>
        <v>1</v>
      </c>
      <c r="T1649" s="89"/>
      <c r="U1649" s="26"/>
    </row>
    <row r="1650" spans="1:21" hidden="1" x14ac:dyDescent="0.25">
      <c r="A1650">
        <v>441383</v>
      </c>
      <c r="B1650" t="s">
        <v>1985</v>
      </c>
      <c r="C1650" t="s">
        <v>29974</v>
      </c>
      <c r="D1650">
        <v>1</v>
      </c>
      <c r="E1650" t="s">
        <v>1985</v>
      </c>
      <c r="G1650" s="3"/>
      <c r="H1650" s="3"/>
      <c r="I1650" s="3"/>
      <c r="J1650" s="3"/>
      <c r="K1650" s="3"/>
      <c r="L1650" s="3">
        <f t="shared" si="73"/>
        <v>0</v>
      </c>
      <c r="M1650" s="3"/>
      <c r="N1650" s="3">
        <f t="shared" si="74"/>
        <v>0</v>
      </c>
      <c r="R1650" s="89"/>
      <c r="S1650" s="89">
        <f>100%-Table34[[#This Row],[PDF_initial fee]]</f>
        <v>1</v>
      </c>
      <c r="T1650" s="89"/>
      <c r="U1650" s="26"/>
    </row>
    <row r="1651" spans="1:21" hidden="1" x14ac:dyDescent="0.25">
      <c r="A1651">
        <v>441384</v>
      </c>
      <c r="B1651" t="s">
        <v>1986</v>
      </c>
      <c r="C1651" t="s">
        <v>29975</v>
      </c>
      <c r="D1651">
        <v>9</v>
      </c>
      <c r="E1651" t="s">
        <v>1986</v>
      </c>
      <c r="G1651" s="3"/>
      <c r="H1651" s="3">
        <v>0</v>
      </c>
      <c r="I1651" s="3">
        <v>0</v>
      </c>
      <c r="J1651" s="3">
        <v>0</v>
      </c>
      <c r="K1651" s="3">
        <v>0</v>
      </c>
      <c r="L1651" s="3">
        <f t="shared" si="73"/>
        <v>0</v>
      </c>
      <c r="M1651" s="3"/>
      <c r="N1651" s="3">
        <f t="shared" si="74"/>
        <v>0</v>
      </c>
      <c r="R1651" s="89"/>
      <c r="S1651" s="89">
        <f>100%-Table34[[#This Row],[PDF_initial fee]]</f>
        <v>1</v>
      </c>
      <c r="T1651" s="89"/>
      <c r="U1651" s="26"/>
    </row>
    <row r="1652" spans="1:21" hidden="1" x14ac:dyDescent="0.25">
      <c r="A1652">
        <v>441386</v>
      </c>
      <c r="B1652" t="s">
        <v>1987</v>
      </c>
      <c r="C1652" t="s">
        <v>29976</v>
      </c>
      <c r="D1652">
        <v>2</v>
      </c>
      <c r="E1652" t="s">
        <v>1987</v>
      </c>
      <c r="G1652" s="3"/>
      <c r="H1652" s="21">
        <v>0</v>
      </c>
      <c r="I1652" s="21">
        <v>0</v>
      </c>
      <c r="J1652" s="21">
        <v>0</v>
      </c>
      <c r="K1652" s="21">
        <v>0</v>
      </c>
      <c r="L1652" s="3">
        <f t="shared" si="73"/>
        <v>0</v>
      </c>
      <c r="M1652" s="3"/>
      <c r="N1652" s="3">
        <f t="shared" si="74"/>
        <v>0</v>
      </c>
      <c r="O1652" s="21"/>
      <c r="R1652" s="89"/>
      <c r="S1652" s="89">
        <f>100%-Table34[[#This Row],[PDF_initial fee]]</f>
        <v>1</v>
      </c>
      <c r="T1652" s="89"/>
      <c r="U1652" s="26"/>
    </row>
    <row r="1653" spans="1:21" hidden="1" x14ac:dyDescent="0.25">
      <c r="A1653">
        <v>441394</v>
      </c>
      <c r="B1653" t="s">
        <v>1988</v>
      </c>
      <c r="C1653" t="s">
        <v>11955</v>
      </c>
      <c r="D1653">
        <v>1</v>
      </c>
      <c r="E1653" t="s">
        <v>1988</v>
      </c>
      <c r="G1653" s="3"/>
      <c r="H1653" s="21">
        <v>0</v>
      </c>
      <c r="I1653" s="21">
        <v>0</v>
      </c>
      <c r="J1653" s="21">
        <v>0</v>
      </c>
      <c r="K1653" s="21">
        <v>0</v>
      </c>
      <c r="L1653" s="3">
        <f t="shared" si="73"/>
        <v>0</v>
      </c>
      <c r="M1653" s="3"/>
      <c r="N1653" s="3">
        <f t="shared" si="74"/>
        <v>0</v>
      </c>
      <c r="R1653" s="89"/>
      <c r="S1653" s="89">
        <f>100%-Table34[[#This Row],[PDF_initial fee]]</f>
        <v>1</v>
      </c>
      <c r="T1653" s="89"/>
      <c r="U1653" s="26"/>
    </row>
    <row r="1654" spans="1:21" hidden="1" x14ac:dyDescent="0.25">
      <c r="A1654">
        <v>441508</v>
      </c>
      <c r="B1654" t="s">
        <v>1989</v>
      </c>
      <c r="C1654" t="s">
        <v>29977</v>
      </c>
      <c r="D1654">
        <v>1</v>
      </c>
      <c r="E1654" t="s">
        <v>1989</v>
      </c>
      <c r="G1654" s="3"/>
      <c r="H1654" s="3">
        <v>0</v>
      </c>
      <c r="I1654" s="3">
        <v>0</v>
      </c>
      <c r="J1654" s="3">
        <v>0</v>
      </c>
      <c r="K1654" s="3">
        <v>0</v>
      </c>
      <c r="L1654" s="3">
        <f t="shared" si="73"/>
        <v>0</v>
      </c>
      <c r="M1654" s="3"/>
      <c r="N1654" s="3">
        <f t="shared" si="74"/>
        <v>0</v>
      </c>
      <c r="R1654" s="89"/>
      <c r="S1654" s="89">
        <f>100%-Table34[[#This Row],[PDF_initial fee]]</f>
        <v>1</v>
      </c>
      <c r="T1654" s="89"/>
      <c r="U1654" s="26"/>
    </row>
    <row r="1655" spans="1:21" hidden="1" x14ac:dyDescent="0.25">
      <c r="A1655">
        <v>441521</v>
      </c>
      <c r="B1655" t="s">
        <v>1990</v>
      </c>
      <c r="C1655" t="s">
        <v>9282</v>
      </c>
      <c r="D1655">
        <v>2</v>
      </c>
      <c r="E1655" t="s">
        <v>1990</v>
      </c>
      <c r="G1655" s="3"/>
      <c r="H1655" s="21">
        <v>0</v>
      </c>
      <c r="I1655" s="21">
        <v>0</v>
      </c>
      <c r="J1655" s="21">
        <v>0</v>
      </c>
      <c r="K1655" s="21">
        <v>0</v>
      </c>
      <c r="L1655" s="3">
        <f t="shared" si="73"/>
        <v>0</v>
      </c>
      <c r="M1655" s="3"/>
      <c r="N1655" s="3">
        <f t="shared" si="74"/>
        <v>0</v>
      </c>
      <c r="R1655" s="89"/>
      <c r="S1655" s="89">
        <f>100%-Table34[[#This Row],[PDF_initial fee]]</f>
        <v>1</v>
      </c>
      <c r="T1655" s="89"/>
      <c r="U1655" s="26"/>
    </row>
    <row r="1656" spans="1:21" hidden="1" x14ac:dyDescent="0.25">
      <c r="A1656">
        <v>441587</v>
      </c>
      <c r="B1656" t="s">
        <v>1991</v>
      </c>
      <c r="C1656" t="s">
        <v>29978</v>
      </c>
      <c r="D1656">
        <v>0</v>
      </c>
      <c r="E1656" t="s">
        <v>1991</v>
      </c>
      <c r="F1656" t="s">
        <v>29136</v>
      </c>
      <c r="G1656" s="3"/>
      <c r="H1656" s="21">
        <v>0</v>
      </c>
      <c r="I1656" s="21">
        <v>0</v>
      </c>
      <c r="J1656" s="21">
        <v>0</v>
      </c>
      <c r="K1656" s="21">
        <v>0</v>
      </c>
      <c r="L1656" s="3">
        <f t="shared" si="73"/>
        <v>0</v>
      </c>
      <c r="M1656" s="3"/>
      <c r="N1656" s="3">
        <f t="shared" si="74"/>
        <v>0</v>
      </c>
      <c r="O1656" s="21"/>
      <c r="R1656" s="89"/>
      <c r="S1656" s="89">
        <f>100%-Table34[[#This Row],[PDF_initial fee]]</f>
        <v>1</v>
      </c>
      <c r="T1656" s="89"/>
      <c r="U1656" s="26"/>
    </row>
    <row r="1657" spans="1:21" hidden="1" x14ac:dyDescent="0.25">
      <c r="A1657">
        <v>441680</v>
      </c>
      <c r="B1657" t="s">
        <v>1992</v>
      </c>
      <c r="C1657" t="s">
        <v>9070</v>
      </c>
      <c r="D1657">
        <v>1</v>
      </c>
      <c r="E1657" t="s">
        <v>1992</v>
      </c>
      <c r="G1657" s="3"/>
      <c r="H1657" s="21">
        <v>0</v>
      </c>
      <c r="I1657" s="21">
        <v>0</v>
      </c>
      <c r="J1657" s="21">
        <v>0</v>
      </c>
      <c r="K1657" s="21">
        <v>0</v>
      </c>
      <c r="L1657" s="3">
        <f t="shared" si="73"/>
        <v>0</v>
      </c>
      <c r="M1657" s="3"/>
      <c r="N1657" s="3">
        <f t="shared" si="74"/>
        <v>0</v>
      </c>
      <c r="R1657" s="89"/>
      <c r="S1657" s="89">
        <f>100%-Table34[[#This Row],[PDF_initial fee]]</f>
        <v>1</v>
      </c>
      <c r="T1657" s="89"/>
      <c r="U1657" s="26"/>
    </row>
    <row r="1658" spans="1:21" hidden="1" x14ac:dyDescent="0.25">
      <c r="A1658">
        <v>441834</v>
      </c>
      <c r="B1658" t="s">
        <v>1994</v>
      </c>
      <c r="C1658" t="s">
        <v>6958</v>
      </c>
      <c r="D1658">
        <v>1</v>
      </c>
      <c r="E1658" t="s">
        <v>1994</v>
      </c>
      <c r="F1658" t="s">
        <v>6958</v>
      </c>
      <c r="G1658" s="3"/>
      <c r="H1658" s="21">
        <v>0</v>
      </c>
      <c r="I1658" s="21">
        <v>0</v>
      </c>
      <c r="J1658" s="21">
        <v>0</v>
      </c>
      <c r="K1658" s="21">
        <v>0</v>
      </c>
      <c r="L1658" s="3">
        <f t="shared" si="73"/>
        <v>0</v>
      </c>
      <c r="M1658" s="3"/>
      <c r="N1658" s="3">
        <f t="shared" si="74"/>
        <v>0</v>
      </c>
      <c r="R1658" s="89"/>
      <c r="S1658" s="89">
        <f>100%-Table34[[#This Row],[PDF_initial fee]]</f>
        <v>1</v>
      </c>
      <c r="T1658" s="89"/>
      <c r="U1658" s="26"/>
    </row>
    <row r="1659" spans="1:21" hidden="1" x14ac:dyDescent="0.25">
      <c r="A1659">
        <v>441849</v>
      </c>
      <c r="B1659" t="s">
        <v>1995</v>
      </c>
      <c r="C1659" t="s">
        <v>29979</v>
      </c>
      <c r="D1659">
        <v>2</v>
      </c>
      <c r="E1659" t="s">
        <v>1995</v>
      </c>
      <c r="G1659" s="3"/>
      <c r="L1659" s="3">
        <f t="shared" si="73"/>
        <v>0</v>
      </c>
      <c r="M1659" s="3"/>
      <c r="N1659" s="3">
        <f t="shared" si="74"/>
        <v>0</v>
      </c>
      <c r="R1659" s="89"/>
      <c r="S1659" s="89">
        <f>100%-Table34[[#This Row],[PDF_initial fee]]</f>
        <v>1</v>
      </c>
      <c r="T1659" s="89"/>
      <c r="U1659" s="26"/>
    </row>
    <row r="1660" spans="1:21" hidden="1" x14ac:dyDescent="0.25">
      <c r="A1660">
        <v>441911</v>
      </c>
      <c r="B1660" t="s">
        <v>1996</v>
      </c>
      <c r="C1660" t="s">
        <v>7054</v>
      </c>
      <c r="D1660">
        <v>1</v>
      </c>
      <c r="E1660" t="s">
        <v>1996</v>
      </c>
      <c r="G1660" s="3"/>
      <c r="H1660" s="21">
        <v>0</v>
      </c>
      <c r="I1660" s="21">
        <v>0</v>
      </c>
      <c r="J1660" s="21">
        <v>0</v>
      </c>
      <c r="K1660" s="21">
        <v>0</v>
      </c>
      <c r="L1660" s="3">
        <f t="shared" si="73"/>
        <v>0</v>
      </c>
      <c r="M1660" s="3"/>
      <c r="N1660" s="3">
        <f t="shared" si="74"/>
        <v>0</v>
      </c>
      <c r="R1660" s="89"/>
      <c r="S1660" s="89">
        <f>100%-Table34[[#This Row],[PDF_initial fee]]</f>
        <v>1</v>
      </c>
      <c r="T1660" s="89"/>
      <c r="U1660" s="26"/>
    </row>
    <row r="1661" spans="1:21" hidden="1" x14ac:dyDescent="0.25">
      <c r="A1661">
        <v>442050</v>
      </c>
      <c r="B1661" t="s">
        <v>1998</v>
      </c>
      <c r="C1661" t="s">
        <v>8160</v>
      </c>
      <c r="D1661">
        <v>2</v>
      </c>
      <c r="E1661" t="s">
        <v>1998</v>
      </c>
      <c r="G1661" s="3"/>
      <c r="H1661" s="21">
        <v>0</v>
      </c>
      <c r="I1661" s="21">
        <v>0</v>
      </c>
      <c r="J1661" s="21">
        <v>0</v>
      </c>
      <c r="K1661" s="21">
        <v>0</v>
      </c>
      <c r="L1661" s="3">
        <f t="shared" si="73"/>
        <v>0</v>
      </c>
      <c r="M1661" s="3"/>
      <c r="N1661" s="3">
        <f t="shared" si="74"/>
        <v>0</v>
      </c>
      <c r="R1661" s="89"/>
      <c r="S1661" s="89">
        <f>100%-Table34[[#This Row],[PDF_initial fee]]</f>
        <v>1</v>
      </c>
      <c r="T1661" s="89"/>
      <c r="U1661" s="26"/>
    </row>
    <row r="1662" spans="1:21" hidden="1" x14ac:dyDescent="0.25">
      <c r="A1662">
        <v>442051</v>
      </c>
      <c r="B1662" t="s">
        <v>1999</v>
      </c>
      <c r="C1662" t="s">
        <v>12050</v>
      </c>
      <c r="D1662">
        <v>1</v>
      </c>
      <c r="E1662" t="s">
        <v>1999</v>
      </c>
      <c r="G1662" s="3"/>
      <c r="H1662" s="21">
        <v>0</v>
      </c>
      <c r="I1662" s="21">
        <v>0</v>
      </c>
      <c r="J1662" s="21">
        <v>0</v>
      </c>
      <c r="K1662" s="21">
        <v>0</v>
      </c>
      <c r="L1662" s="3">
        <f t="shared" ref="L1662:L1725" si="75">SUM(H1662:K1662)</f>
        <v>0</v>
      </c>
      <c r="M1662" s="3"/>
      <c r="N1662" s="3">
        <f t="shared" ref="N1662:N1727" si="76">L1662+G1662</f>
        <v>0</v>
      </c>
      <c r="R1662" s="89"/>
      <c r="S1662" s="89">
        <f>100%-Table34[[#This Row],[PDF_initial fee]]</f>
        <v>1</v>
      </c>
      <c r="T1662" s="89"/>
      <c r="U1662" s="26"/>
    </row>
    <row r="1663" spans="1:21" hidden="1" x14ac:dyDescent="0.25">
      <c r="A1663">
        <v>442063</v>
      </c>
      <c r="B1663" t="s">
        <v>2000</v>
      </c>
      <c r="C1663" t="s">
        <v>9398</v>
      </c>
      <c r="D1663">
        <v>1</v>
      </c>
      <c r="E1663" t="s">
        <v>2000</v>
      </c>
      <c r="G1663" s="3"/>
      <c r="H1663" s="21">
        <v>0</v>
      </c>
      <c r="I1663" s="21">
        <v>0</v>
      </c>
      <c r="J1663" s="21">
        <v>0</v>
      </c>
      <c r="K1663" s="21">
        <v>0</v>
      </c>
      <c r="L1663" s="3">
        <f t="shared" si="75"/>
        <v>0</v>
      </c>
      <c r="M1663" s="3"/>
      <c r="N1663" s="3">
        <f t="shared" si="76"/>
        <v>0</v>
      </c>
      <c r="R1663" s="89"/>
      <c r="S1663" s="89">
        <f>100%-Table34[[#This Row],[PDF_initial fee]]</f>
        <v>1</v>
      </c>
      <c r="T1663" s="89"/>
      <c r="U1663" s="26"/>
    </row>
    <row r="1664" spans="1:21" hidden="1" x14ac:dyDescent="0.25">
      <c r="A1664">
        <v>442075</v>
      </c>
      <c r="B1664" t="s">
        <v>2001</v>
      </c>
      <c r="C1664" t="s">
        <v>11776</v>
      </c>
      <c r="D1664">
        <v>1</v>
      </c>
      <c r="E1664" t="s">
        <v>2001</v>
      </c>
      <c r="G1664" s="3"/>
      <c r="H1664" s="21">
        <v>0</v>
      </c>
      <c r="I1664" s="21">
        <v>0</v>
      </c>
      <c r="J1664" s="21">
        <v>0</v>
      </c>
      <c r="K1664" s="21">
        <v>0</v>
      </c>
      <c r="L1664" s="3">
        <f t="shared" si="75"/>
        <v>0</v>
      </c>
      <c r="M1664" s="3"/>
      <c r="N1664" s="3">
        <f t="shared" si="76"/>
        <v>0</v>
      </c>
      <c r="R1664" s="89"/>
      <c r="S1664" s="89">
        <f>100%-Table34[[#This Row],[PDF_initial fee]]</f>
        <v>1</v>
      </c>
      <c r="T1664" s="89"/>
      <c r="U1664" s="26"/>
    </row>
    <row r="1665" spans="1:21" hidden="1" x14ac:dyDescent="0.25">
      <c r="A1665">
        <v>442144</v>
      </c>
      <c r="B1665" t="s">
        <v>2002</v>
      </c>
      <c r="C1665" t="s">
        <v>29980</v>
      </c>
      <c r="D1665">
        <v>4</v>
      </c>
      <c r="E1665" t="s">
        <v>2002</v>
      </c>
      <c r="G1665" s="3"/>
      <c r="H1665" s="3">
        <v>0</v>
      </c>
      <c r="I1665" s="3">
        <v>0</v>
      </c>
      <c r="J1665" s="3">
        <v>0</v>
      </c>
      <c r="K1665" s="3">
        <v>0</v>
      </c>
      <c r="L1665" s="3">
        <f t="shared" si="75"/>
        <v>0</v>
      </c>
      <c r="M1665" s="3"/>
      <c r="N1665" s="3">
        <f t="shared" si="76"/>
        <v>0</v>
      </c>
      <c r="R1665" s="89"/>
      <c r="S1665" s="89">
        <f>100%-Table34[[#This Row],[PDF_initial fee]]</f>
        <v>1</v>
      </c>
      <c r="T1665" s="89"/>
      <c r="U1665" s="26"/>
    </row>
    <row r="1666" spans="1:21" hidden="1" x14ac:dyDescent="0.25">
      <c r="A1666">
        <v>442229</v>
      </c>
      <c r="B1666" t="s">
        <v>2003</v>
      </c>
      <c r="C1666" t="s">
        <v>7743</v>
      </c>
      <c r="D1666">
        <v>3</v>
      </c>
      <c r="E1666" t="s">
        <v>2003</v>
      </c>
      <c r="G1666" s="3"/>
      <c r="H1666" s="21">
        <v>0</v>
      </c>
      <c r="I1666" s="21">
        <v>0</v>
      </c>
      <c r="J1666" s="21">
        <v>0</v>
      </c>
      <c r="K1666" s="21">
        <v>0</v>
      </c>
      <c r="L1666" s="3">
        <f t="shared" si="75"/>
        <v>0</v>
      </c>
      <c r="M1666" s="3"/>
      <c r="N1666" s="3">
        <f t="shared" si="76"/>
        <v>0</v>
      </c>
      <c r="R1666" s="89"/>
      <c r="S1666" s="89">
        <f>100%-Table34[[#This Row],[PDF_initial fee]]</f>
        <v>1</v>
      </c>
      <c r="T1666" s="89"/>
      <c r="U1666" s="26"/>
    </row>
    <row r="1667" spans="1:21" hidden="1" x14ac:dyDescent="0.25">
      <c r="A1667">
        <v>442303</v>
      </c>
      <c r="B1667" t="s">
        <v>2004</v>
      </c>
      <c r="C1667" t="s">
        <v>29981</v>
      </c>
      <c r="D1667">
        <v>60</v>
      </c>
      <c r="E1667" t="s">
        <v>2004</v>
      </c>
      <c r="F1667" t="s">
        <v>29136</v>
      </c>
      <c r="G1667" s="3"/>
      <c r="L1667" s="3">
        <f t="shared" si="75"/>
        <v>0</v>
      </c>
      <c r="M1667" s="3"/>
      <c r="N1667" s="3">
        <f t="shared" si="76"/>
        <v>0</v>
      </c>
      <c r="R1667" s="89"/>
      <c r="S1667" s="89">
        <f>100%-Table34[[#This Row],[PDF_initial fee]]</f>
        <v>1</v>
      </c>
      <c r="T1667" s="89"/>
      <c r="U1667" s="26"/>
    </row>
    <row r="1668" spans="1:21" hidden="1" x14ac:dyDescent="0.25">
      <c r="A1668">
        <v>442673</v>
      </c>
      <c r="B1668" t="s">
        <v>2005</v>
      </c>
      <c r="C1668" t="s">
        <v>6958</v>
      </c>
      <c r="D1668">
        <v>2</v>
      </c>
      <c r="E1668" t="s">
        <v>2005</v>
      </c>
      <c r="F1668" t="s">
        <v>6958</v>
      </c>
      <c r="G1668" s="3"/>
      <c r="H1668" s="21">
        <v>0</v>
      </c>
      <c r="I1668" s="21">
        <v>0</v>
      </c>
      <c r="J1668" s="21">
        <v>0</v>
      </c>
      <c r="K1668" s="21">
        <v>0</v>
      </c>
      <c r="L1668" s="3">
        <f t="shared" si="75"/>
        <v>0</v>
      </c>
      <c r="M1668" s="3"/>
      <c r="N1668" s="3">
        <f t="shared" si="76"/>
        <v>0</v>
      </c>
      <c r="R1668" s="89"/>
      <c r="S1668" s="89">
        <f>100%-Table34[[#This Row],[PDF_initial fee]]</f>
        <v>1</v>
      </c>
      <c r="T1668" s="89"/>
      <c r="U1668" s="26"/>
    </row>
    <row r="1669" spans="1:21" hidden="1" x14ac:dyDescent="0.25">
      <c r="A1669">
        <v>442751</v>
      </c>
      <c r="B1669" t="s">
        <v>2006</v>
      </c>
      <c r="C1669" t="s">
        <v>29982</v>
      </c>
      <c r="D1669">
        <v>2</v>
      </c>
      <c r="E1669" t="s">
        <v>2006</v>
      </c>
      <c r="G1669" s="3"/>
      <c r="H1669" s="3">
        <v>0</v>
      </c>
      <c r="I1669" s="3">
        <v>0</v>
      </c>
      <c r="J1669" s="3">
        <v>0</v>
      </c>
      <c r="K1669" s="3">
        <v>0</v>
      </c>
      <c r="L1669" s="3">
        <f t="shared" si="75"/>
        <v>0</v>
      </c>
      <c r="M1669" s="3"/>
      <c r="N1669" s="3">
        <f t="shared" si="76"/>
        <v>0</v>
      </c>
      <c r="R1669" s="89"/>
      <c r="S1669" s="89">
        <f>100%-Table34[[#This Row],[PDF_initial fee]]</f>
        <v>1</v>
      </c>
      <c r="T1669" s="89"/>
      <c r="U1669" s="26"/>
    </row>
    <row r="1670" spans="1:21" hidden="1" x14ac:dyDescent="0.25">
      <c r="A1670">
        <v>442833</v>
      </c>
      <c r="B1670" t="s">
        <v>2007</v>
      </c>
      <c r="C1670" t="s">
        <v>29983</v>
      </c>
      <c r="D1670">
        <v>3</v>
      </c>
      <c r="E1670" t="s">
        <v>2007</v>
      </c>
      <c r="G1670" s="3"/>
      <c r="H1670" s="21">
        <v>0</v>
      </c>
      <c r="I1670" s="21">
        <v>0</v>
      </c>
      <c r="J1670" s="21">
        <v>0</v>
      </c>
      <c r="K1670" s="21">
        <v>0</v>
      </c>
      <c r="L1670" s="3">
        <f t="shared" si="75"/>
        <v>0</v>
      </c>
      <c r="M1670" s="3"/>
      <c r="N1670" s="3">
        <f t="shared" si="76"/>
        <v>0</v>
      </c>
      <c r="O1670" s="21"/>
      <c r="R1670" s="89"/>
      <c r="S1670" s="89">
        <f>100%-Table34[[#This Row],[PDF_initial fee]]</f>
        <v>1</v>
      </c>
      <c r="T1670" s="89"/>
      <c r="U1670" s="26"/>
    </row>
    <row r="1671" spans="1:21" hidden="1" x14ac:dyDescent="0.25">
      <c r="A1671">
        <v>442847</v>
      </c>
      <c r="B1671" t="s">
        <v>2008</v>
      </c>
      <c r="C1671" t="s">
        <v>9298</v>
      </c>
      <c r="D1671">
        <v>8</v>
      </c>
      <c r="E1671" t="s">
        <v>2008</v>
      </c>
      <c r="G1671" s="3"/>
      <c r="L1671" s="3">
        <f t="shared" si="75"/>
        <v>0</v>
      </c>
      <c r="M1671" s="3"/>
      <c r="N1671" s="3">
        <f t="shared" si="76"/>
        <v>0</v>
      </c>
      <c r="R1671" s="89"/>
      <c r="S1671" s="89">
        <f>100%-Table34[[#This Row],[PDF_initial fee]]</f>
        <v>1</v>
      </c>
      <c r="T1671" s="89"/>
      <c r="U1671" s="26"/>
    </row>
    <row r="1672" spans="1:21" hidden="1" x14ac:dyDescent="0.25">
      <c r="A1672">
        <v>442856</v>
      </c>
      <c r="B1672" t="s">
        <v>2009</v>
      </c>
      <c r="C1672" t="s">
        <v>6958</v>
      </c>
      <c r="D1672">
        <v>0</v>
      </c>
      <c r="E1672" t="s">
        <v>2009</v>
      </c>
      <c r="F1672" t="s">
        <v>6958</v>
      </c>
      <c r="G1672" s="3"/>
      <c r="H1672" s="21">
        <v>0</v>
      </c>
      <c r="I1672" s="21">
        <v>0</v>
      </c>
      <c r="J1672" s="21">
        <v>0</v>
      </c>
      <c r="K1672" s="21">
        <v>0</v>
      </c>
      <c r="L1672" s="3">
        <f t="shared" si="75"/>
        <v>0</v>
      </c>
      <c r="M1672" s="3"/>
      <c r="N1672" s="3">
        <f t="shared" si="76"/>
        <v>0</v>
      </c>
      <c r="R1672" s="89"/>
      <c r="S1672" s="89">
        <f>100%-Table34[[#This Row],[PDF_initial fee]]</f>
        <v>1</v>
      </c>
      <c r="T1672" s="89"/>
      <c r="U1672" s="26"/>
    </row>
    <row r="1673" spans="1:21" hidden="1" x14ac:dyDescent="0.25">
      <c r="A1673">
        <v>442875</v>
      </c>
      <c r="B1673" t="s">
        <v>2010</v>
      </c>
      <c r="C1673" t="s">
        <v>12129</v>
      </c>
      <c r="D1673">
        <v>2</v>
      </c>
      <c r="E1673" t="s">
        <v>2010</v>
      </c>
      <c r="G1673" s="3"/>
      <c r="H1673" s="21">
        <v>0</v>
      </c>
      <c r="I1673" s="21">
        <v>0</v>
      </c>
      <c r="J1673" s="21">
        <v>0</v>
      </c>
      <c r="K1673" s="21">
        <v>0</v>
      </c>
      <c r="L1673" s="3">
        <f t="shared" si="75"/>
        <v>0</v>
      </c>
      <c r="M1673" s="3"/>
      <c r="N1673" s="3">
        <f t="shared" si="76"/>
        <v>0</v>
      </c>
      <c r="R1673" s="89"/>
      <c r="S1673" s="89">
        <f>100%-Table34[[#This Row],[PDF_initial fee]]</f>
        <v>1</v>
      </c>
      <c r="T1673" s="89"/>
      <c r="U1673" s="26"/>
    </row>
    <row r="1674" spans="1:21" hidden="1" x14ac:dyDescent="0.25">
      <c r="A1674">
        <v>443209</v>
      </c>
      <c r="B1674" t="s">
        <v>2011</v>
      </c>
      <c r="C1674" t="s">
        <v>8683</v>
      </c>
      <c r="D1674">
        <v>7</v>
      </c>
      <c r="E1674" t="s">
        <v>2011</v>
      </c>
      <c r="G1674" s="3"/>
      <c r="H1674" s="21">
        <v>0</v>
      </c>
      <c r="I1674" s="21">
        <v>0</v>
      </c>
      <c r="J1674" s="21">
        <v>0</v>
      </c>
      <c r="K1674" s="21">
        <v>0</v>
      </c>
      <c r="L1674" s="3">
        <f t="shared" si="75"/>
        <v>0</v>
      </c>
      <c r="M1674" s="3"/>
      <c r="N1674" s="3">
        <f t="shared" si="76"/>
        <v>0</v>
      </c>
      <c r="R1674" s="89"/>
      <c r="S1674" s="89">
        <f>100%-Table34[[#This Row],[PDF_initial fee]]</f>
        <v>1</v>
      </c>
      <c r="T1674" s="89"/>
      <c r="U1674" s="26"/>
    </row>
    <row r="1675" spans="1:21" hidden="1" x14ac:dyDescent="0.25">
      <c r="A1675">
        <v>443586</v>
      </c>
      <c r="B1675" t="s">
        <v>2012</v>
      </c>
      <c r="C1675" t="s">
        <v>6958</v>
      </c>
      <c r="D1675">
        <v>1</v>
      </c>
      <c r="E1675" t="s">
        <v>2012</v>
      </c>
      <c r="F1675" t="s">
        <v>6958</v>
      </c>
      <c r="G1675" s="3"/>
      <c r="H1675" s="21">
        <v>0</v>
      </c>
      <c r="I1675" s="21">
        <v>0</v>
      </c>
      <c r="J1675" s="21">
        <v>0</v>
      </c>
      <c r="K1675" s="21">
        <v>0</v>
      </c>
      <c r="L1675" s="3">
        <f t="shared" si="75"/>
        <v>0</v>
      </c>
      <c r="M1675" s="3"/>
      <c r="N1675" s="3">
        <f t="shared" si="76"/>
        <v>0</v>
      </c>
      <c r="R1675" s="89"/>
      <c r="S1675" s="89">
        <f>100%-Table34[[#This Row],[PDF_initial fee]]</f>
        <v>1</v>
      </c>
      <c r="T1675" s="89"/>
      <c r="U1675" s="26"/>
    </row>
    <row r="1676" spans="1:21" hidden="1" x14ac:dyDescent="0.25">
      <c r="A1676">
        <v>443827</v>
      </c>
      <c r="B1676" t="s">
        <v>2013</v>
      </c>
      <c r="C1676" t="s">
        <v>12194</v>
      </c>
      <c r="D1676">
        <v>3</v>
      </c>
      <c r="E1676" t="s">
        <v>2013</v>
      </c>
      <c r="G1676" s="3"/>
      <c r="H1676" s="21">
        <v>0</v>
      </c>
      <c r="I1676" s="21">
        <v>0</v>
      </c>
      <c r="J1676" s="21">
        <v>0</v>
      </c>
      <c r="K1676" s="21">
        <v>0</v>
      </c>
      <c r="L1676" s="3">
        <f t="shared" si="75"/>
        <v>0</v>
      </c>
      <c r="M1676" s="3"/>
      <c r="N1676" s="3">
        <f t="shared" si="76"/>
        <v>0</v>
      </c>
      <c r="R1676" s="89"/>
      <c r="S1676" s="89">
        <f>100%-Table34[[#This Row],[PDF_initial fee]]</f>
        <v>1</v>
      </c>
      <c r="T1676" s="89"/>
      <c r="U1676" s="26"/>
    </row>
    <row r="1677" spans="1:21" hidden="1" x14ac:dyDescent="0.25">
      <c r="A1677">
        <v>444193</v>
      </c>
      <c r="B1677" t="s">
        <v>2014</v>
      </c>
      <c r="C1677" t="s">
        <v>29984</v>
      </c>
      <c r="D1677">
        <v>1</v>
      </c>
      <c r="E1677" t="s">
        <v>2014</v>
      </c>
      <c r="G1677" s="3"/>
      <c r="H1677" s="3">
        <v>0</v>
      </c>
      <c r="I1677" s="3">
        <v>0</v>
      </c>
      <c r="J1677" s="3">
        <v>0</v>
      </c>
      <c r="K1677" s="3">
        <v>0</v>
      </c>
      <c r="L1677" s="3">
        <f t="shared" si="75"/>
        <v>0</v>
      </c>
      <c r="M1677" s="3"/>
      <c r="N1677" s="3">
        <f t="shared" si="76"/>
        <v>0</v>
      </c>
      <c r="R1677" s="89"/>
      <c r="S1677" s="89">
        <f>100%-Table34[[#This Row],[PDF_initial fee]]</f>
        <v>1</v>
      </c>
      <c r="T1677" s="89"/>
      <c r="U1677" s="26"/>
    </row>
    <row r="1678" spans="1:21" hidden="1" x14ac:dyDescent="0.25">
      <c r="A1678">
        <v>444484</v>
      </c>
      <c r="B1678" t="s">
        <v>2015</v>
      </c>
      <c r="C1678" t="s">
        <v>9479</v>
      </c>
      <c r="D1678">
        <v>3</v>
      </c>
      <c r="E1678" t="s">
        <v>2015</v>
      </c>
      <c r="G1678" s="3"/>
      <c r="L1678" s="3">
        <f t="shared" si="75"/>
        <v>0</v>
      </c>
      <c r="M1678" s="3"/>
      <c r="N1678" s="3">
        <f t="shared" si="76"/>
        <v>0</v>
      </c>
      <c r="R1678" s="89"/>
      <c r="S1678" s="89">
        <f>100%-Table34[[#This Row],[PDF_initial fee]]</f>
        <v>1</v>
      </c>
      <c r="T1678" s="89"/>
      <c r="U1678" s="26"/>
    </row>
    <row r="1679" spans="1:21" hidden="1" x14ac:dyDescent="0.25">
      <c r="A1679">
        <v>445480</v>
      </c>
      <c r="B1679" t="s">
        <v>2016</v>
      </c>
      <c r="C1679" t="s">
        <v>7110</v>
      </c>
      <c r="D1679">
        <v>2</v>
      </c>
      <c r="E1679" t="s">
        <v>2016</v>
      </c>
      <c r="G1679" s="3"/>
      <c r="H1679" s="21">
        <v>0</v>
      </c>
      <c r="I1679" s="21">
        <v>0</v>
      </c>
      <c r="J1679" s="21">
        <v>0</v>
      </c>
      <c r="K1679" s="21">
        <v>0</v>
      </c>
      <c r="L1679" s="3">
        <f t="shared" si="75"/>
        <v>0</v>
      </c>
      <c r="M1679" s="3"/>
      <c r="N1679" s="3">
        <f t="shared" si="76"/>
        <v>0</v>
      </c>
      <c r="R1679" s="89"/>
      <c r="S1679" s="89">
        <f>100%-Table34[[#This Row],[PDF_initial fee]]</f>
        <v>1</v>
      </c>
      <c r="T1679" s="89"/>
      <c r="U1679" s="26"/>
    </row>
    <row r="1680" spans="1:21" hidden="1" x14ac:dyDescent="0.25">
      <c r="A1680">
        <v>445657</v>
      </c>
      <c r="B1680" t="s">
        <v>2017</v>
      </c>
      <c r="C1680" t="s">
        <v>8511</v>
      </c>
      <c r="D1680">
        <v>4</v>
      </c>
      <c r="E1680" t="s">
        <v>2017</v>
      </c>
      <c r="G1680" s="3"/>
      <c r="H1680" s="21">
        <v>0</v>
      </c>
      <c r="I1680" s="21">
        <v>0</v>
      </c>
      <c r="J1680" s="21">
        <v>0</v>
      </c>
      <c r="K1680" s="21">
        <v>0</v>
      </c>
      <c r="L1680" s="3">
        <f t="shared" si="75"/>
        <v>0</v>
      </c>
      <c r="M1680" s="3"/>
      <c r="N1680" s="3">
        <f t="shared" si="76"/>
        <v>0</v>
      </c>
      <c r="R1680" s="89"/>
      <c r="S1680" s="89">
        <f>100%-Table34[[#This Row],[PDF_initial fee]]</f>
        <v>1</v>
      </c>
      <c r="T1680" s="89"/>
      <c r="U1680" s="26"/>
    </row>
    <row r="1681" spans="1:27" hidden="1" x14ac:dyDescent="0.25">
      <c r="A1681">
        <v>445837</v>
      </c>
      <c r="B1681" t="s">
        <v>2018</v>
      </c>
      <c r="C1681" t="s">
        <v>9847</v>
      </c>
      <c r="D1681" s="66">
        <v>4</v>
      </c>
      <c r="E1681" t="s">
        <v>2018</v>
      </c>
      <c r="F1681" t="s">
        <v>29985</v>
      </c>
      <c r="G1681" s="3"/>
      <c r="H1681" s="21">
        <v>0</v>
      </c>
      <c r="I1681" s="21">
        <v>0</v>
      </c>
      <c r="J1681" s="21">
        <v>0</v>
      </c>
      <c r="K1681" s="21">
        <v>0</v>
      </c>
      <c r="L1681" s="3">
        <f t="shared" si="75"/>
        <v>0</v>
      </c>
      <c r="M1681" s="3"/>
      <c r="N1681" s="3">
        <f t="shared" si="76"/>
        <v>0</v>
      </c>
      <c r="O1681" t="s">
        <v>29986</v>
      </c>
      <c r="R1681" s="89"/>
      <c r="S1681" s="89">
        <f>100%-Table34[[#This Row],[PDF_initial fee]]</f>
        <v>1</v>
      </c>
      <c r="T1681" s="89"/>
      <c r="U1681" s="26"/>
    </row>
    <row r="1682" spans="1:27" hidden="1" x14ac:dyDescent="0.25">
      <c r="A1682">
        <v>445938</v>
      </c>
      <c r="B1682" t="s">
        <v>2019</v>
      </c>
      <c r="C1682" t="s">
        <v>6958</v>
      </c>
      <c r="D1682">
        <v>2</v>
      </c>
      <c r="E1682" t="s">
        <v>2019</v>
      </c>
      <c r="F1682" t="s">
        <v>6958</v>
      </c>
      <c r="G1682" s="3"/>
      <c r="H1682" s="21">
        <v>0</v>
      </c>
      <c r="I1682" s="21">
        <v>0</v>
      </c>
      <c r="J1682" s="21">
        <v>0</v>
      </c>
      <c r="K1682" s="21">
        <v>0</v>
      </c>
      <c r="L1682" s="3">
        <f t="shared" si="75"/>
        <v>0</v>
      </c>
      <c r="M1682" s="3"/>
      <c r="N1682" s="3">
        <f t="shared" si="76"/>
        <v>0</v>
      </c>
      <c r="R1682" s="89"/>
      <c r="S1682" s="89">
        <f>100%-Table34[[#This Row],[PDF_initial fee]]</f>
        <v>1</v>
      </c>
      <c r="T1682" s="89"/>
      <c r="U1682" s="26"/>
    </row>
    <row r="1683" spans="1:27" x14ac:dyDescent="0.25">
      <c r="A1683">
        <v>452196</v>
      </c>
      <c r="B1683" t="s">
        <v>168</v>
      </c>
      <c r="C1683" s="1" t="s">
        <v>29987</v>
      </c>
      <c r="D1683" s="1">
        <v>1</v>
      </c>
      <c r="E1683" t="s">
        <v>168</v>
      </c>
      <c r="F1683" t="s">
        <v>3</v>
      </c>
      <c r="G1683" s="3">
        <v>1.4E-3</v>
      </c>
      <c r="H1683" s="3">
        <v>0</v>
      </c>
      <c r="I1683" s="3">
        <v>0</v>
      </c>
      <c r="J1683" s="3">
        <f>0.55%+1%</f>
        <v>1.55E-2</v>
      </c>
      <c r="K1683" s="3">
        <v>0.01</v>
      </c>
      <c r="L1683" s="3">
        <f t="shared" si="75"/>
        <v>2.5500000000000002E-2</v>
      </c>
      <c r="M1683" s="3"/>
      <c r="N1683" s="3">
        <f t="shared" si="76"/>
        <v>2.69E-2</v>
      </c>
      <c r="P1683" s="1" t="s">
        <v>29988</v>
      </c>
      <c r="Q1683" t="s">
        <v>31787</v>
      </c>
      <c r="R1683" s="89">
        <v>0.33333333333333348</v>
      </c>
      <c r="S1683" s="89">
        <f>100%-Table34[[#This Row],[PDF_initial fee]]</f>
        <v>0.98450000000000004</v>
      </c>
      <c r="T1683" s="89">
        <f>(1-Table34[[#This Row],[PDF ongoing fee]])^5</f>
        <v>0.95099004989999991</v>
      </c>
      <c r="U1683" s="26">
        <f>(1+Table34[[#This Row],[Net 5yrs return (mostly up to 28th of Feb 2026)]])*Table34[[#This Row],[Investment after initial charge]]*Table34[[#This Row],[Cummulative 5yrs ongoing advice charge]]-1</f>
        <v>0.24833293883540009</v>
      </c>
      <c r="V1683" s="10" t="s">
        <v>29690</v>
      </c>
      <c r="W1683" t="s">
        <v>29051</v>
      </c>
      <c r="X1683"/>
      <c r="Y1683" s="30"/>
      <c r="AA1683" t="s">
        <v>29690</v>
      </c>
    </row>
    <row r="1684" spans="1:27" hidden="1" x14ac:dyDescent="0.25">
      <c r="A1684">
        <v>446074</v>
      </c>
      <c r="B1684" t="s">
        <v>2020</v>
      </c>
      <c r="C1684" t="s">
        <v>8377</v>
      </c>
      <c r="D1684">
        <v>2</v>
      </c>
      <c r="E1684" t="s">
        <v>2020</v>
      </c>
      <c r="G1684" s="3"/>
      <c r="H1684" s="21">
        <v>0</v>
      </c>
      <c r="I1684" s="21">
        <v>0</v>
      </c>
      <c r="J1684" s="21">
        <v>0</v>
      </c>
      <c r="K1684" s="21">
        <v>0</v>
      </c>
      <c r="L1684" s="3">
        <f t="shared" si="75"/>
        <v>0</v>
      </c>
      <c r="M1684" s="3"/>
      <c r="N1684" s="3">
        <f t="shared" si="76"/>
        <v>0</v>
      </c>
      <c r="R1684" s="89"/>
      <c r="S1684" s="89">
        <f>100%-Table34[[#This Row],[PDF_initial fee]]</f>
        <v>1</v>
      </c>
      <c r="T1684" s="89"/>
      <c r="U1684" s="26"/>
    </row>
    <row r="1685" spans="1:27" hidden="1" x14ac:dyDescent="0.25">
      <c r="A1685">
        <v>446163</v>
      </c>
      <c r="B1685" t="s">
        <v>2021</v>
      </c>
      <c r="C1685" t="s">
        <v>10992</v>
      </c>
      <c r="D1685">
        <v>3</v>
      </c>
      <c r="E1685" t="s">
        <v>2021</v>
      </c>
      <c r="G1685" s="3"/>
      <c r="H1685" s="39"/>
      <c r="I1685" s="39"/>
      <c r="J1685" s="39"/>
      <c r="K1685" s="39"/>
      <c r="L1685" s="3">
        <f t="shared" si="75"/>
        <v>0</v>
      </c>
      <c r="M1685" s="3"/>
      <c r="N1685" s="3">
        <f t="shared" si="76"/>
        <v>0</v>
      </c>
      <c r="R1685" s="89"/>
      <c r="S1685" s="89">
        <f>100%-Table34[[#This Row],[PDF_initial fee]]</f>
        <v>1</v>
      </c>
      <c r="T1685" s="89"/>
      <c r="U1685" s="26"/>
    </row>
    <row r="1686" spans="1:27" hidden="1" x14ac:dyDescent="0.25">
      <c r="A1686">
        <v>446202</v>
      </c>
      <c r="B1686" t="s">
        <v>2022</v>
      </c>
      <c r="C1686" t="s">
        <v>10611</v>
      </c>
      <c r="D1686">
        <v>1</v>
      </c>
      <c r="E1686" t="s">
        <v>2022</v>
      </c>
      <c r="G1686" s="3"/>
      <c r="H1686" s="21">
        <v>0</v>
      </c>
      <c r="I1686" s="21">
        <v>0</v>
      </c>
      <c r="J1686" s="21">
        <v>0</v>
      </c>
      <c r="K1686" s="21">
        <v>0</v>
      </c>
      <c r="L1686" s="3">
        <f t="shared" si="75"/>
        <v>0</v>
      </c>
      <c r="M1686" s="3"/>
      <c r="N1686" s="3">
        <f t="shared" si="76"/>
        <v>0</v>
      </c>
      <c r="R1686" s="89"/>
      <c r="S1686" s="89">
        <f>100%-Table34[[#This Row],[PDF_initial fee]]</f>
        <v>1</v>
      </c>
      <c r="T1686" s="89"/>
      <c r="U1686" s="26"/>
    </row>
    <row r="1687" spans="1:27" hidden="1" x14ac:dyDescent="0.25">
      <c r="A1687">
        <v>446240</v>
      </c>
      <c r="B1687" t="s">
        <v>2023</v>
      </c>
      <c r="C1687" t="s">
        <v>6958</v>
      </c>
      <c r="D1687">
        <v>2</v>
      </c>
      <c r="E1687" t="s">
        <v>2023</v>
      </c>
      <c r="F1687" t="s">
        <v>6958</v>
      </c>
      <c r="G1687" s="3"/>
      <c r="H1687" s="21">
        <v>0</v>
      </c>
      <c r="I1687" s="21">
        <v>0</v>
      </c>
      <c r="J1687" s="21">
        <v>0</v>
      </c>
      <c r="K1687" s="21">
        <v>0</v>
      </c>
      <c r="L1687" s="3">
        <f t="shared" si="75"/>
        <v>0</v>
      </c>
      <c r="M1687" s="3"/>
      <c r="N1687" s="3">
        <f t="shared" si="76"/>
        <v>0</v>
      </c>
      <c r="R1687" s="89"/>
      <c r="S1687" s="89">
        <f>100%-Table34[[#This Row],[PDF_initial fee]]</f>
        <v>1</v>
      </c>
      <c r="T1687" s="89"/>
      <c r="U1687" s="26"/>
    </row>
    <row r="1688" spans="1:27" x14ac:dyDescent="0.25">
      <c r="A1688">
        <v>228591</v>
      </c>
      <c r="B1688" t="s">
        <v>129</v>
      </c>
      <c r="C1688" s="1" t="s">
        <v>29989</v>
      </c>
      <c r="D1688">
        <v>5</v>
      </c>
      <c r="E1688" t="s">
        <v>129</v>
      </c>
      <c r="F1688" t="s">
        <v>3</v>
      </c>
      <c r="G1688" s="3">
        <v>1.4E-3</v>
      </c>
      <c r="H1688" s="3">
        <v>0.02</v>
      </c>
      <c r="I1688" s="3">
        <f>(1.5/2)%</f>
        <v>7.4999999999999997E-3</v>
      </c>
      <c r="J1688" s="6">
        <v>0</v>
      </c>
      <c r="K1688" s="6">
        <v>0</v>
      </c>
      <c r="L1688" s="3">
        <f t="shared" si="75"/>
        <v>2.75E-2</v>
      </c>
      <c r="M1688" s="3"/>
      <c r="N1688" s="3">
        <f t="shared" si="76"/>
        <v>2.8899999999999999E-2</v>
      </c>
      <c r="P1688" s="1" t="s">
        <v>29990</v>
      </c>
      <c r="R1688" s="30">
        <v>0.33333333333333348</v>
      </c>
      <c r="S1688" s="89">
        <f>100%-Table34[[#This Row],[InitialFee]]</f>
        <v>0.98</v>
      </c>
      <c r="T1688" s="89">
        <f>(1-Table34[[#This Row],[OngoingFee (plus Platform fee)]])^5</f>
        <v>0.9630582970465823</v>
      </c>
      <c r="U1688" s="26">
        <f>(1+Table34[[#This Row],[Net 5yrs return (mostly up to 28th of Feb 2026)]])*Table34[[#This Row],[Investment after initial charge]]*Table34[[#This Row],[Cummulative 5yrs ongoing advice charge]]-1</f>
        <v>0.2583961748075343</v>
      </c>
      <c r="V1688" s="10">
        <f>1095001+5731</f>
        <v>1100732</v>
      </c>
      <c r="W1688" t="s">
        <v>29051</v>
      </c>
      <c r="X1688" s="10">
        <v>998175</v>
      </c>
      <c r="Y1688" s="30">
        <f>X1688/V1688</f>
        <v>0.9068283651242991</v>
      </c>
      <c r="AA1688" s="1" t="s">
        <v>29991</v>
      </c>
    </row>
    <row r="1689" spans="1:27" hidden="1" x14ac:dyDescent="0.25">
      <c r="A1689">
        <v>446387</v>
      </c>
      <c r="B1689" t="s">
        <v>2024</v>
      </c>
      <c r="C1689" t="s">
        <v>29992</v>
      </c>
      <c r="D1689">
        <v>1</v>
      </c>
      <c r="E1689" t="s">
        <v>2024</v>
      </c>
      <c r="G1689" s="3"/>
      <c r="H1689" s="3">
        <v>0</v>
      </c>
      <c r="I1689" s="3">
        <v>0</v>
      </c>
      <c r="J1689" s="3">
        <v>0</v>
      </c>
      <c r="K1689" s="3">
        <v>0</v>
      </c>
      <c r="L1689" s="3">
        <f t="shared" si="75"/>
        <v>0</v>
      </c>
      <c r="M1689" s="3"/>
      <c r="N1689" s="3">
        <f t="shared" si="76"/>
        <v>0</v>
      </c>
      <c r="R1689" s="89"/>
      <c r="S1689" s="89">
        <f>100%-Table34[[#This Row],[PDF_initial fee]]</f>
        <v>1</v>
      </c>
      <c r="T1689" s="89"/>
      <c r="U1689" s="26"/>
    </row>
    <row r="1690" spans="1:27" hidden="1" x14ac:dyDescent="0.25">
      <c r="A1690">
        <v>446389</v>
      </c>
      <c r="B1690" t="s">
        <v>2025</v>
      </c>
      <c r="C1690" t="s">
        <v>8542</v>
      </c>
      <c r="D1690">
        <v>4</v>
      </c>
      <c r="E1690" t="s">
        <v>2025</v>
      </c>
      <c r="G1690" s="3"/>
      <c r="L1690" s="3">
        <f t="shared" si="75"/>
        <v>0</v>
      </c>
      <c r="M1690" s="3"/>
      <c r="N1690" s="3">
        <f t="shared" si="76"/>
        <v>0</v>
      </c>
      <c r="R1690" s="89"/>
      <c r="S1690" s="89">
        <f>100%-Table34[[#This Row],[PDF_initial fee]]</f>
        <v>1</v>
      </c>
      <c r="T1690" s="89"/>
      <c r="U1690" s="26"/>
    </row>
    <row r="1691" spans="1:27" hidden="1" x14ac:dyDescent="0.25">
      <c r="A1691">
        <v>446399</v>
      </c>
      <c r="B1691" t="s">
        <v>2026</v>
      </c>
      <c r="C1691" t="s">
        <v>7524</v>
      </c>
      <c r="D1691">
        <v>5</v>
      </c>
      <c r="E1691" t="s">
        <v>2026</v>
      </c>
      <c r="G1691" s="3"/>
      <c r="H1691" s="21">
        <v>0</v>
      </c>
      <c r="I1691" s="21">
        <v>0</v>
      </c>
      <c r="J1691" s="21">
        <v>0</v>
      </c>
      <c r="K1691" s="21">
        <v>0</v>
      </c>
      <c r="L1691" s="3">
        <f t="shared" si="75"/>
        <v>0</v>
      </c>
      <c r="M1691" s="3"/>
      <c r="N1691" s="3">
        <f t="shared" si="76"/>
        <v>0</v>
      </c>
      <c r="R1691" s="89"/>
      <c r="S1691" s="89">
        <f>100%-Table34[[#This Row],[PDF_initial fee]]</f>
        <v>1</v>
      </c>
      <c r="T1691" s="89"/>
      <c r="U1691" s="26"/>
    </row>
    <row r="1692" spans="1:27" hidden="1" x14ac:dyDescent="0.25">
      <c r="A1692">
        <v>446499</v>
      </c>
      <c r="B1692" t="s">
        <v>2027</v>
      </c>
      <c r="C1692" t="s">
        <v>10164</v>
      </c>
      <c r="D1692">
        <v>1</v>
      </c>
      <c r="E1692" t="s">
        <v>2027</v>
      </c>
      <c r="G1692" s="3"/>
      <c r="H1692" s="21">
        <v>0</v>
      </c>
      <c r="I1692" s="21">
        <v>0</v>
      </c>
      <c r="J1692" s="21">
        <v>0</v>
      </c>
      <c r="K1692" s="21">
        <v>0</v>
      </c>
      <c r="L1692" s="3">
        <f t="shared" si="75"/>
        <v>0</v>
      </c>
      <c r="M1692" s="3"/>
      <c r="N1692" s="3">
        <f t="shared" si="76"/>
        <v>0</v>
      </c>
      <c r="R1692" s="89"/>
      <c r="S1692" s="89">
        <f>100%-Table34[[#This Row],[PDF_initial fee]]</f>
        <v>1</v>
      </c>
      <c r="T1692" s="89"/>
      <c r="U1692" s="26"/>
    </row>
    <row r="1693" spans="1:27" hidden="1" x14ac:dyDescent="0.25">
      <c r="A1693">
        <v>446500</v>
      </c>
      <c r="B1693" t="s">
        <v>2028</v>
      </c>
      <c r="C1693" t="s">
        <v>10665</v>
      </c>
      <c r="D1693">
        <v>1</v>
      </c>
      <c r="E1693" t="s">
        <v>2028</v>
      </c>
      <c r="G1693" s="3"/>
      <c r="H1693" s="21">
        <v>0</v>
      </c>
      <c r="I1693" s="21">
        <v>0</v>
      </c>
      <c r="J1693" s="21">
        <v>0</v>
      </c>
      <c r="K1693" s="21">
        <v>0</v>
      </c>
      <c r="L1693" s="3">
        <f t="shared" si="75"/>
        <v>0</v>
      </c>
      <c r="M1693" s="3"/>
      <c r="N1693" s="3">
        <f t="shared" si="76"/>
        <v>0</v>
      </c>
      <c r="R1693" s="89"/>
      <c r="S1693" s="89">
        <f>100%-Table34[[#This Row],[PDF_initial fee]]</f>
        <v>1</v>
      </c>
      <c r="T1693" s="89"/>
      <c r="U1693" s="26"/>
    </row>
    <row r="1694" spans="1:27" hidden="1" x14ac:dyDescent="0.25">
      <c r="A1694">
        <v>446522</v>
      </c>
      <c r="B1694" t="s">
        <v>2029</v>
      </c>
      <c r="C1694" t="s">
        <v>10757</v>
      </c>
      <c r="D1694">
        <v>2</v>
      </c>
      <c r="E1694" t="s">
        <v>2029</v>
      </c>
      <c r="G1694" s="3"/>
      <c r="H1694" s="21">
        <v>0</v>
      </c>
      <c r="I1694" s="21">
        <v>0</v>
      </c>
      <c r="J1694" s="21">
        <v>0</v>
      </c>
      <c r="K1694" s="21">
        <v>0</v>
      </c>
      <c r="L1694" s="3">
        <f t="shared" si="75"/>
        <v>0</v>
      </c>
      <c r="M1694" s="3"/>
      <c r="N1694" s="3">
        <f t="shared" si="76"/>
        <v>0</v>
      </c>
      <c r="R1694" s="89"/>
      <c r="S1694" s="89">
        <f>100%-Table34[[#This Row],[PDF_initial fee]]</f>
        <v>1</v>
      </c>
      <c r="T1694" s="89"/>
      <c r="U1694" s="26"/>
    </row>
    <row r="1695" spans="1:27" hidden="1" x14ac:dyDescent="0.25">
      <c r="A1695">
        <v>446582</v>
      </c>
      <c r="B1695" t="s">
        <v>2031</v>
      </c>
      <c r="C1695" t="s">
        <v>6958</v>
      </c>
      <c r="D1695">
        <v>1</v>
      </c>
      <c r="E1695" t="s">
        <v>2031</v>
      </c>
      <c r="F1695" t="s">
        <v>6958</v>
      </c>
      <c r="G1695" s="3"/>
      <c r="L1695" s="3">
        <f t="shared" si="75"/>
        <v>0</v>
      </c>
      <c r="M1695" s="3"/>
      <c r="N1695" s="3">
        <f t="shared" si="76"/>
        <v>0</v>
      </c>
      <c r="R1695" s="89"/>
      <c r="S1695" s="89">
        <f>100%-Table34[[#This Row],[PDF_initial fee]]</f>
        <v>1</v>
      </c>
      <c r="T1695" s="89"/>
      <c r="U1695" s="26"/>
    </row>
    <row r="1696" spans="1:27" hidden="1" x14ac:dyDescent="0.25">
      <c r="A1696">
        <v>446589</v>
      </c>
      <c r="B1696" t="s">
        <v>2032</v>
      </c>
      <c r="C1696" t="s">
        <v>11307</v>
      </c>
      <c r="D1696">
        <v>15</v>
      </c>
      <c r="E1696" t="s">
        <v>2032</v>
      </c>
      <c r="G1696" s="3"/>
      <c r="H1696" s="21">
        <v>0</v>
      </c>
      <c r="I1696" s="21">
        <v>0</v>
      </c>
      <c r="J1696" s="21">
        <v>0</v>
      </c>
      <c r="K1696" s="21">
        <v>0</v>
      </c>
      <c r="L1696" s="3">
        <f t="shared" si="75"/>
        <v>0</v>
      </c>
      <c r="M1696" s="3"/>
      <c r="N1696" s="3">
        <f t="shared" si="76"/>
        <v>0</v>
      </c>
      <c r="R1696" s="89"/>
      <c r="S1696" s="89">
        <f>100%-Table34[[#This Row],[PDF_initial fee]]</f>
        <v>1</v>
      </c>
      <c r="T1696" s="89"/>
      <c r="U1696" s="26"/>
    </row>
    <row r="1697" spans="1:21" hidden="1" x14ac:dyDescent="0.25">
      <c r="A1697">
        <v>446591</v>
      </c>
      <c r="B1697" t="s">
        <v>2033</v>
      </c>
      <c r="C1697" t="s">
        <v>29993</v>
      </c>
      <c r="D1697">
        <v>2</v>
      </c>
      <c r="E1697" t="s">
        <v>2033</v>
      </c>
      <c r="G1697" s="3"/>
      <c r="H1697" s="3">
        <v>0</v>
      </c>
      <c r="I1697" s="3">
        <v>0</v>
      </c>
      <c r="J1697" s="3">
        <v>0</v>
      </c>
      <c r="K1697" s="3">
        <v>0</v>
      </c>
      <c r="L1697" s="3">
        <f t="shared" si="75"/>
        <v>0</v>
      </c>
      <c r="M1697" s="3"/>
      <c r="N1697" s="3">
        <f t="shared" si="76"/>
        <v>0</v>
      </c>
      <c r="R1697" s="89"/>
      <c r="S1697" s="89">
        <f>100%-Table34[[#This Row],[PDF_initial fee]]</f>
        <v>1</v>
      </c>
      <c r="T1697" s="89"/>
      <c r="U1697" s="26"/>
    </row>
    <row r="1698" spans="1:21" hidden="1" x14ac:dyDescent="0.25">
      <c r="A1698">
        <v>446700</v>
      </c>
      <c r="B1698" t="s">
        <v>2034</v>
      </c>
      <c r="C1698" t="s">
        <v>9190</v>
      </c>
      <c r="D1698">
        <v>2</v>
      </c>
      <c r="E1698" t="s">
        <v>2034</v>
      </c>
      <c r="G1698" s="3"/>
      <c r="H1698" s="21">
        <v>0</v>
      </c>
      <c r="I1698" s="21">
        <v>0</v>
      </c>
      <c r="J1698" s="21">
        <v>0</v>
      </c>
      <c r="K1698" s="21">
        <v>0</v>
      </c>
      <c r="L1698" s="3">
        <f t="shared" si="75"/>
        <v>0</v>
      </c>
      <c r="M1698" s="3"/>
      <c r="N1698" s="3">
        <f t="shared" si="76"/>
        <v>0</v>
      </c>
      <c r="R1698" s="89"/>
      <c r="S1698" s="89">
        <f>100%-Table34[[#This Row],[PDF_initial fee]]</f>
        <v>1</v>
      </c>
      <c r="T1698" s="89"/>
      <c r="U1698" s="26"/>
    </row>
    <row r="1699" spans="1:21" hidden="1" x14ac:dyDescent="0.25">
      <c r="A1699">
        <v>446732</v>
      </c>
      <c r="B1699" t="s">
        <v>2035</v>
      </c>
      <c r="C1699" t="s">
        <v>29994</v>
      </c>
      <c r="D1699">
        <v>1</v>
      </c>
      <c r="E1699" t="s">
        <v>2035</v>
      </c>
      <c r="G1699" s="3"/>
      <c r="H1699" s="3">
        <v>0</v>
      </c>
      <c r="I1699" s="3">
        <v>0</v>
      </c>
      <c r="J1699" s="3">
        <v>0</v>
      </c>
      <c r="K1699" s="3">
        <v>0</v>
      </c>
      <c r="L1699" s="3">
        <f t="shared" si="75"/>
        <v>0</v>
      </c>
      <c r="M1699" s="3"/>
      <c r="N1699" s="3">
        <f t="shared" si="76"/>
        <v>0</v>
      </c>
      <c r="R1699" s="89"/>
      <c r="S1699" s="89">
        <f>100%-Table34[[#This Row],[PDF_initial fee]]</f>
        <v>1</v>
      </c>
      <c r="T1699" s="89"/>
      <c r="U1699" s="26"/>
    </row>
    <row r="1700" spans="1:21" hidden="1" x14ac:dyDescent="0.25">
      <c r="A1700">
        <v>446801</v>
      </c>
      <c r="B1700" t="s">
        <v>2037</v>
      </c>
      <c r="C1700" t="s">
        <v>29995</v>
      </c>
      <c r="D1700">
        <v>1</v>
      </c>
      <c r="E1700" t="s">
        <v>2037</v>
      </c>
      <c r="G1700" s="3"/>
      <c r="H1700" s="3">
        <v>0</v>
      </c>
      <c r="I1700" s="3">
        <v>0</v>
      </c>
      <c r="J1700" s="3">
        <v>0</v>
      </c>
      <c r="K1700" s="3">
        <v>0</v>
      </c>
      <c r="L1700" s="3">
        <f t="shared" si="75"/>
        <v>0</v>
      </c>
      <c r="M1700" s="3"/>
      <c r="N1700" s="3">
        <f t="shared" si="76"/>
        <v>0</v>
      </c>
      <c r="R1700" s="89"/>
      <c r="S1700" s="89">
        <f>100%-Table34[[#This Row],[PDF_initial fee]]</f>
        <v>1</v>
      </c>
      <c r="T1700" s="89"/>
      <c r="U1700" s="26"/>
    </row>
    <row r="1701" spans="1:21" hidden="1" x14ac:dyDescent="0.25">
      <c r="A1701">
        <v>446821</v>
      </c>
      <c r="B1701" t="s">
        <v>2038</v>
      </c>
      <c r="C1701" t="s">
        <v>6958</v>
      </c>
      <c r="D1701">
        <v>2</v>
      </c>
      <c r="E1701" t="s">
        <v>2038</v>
      </c>
      <c r="F1701" t="s">
        <v>6958</v>
      </c>
      <c r="G1701" s="3"/>
      <c r="H1701" s="21">
        <v>0</v>
      </c>
      <c r="I1701" s="21">
        <v>0</v>
      </c>
      <c r="J1701" s="21">
        <v>0</v>
      </c>
      <c r="K1701" s="21">
        <v>0</v>
      </c>
      <c r="L1701" s="3">
        <f t="shared" si="75"/>
        <v>0</v>
      </c>
      <c r="M1701" s="3"/>
      <c r="N1701" s="3">
        <f t="shared" si="76"/>
        <v>0</v>
      </c>
      <c r="R1701" s="89"/>
      <c r="S1701" s="89">
        <f>100%-Table34[[#This Row],[PDF_initial fee]]</f>
        <v>1</v>
      </c>
      <c r="T1701" s="89"/>
      <c r="U1701" s="26"/>
    </row>
    <row r="1702" spans="1:21" hidden="1" x14ac:dyDescent="0.25">
      <c r="A1702">
        <v>446951</v>
      </c>
      <c r="B1702" t="s">
        <v>2039</v>
      </c>
      <c r="C1702" t="s">
        <v>29996</v>
      </c>
      <c r="D1702">
        <v>3</v>
      </c>
      <c r="E1702" t="s">
        <v>2039</v>
      </c>
      <c r="G1702" s="3"/>
      <c r="H1702" s="21">
        <v>0</v>
      </c>
      <c r="I1702" s="21">
        <v>0</v>
      </c>
      <c r="J1702" s="21">
        <v>0</v>
      </c>
      <c r="K1702" s="21">
        <v>0</v>
      </c>
      <c r="L1702" s="3">
        <f t="shared" si="75"/>
        <v>0</v>
      </c>
      <c r="M1702" s="3"/>
      <c r="N1702" s="3">
        <f t="shared" si="76"/>
        <v>0</v>
      </c>
      <c r="O1702" s="21"/>
      <c r="R1702" s="89"/>
      <c r="S1702" s="89">
        <f>100%-Table34[[#This Row],[PDF_initial fee]]</f>
        <v>1</v>
      </c>
      <c r="T1702" s="89"/>
      <c r="U1702" s="26"/>
    </row>
    <row r="1703" spans="1:21" hidden="1" x14ac:dyDescent="0.25">
      <c r="A1703">
        <v>446963</v>
      </c>
      <c r="B1703" t="s">
        <v>2040</v>
      </c>
      <c r="C1703" t="s">
        <v>6958</v>
      </c>
      <c r="D1703">
        <v>1</v>
      </c>
      <c r="E1703" t="s">
        <v>2040</v>
      </c>
      <c r="F1703" t="s">
        <v>6958</v>
      </c>
      <c r="G1703" s="3"/>
      <c r="H1703" s="21">
        <v>0</v>
      </c>
      <c r="I1703" s="21">
        <v>0</v>
      </c>
      <c r="J1703" s="21">
        <v>0</v>
      </c>
      <c r="K1703" s="21">
        <v>0</v>
      </c>
      <c r="L1703" s="3">
        <f t="shared" si="75"/>
        <v>0</v>
      </c>
      <c r="M1703" s="3"/>
      <c r="N1703" s="3">
        <f t="shared" si="76"/>
        <v>0</v>
      </c>
      <c r="R1703" s="89"/>
      <c r="S1703" s="89">
        <f>100%-Table34[[#This Row],[PDF_initial fee]]</f>
        <v>1</v>
      </c>
      <c r="T1703" s="89"/>
      <c r="U1703" s="26"/>
    </row>
    <row r="1704" spans="1:21" hidden="1" x14ac:dyDescent="0.25">
      <c r="A1704">
        <v>447020</v>
      </c>
      <c r="B1704" t="s">
        <v>2041</v>
      </c>
      <c r="C1704" t="s">
        <v>29997</v>
      </c>
      <c r="D1704">
        <v>0</v>
      </c>
      <c r="E1704" t="s">
        <v>2041</v>
      </c>
      <c r="F1704" t="s">
        <v>29136</v>
      </c>
      <c r="G1704" s="3"/>
      <c r="H1704" s="21">
        <v>0</v>
      </c>
      <c r="I1704" s="21">
        <v>0</v>
      </c>
      <c r="J1704" s="21">
        <v>0</v>
      </c>
      <c r="K1704" s="21">
        <v>0</v>
      </c>
      <c r="L1704" s="3">
        <f t="shared" si="75"/>
        <v>0</v>
      </c>
      <c r="M1704" s="3"/>
      <c r="N1704" s="3">
        <f t="shared" si="76"/>
        <v>0</v>
      </c>
      <c r="O1704" s="21"/>
      <c r="R1704" s="89"/>
      <c r="S1704" s="89">
        <f>100%-Table34[[#This Row],[PDF_initial fee]]</f>
        <v>1</v>
      </c>
      <c r="T1704" s="89"/>
      <c r="U1704" s="26"/>
    </row>
    <row r="1705" spans="1:21" hidden="1" x14ac:dyDescent="0.25">
      <c r="A1705">
        <v>447235</v>
      </c>
      <c r="B1705" t="s">
        <v>2042</v>
      </c>
      <c r="C1705" t="s">
        <v>8111</v>
      </c>
      <c r="D1705">
        <v>3</v>
      </c>
      <c r="E1705" t="s">
        <v>2042</v>
      </c>
      <c r="G1705" s="3"/>
      <c r="H1705" s="39"/>
      <c r="I1705" s="39"/>
      <c r="J1705" s="39"/>
      <c r="K1705" s="39"/>
      <c r="L1705" s="3">
        <f t="shared" si="75"/>
        <v>0</v>
      </c>
      <c r="M1705" s="3"/>
      <c r="N1705" s="3">
        <f t="shared" si="76"/>
        <v>0</v>
      </c>
      <c r="R1705" s="89"/>
      <c r="S1705" s="89">
        <f>100%-Table34[[#This Row],[PDF_initial fee]]</f>
        <v>1</v>
      </c>
      <c r="T1705" s="89"/>
      <c r="U1705" s="26"/>
    </row>
    <row r="1706" spans="1:21" hidden="1" x14ac:dyDescent="0.25">
      <c r="A1706">
        <v>447241</v>
      </c>
      <c r="B1706" t="s">
        <v>2043</v>
      </c>
      <c r="C1706" t="s">
        <v>6958</v>
      </c>
      <c r="D1706">
        <v>1</v>
      </c>
      <c r="E1706" t="s">
        <v>2043</v>
      </c>
      <c r="F1706" t="s">
        <v>6958</v>
      </c>
      <c r="G1706" s="3"/>
      <c r="L1706" s="3">
        <f t="shared" si="75"/>
        <v>0</v>
      </c>
      <c r="M1706" s="3"/>
      <c r="N1706" s="3">
        <f t="shared" si="76"/>
        <v>0</v>
      </c>
      <c r="R1706" s="89"/>
      <c r="S1706" s="89">
        <f>100%-Table34[[#This Row],[PDF_initial fee]]</f>
        <v>1</v>
      </c>
      <c r="T1706" s="89"/>
      <c r="U1706" s="26"/>
    </row>
    <row r="1707" spans="1:21" hidden="1" x14ac:dyDescent="0.25">
      <c r="A1707">
        <v>447432</v>
      </c>
      <c r="B1707" t="s">
        <v>2044</v>
      </c>
      <c r="C1707" t="s">
        <v>29998</v>
      </c>
      <c r="D1707">
        <v>11</v>
      </c>
      <c r="E1707" t="s">
        <v>2044</v>
      </c>
      <c r="G1707" s="3"/>
      <c r="H1707" s="3">
        <v>0</v>
      </c>
      <c r="I1707" s="3">
        <v>0</v>
      </c>
      <c r="J1707" s="3">
        <v>0</v>
      </c>
      <c r="K1707" s="3">
        <v>0</v>
      </c>
      <c r="L1707" s="3">
        <f t="shared" si="75"/>
        <v>0</v>
      </c>
      <c r="M1707" s="3"/>
      <c r="N1707" s="3">
        <f t="shared" si="76"/>
        <v>0</v>
      </c>
      <c r="R1707" s="89"/>
      <c r="S1707" s="89">
        <f>100%-Table34[[#This Row],[PDF_initial fee]]</f>
        <v>1</v>
      </c>
      <c r="T1707" s="89"/>
      <c r="U1707" s="26"/>
    </row>
    <row r="1708" spans="1:21" hidden="1" x14ac:dyDescent="0.25">
      <c r="A1708">
        <v>447461</v>
      </c>
      <c r="B1708" t="s">
        <v>2045</v>
      </c>
      <c r="C1708" t="s">
        <v>6958</v>
      </c>
      <c r="D1708">
        <v>13</v>
      </c>
      <c r="E1708" t="s">
        <v>2045</v>
      </c>
      <c r="F1708" t="s">
        <v>6958</v>
      </c>
      <c r="G1708" s="3"/>
      <c r="H1708" s="21">
        <v>0</v>
      </c>
      <c r="I1708" s="21">
        <v>0</v>
      </c>
      <c r="J1708" s="21">
        <v>0</v>
      </c>
      <c r="K1708" s="21">
        <v>0</v>
      </c>
      <c r="L1708" s="3">
        <f t="shared" si="75"/>
        <v>0</v>
      </c>
      <c r="M1708" s="3"/>
      <c r="N1708" s="3">
        <f t="shared" si="76"/>
        <v>0</v>
      </c>
      <c r="R1708" s="89"/>
      <c r="S1708" s="89">
        <f>100%-Table34[[#This Row],[PDF_initial fee]]</f>
        <v>1</v>
      </c>
      <c r="T1708" s="89"/>
      <c r="U1708" s="26"/>
    </row>
    <row r="1709" spans="1:21" hidden="1" x14ac:dyDescent="0.25">
      <c r="A1709">
        <v>447546</v>
      </c>
      <c r="B1709" t="s">
        <v>2046</v>
      </c>
      <c r="C1709" t="s">
        <v>6958</v>
      </c>
      <c r="D1709">
        <v>1</v>
      </c>
      <c r="E1709" t="s">
        <v>2046</v>
      </c>
      <c r="F1709" t="s">
        <v>6958</v>
      </c>
      <c r="G1709" s="3"/>
      <c r="H1709" s="21">
        <v>0</v>
      </c>
      <c r="I1709" s="21">
        <v>0</v>
      </c>
      <c r="J1709" s="21">
        <v>0</v>
      </c>
      <c r="K1709" s="21">
        <v>0</v>
      </c>
      <c r="L1709" s="3">
        <f t="shared" si="75"/>
        <v>0</v>
      </c>
      <c r="M1709" s="3"/>
      <c r="N1709" s="3">
        <f t="shared" si="76"/>
        <v>0</v>
      </c>
      <c r="R1709" s="89"/>
      <c r="S1709" s="89">
        <f>100%-Table34[[#This Row],[PDF_initial fee]]</f>
        <v>1</v>
      </c>
      <c r="T1709" s="89"/>
      <c r="U1709" s="26"/>
    </row>
    <row r="1710" spans="1:21" hidden="1" x14ac:dyDescent="0.25">
      <c r="A1710">
        <v>447549</v>
      </c>
      <c r="B1710" t="s">
        <v>2047</v>
      </c>
      <c r="C1710" t="s">
        <v>8149</v>
      </c>
      <c r="D1710">
        <v>0</v>
      </c>
      <c r="E1710" t="s">
        <v>2047</v>
      </c>
      <c r="F1710" t="s">
        <v>29136</v>
      </c>
      <c r="G1710" s="3"/>
      <c r="H1710" s="21">
        <v>0</v>
      </c>
      <c r="I1710" s="21">
        <v>0</v>
      </c>
      <c r="J1710" s="21">
        <v>0</v>
      </c>
      <c r="K1710" s="21">
        <v>0</v>
      </c>
      <c r="L1710" s="3">
        <f t="shared" si="75"/>
        <v>0</v>
      </c>
      <c r="M1710" s="3"/>
      <c r="N1710" s="3">
        <f t="shared" si="76"/>
        <v>0</v>
      </c>
      <c r="R1710" s="89"/>
      <c r="S1710" s="89">
        <f>100%-Table34[[#This Row],[PDF_initial fee]]</f>
        <v>1</v>
      </c>
      <c r="T1710" s="89"/>
      <c r="U1710" s="26"/>
    </row>
    <row r="1711" spans="1:21" hidden="1" x14ac:dyDescent="0.25">
      <c r="A1711">
        <v>447764</v>
      </c>
      <c r="B1711" t="s">
        <v>2048</v>
      </c>
      <c r="C1711" t="s">
        <v>6958</v>
      </c>
      <c r="D1711">
        <v>2</v>
      </c>
      <c r="E1711" t="s">
        <v>2048</v>
      </c>
      <c r="F1711" t="s">
        <v>6958</v>
      </c>
      <c r="G1711" s="3"/>
      <c r="L1711" s="3">
        <f t="shared" si="75"/>
        <v>0</v>
      </c>
      <c r="M1711" s="3"/>
      <c r="N1711" s="3">
        <f t="shared" si="76"/>
        <v>0</v>
      </c>
      <c r="R1711" s="89"/>
      <c r="S1711" s="89">
        <f>100%-Table34[[#This Row],[PDF_initial fee]]</f>
        <v>1</v>
      </c>
      <c r="T1711" s="89"/>
      <c r="U1711" s="26"/>
    </row>
    <row r="1712" spans="1:21" hidden="1" x14ac:dyDescent="0.25">
      <c r="A1712">
        <v>447862</v>
      </c>
      <c r="B1712" t="s">
        <v>2049</v>
      </c>
      <c r="C1712" t="s">
        <v>29999</v>
      </c>
      <c r="D1712">
        <v>5</v>
      </c>
      <c r="E1712" t="s">
        <v>2049</v>
      </c>
      <c r="G1712" s="3"/>
      <c r="H1712" s="3">
        <v>0</v>
      </c>
      <c r="I1712" s="3">
        <v>0</v>
      </c>
      <c r="J1712" s="3">
        <v>0</v>
      </c>
      <c r="K1712" s="3">
        <v>0</v>
      </c>
      <c r="L1712" s="3">
        <f t="shared" si="75"/>
        <v>0</v>
      </c>
      <c r="M1712" s="3"/>
      <c r="N1712" s="3">
        <f t="shared" si="76"/>
        <v>0</v>
      </c>
      <c r="R1712" s="89"/>
      <c r="S1712" s="89">
        <f>100%-Table34[[#This Row],[PDF_initial fee]]</f>
        <v>1</v>
      </c>
      <c r="T1712" s="89"/>
      <c r="U1712" s="26"/>
    </row>
    <row r="1713" spans="1:21" hidden="1" x14ac:dyDescent="0.25">
      <c r="A1713">
        <v>448150</v>
      </c>
      <c r="B1713" t="s">
        <v>2050</v>
      </c>
      <c r="C1713" t="s">
        <v>9485</v>
      </c>
      <c r="D1713">
        <v>5</v>
      </c>
      <c r="E1713" t="s">
        <v>2050</v>
      </c>
      <c r="G1713" s="3"/>
      <c r="H1713" s="21">
        <v>0</v>
      </c>
      <c r="I1713" s="21">
        <v>0</v>
      </c>
      <c r="J1713" s="21">
        <v>0</v>
      </c>
      <c r="K1713" s="21">
        <v>0</v>
      </c>
      <c r="L1713" s="3">
        <f t="shared" si="75"/>
        <v>0</v>
      </c>
      <c r="M1713" s="3"/>
      <c r="N1713" s="3">
        <f t="shared" si="76"/>
        <v>0</v>
      </c>
      <c r="R1713" s="89"/>
      <c r="S1713" s="89">
        <f>100%-Table34[[#This Row],[PDF_initial fee]]</f>
        <v>1</v>
      </c>
      <c r="T1713" s="89"/>
      <c r="U1713" s="26"/>
    </row>
    <row r="1714" spans="1:21" hidden="1" x14ac:dyDescent="0.25">
      <c r="A1714">
        <v>448160</v>
      </c>
      <c r="B1714" t="s">
        <v>2051</v>
      </c>
      <c r="C1714" t="s">
        <v>30000</v>
      </c>
      <c r="D1714">
        <v>2</v>
      </c>
      <c r="E1714" t="s">
        <v>2051</v>
      </c>
      <c r="G1714" s="3"/>
      <c r="H1714" s="3">
        <v>0</v>
      </c>
      <c r="I1714" s="3">
        <v>0</v>
      </c>
      <c r="J1714" s="3">
        <v>0</v>
      </c>
      <c r="K1714" s="3">
        <v>0</v>
      </c>
      <c r="L1714" s="3">
        <f t="shared" si="75"/>
        <v>0</v>
      </c>
      <c r="M1714" s="3"/>
      <c r="N1714" s="3">
        <f t="shared" si="76"/>
        <v>0</v>
      </c>
      <c r="R1714" s="89"/>
      <c r="S1714" s="89">
        <f>100%-Table34[[#This Row],[PDF_initial fee]]</f>
        <v>1</v>
      </c>
      <c r="T1714" s="89"/>
      <c r="U1714" s="26"/>
    </row>
    <row r="1715" spans="1:21" hidden="1" x14ac:dyDescent="0.25">
      <c r="A1715">
        <v>448232</v>
      </c>
      <c r="B1715" t="s">
        <v>2052</v>
      </c>
      <c r="C1715" t="s">
        <v>30001</v>
      </c>
      <c r="D1715">
        <v>2</v>
      </c>
      <c r="E1715" t="s">
        <v>2052</v>
      </c>
      <c r="G1715" s="3"/>
      <c r="H1715" s="3">
        <v>0</v>
      </c>
      <c r="I1715" s="3">
        <v>0</v>
      </c>
      <c r="J1715" s="3">
        <v>0</v>
      </c>
      <c r="K1715" s="3">
        <v>0</v>
      </c>
      <c r="L1715" s="3">
        <f t="shared" si="75"/>
        <v>0</v>
      </c>
      <c r="M1715" s="3"/>
      <c r="N1715" s="3">
        <f t="shared" si="76"/>
        <v>0</v>
      </c>
      <c r="R1715" s="89"/>
      <c r="S1715" s="89">
        <f>100%-Table34[[#This Row],[PDF_initial fee]]</f>
        <v>1</v>
      </c>
      <c r="T1715" s="89"/>
      <c r="U1715" s="26"/>
    </row>
    <row r="1716" spans="1:21" hidden="1" x14ac:dyDescent="0.25">
      <c r="A1716">
        <v>448379</v>
      </c>
      <c r="B1716" t="s">
        <v>2053</v>
      </c>
      <c r="C1716" t="s">
        <v>7945</v>
      </c>
      <c r="D1716">
        <v>1</v>
      </c>
      <c r="E1716" t="s">
        <v>2053</v>
      </c>
      <c r="G1716" s="3"/>
      <c r="H1716" s="21">
        <v>0</v>
      </c>
      <c r="I1716" s="21">
        <v>0</v>
      </c>
      <c r="J1716" s="21">
        <v>0</v>
      </c>
      <c r="K1716" s="21">
        <v>0</v>
      </c>
      <c r="L1716" s="3">
        <f t="shared" si="75"/>
        <v>0</v>
      </c>
      <c r="M1716" s="3"/>
      <c r="N1716" s="3">
        <f t="shared" si="76"/>
        <v>0</v>
      </c>
      <c r="R1716" s="89"/>
      <c r="S1716" s="89">
        <f>100%-Table34[[#This Row],[PDF_initial fee]]</f>
        <v>1</v>
      </c>
      <c r="T1716" s="89"/>
      <c r="U1716" s="26"/>
    </row>
    <row r="1717" spans="1:21" hidden="1" x14ac:dyDescent="0.25">
      <c r="A1717">
        <v>448410</v>
      </c>
      <c r="B1717" t="s">
        <v>2054</v>
      </c>
      <c r="C1717" t="s">
        <v>30002</v>
      </c>
      <c r="D1717">
        <v>1</v>
      </c>
      <c r="E1717" t="s">
        <v>2054</v>
      </c>
      <c r="G1717" s="3"/>
      <c r="H1717" s="3">
        <v>0</v>
      </c>
      <c r="I1717" s="3">
        <v>0</v>
      </c>
      <c r="J1717" s="3">
        <v>0</v>
      </c>
      <c r="K1717" s="3">
        <v>0</v>
      </c>
      <c r="L1717" s="3">
        <f t="shared" si="75"/>
        <v>0</v>
      </c>
      <c r="M1717" s="3"/>
      <c r="N1717" s="3">
        <f t="shared" si="76"/>
        <v>0</v>
      </c>
      <c r="R1717" s="89"/>
      <c r="S1717" s="89">
        <f>100%-Table34[[#This Row],[PDF_initial fee]]</f>
        <v>1</v>
      </c>
      <c r="T1717" s="89"/>
      <c r="U1717" s="26"/>
    </row>
    <row r="1718" spans="1:21" hidden="1" x14ac:dyDescent="0.25">
      <c r="A1718">
        <v>448416</v>
      </c>
      <c r="B1718" t="s">
        <v>2055</v>
      </c>
      <c r="C1718" t="s">
        <v>7649</v>
      </c>
      <c r="D1718">
        <v>1</v>
      </c>
      <c r="E1718" t="s">
        <v>2055</v>
      </c>
      <c r="G1718" s="3"/>
      <c r="H1718" s="21">
        <v>0</v>
      </c>
      <c r="I1718" s="21">
        <v>0</v>
      </c>
      <c r="J1718" s="21">
        <v>0</v>
      </c>
      <c r="K1718" s="21">
        <v>0</v>
      </c>
      <c r="L1718" s="3">
        <f t="shared" si="75"/>
        <v>0</v>
      </c>
      <c r="M1718" s="3"/>
      <c r="N1718" s="3">
        <f t="shared" si="76"/>
        <v>0</v>
      </c>
      <c r="R1718" s="89"/>
      <c r="S1718" s="89">
        <f>100%-Table34[[#This Row],[PDF_initial fee]]</f>
        <v>1</v>
      </c>
      <c r="T1718" s="89"/>
      <c r="U1718" s="26"/>
    </row>
    <row r="1719" spans="1:21" hidden="1" x14ac:dyDescent="0.25">
      <c r="A1719">
        <v>448716</v>
      </c>
      <c r="B1719" t="s">
        <v>2056</v>
      </c>
      <c r="C1719" t="s">
        <v>30003</v>
      </c>
      <c r="D1719">
        <v>10</v>
      </c>
      <c r="E1719" t="s">
        <v>2056</v>
      </c>
      <c r="G1719" s="3"/>
      <c r="H1719" s="3">
        <v>0</v>
      </c>
      <c r="I1719" s="3">
        <v>0</v>
      </c>
      <c r="J1719" s="3">
        <v>0</v>
      </c>
      <c r="K1719" s="3">
        <v>0</v>
      </c>
      <c r="L1719" s="3">
        <f t="shared" si="75"/>
        <v>0</v>
      </c>
      <c r="M1719" s="3"/>
      <c r="N1719" s="3">
        <f t="shared" si="76"/>
        <v>0</v>
      </c>
      <c r="R1719" s="89"/>
      <c r="S1719" s="89">
        <f>100%-Table34[[#This Row],[PDF_initial fee]]</f>
        <v>1</v>
      </c>
      <c r="T1719" s="89"/>
      <c r="U1719" s="26"/>
    </row>
    <row r="1720" spans="1:21" hidden="1" x14ac:dyDescent="0.25">
      <c r="A1720">
        <v>448774</v>
      </c>
      <c r="B1720" t="s">
        <v>2057</v>
      </c>
      <c r="C1720" t="s">
        <v>6958</v>
      </c>
      <c r="D1720">
        <v>3</v>
      </c>
      <c r="E1720" t="s">
        <v>2057</v>
      </c>
      <c r="F1720" t="s">
        <v>6958</v>
      </c>
      <c r="G1720" s="3"/>
      <c r="H1720" s="21">
        <v>0</v>
      </c>
      <c r="I1720" s="21">
        <v>0</v>
      </c>
      <c r="J1720" s="21">
        <v>0</v>
      </c>
      <c r="K1720" s="21">
        <v>0</v>
      </c>
      <c r="L1720" s="3">
        <f t="shared" si="75"/>
        <v>0</v>
      </c>
      <c r="M1720" s="3"/>
      <c r="N1720" s="3">
        <f t="shared" si="76"/>
        <v>0</v>
      </c>
      <c r="R1720" s="89"/>
      <c r="S1720" s="89">
        <f>100%-Table34[[#This Row],[PDF_initial fee]]</f>
        <v>1</v>
      </c>
      <c r="T1720" s="89"/>
      <c r="U1720" s="26"/>
    </row>
    <row r="1721" spans="1:21" hidden="1" x14ac:dyDescent="0.25">
      <c r="A1721">
        <v>448911</v>
      </c>
      <c r="B1721" t="s">
        <v>2058</v>
      </c>
      <c r="C1721" t="s">
        <v>10027</v>
      </c>
      <c r="D1721">
        <v>1</v>
      </c>
      <c r="E1721" t="s">
        <v>2058</v>
      </c>
      <c r="G1721" s="3"/>
      <c r="H1721" s="21">
        <v>0</v>
      </c>
      <c r="I1721" s="21">
        <v>0</v>
      </c>
      <c r="J1721" s="21">
        <v>0</v>
      </c>
      <c r="K1721" s="21">
        <v>0</v>
      </c>
      <c r="L1721" s="3">
        <f t="shared" si="75"/>
        <v>0</v>
      </c>
      <c r="M1721" s="3"/>
      <c r="N1721" s="3">
        <f t="shared" si="76"/>
        <v>0</v>
      </c>
      <c r="R1721" s="89"/>
      <c r="S1721" s="89">
        <f>100%-Table34[[#This Row],[PDF_initial fee]]</f>
        <v>1</v>
      </c>
      <c r="T1721" s="89"/>
      <c r="U1721" s="26"/>
    </row>
    <row r="1722" spans="1:21" hidden="1" x14ac:dyDescent="0.25">
      <c r="A1722">
        <v>449016</v>
      </c>
      <c r="B1722" t="s">
        <v>2059</v>
      </c>
      <c r="C1722" t="s">
        <v>7356</v>
      </c>
      <c r="D1722">
        <v>23</v>
      </c>
      <c r="E1722" t="s">
        <v>2059</v>
      </c>
      <c r="G1722" s="3"/>
      <c r="H1722" s="21">
        <v>0</v>
      </c>
      <c r="I1722" s="21">
        <v>0</v>
      </c>
      <c r="J1722" s="21">
        <v>0</v>
      </c>
      <c r="K1722" s="21">
        <v>0</v>
      </c>
      <c r="L1722" s="3">
        <f t="shared" si="75"/>
        <v>0</v>
      </c>
      <c r="M1722" s="3"/>
      <c r="N1722" s="3">
        <f t="shared" si="76"/>
        <v>0</v>
      </c>
      <c r="R1722" s="89"/>
      <c r="S1722" s="89">
        <f>100%-Table34[[#This Row],[PDF_initial fee]]</f>
        <v>1</v>
      </c>
      <c r="T1722" s="89"/>
      <c r="U1722" s="26"/>
    </row>
    <row r="1723" spans="1:21" hidden="1" x14ac:dyDescent="0.25">
      <c r="A1723">
        <v>449128</v>
      </c>
      <c r="B1723" t="s">
        <v>2060</v>
      </c>
      <c r="C1723" t="s">
        <v>7982</v>
      </c>
      <c r="D1723">
        <v>1</v>
      </c>
      <c r="E1723" t="s">
        <v>2060</v>
      </c>
      <c r="G1723" s="3"/>
      <c r="H1723" s="21">
        <v>0</v>
      </c>
      <c r="I1723" s="21">
        <v>0</v>
      </c>
      <c r="J1723" s="21">
        <v>0</v>
      </c>
      <c r="K1723" s="21">
        <v>0</v>
      </c>
      <c r="L1723" s="3">
        <f t="shared" si="75"/>
        <v>0</v>
      </c>
      <c r="M1723" s="3"/>
      <c r="N1723" s="3">
        <f t="shared" si="76"/>
        <v>0</v>
      </c>
      <c r="R1723" s="89"/>
      <c r="S1723" s="89">
        <f>100%-Table34[[#This Row],[PDF_initial fee]]</f>
        <v>1</v>
      </c>
      <c r="T1723" s="89"/>
      <c r="U1723" s="26"/>
    </row>
    <row r="1724" spans="1:21" hidden="1" x14ac:dyDescent="0.25">
      <c r="A1724">
        <v>449191</v>
      </c>
      <c r="B1724" t="s">
        <v>2061</v>
      </c>
      <c r="C1724" t="s">
        <v>30004</v>
      </c>
      <c r="D1724">
        <v>2</v>
      </c>
      <c r="E1724" t="s">
        <v>2061</v>
      </c>
      <c r="G1724" s="3"/>
      <c r="H1724" s="21">
        <v>0</v>
      </c>
      <c r="I1724" s="21">
        <v>0</v>
      </c>
      <c r="J1724" s="21">
        <v>0</v>
      </c>
      <c r="K1724" s="21">
        <v>0</v>
      </c>
      <c r="L1724" s="3">
        <f t="shared" si="75"/>
        <v>0</v>
      </c>
      <c r="M1724" s="3"/>
      <c r="N1724" s="3">
        <f t="shared" si="76"/>
        <v>0</v>
      </c>
      <c r="O1724" s="21"/>
      <c r="R1724" s="89"/>
      <c r="S1724" s="89">
        <f>100%-Table34[[#This Row],[PDF_initial fee]]</f>
        <v>1</v>
      </c>
      <c r="T1724" s="89"/>
      <c r="U1724" s="26"/>
    </row>
    <row r="1725" spans="1:21" hidden="1" x14ac:dyDescent="0.25">
      <c r="A1725">
        <v>449195</v>
      </c>
      <c r="B1725" t="s">
        <v>2062</v>
      </c>
      <c r="C1725" t="s">
        <v>30005</v>
      </c>
      <c r="D1725">
        <v>1</v>
      </c>
      <c r="E1725" t="s">
        <v>2062</v>
      </c>
      <c r="G1725" s="3"/>
      <c r="H1725" s="3">
        <v>0</v>
      </c>
      <c r="I1725" s="3">
        <v>0</v>
      </c>
      <c r="J1725" s="3">
        <v>0</v>
      </c>
      <c r="K1725" s="3">
        <v>0</v>
      </c>
      <c r="L1725" s="3">
        <f t="shared" si="75"/>
        <v>0</v>
      </c>
      <c r="M1725" s="3"/>
      <c r="N1725" s="3">
        <f t="shared" si="76"/>
        <v>0</v>
      </c>
      <c r="R1725" s="89"/>
      <c r="S1725" s="89">
        <f>100%-Table34[[#This Row],[PDF_initial fee]]</f>
        <v>1</v>
      </c>
      <c r="T1725" s="89"/>
      <c r="U1725" s="26"/>
    </row>
    <row r="1726" spans="1:21" hidden="1" x14ac:dyDescent="0.25">
      <c r="A1726">
        <v>449211</v>
      </c>
      <c r="B1726" t="s">
        <v>2063</v>
      </c>
      <c r="C1726" t="s">
        <v>6958</v>
      </c>
      <c r="D1726">
        <v>1</v>
      </c>
      <c r="E1726" t="s">
        <v>2063</v>
      </c>
      <c r="F1726" t="s">
        <v>6958</v>
      </c>
      <c r="G1726" s="3"/>
      <c r="H1726" s="21">
        <v>0</v>
      </c>
      <c r="I1726" s="21">
        <v>0</v>
      </c>
      <c r="J1726" s="21">
        <v>0</v>
      </c>
      <c r="K1726" s="21">
        <v>0</v>
      </c>
      <c r="L1726" s="3">
        <f t="shared" ref="L1726:L1727" si="77">SUM(H1726:K1726)</f>
        <v>0</v>
      </c>
      <c r="M1726" s="3"/>
      <c r="N1726" s="3">
        <f t="shared" si="76"/>
        <v>0</v>
      </c>
      <c r="R1726" s="89"/>
      <c r="S1726" s="89">
        <f>100%-Table34[[#This Row],[PDF_initial fee]]</f>
        <v>1</v>
      </c>
      <c r="T1726" s="89"/>
      <c r="U1726" s="26"/>
    </row>
    <row r="1727" spans="1:21" hidden="1" x14ac:dyDescent="0.25">
      <c r="A1727">
        <v>449235</v>
      </c>
      <c r="B1727" t="s">
        <v>2064</v>
      </c>
      <c r="C1727" t="s">
        <v>30006</v>
      </c>
      <c r="D1727">
        <v>1</v>
      </c>
      <c r="E1727" t="s">
        <v>2064</v>
      </c>
      <c r="G1727" s="3"/>
      <c r="H1727" s="3">
        <v>0</v>
      </c>
      <c r="I1727" s="3">
        <v>0</v>
      </c>
      <c r="J1727" s="3">
        <v>0</v>
      </c>
      <c r="K1727" s="3">
        <v>0</v>
      </c>
      <c r="L1727" s="3">
        <f t="shared" si="77"/>
        <v>0</v>
      </c>
      <c r="M1727" s="3"/>
      <c r="N1727" s="3">
        <f t="shared" si="76"/>
        <v>0</v>
      </c>
      <c r="R1727" s="89"/>
      <c r="S1727" s="89">
        <f>100%-Table34[[#This Row],[PDF_initial fee]]</f>
        <v>1</v>
      </c>
      <c r="T1727" s="89"/>
      <c r="U1727" s="26"/>
    </row>
    <row r="1728" spans="1:21" hidden="1" x14ac:dyDescent="0.25">
      <c r="A1728">
        <v>449388</v>
      </c>
      <c r="B1728" t="s">
        <v>2066</v>
      </c>
      <c r="C1728" t="s">
        <v>9541</v>
      </c>
      <c r="D1728">
        <v>1</v>
      </c>
      <c r="E1728" t="s">
        <v>2066</v>
      </c>
      <c r="F1728" t="s">
        <v>3</v>
      </c>
      <c r="G1728" s="3">
        <v>0</v>
      </c>
      <c r="H1728" s="3">
        <v>0</v>
      </c>
      <c r="I1728" s="3">
        <v>0</v>
      </c>
      <c r="J1728" s="6">
        <v>0</v>
      </c>
      <c r="K1728" s="6">
        <v>0</v>
      </c>
      <c r="L1728" s="3">
        <v>0</v>
      </c>
      <c r="M1728" s="3"/>
      <c r="N1728" s="3">
        <v>0</v>
      </c>
      <c r="R1728" s="89"/>
      <c r="S1728" s="89">
        <f>100%-Table34[[#This Row],[PDF_initial fee]]</f>
        <v>1</v>
      </c>
      <c r="T1728" s="89"/>
      <c r="U1728" s="26"/>
    </row>
    <row r="1729" spans="1:21" hidden="1" x14ac:dyDescent="0.25">
      <c r="A1729">
        <v>449517</v>
      </c>
      <c r="B1729" t="s">
        <v>2067</v>
      </c>
      <c r="C1729" t="s">
        <v>9623</v>
      </c>
      <c r="D1729">
        <v>1</v>
      </c>
      <c r="E1729" t="s">
        <v>2067</v>
      </c>
      <c r="G1729" s="3"/>
      <c r="L1729" s="3">
        <f t="shared" ref="L1729:L1760" si="78">SUM(H1729:K1729)</f>
        <v>0</v>
      </c>
      <c r="M1729" s="3"/>
      <c r="N1729" s="3">
        <f t="shared" ref="N1729:N1760" si="79">L1729+G1729</f>
        <v>0</v>
      </c>
      <c r="R1729" s="89"/>
      <c r="S1729" s="89">
        <f>100%-Table34[[#This Row],[PDF_initial fee]]</f>
        <v>1</v>
      </c>
      <c r="T1729" s="89"/>
      <c r="U1729" s="26"/>
    </row>
    <row r="1730" spans="1:21" hidden="1" x14ac:dyDescent="0.25">
      <c r="A1730">
        <v>449592</v>
      </c>
      <c r="B1730" t="s">
        <v>2068</v>
      </c>
      <c r="C1730" t="s">
        <v>6958</v>
      </c>
      <c r="D1730">
        <v>3</v>
      </c>
      <c r="E1730" t="s">
        <v>2068</v>
      </c>
      <c r="F1730" t="s">
        <v>6958</v>
      </c>
      <c r="G1730" s="3"/>
      <c r="H1730" s="21">
        <v>0</v>
      </c>
      <c r="I1730" s="21">
        <v>0</v>
      </c>
      <c r="J1730" s="21">
        <v>0</v>
      </c>
      <c r="K1730" s="21">
        <v>0</v>
      </c>
      <c r="L1730" s="3">
        <f t="shared" si="78"/>
        <v>0</v>
      </c>
      <c r="M1730" s="3"/>
      <c r="N1730" s="3">
        <f t="shared" si="79"/>
        <v>0</v>
      </c>
      <c r="R1730" s="89"/>
      <c r="S1730" s="89">
        <f>100%-Table34[[#This Row],[PDF_initial fee]]</f>
        <v>1</v>
      </c>
      <c r="T1730" s="89"/>
      <c r="U1730" s="26"/>
    </row>
    <row r="1731" spans="1:21" hidden="1" x14ac:dyDescent="0.25">
      <c r="A1731">
        <v>449614</v>
      </c>
      <c r="B1731" t="s">
        <v>2070</v>
      </c>
      <c r="C1731" t="s">
        <v>6958</v>
      </c>
      <c r="D1731">
        <v>3</v>
      </c>
      <c r="E1731" t="s">
        <v>2070</v>
      </c>
      <c r="F1731" t="s">
        <v>6958</v>
      </c>
      <c r="G1731" s="3"/>
      <c r="H1731" s="21">
        <v>0</v>
      </c>
      <c r="I1731" s="21">
        <v>0</v>
      </c>
      <c r="J1731" s="21">
        <v>0</v>
      </c>
      <c r="K1731" s="21">
        <v>0</v>
      </c>
      <c r="L1731" s="3">
        <f t="shared" si="78"/>
        <v>0</v>
      </c>
      <c r="M1731" s="3"/>
      <c r="N1731" s="3">
        <f t="shared" si="79"/>
        <v>0</v>
      </c>
      <c r="R1731" s="89"/>
      <c r="S1731" s="89">
        <f>100%-Table34[[#This Row],[PDF_initial fee]]</f>
        <v>1</v>
      </c>
      <c r="T1731" s="89"/>
      <c r="U1731" s="26"/>
    </row>
    <row r="1732" spans="1:21" hidden="1" x14ac:dyDescent="0.25">
      <c r="A1732">
        <v>449720</v>
      </c>
      <c r="B1732" t="s">
        <v>2071</v>
      </c>
      <c r="C1732" t="s">
        <v>6958</v>
      </c>
      <c r="D1732">
        <v>5</v>
      </c>
      <c r="E1732" t="s">
        <v>2071</v>
      </c>
      <c r="F1732" t="s">
        <v>6958</v>
      </c>
      <c r="G1732" s="3"/>
      <c r="H1732" s="21">
        <v>0</v>
      </c>
      <c r="I1732" s="21">
        <v>0</v>
      </c>
      <c r="J1732" s="21">
        <v>0</v>
      </c>
      <c r="K1732" s="21">
        <v>0</v>
      </c>
      <c r="L1732" s="3">
        <f t="shared" si="78"/>
        <v>0</v>
      </c>
      <c r="M1732" s="3"/>
      <c r="N1732" s="3">
        <f t="shared" si="79"/>
        <v>0</v>
      </c>
      <c r="O1732" s="21" t="s">
        <v>30007</v>
      </c>
      <c r="R1732" s="89"/>
      <c r="S1732" s="89">
        <f>100%-Table34[[#This Row],[PDF_initial fee]]</f>
        <v>1</v>
      </c>
      <c r="T1732" s="89"/>
      <c r="U1732" s="26"/>
    </row>
    <row r="1733" spans="1:21" hidden="1" x14ac:dyDescent="0.25">
      <c r="A1733">
        <v>449948</v>
      </c>
      <c r="B1733" t="s">
        <v>2072</v>
      </c>
      <c r="C1733" t="s">
        <v>30008</v>
      </c>
      <c r="D1733">
        <v>1</v>
      </c>
      <c r="E1733" t="s">
        <v>2072</v>
      </c>
      <c r="G1733" s="3"/>
      <c r="H1733" s="3">
        <v>0</v>
      </c>
      <c r="I1733" s="3">
        <v>0</v>
      </c>
      <c r="J1733" s="3">
        <v>0</v>
      </c>
      <c r="K1733" s="3">
        <v>0</v>
      </c>
      <c r="L1733" s="3">
        <f t="shared" si="78"/>
        <v>0</v>
      </c>
      <c r="M1733" s="3"/>
      <c r="N1733" s="3">
        <f t="shared" si="79"/>
        <v>0</v>
      </c>
      <c r="R1733" s="89"/>
      <c r="S1733" s="89">
        <f>100%-Table34[[#This Row],[PDF_initial fee]]</f>
        <v>1</v>
      </c>
      <c r="T1733" s="89"/>
      <c r="U1733" s="26"/>
    </row>
    <row r="1734" spans="1:21" hidden="1" x14ac:dyDescent="0.25">
      <c r="A1734">
        <v>450015</v>
      </c>
      <c r="B1734" t="s">
        <v>2073</v>
      </c>
      <c r="C1734" t="s">
        <v>30009</v>
      </c>
      <c r="D1734">
        <v>4</v>
      </c>
      <c r="E1734" t="s">
        <v>2073</v>
      </c>
      <c r="G1734" s="3"/>
      <c r="H1734" s="3">
        <v>0</v>
      </c>
      <c r="I1734" s="3">
        <v>0</v>
      </c>
      <c r="J1734" s="3">
        <v>0</v>
      </c>
      <c r="K1734" s="3">
        <v>0</v>
      </c>
      <c r="L1734" s="3">
        <f t="shared" si="78"/>
        <v>0</v>
      </c>
      <c r="M1734" s="3"/>
      <c r="N1734" s="3">
        <f t="shared" si="79"/>
        <v>0</v>
      </c>
      <c r="R1734" s="89"/>
      <c r="S1734" s="89">
        <f>100%-Table34[[#This Row],[PDF_initial fee]]</f>
        <v>1</v>
      </c>
      <c r="T1734" s="89"/>
      <c r="U1734" s="26"/>
    </row>
    <row r="1735" spans="1:21" hidden="1" x14ac:dyDescent="0.25">
      <c r="A1735">
        <v>450155</v>
      </c>
      <c r="B1735" t="s">
        <v>2074</v>
      </c>
      <c r="C1735" t="s">
        <v>30010</v>
      </c>
      <c r="D1735">
        <v>3</v>
      </c>
      <c r="E1735" t="s">
        <v>2074</v>
      </c>
      <c r="G1735" s="3"/>
      <c r="H1735" s="3">
        <v>0</v>
      </c>
      <c r="I1735" s="3">
        <v>0</v>
      </c>
      <c r="J1735" s="3">
        <v>0</v>
      </c>
      <c r="K1735" s="3">
        <v>0</v>
      </c>
      <c r="L1735" s="3">
        <f t="shared" si="78"/>
        <v>0</v>
      </c>
      <c r="M1735" s="3"/>
      <c r="N1735" s="3">
        <f t="shared" si="79"/>
        <v>0</v>
      </c>
      <c r="R1735" s="89"/>
      <c r="S1735" s="89">
        <f>100%-Table34[[#This Row],[PDF_initial fee]]</f>
        <v>1</v>
      </c>
      <c r="T1735" s="89"/>
      <c r="U1735" s="26"/>
    </row>
    <row r="1736" spans="1:21" hidden="1" x14ac:dyDescent="0.25">
      <c r="A1736">
        <v>450163</v>
      </c>
      <c r="B1736" t="s">
        <v>2075</v>
      </c>
      <c r="C1736" t="s">
        <v>7008</v>
      </c>
      <c r="D1736">
        <v>10</v>
      </c>
      <c r="E1736" t="s">
        <v>2075</v>
      </c>
      <c r="G1736" s="3"/>
      <c r="H1736" s="21">
        <v>0</v>
      </c>
      <c r="I1736" s="21">
        <v>0</v>
      </c>
      <c r="J1736" s="21">
        <v>0</v>
      </c>
      <c r="K1736" s="21">
        <v>0</v>
      </c>
      <c r="L1736" s="3">
        <f t="shared" si="78"/>
        <v>0</v>
      </c>
      <c r="M1736" s="3"/>
      <c r="N1736" s="3">
        <f t="shared" si="79"/>
        <v>0</v>
      </c>
      <c r="R1736" s="89"/>
      <c r="S1736" s="89">
        <f>100%-Table34[[#This Row],[PDF_initial fee]]</f>
        <v>1</v>
      </c>
      <c r="T1736" s="89"/>
      <c r="U1736" s="26"/>
    </row>
    <row r="1737" spans="1:21" hidden="1" x14ac:dyDescent="0.25">
      <c r="A1737">
        <v>450369</v>
      </c>
      <c r="B1737" t="s">
        <v>2077</v>
      </c>
      <c r="C1737" t="s">
        <v>9481</v>
      </c>
      <c r="D1737">
        <v>7</v>
      </c>
      <c r="E1737" t="s">
        <v>2077</v>
      </c>
      <c r="G1737" s="3"/>
      <c r="H1737" s="39"/>
      <c r="I1737" s="39"/>
      <c r="J1737" s="39"/>
      <c r="K1737" s="39"/>
      <c r="L1737" s="3">
        <f t="shared" si="78"/>
        <v>0</v>
      </c>
      <c r="M1737" s="3"/>
      <c r="N1737" s="3">
        <f t="shared" si="79"/>
        <v>0</v>
      </c>
      <c r="R1737" s="89"/>
      <c r="S1737" s="89">
        <f>100%-Table34[[#This Row],[PDF_initial fee]]</f>
        <v>1</v>
      </c>
      <c r="T1737" s="89"/>
      <c r="U1737" s="26"/>
    </row>
    <row r="1738" spans="1:21" hidden="1" x14ac:dyDescent="0.25">
      <c r="A1738">
        <v>450371</v>
      </c>
      <c r="B1738" t="s">
        <v>2078</v>
      </c>
      <c r="C1738" t="s">
        <v>12656</v>
      </c>
      <c r="D1738">
        <v>1</v>
      </c>
      <c r="E1738" t="s">
        <v>2078</v>
      </c>
      <c r="G1738" s="3"/>
      <c r="H1738" s="21">
        <v>0</v>
      </c>
      <c r="I1738" s="21">
        <v>0</v>
      </c>
      <c r="J1738" s="21">
        <v>0</v>
      </c>
      <c r="K1738" s="21">
        <v>0</v>
      </c>
      <c r="L1738" s="3">
        <f t="shared" si="78"/>
        <v>0</v>
      </c>
      <c r="M1738" s="3"/>
      <c r="N1738" s="3">
        <f t="shared" si="79"/>
        <v>0</v>
      </c>
      <c r="R1738" s="89"/>
      <c r="S1738" s="89">
        <f>100%-Table34[[#This Row],[PDF_initial fee]]</f>
        <v>1</v>
      </c>
      <c r="T1738" s="89"/>
      <c r="U1738" s="26"/>
    </row>
    <row r="1739" spans="1:21" hidden="1" x14ac:dyDescent="0.25">
      <c r="A1739">
        <v>450395</v>
      </c>
      <c r="B1739" t="s">
        <v>2079</v>
      </c>
      <c r="C1739" t="s">
        <v>30011</v>
      </c>
      <c r="D1739">
        <v>2</v>
      </c>
      <c r="E1739" t="s">
        <v>2079</v>
      </c>
      <c r="G1739" s="3"/>
      <c r="H1739" s="3">
        <v>0</v>
      </c>
      <c r="I1739" s="3">
        <v>0</v>
      </c>
      <c r="J1739" s="3">
        <v>0</v>
      </c>
      <c r="K1739" s="3">
        <v>0</v>
      </c>
      <c r="L1739" s="3">
        <f t="shared" si="78"/>
        <v>0</v>
      </c>
      <c r="M1739" s="3"/>
      <c r="N1739" s="3">
        <f t="shared" si="79"/>
        <v>0</v>
      </c>
      <c r="R1739" s="89"/>
      <c r="S1739" s="89">
        <f>100%-Table34[[#This Row],[PDF_initial fee]]</f>
        <v>1</v>
      </c>
      <c r="T1739" s="89"/>
      <c r="U1739" s="26"/>
    </row>
    <row r="1740" spans="1:21" hidden="1" x14ac:dyDescent="0.25">
      <c r="A1740">
        <v>450497</v>
      </c>
      <c r="B1740" t="s">
        <v>2080</v>
      </c>
      <c r="C1740" t="s">
        <v>12216</v>
      </c>
      <c r="D1740">
        <v>4</v>
      </c>
      <c r="E1740" t="s">
        <v>2080</v>
      </c>
      <c r="G1740" s="3"/>
      <c r="H1740" s="21">
        <v>0</v>
      </c>
      <c r="I1740" s="21">
        <v>0</v>
      </c>
      <c r="J1740" s="21">
        <v>0</v>
      </c>
      <c r="K1740" s="21">
        <v>0</v>
      </c>
      <c r="L1740" s="3">
        <f t="shared" si="78"/>
        <v>0</v>
      </c>
      <c r="M1740" s="3"/>
      <c r="N1740" s="3">
        <f t="shared" si="79"/>
        <v>0</v>
      </c>
      <c r="R1740" s="89"/>
      <c r="S1740" s="89">
        <f>100%-Table34[[#This Row],[PDF_initial fee]]</f>
        <v>1</v>
      </c>
      <c r="T1740" s="89"/>
      <c r="U1740" s="26"/>
    </row>
    <row r="1741" spans="1:21" hidden="1" x14ac:dyDescent="0.25">
      <c r="A1741">
        <v>450550</v>
      </c>
      <c r="B1741" t="s">
        <v>2081</v>
      </c>
      <c r="C1741" t="s">
        <v>11568</v>
      </c>
      <c r="D1741">
        <v>3</v>
      </c>
      <c r="E1741" t="s">
        <v>2081</v>
      </c>
      <c r="G1741" s="3"/>
      <c r="H1741" s="64"/>
      <c r="I1741" s="64" t="s">
        <v>30012</v>
      </c>
      <c r="J1741" s="64"/>
      <c r="K1741" s="64"/>
      <c r="L1741" s="3">
        <f t="shared" si="78"/>
        <v>0</v>
      </c>
      <c r="M1741" s="3"/>
      <c r="N1741" s="3">
        <f t="shared" si="79"/>
        <v>0</v>
      </c>
      <c r="R1741" s="89"/>
      <c r="S1741" s="89">
        <f>100%-Table34[[#This Row],[PDF_initial fee]]</f>
        <v>1</v>
      </c>
      <c r="T1741" s="89"/>
      <c r="U1741" s="26"/>
    </row>
    <row r="1742" spans="1:21" hidden="1" x14ac:dyDescent="0.25">
      <c r="A1742">
        <v>450607</v>
      </c>
      <c r="B1742" t="s">
        <v>2082</v>
      </c>
      <c r="C1742" t="s">
        <v>10985</v>
      </c>
      <c r="D1742">
        <v>1</v>
      </c>
      <c r="E1742" t="s">
        <v>2082</v>
      </c>
      <c r="G1742" s="3"/>
      <c r="H1742" s="21">
        <v>0</v>
      </c>
      <c r="I1742" s="21">
        <v>0</v>
      </c>
      <c r="J1742" s="21">
        <v>0</v>
      </c>
      <c r="K1742" s="21">
        <v>0</v>
      </c>
      <c r="L1742" s="3">
        <f t="shared" si="78"/>
        <v>0</v>
      </c>
      <c r="M1742" s="3"/>
      <c r="N1742" s="3">
        <f t="shared" si="79"/>
        <v>0</v>
      </c>
      <c r="R1742" s="89"/>
      <c r="S1742" s="89">
        <f>100%-Table34[[#This Row],[PDF_initial fee]]</f>
        <v>1</v>
      </c>
      <c r="T1742" s="89"/>
      <c r="U1742" s="26"/>
    </row>
    <row r="1743" spans="1:21" hidden="1" x14ac:dyDescent="0.25">
      <c r="A1743">
        <v>450643</v>
      </c>
      <c r="B1743" t="s">
        <v>2083</v>
      </c>
      <c r="C1743" t="s">
        <v>30013</v>
      </c>
      <c r="D1743">
        <v>2</v>
      </c>
      <c r="E1743" t="s">
        <v>2083</v>
      </c>
      <c r="G1743" s="3"/>
      <c r="H1743" s="3">
        <v>0</v>
      </c>
      <c r="I1743" s="3">
        <v>0</v>
      </c>
      <c r="J1743" s="3">
        <v>0</v>
      </c>
      <c r="K1743" s="3">
        <v>0</v>
      </c>
      <c r="L1743" s="3">
        <f t="shared" si="78"/>
        <v>0</v>
      </c>
      <c r="M1743" s="3"/>
      <c r="N1743" s="3">
        <f t="shared" si="79"/>
        <v>0</v>
      </c>
      <c r="R1743" s="89"/>
      <c r="S1743" s="89">
        <f>100%-Table34[[#This Row],[PDF_initial fee]]</f>
        <v>1</v>
      </c>
      <c r="T1743" s="89"/>
      <c r="U1743" s="26"/>
    </row>
    <row r="1744" spans="1:21" hidden="1" x14ac:dyDescent="0.25">
      <c r="A1744">
        <v>450657</v>
      </c>
      <c r="B1744" t="s">
        <v>2084</v>
      </c>
      <c r="C1744" t="s">
        <v>30014</v>
      </c>
      <c r="D1744">
        <v>0</v>
      </c>
      <c r="E1744" t="s">
        <v>2084</v>
      </c>
      <c r="F1744" t="s">
        <v>29136</v>
      </c>
      <c r="G1744" s="3"/>
      <c r="H1744" s="21">
        <v>0</v>
      </c>
      <c r="I1744" s="21">
        <v>0</v>
      </c>
      <c r="J1744" s="21">
        <v>0</v>
      </c>
      <c r="K1744" s="21">
        <v>0</v>
      </c>
      <c r="L1744" s="3">
        <f t="shared" si="78"/>
        <v>0</v>
      </c>
      <c r="M1744" s="3"/>
      <c r="N1744" s="3">
        <f t="shared" si="79"/>
        <v>0</v>
      </c>
      <c r="O1744" s="21"/>
      <c r="R1744" s="89"/>
      <c r="S1744" s="89">
        <f>100%-Table34[[#This Row],[PDF_initial fee]]</f>
        <v>1</v>
      </c>
      <c r="T1744" s="89"/>
      <c r="U1744" s="26"/>
    </row>
    <row r="1745" spans="1:28" hidden="1" x14ac:dyDescent="0.25">
      <c r="A1745">
        <v>450659</v>
      </c>
      <c r="B1745" t="s">
        <v>2085</v>
      </c>
      <c r="C1745" t="s">
        <v>6958</v>
      </c>
      <c r="D1745">
        <v>1</v>
      </c>
      <c r="E1745" t="s">
        <v>2085</v>
      </c>
      <c r="F1745" t="s">
        <v>6958</v>
      </c>
      <c r="G1745" s="3"/>
      <c r="H1745" s="21">
        <v>0</v>
      </c>
      <c r="I1745" s="21">
        <v>0</v>
      </c>
      <c r="J1745" s="21">
        <v>0</v>
      </c>
      <c r="K1745" s="21">
        <v>0</v>
      </c>
      <c r="L1745" s="3">
        <f t="shared" si="78"/>
        <v>0</v>
      </c>
      <c r="M1745" s="3"/>
      <c r="N1745" s="3">
        <f t="shared" si="79"/>
        <v>0</v>
      </c>
      <c r="R1745" s="89"/>
      <c r="S1745" s="89">
        <f>100%-Table34[[#This Row],[PDF_initial fee]]</f>
        <v>1</v>
      </c>
      <c r="T1745" s="89"/>
      <c r="U1745" s="26"/>
    </row>
    <row r="1746" spans="1:28" hidden="1" x14ac:dyDescent="0.25">
      <c r="A1746">
        <v>450813</v>
      </c>
      <c r="B1746" t="s">
        <v>2086</v>
      </c>
      <c r="C1746" t="s">
        <v>6958</v>
      </c>
      <c r="D1746">
        <v>3</v>
      </c>
      <c r="E1746" t="s">
        <v>2086</v>
      </c>
      <c r="F1746" t="s">
        <v>6958</v>
      </c>
      <c r="G1746" s="3"/>
      <c r="H1746" s="21">
        <v>0</v>
      </c>
      <c r="I1746" s="21">
        <v>0</v>
      </c>
      <c r="J1746" s="21">
        <v>0</v>
      </c>
      <c r="K1746" s="21">
        <v>0</v>
      </c>
      <c r="L1746" s="3">
        <f t="shared" si="78"/>
        <v>0</v>
      </c>
      <c r="M1746" s="3"/>
      <c r="N1746" s="3">
        <f t="shared" si="79"/>
        <v>0</v>
      </c>
      <c r="O1746" s="21"/>
      <c r="R1746" s="89"/>
      <c r="S1746" s="89">
        <f>100%-Table34[[#This Row],[PDF_initial fee]]</f>
        <v>1</v>
      </c>
      <c r="T1746" s="89"/>
      <c r="U1746" s="26"/>
    </row>
    <row r="1747" spans="1:28" hidden="1" x14ac:dyDescent="0.25">
      <c r="A1747">
        <v>450927</v>
      </c>
      <c r="B1747" t="s">
        <v>2087</v>
      </c>
      <c r="C1747" t="s">
        <v>6958</v>
      </c>
      <c r="D1747">
        <v>5</v>
      </c>
      <c r="E1747" t="s">
        <v>2087</v>
      </c>
      <c r="F1747" t="s">
        <v>6958</v>
      </c>
      <c r="G1747" s="3"/>
      <c r="H1747" s="21">
        <v>0</v>
      </c>
      <c r="I1747" s="21">
        <v>0</v>
      </c>
      <c r="J1747" s="21">
        <v>0</v>
      </c>
      <c r="K1747" s="21">
        <v>0</v>
      </c>
      <c r="L1747" s="3">
        <f t="shared" si="78"/>
        <v>0</v>
      </c>
      <c r="M1747" s="3"/>
      <c r="N1747" s="3">
        <f t="shared" si="79"/>
        <v>0</v>
      </c>
      <c r="R1747" s="89"/>
      <c r="S1747" s="89">
        <f>100%-Table34[[#This Row],[PDF_initial fee]]</f>
        <v>1</v>
      </c>
      <c r="T1747" s="89"/>
      <c r="U1747" s="26"/>
    </row>
    <row r="1748" spans="1:28" hidden="1" x14ac:dyDescent="0.25">
      <c r="A1748">
        <v>451060</v>
      </c>
      <c r="B1748" t="s">
        <v>2088</v>
      </c>
      <c r="C1748" t="s">
        <v>6958</v>
      </c>
      <c r="D1748">
        <v>1</v>
      </c>
      <c r="E1748" t="s">
        <v>2088</v>
      </c>
      <c r="F1748" t="s">
        <v>6958</v>
      </c>
      <c r="G1748" s="3"/>
      <c r="H1748" s="21">
        <v>0</v>
      </c>
      <c r="I1748" s="21">
        <v>0</v>
      </c>
      <c r="J1748" s="21">
        <v>0</v>
      </c>
      <c r="K1748" s="21">
        <v>0</v>
      </c>
      <c r="L1748" s="3">
        <f t="shared" si="78"/>
        <v>0</v>
      </c>
      <c r="M1748" s="3"/>
      <c r="N1748" s="3">
        <f t="shared" si="79"/>
        <v>0</v>
      </c>
      <c r="R1748" s="89"/>
      <c r="S1748" s="89">
        <f>100%-Table34[[#This Row],[PDF_initial fee]]</f>
        <v>1</v>
      </c>
      <c r="T1748" s="89"/>
      <c r="U1748" s="26"/>
    </row>
    <row r="1749" spans="1:28" hidden="1" x14ac:dyDescent="0.25">
      <c r="A1749">
        <v>451166</v>
      </c>
      <c r="B1749" t="s">
        <v>2089</v>
      </c>
      <c r="C1749" t="s">
        <v>30015</v>
      </c>
      <c r="D1749">
        <v>5</v>
      </c>
      <c r="E1749" t="s">
        <v>2089</v>
      </c>
      <c r="G1749" s="3"/>
      <c r="H1749" s="3">
        <v>0</v>
      </c>
      <c r="I1749" s="3">
        <v>0</v>
      </c>
      <c r="J1749" s="3">
        <v>0</v>
      </c>
      <c r="K1749" s="3">
        <v>0</v>
      </c>
      <c r="L1749" s="3">
        <f t="shared" si="78"/>
        <v>0</v>
      </c>
      <c r="M1749" s="3"/>
      <c r="N1749" s="3">
        <f t="shared" si="79"/>
        <v>0</v>
      </c>
      <c r="R1749" s="89"/>
      <c r="S1749" s="89">
        <f>100%-Table34[[#This Row],[PDF_initial fee]]</f>
        <v>1</v>
      </c>
      <c r="T1749" s="89"/>
      <c r="U1749" s="26"/>
    </row>
    <row r="1750" spans="1:28" hidden="1" x14ac:dyDescent="0.25">
      <c r="A1750">
        <v>451293</v>
      </c>
      <c r="B1750" t="s">
        <v>2090</v>
      </c>
      <c r="C1750" t="s">
        <v>6958</v>
      </c>
      <c r="D1750">
        <v>3</v>
      </c>
      <c r="E1750" t="s">
        <v>2090</v>
      </c>
      <c r="F1750" t="s">
        <v>6958</v>
      </c>
      <c r="G1750" s="3"/>
      <c r="H1750" s="21">
        <v>0</v>
      </c>
      <c r="I1750" s="21">
        <v>0</v>
      </c>
      <c r="J1750" s="21">
        <v>0</v>
      </c>
      <c r="K1750" s="21">
        <v>0</v>
      </c>
      <c r="L1750" s="3">
        <f t="shared" si="78"/>
        <v>0</v>
      </c>
      <c r="M1750" s="3"/>
      <c r="N1750" s="3">
        <f t="shared" si="79"/>
        <v>0</v>
      </c>
      <c r="R1750" s="89"/>
      <c r="S1750" s="89">
        <f>100%-Table34[[#This Row],[PDF_initial fee]]</f>
        <v>1</v>
      </c>
      <c r="T1750" s="89"/>
      <c r="U1750" s="26"/>
    </row>
    <row r="1751" spans="1:28" hidden="1" x14ac:dyDescent="0.25">
      <c r="A1751">
        <v>451361</v>
      </c>
      <c r="B1751" t="s">
        <v>2091</v>
      </c>
      <c r="C1751" t="s">
        <v>6958</v>
      </c>
      <c r="D1751">
        <v>1</v>
      </c>
      <c r="E1751" t="s">
        <v>2091</v>
      </c>
      <c r="F1751" t="s">
        <v>6958</v>
      </c>
      <c r="G1751" s="3"/>
      <c r="H1751" s="21">
        <v>0</v>
      </c>
      <c r="I1751" s="21">
        <v>0</v>
      </c>
      <c r="J1751" s="21">
        <v>0</v>
      </c>
      <c r="K1751" s="21">
        <v>0</v>
      </c>
      <c r="L1751" s="3">
        <f t="shared" si="78"/>
        <v>0</v>
      </c>
      <c r="M1751" s="3"/>
      <c r="N1751" s="3">
        <f t="shared" si="79"/>
        <v>0</v>
      </c>
      <c r="O1751" s="21"/>
      <c r="R1751" s="89"/>
      <c r="S1751" s="89">
        <f>100%-Table34[[#This Row],[PDF_initial fee]]</f>
        <v>1</v>
      </c>
      <c r="T1751" s="89"/>
      <c r="U1751" s="26"/>
    </row>
    <row r="1752" spans="1:28" hidden="1" x14ac:dyDescent="0.25">
      <c r="A1752">
        <v>451607</v>
      </c>
      <c r="B1752" t="s">
        <v>2092</v>
      </c>
      <c r="C1752" t="s">
        <v>7641</v>
      </c>
      <c r="D1752">
        <v>0</v>
      </c>
      <c r="E1752" t="s">
        <v>2092</v>
      </c>
      <c r="F1752" t="s">
        <v>3</v>
      </c>
      <c r="G1752" s="3"/>
      <c r="H1752" s="21">
        <v>0</v>
      </c>
      <c r="I1752" s="21">
        <v>0</v>
      </c>
      <c r="J1752" s="21">
        <v>0</v>
      </c>
      <c r="K1752" s="21">
        <v>0</v>
      </c>
      <c r="L1752" s="3">
        <f t="shared" si="78"/>
        <v>0</v>
      </c>
      <c r="M1752" s="3"/>
      <c r="N1752" s="3">
        <f t="shared" si="79"/>
        <v>0</v>
      </c>
      <c r="R1752" s="89"/>
      <c r="S1752" s="89">
        <f>100%-Table34[[#This Row],[PDF_initial fee]]</f>
        <v>1</v>
      </c>
      <c r="T1752" s="89"/>
      <c r="U1752" s="26"/>
    </row>
    <row r="1753" spans="1:28" hidden="1" x14ac:dyDescent="0.25">
      <c r="A1753">
        <v>451695</v>
      </c>
      <c r="B1753" t="s">
        <v>2093</v>
      </c>
      <c r="C1753" t="s">
        <v>30016</v>
      </c>
      <c r="D1753">
        <v>4</v>
      </c>
      <c r="E1753" t="s">
        <v>2093</v>
      </c>
      <c r="G1753" s="3"/>
      <c r="H1753" s="3">
        <v>0</v>
      </c>
      <c r="I1753" s="3">
        <v>0</v>
      </c>
      <c r="J1753" s="3">
        <v>0</v>
      </c>
      <c r="K1753" s="3">
        <v>0</v>
      </c>
      <c r="L1753" s="3">
        <f t="shared" si="78"/>
        <v>0</v>
      </c>
      <c r="M1753" s="3"/>
      <c r="N1753" s="3">
        <f t="shared" si="79"/>
        <v>0</v>
      </c>
      <c r="R1753" s="89"/>
      <c r="S1753" s="89">
        <f>100%-Table34[[#This Row],[PDF_initial fee]]</f>
        <v>1</v>
      </c>
      <c r="T1753" s="89"/>
      <c r="U1753" s="26"/>
    </row>
    <row r="1754" spans="1:28" hidden="1" x14ac:dyDescent="0.25">
      <c r="A1754">
        <v>451720</v>
      </c>
      <c r="B1754" t="s">
        <v>2094</v>
      </c>
      <c r="C1754" t="s">
        <v>30017</v>
      </c>
      <c r="D1754">
        <v>2</v>
      </c>
      <c r="E1754" t="s">
        <v>2094</v>
      </c>
      <c r="G1754" s="3"/>
      <c r="H1754" s="21">
        <v>0</v>
      </c>
      <c r="I1754" s="21">
        <v>0</v>
      </c>
      <c r="J1754" s="21">
        <v>0</v>
      </c>
      <c r="K1754" s="21">
        <v>0</v>
      </c>
      <c r="L1754" s="3">
        <f t="shared" si="78"/>
        <v>0</v>
      </c>
      <c r="M1754" s="3"/>
      <c r="N1754" s="3">
        <f t="shared" si="79"/>
        <v>0</v>
      </c>
      <c r="O1754" s="21"/>
      <c r="R1754" s="89"/>
      <c r="S1754" s="89">
        <f>100%-Table34[[#This Row],[PDF_initial fee]]</f>
        <v>1</v>
      </c>
      <c r="T1754" s="89"/>
      <c r="U1754" s="26"/>
    </row>
    <row r="1755" spans="1:28" hidden="1" x14ac:dyDescent="0.25">
      <c r="A1755">
        <v>451784</v>
      </c>
      <c r="B1755" t="s">
        <v>2095</v>
      </c>
      <c r="C1755" t="s">
        <v>11441</v>
      </c>
      <c r="D1755">
        <v>2</v>
      </c>
      <c r="E1755" t="s">
        <v>2095</v>
      </c>
      <c r="G1755" s="3"/>
      <c r="H1755" s="21">
        <v>0</v>
      </c>
      <c r="I1755" s="21">
        <v>0</v>
      </c>
      <c r="J1755" s="21">
        <v>0</v>
      </c>
      <c r="K1755" s="21">
        <v>0</v>
      </c>
      <c r="L1755" s="3">
        <f t="shared" si="78"/>
        <v>0</v>
      </c>
      <c r="M1755" s="3"/>
      <c r="N1755" s="3">
        <f t="shared" si="79"/>
        <v>0</v>
      </c>
      <c r="R1755" s="89"/>
      <c r="S1755" s="89">
        <f>100%-Table34[[#This Row],[PDF_initial fee]]</f>
        <v>1</v>
      </c>
      <c r="T1755" s="89"/>
      <c r="U1755" s="26"/>
    </row>
    <row r="1756" spans="1:28" hidden="1" x14ac:dyDescent="0.25">
      <c r="A1756">
        <v>451955</v>
      </c>
      <c r="B1756" t="s">
        <v>2096</v>
      </c>
      <c r="C1756" t="s">
        <v>30018</v>
      </c>
      <c r="D1756">
        <v>1</v>
      </c>
      <c r="E1756" t="s">
        <v>2096</v>
      </c>
      <c r="G1756" s="3"/>
      <c r="H1756" s="3">
        <v>0</v>
      </c>
      <c r="I1756" s="3">
        <v>0</v>
      </c>
      <c r="J1756" s="3">
        <v>0</v>
      </c>
      <c r="K1756" s="3">
        <v>0</v>
      </c>
      <c r="L1756" s="3">
        <f t="shared" si="78"/>
        <v>0</v>
      </c>
      <c r="M1756" s="3"/>
      <c r="N1756" s="3">
        <f t="shared" si="79"/>
        <v>0</v>
      </c>
      <c r="R1756" s="89"/>
      <c r="S1756" s="89">
        <f>100%-Table34[[#This Row],[PDF_initial fee]]</f>
        <v>1</v>
      </c>
      <c r="T1756" s="89"/>
      <c r="U1756" s="26"/>
    </row>
    <row r="1757" spans="1:28" x14ac:dyDescent="0.25">
      <c r="A1757">
        <v>409714</v>
      </c>
      <c r="B1757" t="s">
        <v>150</v>
      </c>
      <c r="C1757" s="1" t="s">
        <v>7472</v>
      </c>
      <c r="D1757">
        <v>10</v>
      </c>
      <c r="E1757" t="s">
        <v>150</v>
      </c>
      <c r="F1757" t="s">
        <v>3</v>
      </c>
      <c r="G1757" s="3">
        <v>1.4E-3</v>
      </c>
      <c r="H1757" s="3">
        <v>0.03</v>
      </c>
      <c r="I1757" s="3">
        <v>8.0000000000000002E-3</v>
      </c>
      <c r="J1757" s="6"/>
      <c r="K1757" s="6">
        <v>0</v>
      </c>
      <c r="L1757" s="3">
        <f t="shared" si="78"/>
        <v>3.7999999999999999E-2</v>
      </c>
      <c r="M1757" s="3"/>
      <c r="N1757" s="3">
        <f t="shared" si="79"/>
        <v>3.9399999999999998E-2</v>
      </c>
      <c r="P1757" s="1" t="s">
        <v>30019</v>
      </c>
      <c r="Q1757" t="s">
        <v>31787</v>
      </c>
      <c r="R1757" s="89">
        <v>0.33333333333333348</v>
      </c>
      <c r="S1757" s="89">
        <f>100%-Table34[[#This Row],[InitialFee]]</f>
        <v>0.97</v>
      </c>
      <c r="T1757" s="89">
        <f>(1-Table34[[#This Row],[OngoingFee (plus Platform fee)]])^5</f>
        <v>0.96063490044723188</v>
      </c>
      <c r="U1757" s="26">
        <f>(1+Table34[[#This Row],[Net 5yrs return (mostly up to 28th of Feb 2026)]])*Table34[[#This Row],[Investment after initial charge]]*Table34[[#This Row],[Cummulative 5yrs ongoing advice charge]]-1</f>
        <v>0.24242113791175335</v>
      </c>
      <c r="V1757" s="9">
        <v>127621</v>
      </c>
      <c r="W1757" t="s">
        <v>29051</v>
      </c>
      <c r="X1757" s="10">
        <v>86141</v>
      </c>
      <c r="Y1757" s="30">
        <f>X1757/V1757</f>
        <v>0.67497512164925833</v>
      </c>
      <c r="AA1757" s="1" t="s">
        <v>30020</v>
      </c>
    </row>
    <row r="1758" spans="1:28" hidden="1" x14ac:dyDescent="0.25">
      <c r="A1758">
        <v>452204</v>
      </c>
      <c r="B1758" t="s">
        <v>2097</v>
      </c>
      <c r="C1758" t="s">
        <v>11682</v>
      </c>
      <c r="D1758">
        <v>1</v>
      </c>
      <c r="E1758" t="s">
        <v>2097</v>
      </c>
      <c r="G1758" s="3"/>
      <c r="H1758" s="21">
        <v>0</v>
      </c>
      <c r="I1758" s="21">
        <v>0</v>
      </c>
      <c r="J1758" s="21">
        <v>0</v>
      </c>
      <c r="K1758" s="21">
        <v>0</v>
      </c>
      <c r="L1758" s="3">
        <f t="shared" si="78"/>
        <v>0</v>
      </c>
      <c r="M1758" s="3"/>
      <c r="N1758" s="3">
        <f t="shared" si="79"/>
        <v>0</v>
      </c>
      <c r="R1758" s="89"/>
      <c r="S1758" s="89">
        <f>100%-Table34[[#This Row],[PDF_initial fee]]</f>
        <v>1</v>
      </c>
      <c r="T1758" s="89"/>
      <c r="U1758" s="26"/>
    </row>
    <row r="1759" spans="1:28" x14ac:dyDescent="0.25">
      <c r="A1759">
        <v>177814</v>
      </c>
      <c r="B1759" t="s">
        <v>81</v>
      </c>
      <c r="C1759" s="1" t="s">
        <v>30021</v>
      </c>
      <c r="D1759">
        <v>1</v>
      </c>
      <c r="E1759" t="s">
        <v>81</v>
      </c>
      <c r="F1759" t="s">
        <v>3</v>
      </c>
      <c r="G1759" s="3">
        <v>1.4E-3</v>
      </c>
      <c r="H1759" s="3">
        <v>2.75E-2</v>
      </c>
      <c r="I1759" s="3">
        <v>7.4999999999999997E-3</v>
      </c>
      <c r="J1759" s="3">
        <v>0</v>
      </c>
      <c r="K1759" s="3">
        <v>0</v>
      </c>
      <c r="L1759" s="3">
        <f t="shared" si="78"/>
        <v>3.5000000000000003E-2</v>
      </c>
      <c r="M1759" s="3"/>
      <c r="N1759" s="3">
        <f t="shared" si="79"/>
        <v>3.6400000000000002E-2</v>
      </c>
      <c r="P1759" s="1" t="s">
        <v>30022</v>
      </c>
      <c r="Q1759" t="s">
        <v>31787</v>
      </c>
      <c r="R1759" s="89">
        <v>0.33333333333333348</v>
      </c>
      <c r="S1759" s="89">
        <f>100%-Table34[[#This Row],[InitialFee]]</f>
        <v>0.97250000000000003</v>
      </c>
      <c r="T1759" s="89">
        <f>(1-Table34[[#This Row],[OngoingFee (plus Platform fee)]])^5</f>
        <v>0.9630582970465823</v>
      </c>
      <c r="U1759" s="26">
        <f>(1+Table34[[#This Row],[Net 5yrs return (mostly up to 28th of Feb 2026)]])*Table34[[#This Row],[Investment after initial charge]]*Table34[[#This Row],[Cummulative 5yrs ongoing advice charge]]-1</f>
        <v>0.24876559183706859</v>
      </c>
      <c r="V1759" s="10">
        <f>67061+19127</f>
        <v>86188</v>
      </c>
      <c r="W1759" t="s">
        <v>29051</v>
      </c>
      <c r="X1759" s="10">
        <v>42442</v>
      </c>
      <c r="Y1759" s="30">
        <f>X1759/V1759</f>
        <v>0.49243514178307884</v>
      </c>
      <c r="AA1759" s="1" t="s">
        <v>30023</v>
      </c>
      <c r="AB1759" t="s">
        <v>29302</v>
      </c>
    </row>
    <row r="1760" spans="1:28" x14ac:dyDescent="0.25">
      <c r="A1760">
        <v>223112</v>
      </c>
      <c r="B1760" t="s">
        <v>123</v>
      </c>
      <c r="C1760" s="1" t="s">
        <v>7509</v>
      </c>
      <c r="D1760">
        <v>352</v>
      </c>
      <c r="E1760" t="s">
        <v>123</v>
      </c>
      <c r="F1760" t="s">
        <v>3</v>
      </c>
      <c r="G1760" s="3">
        <v>1.4E-3</v>
      </c>
      <c r="H1760" s="21">
        <v>0.01</v>
      </c>
      <c r="I1760" s="3">
        <v>8.5000000000000006E-3</v>
      </c>
      <c r="J1760" s="6"/>
      <c r="K1760" s="6"/>
      <c r="L1760" s="3">
        <f t="shared" si="78"/>
        <v>1.8500000000000003E-2</v>
      </c>
      <c r="M1760" s="3"/>
      <c r="N1760" s="3">
        <f t="shared" si="79"/>
        <v>1.9900000000000001E-2</v>
      </c>
      <c r="O1760" t="s">
        <v>30024</v>
      </c>
      <c r="P1760" s="1" t="s">
        <v>30025</v>
      </c>
      <c r="Q1760" t="s">
        <v>31787</v>
      </c>
      <c r="R1760" s="89">
        <v>0.33333333333333348</v>
      </c>
      <c r="S1760" s="89">
        <f>100%-Table34[[#This Row],[InitialFee]]</f>
        <v>0.99</v>
      </c>
      <c r="T1760" s="89">
        <f>(1-Table34[[#This Row],[OngoingFee (plus Platform fee)]])^5</f>
        <v>0.95821638480594218</v>
      </c>
      <c r="U1760" s="26">
        <f>(1+Table34[[#This Row],[Net 5yrs return (mostly up to 28th of Feb 2026)]])*Table34[[#This Row],[Investment after initial charge]]*Table34[[#This Row],[Cummulative 5yrs ongoing advice charge]]-1</f>
        <v>0.26484562794384381</v>
      </c>
      <c r="V1760" s="10">
        <v>139289</v>
      </c>
      <c r="W1760" t="s">
        <v>29051</v>
      </c>
      <c r="X1760" s="10">
        <v>8381</v>
      </c>
      <c r="Y1760" s="30">
        <f>X1760/V1760</f>
        <v>6.0169862659650082E-2</v>
      </c>
      <c r="AA1760" s="1" t="s">
        <v>30026</v>
      </c>
    </row>
    <row r="1761" spans="1:27" hidden="1" x14ac:dyDescent="0.25">
      <c r="A1761">
        <v>452312</v>
      </c>
      <c r="B1761" t="s">
        <v>2098</v>
      </c>
      <c r="C1761" t="s">
        <v>10102</v>
      </c>
      <c r="D1761">
        <v>4</v>
      </c>
      <c r="E1761" t="s">
        <v>2098</v>
      </c>
      <c r="G1761" s="3"/>
      <c r="H1761" s="21">
        <v>0</v>
      </c>
      <c r="I1761" s="21">
        <v>0</v>
      </c>
      <c r="J1761" s="21">
        <v>0</v>
      </c>
      <c r="K1761" s="21">
        <v>0</v>
      </c>
      <c r="L1761" s="3">
        <f t="shared" ref="L1761:L1785" si="80">SUM(H1761:K1761)</f>
        <v>0</v>
      </c>
      <c r="M1761" s="3"/>
      <c r="N1761" s="3">
        <f t="shared" ref="N1761:N1785" si="81">L1761+G1761</f>
        <v>0</v>
      </c>
      <c r="R1761" s="89"/>
      <c r="S1761" s="89">
        <f>100%-Table34[[#This Row],[PDF_initial fee]]</f>
        <v>1</v>
      </c>
      <c r="T1761" s="89"/>
      <c r="U1761" s="26"/>
    </row>
    <row r="1762" spans="1:27" hidden="1" x14ac:dyDescent="0.25">
      <c r="A1762">
        <v>452494</v>
      </c>
      <c r="B1762" t="s">
        <v>2099</v>
      </c>
      <c r="C1762" t="s">
        <v>6958</v>
      </c>
      <c r="D1762">
        <v>2</v>
      </c>
      <c r="E1762" t="s">
        <v>2099</v>
      </c>
      <c r="F1762" t="s">
        <v>6958</v>
      </c>
      <c r="G1762" s="3"/>
      <c r="H1762" s="21">
        <v>0</v>
      </c>
      <c r="I1762" s="21">
        <v>0</v>
      </c>
      <c r="J1762" s="21">
        <v>0</v>
      </c>
      <c r="K1762" s="21">
        <v>0</v>
      </c>
      <c r="L1762" s="3">
        <f t="shared" si="80"/>
        <v>0</v>
      </c>
      <c r="M1762" s="3"/>
      <c r="N1762" s="3">
        <f t="shared" si="81"/>
        <v>0</v>
      </c>
      <c r="R1762" s="89"/>
      <c r="S1762" s="89">
        <f>100%-Table34[[#This Row],[PDF_initial fee]]</f>
        <v>1</v>
      </c>
      <c r="T1762" s="89"/>
      <c r="U1762" s="26"/>
    </row>
    <row r="1763" spans="1:27" hidden="1" x14ac:dyDescent="0.25">
      <c r="A1763">
        <v>452685</v>
      </c>
      <c r="B1763" t="s">
        <v>2100</v>
      </c>
      <c r="C1763" t="s">
        <v>10721</v>
      </c>
      <c r="D1763">
        <v>2</v>
      </c>
      <c r="E1763" t="s">
        <v>2100</v>
      </c>
      <c r="G1763" s="3"/>
      <c r="L1763" s="3">
        <f t="shared" si="80"/>
        <v>0</v>
      </c>
      <c r="M1763" s="3"/>
      <c r="N1763" s="3">
        <f t="shared" si="81"/>
        <v>0</v>
      </c>
      <c r="R1763" s="89"/>
      <c r="S1763" s="89">
        <f>100%-Table34[[#This Row],[PDF_initial fee]]</f>
        <v>1</v>
      </c>
      <c r="T1763" s="89"/>
      <c r="U1763" s="26"/>
    </row>
    <row r="1764" spans="1:27" hidden="1" x14ac:dyDescent="0.25">
      <c r="A1764">
        <v>452784</v>
      </c>
      <c r="B1764" t="s">
        <v>2101</v>
      </c>
      <c r="C1764" t="s">
        <v>30027</v>
      </c>
      <c r="D1764">
        <v>2</v>
      </c>
      <c r="E1764" t="s">
        <v>2101</v>
      </c>
      <c r="G1764" s="3"/>
      <c r="H1764" s="3">
        <v>0</v>
      </c>
      <c r="I1764" s="3">
        <v>0</v>
      </c>
      <c r="J1764" s="3">
        <v>0</v>
      </c>
      <c r="K1764" s="3">
        <v>0</v>
      </c>
      <c r="L1764" s="3">
        <f t="shared" si="80"/>
        <v>0</v>
      </c>
      <c r="M1764" s="3"/>
      <c r="N1764" s="3">
        <f t="shared" si="81"/>
        <v>0</v>
      </c>
      <c r="R1764" s="89"/>
      <c r="S1764" s="89">
        <f>100%-Table34[[#This Row],[PDF_initial fee]]</f>
        <v>1</v>
      </c>
      <c r="T1764" s="89"/>
      <c r="U1764" s="26"/>
    </row>
    <row r="1765" spans="1:27" hidden="1" x14ac:dyDescent="0.25">
      <c r="A1765">
        <v>452930</v>
      </c>
      <c r="B1765" t="s">
        <v>2102</v>
      </c>
      <c r="C1765" t="s">
        <v>30028</v>
      </c>
      <c r="D1765">
        <v>2</v>
      </c>
      <c r="E1765" t="s">
        <v>2102</v>
      </c>
      <c r="G1765" s="3"/>
      <c r="H1765" s="3">
        <v>0</v>
      </c>
      <c r="I1765" s="3">
        <v>0</v>
      </c>
      <c r="J1765" s="3">
        <v>0</v>
      </c>
      <c r="K1765" s="3">
        <v>0</v>
      </c>
      <c r="L1765" s="3">
        <f t="shared" si="80"/>
        <v>0</v>
      </c>
      <c r="M1765" s="3"/>
      <c r="N1765" s="3">
        <f t="shared" si="81"/>
        <v>0</v>
      </c>
      <c r="R1765" s="89"/>
      <c r="S1765" s="89">
        <f>100%-Table34[[#This Row],[PDF_initial fee]]</f>
        <v>1</v>
      </c>
      <c r="T1765" s="89"/>
      <c r="U1765" s="26"/>
    </row>
    <row r="1766" spans="1:27" hidden="1" x14ac:dyDescent="0.25">
      <c r="A1766">
        <v>453007</v>
      </c>
      <c r="B1766" t="s">
        <v>2103</v>
      </c>
      <c r="C1766" t="s">
        <v>11288</v>
      </c>
      <c r="D1766">
        <v>0</v>
      </c>
      <c r="E1766" t="s">
        <v>2103</v>
      </c>
      <c r="F1766" t="s">
        <v>29136</v>
      </c>
      <c r="G1766" s="3"/>
      <c r="H1766" s="21">
        <v>0</v>
      </c>
      <c r="I1766" s="21">
        <v>0</v>
      </c>
      <c r="J1766" s="21">
        <v>0</v>
      </c>
      <c r="K1766" s="21">
        <v>0</v>
      </c>
      <c r="L1766" s="3">
        <f t="shared" si="80"/>
        <v>0</v>
      </c>
      <c r="M1766" s="3"/>
      <c r="N1766" s="3">
        <f t="shared" si="81"/>
        <v>0</v>
      </c>
      <c r="R1766" s="89"/>
      <c r="S1766" s="89">
        <f>100%-Table34[[#This Row],[PDF_initial fee]]</f>
        <v>1</v>
      </c>
      <c r="T1766" s="89"/>
      <c r="U1766" s="26"/>
    </row>
    <row r="1767" spans="1:27" hidden="1" x14ac:dyDescent="0.25">
      <c r="A1767">
        <v>453131</v>
      </c>
      <c r="B1767" t="s">
        <v>2105</v>
      </c>
      <c r="C1767" t="s">
        <v>10448</v>
      </c>
      <c r="D1767">
        <v>3</v>
      </c>
      <c r="E1767" t="s">
        <v>2105</v>
      </c>
      <c r="G1767" s="3"/>
      <c r="H1767" s="21">
        <v>0</v>
      </c>
      <c r="I1767" s="21">
        <v>0</v>
      </c>
      <c r="J1767" s="21">
        <v>0</v>
      </c>
      <c r="K1767" s="21">
        <v>0</v>
      </c>
      <c r="L1767" s="3">
        <f t="shared" si="80"/>
        <v>0</v>
      </c>
      <c r="M1767" s="3"/>
      <c r="N1767" s="3">
        <f t="shared" si="81"/>
        <v>0</v>
      </c>
      <c r="R1767" s="89"/>
      <c r="S1767" s="89">
        <f>100%-Table34[[#This Row],[PDF_initial fee]]</f>
        <v>1</v>
      </c>
      <c r="T1767" s="89"/>
      <c r="U1767" s="26"/>
    </row>
    <row r="1768" spans="1:27" hidden="1" x14ac:dyDescent="0.25">
      <c r="A1768">
        <v>453134</v>
      </c>
      <c r="B1768" t="s">
        <v>2106</v>
      </c>
      <c r="C1768" t="s">
        <v>6996</v>
      </c>
      <c r="D1768">
        <v>2</v>
      </c>
      <c r="E1768" t="s">
        <v>2106</v>
      </c>
      <c r="G1768" s="3"/>
      <c r="H1768" s="21">
        <v>0</v>
      </c>
      <c r="I1768" s="21">
        <v>0</v>
      </c>
      <c r="J1768" s="21">
        <v>0</v>
      </c>
      <c r="K1768" s="21">
        <v>0</v>
      </c>
      <c r="L1768" s="3">
        <f t="shared" si="80"/>
        <v>0</v>
      </c>
      <c r="M1768" s="3"/>
      <c r="N1768" s="3">
        <f t="shared" si="81"/>
        <v>0</v>
      </c>
      <c r="R1768" s="89"/>
      <c r="S1768" s="89">
        <f>100%-Table34[[#This Row],[PDF_initial fee]]</f>
        <v>1</v>
      </c>
      <c r="T1768" s="89"/>
      <c r="U1768" s="26"/>
    </row>
    <row r="1769" spans="1:27" hidden="1" x14ac:dyDescent="0.25">
      <c r="A1769">
        <v>453151</v>
      </c>
      <c r="B1769" t="s">
        <v>2107</v>
      </c>
      <c r="C1769" t="s">
        <v>30029</v>
      </c>
      <c r="D1769">
        <v>1</v>
      </c>
      <c r="E1769" t="s">
        <v>2107</v>
      </c>
      <c r="G1769" s="3"/>
      <c r="H1769" s="21">
        <v>0</v>
      </c>
      <c r="I1769" s="21">
        <v>0</v>
      </c>
      <c r="J1769" s="21">
        <v>0</v>
      </c>
      <c r="K1769" s="21">
        <v>0</v>
      </c>
      <c r="L1769" s="3">
        <f t="shared" si="80"/>
        <v>0</v>
      </c>
      <c r="M1769" s="3"/>
      <c r="N1769" s="3">
        <f t="shared" si="81"/>
        <v>0</v>
      </c>
      <c r="O1769" s="21"/>
      <c r="R1769" s="89"/>
      <c r="S1769" s="89">
        <f>100%-Table34[[#This Row],[PDF_initial fee]]</f>
        <v>1</v>
      </c>
      <c r="T1769" s="89"/>
      <c r="U1769" s="26"/>
    </row>
    <row r="1770" spans="1:27" x14ac:dyDescent="0.25">
      <c r="A1770">
        <v>591218</v>
      </c>
      <c r="B1770" t="s">
        <v>246</v>
      </c>
      <c r="C1770" s="1" t="s">
        <v>30030</v>
      </c>
      <c r="D1770">
        <v>15</v>
      </c>
      <c r="E1770" t="s">
        <v>246</v>
      </c>
      <c r="F1770" t="s">
        <v>3</v>
      </c>
      <c r="G1770" s="3">
        <v>1.4E-3</v>
      </c>
      <c r="H1770" s="21">
        <v>0.01</v>
      </c>
      <c r="I1770" s="3">
        <v>8.5000000000000006E-3</v>
      </c>
      <c r="J1770" s="6">
        <v>0</v>
      </c>
      <c r="K1770" s="6">
        <v>0</v>
      </c>
      <c r="L1770" s="3">
        <f t="shared" si="80"/>
        <v>1.8500000000000003E-2</v>
      </c>
      <c r="M1770" s="3"/>
      <c r="N1770" s="3">
        <f t="shared" si="81"/>
        <v>1.9900000000000001E-2</v>
      </c>
      <c r="O1770" t="s">
        <v>30031</v>
      </c>
      <c r="P1770" s="31" t="s">
        <v>30025</v>
      </c>
      <c r="Q1770" t="s">
        <v>31787</v>
      </c>
      <c r="R1770" s="89">
        <v>0.33333333333333348</v>
      </c>
      <c r="S1770" s="89">
        <f>100%-Table34[[#This Row],[InitialFee]]</f>
        <v>0.99</v>
      </c>
      <c r="T1770" s="89">
        <f>(1-Table34[[#This Row],[OngoingFee (plus Platform fee)]])^5</f>
        <v>0.95821638480594218</v>
      </c>
      <c r="U1770" s="26">
        <f>(1+Table34[[#This Row],[Net 5yrs return (mostly up to 28th of Feb 2026)]])*Table34[[#This Row],[Investment after initial charge]]*Table34[[#This Row],[Cummulative 5yrs ongoing advice charge]]-1</f>
        <v>0.26484562794384381</v>
      </c>
      <c r="V1770" s="10">
        <f>2485397+521479</f>
        <v>3006876</v>
      </c>
      <c r="W1770" t="s">
        <v>29051</v>
      </c>
      <c r="X1770" s="92">
        <v>2335397</v>
      </c>
      <c r="Y1770" s="30">
        <f>X1770/V1770</f>
        <v>0.77668550349266152</v>
      </c>
      <c r="AA1770" s="1" t="s">
        <v>30032</v>
      </c>
    </row>
    <row r="1771" spans="1:27" hidden="1" x14ac:dyDescent="0.25">
      <c r="A1771">
        <v>453676</v>
      </c>
      <c r="B1771" t="s">
        <v>2109</v>
      </c>
      <c r="C1771" t="s">
        <v>30033</v>
      </c>
      <c r="D1771">
        <v>0</v>
      </c>
      <c r="E1771" t="s">
        <v>2109</v>
      </c>
      <c r="F1771" t="s">
        <v>29136</v>
      </c>
      <c r="G1771" s="3"/>
      <c r="H1771" s="21">
        <v>0</v>
      </c>
      <c r="I1771" s="3">
        <v>0</v>
      </c>
      <c r="J1771" s="3">
        <v>0</v>
      </c>
      <c r="K1771">
        <v>0</v>
      </c>
      <c r="L1771" s="3">
        <f t="shared" si="80"/>
        <v>0</v>
      </c>
      <c r="M1771" s="3"/>
      <c r="N1771" s="3">
        <f t="shared" si="81"/>
        <v>0</v>
      </c>
      <c r="R1771" s="89"/>
      <c r="S1771" s="89">
        <f>100%-Table34[[#This Row],[PDF_initial fee]]</f>
        <v>1</v>
      </c>
      <c r="T1771" s="89"/>
      <c r="U1771" s="26"/>
    </row>
    <row r="1772" spans="1:27" hidden="1" x14ac:dyDescent="0.25">
      <c r="A1772">
        <v>453682</v>
      </c>
      <c r="B1772" t="s">
        <v>2110</v>
      </c>
      <c r="C1772" t="s">
        <v>30034</v>
      </c>
      <c r="D1772">
        <v>4</v>
      </c>
      <c r="E1772" t="s">
        <v>2110</v>
      </c>
      <c r="G1772" s="3"/>
      <c r="H1772" s="21">
        <v>0</v>
      </c>
      <c r="I1772" s="21">
        <v>0</v>
      </c>
      <c r="J1772" s="21">
        <v>0</v>
      </c>
      <c r="K1772" s="21">
        <v>0</v>
      </c>
      <c r="L1772" s="3">
        <f t="shared" si="80"/>
        <v>0</v>
      </c>
      <c r="M1772" s="3"/>
      <c r="N1772" s="3">
        <f t="shared" si="81"/>
        <v>0</v>
      </c>
      <c r="O1772" s="21"/>
      <c r="R1772" s="89"/>
      <c r="S1772" s="89">
        <f>100%-Table34[[#This Row],[PDF_initial fee]]</f>
        <v>1</v>
      </c>
      <c r="T1772" s="89"/>
      <c r="U1772" s="26"/>
    </row>
    <row r="1773" spans="1:27" hidden="1" x14ac:dyDescent="0.25">
      <c r="A1773">
        <v>453733</v>
      </c>
      <c r="B1773" t="s">
        <v>2112</v>
      </c>
      <c r="C1773" t="s">
        <v>6958</v>
      </c>
      <c r="D1773">
        <v>2</v>
      </c>
      <c r="E1773" t="s">
        <v>2112</v>
      </c>
      <c r="F1773" t="s">
        <v>6958</v>
      </c>
      <c r="G1773" s="3"/>
      <c r="H1773" s="21">
        <v>0</v>
      </c>
      <c r="I1773" s="21">
        <v>0</v>
      </c>
      <c r="J1773" s="21">
        <v>0</v>
      </c>
      <c r="K1773" s="21">
        <v>0</v>
      </c>
      <c r="L1773" s="3">
        <f t="shared" si="80"/>
        <v>0</v>
      </c>
      <c r="M1773" s="3"/>
      <c r="N1773" s="3">
        <f t="shared" si="81"/>
        <v>0</v>
      </c>
      <c r="R1773" s="89"/>
      <c r="S1773" s="89">
        <f>100%-Table34[[#This Row],[PDF_initial fee]]</f>
        <v>1</v>
      </c>
      <c r="T1773" s="89"/>
      <c r="U1773" s="26"/>
    </row>
    <row r="1774" spans="1:27" hidden="1" x14ac:dyDescent="0.25">
      <c r="A1774">
        <v>453773</v>
      </c>
      <c r="B1774" t="s">
        <v>2113</v>
      </c>
      <c r="C1774" t="s">
        <v>8658</v>
      </c>
      <c r="D1774">
        <v>4</v>
      </c>
      <c r="E1774" t="s">
        <v>2113</v>
      </c>
      <c r="G1774" s="3"/>
      <c r="L1774" s="3">
        <f t="shared" si="80"/>
        <v>0</v>
      </c>
      <c r="M1774" s="3"/>
      <c r="N1774" s="3">
        <f t="shared" si="81"/>
        <v>0</v>
      </c>
      <c r="R1774" s="89"/>
      <c r="S1774" s="89">
        <f>100%-Table34[[#This Row],[PDF_initial fee]]</f>
        <v>1</v>
      </c>
      <c r="T1774" s="89"/>
      <c r="U1774" s="26"/>
    </row>
    <row r="1775" spans="1:27" hidden="1" x14ac:dyDescent="0.25">
      <c r="A1775">
        <v>453778</v>
      </c>
      <c r="B1775" t="s">
        <v>2114</v>
      </c>
      <c r="C1775" t="s">
        <v>30035</v>
      </c>
      <c r="D1775">
        <v>6</v>
      </c>
      <c r="E1775" t="s">
        <v>2114</v>
      </c>
      <c r="G1775" s="3"/>
      <c r="L1775" s="3">
        <f t="shared" si="80"/>
        <v>0</v>
      </c>
      <c r="M1775" s="3"/>
      <c r="N1775" s="3">
        <f t="shared" si="81"/>
        <v>0</v>
      </c>
      <c r="R1775" s="89"/>
      <c r="S1775" s="89">
        <f>100%-Table34[[#This Row],[PDF_initial fee]]</f>
        <v>1</v>
      </c>
      <c r="T1775" s="89"/>
      <c r="U1775" s="26"/>
    </row>
    <row r="1776" spans="1:27" hidden="1" x14ac:dyDescent="0.25">
      <c r="A1776">
        <v>453813</v>
      </c>
      <c r="B1776" t="s">
        <v>2115</v>
      </c>
      <c r="C1776" t="s">
        <v>6958</v>
      </c>
      <c r="D1776">
        <v>3</v>
      </c>
      <c r="E1776" t="s">
        <v>2115</v>
      </c>
      <c r="F1776" t="s">
        <v>6958</v>
      </c>
      <c r="G1776" s="3"/>
      <c r="H1776" s="21">
        <v>0</v>
      </c>
      <c r="I1776" s="21">
        <v>0</v>
      </c>
      <c r="J1776" s="21">
        <v>0</v>
      </c>
      <c r="K1776" s="21">
        <v>0</v>
      </c>
      <c r="L1776" s="3">
        <f t="shared" si="80"/>
        <v>0</v>
      </c>
      <c r="M1776" s="3"/>
      <c r="N1776" s="3">
        <f t="shared" si="81"/>
        <v>0</v>
      </c>
      <c r="R1776" s="89"/>
      <c r="S1776" s="89">
        <f>100%-Table34[[#This Row],[PDF_initial fee]]</f>
        <v>1</v>
      </c>
      <c r="T1776" s="89"/>
      <c r="U1776" s="26"/>
    </row>
    <row r="1777" spans="1:30" hidden="1" x14ac:dyDescent="0.25">
      <c r="A1777">
        <v>453814</v>
      </c>
      <c r="B1777" t="s">
        <v>2116</v>
      </c>
      <c r="C1777" t="s">
        <v>9983</v>
      </c>
      <c r="D1777">
        <v>1</v>
      </c>
      <c r="E1777" t="s">
        <v>2116</v>
      </c>
      <c r="G1777" s="3"/>
      <c r="L1777" s="3">
        <f t="shared" si="80"/>
        <v>0</v>
      </c>
      <c r="M1777" s="3"/>
      <c r="N1777" s="3">
        <f t="shared" si="81"/>
        <v>0</v>
      </c>
      <c r="R1777" s="89"/>
      <c r="S1777" s="89">
        <f>100%-Table34[[#This Row],[PDF_initial fee]]</f>
        <v>1</v>
      </c>
      <c r="T1777" s="89"/>
      <c r="U1777" s="26"/>
    </row>
    <row r="1778" spans="1:30" hidden="1" x14ac:dyDescent="0.25">
      <c r="A1778">
        <v>453943</v>
      </c>
      <c r="B1778" t="s">
        <v>2117</v>
      </c>
      <c r="C1778" t="s">
        <v>30036</v>
      </c>
      <c r="D1778">
        <v>1</v>
      </c>
      <c r="E1778" t="s">
        <v>2117</v>
      </c>
      <c r="G1778" s="3"/>
      <c r="H1778" s="3">
        <v>0</v>
      </c>
      <c r="I1778" s="3">
        <v>0</v>
      </c>
      <c r="J1778" s="3">
        <v>0</v>
      </c>
      <c r="K1778" s="3">
        <v>0</v>
      </c>
      <c r="L1778" s="3">
        <f t="shared" si="80"/>
        <v>0</v>
      </c>
      <c r="M1778" s="3"/>
      <c r="N1778" s="3">
        <f t="shared" si="81"/>
        <v>0</v>
      </c>
      <c r="R1778" s="89"/>
      <c r="S1778" s="89">
        <f>100%-Table34[[#This Row],[PDF_initial fee]]</f>
        <v>1</v>
      </c>
      <c r="T1778" s="89"/>
      <c r="U1778" s="26"/>
    </row>
    <row r="1779" spans="1:30" hidden="1" x14ac:dyDescent="0.25">
      <c r="A1779">
        <v>453956</v>
      </c>
      <c r="B1779" t="s">
        <v>2118</v>
      </c>
      <c r="C1779" t="s">
        <v>6958</v>
      </c>
      <c r="D1779">
        <v>2</v>
      </c>
      <c r="E1779" t="s">
        <v>2118</v>
      </c>
      <c r="F1779" t="s">
        <v>6958</v>
      </c>
      <c r="G1779" s="3"/>
      <c r="H1779" s="21">
        <v>0</v>
      </c>
      <c r="I1779" s="21">
        <v>0</v>
      </c>
      <c r="J1779" s="21">
        <v>0</v>
      </c>
      <c r="K1779" s="21">
        <v>0</v>
      </c>
      <c r="L1779" s="3">
        <f t="shared" si="80"/>
        <v>0</v>
      </c>
      <c r="M1779" s="3"/>
      <c r="N1779" s="3">
        <f t="shared" si="81"/>
        <v>0</v>
      </c>
      <c r="R1779" s="89"/>
      <c r="S1779" s="89">
        <f>100%-Table34[[#This Row],[PDF_initial fee]]</f>
        <v>1</v>
      </c>
      <c r="T1779" s="89"/>
      <c r="U1779" s="26"/>
    </row>
    <row r="1780" spans="1:30" hidden="1" x14ac:dyDescent="0.25">
      <c r="A1780">
        <v>454044</v>
      </c>
      <c r="B1780" t="s">
        <v>2119</v>
      </c>
      <c r="C1780" t="s">
        <v>6958</v>
      </c>
      <c r="D1780">
        <v>2</v>
      </c>
      <c r="E1780" t="s">
        <v>2119</v>
      </c>
      <c r="F1780" t="s">
        <v>6958</v>
      </c>
      <c r="G1780" s="3"/>
      <c r="H1780" s="21">
        <v>0</v>
      </c>
      <c r="I1780" s="21">
        <v>0</v>
      </c>
      <c r="J1780" s="21">
        <v>0</v>
      </c>
      <c r="K1780" s="21">
        <v>0</v>
      </c>
      <c r="L1780" s="3">
        <f t="shared" si="80"/>
        <v>0</v>
      </c>
      <c r="M1780" s="3"/>
      <c r="N1780" s="3">
        <f t="shared" si="81"/>
        <v>0</v>
      </c>
      <c r="R1780" s="89"/>
      <c r="S1780" s="89">
        <f>100%-Table34[[#This Row],[PDF_initial fee]]</f>
        <v>1</v>
      </c>
      <c r="T1780" s="89"/>
      <c r="U1780" s="26"/>
    </row>
    <row r="1781" spans="1:30" hidden="1" x14ac:dyDescent="0.25">
      <c r="A1781">
        <v>454052</v>
      </c>
      <c r="B1781" t="s">
        <v>2120</v>
      </c>
      <c r="C1781" t="s">
        <v>9450</v>
      </c>
      <c r="D1781">
        <v>1</v>
      </c>
      <c r="E1781" t="s">
        <v>2120</v>
      </c>
      <c r="G1781" s="3"/>
      <c r="H1781" s="21">
        <v>0</v>
      </c>
      <c r="I1781" s="21">
        <v>0</v>
      </c>
      <c r="J1781" s="21">
        <v>0</v>
      </c>
      <c r="K1781" s="21">
        <v>0</v>
      </c>
      <c r="L1781" s="3">
        <f t="shared" si="80"/>
        <v>0</v>
      </c>
      <c r="M1781" s="3"/>
      <c r="N1781" s="3">
        <f t="shared" si="81"/>
        <v>0</v>
      </c>
      <c r="R1781" s="89"/>
      <c r="S1781" s="89">
        <f>100%-Table34[[#This Row],[PDF_initial fee]]</f>
        <v>1</v>
      </c>
      <c r="T1781" s="89"/>
      <c r="U1781" s="26"/>
    </row>
    <row r="1782" spans="1:30" hidden="1" x14ac:dyDescent="0.25">
      <c r="A1782">
        <v>454273</v>
      </c>
      <c r="B1782" t="s">
        <v>2121</v>
      </c>
      <c r="C1782" t="s">
        <v>10613</v>
      </c>
      <c r="D1782">
        <v>2</v>
      </c>
      <c r="E1782" t="s">
        <v>2121</v>
      </c>
      <c r="G1782" s="3"/>
      <c r="H1782" s="21">
        <v>0</v>
      </c>
      <c r="I1782" s="21">
        <v>0</v>
      </c>
      <c r="J1782" s="21">
        <v>0</v>
      </c>
      <c r="K1782" s="21">
        <v>0</v>
      </c>
      <c r="L1782" s="3">
        <f t="shared" si="80"/>
        <v>0</v>
      </c>
      <c r="M1782" s="3"/>
      <c r="N1782" s="3">
        <f t="shared" si="81"/>
        <v>0</v>
      </c>
      <c r="R1782" s="89"/>
      <c r="S1782" s="89">
        <f>100%-Table34[[#This Row],[PDF_initial fee]]</f>
        <v>1</v>
      </c>
      <c r="T1782" s="89"/>
      <c r="U1782" s="26"/>
    </row>
    <row r="1783" spans="1:30" hidden="1" x14ac:dyDescent="0.25">
      <c r="A1783">
        <v>454297</v>
      </c>
      <c r="B1783" t="s">
        <v>2122</v>
      </c>
      <c r="C1783" t="s">
        <v>6958</v>
      </c>
      <c r="D1783">
        <v>1</v>
      </c>
      <c r="E1783" t="s">
        <v>2122</v>
      </c>
      <c r="F1783" t="s">
        <v>6958</v>
      </c>
      <c r="G1783" s="3"/>
      <c r="H1783" s="21">
        <v>0</v>
      </c>
      <c r="I1783" s="21">
        <v>0</v>
      </c>
      <c r="J1783" s="21">
        <v>0</v>
      </c>
      <c r="K1783" s="21">
        <v>0</v>
      </c>
      <c r="L1783" s="3">
        <f t="shared" si="80"/>
        <v>0</v>
      </c>
      <c r="M1783" s="3"/>
      <c r="N1783" s="3">
        <f t="shared" si="81"/>
        <v>0</v>
      </c>
      <c r="R1783" s="89"/>
      <c r="S1783" s="89">
        <f>100%-Table34[[#This Row],[PDF_initial fee]]</f>
        <v>1</v>
      </c>
      <c r="T1783" s="89"/>
      <c r="U1783" s="26"/>
    </row>
    <row r="1784" spans="1:30" hidden="1" x14ac:dyDescent="0.25">
      <c r="A1784">
        <v>454361</v>
      </c>
      <c r="B1784" t="s">
        <v>2123</v>
      </c>
      <c r="C1784" t="s">
        <v>11831</v>
      </c>
      <c r="D1784">
        <v>2</v>
      </c>
      <c r="E1784" t="s">
        <v>2123</v>
      </c>
      <c r="G1784" s="3"/>
      <c r="H1784" s="21">
        <v>0</v>
      </c>
      <c r="I1784" s="21">
        <v>0</v>
      </c>
      <c r="J1784" s="21">
        <v>0</v>
      </c>
      <c r="K1784" s="21">
        <v>0</v>
      </c>
      <c r="L1784" s="3">
        <f t="shared" si="80"/>
        <v>0</v>
      </c>
      <c r="M1784" s="3"/>
      <c r="N1784" s="3">
        <f t="shared" si="81"/>
        <v>0</v>
      </c>
      <c r="R1784" s="89"/>
      <c r="S1784" s="89">
        <f>100%-Table34[[#This Row],[PDF_initial fee]]</f>
        <v>1</v>
      </c>
      <c r="T1784" s="89"/>
      <c r="U1784" s="26"/>
    </row>
    <row r="1785" spans="1:30" hidden="1" x14ac:dyDescent="0.25">
      <c r="A1785">
        <v>454386</v>
      </c>
      <c r="B1785" t="s">
        <v>2124</v>
      </c>
      <c r="C1785" t="s">
        <v>30037</v>
      </c>
      <c r="D1785">
        <v>3</v>
      </c>
      <c r="E1785" t="s">
        <v>2124</v>
      </c>
      <c r="G1785" s="3"/>
      <c r="H1785" s="3">
        <v>0</v>
      </c>
      <c r="I1785" s="3">
        <v>0</v>
      </c>
      <c r="J1785" s="3">
        <v>0</v>
      </c>
      <c r="K1785" s="3">
        <v>0</v>
      </c>
      <c r="L1785" s="3">
        <f t="shared" si="80"/>
        <v>0</v>
      </c>
      <c r="M1785" s="3"/>
      <c r="N1785" s="3">
        <f t="shared" si="81"/>
        <v>0</v>
      </c>
      <c r="R1785" s="89"/>
      <c r="S1785" s="89">
        <f>100%-Table34[[#This Row],[PDF_initial fee]]</f>
        <v>1</v>
      </c>
      <c r="T1785" s="89"/>
      <c r="U1785" s="26"/>
    </row>
    <row r="1786" spans="1:30" hidden="1" x14ac:dyDescent="0.25">
      <c r="A1786">
        <v>454529</v>
      </c>
      <c r="B1786" t="s">
        <v>2125</v>
      </c>
      <c r="C1786" t="s">
        <v>30038</v>
      </c>
      <c r="D1786">
        <v>3</v>
      </c>
      <c r="E1786" t="s">
        <v>2125</v>
      </c>
      <c r="F1786" t="s">
        <v>3</v>
      </c>
      <c r="G1786" s="3">
        <v>0</v>
      </c>
      <c r="H1786" s="3">
        <v>0</v>
      </c>
      <c r="I1786" s="3">
        <v>0</v>
      </c>
      <c r="J1786" s="6">
        <v>0</v>
      </c>
      <c r="K1786" s="6">
        <v>0</v>
      </c>
      <c r="L1786" s="3">
        <v>0</v>
      </c>
      <c r="M1786" s="3"/>
      <c r="N1786" s="3">
        <v>0</v>
      </c>
      <c r="R1786" s="89"/>
      <c r="S1786" s="89">
        <f>100%-Table34[[#This Row],[PDF_initial fee]]</f>
        <v>1</v>
      </c>
      <c r="T1786" s="89"/>
      <c r="U1786" s="26"/>
    </row>
    <row r="1787" spans="1:30" hidden="1" x14ac:dyDescent="0.25">
      <c r="A1787">
        <v>454676</v>
      </c>
      <c r="B1787" t="s">
        <v>2127</v>
      </c>
      <c r="C1787" t="s">
        <v>30039</v>
      </c>
      <c r="D1787">
        <v>3</v>
      </c>
      <c r="E1787" t="s">
        <v>2127</v>
      </c>
      <c r="G1787" s="3"/>
      <c r="H1787" s="3">
        <v>0</v>
      </c>
      <c r="I1787" s="3">
        <v>0</v>
      </c>
      <c r="J1787" s="3">
        <v>0</v>
      </c>
      <c r="K1787" s="3">
        <v>0</v>
      </c>
      <c r="L1787" s="3">
        <f t="shared" ref="L1787:L1818" si="82">SUM(H1787:K1787)</f>
        <v>0</v>
      </c>
      <c r="M1787" s="3"/>
      <c r="N1787" s="3">
        <f t="shared" ref="N1787:N1818" si="83">L1787+G1787</f>
        <v>0</v>
      </c>
      <c r="R1787" s="89"/>
      <c r="S1787" s="89">
        <f>100%-Table34[[#This Row],[PDF_initial fee]]</f>
        <v>1</v>
      </c>
      <c r="T1787" s="89"/>
      <c r="U1787" s="26"/>
    </row>
    <row r="1788" spans="1:30" hidden="1" x14ac:dyDescent="0.25">
      <c r="A1788">
        <v>454705</v>
      </c>
      <c r="B1788" t="s">
        <v>2128</v>
      </c>
      <c r="C1788" t="s">
        <v>10651</v>
      </c>
      <c r="D1788">
        <v>14</v>
      </c>
      <c r="E1788" t="s">
        <v>2128</v>
      </c>
      <c r="F1788" t="s">
        <v>29503</v>
      </c>
      <c r="G1788" s="3"/>
      <c r="L1788" s="3">
        <f t="shared" si="82"/>
        <v>0</v>
      </c>
      <c r="M1788" s="3"/>
      <c r="N1788" s="3">
        <f t="shared" si="83"/>
        <v>0</v>
      </c>
      <c r="R1788" s="89"/>
      <c r="S1788" s="89">
        <f>100%-Table34[[#This Row],[PDF_initial fee]]</f>
        <v>1</v>
      </c>
      <c r="T1788" s="89"/>
      <c r="U1788" s="26"/>
    </row>
    <row r="1789" spans="1:30" hidden="1" x14ac:dyDescent="0.25">
      <c r="A1789">
        <v>454719</v>
      </c>
      <c r="B1789" t="s">
        <v>2129</v>
      </c>
      <c r="C1789" t="s">
        <v>11666</v>
      </c>
      <c r="D1789">
        <v>2</v>
      </c>
      <c r="E1789" t="s">
        <v>2129</v>
      </c>
      <c r="G1789" s="3"/>
      <c r="L1789" s="3">
        <f t="shared" si="82"/>
        <v>0</v>
      </c>
      <c r="M1789" s="3"/>
      <c r="N1789" s="3">
        <f t="shared" si="83"/>
        <v>0</v>
      </c>
      <c r="R1789" s="89"/>
      <c r="S1789" s="89">
        <f>100%-Table34[[#This Row],[PDF_initial fee]]</f>
        <v>1</v>
      </c>
      <c r="T1789" s="89"/>
      <c r="U1789" s="26"/>
    </row>
    <row r="1790" spans="1:30" hidden="1" x14ac:dyDescent="0.25">
      <c r="A1790">
        <v>454764</v>
      </c>
      <c r="B1790" t="s">
        <v>2131</v>
      </c>
      <c r="C1790" t="s">
        <v>12462</v>
      </c>
      <c r="D1790">
        <v>1</v>
      </c>
      <c r="E1790" t="s">
        <v>2131</v>
      </c>
      <c r="G1790" s="3"/>
      <c r="H1790" s="21">
        <v>0</v>
      </c>
      <c r="I1790" s="21">
        <v>0</v>
      </c>
      <c r="J1790" s="21">
        <v>0</v>
      </c>
      <c r="K1790" s="21">
        <v>0</v>
      </c>
      <c r="L1790" s="3">
        <f t="shared" si="82"/>
        <v>0</v>
      </c>
      <c r="M1790" s="3"/>
      <c r="N1790" s="3">
        <f t="shared" si="83"/>
        <v>0</v>
      </c>
      <c r="R1790" s="89"/>
      <c r="S1790" s="89">
        <f>100%-Table34[[#This Row],[PDF_initial fee]]</f>
        <v>1</v>
      </c>
      <c r="T1790" s="89"/>
      <c r="U1790" s="26"/>
    </row>
    <row r="1791" spans="1:30" x14ac:dyDescent="0.25">
      <c r="A1791">
        <v>561959</v>
      </c>
      <c r="B1791" t="s">
        <v>223</v>
      </c>
      <c r="C1791" s="1" t="s">
        <v>30040</v>
      </c>
      <c r="D1791">
        <v>3</v>
      </c>
      <c r="E1791" t="s">
        <v>223</v>
      </c>
      <c r="F1791" t="s">
        <v>3</v>
      </c>
      <c r="G1791" s="3">
        <v>1.4E-3</v>
      </c>
      <c r="H1791" s="3"/>
      <c r="I1791" s="3"/>
      <c r="J1791" s="6">
        <v>1.4999999999999999E-2</v>
      </c>
      <c r="K1791" s="6">
        <v>5.0000000000000001E-3</v>
      </c>
      <c r="L1791" s="3">
        <f t="shared" si="82"/>
        <v>0.02</v>
      </c>
      <c r="M1791" s="3"/>
      <c r="N1791" s="3">
        <f t="shared" si="83"/>
        <v>2.1399999999999999E-2</v>
      </c>
      <c r="O1791" t="str">
        <f>P1791</f>
        <v>https://www.blgwealth.com/wp-content/uploads/2023/07/Glossary-of-Terms-for-Consumers-2.pdf</v>
      </c>
      <c r="P1791" s="31" t="s">
        <v>30041</v>
      </c>
      <c r="Q1791" t="s">
        <v>31787</v>
      </c>
      <c r="R1791" s="89">
        <v>0.33333333333333348</v>
      </c>
      <c r="S1791" s="89">
        <f>100%-Table34[[#This Row],[PDF_initial fee]]</f>
        <v>0.98499999999999999</v>
      </c>
      <c r="T1791" s="89">
        <f>(1-Table34[[#This Row],[PDF ongoing fee]])^5</f>
        <v>0.97524875312187509</v>
      </c>
      <c r="U1791" s="26">
        <f>(1+Table34[[#This Row],[Net 5yrs return (mostly up to 28th of Feb 2026)]])*Table34[[#This Row],[Investment after initial charge]]*Table34[[#This Row],[Cummulative 5yrs ongoing advice charge]]-1</f>
        <v>0.28082669576672936</v>
      </c>
      <c r="V1791" s="10">
        <v>545446</v>
      </c>
      <c r="W1791" t="s">
        <v>29051</v>
      </c>
      <c r="X1791" s="9">
        <v>501879</v>
      </c>
      <c r="Y1791" s="30">
        <f>X1791/V1791</f>
        <v>0.92012591530600651</v>
      </c>
      <c r="AA1791" s="1" t="s">
        <v>30042</v>
      </c>
      <c r="AD1791" t="s">
        <v>30041</v>
      </c>
    </row>
    <row r="1792" spans="1:30" hidden="1" x14ac:dyDescent="0.25">
      <c r="A1792">
        <v>454859</v>
      </c>
      <c r="B1792" t="s">
        <v>2132</v>
      </c>
      <c r="C1792" t="s">
        <v>6958</v>
      </c>
      <c r="D1792">
        <v>2</v>
      </c>
      <c r="E1792" t="s">
        <v>2132</v>
      </c>
      <c r="F1792" t="s">
        <v>6958</v>
      </c>
      <c r="G1792" s="3"/>
      <c r="H1792" s="21">
        <v>0</v>
      </c>
      <c r="I1792" s="21">
        <v>0</v>
      </c>
      <c r="J1792" s="21">
        <v>0</v>
      </c>
      <c r="K1792" s="21">
        <v>0</v>
      </c>
      <c r="L1792" s="3">
        <f t="shared" si="82"/>
        <v>0</v>
      </c>
      <c r="M1792" s="3"/>
      <c r="N1792" s="3">
        <f t="shared" si="83"/>
        <v>0</v>
      </c>
      <c r="R1792" s="89"/>
      <c r="S1792" s="89">
        <f>100%-Table34[[#This Row],[PDF_initial fee]]</f>
        <v>1</v>
      </c>
      <c r="T1792" s="89"/>
      <c r="U1792" s="26"/>
    </row>
    <row r="1793" spans="1:27" hidden="1" x14ac:dyDescent="0.25">
      <c r="A1793">
        <v>454893</v>
      </c>
      <c r="B1793" t="s">
        <v>2133</v>
      </c>
      <c r="C1793" t="s">
        <v>7669</v>
      </c>
      <c r="D1793">
        <v>0</v>
      </c>
      <c r="E1793" t="s">
        <v>2133</v>
      </c>
      <c r="F1793" t="s">
        <v>3</v>
      </c>
      <c r="G1793" s="3"/>
      <c r="L1793" s="3">
        <f t="shared" si="82"/>
        <v>0</v>
      </c>
      <c r="M1793" s="3"/>
      <c r="N1793" s="3">
        <f t="shared" si="83"/>
        <v>0</v>
      </c>
      <c r="R1793" s="89"/>
      <c r="S1793" s="89">
        <f>100%-Table34[[#This Row],[PDF_initial fee]]</f>
        <v>1</v>
      </c>
      <c r="T1793" s="89"/>
      <c r="U1793" s="26"/>
    </row>
    <row r="1794" spans="1:27" hidden="1" x14ac:dyDescent="0.25">
      <c r="A1794">
        <v>455048</v>
      </c>
      <c r="B1794" t="s">
        <v>2134</v>
      </c>
      <c r="C1794" t="s">
        <v>30043</v>
      </c>
      <c r="D1794">
        <v>2</v>
      </c>
      <c r="E1794" t="s">
        <v>2134</v>
      </c>
      <c r="G1794" s="3"/>
      <c r="H1794" s="21">
        <v>0</v>
      </c>
      <c r="I1794" s="21">
        <v>0</v>
      </c>
      <c r="J1794" s="21">
        <v>0</v>
      </c>
      <c r="K1794" s="21">
        <v>0</v>
      </c>
      <c r="L1794" s="3">
        <f t="shared" si="82"/>
        <v>0</v>
      </c>
      <c r="M1794" s="3"/>
      <c r="N1794" s="3">
        <f t="shared" si="83"/>
        <v>0</v>
      </c>
      <c r="O1794" s="21"/>
      <c r="R1794" s="89"/>
      <c r="S1794" s="89">
        <f>100%-Table34[[#This Row],[PDF_initial fee]]</f>
        <v>1</v>
      </c>
      <c r="T1794" s="89"/>
      <c r="U1794" s="26"/>
    </row>
    <row r="1795" spans="1:27" hidden="1" x14ac:dyDescent="0.25">
      <c r="A1795">
        <v>455083</v>
      </c>
      <c r="B1795" t="s">
        <v>2135</v>
      </c>
      <c r="C1795" t="s">
        <v>30044</v>
      </c>
      <c r="D1795">
        <v>23</v>
      </c>
      <c r="E1795" t="s">
        <v>2135</v>
      </c>
      <c r="F1795" t="s">
        <v>3</v>
      </c>
      <c r="G1795" s="3"/>
      <c r="H1795" s="3">
        <v>0</v>
      </c>
      <c r="I1795" s="3">
        <v>0</v>
      </c>
      <c r="J1795" s="3">
        <v>0</v>
      </c>
      <c r="K1795" s="3">
        <v>0</v>
      </c>
      <c r="L1795" s="3">
        <f t="shared" si="82"/>
        <v>0</v>
      </c>
      <c r="M1795" s="3"/>
      <c r="N1795" s="3">
        <f t="shared" si="83"/>
        <v>0</v>
      </c>
      <c r="R1795" s="89"/>
      <c r="S1795" s="89">
        <f>100%-Table34[[#This Row],[PDF_initial fee]]</f>
        <v>1</v>
      </c>
      <c r="T1795" s="89"/>
      <c r="U1795" s="26"/>
    </row>
    <row r="1796" spans="1:27" hidden="1" x14ac:dyDescent="0.25">
      <c r="A1796">
        <v>455100</v>
      </c>
      <c r="B1796" t="s">
        <v>2136</v>
      </c>
      <c r="C1796" t="s">
        <v>6958</v>
      </c>
      <c r="D1796">
        <v>1</v>
      </c>
      <c r="E1796" t="s">
        <v>2136</v>
      </c>
      <c r="F1796" t="s">
        <v>6958</v>
      </c>
      <c r="G1796" s="3"/>
      <c r="H1796" s="21">
        <v>0</v>
      </c>
      <c r="I1796" s="21">
        <v>0</v>
      </c>
      <c r="J1796" s="21">
        <v>0</v>
      </c>
      <c r="K1796" s="21">
        <v>0</v>
      </c>
      <c r="L1796" s="3">
        <f t="shared" si="82"/>
        <v>0</v>
      </c>
      <c r="M1796" s="3"/>
      <c r="N1796" s="3">
        <f t="shared" si="83"/>
        <v>0</v>
      </c>
      <c r="R1796" s="89"/>
      <c r="S1796" s="89">
        <f>100%-Table34[[#This Row],[PDF_initial fee]]</f>
        <v>1</v>
      </c>
      <c r="T1796" s="89"/>
      <c r="U1796" s="26"/>
    </row>
    <row r="1797" spans="1:27" hidden="1" x14ac:dyDescent="0.25">
      <c r="A1797">
        <v>455108</v>
      </c>
      <c r="B1797" t="s">
        <v>2137</v>
      </c>
      <c r="C1797" s="1" t="s">
        <v>30045</v>
      </c>
      <c r="D1797">
        <v>1</v>
      </c>
      <c r="E1797" t="s">
        <v>2137</v>
      </c>
      <c r="G1797" s="3"/>
      <c r="H1797" s="3">
        <v>0</v>
      </c>
      <c r="I1797" s="3">
        <v>0</v>
      </c>
      <c r="J1797" s="3">
        <v>0</v>
      </c>
      <c r="K1797" s="3">
        <v>0</v>
      </c>
      <c r="L1797" s="3">
        <f t="shared" si="82"/>
        <v>0</v>
      </c>
      <c r="M1797" s="3"/>
      <c r="N1797" s="3">
        <f t="shared" si="83"/>
        <v>0</v>
      </c>
      <c r="R1797" s="89"/>
      <c r="S1797" s="89">
        <f>100%-Table34[[#This Row],[PDF_initial fee]]</f>
        <v>1</v>
      </c>
      <c r="T1797" s="89"/>
      <c r="U1797" s="26"/>
    </row>
    <row r="1798" spans="1:27" hidden="1" x14ac:dyDescent="0.25">
      <c r="A1798">
        <v>455121</v>
      </c>
      <c r="B1798" t="s">
        <v>2138</v>
      </c>
      <c r="C1798" t="s">
        <v>6958</v>
      </c>
      <c r="D1798">
        <v>1</v>
      </c>
      <c r="E1798" t="s">
        <v>2138</v>
      </c>
      <c r="F1798" t="s">
        <v>6958</v>
      </c>
      <c r="G1798" s="3"/>
      <c r="H1798" s="21">
        <v>0</v>
      </c>
      <c r="I1798" s="21">
        <v>0</v>
      </c>
      <c r="J1798" s="21">
        <v>0</v>
      </c>
      <c r="K1798" s="21">
        <v>0</v>
      </c>
      <c r="L1798" s="3">
        <f t="shared" si="82"/>
        <v>0</v>
      </c>
      <c r="M1798" s="3"/>
      <c r="N1798" s="3">
        <f t="shared" si="83"/>
        <v>0</v>
      </c>
      <c r="R1798" s="89"/>
      <c r="S1798" s="89">
        <f>100%-Table34[[#This Row],[PDF_initial fee]]</f>
        <v>1</v>
      </c>
      <c r="T1798" s="89"/>
      <c r="U1798" s="26"/>
    </row>
    <row r="1799" spans="1:27" hidden="1" x14ac:dyDescent="0.25">
      <c r="A1799">
        <v>455338</v>
      </c>
      <c r="B1799" t="s">
        <v>2140</v>
      </c>
      <c r="C1799" t="s">
        <v>6958</v>
      </c>
      <c r="D1799">
        <v>1</v>
      </c>
      <c r="E1799" t="s">
        <v>2140</v>
      </c>
      <c r="F1799" t="s">
        <v>6958</v>
      </c>
      <c r="G1799" s="3"/>
      <c r="H1799" s="21">
        <v>0</v>
      </c>
      <c r="I1799" s="21">
        <v>0</v>
      </c>
      <c r="J1799" s="21">
        <v>0</v>
      </c>
      <c r="K1799" s="21">
        <v>0</v>
      </c>
      <c r="L1799" s="3">
        <f t="shared" si="82"/>
        <v>0</v>
      </c>
      <c r="M1799" s="3"/>
      <c r="N1799" s="3">
        <f t="shared" si="83"/>
        <v>0</v>
      </c>
      <c r="R1799" s="89"/>
      <c r="S1799" s="89">
        <f>100%-Table34[[#This Row],[PDF_initial fee]]</f>
        <v>1</v>
      </c>
      <c r="T1799" s="89"/>
      <c r="U1799" s="26"/>
    </row>
    <row r="1800" spans="1:27" hidden="1" x14ac:dyDescent="0.25">
      <c r="A1800">
        <v>455415</v>
      </c>
      <c r="B1800" t="s">
        <v>2141</v>
      </c>
      <c r="C1800" t="s">
        <v>10427</v>
      </c>
      <c r="D1800">
        <v>3</v>
      </c>
      <c r="E1800" t="s">
        <v>2141</v>
      </c>
      <c r="G1800" s="3"/>
      <c r="H1800" s="21">
        <v>0</v>
      </c>
      <c r="I1800" s="21">
        <v>0</v>
      </c>
      <c r="J1800" s="21">
        <v>0</v>
      </c>
      <c r="K1800" s="21">
        <v>0</v>
      </c>
      <c r="L1800" s="3">
        <f t="shared" si="82"/>
        <v>0</v>
      </c>
      <c r="M1800" s="3"/>
      <c r="N1800" s="3">
        <f t="shared" si="83"/>
        <v>0</v>
      </c>
      <c r="R1800" s="89"/>
      <c r="S1800" s="89">
        <f>100%-Table34[[#This Row],[PDF_initial fee]]</f>
        <v>1</v>
      </c>
      <c r="T1800" s="89"/>
      <c r="U1800" s="26"/>
    </row>
    <row r="1801" spans="1:27" hidden="1" x14ac:dyDescent="0.25">
      <c r="A1801">
        <v>455443</v>
      </c>
      <c r="B1801" t="s">
        <v>2142</v>
      </c>
      <c r="C1801" t="s">
        <v>6958</v>
      </c>
      <c r="D1801">
        <v>1</v>
      </c>
      <c r="E1801" t="s">
        <v>2142</v>
      </c>
      <c r="F1801" t="s">
        <v>6958</v>
      </c>
      <c r="G1801" s="3"/>
      <c r="L1801" s="3">
        <f t="shared" si="82"/>
        <v>0</v>
      </c>
      <c r="M1801" s="3"/>
      <c r="N1801" s="3">
        <f t="shared" si="83"/>
        <v>0</v>
      </c>
      <c r="R1801" s="89"/>
      <c r="S1801" s="89">
        <f>100%-Table34[[#This Row],[PDF_initial fee]]</f>
        <v>1</v>
      </c>
      <c r="T1801" s="89"/>
      <c r="U1801" s="26"/>
    </row>
    <row r="1802" spans="1:27" hidden="1" x14ac:dyDescent="0.25">
      <c r="A1802">
        <v>455444</v>
      </c>
      <c r="B1802" t="s">
        <v>2143</v>
      </c>
      <c r="C1802" t="s">
        <v>30046</v>
      </c>
      <c r="D1802">
        <v>2</v>
      </c>
      <c r="E1802" t="s">
        <v>2143</v>
      </c>
      <c r="G1802" s="3"/>
      <c r="H1802" s="3">
        <v>0</v>
      </c>
      <c r="I1802" s="3">
        <v>0</v>
      </c>
      <c r="J1802" s="3">
        <v>0</v>
      </c>
      <c r="K1802" s="3">
        <v>0</v>
      </c>
      <c r="L1802" s="3">
        <f t="shared" si="82"/>
        <v>0</v>
      </c>
      <c r="M1802" s="3"/>
      <c r="N1802" s="3">
        <f t="shared" si="83"/>
        <v>0</v>
      </c>
      <c r="R1802" s="89"/>
      <c r="S1802" s="89">
        <f>100%-Table34[[#This Row],[PDF_initial fee]]</f>
        <v>1</v>
      </c>
      <c r="T1802" s="89"/>
      <c r="U1802" s="26"/>
    </row>
    <row r="1803" spans="1:27" hidden="1" x14ac:dyDescent="0.25">
      <c r="A1803">
        <v>455480</v>
      </c>
      <c r="B1803" t="s">
        <v>2144</v>
      </c>
      <c r="C1803" t="s">
        <v>11505</v>
      </c>
      <c r="D1803">
        <v>12</v>
      </c>
      <c r="E1803" t="s">
        <v>2144</v>
      </c>
      <c r="F1803" t="s">
        <v>3</v>
      </c>
      <c r="G1803" s="3"/>
      <c r="H1803" s="21">
        <v>0</v>
      </c>
      <c r="I1803" s="21">
        <v>0</v>
      </c>
      <c r="J1803" s="21">
        <v>0</v>
      </c>
      <c r="K1803" s="21">
        <v>0</v>
      </c>
      <c r="L1803" s="3">
        <f t="shared" si="82"/>
        <v>0</v>
      </c>
      <c r="M1803" s="3"/>
      <c r="N1803" s="3">
        <f t="shared" si="83"/>
        <v>0</v>
      </c>
      <c r="R1803" s="89"/>
      <c r="S1803" s="89">
        <f>100%-Table34[[#This Row],[PDF_initial fee]]</f>
        <v>1</v>
      </c>
      <c r="T1803" s="89"/>
      <c r="U1803" s="26"/>
    </row>
    <row r="1804" spans="1:27" x14ac:dyDescent="0.25">
      <c r="A1804">
        <v>120822</v>
      </c>
      <c r="B1804" t="s">
        <v>19</v>
      </c>
      <c r="C1804" s="1" t="s">
        <v>7876</v>
      </c>
      <c r="D1804">
        <v>1</v>
      </c>
      <c r="E1804" t="s">
        <v>19</v>
      </c>
      <c r="F1804" t="s">
        <v>3</v>
      </c>
      <c r="G1804" s="3">
        <v>1.4E-3</v>
      </c>
      <c r="H1804" s="3">
        <v>0.03</v>
      </c>
      <c r="I1804" s="3">
        <v>0.01</v>
      </c>
      <c r="J1804" s="6">
        <v>0</v>
      </c>
      <c r="K1804" s="6">
        <v>0</v>
      </c>
      <c r="L1804" s="3">
        <f t="shared" si="82"/>
        <v>0.04</v>
      </c>
      <c r="M1804" s="3"/>
      <c r="N1804" s="3">
        <f t="shared" si="83"/>
        <v>4.1399999999999999E-2</v>
      </c>
      <c r="P1804" s="1" t="s">
        <v>30047</v>
      </c>
      <c r="Q1804" t="s">
        <v>31787</v>
      </c>
      <c r="R1804" s="89">
        <v>0.33333333333333348</v>
      </c>
      <c r="S1804" s="89">
        <f>100%-Table34[[#This Row],[InitialFee]]</f>
        <v>0.97</v>
      </c>
      <c r="T1804" s="89">
        <f>(1-Table34[[#This Row],[OngoingFee (plus Platform fee)]])^5</f>
        <v>0.95099004989999991</v>
      </c>
      <c r="U1804" s="26">
        <f>(1+Table34[[#This Row],[Net 5yrs return (mostly up to 28th of Feb 2026)]])*Table34[[#This Row],[Investment after initial charge]]*Table34[[#This Row],[Cummulative 5yrs ongoing advice charge]]-1</f>
        <v>0.22994713120400001</v>
      </c>
      <c r="V1804">
        <v>22148</v>
      </c>
      <c r="W1804" t="s">
        <v>29051</v>
      </c>
      <c r="X1804" s="10">
        <v>24805</v>
      </c>
      <c r="Y1804" s="30">
        <f>X1804/V1804</f>
        <v>1.1199656853891999</v>
      </c>
      <c r="AA1804" s="1" t="s">
        <v>30048</v>
      </c>
    </row>
    <row r="1805" spans="1:27" hidden="1" x14ac:dyDescent="0.25">
      <c r="A1805">
        <v>455713</v>
      </c>
      <c r="B1805" t="s">
        <v>2145</v>
      </c>
      <c r="C1805" t="s">
        <v>9472</v>
      </c>
      <c r="D1805">
        <v>7</v>
      </c>
      <c r="E1805" t="s">
        <v>2145</v>
      </c>
      <c r="G1805" s="3"/>
      <c r="L1805" s="3">
        <f t="shared" si="82"/>
        <v>0</v>
      </c>
      <c r="M1805" s="3"/>
      <c r="N1805" s="3">
        <f t="shared" si="83"/>
        <v>0</v>
      </c>
      <c r="R1805" s="89"/>
      <c r="S1805" s="89">
        <f>100%-Table34[[#This Row],[PDF_initial fee]]</f>
        <v>1</v>
      </c>
      <c r="T1805" s="89"/>
      <c r="U1805" s="26"/>
    </row>
    <row r="1806" spans="1:27" hidden="1" x14ac:dyDescent="0.25">
      <c r="A1806">
        <v>455848</v>
      </c>
      <c r="B1806" t="s">
        <v>2146</v>
      </c>
      <c r="C1806" t="s">
        <v>12046</v>
      </c>
      <c r="D1806">
        <v>7</v>
      </c>
      <c r="E1806" t="s">
        <v>2146</v>
      </c>
      <c r="G1806" s="3"/>
      <c r="H1806" s="21">
        <v>0</v>
      </c>
      <c r="I1806" s="21">
        <v>0</v>
      </c>
      <c r="J1806" s="21">
        <v>0</v>
      </c>
      <c r="K1806" s="21">
        <v>0</v>
      </c>
      <c r="L1806" s="3">
        <f t="shared" si="82"/>
        <v>0</v>
      </c>
      <c r="M1806" s="3"/>
      <c r="N1806" s="3">
        <f t="shared" si="83"/>
        <v>0</v>
      </c>
      <c r="R1806" s="89"/>
      <c r="S1806" s="89">
        <f>100%-Table34[[#This Row],[PDF_initial fee]]</f>
        <v>1</v>
      </c>
      <c r="T1806" s="89"/>
      <c r="U1806" s="26"/>
    </row>
    <row r="1807" spans="1:27" hidden="1" x14ac:dyDescent="0.25">
      <c r="A1807">
        <v>455859</v>
      </c>
      <c r="B1807" t="s">
        <v>2147</v>
      </c>
      <c r="C1807" t="s">
        <v>6958</v>
      </c>
      <c r="D1807">
        <v>1</v>
      </c>
      <c r="E1807" t="s">
        <v>2147</v>
      </c>
      <c r="F1807" t="s">
        <v>6958</v>
      </c>
      <c r="G1807" s="3"/>
      <c r="H1807" s="21">
        <v>0</v>
      </c>
      <c r="I1807" s="21">
        <v>0</v>
      </c>
      <c r="J1807" s="21">
        <v>0</v>
      </c>
      <c r="K1807" s="21">
        <v>0</v>
      </c>
      <c r="L1807" s="3">
        <f t="shared" si="82"/>
        <v>0</v>
      </c>
      <c r="M1807" s="3"/>
      <c r="N1807" s="3">
        <f t="shared" si="83"/>
        <v>0</v>
      </c>
      <c r="R1807" s="89"/>
      <c r="S1807" s="89">
        <f>100%-Table34[[#This Row],[PDF_initial fee]]</f>
        <v>1</v>
      </c>
      <c r="T1807" s="89"/>
      <c r="U1807" s="26"/>
    </row>
    <row r="1808" spans="1:27" hidden="1" x14ac:dyDescent="0.25">
      <c r="A1808">
        <v>455883</v>
      </c>
      <c r="B1808" t="s">
        <v>2148</v>
      </c>
      <c r="C1808" t="s">
        <v>6958</v>
      </c>
      <c r="D1808">
        <v>2</v>
      </c>
      <c r="E1808" t="s">
        <v>2148</v>
      </c>
      <c r="F1808" t="s">
        <v>6958</v>
      </c>
      <c r="G1808" s="3"/>
      <c r="H1808" s="21">
        <v>0</v>
      </c>
      <c r="I1808" s="21">
        <v>0</v>
      </c>
      <c r="J1808" s="21">
        <v>0</v>
      </c>
      <c r="K1808" s="21">
        <v>0</v>
      </c>
      <c r="L1808" s="3">
        <f t="shared" si="82"/>
        <v>0</v>
      </c>
      <c r="M1808" s="3"/>
      <c r="N1808" s="3">
        <f t="shared" si="83"/>
        <v>0</v>
      </c>
      <c r="R1808" s="89"/>
      <c r="S1808" s="89">
        <f>100%-Table34[[#This Row],[PDF_initial fee]]</f>
        <v>1</v>
      </c>
      <c r="T1808" s="89"/>
      <c r="U1808" s="26"/>
    </row>
    <row r="1809" spans="1:27" hidden="1" x14ac:dyDescent="0.25">
      <c r="A1809">
        <v>455895</v>
      </c>
      <c r="B1809" t="s">
        <v>2149</v>
      </c>
      <c r="C1809" t="s">
        <v>7320</v>
      </c>
      <c r="D1809">
        <v>0</v>
      </c>
      <c r="E1809" t="s">
        <v>2149</v>
      </c>
      <c r="F1809" t="s">
        <v>29136</v>
      </c>
      <c r="G1809" s="3"/>
      <c r="H1809" s="21">
        <v>0</v>
      </c>
      <c r="I1809" s="21">
        <v>0</v>
      </c>
      <c r="J1809" s="21">
        <v>0</v>
      </c>
      <c r="K1809" s="21">
        <v>0</v>
      </c>
      <c r="L1809" s="3">
        <f t="shared" si="82"/>
        <v>0</v>
      </c>
      <c r="M1809" s="3"/>
      <c r="N1809" s="3">
        <f t="shared" si="83"/>
        <v>0</v>
      </c>
      <c r="R1809" s="89"/>
      <c r="S1809" s="89">
        <f>100%-Table34[[#This Row],[PDF_initial fee]]</f>
        <v>1</v>
      </c>
      <c r="T1809" s="89"/>
      <c r="U1809" s="26"/>
    </row>
    <row r="1810" spans="1:27" hidden="1" x14ac:dyDescent="0.25">
      <c r="A1810">
        <v>455935</v>
      </c>
      <c r="B1810" t="s">
        <v>2150</v>
      </c>
      <c r="C1810" t="s">
        <v>9022</v>
      </c>
      <c r="D1810">
        <v>4</v>
      </c>
      <c r="E1810" t="s">
        <v>2150</v>
      </c>
      <c r="G1810" s="3"/>
      <c r="L1810" s="3">
        <f t="shared" si="82"/>
        <v>0</v>
      </c>
      <c r="M1810" s="3"/>
      <c r="N1810" s="3">
        <f t="shared" si="83"/>
        <v>0</v>
      </c>
      <c r="R1810" s="89"/>
      <c r="S1810" s="89">
        <f>100%-Table34[[#This Row],[PDF_initial fee]]</f>
        <v>1</v>
      </c>
      <c r="T1810" s="89"/>
      <c r="U1810" s="26"/>
    </row>
    <row r="1811" spans="1:27" hidden="1" x14ac:dyDescent="0.25">
      <c r="A1811">
        <v>456034</v>
      </c>
      <c r="B1811" t="s">
        <v>2151</v>
      </c>
      <c r="C1811" t="s">
        <v>8887</v>
      </c>
      <c r="D1811">
        <v>1</v>
      </c>
      <c r="E1811" t="s">
        <v>2151</v>
      </c>
      <c r="G1811" s="3"/>
      <c r="H1811" s="21">
        <v>0</v>
      </c>
      <c r="I1811" s="21">
        <v>0</v>
      </c>
      <c r="J1811" s="21">
        <v>0</v>
      </c>
      <c r="K1811" s="21">
        <v>0</v>
      </c>
      <c r="L1811" s="3">
        <f t="shared" si="82"/>
        <v>0</v>
      </c>
      <c r="M1811" s="3"/>
      <c r="N1811" s="3">
        <f t="shared" si="83"/>
        <v>0</v>
      </c>
      <c r="R1811" s="89"/>
      <c r="S1811" s="89">
        <f>100%-Table34[[#This Row],[PDF_initial fee]]</f>
        <v>1</v>
      </c>
      <c r="T1811" s="89"/>
      <c r="U1811" s="26"/>
    </row>
    <row r="1812" spans="1:27" hidden="1" x14ac:dyDescent="0.25">
      <c r="A1812">
        <v>456138</v>
      </c>
      <c r="B1812" t="s">
        <v>2152</v>
      </c>
      <c r="C1812" t="s">
        <v>30049</v>
      </c>
      <c r="D1812">
        <v>4</v>
      </c>
      <c r="E1812" t="s">
        <v>2152</v>
      </c>
      <c r="G1812" s="3"/>
      <c r="H1812" s="3">
        <v>0</v>
      </c>
      <c r="I1812" s="3">
        <v>0</v>
      </c>
      <c r="J1812" s="3">
        <v>0</v>
      </c>
      <c r="K1812" s="3">
        <v>0</v>
      </c>
      <c r="L1812" s="3">
        <f t="shared" si="82"/>
        <v>0</v>
      </c>
      <c r="M1812" s="3"/>
      <c r="N1812" s="3">
        <f t="shared" si="83"/>
        <v>0</v>
      </c>
      <c r="R1812" s="89"/>
      <c r="S1812" s="89">
        <f>100%-Table34[[#This Row],[PDF_initial fee]]</f>
        <v>1</v>
      </c>
      <c r="T1812" s="89"/>
      <c r="U1812" s="26"/>
    </row>
    <row r="1813" spans="1:27" hidden="1" x14ac:dyDescent="0.25">
      <c r="A1813">
        <v>456198</v>
      </c>
      <c r="B1813" t="s">
        <v>2153</v>
      </c>
      <c r="C1813" t="s">
        <v>30050</v>
      </c>
      <c r="D1813">
        <v>8</v>
      </c>
      <c r="E1813" t="s">
        <v>2153</v>
      </c>
      <c r="G1813" s="3"/>
      <c r="H1813" s="21">
        <v>0</v>
      </c>
      <c r="I1813" s="21">
        <v>0</v>
      </c>
      <c r="J1813" s="21">
        <v>0</v>
      </c>
      <c r="K1813" s="21">
        <v>0</v>
      </c>
      <c r="L1813" s="3">
        <f t="shared" si="82"/>
        <v>0</v>
      </c>
      <c r="M1813" s="3"/>
      <c r="N1813" s="3">
        <f t="shared" si="83"/>
        <v>0</v>
      </c>
      <c r="O1813" s="21"/>
      <c r="R1813" s="89"/>
      <c r="S1813" s="89">
        <f>100%-Table34[[#This Row],[PDF_initial fee]]</f>
        <v>1</v>
      </c>
      <c r="T1813" s="89"/>
      <c r="U1813" s="26"/>
    </row>
    <row r="1814" spans="1:27" hidden="1" x14ac:dyDescent="0.25">
      <c r="A1814">
        <v>456262</v>
      </c>
      <c r="B1814" t="s">
        <v>2154</v>
      </c>
      <c r="C1814" t="s">
        <v>7278</v>
      </c>
      <c r="D1814">
        <v>1</v>
      </c>
      <c r="E1814" t="s">
        <v>2154</v>
      </c>
      <c r="G1814" s="3"/>
      <c r="H1814" s="21">
        <v>0</v>
      </c>
      <c r="I1814" s="21">
        <v>0</v>
      </c>
      <c r="J1814" s="21">
        <v>0</v>
      </c>
      <c r="K1814" s="21">
        <v>0</v>
      </c>
      <c r="L1814" s="3">
        <f t="shared" si="82"/>
        <v>0</v>
      </c>
      <c r="M1814" s="3"/>
      <c r="N1814" s="3">
        <f t="shared" si="83"/>
        <v>0</v>
      </c>
      <c r="R1814" s="89"/>
      <c r="S1814" s="89">
        <f>100%-Table34[[#This Row],[PDF_initial fee]]</f>
        <v>1</v>
      </c>
      <c r="T1814" s="89"/>
      <c r="U1814" s="26"/>
    </row>
    <row r="1815" spans="1:27" hidden="1" x14ac:dyDescent="0.25">
      <c r="A1815">
        <v>456286</v>
      </c>
      <c r="B1815" t="s">
        <v>2155</v>
      </c>
      <c r="C1815" t="s">
        <v>10719</v>
      </c>
      <c r="D1815">
        <v>4</v>
      </c>
      <c r="E1815" t="s">
        <v>2155</v>
      </c>
      <c r="G1815" s="3"/>
      <c r="H1815" s="21">
        <v>0</v>
      </c>
      <c r="I1815" s="21">
        <v>0</v>
      </c>
      <c r="J1815" s="21">
        <v>0</v>
      </c>
      <c r="K1815" s="21">
        <v>0</v>
      </c>
      <c r="L1815" s="3">
        <f t="shared" si="82"/>
        <v>0</v>
      </c>
      <c r="M1815" s="3"/>
      <c r="N1815" s="3">
        <f t="shared" si="83"/>
        <v>0</v>
      </c>
      <c r="R1815" s="89"/>
      <c r="S1815" s="89">
        <f>100%-Table34[[#This Row],[PDF_initial fee]]</f>
        <v>1</v>
      </c>
      <c r="T1815" s="89"/>
      <c r="U1815" s="26"/>
    </row>
    <row r="1816" spans="1:27" hidden="1" x14ac:dyDescent="0.25">
      <c r="A1816">
        <v>456358</v>
      </c>
      <c r="B1816" t="s">
        <v>2157</v>
      </c>
      <c r="C1816" s="1" t="s">
        <v>30051</v>
      </c>
      <c r="D1816">
        <v>10</v>
      </c>
      <c r="E1816" t="s">
        <v>2157</v>
      </c>
      <c r="F1816" t="s">
        <v>3</v>
      </c>
      <c r="G1816" s="3"/>
      <c r="H1816" s="3">
        <v>0</v>
      </c>
      <c r="I1816" s="3">
        <v>0</v>
      </c>
      <c r="J1816" s="3">
        <v>0</v>
      </c>
      <c r="K1816" s="3">
        <v>0</v>
      </c>
      <c r="L1816" s="3">
        <f t="shared" si="82"/>
        <v>0</v>
      </c>
      <c r="M1816" s="3"/>
      <c r="N1816" s="3">
        <f t="shared" si="83"/>
        <v>0</v>
      </c>
      <c r="R1816" s="89"/>
      <c r="S1816" s="89">
        <f>100%-Table34[[#This Row],[PDF_initial fee]]</f>
        <v>1</v>
      </c>
      <c r="T1816" s="89"/>
      <c r="U1816" s="26"/>
    </row>
    <row r="1817" spans="1:27" hidden="1" x14ac:dyDescent="0.25">
      <c r="A1817">
        <v>456458</v>
      </c>
      <c r="B1817" t="s">
        <v>2158</v>
      </c>
      <c r="C1817" t="s">
        <v>7575</v>
      </c>
      <c r="D1817">
        <v>2</v>
      </c>
      <c r="E1817" t="s">
        <v>2158</v>
      </c>
      <c r="G1817" s="3"/>
      <c r="L1817" s="3">
        <f t="shared" si="82"/>
        <v>0</v>
      </c>
      <c r="M1817" s="3"/>
      <c r="N1817" s="3">
        <f t="shared" si="83"/>
        <v>0</v>
      </c>
      <c r="R1817" s="89"/>
      <c r="S1817" s="89">
        <f>100%-Table34[[#This Row],[PDF_initial fee]]</f>
        <v>1</v>
      </c>
      <c r="T1817" s="89"/>
      <c r="U1817" s="26"/>
    </row>
    <row r="1818" spans="1:27" hidden="1" x14ac:dyDescent="0.25">
      <c r="A1818">
        <v>456481</v>
      </c>
      <c r="B1818" t="s">
        <v>2159</v>
      </c>
      <c r="C1818" t="s">
        <v>30052</v>
      </c>
      <c r="D1818">
        <v>2</v>
      </c>
      <c r="E1818" t="s">
        <v>2159</v>
      </c>
      <c r="G1818" s="3"/>
      <c r="H1818" s="3">
        <v>0</v>
      </c>
      <c r="I1818" s="3">
        <v>0</v>
      </c>
      <c r="J1818" s="3">
        <v>0</v>
      </c>
      <c r="K1818" s="3">
        <v>0</v>
      </c>
      <c r="L1818" s="3">
        <f t="shared" si="82"/>
        <v>0</v>
      </c>
      <c r="M1818" s="3"/>
      <c r="N1818" s="3">
        <f t="shared" si="83"/>
        <v>0</v>
      </c>
      <c r="R1818" s="89"/>
      <c r="S1818" s="89">
        <f>100%-Table34[[#This Row],[PDF_initial fee]]</f>
        <v>1</v>
      </c>
      <c r="T1818" s="89"/>
      <c r="U1818" s="26"/>
    </row>
    <row r="1819" spans="1:27" hidden="1" x14ac:dyDescent="0.25">
      <c r="A1819">
        <v>456568</v>
      </c>
      <c r="B1819" t="s">
        <v>2160</v>
      </c>
      <c r="C1819" t="s">
        <v>8681</v>
      </c>
      <c r="D1819">
        <v>1</v>
      </c>
      <c r="E1819" t="s">
        <v>2160</v>
      </c>
      <c r="G1819" s="3"/>
      <c r="H1819" s="21">
        <v>0</v>
      </c>
      <c r="I1819" s="21">
        <v>0</v>
      </c>
      <c r="J1819" s="21">
        <v>0</v>
      </c>
      <c r="K1819" s="21">
        <v>0</v>
      </c>
      <c r="L1819" s="3">
        <f t="shared" ref="L1819:L1839" si="84">SUM(H1819:K1819)</f>
        <v>0</v>
      </c>
      <c r="M1819" s="3"/>
      <c r="N1819" s="3">
        <f t="shared" ref="N1819:N1839" si="85">L1819+G1819</f>
        <v>0</v>
      </c>
      <c r="R1819" s="89"/>
      <c r="S1819" s="89">
        <f>100%-Table34[[#This Row],[PDF_initial fee]]</f>
        <v>1</v>
      </c>
      <c r="T1819" s="89"/>
      <c r="U1819" s="26"/>
    </row>
    <row r="1820" spans="1:27" hidden="1" x14ac:dyDescent="0.25">
      <c r="A1820">
        <v>456629</v>
      </c>
      <c r="B1820" t="s">
        <v>2161</v>
      </c>
      <c r="C1820" t="s">
        <v>10005</v>
      </c>
      <c r="D1820">
        <v>8</v>
      </c>
      <c r="E1820" t="s">
        <v>2161</v>
      </c>
      <c r="G1820" s="3"/>
      <c r="H1820" s="21">
        <v>0</v>
      </c>
      <c r="I1820" s="21">
        <v>0</v>
      </c>
      <c r="J1820" s="21">
        <v>0</v>
      </c>
      <c r="K1820" s="21">
        <v>0</v>
      </c>
      <c r="L1820" s="3">
        <f t="shared" si="84"/>
        <v>0</v>
      </c>
      <c r="M1820" s="3"/>
      <c r="N1820" s="3">
        <f t="shared" si="85"/>
        <v>0</v>
      </c>
      <c r="R1820" s="89"/>
      <c r="S1820" s="89">
        <f>100%-Table34[[#This Row],[PDF_initial fee]]</f>
        <v>1</v>
      </c>
      <c r="T1820" s="89"/>
      <c r="U1820" s="26"/>
    </row>
    <row r="1821" spans="1:27" x14ac:dyDescent="0.25">
      <c r="A1821">
        <v>184275</v>
      </c>
      <c r="B1821" t="s">
        <v>85</v>
      </c>
      <c r="C1821" s="1" t="s">
        <v>30053</v>
      </c>
      <c r="D1821">
        <v>7</v>
      </c>
      <c r="E1821" t="s">
        <v>85</v>
      </c>
      <c r="F1821" t="s">
        <v>3</v>
      </c>
      <c r="G1821" s="3">
        <v>1.4E-3</v>
      </c>
      <c r="H1821" s="3">
        <v>0.03</v>
      </c>
      <c r="I1821" s="3">
        <v>0.01</v>
      </c>
      <c r="J1821" s="6">
        <v>0</v>
      </c>
      <c r="K1821" s="6">
        <v>0</v>
      </c>
      <c r="L1821" s="3">
        <f t="shared" si="84"/>
        <v>0.04</v>
      </c>
      <c r="M1821" s="3"/>
      <c r="N1821" s="3">
        <f t="shared" si="85"/>
        <v>4.1399999999999999E-2</v>
      </c>
      <c r="P1821" s="1" t="s">
        <v>30054</v>
      </c>
      <c r="Q1821" t="s">
        <v>31787</v>
      </c>
      <c r="R1821" s="89">
        <v>0.33333333333333348</v>
      </c>
      <c r="S1821" s="89">
        <f>100%-Table34[[#This Row],[InitialFee]]</f>
        <v>0.97</v>
      </c>
      <c r="T1821" s="89">
        <f>(1-Table34[[#This Row],[OngoingFee (plus Platform fee)]])^5</f>
        <v>0.95099004989999991</v>
      </c>
      <c r="U1821" s="26">
        <f>(1+Table34[[#This Row],[Net 5yrs return (mostly up to 28th of Feb 2026)]])*Table34[[#This Row],[Investment after initial charge]]*Table34[[#This Row],[Cummulative 5yrs ongoing advice charge]]-1</f>
        <v>0.22994713120400001</v>
      </c>
      <c r="V1821" s="10">
        <f>245419+204834</f>
        <v>450253</v>
      </c>
      <c r="W1821" t="s">
        <v>29051</v>
      </c>
      <c r="X1821" s="10">
        <v>222769</v>
      </c>
      <c r="Y1821" s="30">
        <f>X1821/V1821</f>
        <v>0.49476405487581426</v>
      </c>
      <c r="AA1821" s="1" t="s">
        <v>30055</v>
      </c>
    </row>
    <row r="1822" spans="1:27" hidden="1" x14ac:dyDescent="0.25">
      <c r="A1822">
        <v>456729</v>
      </c>
      <c r="B1822" t="s">
        <v>2162</v>
      </c>
      <c r="C1822" t="s">
        <v>6958</v>
      </c>
      <c r="D1822">
        <v>1</v>
      </c>
      <c r="E1822" t="s">
        <v>2162</v>
      </c>
      <c r="F1822" t="s">
        <v>6958</v>
      </c>
      <c r="G1822" s="3"/>
      <c r="H1822" s="21">
        <v>0</v>
      </c>
      <c r="I1822" s="21">
        <v>0</v>
      </c>
      <c r="J1822" s="21">
        <v>0</v>
      </c>
      <c r="K1822" s="21">
        <v>0</v>
      </c>
      <c r="L1822" s="3">
        <f t="shared" si="84"/>
        <v>0</v>
      </c>
      <c r="M1822" s="3"/>
      <c r="N1822" s="3">
        <f t="shared" si="85"/>
        <v>0</v>
      </c>
      <c r="R1822" s="89"/>
      <c r="S1822" s="89">
        <f>100%-Table34[[#This Row],[PDF_initial fee]]</f>
        <v>1</v>
      </c>
      <c r="T1822" s="89"/>
      <c r="U1822" s="26"/>
    </row>
    <row r="1823" spans="1:27" hidden="1" x14ac:dyDescent="0.25">
      <c r="A1823">
        <v>456753</v>
      </c>
      <c r="B1823" t="s">
        <v>2163</v>
      </c>
      <c r="C1823" t="s">
        <v>8023</v>
      </c>
      <c r="D1823">
        <v>4</v>
      </c>
      <c r="E1823" t="s">
        <v>2163</v>
      </c>
      <c r="G1823" s="3"/>
      <c r="H1823" s="39"/>
      <c r="I1823" s="39"/>
      <c r="J1823" s="39"/>
      <c r="K1823" s="39"/>
      <c r="L1823" s="3">
        <f t="shared" si="84"/>
        <v>0</v>
      </c>
      <c r="M1823" s="3"/>
      <c r="N1823" s="3">
        <f t="shared" si="85"/>
        <v>0</v>
      </c>
      <c r="R1823" s="89"/>
      <c r="S1823" s="89">
        <f>100%-Table34[[#This Row],[PDF_initial fee]]</f>
        <v>1</v>
      </c>
      <c r="T1823" s="89"/>
      <c r="U1823" s="26"/>
    </row>
    <row r="1824" spans="1:27" hidden="1" x14ac:dyDescent="0.25">
      <c r="A1824">
        <v>456804</v>
      </c>
      <c r="B1824" t="s">
        <v>2164</v>
      </c>
      <c r="C1824" t="s">
        <v>30056</v>
      </c>
      <c r="D1824">
        <v>0</v>
      </c>
      <c r="E1824" t="s">
        <v>2164</v>
      </c>
      <c r="F1824" t="s">
        <v>29136</v>
      </c>
      <c r="G1824" s="3"/>
      <c r="H1824" s="21">
        <v>0</v>
      </c>
      <c r="I1824" s="21">
        <v>0</v>
      </c>
      <c r="J1824" s="21">
        <v>0</v>
      </c>
      <c r="K1824" s="21">
        <v>0</v>
      </c>
      <c r="L1824" s="3">
        <f t="shared" si="84"/>
        <v>0</v>
      </c>
      <c r="M1824" s="3"/>
      <c r="N1824" s="3">
        <f t="shared" si="85"/>
        <v>0</v>
      </c>
      <c r="O1824" s="21"/>
      <c r="R1824" s="89"/>
      <c r="S1824" s="89">
        <f>100%-Table34[[#This Row],[PDF_initial fee]]</f>
        <v>1</v>
      </c>
      <c r="T1824" s="89"/>
      <c r="U1824" s="26"/>
    </row>
    <row r="1825" spans="1:27" hidden="1" x14ac:dyDescent="0.25">
      <c r="A1825">
        <v>456836</v>
      </c>
      <c r="B1825" t="s">
        <v>2165</v>
      </c>
      <c r="C1825" t="s">
        <v>10669</v>
      </c>
      <c r="D1825">
        <v>6</v>
      </c>
      <c r="E1825" t="s">
        <v>2165</v>
      </c>
      <c r="G1825" s="3"/>
      <c r="L1825" s="3">
        <f t="shared" si="84"/>
        <v>0</v>
      </c>
      <c r="M1825" s="3"/>
      <c r="N1825" s="3">
        <f t="shared" si="85"/>
        <v>0</v>
      </c>
      <c r="R1825" s="89"/>
      <c r="S1825" s="89">
        <f>100%-Table34[[#This Row],[PDF_initial fee]]</f>
        <v>1</v>
      </c>
      <c r="T1825" s="89"/>
      <c r="U1825" s="26"/>
    </row>
    <row r="1826" spans="1:27" x14ac:dyDescent="0.25">
      <c r="A1826">
        <v>790065</v>
      </c>
      <c r="B1826" t="s">
        <v>302</v>
      </c>
      <c r="C1826" s="1" t="s">
        <v>8217</v>
      </c>
      <c r="D1826">
        <v>1</v>
      </c>
      <c r="E1826" t="s">
        <v>302</v>
      </c>
      <c r="F1826" t="s">
        <v>3</v>
      </c>
      <c r="G1826" s="3">
        <v>1.4E-3</v>
      </c>
      <c r="H1826" s="3">
        <v>1.6299999999999999E-2</v>
      </c>
      <c r="I1826" s="3">
        <v>5.4999999999999997E-3</v>
      </c>
      <c r="J1826" s="6"/>
      <c r="K1826" s="6"/>
      <c r="L1826" s="3">
        <f t="shared" si="84"/>
        <v>2.18E-2</v>
      </c>
      <c r="M1826" s="3"/>
      <c r="N1826" s="3">
        <f t="shared" si="85"/>
        <v>2.3199999999999998E-2</v>
      </c>
      <c r="P1826" s="22" t="s">
        <v>30057</v>
      </c>
      <c r="Q1826" t="s">
        <v>31787</v>
      </c>
      <c r="R1826" s="89">
        <v>0.33333333333333348</v>
      </c>
      <c r="S1826" s="89">
        <f>100%-Table34[[#This Row],[InitialFee]]</f>
        <v>0.98370000000000002</v>
      </c>
      <c r="T1826" s="89">
        <f>(1-Table34[[#This Row],[OngoingFee (plus Platform fee)]])^5</f>
        <v>0.97280084082027996</v>
      </c>
      <c r="U1826" s="26">
        <f>(1+Table34[[#This Row],[Net 5yrs return (mostly up to 28th of Feb 2026)]])*Table34[[#This Row],[Investment after initial charge]]*Table34[[#This Row],[Cummulative 5yrs ongoing advice charge]]-1</f>
        <v>0.27592558281987922</v>
      </c>
      <c r="V1826" s="9">
        <v>135528</v>
      </c>
      <c r="W1826" t="s">
        <v>29051</v>
      </c>
      <c r="X1826" s="9">
        <v>50006</v>
      </c>
      <c r="Y1826" s="30">
        <f>X1826/V1826</f>
        <v>0.36897172539991735</v>
      </c>
      <c r="AA1826" s="1" t="s">
        <v>30058</v>
      </c>
    </row>
    <row r="1827" spans="1:27" hidden="1" x14ac:dyDescent="0.25">
      <c r="A1827">
        <v>456868</v>
      </c>
      <c r="B1827" t="s">
        <v>2166</v>
      </c>
      <c r="C1827" t="s">
        <v>6958</v>
      </c>
      <c r="D1827">
        <v>1</v>
      </c>
      <c r="E1827" t="s">
        <v>2166</v>
      </c>
      <c r="F1827" t="s">
        <v>6958</v>
      </c>
      <c r="G1827" s="3"/>
      <c r="L1827" s="3">
        <f t="shared" si="84"/>
        <v>0</v>
      </c>
      <c r="M1827" s="3"/>
      <c r="N1827" s="3">
        <f t="shared" si="85"/>
        <v>0</v>
      </c>
      <c r="R1827" s="89"/>
      <c r="S1827" s="89">
        <f>100%-Table34[[#This Row],[PDF_initial fee]]</f>
        <v>1</v>
      </c>
      <c r="T1827" s="89"/>
      <c r="U1827" s="26"/>
    </row>
    <row r="1828" spans="1:27" x14ac:dyDescent="0.25">
      <c r="A1828">
        <v>230155</v>
      </c>
      <c r="B1828" t="s">
        <v>132</v>
      </c>
      <c r="C1828" s="1" t="s">
        <v>30059</v>
      </c>
      <c r="D1828">
        <v>1</v>
      </c>
      <c r="E1828" t="s">
        <v>132</v>
      </c>
      <c r="F1828" t="s">
        <v>3</v>
      </c>
      <c r="G1828" s="3">
        <v>1.4E-3</v>
      </c>
      <c r="H1828" s="3">
        <v>0.02</v>
      </c>
      <c r="I1828" s="3">
        <v>0.01</v>
      </c>
      <c r="J1828" s="3">
        <v>0</v>
      </c>
      <c r="K1828" s="3">
        <v>0</v>
      </c>
      <c r="L1828" s="3">
        <f t="shared" si="84"/>
        <v>0.03</v>
      </c>
      <c r="M1828" s="3"/>
      <c r="N1828" s="3">
        <f t="shared" si="85"/>
        <v>3.1399999999999997E-2</v>
      </c>
      <c r="P1828" s="1" t="s">
        <v>30060</v>
      </c>
      <c r="Q1828" t="s">
        <v>31787</v>
      </c>
      <c r="R1828" s="89">
        <v>0.33333333333333348</v>
      </c>
      <c r="S1828" s="89">
        <f>100%-Table34[[#This Row],[InitialFee]]</f>
        <v>0.98</v>
      </c>
      <c r="T1828" s="89">
        <f>(1-Table34[[#This Row],[OngoingFee (plus Platform fee)]])^5</f>
        <v>0.95099004989999991</v>
      </c>
      <c r="U1828" s="26">
        <f>(1+Table34[[#This Row],[Net 5yrs return (mostly up to 28th of Feb 2026)]])*Table34[[#This Row],[Investment after initial charge]]*Table34[[#This Row],[Cummulative 5yrs ongoing advice charge]]-1</f>
        <v>0.24262699853600012</v>
      </c>
      <c r="V1828">
        <v>90920</v>
      </c>
      <c r="W1828" t="s">
        <v>29051</v>
      </c>
      <c r="X1828" s="10">
        <v>81531</v>
      </c>
      <c r="Y1828" s="30">
        <f>X1828/V1828</f>
        <v>0.89673339199296087</v>
      </c>
      <c r="AA1828" s="1" t="s">
        <v>30061</v>
      </c>
    </row>
    <row r="1829" spans="1:27" hidden="1" x14ac:dyDescent="0.25">
      <c r="A1829">
        <v>457006</v>
      </c>
      <c r="B1829" t="s">
        <v>2167</v>
      </c>
      <c r="C1829" t="s">
        <v>7874</v>
      </c>
      <c r="D1829">
        <v>18</v>
      </c>
      <c r="E1829" t="s">
        <v>2167</v>
      </c>
      <c r="F1829" t="s">
        <v>3</v>
      </c>
      <c r="G1829" s="3"/>
      <c r="H1829" s="21">
        <v>0</v>
      </c>
      <c r="I1829" s="21">
        <v>0</v>
      </c>
      <c r="J1829" s="21">
        <v>0</v>
      </c>
      <c r="K1829" s="21">
        <v>0</v>
      </c>
      <c r="L1829" s="3">
        <f t="shared" si="84"/>
        <v>0</v>
      </c>
      <c r="M1829" s="3"/>
      <c r="N1829" s="3">
        <f t="shared" si="85"/>
        <v>0</v>
      </c>
      <c r="R1829" s="89"/>
      <c r="S1829" s="89">
        <f>100%-Table34[[#This Row],[PDF_initial fee]]</f>
        <v>1</v>
      </c>
      <c r="T1829" s="89"/>
      <c r="U1829" s="26"/>
    </row>
    <row r="1830" spans="1:27" hidden="1" x14ac:dyDescent="0.25">
      <c r="A1830">
        <v>457010</v>
      </c>
      <c r="B1830" t="s">
        <v>2168</v>
      </c>
      <c r="C1830" t="s">
        <v>9426</v>
      </c>
      <c r="D1830">
        <v>1</v>
      </c>
      <c r="E1830" t="s">
        <v>2168</v>
      </c>
      <c r="G1830" s="3"/>
      <c r="H1830" s="21">
        <v>0</v>
      </c>
      <c r="I1830" s="21">
        <v>0</v>
      </c>
      <c r="J1830" s="21">
        <v>0</v>
      </c>
      <c r="K1830" s="21">
        <v>0</v>
      </c>
      <c r="L1830" s="3">
        <f t="shared" si="84"/>
        <v>0</v>
      </c>
      <c r="M1830" s="3"/>
      <c r="N1830" s="3">
        <f t="shared" si="85"/>
        <v>0</v>
      </c>
      <c r="R1830" s="89"/>
      <c r="S1830" s="89">
        <f>100%-Table34[[#This Row],[PDF_initial fee]]</f>
        <v>1</v>
      </c>
      <c r="T1830" s="89"/>
      <c r="U1830" s="26"/>
    </row>
    <row r="1831" spans="1:27" hidden="1" x14ac:dyDescent="0.25">
      <c r="A1831">
        <v>457112</v>
      </c>
      <c r="B1831" t="s">
        <v>2169</v>
      </c>
      <c r="C1831" t="s">
        <v>6958</v>
      </c>
      <c r="D1831">
        <v>3</v>
      </c>
      <c r="E1831" t="s">
        <v>2169</v>
      </c>
      <c r="F1831" t="s">
        <v>6958</v>
      </c>
      <c r="G1831" s="3"/>
      <c r="H1831" s="21">
        <v>0</v>
      </c>
      <c r="I1831" s="21">
        <v>0</v>
      </c>
      <c r="J1831" s="21">
        <v>0</v>
      </c>
      <c r="K1831" s="21">
        <v>0</v>
      </c>
      <c r="L1831" s="3">
        <f t="shared" si="84"/>
        <v>0</v>
      </c>
      <c r="M1831" s="3"/>
      <c r="N1831" s="3">
        <f t="shared" si="85"/>
        <v>0</v>
      </c>
      <c r="R1831" s="89"/>
      <c r="S1831" s="89">
        <f>100%-Table34[[#This Row],[PDF_initial fee]]</f>
        <v>1</v>
      </c>
      <c r="T1831" s="89"/>
      <c r="U1831" s="26"/>
    </row>
    <row r="1832" spans="1:27" hidden="1" x14ac:dyDescent="0.25">
      <c r="A1832">
        <v>457227</v>
      </c>
      <c r="B1832" t="s">
        <v>2170</v>
      </c>
      <c r="C1832" t="s">
        <v>10054</v>
      </c>
      <c r="D1832">
        <v>1</v>
      </c>
      <c r="E1832" t="s">
        <v>2170</v>
      </c>
      <c r="G1832" s="3"/>
      <c r="H1832" s="21">
        <v>0</v>
      </c>
      <c r="I1832" s="21">
        <v>0</v>
      </c>
      <c r="J1832" s="21">
        <v>0</v>
      </c>
      <c r="K1832" s="21">
        <v>0</v>
      </c>
      <c r="L1832" s="3">
        <f t="shared" si="84"/>
        <v>0</v>
      </c>
      <c r="M1832" s="3"/>
      <c r="N1832" s="3">
        <f t="shared" si="85"/>
        <v>0</v>
      </c>
      <c r="R1832" s="89"/>
      <c r="S1832" s="89">
        <f>100%-Table34[[#This Row],[PDF_initial fee]]</f>
        <v>1</v>
      </c>
      <c r="T1832" s="89"/>
      <c r="U1832" s="26"/>
    </row>
    <row r="1833" spans="1:27" hidden="1" x14ac:dyDescent="0.25">
      <c r="A1833">
        <v>457234</v>
      </c>
      <c r="B1833" t="s">
        <v>2171</v>
      </c>
      <c r="C1833" t="s">
        <v>7032</v>
      </c>
      <c r="D1833">
        <v>11</v>
      </c>
      <c r="E1833" t="s">
        <v>2171</v>
      </c>
      <c r="F1833" t="s">
        <v>3</v>
      </c>
      <c r="G1833" s="3"/>
      <c r="L1833" s="3">
        <f t="shared" si="84"/>
        <v>0</v>
      </c>
      <c r="M1833" s="3"/>
      <c r="N1833" s="3">
        <f t="shared" si="85"/>
        <v>0</v>
      </c>
      <c r="R1833" s="89"/>
      <c r="S1833" s="89">
        <f>100%-Table34[[#This Row],[PDF_initial fee]]</f>
        <v>1</v>
      </c>
      <c r="T1833" s="89"/>
      <c r="U1833" s="26"/>
    </row>
    <row r="1834" spans="1:27" hidden="1" x14ac:dyDescent="0.25">
      <c r="A1834">
        <v>457305</v>
      </c>
      <c r="B1834" t="s">
        <v>2172</v>
      </c>
      <c r="C1834" t="s">
        <v>11595</v>
      </c>
      <c r="D1834">
        <v>3</v>
      </c>
      <c r="E1834" t="s">
        <v>2172</v>
      </c>
      <c r="G1834" s="3"/>
      <c r="H1834" s="21">
        <v>0</v>
      </c>
      <c r="I1834" s="21">
        <v>0</v>
      </c>
      <c r="J1834" s="21">
        <v>0</v>
      </c>
      <c r="K1834" s="21">
        <v>0</v>
      </c>
      <c r="L1834" s="3">
        <f t="shared" si="84"/>
        <v>0</v>
      </c>
      <c r="M1834" s="3"/>
      <c r="N1834" s="3">
        <f t="shared" si="85"/>
        <v>0</v>
      </c>
      <c r="R1834" s="89"/>
      <c r="S1834" s="89">
        <f>100%-Table34[[#This Row],[PDF_initial fee]]</f>
        <v>1</v>
      </c>
      <c r="T1834" s="89"/>
      <c r="U1834" s="26"/>
    </row>
    <row r="1835" spans="1:27" hidden="1" x14ac:dyDescent="0.25">
      <c r="A1835">
        <v>457373</v>
      </c>
      <c r="B1835" t="s">
        <v>2173</v>
      </c>
      <c r="C1835" t="s">
        <v>6958</v>
      </c>
      <c r="D1835">
        <v>1</v>
      </c>
      <c r="E1835" t="s">
        <v>2173</v>
      </c>
      <c r="F1835" t="s">
        <v>6958</v>
      </c>
      <c r="G1835" s="3"/>
      <c r="L1835" s="3">
        <f t="shared" si="84"/>
        <v>0</v>
      </c>
      <c r="M1835" s="3"/>
      <c r="N1835" s="3">
        <f t="shared" si="85"/>
        <v>0</v>
      </c>
      <c r="R1835" s="89"/>
      <c r="S1835" s="89">
        <f>100%-Table34[[#This Row],[PDF_initial fee]]</f>
        <v>1</v>
      </c>
      <c r="T1835" s="89"/>
      <c r="U1835" s="26"/>
    </row>
    <row r="1836" spans="1:27" hidden="1" x14ac:dyDescent="0.25">
      <c r="A1836">
        <v>457377</v>
      </c>
      <c r="B1836" t="s">
        <v>2174</v>
      </c>
      <c r="C1836" t="s">
        <v>6958</v>
      </c>
      <c r="D1836">
        <v>1</v>
      </c>
      <c r="E1836" t="s">
        <v>2174</v>
      </c>
      <c r="F1836" t="s">
        <v>6958</v>
      </c>
      <c r="G1836" s="3"/>
      <c r="H1836" s="21">
        <v>0</v>
      </c>
      <c r="I1836" s="21">
        <v>0</v>
      </c>
      <c r="J1836" s="21">
        <v>0</v>
      </c>
      <c r="K1836" s="21">
        <v>0</v>
      </c>
      <c r="L1836" s="3">
        <f t="shared" si="84"/>
        <v>0</v>
      </c>
      <c r="M1836" s="3"/>
      <c r="N1836" s="3">
        <f t="shared" si="85"/>
        <v>0</v>
      </c>
      <c r="R1836" s="89"/>
      <c r="S1836" s="89">
        <f>100%-Table34[[#This Row],[PDF_initial fee]]</f>
        <v>1</v>
      </c>
      <c r="T1836" s="89"/>
      <c r="U1836" s="26"/>
    </row>
    <row r="1837" spans="1:27" hidden="1" x14ac:dyDescent="0.25">
      <c r="A1837">
        <v>457386</v>
      </c>
      <c r="B1837" t="s">
        <v>2175</v>
      </c>
      <c r="C1837" t="s">
        <v>6958</v>
      </c>
      <c r="D1837">
        <v>1</v>
      </c>
      <c r="E1837" t="s">
        <v>2175</v>
      </c>
      <c r="F1837" t="s">
        <v>6958</v>
      </c>
      <c r="G1837" s="3"/>
      <c r="H1837" s="21">
        <v>0</v>
      </c>
      <c r="I1837" s="21">
        <v>0</v>
      </c>
      <c r="J1837" s="21">
        <v>0</v>
      </c>
      <c r="K1837" s="21">
        <v>0</v>
      </c>
      <c r="L1837" s="3">
        <f t="shared" si="84"/>
        <v>0</v>
      </c>
      <c r="M1837" s="3"/>
      <c r="N1837" s="3">
        <f t="shared" si="85"/>
        <v>0</v>
      </c>
      <c r="R1837" s="89"/>
      <c r="S1837" s="89">
        <f>100%-Table34[[#This Row],[PDF_initial fee]]</f>
        <v>1</v>
      </c>
      <c r="T1837" s="89"/>
      <c r="U1837" s="26"/>
    </row>
    <row r="1838" spans="1:27" hidden="1" x14ac:dyDescent="0.25">
      <c r="A1838">
        <v>457412</v>
      </c>
      <c r="B1838" t="s">
        <v>2176</v>
      </c>
      <c r="C1838" t="s">
        <v>6958</v>
      </c>
      <c r="D1838">
        <v>1</v>
      </c>
      <c r="E1838" t="s">
        <v>2176</v>
      </c>
      <c r="F1838" t="s">
        <v>6958</v>
      </c>
      <c r="G1838" s="3"/>
      <c r="L1838" s="3">
        <f t="shared" si="84"/>
        <v>0</v>
      </c>
      <c r="M1838" s="3"/>
      <c r="N1838" s="3">
        <f t="shared" si="85"/>
        <v>0</v>
      </c>
      <c r="R1838" s="89"/>
      <c r="S1838" s="89">
        <f>100%-Table34[[#This Row],[PDF_initial fee]]</f>
        <v>1</v>
      </c>
      <c r="T1838" s="89"/>
      <c r="U1838" s="26"/>
    </row>
    <row r="1839" spans="1:27" hidden="1" x14ac:dyDescent="0.25">
      <c r="A1839">
        <v>457491</v>
      </c>
      <c r="B1839" t="s">
        <v>2177</v>
      </c>
      <c r="C1839" t="s">
        <v>30062</v>
      </c>
      <c r="D1839">
        <v>2</v>
      </c>
      <c r="E1839" t="s">
        <v>2177</v>
      </c>
      <c r="G1839" s="3"/>
      <c r="H1839" s="21">
        <v>0</v>
      </c>
      <c r="I1839" s="21">
        <v>0</v>
      </c>
      <c r="J1839" s="21">
        <v>0</v>
      </c>
      <c r="K1839" s="21">
        <v>0</v>
      </c>
      <c r="L1839" s="3">
        <f t="shared" si="84"/>
        <v>0</v>
      </c>
      <c r="M1839" s="3"/>
      <c r="N1839" s="3">
        <f t="shared" si="85"/>
        <v>0</v>
      </c>
      <c r="O1839" s="21"/>
      <c r="R1839" s="89"/>
      <c r="S1839" s="89">
        <f>100%-Table34[[#This Row],[PDF_initial fee]]</f>
        <v>1</v>
      </c>
      <c r="T1839" s="89"/>
      <c r="U1839" s="26"/>
    </row>
    <row r="1840" spans="1:27" hidden="1" x14ac:dyDescent="0.25">
      <c r="A1840">
        <v>457558</v>
      </c>
      <c r="B1840" t="s">
        <v>2178</v>
      </c>
      <c r="C1840" t="s">
        <v>8719</v>
      </c>
      <c r="D1840">
        <v>11</v>
      </c>
      <c r="E1840" t="s">
        <v>2178</v>
      </c>
      <c r="F1840" t="s">
        <v>3</v>
      </c>
      <c r="G1840" s="28">
        <v>1.6999999999999999E-3</v>
      </c>
      <c r="H1840" s="21">
        <v>0</v>
      </c>
      <c r="I1840" s="51">
        <v>0</v>
      </c>
      <c r="J1840" s="6">
        <v>0</v>
      </c>
      <c r="K1840" s="6">
        <v>0</v>
      </c>
      <c r="L1840" s="3">
        <v>0</v>
      </c>
      <c r="M1840" s="3"/>
      <c r="N1840" s="3">
        <v>0</v>
      </c>
      <c r="P1840" s="1" t="s">
        <v>30063</v>
      </c>
      <c r="R1840" s="89"/>
      <c r="S1840" s="89">
        <f>100%-Table34[[#This Row],[PDF_initial fee]]</f>
        <v>1</v>
      </c>
      <c r="T1840" s="89"/>
      <c r="U1840" s="26"/>
    </row>
    <row r="1841" spans="1:28" hidden="1" x14ac:dyDescent="0.25">
      <c r="A1841">
        <v>457607</v>
      </c>
      <c r="B1841" t="s">
        <v>2179</v>
      </c>
      <c r="C1841" t="s">
        <v>6958</v>
      </c>
      <c r="D1841">
        <v>1</v>
      </c>
      <c r="E1841" t="s">
        <v>2179</v>
      </c>
      <c r="F1841" t="s">
        <v>6958</v>
      </c>
      <c r="G1841" s="3"/>
      <c r="H1841" s="21">
        <v>0</v>
      </c>
      <c r="I1841" s="21">
        <v>0</v>
      </c>
      <c r="J1841" s="21">
        <v>0</v>
      </c>
      <c r="K1841" s="21">
        <v>0</v>
      </c>
      <c r="L1841" s="3">
        <f t="shared" ref="L1841:L1872" si="86">SUM(H1841:K1841)</f>
        <v>0</v>
      </c>
      <c r="M1841" s="3"/>
      <c r="N1841" s="3">
        <f t="shared" ref="N1841:N1872" si="87">L1841+G1841</f>
        <v>0</v>
      </c>
      <c r="R1841" s="89"/>
      <c r="S1841" s="89">
        <f>100%-Table34[[#This Row],[PDF_initial fee]]</f>
        <v>1</v>
      </c>
      <c r="T1841" s="89"/>
      <c r="U1841" s="26"/>
    </row>
    <row r="1842" spans="1:28" hidden="1" x14ac:dyDescent="0.25">
      <c r="A1842">
        <v>457637</v>
      </c>
      <c r="B1842" t="s">
        <v>2180</v>
      </c>
      <c r="C1842" t="s">
        <v>30064</v>
      </c>
      <c r="D1842">
        <v>1</v>
      </c>
      <c r="E1842" t="s">
        <v>2180</v>
      </c>
      <c r="G1842" s="3"/>
      <c r="H1842" s="21">
        <v>0</v>
      </c>
      <c r="I1842" s="3">
        <v>0</v>
      </c>
      <c r="J1842" s="3">
        <v>0</v>
      </c>
      <c r="K1842">
        <v>0</v>
      </c>
      <c r="L1842" s="3">
        <f t="shared" si="86"/>
        <v>0</v>
      </c>
      <c r="M1842" s="3"/>
      <c r="N1842" s="3">
        <f t="shared" si="87"/>
        <v>0</v>
      </c>
      <c r="R1842" s="89"/>
      <c r="S1842" s="89">
        <f>100%-Table34[[#This Row],[PDF_initial fee]]</f>
        <v>1</v>
      </c>
      <c r="T1842" s="89"/>
      <c r="U1842" s="26"/>
    </row>
    <row r="1843" spans="1:28" hidden="1" x14ac:dyDescent="0.25">
      <c r="A1843">
        <v>457658</v>
      </c>
      <c r="B1843" t="s">
        <v>2181</v>
      </c>
      <c r="C1843" t="s">
        <v>11406</v>
      </c>
      <c r="D1843">
        <v>1</v>
      </c>
      <c r="E1843" t="s">
        <v>2181</v>
      </c>
      <c r="G1843" s="3"/>
      <c r="L1843" s="3">
        <f t="shared" si="86"/>
        <v>0</v>
      </c>
      <c r="M1843" s="3"/>
      <c r="N1843" s="3">
        <f t="shared" si="87"/>
        <v>0</v>
      </c>
      <c r="R1843" s="89"/>
      <c r="S1843" s="89">
        <f>100%-Table34[[#This Row],[PDF_initial fee]]</f>
        <v>1</v>
      </c>
      <c r="T1843" s="89"/>
      <c r="U1843" s="26"/>
    </row>
    <row r="1844" spans="1:28" hidden="1" x14ac:dyDescent="0.25">
      <c r="A1844">
        <v>457661</v>
      </c>
      <c r="B1844" t="s">
        <v>2182</v>
      </c>
      <c r="C1844" t="s">
        <v>6958</v>
      </c>
      <c r="D1844">
        <v>2</v>
      </c>
      <c r="E1844" t="s">
        <v>2182</v>
      </c>
      <c r="F1844" t="s">
        <v>6958</v>
      </c>
      <c r="G1844" s="3"/>
      <c r="H1844" s="21">
        <v>0</v>
      </c>
      <c r="I1844" s="21">
        <v>0</v>
      </c>
      <c r="J1844" s="21">
        <v>0</v>
      </c>
      <c r="K1844" s="21">
        <v>0</v>
      </c>
      <c r="L1844" s="3">
        <f t="shared" si="86"/>
        <v>0</v>
      </c>
      <c r="M1844" s="3"/>
      <c r="N1844" s="3">
        <f t="shared" si="87"/>
        <v>0</v>
      </c>
      <c r="R1844" s="89"/>
      <c r="S1844" s="89">
        <f>100%-Table34[[#This Row],[PDF_initial fee]]</f>
        <v>1</v>
      </c>
      <c r="T1844" s="89"/>
      <c r="U1844" s="26"/>
    </row>
    <row r="1845" spans="1:28" hidden="1" x14ac:dyDescent="0.25">
      <c r="A1845">
        <v>457670</v>
      </c>
      <c r="B1845" t="s">
        <v>2183</v>
      </c>
      <c r="C1845" t="s">
        <v>8584</v>
      </c>
      <c r="D1845">
        <v>2</v>
      </c>
      <c r="E1845" t="s">
        <v>2183</v>
      </c>
      <c r="G1845" s="3"/>
      <c r="H1845" s="21">
        <v>0</v>
      </c>
      <c r="I1845" s="21">
        <v>0</v>
      </c>
      <c r="J1845" s="21">
        <v>0</v>
      </c>
      <c r="K1845" s="21">
        <v>0</v>
      </c>
      <c r="L1845" s="3">
        <f t="shared" si="86"/>
        <v>0</v>
      </c>
      <c r="M1845" s="3"/>
      <c r="N1845" s="3">
        <f t="shared" si="87"/>
        <v>0</v>
      </c>
      <c r="R1845" s="89"/>
      <c r="S1845" s="89">
        <f>100%-Table34[[#This Row],[PDF_initial fee]]</f>
        <v>1</v>
      </c>
      <c r="T1845" s="89"/>
      <c r="U1845" s="26"/>
    </row>
    <row r="1846" spans="1:28" hidden="1" x14ac:dyDescent="0.25">
      <c r="A1846">
        <v>457721</v>
      </c>
      <c r="B1846" t="s">
        <v>2184</v>
      </c>
      <c r="C1846" t="s">
        <v>30065</v>
      </c>
      <c r="D1846">
        <v>2</v>
      </c>
      <c r="E1846" t="s">
        <v>2184</v>
      </c>
      <c r="G1846" s="3"/>
      <c r="H1846" s="3">
        <v>0</v>
      </c>
      <c r="I1846" s="3">
        <v>0</v>
      </c>
      <c r="J1846" s="3">
        <v>0</v>
      </c>
      <c r="K1846" s="3">
        <v>0</v>
      </c>
      <c r="L1846" s="3">
        <f t="shared" si="86"/>
        <v>0</v>
      </c>
      <c r="M1846" s="3"/>
      <c r="N1846" s="3">
        <f t="shared" si="87"/>
        <v>0</v>
      </c>
      <c r="R1846" s="89"/>
      <c r="S1846" s="89">
        <f>100%-Table34[[#This Row],[PDF_initial fee]]</f>
        <v>1</v>
      </c>
      <c r="T1846" s="89"/>
      <c r="U1846" s="26"/>
    </row>
    <row r="1847" spans="1:28" hidden="1" x14ac:dyDescent="0.25">
      <c r="A1847">
        <v>457901</v>
      </c>
      <c r="B1847" t="s">
        <v>2185</v>
      </c>
      <c r="C1847" t="s">
        <v>30066</v>
      </c>
      <c r="D1847">
        <v>1</v>
      </c>
      <c r="E1847" t="s">
        <v>2185</v>
      </c>
      <c r="G1847" s="3"/>
      <c r="H1847" s="3">
        <v>0</v>
      </c>
      <c r="I1847" s="3">
        <v>0</v>
      </c>
      <c r="J1847" s="3">
        <v>0</v>
      </c>
      <c r="K1847" s="3">
        <v>0</v>
      </c>
      <c r="L1847" s="3">
        <f t="shared" si="86"/>
        <v>0</v>
      </c>
      <c r="M1847" s="3"/>
      <c r="N1847" s="3">
        <f t="shared" si="87"/>
        <v>0</v>
      </c>
      <c r="R1847" s="89"/>
      <c r="S1847" s="89">
        <f>100%-Table34[[#This Row],[PDF_initial fee]]</f>
        <v>1</v>
      </c>
      <c r="T1847" s="89"/>
      <c r="U1847" s="26"/>
    </row>
    <row r="1848" spans="1:28" hidden="1" x14ac:dyDescent="0.25">
      <c r="A1848">
        <v>457902</v>
      </c>
      <c r="B1848" t="s">
        <v>2186</v>
      </c>
      <c r="C1848" t="s">
        <v>30067</v>
      </c>
      <c r="D1848">
        <v>10</v>
      </c>
      <c r="E1848" t="s">
        <v>2186</v>
      </c>
      <c r="F1848" t="s">
        <v>3</v>
      </c>
      <c r="G1848" s="3"/>
      <c r="H1848" s="3">
        <v>0</v>
      </c>
      <c r="I1848" s="3">
        <v>0</v>
      </c>
      <c r="J1848" s="3">
        <v>0</v>
      </c>
      <c r="K1848" s="3">
        <v>0</v>
      </c>
      <c r="L1848" s="3">
        <f t="shared" si="86"/>
        <v>0</v>
      </c>
      <c r="M1848" s="3"/>
      <c r="N1848" s="3">
        <f t="shared" si="87"/>
        <v>0</v>
      </c>
      <c r="R1848" s="89"/>
      <c r="S1848" s="89">
        <f>100%-Table34[[#This Row],[PDF_initial fee]]</f>
        <v>1</v>
      </c>
      <c r="T1848" s="89"/>
      <c r="U1848" s="26"/>
    </row>
    <row r="1849" spans="1:28" hidden="1" x14ac:dyDescent="0.25">
      <c r="A1849">
        <v>457930</v>
      </c>
      <c r="B1849" t="s">
        <v>2187</v>
      </c>
      <c r="C1849" t="s">
        <v>12478</v>
      </c>
      <c r="D1849">
        <v>5</v>
      </c>
      <c r="E1849" t="s">
        <v>2187</v>
      </c>
      <c r="G1849" s="3"/>
      <c r="H1849" s="21">
        <v>0</v>
      </c>
      <c r="I1849" s="21">
        <v>0</v>
      </c>
      <c r="J1849" s="21">
        <v>0</v>
      </c>
      <c r="K1849" s="21">
        <v>0</v>
      </c>
      <c r="L1849" s="3">
        <f t="shared" si="86"/>
        <v>0</v>
      </c>
      <c r="M1849" s="3"/>
      <c r="N1849" s="3">
        <f t="shared" si="87"/>
        <v>0</v>
      </c>
      <c r="R1849" s="89"/>
      <c r="S1849" s="89">
        <f>100%-Table34[[#This Row],[PDF_initial fee]]</f>
        <v>1</v>
      </c>
      <c r="T1849" s="89"/>
      <c r="U1849" s="26"/>
    </row>
    <row r="1850" spans="1:28" hidden="1" x14ac:dyDescent="0.25">
      <c r="A1850">
        <v>457945</v>
      </c>
      <c r="B1850" t="s">
        <v>2188</v>
      </c>
      <c r="C1850" t="s">
        <v>7791</v>
      </c>
      <c r="D1850">
        <v>5</v>
      </c>
      <c r="E1850" t="s">
        <v>2188</v>
      </c>
      <c r="G1850" s="3"/>
      <c r="H1850" s="21">
        <v>0</v>
      </c>
      <c r="I1850" s="21">
        <v>0</v>
      </c>
      <c r="J1850" s="21">
        <v>0</v>
      </c>
      <c r="K1850" s="21">
        <v>0</v>
      </c>
      <c r="L1850" s="3">
        <f t="shared" si="86"/>
        <v>0</v>
      </c>
      <c r="M1850" s="3"/>
      <c r="N1850" s="3">
        <f t="shared" si="87"/>
        <v>0</v>
      </c>
      <c r="R1850" s="89"/>
      <c r="S1850" s="89">
        <f>100%-Table34[[#This Row],[PDF_initial fee]]</f>
        <v>1</v>
      </c>
      <c r="T1850" s="89"/>
      <c r="U1850" s="26"/>
    </row>
    <row r="1851" spans="1:28" x14ac:dyDescent="0.25">
      <c r="A1851">
        <v>425738</v>
      </c>
      <c r="B1851" t="s">
        <v>153</v>
      </c>
      <c r="C1851" s="1" t="s">
        <v>30068</v>
      </c>
      <c r="D1851">
        <v>2</v>
      </c>
      <c r="E1851" t="s">
        <v>153</v>
      </c>
      <c r="F1851" t="s">
        <v>3</v>
      </c>
      <c r="G1851" s="3">
        <v>1.4E-3</v>
      </c>
      <c r="H1851" s="3">
        <f>1500/100000</f>
        <v>1.4999999999999999E-2</v>
      </c>
      <c r="I1851" s="3">
        <v>8.8000000000000005E-3</v>
      </c>
      <c r="J1851" s="6"/>
      <c r="K1851" s="6"/>
      <c r="L1851" s="3">
        <f t="shared" si="86"/>
        <v>2.3800000000000002E-2</v>
      </c>
      <c r="M1851" s="3"/>
      <c r="N1851" s="3">
        <f t="shared" si="87"/>
        <v>2.52E-2</v>
      </c>
      <c r="P1851" s="1" t="s">
        <v>30069</v>
      </c>
      <c r="Q1851" t="s">
        <v>31787</v>
      </c>
      <c r="R1851" s="89">
        <v>0.33333333333333348</v>
      </c>
      <c r="S1851" s="89">
        <f>100%-Table34[[#This Row],[InitialFee]]</f>
        <v>0.98499999999999999</v>
      </c>
      <c r="T1851" s="89">
        <f>(1-Table34[[#This Row],[OngoingFee (plus Platform fee)]])^5</f>
        <v>0.9567676152119946</v>
      </c>
      <c r="U1851" s="26">
        <f>(1+Table34[[#This Row],[Net 5yrs return (mostly up to 28th of Feb 2026)]])*Table34[[#This Row],[Investment after initial charge]]*Table34[[#This Row],[Cummulative 5yrs ongoing advice charge]]-1</f>
        <v>0.25655480131175312</v>
      </c>
      <c r="V1851" s="10">
        <f>555806+3968</f>
        <v>559774</v>
      </c>
      <c r="W1851" t="s">
        <v>29051</v>
      </c>
      <c r="X1851" s="10">
        <v>462465</v>
      </c>
      <c r="Y1851" s="30">
        <f>X1851/V1851</f>
        <v>0.82616377323705636</v>
      </c>
      <c r="AA1851" s="1" t="s">
        <v>30070</v>
      </c>
    </row>
    <row r="1852" spans="1:28" x14ac:dyDescent="0.25">
      <c r="A1852">
        <v>221354</v>
      </c>
      <c r="B1852" t="s">
        <v>121</v>
      </c>
      <c r="C1852" s="1" t="s">
        <v>8582</v>
      </c>
      <c r="D1852">
        <v>4</v>
      </c>
      <c r="E1852" t="s">
        <v>121</v>
      </c>
      <c r="F1852" t="s">
        <v>3</v>
      </c>
      <c r="G1852" s="3">
        <v>1.4E-3</v>
      </c>
      <c r="H1852" s="3">
        <v>0.05</v>
      </c>
      <c r="I1852" s="3">
        <v>3.5000000000000003E-2</v>
      </c>
      <c r="J1852" s="6"/>
      <c r="K1852" s="6"/>
      <c r="L1852" s="3">
        <f t="shared" si="86"/>
        <v>8.5000000000000006E-2</v>
      </c>
      <c r="M1852" s="3"/>
      <c r="N1852" s="3">
        <f t="shared" si="87"/>
        <v>8.6400000000000005E-2</v>
      </c>
      <c r="P1852" s="1" t="s">
        <v>30071</v>
      </c>
      <c r="Q1852" t="s">
        <v>31787</v>
      </c>
      <c r="R1852" s="89">
        <v>0.33333333333333348</v>
      </c>
      <c r="S1852" s="89">
        <f>100%-Table34[[#This Row],[InitialFee]]</f>
        <v>0.95</v>
      </c>
      <c r="T1852" s="89">
        <f>(1-Table34[[#This Row],[OngoingFee (plus Platform fee)]])^5</f>
        <v>0.83682870060312486</v>
      </c>
      <c r="U1852" s="26">
        <f>(1+Table34[[#This Row],[Net 5yrs return (mostly up to 28th of Feb 2026)]])*Table34[[#This Row],[Investment after initial charge]]*Table34[[#This Row],[Cummulative 5yrs ongoing advice charge]]-1</f>
        <v>5.9983020763958228E-2</v>
      </c>
      <c r="V1852" s="10">
        <f>305095+840142</f>
        <v>1145237</v>
      </c>
      <c r="W1852" t="s">
        <v>29051</v>
      </c>
      <c r="X1852" s="10">
        <v>836069</v>
      </c>
      <c r="Y1852" s="30">
        <f>X1852/V1852</f>
        <v>0.730040157626762</v>
      </c>
      <c r="AA1852" s="1" t="s">
        <v>30072</v>
      </c>
      <c r="AB1852" t="s">
        <v>29302</v>
      </c>
    </row>
    <row r="1853" spans="1:28" hidden="1" x14ac:dyDescent="0.25">
      <c r="A1853">
        <v>458009</v>
      </c>
      <c r="B1853" t="s">
        <v>2189</v>
      </c>
      <c r="C1853" t="s">
        <v>7089</v>
      </c>
      <c r="D1853">
        <v>6</v>
      </c>
      <c r="E1853" t="s">
        <v>2189</v>
      </c>
      <c r="G1853" s="3"/>
      <c r="H1853" s="39"/>
      <c r="I1853" s="39"/>
      <c r="J1853" s="39"/>
      <c r="K1853" s="39"/>
      <c r="L1853" s="3">
        <f t="shared" si="86"/>
        <v>0</v>
      </c>
      <c r="M1853" s="3"/>
      <c r="N1853" s="3">
        <f t="shared" si="87"/>
        <v>0</v>
      </c>
      <c r="R1853" s="89"/>
      <c r="S1853" s="89">
        <f>100%-Table34[[#This Row],[PDF_initial fee]]</f>
        <v>1</v>
      </c>
      <c r="T1853" s="89"/>
      <c r="U1853" s="26"/>
    </row>
    <row r="1854" spans="1:28" hidden="1" x14ac:dyDescent="0.25">
      <c r="A1854">
        <v>458042</v>
      </c>
      <c r="B1854" t="s">
        <v>2190</v>
      </c>
      <c r="C1854" t="s">
        <v>6958</v>
      </c>
      <c r="D1854">
        <v>1</v>
      </c>
      <c r="E1854" t="s">
        <v>2190</v>
      </c>
      <c r="F1854" t="s">
        <v>6958</v>
      </c>
      <c r="G1854" s="3"/>
      <c r="H1854" s="21">
        <v>0</v>
      </c>
      <c r="I1854" s="21">
        <v>0</v>
      </c>
      <c r="J1854" s="21">
        <v>0</v>
      </c>
      <c r="K1854" s="21">
        <v>0</v>
      </c>
      <c r="L1854" s="3">
        <f t="shared" si="86"/>
        <v>0</v>
      </c>
      <c r="M1854" s="3"/>
      <c r="N1854" s="3">
        <f t="shared" si="87"/>
        <v>0</v>
      </c>
      <c r="R1854" s="89"/>
      <c r="S1854" s="89">
        <f>100%-Table34[[#This Row],[PDF_initial fee]]</f>
        <v>1</v>
      </c>
      <c r="T1854" s="89"/>
      <c r="U1854" s="26"/>
    </row>
    <row r="1855" spans="1:28" hidden="1" x14ac:dyDescent="0.25">
      <c r="A1855">
        <v>458146</v>
      </c>
      <c r="B1855" t="s">
        <v>2191</v>
      </c>
      <c r="C1855" t="s">
        <v>6958</v>
      </c>
      <c r="D1855">
        <v>3</v>
      </c>
      <c r="E1855" t="s">
        <v>2191</v>
      </c>
      <c r="F1855" t="s">
        <v>6958</v>
      </c>
      <c r="G1855" s="3"/>
      <c r="H1855" s="21">
        <v>0</v>
      </c>
      <c r="I1855" s="21">
        <v>0</v>
      </c>
      <c r="J1855" s="21">
        <v>0</v>
      </c>
      <c r="K1855" s="21">
        <v>0</v>
      </c>
      <c r="L1855" s="3">
        <f t="shared" si="86"/>
        <v>0</v>
      </c>
      <c r="M1855" s="3"/>
      <c r="N1855" s="3">
        <f t="shared" si="87"/>
        <v>0</v>
      </c>
      <c r="R1855" s="89"/>
      <c r="S1855" s="89">
        <f>100%-Table34[[#This Row],[PDF_initial fee]]</f>
        <v>1</v>
      </c>
      <c r="T1855" s="89"/>
      <c r="U1855" s="26"/>
    </row>
    <row r="1856" spans="1:28" hidden="1" x14ac:dyDescent="0.25">
      <c r="A1856">
        <v>458200</v>
      </c>
      <c r="B1856" t="s">
        <v>2192</v>
      </c>
      <c r="C1856" t="s">
        <v>30073</v>
      </c>
      <c r="D1856">
        <v>5</v>
      </c>
      <c r="E1856" t="s">
        <v>2192</v>
      </c>
      <c r="G1856" s="3"/>
      <c r="H1856" s="3">
        <v>0</v>
      </c>
      <c r="I1856" s="3">
        <v>0</v>
      </c>
      <c r="J1856" s="3">
        <v>0</v>
      </c>
      <c r="K1856" s="3">
        <v>0</v>
      </c>
      <c r="L1856" s="3">
        <f t="shared" si="86"/>
        <v>0</v>
      </c>
      <c r="M1856" s="3"/>
      <c r="N1856" s="3">
        <f t="shared" si="87"/>
        <v>0</v>
      </c>
      <c r="R1856" s="89"/>
      <c r="S1856" s="89">
        <f>100%-Table34[[#This Row],[PDF_initial fee]]</f>
        <v>1</v>
      </c>
      <c r="T1856" s="89"/>
      <c r="U1856" s="26"/>
    </row>
    <row r="1857" spans="1:21" hidden="1" x14ac:dyDescent="0.25">
      <c r="A1857">
        <v>458204</v>
      </c>
      <c r="B1857" t="s">
        <v>2193</v>
      </c>
      <c r="C1857" t="s">
        <v>6958</v>
      </c>
      <c r="D1857">
        <v>7</v>
      </c>
      <c r="E1857" t="s">
        <v>2193</v>
      </c>
      <c r="F1857" t="s">
        <v>6958</v>
      </c>
      <c r="G1857" s="3"/>
      <c r="H1857" s="21">
        <v>0</v>
      </c>
      <c r="I1857" s="21">
        <v>0</v>
      </c>
      <c r="J1857" s="21">
        <v>0</v>
      </c>
      <c r="K1857" s="21">
        <v>0</v>
      </c>
      <c r="L1857" s="3">
        <f t="shared" si="86"/>
        <v>0</v>
      </c>
      <c r="M1857" s="3"/>
      <c r="N1857" s="3">
        <f t="shared" si="87"/>
        <v>0</v>
      </c>
      <c r="R1857" s="89"/>
      <c r="S1857" s="89">
        <f>100%-Table34[[#This Row],[PDF_initial fee]]</f>
        <v>1</v>
      </c>
      <c r="T1857" s="89"/>
      <c r="U1857" s="26"/>
    </row>
    <row r="1858" spans="1:21" hidden="1" x14ac:dyDescent="0.25">
      <c r="A1858">
        <v>458219</v>
      </c>
      <c r="B1858" t="s">
        <v>2194</v>
      </c>
      <c r="C1858" t="s">
        <v>30074</v>
      </c>
      <c r="D1858">
        <v>1</v>
      </c>
      <c r="E1858" t="s">
        <v>2194</v>
      </c>
      <c r="G1858" s="3"/>
      <c r="H1858" s="21">
        <v>0</v>
      </c>
      <c r="I1858" s="21">
        <v>0</v>
      </c>
      <c r="J1858" s="21">
        <v>0</v>
      </c>
      <c r="K1858" s="21">
        <v>0</v>
      </c>
      <c r="L1858" s="3">
        <f t="shared" si="86"/>
        <v>0</v>
      </c>
      <c r="M1858" s="3"/>
      <c r="N1858" s="3">
        <f t="shared" si="87"/>
        <v>0</v>
      </c>
      <c r="O1858" s="21"/>
      <c r="R1858" s="89"/>
      <c r="S1858" s="89">
        <f>100%-Table34[[#This Row],[PDF_initial fee]]</f>
        <v>1</v>
      </c>
      <c r="T1858" s="89"/>
      <c r="U1858" s="26"/>
    </row>
    <row r="1859" spans="1:21" hidden="1" x14ac:dyDescent="0.25">
      <c r="A1859">
        <v>458250</v>
      </c>
      <c r="B1859" t="s">
        <v>2195</v>
      </c>
      <c r="C1859" t="s">
        <v>30075</v>
      </c>
      <c r="D1859">
        <v>0</v>
      </c>
      <c r="E1859" t="s">
        <v>2195</v>
      </c>
      <c r="F1859" t="s">
        <v>29136</v>
      </c>
      <c r="G1859" s="3"/>
      <c r="H1859" s="21">
        <v>0</v>
      </c>
      <c r="I1859" s="21">
        <v>0</v>
      </c>
      <c r="J1859" s="21">
        <v>0</v>
      </c>
      <c r="K1859" s="21">
        <v>0</v>
      </c>
      <c r="L1859" s="3">
        <f t="shared" si="86"/>
        <v>0</v>
      </c>
      <c r="M1859" s="3"/>
      <c r="N1859" s="3">
        <f t="shared" si="87"/>
        <v>0</v>
      </c>
      <c r="O1859" s="21"/>
      <c r="R1859" s="89"/>
      <c r="S1859" s="89">
        <f>100%-Table34[[#This Row],[PDF_initial fee]]</f>
        <v>1</v>
      </c>
      <c r="T1859" s="89"/>
      <c r="U1859" s="26"/>
    </row>
    <row r="1860" spans="1:21" hidden="1" x14ac:dyDescent="0.25">
      <c r="A1860">
        <v>458258</v>
      </c>
      <c r="B1860" t="s">
        <v>2196</v>
      </c>
      <c r="C1860" t="s">
        <v>8404</v>
      </c>
      <c r="D1860">
        <v>1</v>
      </c>
      <c r="E1860" t="s">
        <v>2196</v>
      </c>
      <c r="G1860" s="3"/>
      <c r="H1860" s="21">
        <v>0</v>
      </c>
      <c r="I1860" s="21">
        <v>0</v>
      </c>
      <c r="J1860" s="21">
        <v>0</v>
      </c>
      <c r="K1860" s="21">
        <v>0</v>
      </c>
      <c r="L1860" s="3">
        <f t="shared" si="86"/>
        <v>0</v>
      </c>
      <c r="M1860" s="3"/>
      <c r="N1860" s="3">
        <f t="shared" si="87"/>
        <v>0</v>
      </c>
      <c r="R1860" s="89"/>
      <c r="S1860" s="89">
        <f>100%-Table34[[#This Row],[PDF_initial fee]]</f>
        <v>1</v>
      </c>
      <c r="T1860" s="89"/>
      <c r="U1860" s="26"/>
    </row>
    <row r="1861" spans="1:21" hidden="1" x14ac:dyDescent="0.25">
      <c r="A1861">
        <v>458272</v>
      </c>
      <c r="B1861" t="s">
        <v>2197</v>
      </c>
      <c r="C1861" t="s">
        <v>7360</v>
      </c>
      <c r="D1861">
        <v>1</v>
      </c>
      <c r="E1861" t="s">
        <v>2197</v>
      </c>
      <c r="G1861" s="3"/>
      <c r="H1861" s="21">
        <v>0</v>
      </c>
      <c r="I1861" s="21">
        <v>0</v>
      </c>
      <c r="J1861" s="21">
        <v>0</v>
      </c>
      <c r="K1861" s="21">
        <v>0</v>
      </c>
      <c r="L1861" s="3">
        <f t="shared" si="86"/>
        <v>0</v>
      </c>
      <c r="M1861" s="3"/>
      <c r="N1861" s="3">
        <f t="shared" si="87"/>
        <v>0</v>
      </c>
      <c r="R1861" s="89"/>
      <c r="S1861" s="89">
        <f>100%-Table34[[#This Row],[PDF_initial fee]]</f>
        <v>1</v>
      </c>
      <c r="T1861" s="89"/>
      <c r="U1861" s="26"/>
    </row>
    <row r="1862" spans="1:21" hidden="1" x14ac:dyDescent="0.25">
      <c r="A1862">
        <v>458283</v>
      </c>
      <c r="B1862" t="s">
        <v>2198</v>
      </c>
      <c r="C1862" t="s">
        <v>6958</v>
      </c>
      <c r="D1862">
        <v>4</v>
      </c>
      <c r="E1862" t="s">
        <v>2198</v>
      </c>
      <c r="F1862" t="s">
        <v>6958</v>
      </c>
      <c r="G1862" s="3"/>
      <c r="H1862" s="21">
        <v>0</v>
      </c>
      <c r="I1862" s="21">
        <v>0</v>
      </c>
      <c r="J1862" s="21">
        <v>0</v>
      </c>
      <c r="K1862" s="21">
        <v>0</v>
      </c>
      <c r="L1862" s="3">
        <f t="shared" si="86"/>
        <v>0</v>
      </c>
      <c r="M1862" s="3"/>
      <c r="N1862" s="3">
        <f t="shared" si="87"/>
        <v>0</v>
      </c>
      <c r="O1862" s="21"/>
      <c r="R1862" s="89"/>
      <c r="S1862" s="89">
        <f>100%-Table34[[#This Row],[PDF_initial fee]]</f>
        <v>1</v>
      </c>
      <c r="T1862" s="89"/>
      <c r="U1862" s="26"/>
    </row>
    <row r="1863" spans="1:21" hidden="1" x14ac:dyDescent="0.25">
      <c r="A1863">
        <v>458349</v>
      </c>
      <c r="B1863" t="s">
        <v>2199</v>
      </c>
      <c r="C1863" t="s">
        <v>9330</v>
      </c>
      <c r="D1863">
        <v>6</v>
      </c>
      <c r="E1863" t="s">
        <v>2199</v>
      </c>
      <c r="G1863" s="3"/>
      <c r="H1863" s="21">
        <v>0</v>
      </c>
      <c r="I1863" s="21">
        <v>0</v>
      </c>
      <c r="J1863" s="21">
        <v>0</v>
      </c>
      <c r="K1863" s="21">
        <v>0</v>
      </c>
      <c r="L1863" s="3">
        <f t="shared" si="86"/>
        <v>0</v>
      </c>
      <c r="M1863" s="3"/>
      <c r="N1863" s="3">
        <f t="shared" si="87"/>
        <v>0</v>
      </c>
      <c r="R1863" s="89"/>
      <c r="S1863" s="89">
        <f>100%-Table34[[#This Row],[PDF_initial fee]]</f>
        <v>1</v>
      </c>
      <c r="T1863" s="89"/>
      <c r="U1863" s="26"/>
    </row>
    <row r="1864" spans="1:21" hidden="1" x14ac:dyDescent="0.25">
      <c r="A1864">
        <v>458357</v>
      </c>
      <c r="B1864" t="s">
        <v>2200</v>
      </c>
      <c r="C1864" t="s">
        <v>6958</v>
      </c>
      <c r="D1864">
        <v>1</v>
      </c>
      <c r="E1864" t="s">
        <v>2200</v>
      </c>
      <c r="F1864" t="s">
        <v>6958</v>
      </c>
      <c r="G1864" s="3"/>
      <c r="H1864" s="21">
        <v>0</v>
      </c>
      <c r="I1864" s="21">
        <v>0</v>
      </c>
      <c r="J1864" s="21">
        <v>0</v>
      </c>
      <c r="K1864" s="21">
        <v>0</v>
      </c>
      <c r="L1864" s="3">
        <f t="shared" si="86"/>
        <v>0</v>
      </c>
      <c r="M1864" s="3"/>
      <c r="N1864" s="3">
        <f t="shared" si="87"/>
        <v>0</v>
      </c>
      <c r="R1864" s="89"/>
      <c r="S1864" s="89">
        <f>100%-Table34[[#This Row],[PDF_initial fee]]</f>
        <v>1</v>
      </c>
      <c r="T1864" s="89"/>
      <c r="U1864" s="26"/>
    </row>
    <row r="1865" spans="1:21" hidden="1" x14ac:dyDescent="0.25">
      <c r="A1865">
        <v>458361</v>
      </c>
      <c r="B1865" t="s">
        <v>2201</v>
      </c>
      <c r="C1865" t="s">
        <v>10285</v>
      </c>
      <c r="D1865">
        <v>10</v>
      </c>
      <c r="E1865" t="s">
        <v>2201</v>
      </c>
      <c r="G1865" s="3"/>
      <c r="L1865" s="3">
        <f t="shared" si="86"/>
        <v>0</v>
      </c>
      <c r="M1865" s="3"/>
      <c r="N1865" s="3">
        <f t="shared" si="87"/>
        <v>0</v>
      </c>
      <c r="R1865" s="89"/>
      <c r="S1865" s="89">
        <f>100%-Table34[[#This Row],[PDF_initial fee]]</f>
        <v>1</v>
      </c>
      <c r="T1865" s="89"/>
      <c r="U1865" s="26"/>
    </row>
    <row r="1866" spans="1:21" hidden="1" x14ac:dyDescent="0.25">
      <c r="A1866">
        <v>458363</v>
      </c>
      <c r="B1866" t="s">
        <v>2202</v>
      </c>
      <c r="C1866" t="s">
        <v>9726</v>
      </c>
      <c r="D1866">
        <v>3</v>
      </c>
      <c r="E1866" t="s">
        <v>2202</v>
      </c>
      <c r="G1866" s="3"/>
      <c r="H1866" s="21">
        <v>0</v>
      </c>
      <c r="I1866" s="21">
        <v>0</v>
      </c>
      <c r="J1866" s="21">
        <v>0</v>
      </c>
      <c r="K1866" s="21">
        <v>0</v>
      </c>
      <c r="L1866" s="3">
        <f t="shared" si="86"/>
        <v>0</v>
      </c>
      <c r="M1866" s="3"/>
      <c r="N1866" s="3">
        <f t="shared" si="87"/>
        <v>0</v>
      </c>
      <c r="R1866" s="89"/>
      <c r="S1866" s="89">
        <f>100%-Table34[[#This Row],[PDF_initial fee]]</f>
        <v>1</v>
      </c>
      <c r="T1866" s="89"/>
      <c r="U1866" s="26"/>
    </row>
    <row r="1867" spans="1:21" hidden="1" x14ac:dyDescent="0.25">
      <c r="A1867">
        <v>458414</v>
      </c>
      <c r="B1867" t="s">
        <v>2203</v>
      </c>
      <c r="C1867" t="s">
        <v>9510</v>
      </c>
      <c r="D1867">
        <v>3</v>
      </c>
      <c r="E1867" t="s">
        <v>2203</v>
      </c>
      <c r="G1867" s="3"/>
      <c r="L1867" s="3">
        <f t="shared" si="86"/>
        <v>0</v>
      </c>
      <c r="M1867" s="3"/>
      <c r="N1867" s="3">
        <f t="shared" si="87"/>
        <v>0</v>
      </c>
      <c r="R1867" s="89"/>
      <c r="S1867" s="89">
        <f>100%-Table34[[#This Row],[PDF_initial fee]]</f>
        <v>1</v>
      </c>
      <c r="T1867" s="89"/>
      <c r="U1867" s="26"/>
    </row>
    <row r="1868" spans="1:21" hidden="1" x14ac:dyDescent="0.25">
      <c r="A1868">
        <v>458421</v>
      </c>
      <c r="B1868" t="s">
        <v>2204</v>
      </c>
      <c r="C1868" s="1" t="s">
        <v>30076</v>
      </c>
      <c r="D1868">
        <v>50</v>
      </c>
      <c r="E1868" t="s">
        <v>2204</v>
      </c>
      <c r="F1868" t="s">
        <v>3</v>
      </c>
      <c r="G1868" s="3"/>
      <c r="H1868" s="3">
        <v>0</v>
      </c>
      <c r="I1868" s="3">
        <v>0</v>
      </c>
      <c r="J1868" s="3">
        <v>0</v>
      </c>
      <c r="K1868" s="3">
        <v>0</v>
      </c>
      <c r="L1868" s="3">
        <f t="shared" si="86"/>
        <v>0</v>
      </c>
      <c r="M1868" s="3"/>
      <c r="N1868" s="3">
        <f t="shared" si="87"/>
        <v>0</v>
      </c>
      <c r="R1868" s="89"/>
      <c r="S1868" s="89">
        <f>100%-Table34[[#This Row],[PDF_initial fee]]</f>
        <v>1</v>
      </c>
      <c r="T1868" s="89"/>
      <c r="U1868" s="26"/>
    </row>
    <row r="1869" spans="1:21" hidden="1" x14ac:dyDescent="0.25">
      <c r="A1869">
        <v>458559</v>
      </c>
      <c r="B1869" t="s">
        <v>2205</v>
      </c>
      <c r="C1869" t="s">
        <v>12271</v>
      </c>
      <c r="D1869">
        <v>1</v>
      </c>
      <c r="E1869" t="s">
        <v>2205</v>
      </c>
      <c r="G1869" s="3"/>
      <c r="H1869" s="21">
        <v>0</v>
      </c>
      <c r="I1869" s="21">
        <v>0</v>
      </c>
      <c r="J1869" s="21">
        <v>0</v>
      </c>
      <c r="K1869" s="21">
        <v>0</v>
      </c>
      <c r="L1869" s="3">
        <f t="shared" si="86"/>
        <v>0</v>
      </c>
      <c r="M1869" s="3"/>
      <c r="N1869" s="3">
        <f t="shared" si="87"/>
        <v>0</v>
      </c>
      <c r="R1869" s="89"/>
      <c r="S1869" s="89">
        <f>100%-Table34[[#This Row],[PDF_initial fee]]</f>
        <v>1</v>
      </c>
      <c r="T1869" s="89"/>
      <c r="U1869" s="26"/>
    </row>
    <row r="1870" spans="1:21" hidden="1" x14ac:dyDescent="0.25">
      <c r="A1870">
        <v>458593</v>
      </c>
      <c r="B1870" t="s">
        <v>2206</v>
      </c>
      <c r="C1870" s="1" t="s">
        <v>30077</v>
      </c>
      <c r="D1870">
        <v>1</v>
      </c>
      <c r="E1870" t="s">
        <v>2206</v>
      </c>
      <c r="G1870" s="3"/>
      <c r="H1870" s="3">
        <v>0</v>
      </c>
      <c r="I1870" s="3">
        <v>0</v>
      </c>
      <c r="J1870" s="3">
        <v>0</v>
      </c>
      <c r="K1870" s="3">
        <v>0</v>
      </c>
      <c r="L1870" s="3">
        <f t="shared" si="86"/>
        <v>0</v>
      </c>
      <c r="M1870" s="3"/>
      <c r="N1870" s="3">
        <f t="shared" si="87"/>
        <v>0</v>
      </c>
      <c r="R1870" s="89"/>
      <c r="S1870" s="89">
        <f>100%-Table34[[#This Row],[PDF_initial fee]]</f>
        <v>1</v>
      </c>
      <c r="T1870" s="89"/>
      <c r="U1870" s="26"/>
    </row>
    <row r="1871" spans="1:21" hidden="1" x14ac:dyDescent="0.25">
      <c r="A1871">
        <v>458602</v>
      </c>
      <c r="B1871" t="s">
        <v>2207</v>
      </c>
      <c r="C1871" t="s">
        <v>10538</v>
      </c>
      <c r="D1871">
        <v>1</v>
      </c>
      <c r="E1871" t="s">
        <v>2207</v>
      </c>
      <c r="G1871" s="3"/>
      <c r="H1871" s="21">
        <v>0</v>
      </c>
      <c r="I1871" s="21">
        <v>0</v>
      </c>
      <c r="J1871" s="21">
        <v>0</v>
      </c>
      <c r="K1871" s="21">
        <v>0</v>
      </c>
      <c r="L1871" s="3">
        <f t="shared" si="86"/>
        <v>0</v>
      </c>
      <c r="M1871" s="3"/>
      <c r="N1871" s="3">
        <f t="shared" si="87"/>
        <v>0</v>
      </c>
      <c r="R1871" s="89"/>
      <c r="S1871" s="89">
        <f>100%-Table34[[#This Row],[PDF_initial fee]]</f>
        <v>1</v>
      </c>
      <c r="T1871" s="89"/>
      <c r="U1871" s="26"/>
    </row>
    <row r="1872" spans="1:21" hidden="1" x14ac:dyDescent="0.25">
      <c r="A1872">
        <v>458612</v>
      </c>
      <c r="B1872" t="s">
        <v>2208</v>
      </c>
      <c r="C1872" t="s">
        <v>10168</v>
      </c>
      <c r="D1872">
        <v>3</v>
      </c>
      <c r="E1872" t="s">
        <v>2208</v>
      </c>
      <c r="G1872" s="3"/>
      <c r="H1872" s="21">
        <v>0</v>
      </c>
      <c r="I1872" s="21">
        <v>0</v>
      </c>
      <c r="J1872" s="21">
        <v>0</v>
      </c>
      <c r="K1872" s="21">
        <v>0</v>
      </c>
      <c r="L1872" s="3">
        <f t="shared" si="86"/>
        <v>0</v>
      </c>
      <c r="M1872" s="3"/>
      <c r="N1872" s="3">
        <f t="shared" si="87"/>
        <v>0</v>
      </c>
      <c r="R1872" s="89"/>
      <c r="S1872" s="89">
        <f>100%-Table34[[#This Row],[PDF_initial fee]]</f>
        <v>1</v>
      </c>
      <c r="T1872" s="89"/>
      <c r="U1872" s="26"/>
    </row>
    <row r="1873" spans="1:21" hidden="1" x14ac:dyDescent="0.25">
      <c r="A1873">
        <v>458630</v>
      </c>
      <c r="B1873" t="s">
        <v>2209</v>
      </c>
      <c r="C1873" t="s">
        <v>9833</v>
      </c>
      <c r="D1873">
        <v>1</v>
      </c>
      <c r="E1873" t="s">
        <v>2209</v>
      </c>
      <c r="G1873" s="3"/>
      <c r="H1873" s="21">
        <v>0</v>
      </c>
      <c r="I1873" s="21">
        <v>0</v>
      </c>
      <c r="J1873" s="21">
        <v>0</v>
      </c>
      <c r="K1873" s="21">
        <v>0</v>
      </c>
      <c r="L1873" s="3">
        <f t="shared" ref="L1873:L1904" si="88">SUM(H1873:K1873)</f>
        <v>0</v>
      </c>
      <c r="M1873" s="3"/>
      <c r="N1873" s="3">
        <f t="shared" ref="N1873:N1904" si="89">L1873+G1873</f>
        <v>0</v>
      </c>
      <c r="R1873" s="89"/>
      <c r="S1873" s="89">
        <f>100%-Table34[[#This Row],[PDF_initial fee]]</f>
        <v>1</v>
      </c>
      <c r="T1873" s="89"/>
      <c r="U1873" s="26"/>
    </row>
    <row r="1874" spans="1:21" hidden="1" x14ac:dyDescent="0.25">
      <c r="A1874">
        <v>458676</v>
      </c>
      <c r="B1874" t="s">
        <v>2210</v>
      </c>
      <c r="C1874" t="s">
        <v>30078</v>
      </c>
      <c r="D1874">
        <v>4</v>
      </c>
      <c r="E1874" t="s">
        <v>2210</v>
      </c>
      <c r="G1874" s="3"/>
      <c r="H1874" s="3">
        <v>0</v>
      </c>
      <c r="I1874" s="3">
        <v>0</v>
      </c>
      <c r="J1874" s="3">
        <v>0</v>
      </c>
      <c r="K1874" s="3">
        <v>0</v>
      </c>
      <c r="L1874" s="3">
        <f t="shared" si="88"/>
        <v>0</v>
      </c>
      <c r="M1874" s="3"/>
      <c r="N1874" s="3">
        <f t="shared" si="89"/>
        <v>0</v>
      </c>
      <c r="R1874" s="89"/>
      <c r="S1874" s="89">
        <f>100%-Table34[[#This Row],[PDF_initial fee]]</f>
        <v>1</v>
      </c>
      <c r="T1874" s="89"/>
      <c r="U1874" s="26"/>
    </row>
    <row r="1875" spans="1:21" hidden="1" x14ac:dyDescent="0.25">
      <c r="A1875">
        <v>458870</v>
      </c>
      <c r="B1875" t="s">
        <v>2211</v>
      </c>
      <c r="C1875" t="s">
        <v>8228</v>
      </c>
      <c r="D1875">
        <v>1</v>
      </c>
      <c r="E1875" t="s">
        <v>2211</v>
      </c>
      <c r="G1875" s="3"/>
      <c r="H1875" s="21">
        <v>0</v>
      </c>
      <c r="I1875" s="21">
        <v>0</v>
      </c>
      <c r="J1875" s="21">
        <v>0</v>
      </c>
      <c r="K1875" s="21">
        <v>0</v>
      </c>
      <c r="L1875" s="3">
        <f t="shared" si="88"/>
        <v>0</v>
      </c>
      <c r="M1875" s="3"/>
      <c r="N1875" s="3">
        <f t="shared" si="89"/>
        <v>0</v>
      </c>
      <c r="R1875" s="89"/>
      <c r="S1875" s="89">
        <f>100%-Table34[[#This Row],[PDF_initial fee]]</f>
        <v>1</v>
      </c>
      <c r="T1875" s="89"/>
      <c r="U1875" s="26"/>
    </row>
    <row r="1876" spans="1:21" hidden="1" x14ac:dyDescent="0.25">
      <c r="A1876">
        <v>458879</v>
      </c>
      <c r="B1876" t="s">
        <v>2212</v>
      </c>
      <c r="C1876" t="s">
        <v>30079</v>
      </c>
      <c r="D1876">
        <v>3</v>
      </c>
      <c r="E1876" t="s">
        <v>2212</v>
      </c>
      <c r="G1876" s="3"/>
      <c r="H1876" s="3">
        <v>0</v>
      </c>
      <c r="I1876" s="3">
        <v>0</v>
      </c>
      <c r="J1876" s="3">
        <v>0</v>
      </c>
      <c r="K1876" s="3">
        <v>0</v>
      </c>
      <c r="L1876" s="3">
        <f t="shared" si="88"/>
        <v>0</v>
      </c>
      <c r="M1876" s="3"/>
      <c r="N1876" s="3">
        <f t="shared" si="89"/>
        <v>0</v>
      </c>
      <c r="R1876" s="89"/>
      <c r="S1876" s="89">
        <f>100%-Table34[[#This Row],[PDF_initial fee]]</f>
        <v>1</v>
      </c>
      <c r="T1876" s="89"/>
      <c r="U1876" s="26"/>
    </row>
    <row r="1877" spans="1:21" hidden="1" x14ac:dyDescent="0.25">
      <c r="A1877">
        <v>458880</v>
      </c>
      <c r="B1877" t="s">
        <v>2213</v>
      </c>
      <c r="C1877" t="s">
        <v>30080</v>
      </c>
      <c r="D1877">
        <v>11</v>
      </c>
      <c r="E1877" t="s">
        <v>2213</v>
      </c>
      <c r="F1877" t="s">
        <v>3</v>
      </c>
      <c r="G1877" s="3"/>
      <c r="H1877" s="3">
        <v>0</v>
      </c>
      <c r="I1877" s="3">
        <v>0</v>
      </c>
      <c r="J1877" s="3">
        <v>0</v>
      </c>
      <c r="K1877" s="3">
        <v>0</v>
      </c>
      <c r="L1877" s="3">
        <f t="shared" si="88"/>
        <v>0</v>
      </c>
      <c r="M1877" s="3"/>
      <c r="N1877" s="3">
        <f t="shared" si="89"/>
        <v>0</v>
      </c>
      <c r="R1877" s="89"/>
      <c r="S1877" s="89">
        <f>100%-Table34[[#This Row],[PDF_initial fee]]</f>
        <v>1</v>
      </c>
      <c r="T1877" s="89"/>
      <c r="U1877" s="26"/>
    </row>
    <row r="1878" spans="1:21" hidden="1" x14ac:dyDescent="0.25">
      <c r="A1878">
        <v>458913</v>
      </c>
      <c r="B1878" t="s">
        <v>2214</v>
      </c>
      <c r="C1878" t="s">
        <v>6958</v>
      </c>
      <c r="D1878">
        <v>1</v>
      </c>
      <c r="E1878" t="s">
        <v>2214</v>
      </c>
      <c r="F1878" t="s">
        <v>6958</v>
      </c>
      <c r="G1878" s="3"/>
      <c r="H1878" s="21">
        <v>0</v>
      </c>
      <c r="I1878" s="21">
        <v>0</v>
      </c>
      <c r="J1878" s="21">
        <v>0</v>
      </c>
      <c r="K1878" s="21">
        <v>0</v>
      </c>
      <c r="L1878" s="3">
        <f t="shared" si="88"/>
        <v>0</v>
      </c>
      <c r="M1878" s="3"/>
      <c r="N1878" s="3">
        <f t="shared" si="89"/>
        <v>0</v>
      </c>
      <c r="R1878" s="89"/>
      <c r="S1878" s="89">
        <f>100%-Table34[[#This Row],[PDF_initial fee]]</f>
        <v>1</v>
      </c>
      <c r="T1878" s="89"/>
      <c r="U1878" s="26"/>
    </row>
    <row r="1879" spans="1:21" hidden="1" x14ac:dyDescent="0.25">
      <c r="A1879">
        <v>458919</v>
      </c>
      <c r="B1879" t="s">
        <v>2215</v>
      </c>
      <c r="C1879" t="s">
        <v>6958</v>
      </c>
      <c r="D1879">
        <v>2</v>
      </c>
      <c r="E1879" t="s">
        <v>2215</v>
      </c>
      <c r="F1879" t="s">
        <v>6958</v>
      </c>
      <c r="G1879" s="3"/>
      <c r="H1879" s="21">
        <v>0</v>
      </c>
      <c r="I1879" s="21">
        <v>0</v>
      </c>
      <c r="J1879" s="21">
        <v>0</v>
      </c>
      <c r="K1879" s="21">
        <v>0</v>
      </c>
      <c r="L1879" s="3">
        <f t="shared" si="88"/>
        <v>0</v>
      </c>
      <c r="M1879" s="3"/>
      <c r="N1879" s="3">
        <f t="shared" si="89"/>
        <v>0</v>
      </c>
      <c r="O1879" s="21"/>
      <c r="R1879" s="89"/>
      <c r="S1879" s="89">
        <f>100%-Table34[[#This Row],[PDF_initial fee]]</f>
        <v>1</v>
      </c>
      <c r="T1879" s="89"/>
      <c r="U1879" s="26"/>
    </row>
    <row r="1880" spans="1:21" hidden="1" x14ac:dyDescent="0.25">
      <c r="A1880">
        <v>458953</v>
      </c>
      <c r="B1880" t="s">
        <v>2216</v>
      </c>
      <c r="C1880" t="s">
        <v>30081</v>
      </c>
      <c r="D1880">
        <v>2</v>
      </c>
      <c r="E1880" t="s">
        <v>2216</v>
      </c>
      <c r="G1880" s="3"/>
      <c r="H1880" s="3">
        <v>0</v>
      </c>
      <c r="I1880" s="3">
        <v>0</v>
      </c>
      <c r="J1880" s="3">
        <v>0</v>
      </c>
      <c r="K1880" s="3">
        <v>0</v>
      </c>
      <c r="L1880" s="3">
        <f t="shared" si="88"/>
        <v>0</v>
      </c>
      <c r="M1880" s="3"/>
      <c r="N1880" s="3">
        <f t="shared" si="89"/>
        <v>0</v>
      </c>
      <c r="R1880" s="89"/>
      <c r="S1880" s="89">
        <f>100%-Table34[[#This Row],[PDF_initial fee]]</f>
        <v>1</v>
      </c>
      <c r="T1880" s="89"/>
      <c r="U1880" s="26"/>
    </row>
    <row r="1881" spans="1:21" hidden="1" x14ac:dyDescent="0.25">
      <c r="A1881">
        <v>458970</v>
      </c>
      <c r="B1881" t="s">
        <v>2217</v>
      </c>
      <c r="C1881" t="s">
        <v>7883</v>
      </c>
      <c r="D1881">
        <v>2</v>
      </c>
      <c r="E1881" t="s">
        <v>2217</v>
      </c>
      <c r="G1881" s="3"/>
      <c r="L1881" s="3">
        <f t="shared" si="88"/>
        <v>0</v>
      </c>
      <c r="M1881" s="3"/>
      <c r="N1881" s="3">
        <f t="shared" si="89"/>
        <v>0</v>
      </c>
      <c r="R1881" s="89"/>
      <c r="S1881" s="89">
        <f>100%-Table34[[#This Row],[PDF_initial fee]]</f>
        <v>1</v>
      </c>
      <c r="T1881" s="89"/>
      <c r="U1881" s="26"/>
    </row>
    <row r="1882" spans="1:21" hidden="1" x14ac:dyDescent="0.25">
      <c r="A1882">
        <v>458979</v>
      </c>
      <c r="B1882" t="s">
        <v>2218</v>
      </c>
      <c r="C1882" t="s">
        <v>30082</v>
      </c>
      <c r="D1882">
        <v>2</v>
      </c>
      <c r="E1882" t="s">
        <v>2218</v>
      </c>
      <c r="G1882" s="3"/>
      <c r="H1882" s="3">
        <v>0</v>
      </c>
      <c r="I1882" s="3">
        <v>0</v>
      </c>
      <c r="J1882" s="3">
        <v>0</v>
      </c>
      <c r="K1882" s="3">
        <v>0</v>
      </c>
      <c r="L1882" s="3">
        <f t="shared" si="88"/>
        <v>0</v>
      </c>
      <c r="M1882" s="3"/>
      <c r="N1882" s="3">
        <f t="shared" si="89"/>
        <v>0</v>
      </c>
      <c r="R1882" s="89"/>
      <c r="S1882" s="89">
        <f>100%-Table34[[#This Row],[PDF_initial fee]]</f>
        <v>1</v>
      </c>
      <c r="T1882" s="89"/>
      <c r="U1882" s="26"/>
    </row>
    <row r="1883" spans="1:21" hidden="1" x14ac:dyDescent="0.25">
      <c r="A1883">
        <v>459004</v>
      </c>
      <c r="B1883" t="s">
        <v>2219</v>
      </c>
      <c r="C1883" t="s">
        <v>6958</v>
      </c>
      <c r="D1883">
        <v>1</v>
      </c>
      <c r="E1883" t="s">
        <v>2219</v>
      </c>
      <c r="F1883" t="s">
        <v>6958</v>
      </c>
      <c r="G1883" s="3"/>
      <c r="H1883" s="21">
        <v>0</v>
      </c>
      <c r="I1883" s="21">
        <v>0</v>
      </c>
      <c r="J1883" s="21">
        <v>0</v>
      </c>
      <c r="K1883" s="21">
        <v>0</v>
      </c>
      <c r="L1883" s="3">
        <f t="shared" si="88"/>
        <v>0</v>
      </c>
      <c r="M1883" s="3"/>
      <c r="N1883" s="3">
        <f t="shared" si="89"/>
        <v>0</v>
      </c>
      <c r="R1883" s="89"/>
      <c r="S1883" s="89">
        <f>100%-Table34[[#This Row],[PDF_initial fee]]</f>
        <v>1</v>
      </c>
      <c r="T1883" s="89"/>
      <c r="U1883" s="26"/>
    </row>
    <row r="1884" spans="1:21" hidden="1" x14ac:dyDescent="0.25">
      <c r="A1884">
        <v>459051</v>
      </c>
      <c r="B1884" t="s">
        <v>2220</v>
      </c>
      <c r="C1884" t="s">
        <v>30083</v>
      </c>
      <c r="D1884">
        <v>8</v>
      </c>
      <c r="E1884" t="s">
        <v>2220</v>
      </c>
      <c r="G1884" s="3"/>
      <c r="H1884" s="21">
        <v>0</v>
      </c>
      <c r="I1884" s="21">
        <v>0</v>
      </c>
      <c r="J1884" s="21">
        <v>0</v>
      </c>
      <c r="K1884" s="21">
        <v>0</v>
      </c>
      <c r="L1884" s="3">
        <f t="shared" si="88"/>
        <v>0</v>
      </c>
      <c r="M1884" s="3"/>
      <c r="N1884" s="3">
        <f t="shared" si="89"/>
        <v>0</v>
      </c>
      <c r="O1884" s="21"/>
      <c r="R1884" s="89"/>
      <c r="S1884" s="89">
        <f>100%-Table34[[#This Row],[PDF_initial fee]]</f>
        <v>1</v>
      </c>
      <c r="T1884" s="89"/>
      <c r="U1884" s="26"/>
    </row>
    <row r="1885" spans="1:21" hidden="1" x14ac:dyDescent="0.25">
      <c r="A1885">
        <v>459178</v>
      </c>
      <c r="B1885" t="s">
        <v>2221</v>
      </c>
      <c r="C1885" t="s">
        <v>6958</v>
      </c>
      <c r="D1885">
        <v>1</v>
      </c>
      <c r="E1885" t="s">
        <v>2221</v>
      </c>
      <c r="F1885" t="s">
        <v>6958</v>
      </c>
      <c r="G1885" s="3"/>
      <c r="H1885" s="21">
        <v>0</v>
      </c>
      <c r="I1885" s="21">
        <v>0</v>
      </c>
      <c r="J1885" s="21">
        <v>0</v>
      </c>
      <c r="K1885" s="21">
        <v>0</v>
      </c>
      <c r="L1885" s="3">
        <f t="shared" si="88"/>
        <v>0</v>
      </c>
      <c r="M1885" s="3"/>
      <c r="N1885" s="3">
        <f t="shared" si="89"/>
        <v>0</v>
      </c>
      <c r="R1885" s="89"/>
      <c r="S1885" s="89">
        <f>100%-Table34[[#This Row],[PDF_initial fee]]</f>
        <v>1</v>
      </c>
      <c r="T1885" s="89"/>
      <c r="U1885" s="26"/>
    </row>
    <row r="1886" spans="1:21" hidden="1" x14ac:dyDescent="0.25">
      <c r="A1886">
        <v>459255</v>
      </c>
      <c r="B1886" t="s">
        <v>2222</v>
      </c>
      <c r="C1886" t="s">
        <v>30084</v>
      </c>
      <c r="D1886">
        <v>4</v>
      </c>
      <c r="E1886" t="s">
        <v>2222</v>
      </c>
      <c r="G1886" s="3"/>
      <c r="H1886" s="21">
        <v>0</v>
      </c>
      <c r="I1886" s="21">
        <v>0</v>
      </c>
      <c r="J1886" s="21">
        <v>0</v>
      </c>
      <c r="K1886" s="21">
        <v>0</v>
      </c>
      <c r="L1886" s="3">
        <f t="shared" si="88"/>
        <v>0</v>
      </c>
      <c r="M1886" s="3"/>
      <c r="N1886" s="3">
        <f t="shared" si="89"/>
        <v>0</v>
      </c>
      <c r="O1886" s="21"/>
      <c r="R1886" s="89"/>
      <c r="S1886" s="89">
        <f>100%-Table34[[#This Row],[PDF_initial fee]]</f>
        <v>1</v>
      </c>
      <c r="T1886" s="89"/>
      <c r="U1886" s="26"/>
    </row>
    <row r="1887" spans="1:21" hidden="1" x14ac:dyDescent="0.25">
      <c r="A1887">
        <v>459256</v>
      </c>
      <c r="B1887" t="s">
        <v>2223</v>
      </c>
      <c r="C1887" t="s">
        <v>30085</v>
      </c>
      <c r="D1887">
        <v>5</v>
      </c>
      <c r="E1887" t="s">
        <v>2223</v>
      </c>
      <c r="G1887" s="3"/>
      <c r="H1887" s="3">
        <v>0</v>
      </c>
      <c r="I1887" s="3">
        <v>0</v>
      </c>
      <c r="J1887" s="3">
        <v>0</v>
      </c>
      <c r="K1887" s="3">
        <v>0</v>
      </c>
      <c r="L1887" s="3">
        <f t="shared" si="88"/>
        <v>0</v>
      </c>
      <c r="M1887" s="3"/>
      <c r="N1887" s="3">
        <f t="shared" si="89"/>
        <v>0</v>
      </c>
      <c r="R1887" s="89"/>
      <c r="S1887" s="89">
        <f>100%-Table34[[#This Row],[PDF_initial fee]]</f>
        <v>1</v>
      </c>
      <c r="T1887" s="89"/>
      <c r="U1887" s="26"/>
    </row>
    <row r="1888" spans="1:21" hidden="1" x14ac:dyDescent="0.25">
      <c r="A1888">
        <v>459324</v>
      </c>
      <c r="B1888" t="s">
        <v>2225</v>
      </c>
      <c r="C1888" t="s">
        <v>11174</v>
      </c>
      <c r="D1888">
        <v>7</v>
      </c>
      <c r="E1888" t="s">
        <v>2225</v>
      </c>
      <c r="G1888" s="3"/>
      <c r="H1888" s="21">
        <v>0</v>
      </c>
      <c r="I1888" s="21">
        <v>0</v>
      </c>
      <c r="J1888" s="21">
        <v>0</v>
      </c>
      <c r="K1888" s="21">
        <v>0</v>
      </c>
      <c r="L1888" s="3">
        <f t="shared" si="88"/>
        <v>0</v>
      </c>
      <c r="M1888" s="3"/>
      <c r="N1888" s="3">
        <f t="shared" si="89"/>
        <v>0</v>
      </c>
      <c r="R1888" s="89"/>
      <c r="S1888" s="89">
        <f>100%-Table34[[#This Row],[PDF_initial fee]]</f>
        <v>1</v>
      </c>
      <c r="T1888" s="89"/>
      <c r="U1888" s="26"/>
    </row>
    <row r="1889" spans="1:27" hidden="1" x14ac:dyDescent="0.25">
      <c r="A1889">
        <v>459336</v>
      </c>
      <c r="B1889" t="s">
        <v>2226</v>
      </c>
      <c r="C1889" t="s">
        <v>30086</v>
      </c>
      <c r="D1889">
        <v>2</v>
      </c>
      <c r="E1889" t="s">
        <v>2226</v>
      </c>
      <c r="G1889" s="3"/>
      <c r="H1889" s="21"/>
      <c r="I1889" s="3"/>
      <c r="J1889" s="3"/>
      <c r="L1889" s="3">
        <f t="shared" si="88"/>
        <v>0</v>
      </c>
      <c r="M1889" s="3"/>
      <c r="N1889" s="3">
        <f t="shared" si="89"/>
        <v>0</v>
      </c>
      <c r="R1889" s="89"/>
      <c r="S1889" s="89">
        <f>100%-Table34[[#This Row],[PDF_initial fee]]</f>
        <v>1</v>
      </c>
      <c r="T1889" s="89"/>
      <c r="U1889" s="26"/>
    </row>
    <row r="1890" spans="1:27" hidden="1" x14ac:dyDescent="0.25">
      <c r="A1890">
        <v>459445</v>
      </c>
      <c r="B1890" t="s">
        <v>2227</v>
      </c>
      <c r="C1890" t="s">
        <v>30087</v>
      </c>
      <c r="D1890">
        <v>1</v>
      </c>
      <c r="E1890" t="s">
        <v>2227</v>
      </c>
      <c r="G1890" s="3"/>
      <c r="H1890" s="21">
        <v>0</v>
      </c>
      <c r="I1890" s="21">
        <v>0</v>
      </c>
      <c r="J1890" s="21">
        <v>0</v>
      </c>
      <c r="K1890" s="21">
        <v>0</v>
      </c>
      <c r="L1890" s="3">
        <f t="shared" si="88"/>
        <v>0</v>
      </c>
      <c r="M1890" s="3"/>
      <c r="N1890" s="3">
        <f t="shared" si="89"/>
        <v>0</v>
      </c>
      <c r="O1890" s="21"/>
      <c r="R1890" s="89"/>
      <c r="S1890" s="89">
        <f>100%-Table34[[#This Row],[PDF_initial fee]]</f>
        <v>1</v>
      </c>
      <c r="T1890" s="89"/>
      <c r="U1890" s="26"/>
    </row>
    <row r="1891" spans="1:27" x14ac:dyDescent="0.25">
      <c r="A1891">
        <v>402217</v>
      </c>
      <c r="B1891" t="s">
        <v>144</v>
      </c>
      <c r="C1891" s="1" t="s">
        <v>30088</v>
      </c>
      <c r="D1891">
        <v>4</v>
      </c>
      <c r="E1891" t="s">
        <v>144</v>
      </c>
      <c r="F1891" t="s">
        <v>3</v>
      </c>
      <c r="G1891" s="3">
        <v>1.4E-3</v>
      </c>
      <c r="H1891" s="3">
        <v>0.02</v>
      </c>
      <c r="I1891" s="3">
        <v>7.4999999999999997E-3</v>
      </c>
      <c r="J1891" s="6">
        <v>0</v>
      </c>
      <c r="K1891" s="6">
        <v>0</v>
      </c>
      <c r="L1891" s="3">
        <f t="shared" si="88"/>
        <v>2.75E-2</v>
      </c>
      <c r="M1891" s="3"/>
      <c r="N1891" s="3">
        <f t="shared" si="89"/>
        <v>2.8899999999999999E-2</v>
      </c>
      <c r="P1891" s="1" t="s">
        <v>30089</v>
      </c>
      <c r="Q1891" t="s">
        <v>31787</v>
      </c>
      <c r="R1891" s="89">
        <v>0.33333333333333348</v>
      </c>
      <c r="S1891" s="89">
        <f>100%-Table34[[#This Row],[InitialFee]]</f>
        <v>0.98</v>
      </c>
      <c r="T1891" s="89">
        <f>(1-Table34[[#This Row],[OngoingFee (plus Platform fee)]])^5</f>
        <v>0.9630582970465823</v>
      </c>
      <c r="U1891" s="26">
        <f>(1+Table34[[#This Row],[Net 5yrs return (mostly up to 28th of Feb 2026)]])*Table34[[#This Row],[Investment after initial charge]]*Table34[[#This Row],[Cummulative 5yrs ongoing advice charge]]-1</f>
        <v>0.2583961748075343</v>
      </c>
      <c r="V1891" s="10">
        <f>44801+1912114</f>
        <v>1956915</v>
      </c>
      <c r="W1891" t="s">
        <v>29051</v>
      </c>
      <c r="X1891" s="10">
        <v>1629526</v>
      </c>
      <c r="Y1891" s="30">
        <f>X1891/V1891</f>
        <v>0.83270147144868323</v>
      </c>
      <c r="AA1891" s="1" t="s">
        <v>30090</v>
      </c>
    </row>
    <row r="1892" spans="1:27" hidden="1" x14ac:dyDescent="0.25">
      <c r="A1892">
        <v>459533</v>
      </c>
      <c r="B1892" t="s">
        <v>2228</v>
      </c>
      <c r="C1892" t="s">
        <v>30091</v>
      </c>
      <c r="D1892">
        <v>2</v>
      </c>
      <c r="E1892" t="s">
        <v>2228</v>
      </c>
      <c r="G1892" s="3"/>
      <c r="H1892" s="3">
        <v>0</v>
      </c>
      <c r="I1892" s="3">
        <v>0</v>
      </c>
      <c r="J1892" s="3">
        <v>0</v>
      </c>
      <c r="K1892" s="3">
        <v>0</v>
      </c>
      <c r="L1892" s="3">
        <f t="shared" si="88"/>
        <v>0</v>
      </c>
      <c r="M1892" s="3"/>
      <c r="N1892" s="3">
        <f t="shared" si="89"/>
        <v>0</v>
      </c>
      <c r="R1892" s="89"/>
      <c r="S1892" s="89">
        <f>100%-Table34[[#This Row],[PDF_initial fee]]</f>
        <v>1</v>
      </c>
      <c r="T1892" s="89"/>
      <c r="U1892" s="26"/>
    </row>
    <row r="1893" spans="1:27" hidden="1" x14ac:dyDescent="0.25">
      <c r="A1893">
        <v>459583</v>
      </c>
      <c r="B1893" t="s">
        <v>2229</v>
      </c>
      <c r="C1893" t="s">
        <v>8428</v>
      </c>
      <c r="D1893">
        <v>1</v>
      </c>
      <c r="E1893" t="s">
        <v>2229</v>
      </c>
      <c r="G1893" s="3"/>
      <c r="H1893" s="21">
        <v>0</v>
      </c>
      <c r="I1893" s="21">
        <v>0</v>
      </c>
      <c r="J1893" s="21">
        <v>0</v>
      </c>
      <c r="K1893" s="21">
        <v>0</v>
      </c>
      <c r="L1893" s="3">
        <f t="shared" si="88"/>
        <v>0</v>
      </c>
      <c r="M1893" s="3"/>
      <c r="N1893" s="3">
        <f t="shared" si="89"/>
        <v>0</v>
      </c>
      <c r="R1893" s="89"/>
      <c r="S1893" s="89">
        <f>100%-Table34[[#This Row],[PDF_initial fee]]</f>
        <v>1</v>
      </c>
      <c r="T1893" s="89"/>
      <c r="U1893" s="26"/>
    </row>
    <row r="1894" spans="1:27" hidden="1" x14ac:dyDescent="0.25">
      <c r="A1894">
        <v>459612</v>
      </c>
      <c r="B1894" t="s">
        <v>2230</v>
      </c>
      <c r="C1894" t="s">
        <v>11238</v>
      </c>
      <c r="D1894">
        <v>1</v>
      </c>
      <c r="E1894" t="s">
        <v>2230</v>
      </c>
      <c r="G1894" s="3"/>
      <c r="H1894" s="21">
        <v>0</v>
      </c>
      <c r="I1894" s="21">
        <v>0</v>
      </c>
      <c r="J1894" s="21">
        <v>0</v>
      </c>
      <c r="K1894" s="21">
        <v>0</v>
      </c>
      <c r="L1894" s="3">
        <f t="shared" si="88"/>
        <v>0</v>
      </c>
      <c r="M1894" s="3"/>
      <c r="N1894" s="3">
        <f t="shared" si="89"/>
        <v>0</v>
      </c>
      <c r="R1894" s="89"/>
      <c r="S1894" s="89">
        <f>100%-Table34[[#This Row],[PDF_initial fee]]</f>
        <v>1</v>
      </c>
      <c r="T1894" s="89"/>
      <c r="U1894" s="26"/>
    </row>
    <row r="1895" spans="1:27" hidden="1" x14ac:dyDescent="0.25">
      <c r="A1895">
        <v>459623</v>
      </c>
      <c r="B1895" t="s">
        <v>2231</v>
      </c>
      <c r="C1895" t="s">
        <v>12328</v>
      </c>
      <c r="D1895">
        <v>2</v>
      </c>
      <c r="E1895" t="s">
        <v>2231</v>
      </c>
      <c r="G1895" s="3"/>
      <c r="H1895" s="21">
        <v>0</v>
      </c>
      <c r="I1895" s="21">
        <v>0</v>
      </c>
      <c r="J1895" s="21">
        <v>0</v>
      </c>
      <c r="K1895" s="21">
        <v>0</v>
      </c>
      <c r="L1895" s="3">
        <f t="shared" si="88"/>
        <v>0</v>
      </c>
      <c r="M1895" s="3"/>
      <c r="N1895" s="3">
        <f t="shared" si="89"/>
        <v>0</v>
      </c>
      <c r="R1895" s="89"/>
      <c r="S1895" s="89">
        <f>100%-Table34[[#This Row],[PDF_initial fee]]</f>
        <v>1</v>
      </c>
      <c r="T1895" s="89"/>
      <c r="U1895" s="26"/>
    </row>
    <row r="1896" spans="1:27" hidden="1" x14ac:dyDescent="0.25">
      <c r="A1896">
        <v>459628</v>
      </c>
      <c r="B1896" t="s">
        <v>2232</v>
      </c>
      <c r="C1896" t="s">
        <v>6958</v>
      </c>
      <c r="D1896">
        <v>1</v>
      </c>
      <c r="E1896" t="s">
        <v>2232</v>
      </c>
      <c r="F1896" t="s">
        <v>6958</v>
      </c>
      <c r="G1896" s="3"/>
      <c r="H1896" s="21">
        <v>0</v>
      </c>
      <c r="I1896" s="21">
        <v>0</v>
      </c>
      <c r="J1896" s="21">
        <v>0</v>
      </c>
      <c r="K1896" s="21">
        <v>0</v>
      </c>
      <c r="L1896" s="3">
        <f t="shared" si="88"/>
        <v>0</v>
      </c>
      <c r="M1896" s="3"/>
      <c r="N1896" s="3">
        <f t="shared" si="89"/>
        <v>0</v>
      </c>
      <c r="R1896" s="89"/>
      <c r="S1896" s="89">
        <f>100%-Table34[[#This Row],[PDF_initial fee]]</f>
        <v>1</v>
      </c>
      <c r="T1896" s="89"/>
      <c r="U1896" s="26"/>
    </row>
    <row r="1897" spans="1:27" hidden="1" x14ac:dyDescent="0.25">
      <c r="A1897">
        <v>459631</v>
      </c>
      <c r="B1897" t="s">
        <v>2233</v>
      </c>
      <c r="C1897" t="s">
        <v>6958</v>
      </c>
      <c r="D1897">
        <v>9</v>
      </c>
      <c r="E1897" t="s">
        <v>2233</v>
      </c>
      <c r="F1897" t="s">
        <v>6958</v>
      </c>
      <c r="G1897" s="3"/>
      <c r="H1897" s="21">
        <v>0</v>
      </c>
      <c r="I1897" s="21">
        <v>0</v>
      </c>
      <c r="J1897" s="21">
        <v>0</v>
      </c>
      <c r="K1897" s="21">
        <v>0</v>
      </c>
      <c r="L1897" s="3">
        <f t="shared" si="88"/>
        <v>0</v>
      </c>
      <c r="M1897" s="3"/>
      <c r="N1897" s="3">
        <f t="shared" si="89"/>
        <v>0</v>
      </c>
      <c r="R1897" s="89"/>
      <c r="S1897" s="89">
        <f>100%-Table34[[#This Row],[PDF_initial fee]]</f>
        <v>1</v>
      </c>
      <c r="T1897" s="89"/>
      <c r="U1897" s="26"/>
    </row>
    <row r="1898" spans="1:27" hidden="1" x14ac:dyDescent="0.25">
      <c r="A1898">
        <v>459749</v>
      </c>
      <c r="B1898" t="s">
        <v>2234</v>
      </c>
      <c r="C1898" t="s">
        <v>8479</v>
      </c>
      <c r="D1898">
        <v>1</v>
      </c>
      <c r="E1898" t="s">
        <v>2234</v>
      </c>
      <c r="G1898" s="3"/>
      <c r="H1898" s="21">
        <v>0</v>
      </c>
      <c r="I1898" s="21">
        <v>0</v>
      </c>
      <c r="J1898" s="21">
        <v>0</v>
      </c>
      <c r="K1898" s="21">
        <v>0</v>
      </c>
      <c r="L1898" s="3">
        <f t="shared" si="88"/>
        <v>0</v>
      </c>
      <c r="M1898" s="3"/>
      <c r="N1898" s="3">
        <f t="shared" si="89"/>
        <v>0</v>
      </c>
      <c r="R1898" s="89"/>
      <c r="S1898" s="89">
        <f>100%-Table34[[#This Row],[PDF_initial fee]]</f>
        <v>1</v>
      </c>
      <c r="T1898" s="89"/>
      <c r="U1898" s="26"/>
    </row>
    <row r="1899" spans="1:27" hidden="1" x14ac:dyDescent="0.25">
      <c r="A1899">
        <v>459771</v>
      </c>
      <c r="B1899" t="s">
        <v>2235</v>
      </c>
      <c r="C1899" t="s">
        <v>12438</v>
      </c>
      <c r="D1899">
        <v>6</v>
      </c>
      <c r="E1899" t="s">
        <v>2235</v>
      </c>
      <c r="G1899" s="3"/>
      <c r="H1899" s="21">
        <v>0</v>
      </c>
      <c r="I1899" s="21">
        <v>0</v>
      </c>
      <c r="J1899" s="21">
        <v>0</v>
      </c>
      <c r="K1899" s="21">
        <v>0</v>
      </c>
      <c r="L1899" s="3">
        <f t="shared" si="88"/>
        <v>0</v>
      </c>
      <c r="M1899" s="3"/>
      <c r="N1899" s="3">
        <f t="shared" si="89"/>
        <v>0</v>
      </c>
      <c r="R1899" s="89"/>
      <c r="S1899" s="89">
        <f>100%-Table34[[#This Row],[PDF_initial fee]]</f>
        <v>1</v>
      </c>
      <c r="T1899" s="89"/>
      <c r="U1899" s="26"/>
    </row>
    <row r="1900" spans="1:27" hidden="1" x14ac:dyDescent="0.25">
      <c r="A1900">
        <v>459776</v>
      </c>
      <c r="B1900" t="s">
        <v>2236</v>
      </c>
      <c r="C1900" t="s">
        <v>6958</v>
      </c>
      <c r="D1900">
        <v>2</v>
      </c>
      <c r="E1900" t="s">
        <v>2236</v>
      </c>
      <c r="F1900" t="s">
        <v>6958</v>
      </c>
      <c r="G1900" s="3"/>
      <c r="H1900" s="21">
        <v>0</v>
      </c>
      <c r="I1900" s="21">
        <v>0</v>
      </c>
      <c r="J1900" s="21">
        <v>0</v>
      </c>
      <c r="K1900" s="21">
        <v>0</v>
      </c>
      <c r="L1900" s="3">
        <f t="shared" si="88"/>
        <v>0</v>
      </c>
      <c r="M1900" s="3"/>
      <c r="N1900" s="3">
        <f t="shared" si="89"/>
        <v>0</v>
      </c>
      <c r="R1900" s="89"/>
      <c r="S1900" s="89">
        <f>100%-Table34[[#This Row],[PDF_initial fee]]</f>
        <v>1</v>
      </c>
      <c r="T1900" s="89"/>
      <c r="U1900" s="26"/>
    </row>
    <row r="1901" spans="1:27" hidden="1" x14ac:dyDescent="0.25">
      <c r="A1901">
        <v>459794</v>
      </c>
      <c r="B1901" t="s">
        <v>2237</v>
      </c>
      <c r="C1901" t="s">
        <v>6958</v>
      </c>
      <c r="D1901">
        <v>1</v>
      </c>
      <c r="E1901" t="s">
        <v>2237</v>
      </c>
      <c r="F1901" t="s">
        <v>6958</v>
      </c>
      <c r="G1901" s="3"/>
      <c r="H1901" s="21">
        <v>0</v>
      </c>
      <c r="I1901" s="21">
        <v>0</v>
      </c>
      <c r="J1901" s="21">
        <v>0</v>
      </c>
      <c r="K1901" s="21">
        <v>0</v>
      </c>
      <c r="L1901" s="3">
        <f t="shared" si="88"/>
        <v>0</v>
      </c>
      <c r="M1901" s="3"/>
      <c r="N1901" s="3">
        <f t="shared" si="89"/>
        <v>0</v>
      </c>
      <c r="R1901" s="89"/>
      <c r="S1901" s="89">
        <f>100%-Table34[[#This Row],[PDF_initial fee]]</f>
        <v>1</v>
      </c>
      <c r="T1901" s="89"/>
      <c r="U1901" s="26"/>
    </row>
    <row r="1902" spans="1:27" hidden="1" x14ac:dyDescent="0.25">
      <c r="A1902">
        <v>459871</v>
      </c>
      <c r="B1902" t="s">
        <v>2238</v>
      </c>
      <c r="C1902" t="s">
        <v>6958</v>
      </c>
      <c r="D1902">
        <v>2</v>
      </c>
      <c r="E1902" t="s">
        <v>2238</v>
      </c>
      <c r="F1902" t="s">
        <v>6958</v>
      </c>
      <c r="G1902" s="3"/>
      <c r="H1902" s="21">
        <v>0</v>
      </c>
      <c r="I1902" s="21">
        <v>0</v>
      </c>
      <c r="J1902" s="21">
        <v>0</v>
      </c>
      <c r="K1902" s="21">
        <v>0</v>
      </c>
      <c r="L1902" s="3">
        <f t="shared" si="88"/>
        <v>0</v>
      </c>
      <c r="M1902" s="3"/>
      <c r="N1902" s="3">
        <f t="shared" si="89"/>
        <v>0</v>
      </c>
      <c r="R1902" s="89"/>
      <c r="S1902" s="89">
        <f>100%-Table34[[#This Row],[PDF_initial fee]]</f>
        <v>1</v>
      </c>
      <c r="T1902" s="89"/>
      <c r="U1902" s="26"/>
    </row>
    <row r="1903" spans="1:27" hidden="1" x14ac:dyDescent="0.25">
      <c r="A1903">
        <v>459969</v>
      </c>
      <c r="B1903" t="s">
        <v>2239</v>
      </c>
      <c r="C1903" t="s">
        <v>30092</v>
      </c>
      <c r="D1903">
        <v>2</v>
      </c>
      <c r="E1903" t="s">
        <v>2239</v>
      </c>
      <c r="G1903" s="3"/>
      <c r="H1903" s="21">
        <v>0</v>
      </c>
      <c r="I1903" s="21">
        <v>0</v>
      </c>
      <c r="J1903" s="21">
        <v>0</v>
      </c>
      <c r="K1903" s="21">
        <v>0</v>
      </c>
      <c r="L1903" s="3">
        <f t="shared" si="88"/>
        <v>0</v>
      </c>
      <c r="M1903" s="3"/>
      <c r="N1903" s="3">
        <f t="shared" si="89"/>
        <v>0</v>
      </c>
      <c r="O1903" s="21"/>
      <c r="R1903" s="89"/>
      <c r="S1903" s="89">
        <f>100%-Table34[[#This Row],[PDF_initial fee]]</f>
        <v>1</v>
      </c>
      <c r="T1903" s="89"/>
      <c r="U1903" s="26"/>
    </row>
    <row r="1904" spans="1:27" hidden="1" x14ac:dyDescent="0.25">
      <c r="A1904">
        <v>460001</v>
      </c>
      <c r="B1904" t="s">
        <v>2240</v>
      </c>
      <c r="C1904" t="s">
        <v>30093</v>
      </c>
      <c r="D1904">
        <v>2</v>
      </c>
      <c r="E1904" t="s">
        <v>2240</v>
      </c>
      <c r="G1904" s="3"/>
      <c r="H1904" s="3">
        <v>0</v>
      </c>
      <c r="I1904" s="3">
        <v>0</v>
      </c>
      <c r="J1904" s="3">
        <v>0</v>
      </c>
      <c r="K1904" s="3">
        <v>0</v>
      </c>
      <c r="L1904" s="3">
        <f t="shared" si="88"/>
        <v>0</v>
      </c>
      <c r="M1904" s="3"/>
      <c r="N1904" s="3">
        <f t="shared" si="89"/>
        <v>0</v>
      </c>
      <c r="R1904" s="89"/>
      <c r="S1904" s="89">
        <f>100%-Table34[[#This Row],[PDF_initial fee]]</f>
        <v>1</v>
      </c>
      <c r="T1904" s="89"/>
      <c r="U1904" s="26"/>
    </row>
    <row r="1905" spans="1:27" hidden="1" x14ac:dyDescent="0.25">
      <c r="A1905">
        <v>460024</v>
      </c>
      <c r="B1905" t="s">
        <v>2241</v>
      </c>
      <c r="C1905" t="s">
        <v>6958</v>
      </c>
      <c r="D1905">
        <v>0</v>
      </c>
      <c r="E1905" t="s">
        <v>2241</v>
      </c>
      <c r="F1905" t="s">
        <v>6958</v>
      </c>
      <c r="G1905" s="3"/>
      <c r="H1905" s="21">
        <v>0</v>
      </c>
      <c r="I1905" s="21">
        <v>0</v>
      </c>
      <c r="J1905" s="21">
        <v>0</v>
      </c>
      <c r="K1905" s="21">
        <v>0</v>
      </c>
      <c r="L1905" s="3">
        <f t="shared" ref="L1905:L1936" si="90">SUM(H1905:K1905)</f>
        <v>0</v>
      </c>
      <c r="M1905" s="3"/>
      <c r="N1905" s="3">
        <f t="shared" ref="N1905:N1938" si="91">L1905+G1905</f>
        <v>0</v>
      </c>
      <c r="R1905" s="89"/>
      <c r="S1905" s="89">
        <f>100%-Table34[[#This Row],[PDF_initial fee]]</f>
        <v>1</v>
      </c>
      <c r="T1905" s="89"/>
      <c r="U1905" s="26"/>
    </row>
    <row r="1906" spans="1:27" hidden="1" x14ac:dyDescent="0.25">
      <c r="A1906">
        <v>460028</v>
      </c>
      <c r="B1906" t="s">
        <v>2242</v>
      </c>
      <c r="C1906" t="s">
        <v>6958</v>
      </c>
      <c r="D1906">
        <v>1</v>
      </c>
      <c r="E1906" t="s">
        <v>2242</v>
      </c>
      <c r="F1906" t="s">
        <v>6958</v>
      </c>
      <c r="G1906" s="3"/>
      <c r="H1906" s="21">
        <v>0</v>
      </c>
      <c r="I1906" s="21">
        <v>0</v>
      </c>
      <c r="J1906" s="21">
        <v>0</v>
      </c>
      <c r="K1906" s="21">
        <v>0</v>
      </c>
      <c r="L1906" s="3">
        <f t="shared" si="90"/>
        <v>0</v>
      </c>
      <c r="M1906" s="3"/>
      <c r="N1906" s="3">
        <f t="shared" si="91"/>
        <v>0</v>
      </c>
      <c r="R1906" s="89"/>
      <c r="S1906" s="89">
        <f>100%-Table34[[#This Row],[PDF_initial fee]]</f>
        <v>1</v>
      </c>
      <c r="T1906" s="89"/>
      <c r="U1906" s="26"/>
    </row>
    <row r="1907" spans="1:27" hidden="1" x14ac:dyDescent="0.25">
      <c r="A1907">
        <v>460046</v>
      </c>
      <c r="B1907" t="s">
        <v>2243</v>
      </c>
      <c r="C1907" t="s">
        <v>6958</v>
      </c>
      <c r="D1907">
        <v>1</v>
      </c>
      <c r="E1907" t="s">
        <v>2243</v>
      </c>
      <c r="F1907" t="s">
        <v>6958</v>
      </c>
      <c r="G1907" s="3"/>
      <c r="H1907" s="21">
        <v>0</v>
      </c>
      <c r="I1907" s="21">
        <v>0</v>
      </c>
      <c r="J1907" s="21">
        <v>0</v>
      </c>
      <c r="K1907" s="21">
        <v>0</v>
      </c>
      <c r="L1907" s="3">
        <f t="shared" si="90"/>
        <v>0</v>
      </c>
      <c r="M1907" s="3"/>
      <c r="N1907" s="3">
        <f t="shared" si="91"/>
        <v>0</v>
      </c>
      <c r="R1907" s="89"/>
      <c r="S1907" s="89">
        <f>100%-Table34[[#This Row],[PDF_initial fee]]</f>
        <v>1</v>
      </c>
      <c r="T1907" s="89"/>
      <c r="U1907" s="26"/>
    </row>
    <row r="1908" spans="1:27" hidden="1" x14ac:dyDescent="0.25">
      <c r="A1908">
        <v>460094</v>
      </c>
      <c r="B1908" t="s">
        <v>2244</v>
      </c>
      <c r="C1908" t="s">
        <v>9606</v>
      </c>
      <c r="D1908">
        <v>3</v>
      </c>
      <c r="E1908" t="s">
        <v>2244</v>
      </c>
      <c r="G1908" s="3"/>
      <c r="H1908" s="67"/>
      <c r="I1908" s="64"/>
      <c r="J1908" s="64"/>
      <c r="K1908" s="64"/>
      <c r="L1908" s="3">
        <f t="shared" si="90"/>
        <v>0</v>
      </c>
      <c r="M1908" s="3"/>
      <c r="N1908" s="3">
        <f t="shared" si="91"/>
        <v>0</v>
      </c>
      <c r="R1908" s="89"/>
      <c r="S1908" s="89">
        <f>100%-Table34[[#This Row],[PDF_initial fee]]</f>
        <v>1</v>
      </c>
      <c r="T1908" s="89"/>
      <c r="U1908" s="26"/>
    </row>
    <row r="1909" spans="1:27" hidden="1" x14ac:dyDescent="0.25">
      <c r="A1909">
        <v>460190</v>
      </c>
      <c r="B1909" t="s">
        <v>2245</v>
      </c>
      <c r="C1909" t="s">
        <v>6958</v>
      </c>
      <c r="D1909">
        <v>0</v>
      </c>
      <c r="E1909" t="s">
        <v>2245</v>
      </c>
      <c r="F1909" t="s">
        <v>6958</v>
      </c>
      <c r="G1909" s="3"/>
      <c r="H1909" s="21">
        <v>0</v>
      </c>
      <c r="I1909" s="21">
        <v>0</v>
      </c>
      <c r="J1909" s="21">
        <v>0</v>
      </c>
      <c r="K1909" s="21">
        <v>0</v>
      </c>
      <c r="L1909" s="3">
        <f t="shared" si="90"/>
        <v>0</v>
      </c>
      <c r="M1909" s="3"/>
      <c r="N1909" s="3">
        <f t="shared" si="91"/>
        <v>0</v>
      </c>
      <c r="R1909" s="89"/>
      <c r="S1909" s="89">
        <f>100%-Table34[[#This Row],[PDF_initial fee]]</f>
        <v>1</v>
      </c>
      <c r="T1909" s="89"/>
      <c r="U1909" s="26"/>
    </row>
    <row r="1910" spans="1:27" hidden="1" x14ac:dyDescent="0.25">
      <c r="A1910">
        <v>460195</v>
      </c>
      <c r="B1910" t="s">
        <v>2246</v>
      </c>
      <c r="C1910" t="s">
        <v>30094</v>
      </c>
      <c r="D1910">
        <v>7</v>
      </c>
      <c r="E1910" t="s">
        <v>2246</v>
      </c>
      <c r="G1910" s="3"/>
      <c r="H1910" s="3">
        <v>0</v>
      </c>
      <c r="I1910" s="3">
        <v>0</v>
      </c>
      <c r="J1910" s="3">
        <v>0</v>
      </c>
      <c r="K1910" s="3">
        <v>0</v>
      </c>
      <c r="L1910" s="3">
        <f t="shared" si="90"/>
        <v>0</v>
      </c>
      <c r="M1910" s="3"/>
      <c r="N1910" s="3">
        <f t="shared" si="91"/>
        <v>0</v>
      </c>
      <c r="R1910" s="89"/>
      <c r="S1910" s="89">
        <f>100%-Table34[[#This Row],[PDF_initial fee]]</f>
        <v>1</v>
      </c>
      <c r="T1910" s="89"/>
      <c r="U1910" s="26"/>
    </row>
    <row r="1911" spans="1:27" hidden="1" x14ac:dyDescent="0.25">
      <c r="A1911">
        <v>460215</v>
      </c>
      <c r="B1911" t="s">
        <v>2247</v>
      </c>
      <c r="C1911" t="s">
        <v>6958</v>
      </c>
      <c r="D1911">
        <v>1</v>
      </c>
      <c r="E1911" t="s">
        <v>2247</v>
      </c>
      <c r="F1911" t="s">
        <v>6958</v>
      </c>
      <c r="G1911" s="3"/>
      <c r="L1911" s="3">
        <f t="shared" si="90"/>
        <v>0</v>
      </c>
      <c r="M1911" s="3"/>
      <c r="N1911" s="3">
        <f t="shared" si="91"/>
        <v>0</v>
      </c>
      <c r="R1911" s="89"/>
      <c r="S1911" s="89">
        <f>100%-Table34[[#This Row],[PDF_initial fee]]</f>
        <v>1</v>
      </c>
      <c r="T1911" s="89"/>
      <c r="U1911" s="26"/>
    </row>
    <row r="1912" spans="1:27" hidden="1" x14ac:dyDescent="0.25">
      <c r="A1912">
        <v>460236</v>
      </c>
      <c r="B1912" t="s">
        <v>2248</v>
      </c>
      <c r="C1912" t="s">
        <v>6958</v>
      </c>
      <c r="D1912">
        <v>1</v>
      </c>
      <c r="E1912" t="s">
        <v>2248</v>
      </c>
      <c r="F1912" t="s">
        <v>6958</v>
      </c>
      <c r="G1912" s="3"/>
      <c r="H1912" s="21">
        <v>0</v>
      </c>
      <c r="I1912" s="21">
        <v>0</v>
      </c>
      <c r="J1912" s="21">
        <v>0</v>
      </c>
      <c r="K1912" s="21">
        <v>0</v>
      </c>
      <c r="L1912" s="3">
        <f t="shared" si="90"/>
        <v>0</v>
      </c>
      <c r="M1912" s="3"/>
      <c r="N1912" s="3">
        <f t="shared" si="91"/>
        <v>0</v>
      </c>
      <c r="R1912" s="89"/>
      <c r="S1912" s="89">
        <f>100%-Table34[[#This Row],[PDF_initial fee]]</f>
        <v>1</v>
      </c>
      <c r="T1912" s="89"/>
      <c r="U1912" s="26"/>
    </row>
    <row r="1913" spans="1:27" hidden="1" x14ac:dyDescent="0.25">
      <c r="A1913">
        <v>460399</v>
      </c>
      <c r="B1913" t="s">
        <v>2249</v>
      </c>
      <c r="C1913" t="s">
        <v>10671</v>
      </c>
      <c r="D1913">
        <v>21</v>
      </c>
      <c r="E1913" t="s">
        <v>2249</v>
      </c>
      <c r="G1913" s="3"/>
      <c r="H1913" s="21">
        <v>0</v>
      </c>
      <c r="I1913" s="21">
        <v>0</v>
      </c>
      <c r="J1913" s="21">
        <v>0</v>
      </c>
      <c r="K1913" s="21">
        <v>0</v>
      </c>
      <c r="L1913" s="3">
        <f t="shared" si="90"/>
        <v>0</v>
      </c>
      <c r="M1913" s="3"/>
      <c r="N1913" s="3">
        <f t="shared" si="91"/>
        <v>0</v>
      </c>
      <c r="R1913" s="89"/>
      <c r="S1913" s="89">
        <f>100%-Table34[[#This Row],[PDF_initial fee]]</f>
        <v>1</v>
      </c>
      <c r="T1913" s="89"/>
      <c r="U1913" s="26"/>
    </row>
    <row r="1914" spans="1:27" hidden="1" x14ac:dyDescent="0.25">
      <c r="A1914">
        <v>460421</v>
      </c>
      <c r="B1914" t="s">
        <v>2250</v>
      </c>
      <c r="C1914" t="s">
        <v>10710</v>
      </c>
      <c r="D1914">
        <v>93</v>
      </c>
      <c r="E1914" t="s">
        <v>2250</v>
      </c>
      <c r="F1914" t="s">
        <v>3</v>
      </c>
      <c r="G1914" s="3"/>
      <c r="H1914" s="21">
        <v>0</v>
      </c>
      <c r="I1914" s="21">
        <v>0</v>
      </c>
      <c r="J1914" s="21">
        <v>0</v>
      </c>
      <c r="K1914" s="21">
        <v>0</v>
      </c>
      <c r="L1914" s="3">
        <f t="shared" si="90"/>
        <v>0</v>
      </c>
      <c r="M1914" s="3"/>
      <c r="N1914" s="3">
        <f t="shared" si="91"/>
        <v>0</v>
      </c>
      <c r="R1914" s="89"/>
      <c r="S1914" s="89">
        <f>100%-Table34[[#This Row],[PDF_initial fee]]</f>
        <v>1</v>
      </c>
      <c r="T1914" s="89"/>
      <c r="U1914" s="26"/>
    </row>
    <row r="1915" spans="1:27" hidden="1" x14ac:dyDescent="0.25">
      <c r="A1915">
        <v>460457</v>
      </c>
      <c r="B1915" t="s">
        <v>2251</v>
      </c>
      <c r="C1915" t="s">
        <v>8813</v>
      </c>
      <c r="D1915">
        <v>1</v>
      </c>
      <c r="E1915" t="s">
        <v>2251</v>
      </c>
      <c r="G1915" s="3"/>
      <c r="H1915" s="21">
        <v>0</v>
      </c>
      <c r="I1915" s="21">
        <v>0</v>
      </c>
      <c r="J1915" s="21">
        <v>0</v>
      </c>
      <c r="K1915" s="21">
        <v>0</v>
      </c>
      <c r="L1915" s="3">
        <f t="shared" si="90"/>
        <v>0</v>
      </c>
      <c r="M1915" s="3"/>
      <c r="N1915" s="3">
        <f t="shared" si="91"/>
        <v>0</v>
      </c>
      <c r="R1915" s="89"/>
      <c r="S1915" s="89">
        <f>100%-Table34[[#This Row],[PDF_initial fee]]</f>
        <v>1</v>
      </c>
      <c r="T1915" s="89"/>
      <c r="U1915" s="26"/>
    </row>
    <row r="1916" spans="1:27" hidden="1" x14ac:dyDescent="0.25">
      <c r="A1916">
        <v>460510</v>
      </c>
      <c r="B1916" t="s">
        <v>2252</v>
      </c>
      <c r="C1916" t="s">
        <v>6958</v>
      </c>
      <c r="D1916">
        <v>4</v>
      </c>
      <c r="E1916" t="s">
        <v>2252</v>
      </c>
      <c r="F1916" t="s">
        <v>6958</v>
      </c>
      <c r="G1916" s="3"/>
      <c r="H1916" s="21">
        <v>0</v>
      </c>
      <c r="I1916" s="21">
        <v>0</v>
      </c>
      <c r="J1916" s="21">
        <v>0</v>
      </c>
      <c r="K1916" s="21">
        <v>0</v>
      </c>
      <c r="L1916" s="3">
        <f t="shared" si="90"/>
        <v>0</v>
      </c>
      <c r="M1916" s="3"/>
      <c r="N1916" s="3">
        <f t="shared" si="91"/>
        <v>0</v>
      </c>
      <c r="R1916" s="89"/>
      <c r="S1916" s="89">
        <f>100%-Table34[[#This Row],[PDF_initial fee]]</f>
        <v>1</v>
      </c>
      <c r="T1916" s="89"/>
      <c r="U1916" s="26"/>
    </row>
    <row r="1917" spans="1:27" x14ac:dyDescent="0.25">
      <c r="A1917">
        <v>124255</v>
      </c>
      <c r="B1917" t="s">
        <v>26</v>
      </c>
      <c r="C1917" t="s">
        <v>30095</v>
      </c>
      <c r="D1917">
        <v>173</v>
      </c>
      <c r="E1917" t="s">
        <v>26</v>
      </c>
      <c r="F1917" t="s">
        <v>6</v>
      </c>
      <c r="G1917" s="3">
        <v>1.2200000000000001E-2</v>
      </c>
      <c r="H1917" s="3">
        <v>0.02</v>
      </c>
      <c r="I1917" s="3">
        <v>4.0000000000000001E-3</v>
      </c>
      <c r="J1917" s="6">
        <v>0</v>
      </c>
      <c r="K1917" s="6">
        <v>0</v>
      </c>
      <c r="L1917" s="3">
        <f t="shared" si="90"/>
        <v>2.4E-2</v>
      </c>
      <c r="M1917" s="3"/>
      <c r="N1917" s="3">
        <f t="shared" si="91"/>
        <v>3.6200000000000003E-2</v>
      </c>
      <c r="O1917" s="21" t="s">
        <v>30096</v>
      </c>
      <c r="P1917" s="1" t="s">
        <v>30097</v>
      </c>
      <c r="Q1917" s="1" t="s">
        <v>30098</v>
      </c>
      <c r="R1917" s="89">
        <f>207.5/153-1</f>
        <v>0.35620915032679745</v>
      </c>
      <c r="S1917" s="89">
        <f>100%-Table34[[#This Row],[InitialFee]]</f>
        <v>0.98</v>
      </c>
      <c r="T1917" s="89">
        <f>(1-Table34[[#This Row],[OngoingFee (plus Platform fee)]])^5</f>
        <v>0.98015936127897596</v>
      </c>
      <c r="U1917" s="26">
        <f>(1+Table34[[#This Row],[Net 5yrs return (mostly up to 28th of Feb 2026)]])*Table34[[#This Row],[Investment after initial charge]]*Table34[[#This Row],[Cummulative 5yrs ongoing advice charge]]-1</f>
        <v>0.30271507265411612</v>
      </c>
      <c r="V1917" s="10">
        <f>12515000+9257000</f>
        <v>21772000</v>
      </c>
      <c r="W1917" s="10" t="s">
        <v>29051</v>
      </c>
      <c r="X1917" s="10">
        <v>12515000</v>
      </c>
      <c r="Y1917" s="10">
        <f>X1917/V1917</f>
        <v>0.57482087084328493</v>
      </c>
      <c r="Z1917" s="10"/>
      <c r="AA1917" s="1" t="s">
        <v>30099</v>
      </c>
    </row>
    <row r="1918" spans="1:27" hidden="1" x14ac:dyDescent="0.25">
      <c r="A1918">
        <v>460655</v>
      </c>
      <c r="B1918" t="s">
        <v>2253</v>
      </c>
      <c r="C1918" t="s">
        <v>11283</v>
      </c>
      <c r="D1918">
        <v>2</v>
      </c>
      <c r="E1918" t="s">
        <v>2253</v>
      </c>
      <c r="G1918" s="3"/>
      <c r="H1918" s="21">
        <v>0</v>
      </c>
      <c r="I1918" s="21">
        <v>0</v>
      </c>
      <c r="J1918" s="21">
        <v>0</v>
      </c>
      <c r="K1918" s="21">
        <v>0</v>
      </c>
      <c r="L1918" s="3">
        <f t="shared" si="90"/>
        <v>0</v>
      </c>
      <c r="M1918" s="3"/>
      <c r="N1918" s="3">
        <f t="shared" si="91"/>
        <v>0</v>
      </c>
      <c r="R1918" s="89"/>
      <c r="S1918" s="89">
        <f>100%-Table34[[#This Row],[PDF_initial fee]]</f>
        <v>1</v>
      </c>
      <c r="T1918" s="89"/>
      <c r="U1918" s="26"/>
    </row>
    <row r="1919" spans="1:27" hidden="1" x14ac:dyDescent="0.25">
      <c r="A1919">
        <v>460692</v>
      </c>
      <c r="B1919" t="s">
        <v>2254</v>
      </c>
      <c r="C1919" t="s">
        <v>7036</v>
      </c>
      <c r="D1919">
        <v>5</v>
      </c>
      <c r="E1919" t="s">
        <v>2254</v>
      </c>
      <c r="G1919" s="3"/>
      <c r="H1919" s="21">
        <v>0</v>
      </c>
      <c r="I1919" s="21">
        <v>0</v>
      </c>
      <c r="J1919" s="21">
        <v>0</v>
      </c>
      <c r="K1919" s="21">
        <v>0</v>
      </c>
      <c r="L1919" s="3">
        <f t="shared" si="90"/>
        <v>0</v>
      </c>
      <c r="M1919" s="3"/>
      <c r="N1919" s="3">
        <f t="shared" si="91"/>
        <v>0</v>
      </c>
      <c r="R1919" s="89"/>
      <c r="S1919" s="89">
        <f>100%-Table34[[#This Row],[PDF_initial fee]]</f>
        <v>1</v>
      </c>
      <c r="T1919" s="89"/>
      <c r="U1919" s="26"/>
    </row>
    <row r="1920" spans="1:27" hidden="1" x14ac:dyDescent="0.25">
      <c r="A1920">
        <v>460696</v>
      </c>
      <c r="B1920" t="s">
        <v>2255</v>
      </c>
      <c r="C1920" t="s">
        <v>6958</v>
      </c>
      <c r="D1920">
        <v>1</v>
      </c>
      <c r="E1920" t="s">
        <v>2255</v>
      </c>
      <c r="F1920" t="s">
        <v>6958</v>
      </c>
      <c r="G1920" s="3"/>
      <c r="H1920" s="21">
        <v>0</v>
      </c>
      <c r="I1920" s="21">
        <v>0</v>
      </c>
      <c r="J1920" s="21">
        <v>0</v>
      </c>
      <c r="K1920" s="21">
        <v>0</v>
      </c>
      <c r="L1920" s="3">
        <f t="shared" si="90"/>
        <v>0</v>
      </c>
      <c r="M1920" s="3"/>
      <c r="N1920" s="3">
        <f t="shared" si="91"/>
        <v>0</v>
      </c>
      <c r="R1920" s="89"/>
      <c r="S1920" s="89">
        <f>100%-Table34[[#This Row],[PDF_initial fee]]</f>
        <v>1</v>
      </c>
      <c r="T1920" s="89"/>
      <c r="U1920" s="26"/>
    </row>
    <row r="1921" spans="1:27" hidden="1" x14ac:dyDescent="0.25">
      <c r="A1921">
        <v>460779</v>
      </c>
      <c r="B1921" t="s">
        <v>2256</v>
      </c>
      <c r="C1921" t="s">
        <v>7412</v>
      </c>
      <c r="D1921">
        <v>2</v>
      </c>
      <c r="E1921" t="s">
        <v>2256</v>
      </c>
      <c r="G1921" s="3"/>
      <c r="H1921" s="21">
        <v>0</v>
      </c>
      <c r="I1921" s="21">
        <v>0</v>
      </c>
      <c r="J1921" s="21">
        <v>0</v>
      </c>
      <c r="K1921" s="21">
        <v>0</v>
      </c>
      <c r="L1921" s="3">
        <f t="shared" si="90"/>
        <v>0</v>
      </c>
      <c r="M1921" s="3"/>
      <c r="N1921" s="3">
        <f t="shared" si="91"/>
        <v>0</v>
      </c>
      <c r="R1921" s="89"/>
      <c r="S1921" s="89">
        <f>100%-Table34[[#This Row],[PDF_initial fee]]</f>
        <v>1</v>
      </c>
      <c r="T1921" s="89"/>
      <c r="U1921" s="26"/>
    </row>
    <row r="1922" spans="1:27" hidden="1" x14ac:dyDescent="0.25">
      <c r="A1922">
        <v>460842</v>
      </c>
      <c r="B1922" t="s">
        <v>2257</v>
      </c>
      <c r="C1922" t="s">
        <v>8494</v>
      </c>
      <c r="D1922">
        <v>1</v>
      </c>
      <c r="E1922" t="s">
        <v>2257</v>
      </c>
      <c r="G1922" s="3"/>
      <c r="H1922" s="21">
        <v>0</v>
      </c>
      <c r="I1922" s="21">
        <v>0</v>
      </c>
      <c r="J1922" s="21">
        <v>0</v>
      </c>
      <c r="K1922" s="21">
        <v>0</v>
      </c>
      <c r="L1922" s="3">
        <f t="shared" si="90"/>
        <v>0</v>
      </c>
      <c r="M1922" s="3"/>
      <c r="N1922" s="3">
        <f t="shared" si="91"/>
        <v>0</v>
      </c>
      <c r="R1922" s="89"/>
      <c r="S1922" s="89">
        <f>100%-Table34[[#This Row],[PDF_initial fee]]</f>
        <v>1</v>
      </c>
      <c r="T1922" s="89"/>
      <c r="U1922" s="26"/>
    </row>
    <row r="1923" spans="1:27" hidden="1" x14ac:dyDescent="0.25">
      <c r="A1923">
        <v>460880</v>
      </c>
      <c r="B1923" t="s">
        <v>2258</v>
      </c>
      <c r="C1923" s="1" t="s">
        <v>30100</v>
      </c>
      <c r="D1923">
        <v>18</v>
      </c>
      <c r="E1923" t="s">
        <v>2258</v>
      </c>
      <c r="F1923" t="s">
        <v>6</v>
      </c>
      <c r="G1923" s="3"/>
      <c r="H1923" s="21">
        <v>0</v>
      </c>
      <c r="I1923" s="21">
        <v>0</v>
      </c>
      <c r="J1923" s="21" t="s">
        <v>30101</v>
      </c>
      <c r="K1923" s="21">
        <v>0</v>
      </c>
      <c r="L1923" s="3">
        <f t="shared" si="90"/>
        <v>0</v>
      </c>
      <c r="M1923" s="3"/>
      <c r="N1923" s="3">
        <f t="shared" si="91"/>
        <v>0</v>
      </c>
      <c r="R1923" s="89"/>
      <c r="S1923" s="89" t="e">
        <f>100%-Table34[[#This Row],[PDF_initial fee]]</f>
        <v>#VALUE!</v>
      </c>
      <c r="T1923" s="89"/>
      <c r="U1923" s="26"/>
    </row>
    <row r="1924" spans="1:27" hidden="1" x14ac:dyDescent="0.25">
      <c r="A1924">
        <v>460889</v>
      </c>
      <c r="B1924" t="s">
        <v>2259</v>
      </c>
      <c r="C1924" t="s">
        <v>8224</v>
      </c>
      <c r="D1924">
        <v>2</v>
      </c>
      <c r="E1924" t="s">
        <v>2259</v>
      </c>
      <c r="G1924" s="3"/>
      <c r="H1924" s="21">
        <v>0</v>
      </c>
      <c r="I1924" s="21">
        <v>0</v>
      </c>
      <c r="J1924" s="21">
        <v>0</v>
      </c>
      <c r="K1924" s="21">
        <v>0</v>
      </c>
      <c r="L1924" s="3">
        <f t="shared" si="90"/>
        <v>0</v>
      </c>
      <c r="M1924" s="3"/>
      <c r="N1924" s="3">
        <f t="shared" si="91"/>
        <v>0</v>
      </c>
      <c r="R1924" s="89"/>
      <c r="S1924" s="89">
        <f>100%-Table34[[#This Row],[PDF_initial fee]]</f>
        <v>1</v>
      </c>
      <c r="T1924" s="89"/>
      <c r="U1924" s="26"/>
    </row>
    <row r="1925" spans="1:27" hidden="1" x14ac:dyDescent="0.25">
      <c r="A1925">
        <v>460974</v>
      </c>
      <c r="B1925" t="s">
        <v>2260</v>
      </c>
      <c r="C1925" t="s">
        <v>8436</v>
      </c>
      <c r="D1925">
        <v>1</v>
      </c>
      <c r="E1925" t="s">
        <v>2260</v>
      </c>
      <c r="G1925" s="3"/>
      <c r="H1925" s="21">
        <v>0</v>
      </c>
      <c r="I1925" s="21">
        <v>0</v>
      </c>
      <c r="J1925" s="21">
        <v>0</v>
      </c>
      <c r="K1925" s="21">
        <v>0</v>
      </c>
      <c r="L1925" s="3">
        <f t="shared" si="90"/>
        <v>0</v>
      </c>
      <c r="M1925" s="3"/>
      <c r="N1925" s="3">
        <f t="shared" si="91"/>
        <v>0</v>
      </c>
      <c r="R1925" s="89"/>
      <c r="S1925" s="89">
        <f>100%-Table34[[#This Row],[PDF_initial fee]]</f>
        <v>1</v>
      </c>
      <c r="T1925" s="89"/>
      <c r="U1925" s="26"/>
    </row>
    <row r="1926" spans="1:27" hidden="1" x14ac:dyDescent="0.25">
      <c r="A1926">
        <v>461089</v>
      </c>
      <c r="B1926" t="s">
        <v>2261</v>
      </c>
      <c r="C1926" t="s">
        <v>30102</v>
      </c>
      <c r="D1926">
        <v>3</v>
      </c>
      <c r="E1926" t="s">
        <v>2261</v>
      </c>
      <c r="G1926" s="3"/>
      <c r="H1926" s="3">
        <v>0</v>
      </c>
      <c r="I1926" s="3">
        <v>0</v>
      </c>
      <c r="J1926" s="3">
        <v>0</v>
      </c>
      <c r="K1926" s="3">
        <v>0</v>
      </c>
      <c r="L1926" s="3">
        <f t="shared" si="90"/>
        <v>0</v>
      </c>
      <c r="M1926" s="3"/>
      <c r="N1926" s="3">
        <f t="shared" si="91"/>
        <v>0</v>
      </c>
      <c r="R1926" s="89"/>
      <c r="S1926" s="89">
        <f>100%-Table34[[#This Row],[PDF_initial fee]]</f>
        <v>1</v>
      </c>
      <c r="T1926" s="89"/>
      <c r="U1926" s="26"/>
    </row>
    <row r="1927" spans="1:27" hidden="1" x14ac:dyDescent="0.25">
      <c r="A1927">
        <v>461094</v>
      </c>
      <c r="B1927" t="s">
        <v>2262</v>
      </c>
      <c r="C1927" t="s">
        <v>6958</v>
      </c>
      <c r="D1927">
        <v>0</v>
      </c>
      <c r="E1927" t="s">
        <v>2262</v>
      </c>
      <c r="F1927" t="s">
        <v>6958</v>
      </c>
      <c r="G1927" s="3"/>
      <c r="H1927" s="21">
        <v>0</v>
      </c>
      <c r="I1927" s="21">
        <v>0</v>
      </c>
      <c r="J1927" s="21">
        <v>0</v>
      </c>
      <c r="K1927" s="21">
        <v>0</v>
      </c>
      <c r="L1927" s="3">
        <f t="shared" si="90"/>
        <v>0</v>
      </c>
      <c r="M1927" s="3"/>
      <c r="N1927" s="3">
        <f t="shared" si="91"/>
        <v>0</v>
      </c>
      <c r="R1927" s="89"/>
      <c r="S1927" s="89">
        <f>100%-Table34[[#This Row],[PDF_initial fee]]</f>
        <v>1</v>
      </c>
      <c r="T1927" s="89"/>
      <c r="U1927" s="26"/>
    </row>
    <row r="1928" spans="1:27" hidden="1" x14ac:dyDescent="0.25">
      <c r="A1928">
        <v>461356</v>
      </c>
      <c r="B1928" t="s">
        <v>2263</v>
      </c>
      <c r="C1928" t="s">
        <v>7886</v>
      </c>
      <c r="D1928">
        <v>2</v>
      </c>
      <c r="E1928" t="s">
        <v>2263</v>
      </c>
      <c r="G1928" s="3"/>
      <c r="L1928" s="3">
        <f t="shared" si="90"/>
        <v>0</v>
      </c>
      <c r="M1928" s="3"/>
      <c r="N1928" s="3">
        <f t="shared" si="91"/>
        <v>0</v>
      </c>
      <c r="R1928" s="89"/>
      <c r="S1928" s="89">
        <f>100%-Table34[[#This Row],[PDF_initial fee]]</f>
        <v>1</v>
      </c>
      <c r="T1928" s="89"/>
      <c r="U1928" s="26"/>
    </row>
    <row r="1929" spans="1:27" hidden="1" x14ac:dyDescent="0.25">
      <c r="A1929">
        <v>461408</v>
      </c>
      <c r="B1929" t="s">
        <v>2265</v>
      </c>
      <c r="C1929" t="s">
        <v>10764</v>
      </c>
      <c r="D1929">
        <v>2</v>
      </c>
      <c r="E1929" t="s">
        <v>2265</v>
      </c>
      <c r="G1929" s="3"/>
      <c r="L1929" s="3">
        <f t="shared" si="90"/>
        <v>0</v>
      </c>
      <c r="M1929" s="3"/>
      <c r="N1929" s="3">
        <f t="shared" si="91"/>
        <v>0</v>
      </c>
      <c r="R1929" s="89"/>
      <c r="S1929" s="89">
        <f>100%-Table34[[#This Row],[PDF_initial fee]]</f>
        <v>1</v>
      </c>
      <c r="T1929" s="89"/>
      <c r="U1929" s="26"/>
    </row>
    <row r="1930" spans="1:27" hidden="1" x14ac:dyDescent="0.25">
      <c r="A1930">
        <v>461598</v>
      </c>
      <c r="B1930" t="s">
        <v>2267</v>
      </c>
      <c r="C1930" t="s">
        <v>30103</v>
      </c>
      <c r="D1930">
        <v>604</v>
      </c>
      <c r="E1930" t="s">
        <v>2267</v>
      </c>
      <c r="F1930" t="s">
        <v>3</v>
      </c>
      <c r="G1930" s="3"/>
      <c r="H1930" s="3">
        <v>0</v>
      </c>
      <c r="I1930" s="3">
        <v>0</v>
      </c>
      <c r="J1930" s="3">
        <v>0</v>
      </c>
      <c r="K1930" s="3">
        <v>0</v>
      </c>
      <c r="L1930" s="3">
        <f t="shared" si="90"/>
        <v>0</v>
      </c>
      <c r="M1930" s="3"/>
      <c r="N1930" s="3">
        <f t="shared" si="91"/>
        <v>0</v>
      </c>
      <c r="R1930" s="89"/>
      <c r="S1930" s="89">
        <f>100%-Table34[[#This Row],[PDF_initial fee]]</f>
        <v>1</v>
      </c>
      <c r="T1930" s="89"/>
      <c r="U1930" s="26"/>
    </row>
    <row r="1931" spans="1:27" hidden="1" x14ac:dyDescent="0.25">
      <c r="A1931">
        <v>461601</v>
      </c>
      <c r="B1931" t="s">
        <v>2268</v>
      </c>
      <c r="C1931" t="s">
        <v>8738</v>
      </c>
      <c r="D1931">
        <v>6</v>
      </c>
      <c r="E1931" t="s">
        <v>2268</v>
      </c>
      <c r="G1931" s="3"/>
      <c r="H1931" s="21">
        <v>0</v>
      </c>
      <c r="I1931" s="21">
        <v>0</v>
      </c>
      <c r="J1931" s="21">
        <v>0</v>
      </c>
      <c r="K1931" s="21">
        <v>0</v>
      </c>
      <c r="L1931" s="3">
        <f t="shared" si="90"/>
        <v>0</v>
      </c>
      <c r="M1931" s="3"/>
      <c r="N1931" s="3">
        <f t="shared" si="91"/>
        <v>0</v>
      </c>
      <c r="R1931" s="89"/>
      <c r="S1931" s="89">
        <f>100%-Table34[[#This Row],[PDF_initial fee]]</f>
        <v>1</v>
      </c>
      <c r="T1931" s="89"/>
      <c r="U1931" s="26"/>
    </row>
    <row r="1932" spans="1:27" hidden="1" x14ac:dyDescent="0.25">
      <c r="A1932">
        <v>461656</v>
      </c>
      <c r="B1932" t="s">
        <v>2270</v>
      </c>
      <c r="C1932" t="s">
        <v>11554</v>
      </c>
      <c r="D1932">
        <v>1</v>
      </c>
      <c r="E1932" t="s">
        <v>2270</v>
      </c>
      <c r="G1932" s="3"/>
      <c r="H1932" s="21">
        <v>0</v>
      </c>
      <c r="I1932" s="21">
        <v>0</v>
      </c>
      <c r="J1932" s="21">
        <v>0</v>
      </c>
      <c r="K1932" s="21">
        <v>0</v>
      </c>
      <c r="L1932" s="3">
        <f t="shared" si="90"/>
        <v>0</v>
      </c>
      <c r="M1932" s="3"/>
      <c r="N1932" s="3">
        <f t="shared" si="91"/>
        <v>0</v>
      </c>
      <c r="R1932" s="89"/>
      <c r="S1932" s="89">
        <f>100%-Table34[[#This Row],[PDF_initial fee]]</f>
        <v>1</v>
      </c>
      <c r="T1932" s="89"/>
      <c r="U1932" s="26"/>
    </row>
    <row r="1933" spans="1:27" hidden="1" x14ac:dyDescent="0.25">
      <c r="A1933">
        <v>461795</v>
      </c>
      <c r="B1933" t="s">
        <v>2271</v>
      </c>
      <c r="C1933" t="s">
        <v>6958</v>
      </c>
      <c r="D1933">
        <v>10</v>
      </c>
      <c r="E1933" t="s">
        <v>2271</v>
      </c>
      <c r="F1933" t="s">
        <v>6958</v>
      </c>
      <c r="G1933" s="3"/>
      <c r="H1933" s="21">
        <v>0</v>
      </c>
      <c r="I1933" s="3">
        <v>0</v>
      </c>
      <c r="J1933" s="3">
        <v>0</v>
      </c>
      <c r="K1933">
        <v>0</v>
      </c>
      <c r="L1933" s="3">
        <f t="shared" si="90"/>
        <v>0</v>
      </c>
      <c r="M1933" s="3"/>
      <c r="N1933" s="3">
        <f t="shared" si="91"/>
        <v>0</v>
      </c>
      <c r="R1933" s="89"/>
      <c r="S1933" s="89">
        <f>100%-Table34[[#This Row],[PDF_initial fee]]</f>
        <v>1</v>
      </c>
      <c r="T1933" s="89"/>
      <c r="U1933" s="26"/>
    </row>
    <row r="1934" spans="1:27" hidden="1" x14ac:dyDescent="0.25">
      <c r="A1934">
        <v>462001</v>
      </c>
      <c r="B1934" t="s">
        <v>2272</v>
      </c>
      <c r="C1934" t="s">
        <v>6958</v>
      </c>
      <c r="D1934">
        <v>0</v>
      </c>
      <c r="E1934" t="s">
        <v>2272</v>
      </c>
      <c r="F1934" t="s">
        <v>6958</v>
      </c>
      <c r="G1934" s="3"/>
      <c r="H1934" s="21">
        <v>0</v>
      </c>
      <c r="I1934" s="3">
        <v>0</v>
      </c>
      <c r="J1934" s="3">
        <v>0</v>
      </c>
      <c r="K1934">
        <v>0</v>
      </c>
      <c r="L1934" s="3">
        <f t="shared" si="90"/>
        <v>0</v>
      </c>
      <c r="M1934" s="3"/>
      <c r="N1934" s="3">
        <f t="shared" si="91"/>
        <v>0</v>
      </c>
      <c r="R1934" s="89"/>
      <c r="S1934" s="89">
        <f>100%-Table34[[#This Row],[PDF_initial fee]]</f>
        <v>1</v>
      </c>
      <c r="T1934" s="89"/>
      <c r="U1934" s="26"/>
    </row>
    <row r="1935" spans="1:27" x14ac:dyDescent="0.25">
      <c r="A1935">
        <v>125051</v>
      </c>
      <c r="B1935" t="s">
        <v>30</v>
      </c>
      <c r="C1935" t="s">
        <v>30104</v>
      </c>
      <c r="D1935">
        <v>2</v>
      </c>
      <c r="E1935" t="s">
        <v>30</v>
      </c>
      <c r="F1935" t="s">
        <v>6</v>
      </c>
      <c r="G1935" s="3">
        <v>1.2200000000000001E-2</v>
      </c>
      <c r="H1935" s="3">
        <v>0.02</v>
      </c>
      <c r="I1935" s="3">
        <v>4.0000000000000001E-3</v>
      </c>
      <c r="J1935" s="6">
        <v>0</v>
      </c>
      <c r="K1935" s="6">
        <v>0</v>
      </c>
      <c r="L1935" s="3">
        <f t="shared" si="90"/>
        <v>2.4E-2</v>
      </c>
      <c r="M1935" s="3"/>
      <c r="N1935" s="3">
        <f t="shared" si="91"/>
        <v>3.6200000000000003E-2</v>
      </c>
      <c r="O1935" t="s">
        <v>30105</v>
      </c>
      <c r="P1935" s="1" t="s">
        <v>30097</v>
      </c>
      <c r="Q1935" s="1" t="s">
        <v>30098</v>
      </c>
      <c r="R1935" s="89">
        <f>207.5/153-1</f>
        <v>0.35620915032679745</v>
      </c>
      <c r="S1935" s="89">
        <f>100%-Table34[[#This Row],[InitialFee]]</f>
        <v>0.98</v>
      </c>
      <c r="T1935" s="89">
        <f>(1-Table34[[#This Row],[OngoingFee (plus Platform fee)]])^5</f>
        <v>0.98015936127897596</v>
      </c>
      <c r="U1935" s="26">
        <f>(1+Table34[[#This Row],[Net 5yrs return (mostly up to 28th of Feb 2026)]])*Table34[[#This Row],[Investment after initial charge]]*Table34[[#This Row],[Cummulative 5yrs ongoing advice charge]]-1</f>
        <v>0.30271507265411612</v>
      </c>
      <c r="V1935" s="10">
        <v>74976000</v>
      </c>
      <c r="W1935" s="10" t="s">
        <v>29051</v>
      </c>
      <c r="X1935" s="10">
        <v>62439000</v>
      </c>
      <c r="Y1935" s="10">
        <f>X1935/V1935</f>
        <v>0.83278649167733676</v>
      </c>
      <c r="Z1935" s="10"/>
      <c r="AA1935" s="1" t="s">
        <v>30106</v>
      </c>
    </row>
    <row r="1936" spans="1:27" hidden="1" x14ac:dyDescent="0.25">
      <c r="A1936">
        <v>462095</v>
      </c>
      <c r="B1936" t="s">
        <v>2273</v>
      </c>
      <c r="C1936" t="s">
        <v>6958</v>
      </c>
      <c r="D1936">
        <v>1</v>
      </c>
      <c r="E1936" t="s">
        <v>2273</v>
      </c>
      <c r="F1936" t="s">
        <v>6958</v>
      </c>
      <c r="G1936" s="3"/>
      <c r="H1936" s="21">
        <v>0</v>
      </c>
      <c r="I1936" s="21">
        <v>0</v>
      </c>
      <c r="J1936" s="21">
        <v>0</v>
      </c>
      <c r="K1936" s="21">
        <v>0</v>
      </c>
      <c r="L1936" s="3">
        <f t="shared" si="90"/>
        <v>0</v>
      </c>
      <c r="M1936" s="3"/>
      <c r="N1936" s="3">
        <f t="shared" si="91"/>
        <v>0</v>
      </c>
      <c r="R1936" s="89"/>
      <c r="S1936" s="89">
        <f>100%-Table34[[#This Row],[PDF_initial fee]]</f>
        <v>1</v>
      </c>
      <c r="T1936" s="89"/>
      <c r="U1936" s="26"/>
    </row>
    <row r="1937" spans="1:22" hidden="1" x14ac:dyDescent="0.25">
      <c r="A1937">
        <v>462105</v>
      </c>
      <c r="B1937" t="s">
        <v>2274</v>
      </c>
      <c r="C1937" t="s">
        <v>29364</v>
      </c>
      <c r="D1937">
        <v>26</v>
      </c>
      <c r="E1937" t="s">
        <v>2274</v>
      </c>
      <c r="F1937" t="s">
        <v>3</v>
      </c>
      <c r="G1937" s="3"/>
      <c r="H1937" s="3">
        <v>0</v>
      </c>
      <c r="I1937" s="3">
        <v>0</v>
      </c>
      <c r="J1937" s="3">
        <v>0</v>
      </c>
      <c r="K1937" s="3">
        <v>0</v>
      </c>
      <c r="L1937" s="3">
        <f t="shared" ref="L1937:L1938" si="92">SUM(H1937:K1937)</f>
        <v>0</v>
      </c>
      <c r="M1937" s="3"/>
      <c r="N1937" s="3">
        <f t="shared" si="91"/>
        <v>0</v>
      </c>
      <c r="R1937" s="89"/>
      <c r="S1937" s="89">
        <f>100%-Table34[[#This Row],[PDF_initial fee]]</f>
        <v>1</v>
      </c>
      <c r="T1937" s="89"/>
      <c r="U1937" s="26"/>
    </row>
    <row r="1938" spans="1:22" hidden="1" x14ac:dyDescent="0.25">
      <c r="A1938">
        <v>462157</v>
      </c>
      <c r="B1938" t="s">
        <v>2275</v>
      </c>
      <c r="C1938" t="s">
        <v>9799</v>
      </c>
      <c r="D1938">
        <v>1</v>
      </c>
      <c r="E1938" t="s">
        <v>2275</v>
      </c>
      <c r="G1938" s="3"/>
      <c r="H1938" s="21">
        <v>0</v>
      </c>
      <c r="I1938" s="21">
        <v>0</v>
      </c>
      <c r="J1938" s="21">
        <v>0</v>
      </c>
      <c r="K1938" s="21">
        <v>0</v>
      </c>
      <c r="L1938" s="3">
        <f t="shared" si="92"/>
        <v>0</v>
      </c>
      <c r="M1938" s="3"/>
      <c r="N1938" s="3">
        <f t="shared" si="91"/>
        <v>0</v>
      </c>
      <c r="R1938" s="89"/>
      <c r="S1938" s="89">
        <f>100%-Table34[[#This Row],[PDF_initial fee]]</f>
        <v>1</v>
      </c>
      <c r="T1938" s="89"/>
      <c r="U1938" s="26"/>
    </row>
    <row r="1939" spans="1:22" hidden="1" x14ac:dyDescent="0.25">
      <c r="A1939">
        <v>462172</v>
      </c>
      <c r="B1939" t="s">
        <v>2276</v>
      </c>
      <c r="C1939" t="s">
        <v>30107</v>
      </c>
      <c r="D1939">
        <v>3</v>
      </c>
      <c r="E1939" t="s">
        <v>2276</v>
      </c>
      <c r="F1939" t="s">
        <v>30108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0</v>
      </c>
      <c r="M1939" s="3"/>
      <c r="N1939" s="3">
        <v>0</v>
      </c>
      <c r="R1939" s="89"/>
      <c r="S1939" s="89">
        <f>100%-Table34[[#This Row],[PDF_initial fee]]</f>
        <v>1</v>
      </c>
      <c r="T1939" s="89"/>
      <c r="U1939" s="26"/>
    </row>
    <row r="1940" spans="1:22" hidden="1" x14ac:dyDescent="0.25">
      <c r="A1940">
        <v>462209</v>
      </c>
      <c r="B1940" t="s">
        <v>2277</v>
      </c>
      <c r="C1940" t="s">
        <v>6958</v>
      </c>
      <c r="D1940">
        <v>4</v>
      </c>
      <c r="E1940" t="s">
        <v>2277</v>
      </c>
      <c r="F1940" t="s">
        <v>6958</v>
      </c>
      <c r="G1940" s="3"/>
      <c r="H1940" s="21">
        <v>0</v>
      </c>
      <c r="I1940" s="21">
        <v>0</v>
      </c>
      <c r="J1940" s="21">
        <v>0</v>
      </c>
      <c r="K1940" s="21">
        <v>0</v>
      </c>
      <c r="L1940" s="3">
        <f t="shared" ref="L1940:L1962" si="93">SUM(H1940:K1940)</f>
        <v>0</v>
      </c>
      <c r="M1940" s="3"/>
      <c r="N1940" s="3">
        <f t="shared" ref="N1940:N1962" si="94">L1940+G1940</f>
        <v>0</v>
      </c>
      <c r="R1940" s="89"/>
      <c r="S1940" s="89">
        <f>100%-Table34[[#This Row],[PDF_initial fee]]</f>
        <v>1</v>
      </c>
      <c r="T1940" s="89"/>
      <c r="U1940" s="26"/>
    </row>
    <row r="1941" spans="1:22" hidden="1" x14ac:dyDescent="0.25">
      <c r="A1941">
        <v>462359</v>
      </c>
      <c r="B1941" t="s">
        <v>2279</v>
      </c>
      <c r="C1941" t="s">
        <v>6958</v>
      </c>
      <c r="D1941">
        <v>1</v>
      </c>
      <c r="E1941" t="s">
        <v>2279</v>
      </c>
      <c r="F1941" t="s">
        <v>6958</v>
      </c>
      <c r="G1941" s="3"/>
      <c r="H1941" s="21">
        <v>0</v>
      </c>
      <c r="I1941" s="21">
        <v>0</v>
      </c>
      <c r="J1941" s="21">
        <v>0</v>
      </c>
      <c r="K1941" s="21">
        <v>0</v>
      </c>
      <c r="L1941" s="3">
        <f t="shared" si="93"/>
        <v>0</v>
      </c>
      <c r="M1941" s="3"/>
      <c r="N1941" s="3">
        <f t="shared" si="94"/>
        <v>0</v>
      </c>
      <c r="R1941" s="89"/>
      <c r="S1941" s="89">
        <f>100%-Table34[[#This Row],[PDF_initial fee]]</f>
        <v>1</v>
      </c>
      <c r="T1941" s="89"/>
      <c r="U1941" s="26"/>
    </row>
    <row r="1942" spans="1:22" hidden="1" x14ac:dyDescent="0.25">
      <c r="A1942">
        <v>462387</v>
      </c>
      <c r="B1942" t="s">
        <v>2280</v>
      </c>
      <c r="C1942" t="s">
        <v>6958</v>
      </c>
      <c r="D1942">
        <v>1</v>
      </c>
      <c r="E1942" t="s">
        <v>2280</v>
      </c>
      <c r="F1942" t="s">
        <v>6958</v>
      </c>
      <c r="G1942" s="3"/>
      <c r="H1942" s="21">
        <v>0</v>
      </c>
      <c r="I1942" s="21">
        <v>0</v>
      </c>
      <c r="J1942" s="21">
        <v>0</v>
      </c>
      <c r="K1942" s="21">
        <v>0</v>
      </c>
      <c r="L1942" s="3">
        <f t="shared" si="93"/>
        <v>0</v>
      </c>
      <c r="M1942" s="3"/>
      <c r="N1942" s="3">
        <f t="shared" si="94"/>
        <v>0</v>
      </c>
      <c r="R1942" s="89"/>
      <c r="S1942" s="89">
        <f>100%-Table34[[#This Row],[PDF_initial fee]]</f>
        <v>1</v>
      </c>
      <c r="T1942" s="89"/>
      <c r="U1942" s="26"/>
    </row>
    <row r="1943" spans="1:22" hidden="1" x14ac:dyDescent="0.25">
      <c r="A1943">
        <v>462455</v>
      </c>
      <c r="B1943" t="s">
        <v>2282</v>
      </c>
      <c r="C1943" t="s">
        <v>30109</v>
      </c>
      <c r="D1943">
        <v>1</v>
      </c>
      <c r="E1943" t="s">
        <v>2282</v>
      </c>
      <c r="G1943" s="3"/>
      <c r="H1943" s="3">
        <v>0</v>
      </c>
      <c r="I1943" s="3">
        <v>0</v>
      </c>
      <c r="J1943" s="3">
        <v>0</v>
      </c>
      <c r="K1943" s="3">
        <v>0</v>
      </c>
      <c r="L1943" s="3">
        <f t="shared" si="93"/>
        <v>0</v>
      </c>
      <c r="M1943" s="3"/>
      <c r="N1943" s="3">
        <f t="shared" si="94"/>
        <v>0</v>
      </c>
      <c r="R1943" s="89"/>
      <c r="S1943" s="89">
        <f>100%-Table34[[#This Row],[PDF_initial fee]]</f>
        <v>1</v>
      </c>
      <c r="T1943" s="89"/>
      <c r="U1943" s="26"/>
    </row>
    <row r="1944" spans="1:22" hidden="1" x14ac:dyDescent="0.25">
      <c r="A1944">
        <v>462513</v>
      </c>
      <c r="B1944" t="s">
        <v>2283</v>
      </c>
      <c r="C1944" t="s">
        <v>30110</v>
      </c>
      <c r="D1944">
        <v>8</v>
      </c>
      <c r="E1944" t="s">
        <v>2283</v>
      </c>
      <c r="G1944" s="3"/>
      <c r="H1944" s="21">
        <v>0</v>
      </c>
      <c r="I1944" s="21">
        <v>0</v>
      </c>
      <c r="J1944" s="21">
        <v>0</v>
      </c>
      <c r="K1944" s="21">
        <v>0</v>
      </c>
      <c r="L1944" s="3">
        <f t="shared" si="93"/>
        <v>0</v>
      </c>
      <c r="M1944" s="3"/>
      <c r="N1944" s="3">
        <f t="shared" si="94"/>
        <v>0</v>
      </c>
      <c r="O1944" s="21"/>
      <c r="R1944" s="89"/>
      <c r="S1944" s="89">
        <f>100%-Table34[[#This Row],[PDF_initial fee]]</f>
        <v>1</v>
      </c>
      <c r="T1944" s="89"/>
      <c r="U1944" s="26"/>
    </row>
    <row r="1945" spans="1:22" hidden="1" x14ac:dyDescent="0.25">
      <c r="A1945">
        <v>462518</v>
      </c>
      <c r="B1945" t="s">
        <v>2284</v>
      </c>
      <c r="C1945" t="s">
        <v>7695</v>
      </c>
      <c r="D1945">
        <v>1</v>
      </c>
      <c r="E1945" t="s">
        <v>2284</v>
      </c>
      <c r="G1945" s="3"/>
      <c r="H1945" s="21">
        <v>0</v>
      </c>
      <c r="I1945" s="21">
        <v>0</v>
      </c>
      <c r="J1945" s="21">
        <v>0</v>
      </c>
      <c r="K1945" s="21">
        <v>0</v>
      </c>
      <c r="L1945" s="3">
        <f t="shared" si="93"/>
        <v>0</v>
      </c>
      <c r="M1945" s="3"/>
      <c r="N1945" s="3">
        <f t="shared" si="94"/>
        <v>0</v>
      </c>
      <c r="R1945" s="89"/>
      <c r="S1945" s="89">
        <f>100%-Table34[[#This Row],[PDF_initial fee]]</f>
        <v>1</v>
      </c>
      <c r="T1945" s="89"/>
      <c r="U1945" s="26"/>
    </row>
    <row r="1946" spans="1:22" hidden="1" x14ac:dyDescent="0.25">
      <c r="A1946">
        <v>462519</v>
      </c>
      <c r="B1946" t="s">
        <v>2285</v>
      </c>
      <c r="C1946" t="s">
        <v>6958</v>
      </c>
      <c r="D1946">
        <v>2</v>
      </c>
      <c r="E1946" t="s">
        <v>2285</v>
      </c>
      <c r="F1946" t="s">
        <v>6958</v>
      </c>
      <c r="G1946" s="3"/>
      <c r="L1946" s="3">
        <f t="shared" si="93"/>
        <v>0</v>
      </c>
      <c r="M1946" s="3"/>
      <c r="N1946" s="3">
        <f t="shared" si="94"/>
        <v>0</v>
      </c>
      <c r="R1946" s="89"/>
      <c r="S1946" s="89">
        <f>100%-Table34[[#This Row],[PDF_initial fee]]</f>
        <v>1</v>
      </c>
      <c r="T1946" s="89"/>
      <c r="U1946" s="26"/>
    </row>
    <row r="1947" spans="1:22" hidden="1" x14ac:dyDescent="0.25">
      <c r="A1947">
        <v>462530</v>
      </c>
      <c r="B1947" t="s">
        <v>2286</v>
      </c>
      <c r="C1947" t="s">
        <v>12616</v>
      </c>
      <c r="D1947">
        <v>1</v>
      </c>
      <c r="E1947" t="s">
        <v>2286</v>
      </c>
      <c r="G1947" s="3"/>
      <c r="H1947" s="21">
        <v>0</v>
      </c>
      <c r="I1947" s="21">
        <v>0</v>
      </c>
      <c r="J1947" s="21">
        <v>0</v>
      </c>
      <c r="K1947" s="21">
        <v>0</v>
      </c>
      <c r="L1947" s="3">
        <f t="shared" si="93"/>
        <v>0</v>
      </c>
      <c r="M1947" s="3"/>
      <c r="N1947" s="3">
        <f t="shared" si="94"/>
        <v>0</v>
      </c>
      <c r="R1947" s="89"/>
      <c r="S1947" s="89">
        <f>100%-Table34[[#This Row],[PDF_initial fee]]</f>
        <v>1</v>
      </c>
      <c r="T1947" s="89"/>
      <c r="U1947" s="26"/>
    </row>
    <row r="1948" spans="1:22" hidden="1" x14ac:dyDescent="0.25">
      <c r="A1948">
        <v>462646</v>
      </c>
      <c r="B1948" t="s">
        <v>2287</v>
      </c>
      <c r="C1948" t="s">
        <v>8524</v>
      </c>
      <c r="D1948">
        <v>3</v>
      </c>
      <c r="E1948" t="s">
        <v>2287</v>
      </c>
      <c r="G1948" s="3"/>
      <c r="L1948" s="3">
        <f t="shared" si="93"/>
        <v>0</v>
      </c>
      <c r="M1948" s="3"/>
      <c r="N1948" s="3">
        <f t="shared" si="94"/>
        <v>0</v>
      </c>
      <c r="R1948" s="89"/>
      <c r="S1948" s="89">
        <f>100%-Table34[[#This Row],[PDF_initial fee]]</f>
        <v>1</v>
      </c>
      <c r="T1948" s="89"/>
      <c r="U1948" s="26"/>
    </row>
    <row r="1949" spans="1:22" hidden="1" x14ac:dyDescent="0.25">
      <c r="A1949">
        <v>462657</v>
      </c>
      <c r="B1949" t="s">
        <v>2288</v>
      </c>
      <c r="C1949" t="s">
        <v>6958</v>
      </c>
      <c r="D1949">
        <v>5</v>
      </c>
      <c r="E1949" t="s">
        <v>2288</v>
      </c>
      <c r="F1949" t="s">
        <v>6958</v>
      </c>
      <c r="G1949" s="3"/>
      <c r="L1949" s="3">
        <f t="shared" si="93"/>
        <v>0</v>
      </c>
      <c r="M1949" s="3"/>
      <c r="N1949" s="3">
        <f t="shared" si="94"/>
        <v>0</v>
      </c>
      <c r="R1949" s="89"/>
      <c r="S1949" s="89">
        <f>100%-Table34[[#This Row],[PDF_initial fee]]</f>
        <v>1</v>
      </c>
      <c r="T1949" s="89"/>
      <c r="U1949" s="26"/>
    </row>
    <row r="1950" spans="1:22" hidden="1" x14ac:dyDescent="0.25">
      <c r="A1950">
        <v>462728</v>
      </c>
      <c r="B1950" t="s">
        <v>2289</v>
      </c>
      <c r="C1950" t="s">
        <v>30111</v>
      </c>
      <c r="D1950">
        <v>81</v>
      </c>
      <c r="E1950" t="s">
        <v>2289</v>
      </c>
      <c r="F1950" t="s">
        <v>3</v>
      </c>
      <c r="G1950" s="3"/>
      <c r="L1950" s="3">
        <f t="shared" si="93"/>
        <v>0</v>
      </c>
      <c r="M1950" s="3"/>
      <c r="N1950" s="3">
        <f t="shared" si="94"/>
        <v>0</v>
      </c>
      <c r="O1950" s="21"/>
      <c r="R1950" s="89"/>
      <c r="S1950" s="89">
        <f>100%-Table34[[#This Row],[PDF_initial fee]]</f>
        <v>1</v>
      </c>
      <c r="T1950" s="89"/>
      <c r="U1950" s="26"/>
      <c r="V1950" t="s">
        <v>29864</v>
      </c>
    </row>
    <row r="1951" spans="1:22" hidden="1" x14ac:dyDescent="0.25">
      <c r="A1951">
        <v>462734</v>
      </c>
      <c r="B1951" t="s">
        <v>2290</v>
      </c>
      <c r="C1951" t="s">
        <v>6958</v>
      </c>
      <c r="D1951">
        <v>3</v>
      </c>
      <c r="E1951" t="s">
        <v>2290</v>
      </c>
      <c r="F1951" t="s">
        <v>6958</v>
      </c>
      <c r="G1951" s="3"/>
      <c r="H1951" s="21">
        <v>0</v>
      </c>
      <c r="I1951" s="21">
        <v>0</v>
      </c>
      <c r="J1951" s="21">
        <v>0</v>
      </c>
      <c r="K1951" s="21">
        <v>0</v>
      </c>
      <c r="L1951" s="3">
        <f t="shared" si="93"/>
        <v>0</v>
      </c>
      <c r="M1951" s="3"/>
      <c r="N1951" s="3">
        <f t="shared" si="94"/>
        <v>0</v>
      </c>
      <c r="R1951" s="89"/>
      <c r="S1951" s="89">
        <f>100%-Table34[[#This Row],[PDF_initial fee]]</f>
        <v>1</v>
      </c>
      <c r="T1951" s="89"/>
      <c r="U1951" s="26"/>
    </row>
    <row r="1952" spans="1:22" hidden="1" x14ac:dyDescent="0.25">
      <c r="A1952">
        <v>462797</v>
      </c>
      <c r="B1952" t="s">
        <v>2291</v>
      </c>
      <c r="C1952" t="s">
        <v>30112</v>
      </c>
      <c r="D1952">
        <v>6</v>
      </c>
      <c r="E1952" t="s">
        <v>2291</v>
      </c>
      <c r="G1952" s="3"/>
      <c r="H1952" s="3">
        <v>0</v>
      </c>
      <c r="I1952" s="3">
        <v>0</v>
      </c>
      <c r="J1952" s="3">
        <v>0</v>
      </c>
      <c r="K1952" s="3">
        <v>0</v>
      </c>
      <c r="L1952" s="3">
        <f t="shared" si="93"/>
        <v>0</v>
      </c>
      <c r="M1952" s="3"/>
      <c r="N1952" s="3">
        <f t="shared" si="94"/>
        <v>0</v>
      </c>
      <c r="R1952" s="89"/>
      <c r="S1952" s="89">
        <f>100%-Table34[[#This Row],[PDF_initial fee]]</f>
        <v>1</v>
      </c>
      <c r="T1952" s="89"/>
      <c r="U1952" s="26"/>
    </row>
    <row r="1953" spans="1:27" hidden="1" x14ac:dyDescent="0.25">
      <c r="A1953">
        <v>462810</v>
      </c>
      <c r="B1953" t="s">
        <v>2292</v>
      </c>
      <c r="C1953" t="s">
        <v>8105</v>
      </c>
      <c r="D1953">
        <v>3</v>
      </c>
      <c r="E1953" t="s">
        <v>2292</v>
      </c>
      <c r="G1953" s="3"/>
      <c r="H1953" s="21">
        <v>0</v>
      </c>
      <c r="I1953" s="21">
        <v>0</v>
      </c>
      <c r="J1953" s="21">
        <v>0</v>
      </c>
      <c r="K1953" s="21">
        <v>0</v>
      </c>
      <c r="L1953" s="3">
        <f t="shared" si="93"/>
        <v>0</v>
      </c>
      <c r="M1953" s="3"/>
      <c r="N1953" s="3">
        <f t="shared" si="94"/>
        <v>0</v>
      </c>
      <c r="R1953" s="89"/>
      <c r="S1953" s="89">
        <f>100%-Table34[[#This Row],[PDF_initial fee]]</f>
        <v>1</v>
      </c>
      <c r="T1953" s="89"/>
      <c r="U1953" s="26"/>
    </row>
    <row r="1954" spans="1:27" hidden="1" x14ac:dyDescent="0.25">
      <c r="A1954">
        <v>462886</v>
      </c>
      <c r="B1954" t="s">
        <v>2294</v>
      </c>
      <c r="C1954" t="s">
        <v>9218</v>
      </c>
      <c r="D1954">
        <v>1</v>
      </c>
      <c r="E1954" t="s">
        <v>2294</v>
      </c>
      <c r="G1954" s="3"/>
      <c r="L1954" s="3">
        <f t="shared" si="93"/>
        <v>0</v>
      </c>
      <c r="M1954" s="3"/>
      <c r="N1954" s="3">
        <f t="shared" si="94"/>
        <v>0</v>
      </c>
      <c r="R1954" s="89"/>
      <c r="S1954" s="89">
        <f>100%-Table34[[#This Row],[PDF_initial fee]]</f>
        <v>1</v>
      </c>
      <c r="T1954" s="89"/>
      <c r="U1954" s="26"/>
    </row>
    <row r="1955" spans="1:27" hidden="1" x14ac:dyDescent="0.25">
      <c r="A1955">
        <v>462900</v>
      </c>
      <c r="B1955" t="s">
        <v>2295</v>
      </c>
      <c r="C1955" t="s">
        <v>7422</v>
      </c>
      <c r="D1955">
        <v>1</v>
      </c>
      <c r="E1955" t="s">
        <v>2295</v>
      </c>
      <c r="G1955" s="3"/>
      <c r="H1955" s="21">
        <v>0</v>
      </c>
      <c r="I1955" s="21">
        <v>0</v>
      </c>
      <c r="J1955" s="21">
        <v>0</v>
      </c>
      <c r="K1955" s="21">
        <v>0</v>
      </c>
      <c r="L1955" s="3">
        <f t="shared" si="93"/>
        <v>0</v>
      </c>
      <c r="M1955" s="3"/>
      <c r="N1955" s="3">
        <f t="shared" si="94"/>
        <v>0</v>
      </c>
      <c r="R1955" s="89"/>
      <c r="S1955" s="89">
        <f>100%-Table34[[#This Row],[PDF_initial fee]]</f>
        <v>1</v>
      </c>
      <c r="T1955" s="89"/>
      <c r="U1955" s="26"/>
    </row>
    <row r="1956" spans="1:27" hidden="1" x14ac:dyDescent="0.25">
      <c r="A1956">
        <v>463108</v>
      </c>
      <c r="B1956" t="s">
        <v>2296</v>
      </c>
      <c r="C1956" t="s">
        <v>10853</v>
      </c>
      <c r="D1956">
        <v>1</v>
      </c>
      <c r="E1956" t="s">
        <v>2296</v>
      </c>
      <c r="G1956" s="3"/>
      <c r="L1956" s="3">
        <f t="shared" si="93"/>
        <v>0</v>
      </c>
      <c r="M1956" s="3"/>
      <c r="N1956" s="3">
        <f t="shared" si="94"/>
        <v>0</v>
      </c>
      <c r="R1956" s="89"/>
      <c r="S1956" s="89">
        <f>100%-Table34[[#This Row],[PDF_initial fee]]</f>
        <v>1</v>
      </c>
      <c r="T1956" s="89"/>
      <c r="U1956" s="26"/>
    </row>
    <row r="1957" spans="1:27" x14ac:dyDescent="0.25">
      <c r="A1957">
        <v>131816</v>
      </c>
      <c r="B1957" t="s">
        <v>40</v>
      </c>
      <c r="C1957" t="s">
        <v>30095</v>
      </c>
      <c r="D1957">
        <v>5</v>
      </c>
      <c r="E1957" t="s">
        <v>40</v>
      </c>
      <c r="F1957" t="s">
        <v>6</v>
      </c>
      <c r="G1957" s="3">
        <v>1.2200000000000001E-2</v>
      </c>
      <c r="H1957" s="3">
        <v>0.02</v>
      </c>
      <c r="I1957" s="3">
        <v>4.0000000000000001E-3</v>
      </c>
      <c r="J1957" s="6">
        <v>0</v>
      </c>
      <c r="K1957" s="6">
        <v>0</v>
      </c>
      <c r="L1957" s="3">
        <f t="shared" si="93"/>
        <v>2.4E-2</v>
      </c>
      <c r="M1957" s="3"/>
      <c r="N1957" s="3">
        <f t="shared" si="94"/>
        <v>3.6200000000000003E-2</v>
      </c>
      <c r="O1957" s="21"/>
      <c r="P1957" s="1" t="s">
        <v>30097</v>
      </c>
      <c r="Q1957" s="1" t="s">
        <v>30098</v>
      </c>
      <c r="R1957" s="89">
        <f>207.5/153-1</f>
        <v>0.35620915032679745</v>
      </c>
      <c r="S1957" s="89">
        <f>100%-Table34[[#This Row],[InitialFee]]</f>
        <v>0.98</v>
      </c>
      <c r="T1957" s="89">
        <f>(1-Table34[[#This Row],[OngoingFee (plus Platform fee)]])^5</f>
        <v>0.98015936127897596</v>
      </c>
      <c r="U1957" s="26">
        <f>(1+Table34[[#This Row],[Net 5yrs return (mostly up to 28th of Feb 2026)]])*Table34[[#This Row],[Investment after initial charge]]*Table34[[#This Row],[Cummulative 5yrs ongoing advice charge]]-1</f>
        <v>0.30271507265411612</v>
      </c>
      <c r="V1957" s="10">
        <v>73339000</v>
      </c>
      <c r="W1957" s="10" t="s">
        <v>29051</v>
      </c>
      <c r="X1957" s="10">
        <v>71592000</v>
      </c>
      <c r="Y1957" s="10">
        <f>X1957/V1957</f>
        <v>0.97617911343214392</v>
      </c>
      <c r="Z1957" s="10"/>
      <c r="AA1957" s="1" t="s">
        <v>30099</v>
      </c>
    </row>
    <row r="1958" spans="1:27" hidden="1" x14ac:dyDescent="0.25">
      <c r="A1958">
        <v>463221</v>
      </c>
      <c r="B1958" t="s">
        <v>2297</v>
      </c>
      <c r="C1958" t="s">
        <v>8894</v>
      </c>
      <c r="D1958">
        <v>3</v>
      </c>
      <c r="E1958" t="s">
        <v>2297</v>
      </c>
      <c r="G1958" s="3"/>
      <c r="H1958" s="21">
        <v>0</v>
      </c>
      <c r="I1958" s="21">
        <v>0</v>
      </c>
      <c r="J1958" s="21">
        <v>0</v>
      </c>
      <c r="K1958" s="21">
        <v>0</v>
      </c>
      <c r="L1958" s="3">
        <f t="shared" si="93"/>
        <v>0</v>
      </c>
      <c r="M1958" s="3"/>
      <c r="N1958" s="3">
        <f t="shared" si="94"/>
        <v>0</v>
      </c>
      <c r="R1958" s="89"/>
      <c r="S1958" s="89">
        <f>100%-Table34[[#This Row],[PDF_initial fee]]</f>
        <v>1</v>
      </c>
      <c r="T1958" s="89"/>
      <c r="U1958" s="26"/>
    </row>
    <row r="1959" spans="1:27" hidden="1" x14ac:dyDescent="0.25">
      <c r="A1959">
        <v>463257</v>
      </c>
      <c r="B1959" t="s">
        <v>2298</v>
      </c>
      <c r="C1959" t="s">
        <v>10980</v>
      </c>
      <c r="D1959">
        <v>7</v>
      </c>
      <c r="E1959" t="s">
        <v>2298</v>
      </c>
      <c r="F1959" t="s">
        <v>3</v>
      </c>
      <c r="G1959" s="3"/>
      <c r="L1959" s="3">
        <f t="shared" si="93"/>
        <v>0</v>
      </c>
      <c r="M1959" s="3"/>
      <c r="N1959" s="3">
        <f t="shared" si="94"/>
        <v>0</v>
      </c>
      <c r="R1959" s="89"/>
      <c r="S1959" s="89">
        <f>100%-Table34[[#This Row],[PDF_initial fee]]</f>
        <v>1</v>
      </c>
      <c r="T1959" s="89"/>
      <c r="U1959" s="26"/>
    </row>
    <row r="1960" spans="1:27" hidden="1" x14ac:dyDescent="0.25">
      <c r="A1960">
        <v>463264</v>
      </c>
      <c r="B1960" t="s">
        <v>2299</v>
      </c>
      <c r="C1960" t="s">
        <v>6958</v>
      </c>
      <c r="D1960">
        <v>1</v>
      </c>
      <c r="E1960" t="s">
        <v>2299</v>
      </c>
      <c r="F1960" t="s">
        <v>6958</v>
      </c>
      <c r="G1960" s="3"/>
      <c r="L1960" s="3">
        <f t="shared" si="93"/>
        <v>0</v>
      </c>
      <c r="M1960" s="3"/>
      <c r="N1960" s="3">
        <f t="shared" si="94"/>
        <v>0</v>
      </c>
      <c r="R1960" s="89"/>
      <c r="S1960" s="89">
        <f>100%-Table34[[#This Row],[PDF_initial fee]]</f>
        <v>1</v>
      </c>
      <c r="T1960" s="89"/>
      <c r="U1960" s="26"/>
    </row>
    <row r="1961" spans="1:27" hidden="1" x14ac:dyDescent="0.25">
      <c r="A1961">
        <v>463491</v>
      </c>
      <c r="B1961" t="s">
        <v>2300</v>
      </c>
      <c r="C1961" t="s">
        <v>6958</v>
      </c>
      <c r="D1961">
        <v>1</v>
      </c>
      <c r="E1961" t="s">
        <v>2300</v>
      </c>
      <c r="F1961" t="s">
        <v>6958</v>
      </c>
      <c r="G1961" s="3"/>
      <c r="H1961" s="21">
        <v>0</v>
      </c>
      <c r="I1961" s="21">
        <v>0</v>
      </c>
      <c r="J1961" s="21">
        <v>0</v>
      </c>
      <c r="K1961" s="21">
        <v>0</v>
      </c>
      <c r="L1961" s="3">
        <f t="shared" si="93"/>
        <v>0</v>
      </c>
      <c r="M1961" s="3"/>
      <c r="N1961" s="3">
        <f t="shared" si="94"/>
        <v>0</v>
      </c>
      <c r="R1961" s="89"/>
      <c r="S1961" s="89">
        <f>100%-Table34[[#This Row],[PDF_initial fee]]</f>
        <v>1</v>
      </c>
      <c r="T1961" s="89"/>
      <c r="U1961" s="26"/>
    </row>
    <row r="1962" spans="1:27" hidden="1" x14ac:dyDescent="0.25">
      <c r="A1962">
        <v>463538</v>
      </c>
      <c r="B1962" t="s">
        <v>2301</v>
      </c>
      <c r="C1962" t="s">
        <v>12560</v>
      </c>
      <c r="D1962">
        <v>1</v>
      </c>
      <c r="E1962" t="s">
        <v>2301</v>
      </c>
      <c r="G1962" s="3"/>
      <c r="H1962" s="21">
        <v>0</v>
      </c>
      <c r="I1962" s="21">
        <v>0</v>
      </c>
      <c r="J1962" s="21">
        <v>0</v>
      </c>
      <c r="K1962" s="21">
        <v>0</v>
      </c>
      <c r="L1962" s="3">
        <f t="shared" si="93"/>
        <v>0</v>
      </c>
      <c r="M1962" s="3"/>
      <c r="N1962" s="3">
        <f t="shared" si="94"/>
        <v>0</v>
      </c>
      <c r="R1962" s="89"/>
      <c r="S1962" s="89">
        <f>100%-Table34[[#This Row],[PDF_initial fee]]</f>
        <v>1</v>
      </c>
      <c r="T1962" s="89"/>
      <c r="U1962" s="26"/>
    </row>
    <row r="1963" spans="1:27" hidden="1" x14ac:dyDescent="0.25">
      <c r="A1963">
        <v>463676</v>
      </c>
      <c r="B1963" t="s">
        <v>2302</v>
      </c>
      <c r="C1963" t="s">
        <v>30113</v>
      </c>
      <c r="D1963">
        <v>2</v>
      </c>
      <c r="E1963" t="s">
        <v>2302</v>
      </c>
      <c r="F1963" t="s">
        <v>30114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0</v>
      </c>
      <c r="M1963" s="3"/>
      <c r="N1963" s="3">
        <v>0</v>
      </c>
      <c r="R1963" s="89"/>
      <c r="S1963" s="89">
        <f>100%-Table34[[#This Row],[PDF_initial fee]]</f>
        <v>1</v>
      </c>
      <c r="T1963" s="89"/>
      <c r="U1963" s="26"/>
    </row>
    <row r="1964" spans="1:27" hidden="1" x14ac:dyDescent="0.25">
      <c r="A1964">
        <v>463877</v>
      </c>
      <c r="B1964" t="s">
        <v>2304</v>
      </c>
      <c r="C1964" t="s">
        <v>6958</v>
      </c>
      <c r="D1964">
        <v>0</v>
      </c>
      <c r="E1964" t="s">
        <v>2304</v>
      </c>
      <c r="F1964" t="s">
        <v>6958</v>
      </c>
      <c r="G1964" s="3"/>
      <c r="L1964" s="3">
        <f t="shared" ref="L1964:L2027" si="95">SUM(H1964:K1964)</f>
        <v>0</v>
      </c>
      <c r="M1964" s="3"/>
      <c r="N1964" s="3">
        <f t="shared" ref="N1964:N1995" si="96">L1964+G1964</f>
        <v>0</v>
      </c>
      <c r="R1964" s="89"/>
      <c r="S1964" s="89">
        <f>100%-Table34[[#This Row],[PDF_initial fee]]</f>
        <v>1</v>
      </c>
      <c r="T1964" s="89"/>
      <c r="U1964" s="26"/>
    </row>
    <row r="1965" spans="1:27" hidden="1" x14ac:dyDescent="0.25">
      <c r="A1965">
        <v>463940</v>
      </c>
      <c r="B1965" t="s">
        <v>2306</v>
      </c>
      <c r="C1965" t="s">
        <v>6958</v>
      </c>
      <c r="D1965">
        <v>2</v>
      </c>
      <c r="E1965" t="s">
        <v>2306</v>
      </c>
      <c r="F1965" t="s">
        <v>6958</v>
      </c>
      <c r="G1965" s="3"/>
      <c r="H1965" s="21">
        <v>0</v>
      </c>
      <c r="I1965" s="21">
        <v>0</v>
      </c>
      <c r="J1965" s="21">
        <v>0</v>
      </c>
      <c r="K1965" s="21">
        <v>0</v>
      </c>
      <c r="L1965" s="3">
        <f t="shared" si="95"/>
        <v>0</v>
      </c>
      <c r="M1965" s="3"/>
      <c r="N1965" s="3">
        <f t="shared" si="96"/>
        <v>0</v>
      </c>
      <c r="R1965" s="89"/>
      <c r="S1965" s="89">
        <f>100%-Table34[[#This Row],[PDF_initial fee]]</f>
        <v>1</v>
      </c>
      <c r="T1965" s="89"/>
      <c r="U1965" s="26"/>
    </row>
    <row r="1966" spans="1:27" hidden="1" x14ac:dyDescent="0.25">
      <c r="A1966">
        <v>463965</v>
      </c>
      <c r="B1966" t="s">
        <v>2307</v>
      </c>
      <c r="C1966" t="s">
        <v>6958</v>
      </c>
      <c r="D1966">
        <v>1</v>
      </c>
      <c r="E1966" t="s">
        <v>2307</v>
      </c>
      <c r="F1966" t="s">
        <v>6958</v>
      </c>
      <c r="G1966" s="3"/>
      <c r="H1966" s="21">
        <v>0</v>
      </c>
      <c r="I1966" s="21">
        <v>0</v>
      </c>
      <c r="J1966" s="21">
        <v>0</v>
      </c>
      <c r="K1966" s="21">
        <v>0</v>
      </c>
      <c r="L1966" s="3">
        <f t="shared" si="95"/>
        <v>0</v>
      </c>
      <c r="M1966" s="3"/>
      <c r="N1966" s="3">
        <f t="shared" si="96"/>
        <v>0</v>
      </c>
      <c r="R1966" s="89"/>
      <c r="S1966" s="89">
        <f>100%-Table34[[#This Row],[PDF_initial fee]]</f>
        <v>1</v>
      </c>
      <c r="T1966" s="89"/>
      <c r="U1966" s="26"/>
    </row>
    <row r="1967" spans="1:27" hidden="1" x14ac:dyDescent="0.25">
      <c r="A1967">
        <v>464072</v>
      </c>
      <c r="B1967" t="s">
        <v>2308</v>
      </c>
      <c r="C1967" s="1" t="s">
        <v>30115</v>
      </c>
      <c r="D1967">
        <v>12</v>
      </c>
      <c r="E1967" t="s">
        <v>2308</v>
      </c>
      <c r="F1967" t="s">
        <v>3</v>
      </c>
      <c r="G1967" s="3"/>
      <c r="H1967" s="21">
        <v>0</v>
      </c>
      <c r="I1967" s="21">
        <v>0</v>
      </c>
      <c r="J1967" s="21">
        <v>0</v>
      </c>
      <c r="K1967" s="21">
        <v>0</v>
      </c>
      <c r="L1967" s="3">
        <f t="shared" si="95"/>
        <v>0</v>
      </c>
      <c r="M1967" s="3"/>
      <c r="N1967" s="3">
        <f t="shared" si="96"/>
        <v>0</v>
      </c>
      <c r="R1967" s="89"/>
      <c r="S1967" s="89">
        <f>100%-Table34[[#This Row],[PDF_initial fee]]</f>
        <v>1</v>
      </c>
      <c r="T1967" s="89"/>
      <c r="U1967" s="26"/>
    </row>
    <row r="1968" spans="1:27" hidden="1" x14ac:dyDescent="0.25">
      <c r="A1968">
        <v>464138</v>
      </c>
      <c r="B1968" t="s">
        <v>2309</v>
      </c>
      <c r="C1968" t="s">
        <v>12335</v>
      </c>
      <c r="D1968">
        <v>1</v>
      </c>
      <c r="E1968" t="s">
        <v>2309</v>
      </c>
      <c r="G1968" s="3"/>
      <c r="H1968" s="21">
        <v>0</v>
      </c>
      <c r="I1968" s="21">
        <v>0</v>
      </c>
      <c r="J1968" s="21">
        <v>0</v>
      </c>
      <c r="K1968" s="21">
        <v>0</v>
      </c>
      <c r="L1968" s="3">
        <f t="shared" si="95"/>
        <v>0</v>
      </c>
      <c r="M1968" s="3"/>
      <c r="N1968" s="3">
        <f t="shared" si="96"/>
        <v>0</v>
      </c>
      <c r="R1968" s="89"/>
      <c r="S1968" s="89">
        <f>100%-Table34[[#This Row],[PDF_initial fee]]</f>
        <v>1</v>
      </c>
      <c r="T1968" s="89"/>
      <c r="U1968" s="26"/>
    </row>
    <row r="1969" spans="1:27" hidden="1" x14ac:dyDescent="0.25">
      <c r="A1969">
        <v>464292</v>
      </c>
      <c r="B1969" t="s">
        <v>2311</v>
      </c>
      <c r="C1969" t="s">
        <v>30116</v>
      </c>
      <c r="D1969">
        <v>0</v>
      </c>
      <c r="E1969" t="s">
        <v>2311</v>
      </c>
      <c r="F1969" t="s">
        <v>29136</v>
      </c>
      <c r="G1969" s="3"/>
      <c r="H1969" s="21">
        <v>0</v>
      </c>
      <c r="I1969" s="21">
        <v>0</v>
      </c>
      <c r="J1969" s="21">
        <v>0</v>
      </c>
      <c r="K1969" s="21">
        <v>0</v>
      </c>
      <c r="L1969" s="3">
        <f t="shared" si="95"/>
        <v>0</v>
      </c>
      <c r="M1969" s="3"/>
      <c r="N1969" s="3">
        <f t="shared" si="96"/>
        <v>0</v>
      </c>
      <c r="O1969" s="21"/>
      <c r="R1969" s="89"/>
      <c r="S1969" s="89">
        <f>100%-Table34[[#This Row],[PDF_initial fee]]</f>
        <v>1</v>
      </c>
      <c r="T1969" s="89"/>
      <c r="U1969" s="26"/>
    </row>
    <row r="1970" spans="1:27" hidden="1" x14ac:dyDescent="0.25">
      <c r="A1970">
        <v>464325</v>
      </c>
      <c r="B1970" t="s">
        <v>2313</v>
      </c>
      <c r="C1970" t="s">
        <v>30117</v>
      </c>
      <c r="D1970">
        <v>1</v>
      </c>
      <c r="E1970" t="s">
        <v>2313</v>
      </c>
      <c r="F1970" t="s">
        <v>30118</v>
      </c>
      <c r="G1970" s="3"/>
      <c r="H1970" s="21">
        <v>0</v>
      </c>
      <c r="I1970" s="21">
        <v>0</v>
      </c>
      <c r="J1970" s="21">
        <v>0</v>
      </c>
      <c r="K1970" s="21">
        <v>0</v>
      </c>
      <c r="L1970" s="3">
        <f t="shared" si="95"/>
        <v>0</v>
      </c>
      <c r="M1970" s="3"/>
      <c r="N1970" s="3">
        <f t="shared" si="96"/>
        <v>0</v>
      </c>
      <c r="O1970" s="21"/>
      <c r="R1970" s="89"/>
      <c r="S1970" s="89">
        <f>100%-Table34[[#This Row],[PDF_initial fee]]</f>
        <v>1</v>
      </c>
      <c r="T1970" s="89"/>
      <c r="U1970" s="26"/>
    </row>
    <row r="1971" spans="1:27" hidden="1" x14ac:dyDescent="0.25">
      <c r="A1971">
        <v>464374</v>
      </c>
      <c r="B1971" t="s">
        <v>2314</v>
      </c>
      <c r="C1971" t="s">
        <v>6958</v>
      </c>
      <c r="D1971">
        <v>3</v>
      </c>
      <c r="E1971" t="s">
        <v>2314</v>
      </c>
      <c r="F1971" t="s">
        <v>6958</v>
      </c>
      <c r="G1971" s="3"/>
      <c r="H1971" s="21">
        <v>0</v>
      </c>
      <c r="I1971" s="21">
        <v>0</v>
      </c>
      <c r="J1971" s="21">
        <v>0</v>
      </c>
      <c r="K1971" s="21">
        <v>0</v>
      </c>
      <c r="L1971" s="3">
        <f t="shared" si="95"/>
        <v>0</v>
      </c>
      <c r="M1971" s="3"/>
      <c r="N1971" s="3">
        <f t="shared" si="96"/>
        <v>0</v>
      </c>
      <c r="O1971" s="21"/>
      <c r="R1971" s="89"/>
      <c r="S1971" s="89">
        <f>100%-Table34[[#This Row],[PDF_initial fee]]</f>
        <v>1</v>
      </c>
      <c r="T1971" s="89"/>
      <c r="U1971" s="26"/>
    </row>
    <row r="1972" spans="1:27" hidden="1" x14ac:dyDescent="0.25">
      <c r="A1972">
        <v>464494</v>
      </c>
      <c r="B1972" t="s">
        <v>2316</v>
      </c>
      <c r="C1972" t="s">
        <v>30119</v>
      </c>
      <c r="D1972">
        <v>5</v>
      </c>
      <c r="E1972" t="s">
        <v>2316</v>
      </c>
      <c r="G1972" s="3"/>
      <c r="L1972" s="3">
        <f t="shared" si="95"/>
        <v>0</v>
      </c>
      <c r="M1972" s="3"/>
      <c r="N1972" s="3">
        <f t="shared" si="96"/>
        <v>0</v>
      </c>
      <c r="R1972" s="89"/>
      <c r="S1972" s="89">
        <f>100%-Table34[[#This Row],[PDF_initial fee]]</f>
        <v>1</v>
      </c>
      <c r="T1972" s="89"/>
      <c r="U1972" s="26"/>
    </row>
    <row r="1973" spans="1:27" hidden="1" x14ac:dyDescent="0.25">
      <c r="A1973">
        <v>464549</v>
      </c>
      <c r="B1973" t="s">
        <v>2317</v>
      </c>
      <c r="C1973" t="s">
        <v>6958</v>
      </c>
      <c r="D1973">
        <v>1</v>
      </c>
      <c r="E1973" t="s">
        <v>2317</v>
      </c>
      <c r="F1973" t="s">
        <v>6958</v>
      </c>
      <c r="G1973" s="3"/>
      <c r="H1973" s="21">
        <v>0</v>
      </c>
      <c r="I1973" s="21">
        <v>0</v>
      </c>
      <c r="J1973" s="21">
        <v>0</v>
      </c>
      <c r="K1973" s="21">
        <v>0</v>
      </c>
      <c r="L1973" s="3">
        <f t="shared" si="95"/>
        <v>0</v>
      </c>
      <c r="M1973" s="3"/>
      <c r="N1973" s="3">
        <f t="shared" si="96"/>
        <v>0</v>
      </c>
      <c r="R1973" s="89"/>
      <c r="S1973" s="89">
        <f>100%-Table34[[#This Row],[PDF_initial fee]]</f>
        <v>1</v>
      </c>
      <c r="T1973" s="89"/>
      <c r="U1973" s="26"/>
    </row>
    <row r="1974" spans="1:27" hidden="1" x14ac:dyDescent="0.25">
      <c r="A1974">
        <v>464703</v>
      </c>
      <c r="B1974" t="s">
        <v>2318</v>
      </c>
      <c r="C1974" t="s">
        <v>11794</v>
      </c>
      <c r="D1974">
        <v>1</v>
      </c>
      <c r="E1974" t="s">
        <v>2318</v>
      </c>
      <c r="G1974" s="3"/>
      <c r="H1974" s="21">
        <v>0</v>
      </c>
      <c r="I1974" s="21">
        <v>0</v>
      </c>
      <c r="J1974" s="21">
        <v>0</v>
      </c>
      <c r="K1974" s="21">
        <v>0</v>
      </c>
      <c r="L1974" s="3">
        <f t="shared" si="95"/>
        <v>0</v>
      </c>
      <c r="M1974" s="3"/>
      <c r="N1974" s="3">
        <f t="shared" si="96"/>
        <v>0</v>
      </c>
      <c r="R1974" s="89"/>
      <c r="S1974" s="89">
        <f>100%-Table34[[#This Row],[PDF_initial fee]]</f>
        <v>1</v>
      </c>
      <c r="T1974" s="89"/>
      <c r="U1974" s="26"/>
    </row>
    <row r="1975" spans="1:27" hidden="1" x14ac:dyDescent="0.25">
      <c r="A1975">
        <v>464940</v>
      </c>
      <c r="B1975" t="s">
        <v>2319</v>
      </c>
      <c r="C1975" t="s">
        <v>11943</v>
      </c>
      <c r="D1975">
        <v>2</v>
      </c>
      <c r="E1975" t="s">
        <v>2319</v>
      </c>
      <c r="G1975" s="3"/>
      <c r="H1975" s="21">
        <v>0</v>
      </c>
      <c r="I1975" s="21">
        <v>0</v>
      </c>
      <c r="J1975" s="21">
        <v>0</v>
      </c>
      <c r="K1975" s="21">
        <v>0</v>
      </c>
      <c r="L1975" s="3">
        <f t="shared" si="95"/>
        <v>0</v>
      </c>
      <c r="M1975" s="3"/>
      <c r="N1975" s="3">
        <f t="shared" si="96"/>
        <v>0</v>
      </c>
      <c r="R1975" s="89"/>
      <c r="S1975" s="89">
        <f>100%-Table34[[#This Row],[PDF_initial fee]]</f>
        <v>1</v>
      </c>
      <c r="T1975" s="89"/>
      <c r="U1975" s="26"/>
    </row>
    <row r="1976" spans="1:27" x14ac:dyDescent="0.25">
      <c r="A1976">
        <v>134190</v>
      </c>
      <c r="B1976" t="s">
        <v>42</v>
      </c>
      <c r="C1976" t="s">
        <v>30095</v>
      </c>
      <c r="D1976">
        <v>230</v>
      </c>
      <c r="E1976" t="s">
        <v>42</v>
      </c>
      <c r="F1976" t="s">
        <v>6</v>
      </c>
      <c r="G1976" s="3">
        <v>1.2200000000000001E-2</v>
      </c>
      <c r="H1976" s="3">
        <v>0.02</v>
      </c>
      <c r="I1976" s="3">
        <v>4.0000000000000001E-3</v>
      </c>
      <c r="J1976" s="6">
        <v>0</v>
      </c>
      <c r="K1976" s="6">
        <v>0</v>
      </c>
      <c r="L1976" s="3">
        <f t="shared" si="95"/>
        <v>2.4E-2</v>
      </c>
      <c r="M1976" s="3"/>
      <c r="N1976" s="3">
        <f t="shared" si="96"/>
        <v>3.6200000000000003E-2</v>
      </c>
      <c r="O1976" t="s">
        <v>30105</v>
      </c>
      <c r="P1976" s="1" t="s">
        <v>30097</v>
      </c>
      <c r="Q1976" s="1" t="s">
        <v>30098</v>
      </c>
      <c r="R1976" s="89">
        <f>207.5/153-1</f>
        <v>0.35620915032679745</v>
      </c>
      <c r="S1976" s="89">
        <f>100%-Table34[[#This Row],[InitialFee]]</f>
        <v>0.98</v>
      </c>
      <c r="T1976" s="89">
        <f>(1-Table34[[#This Row],[OngoingFee (plus Platform fee)]])^5</f>
        <v>0.98015936127897596</v>
      </c>
      <c r="U1976" s="26">
        <f>(1+Table34[[#This Row],[Net 5yrs return (mostly up to 28th of Feb 2026)]])*Table34[[#This Row],[Investment after initial charge]]*Table34[[#This Row],[Cummulative 5yrs ongoing advice charge]]-1</f>
        <v>0.30271507265411612</v>
      </c>
      <c r="V1976" s="10">
        <v>74976000</v>
      </c>
      <c r="W1976" s="10" t="s">
        <v>29051</v>
      </c>
      <c r="X1976" s="10">
        <v>62439000</v>
      </c>
      <c r="Y1976" s="10">
        <f>X1976/V1976</f>
        <v>0.83278649167733676</v>
      </c>
      <c r="Z1976" s="10"/>
      <c r="AA1976" s="1" t="s">
        <v>30120</v>
      </c>
    </row>
    <row r="1977" spans="1:27" hidden="1" x14ac:dyDescent="0.25">
      <c r="A1977">
        <v>464973</v>
      </c>
      <c r="B1977" t="s">
        <v>2320</v>
      </c>
      <c r="C1977" t="s">
        <v>12445</v>
      </c>
      <c r="D1977">
        <v>1</v>
      </c>
      <c r="E1977" t="s">
        <v>2320</v>
      </c>
      <c r="G1977" s="3"/>
      <c r="H1977" s="21">
        <v>0</v>
      </c>
      <c r="I1977" s="21">
        <v>0</v>
      </c>
      <c r="J1977" s="21">
        <v>0</v>
      </c>
      <c r="K1977" s="21">
        <v>0</v>
      </c>
      <c r="L1977" s="3">
        <f t="shared" si="95"/>
        <v>0</v>
      </c>
      <c r="M1977" s="3"/>
      <c r="N1977" s="3">
        <f t="shared" si="96"/>
        <v>0</v>
      </c>
      <c r="R1977" s="89"/>
      <c r="S1977" s="89">
        <f>100%-Table34[[#This Row],[PDF_initial fee]]</f>
        <v>1</v>
      </c>
      <c r="T1977" s="89"/>
      <c r="U1977" s="26"/>
    </row>
    <row r="1978" spans="1:27" hidden="1" x14ac:dyDescent="0.25">
      <c r="A1978">
        <v>464997</v>
      </c>
      <c r="B1978" t="s">
        <v>2321</v>
      </c>
      <c r="C1978" t="s">
        <v>10324</v>
      </c>
      <c r="D1978">
        <v>5</v>
      </c>
      <c r="E1978" t="s">
        <v>2321</v>
      </c>
      <c r="F1978" t="s">
        <v>3</v>
      </c>
      <c r="G1978" s="3"/>
      <c r="L1978" s="3">
        <f t="shared" si="95"/>
        <v>0</v>
      </c>
      <c r="M1978" s="3"/>
      <c r="N1978" s="3">
        <f t="shared" si="96"/>
        <v>0</v>
      </c>
      <c r="R1978" s="89"/>
      <c r="S1978" s="89">
        <f>100%-Table34[[#This Row],[PDF_initial fee]]</f>
        <v>1</v>
      </c>
      <c r="T1978" s="89"/>
      <c r="U1978" s="26"/>
    </row>
    <row r="1979" spans="1:27" hidden="1" x14ac:dyDescent="0.25">
      <c r="A1979">
        <v>465050</v>
      </c>
      <c r="B1979" t="s">
        <v>2322</v>
      </c>
      <c r="C1979" t="s">
        <v>29866</v>
      </c>
      <c r="D1979">
        <v>0</v>
      </c>
      <c r="E1979" t="s">
        <v>2322</v>
      </c>
      <c r="F1979" t="s">
        <v>29136</v>
      </c>
      <c r="G1979" s="3"/>
      <c r="H1979" s="21">
        <v>0</v>
      </c>
      <c r="I1979" s="21">
        <v>0</v>
      </c>
      <c r="J1979" s="21">
        <v>0</v>
      </c>
      <c r="K1979" s="21">
        <v>0</v>
      </c>
      <c r="L1979" s="3">
        <f t="shared" si="95"/>
        <v>0</v>
      </c>
      <c r="M1979" s="3"/>
      <c r="N1979" s="3">
        <f t="shared" si="96"/>
        <v>0</v>
      </c>
      <c r="O1979" s="21"/>
      <c r="R1979" s="89"/>
      <c r="S1979" s="89">
        <f>100%-Table34[[#This Row],[PDF_initial fee]]</f>
        <v>1</v>
      </c>
      <c r="T1979" s="89"/>
      <c r="U1979" s="26"/>
    </row>
    <row r="1980" spans="1:27" hidden="1" x14ac:dyDescent="0.25">
      <c r="A1980">
        <v>465051</v>
      </c>
      <c r="B1980" t="s">
        <v>2323</v>
      </c>
      <c r="C1980" t="s">
        <v>9197</v>
      </c>
      <c r="D1980">
        <v>4</v>
      </c>
      <c r="E1980" t="s">
        <v>2323</v>
      </c>
      <c r="G1980" s="3"/>
      <c r="H1980" s="21">
        <v>0</v>
      </c>
      <c r="I1980" s="21">
        <v>0</v>
      </c>
      <c r="J1980" s="21">
        <v>0</v>
      </c>
      <c r="K1980" s="21">
        <v>0</v>
      </c>
      <c r="L1980" s="3">
        <f t="shared" si="95"/>
        <v>0</v>
      </c>
      <c r="M1980" s="3"/>
      <c r="N1980" s="3">
        <f t="shared" si="96"/>
        <v>0</v>
      </c>
      <c r="R1980" s="89"/>
      <c r="S1980" s="89">
        <f>100%-Table34[[#This Row],[PDF_initial fee]]</f>
        <v>1</v>
      </c>
      <c r="T1980" s="89"/>
      <c r="U1980" s="26"/>
    </row>
    <row r="1981" spans="1:27" hidden="1" x14ac:dyDescent="0.25">
      <c r="A1981">
        <v>465096</v>
      </c>
      <c r="B1981" t="s">
        <v>2324</v>
      </c>
      <c r="C1981" t="s">
        <v>9028</v>
      </c>
      <c r="D1981">
        <v>1</v>
      </c>
      <c r="E1981" t="s">
        <v>2324</v>
      </c>
      <c r="G1981" s="3"/>
      <c r="H1981" s="21">
        <v>0</v>
      </c>
      <c r="I1981" s="21">
        <v>0</v>
      </c>
      <c r="J1981" s="21">
        <v>0</v>
      </c>
      <c r="K1981" s="21">
        <v>0</v>
      </c>
      <c r="L1981" s="3">
        <f t="shared" si="95"/>
        <v>0</v>
      </c>
      <c r="M1981" s="3"/>
      <c r="N1981" s="3">
        <f t="shared" si="96"/>
        <v>0</v>
      </c>
      <c r="R1981" s="89"/>
      <c r="S1981" s="89">
        <f>100%-Table34[[#This Row],[PDF_initial fee]]</f>
        <v>1</v>
      </c>
      <c r="T1981" s="89"/>
      <c r="U1981" s="26"/>
    </row>
    <row r="1982" spans="1:27" hidden="1" x14ac:dyDescent="0.25">
      <c r="A1982">
        <v>465124</v>
      </c>
      <c r="B1982" t="s">
        <v>2325</v>
      </c>
      <c r="C1982" t="s">
        <v>11699</v>
      </c>
      <c r="D1982">
        <v>260</v>
      </c>
      <c r="E1982" t="s">
        <v>2325</v>
      </c>
      <c r="F1982" t="s">
        <v>3</v>
      </c>
      <c r="G1982" s="3"/>
      <c r="H1982" s="21">
        <v>0</v>
      </c>
      <c r="I1982" s="21">
        <v>0</v>
      </c>
      <c r="J1982" s="21">
        <v>0</v>
      </c>
      <c r="K1982" s="21">
        <v>0</v>
      </c>
      <c r="L1982" s="3">
        <f t="shared" si="95"/>
        <v>0</v>
      </c>
      <c r="M1982" s="3"/>
      <c r="N1982" s="3">
        <f t="shared" si="96"/>
        <v>0</v>
      </c>
      <c r="R1982" s="89"/>
      <c r="S1982" s="89">
        <f>100%-Table34[[#This Row],[PDF_initial fee]]</f>
        <v>1</v>
      </c>
      <c r="T1982" s="89"/>
      <c r="U1982" s="26"/>
    </row>
    <row r="1983" spans="1:27" hidden="1" x14ac:dyDescent="0.25">
      <c r="A1983">
        <v>465127</v>
      </c>
      <c r="B1983" t="s">
        <v>2326</v>
      </c>
      <c r="C1983" t="s">
        <v>30121</v>
      </c>
      <c r="D1983">
        <v>6</v>
      </c>
      <c r="E1983" t="s">
        <v>2326</v>
      </c>
      <c r="G1983" s="3"/>
      <c r="L1983" s="3">
        <f t="shared" si="95"/>
        <v>0</v>
      </c>
      <c r="M1983" s="3"/>
      <c r="N1983" s="3">
        <f t="shared" si="96"/>
        <v>0</v>
      </c>
      <c r="R1983" s="89"/>
      <c r="S1983" s="89">
        <f>100%-Table34[[#This Row],[PDF_initial fee]]</f>
        <v>1</v>
      </c>
      <c r="T1983" s="89"/>
      <c r="U1983" s="26"/>
    </row>
    <row r="1984" spans="1:27" hidden="1" x14ac:dyDescent="0.25">
      <c r="A1984">
        <v>465320</v>
      </c>
      <c r="B1984" t="s">
        <v>2327</v>
      </c>
      <c r="C1984" t="s">
        <v>30122</v>
      </c>
      <c r="D1984">
        <v>1</v>
      </c>
      <c r="E1984" t="s">
        <v>2327</v>
      </c>
      <c r="G1984" s="3"/>
      <c r="H1984" s="21">
        <v>0</v>
      </c>
      <c r="I1984" s="21">
        <v>0</v>
      </c>
      <c r="J1984" s="21">
        <v>0</v>
      </c>
      <c r="K1984" s="21">
        <v>0</v>
      </c>
      <c r="L1984" s="3">
        <f t="shared" si="95"/>
        <v>0</v>
      </c>
      <c r="M1984" s="3"/>
      <c r="N1984" s="3">
        <f t="shared" si="96"/>
        <v>0</v>
      </c>
      <c r="O1984" s="21"/>
      <c r="R1984" s="89"/>
      <c r="S1984" s="89">
        <f>100%-Table34[[#This Row],[PDF_initial fee]]</f>
        <v>1</v>
      </c>
      <c r="T1984" s="89"/>
      <c r="U1984" s="26"/>
    </row>
    <row r="1985" spans="1:21" hidden="1" x14ac:dyDescent="0.25">
      <c r="A1985">
        <v>465408</v>
      </c>
      <c r="B1985" t="s">
        <v>2328</v>
      </c>
      <c r="C1985" t="s">
        <v>30123</v>
      </c>
      <c r="D1985">
        <v>5</v>
      </c>
      <c r="E1985" t="s">
        <v>2328</v>
      </c>
      <c r="G1985" s="3"/>
      <c r="H1985" s="21">
        <v>0</v>
      </c>
      <c r="I1985" s="21">
        <v>0</v>
      </c>
      <c r="J1985" s="21">
        <v>0</v>
      </c>
      <c r="K1985" s="21">
        <v>0</v>
      </c>
      <c r="L1985" s="3">
        <f t="shared" si="95"/>
        <v>0</v>
      </c>
      <c r="M1985" s="3"/>
      <c r="N1985" s="3">
        <f t="shared" si="96"/>
        <v>0</v>
      </c>
      <c r="O1985" s="21"/>
      <c r="R1985" s="89"/>
      <c r="S1985" s="89">
        <f>100%-Table34[[#This Row],[PDF_initial fee]]</f>
        <v>1</v>
      </c>
      <c r="T1985" s="89"/>
      <c r="U1985" s="26"/>
    </row>
    <row r="1986" spans="1:21" hidden="1" x14ac:dyDescent="0.25">
      <c r="A1986">
        <v>465484</v>
      </c>
      <c r="B1986" t="s">
        <v>2329</v>
      </c>
      <c r="C1986" t="s">
        <v>6958</v>
      </c>
      <c r="D1986">
        <v>3</v>
      </c>
      <c r="E1986" t="s">
        <v>2329</v>
      </c>
      <c r="F1986" t="s">
        <v>6958</v>
      </c>
      <c r="G1986" s="3"/>
      <c r="H1986" s="21">
        <v>0</v>
      </c>
      <c r="I1986" s="21">
        <v>0</v>
      </c>
      <c r="J1986" s="21">
        <v>0</v>
      </c>
      <c r="K1986" s="21">
        <v>0</v>
      </c>
      <c r="L1986" s="3">
        <f t="shared" si="95"/>
        <v>0</v>
      </c>
      <c r="M1986" s="3"/>
      <c r="N1986" s="3">
        <f t="shared" si="96"/>
        <v>0</v>
      </c>
      <c r="R1986" s="89"/>
      <c r="S1986" s="89">
        <f>100%-Table34[[#This Row],[PDF_initial fee]]</f>
        <v>1</v>
      </c>
      <c r="T1986" s="89"/>
      <c r="U1986" s="26"/>
    </row>
    <row r="1987" spans="1:21" hidden="1" x14ac:dyDescent="0.25">
      <c r="A1987">
        <v>465557</v>
      </c>
      <c r="B1987" t="s">
        <v>2330</v>
      </c>
      <c r="C1987" t="s">
        <v>10400</v>
      </c>
      <c r="D1987">
        <v>4</v>
      </c>
      <c r="E1987" t="s">
        <v>2330</v>
      </c>
      <c r="G1987" s="3"/>
      <c r="H1987" s="21">
        <v>0</v>
      </c>
      <c r="I1987" s="21">
        <v>0</v>
      </c>
      <c r="J1987" s="21">
        <v>0</v>
      </c>
      <c r="K1987" s="21">
        <v>0</v>
      </c>
      <c r="L1987" s="3">
        <f t="shared" si="95"/>
        <v>0</v>
      </c>
      <c r="M1987" s="3"/>
      <c r="N1987" s="3">
        <f t="shared" si="96"/>
        <v>0</v>
      </c>
      <c r="R1987" s="89"/>
      <c r="S1987" s="89">
        <f>100%-Table34[[#This Row],[PDF_initial fee]]</f>
        <v>1</v>
      </c>
      <c r="T1987" s="89"/>
      <c r="U1987" s="26"/>
    </row>
    <row r="1988" spans="1:21" hidden="1" x14ac:dyDescent="0.25">
      <c r="A1988">
        <v>465610</v>
      </c>
      <c r="B1988" t="s">
        <v>2332</v>
      </c>
      <c r="C1988" t="s">
        <v>10675</v>
      </c>
      <c r="D1988">
        <v>1</v>
      </c>
      <c r="E1988" t="s">
        <v>2332</v>
      </c>
      <c r="G1988" s="3"/>
      <c r="H1988" s="21">
        <v>0</v>
      </c>
      <c r="I1988" s="21">
        <v>0</v>
      </c>
      <c r="J1988" s="21">
        <v>0</v>
      </c>
      <c r="K1988" s="21">
        <v>0</v>
      </c>
      <c r="L1988" s="3">
        <f t="shared" si="95"/>
        <v>0</v>
      </c>
      <c r="M1988" s="3"/>
      <c r="N1988" s="3">
        <f t="shared" si="96"/>
        <v>0</v>
      </c>
      <c r="R1988" s="89"/>
      <c r="S1988" s="89">
        <f>100%-Table34[[#This Row],[PDF_initial fee]]</f>
        <v>1</v>
      </c>
      <c r="T1988" s="89"/>
      <c r="U1988" s="26"/>
    </row>
    <row r="1989" spans="1:21" hidden="1" x14ac:dyDescent="0.25">
      <c r="A1989">
        <v>465681</v>
      </c>
      <c r="B1989" t="s">
        <v>2333</v>
      </c>
      <c r="C1989" t="s">
        <v>9856</v>
      </c>
      <c r="D1989">
        <v>1</v>
      </c>
      <c r="E1989" t="s">
        <v>2333</v>
      </c>
      <c r="G1989" s="3"/>
      <c r="H1989" s="21">
        <v>0</v>
      </c>
      <c r="I1989" s="21">
        <v>0</v>
      </c>
      <c r="J1989" s="21">
        <v>0</v>
      </c>
      <c r="K1989" s="21">
        <v>0</v>
      </c>
      <c r="L1989" s="3">
        <f t="shared" si="95"/>
        <v>0</v>
      </c>
      <c r="M1989" s="3"/>
      <c r="N1989" s="3">
        <f t="shared" si="96"/>
        <v>0</v>
      </c>
      <c r="R1989" s="89"/>
      <c r="S1989" s="89">
        <f>100%-Table34[[#This Row],[PDF_initial fee]]</f>
        <v>1</v>
      </c>
      <c r="T1989" s="89"/>
      <c r="U1989" s="26"/>
    </row>
    <row r="1990" spans="1:21" hidden="1" x14ac:dyDescent="0.25">
      <c r="A1990">
        <v>465838</v>
      </c>
      <c r="B1990" t="s">
        <v>2334</v>
      </c>
      <c r="C1990" t="s">
        <v>7252</v>
      </c>
      <c r="D1990">
        <v>4</v>
      </c>
      <c r="E1990" t="s">
        <v>2334</v>
      </c>
      <c r="G1990" s="3"/>
      <c r="H1990" s="21">
        <v>0</v>
      </c>
      <c r="I1990" s="21">
        <v>0</v>
      </c>
      <c r="J1990" s="21">
        <v>0</v>
      </c>
      <c r="K1990" s="21">
        <v>0</v>
      </c>
      <c r="L1990" s="3">
        <f t="shared" si="95"/>
        <v>0</v>
      </c>
      <c r="M1990" s="3"/>
      <c r="N1990" s="3">
        <f t="shared" si="96"/>
        <v>0</v>
      </c>
      <c r="R1990" s="89"/>
      <c r="S1990" s="89">
        <f>100%-Table34[[#This Row],[PDF_initial fee]]</f>
        <v>1</v>
      </c>
      <c r="T1990" s="89"/>
      <c r="U1990" s="26"/>
    </row>
    <row r="1991" spans="1:21" hidden="1" x14ac:dyDescent="0.25">
      <c r="A1991">
        <v>465861</v>
      </c>
      <c r="B1991" t="s">
        <v>2335</v>
      </c>
      <c r="C1991" t="s">
        <v>8028</v>
      </c>
      <c r="D1991">
        <v>4</v>
      </c>
      <c r="E1991" t="s">
        <v>2335</v>
      </c>
      <c r="G1991" s="3"/>
      <c r="H1991" s="21">
        <v>0</v>
      </c>
      <c r="I1991" s="21">
        <v>0</v>
      </c>
      <c r="J1991" s="21">
        <v>0</v>
      </c>
      <c r="K1991" s="21">
        <v>0</v>
      </c>
      <c r="L1991" s="3">
        <f t="shared" si="95"/>
        <v>0</v>
      </c>
      <c r="M1991" s="3"/>
      <c r="N1991" s="3">
        <f t="shared" si="96"/>
        <v>0</v>
      </c>
      <c r="R1991" s="89"/>
      <c r="S1991" s="89">
        <f>100%-Table34[[#This Row],[PDF_initial fee]]</f>
        <v>1</v>
      </c>
      <c r="T1991" s="89"/>
      <c r="U1991" s="26"/>
    </row>
    <row r="1992" spans="1:21" hidden="1" x14ac:dyDescent="0.25">
      <c r="A1992">
        <v>466062</v>
      </c>
      <c r="B1992" t="s">
        <v>2336</v>
      </c>
      <c r="C1992" t="s">
        <v>30124</v>
      </c>
      <c r="D1992">
        <v>1</v>
      </c>
      <c r="E1992" t="s">
        <v>2336</v>
      </c>
      <c r="G1992" s="3"/>
      <c r="L1992" s="3">
        <f t="shared" si="95"/>
        <v>0</v>
      </c>
      <c r="M1992" s="3"/>
      <c r="N1992" s="3">
        <f t="shared" si="96"/>
        <v>0</v>
      </c>
      <c r="R1992" s="89"/>
      <c r="S1992" s="89">
        <f>100%-Table34[[#This Row],[PDF_initial fee]]</f>
        <v>1</v>
      </c>
      <c r="T1992" s="89"/>
      <c r="U1992" s="26"/>
    </row>
    <row r="1993" spans="1:21" hidden="1" x14ac:dyDescent="0.25">
      <c r="A1993">
        <v>466128</v>
      </c>
      <c r="B1993" t="s">
        <v>2337</v>
      </c>
      <c r="C1993" t="s">
        <v>7540</v>
      </c>
      <c r="D1993">
        <v>1</v>
      </c>
      <c r="E1993" t="s">
        <v>2337</v>
      </c>
      <c r="G1993" s="3"/>
      <c r="H1993" s="21">
        <v>0</v>
      </c>
      <c r="I1993" s="21">
        <v>0</v>
      </c>
      <c r="J1993" s="21">
        <v>0</v>
      </c>
      <c r="K1993" s="21">
        <v>0</v>
      </c>
      <c r="L1993" s="3">
        <f t="shared" si="95"/>
        <v>0</v>
      </c>
      <c r="M1993" s="3"/>
      <c r="N1993" s="3">
        <f t="shared" si="96"/>
        <v>0</v>
      </c>
      <c r="R1993" s="89"/>
      <c r="S1993" s="89">
        <f>100%-Table34[[#This Row],[PDF_initial fee]]</f>
        <v>1</v>
      </c>
      <c r="T1993" s="89"/>
      <c r="U1993" s="26"/>
    </row>
    <row r="1994" spans="1:21" hidden="1" x14ac:dyDescent="0.25">
      <c r="A1994">
        <v>466149</v>
      </c>
      <c r="B1994" t="s">
        <v>2338</v>
      </c>
      <c r="C1994" t="s">
        <v>7198</v>
      </c>
      <c r="D1994">
        <v>3</v>
      </c>
      <c r="E1994" t="s">
        <v>2338</v>
      </c>
      <c r="G1994" s="3"/>
      <c r="H1994" s="21">
        <v>0</v>
      </c>
      <c r="I1994" s="21">
        <v>0</v>
      </c>
      <c r="J1994" s="21">
        <v>0</v>
      </c>
      <c r="K1994" s="21">
        <v>0</v>
      </c>
      <c r="L1994" s="3">
        <f t="shared" si="95"/>
        <v>0</v>
      </c>
      <c r="M1994" s="3"/>
      <c r="N1994" s="3">
        <f t="shared" si="96"/>
        <v>0</v>
      </c>
      <c r="R1994" s="89"/>
      <c r="S1994" s="89">
        <f>100%-Table34[[#This Row],[PDF_initial fee]]</f>
        <v>1</v>
      </c>
      <c r="T1994" s="89"/>
      <c r="U1994" s="26"/>
    </row>
    <row r="1995" spans="1:21" hidden="1" x14ac:dyDescent="0.25">
      <c r="A1995">
        <v>466162</v>
      </c>
      <c r="B1995" t="s">
        <v>2339</v>
      </c>
      <c r="C1995" t="s">
        <v>10639</v>
      </c>
      <c r="D1995">
        <v>1</v>
      </c>
      <c r="E1995" t="s">
        <v>2339</v>
      </c>
      <c r="G1995" s="3"/>
      <c r="H1995" s="21">
        <v>0</v>
      </c>
      <c r="I1995" s="21">
        <v>0</v>
      </c>
      <c r="J1995" s="21">
        <v>0</v>
      </c>
      <c r="K1995" s="21">
        <v>0</v>
      </c>
      <c r="L1995" s="3">
        <f t="shared" si="95"/>
        <v>0</v>
      </c>
      <c r="M1995" s="3"/>
      <c r="N1995" s="3">
        <f t="shared" si="96"/>
        <v>0</v>
      </c>
      <c r="R1995" s="89"/>
      <c r="S1995" s="89">
        <f>100%-Table34[[#This Row],[PDF_initial fee]]</f>
        <v>1</v>
      </c>
      <c r="T1995" s="89"/>
      <c r="U1995" s="26"/>
    </row>
    <row r="1996" spans="1:21" hidden="1" x14ac:dyDescent="0.25">
      <c r="A1996">
        <v>466367</v>
      </c>
      <c r="B1996" t="s">
        <v>2340</v>
      </c>
      <c r="C1996" s="1" t="s">
        <v>30125</v>
      </c>
      <c r="D1996">
        <v>1</v>
      </c>
      <c r="E1996" t="s">
        <v>2340</v>
      </c>
      <c r="G1996" s="3"/>
      <c r="H1996" s="3">
        <v>0</v>
      </c>
      <c r="I1996" s="3">
        <v>0</v>
      </c>
      <c r="J1996" s="3">
        <v>0</v>
      </c>
      <c r="K1996" s="3">
        <v>0</v>
      </c>
      <c r="L1996" s="3">
        <f t="shared" si="95"/>
        <v>0</v>
      </c>
      <c r="M1996" s="3"/>
      <c r="N1996" s="3">
        <f t="shared" ref="N1996:N2027" si="97">L1996+G1996</f>
        <v>0</v>
      </c>
      <c r="R1996" s="89"/>
      <c r="S1996" s="89">
        <f>100%-Table34[[#This Row],[PDF_initial fee]]</f>
        <v>1</v>
      </c>
      <c r="T1996" s="89"/>
      <c r="U1996" s="26"/>
    </row>
    <row r="1997" spans="1:21" hidden="1" x14ac:dyDescent="0.25">
      <c r="A1997">
        <v>466577</v>
      </c>
      <c r="B1997" t="s">
        <v>2341</v>
      </c>
      <c r="C1997" t="s">
        <v>30126</v>
      </c>
      <c r="D1997">
        <v>0</v>
      </c>
      <c r="E1997" t="s">
        <v>2341</v>
      </c>
      <c r="F1997" t="s">
        <v>29136</v>
      </c>
      <c r="G1997" s="3"/>
      <c r="H1997" s="21">
        <v>0</v>
      </c>
      <c r="I1997" s="21">
        <v>0</v>
      </c>
      <c r="J1997" s="21">
        <v>0</v>
      </c>
      <c r="K1997" s="21">
        <v>0</v>
      </c>
      <c r="L1997" s="3">
        <f t="shared" si="95"/>
        <v>0</v>
      </c>
      <c r="M1997" s="3"/>
      <c r="N1997" s="3">
        <f t="shared" si="97"/>
        <v>0</v>
      </c>
      <c r="O1997" s="21"/>
      <c r="R1997" s="89"/>
      <c r="S1997" s="89">
        <f>100%-Table34[[#This Row],[PDF_initial fee]]</f>
        <v>1</v>
      </c>
      <c r="T1997" s="89"/>
      <c r="U1997" s="26"/>
    </row>
    <row r="1998" spans="1:21" hidden="1" x14ac:dyDescent="0.25">
      <c r="A1998">
        <v>466588</v>
      </c>
      <c r="B1998" t="s">
        <v>2342</v>
      </c>
      <c r="C1998" t="s">
        <v>30127</v>
      </c>
      <c r="D1998">
        <v>0</v>
      </c>
      <c r="E1998" t="s">
        <v>2342</v>
      </c>
      <c r="F1998" t="s">
        <v>29136</v>
      </c>
      <c r="G1998" s="3"/>
      <c r="H1998" s="21">
        <v>0</v>
      </c>
      <c r="I1998" s="21">
        <v>0</v>
      </c>
      <c r="J1998" s="21">
        <v>0</v>
      </c>
      <c r="K1998" s="21">
        <v>0</v>
      </c>
      <c r="L1998" s="3">
        <f t="shared" si="95"/>
        <v>0</v>
      </c>
      <c r="M1998" s="3"/>
      <c r="N1998" s="3">
        <f t="shared" si="97"/>
        <v>0</v>
      </c>
      <c r="O1998" s="21"/>
      <c r="R1998" s="89"/>
      <c r="S1998" s="89">
        <f>100%-Table34[[#This Row],[PDF_initial fee]]</f>
        <v>1</v>
      </c>
      <c r="T1998" s="89"/>
      <c r="U1998" s="26"/>
    </row>
    <row r="1999" spans="1:21" hidden="1" x14ac:dyDescent="0.25">
      <c r="A1999">
        <v>466658</v>
      </c>
      <c r="B1999" t="s">
        <v>2343</v>
      </c>
      <c r="C1999" t="s">
        <v>6958</v>
      </c>
      <c r="D1999">
        <v>1</v>
      </c>
      <c r="E1999" t="s">
        <v>2343</v>
      </c>
      <c r="F1999" t="s">
        <v>6958</v>
      </c>
      <c r="G1999" s="3"/>
      <c r="H1999" s="21">
        <v>0</v>
      </c>
      <c r="I1999" s="21">
        <v>0</v>
      </c>
      <c r="J1999" s="21">
        <v>0</v>
      </c>
      <c r="K1999" s="21">
        <v>0</v>
      </c>
      <c r="L1999" s="3">
        <f t="shared" si="95"/>
        <v>0</v>
      </c>
      <c r="M1999" s="3"/>
      <c r="N1999" s="3">
        <f t="shared" si="97"/>
        <v>0</v>
      </c>
      <c r="R1999" s="89"/>
      <c r="S1999" s="89">
        <f>100%-Table34[[#This Row],[PDF_initial fee]]</f>
        <v>1</v>
      </c>
      <c r="T1999" s="89"/>
      <c r="U1999" s="26"/>
    </row>
    <row r="2000" spans="1:21" hidden="1" x14ac:dyDescent="0.25">
      <c r="A2000">
        <v>466675</v>
      </c>
      <c r="B2000" t="s">
        <v>2344</v>
      </c>
      <c r="C2000" t="s">
        <v>12288</v>
      </c>
      <c r="D2000">
        <v>1</v>
      </c>
      <c r="E2000" t="s">
        <v>2344</v>
      </c>
      <c r="G2000" s="3"/>
      <c r="H2000" s="21">
        <v>0</v>
      </c>
      <c r="I2000" s="21">
        <v>0</v>
      </c>
      <c r="J2000" s="21">
        <v>0</v>
      </c>
      <c r="K2000" s="21">
        <v>0</v>
      </c>
      <c r="L2000" s="3">
        <f t="shared" si="95"/>
        <v>0</v>
      </c>
      <c r="M2000" s="3"/>
      <c r="N2000" s="3">
        <f t="shared" si="97"/>
        <v>0</v>
      </c>
      <c r="R2000" s="89"/>
      <c r="S2000" s="89">
        <f>100%-Table34[[#This Row],[PDF_initial fee]]</f>
        <v>1</v>
      </c>
      <c r="T2000" s="89"/>
      <c r="U2000" s="26"/>
    </row>
    <row r="2001" spans="1:27" hidden="1" x14ac:dyDescent="0.25">
      <c r="A2001">
        <v>466728</v>
      </c>
      <c r="B2001" t="s">
        <v>2345</v>
      </c>
      <c r="C2001" t="s">
        <v>30128</v>
      </c>
      <c r="D2001">
        <v>27</v>
      </c>
      <c r="E2001" t="s">
        <v>2345</v>
      </c>
      <c r="G2001" s="3"/>
      <c r="H2001" s="21">
        <v>0</v>
      </c>
      <c r="I2001" s="21">
        <v>0</v>
      </c>
      <c r="J2001" s="21">
        <v>0</v>
      </c>
      <c r="K2001" s="21">
        <v>0</v>
      </c>
      <c r="L2001" s="3">
        <f t="shared" si="95"/>
        <v>0</v>
      </c>
      <c r="M2001" s="3"/>
      <c r="N2001" s="3">
        <f t="shared" si="97"/>
        <v>0</v>
      </c>
      <c r="O2001" s="21"/>
      <c r="R2001" s="89"/>
      <c r="S2001" s="89">
        <f>100%-Table34[[#This Row],[PDF_initial fee]]</f>
        <v>1</v>
      </c>
      <c r="T2001" s="89"/>
      <c r="U2001" s="26"/>
    </row>
    <row r="2002" spans="1:27" hidden="1" x14ac:dyDescent="0.25">
      <c r="A2002">
        <v>466832</v>
      </c>
      <c r="B2002" t="s">
        <v>2346</v>
      </c>
      <c r="C2002" t="s">
        <v>6958</v>
      </c>
      <c r="D2002">
        <v>2</v>
      </c>
      <c r="E2002" t="s">
        <v>2346</v>
      </c>
      <c r="F2002" t="s">
        <v>6958</v>
      </c>
      <c r="G2002" s="3"/>
      <c r="H2002" s="21">
        <v>0</v>
      </c>
      <c r="I2002" s="21">
        <v>0</v>
      </c>
      <c r="J2002" s="21">
        <v>0</v>
      </c>
      <c r="K2002" s="21">
        <v>0</v>
      </c>
      <c r="L2002" s="3">
        <f t="shared" si="95"/>
        <v>0</v>
      </c>
      <c r="M2002" s="3"/>
      <c r="N2002" s="3">
        <f t="shared" si="97"/>
        <v>0</v>
      </c>
      <c r="R2002" s="89"/>
      <c r="S2002" s="89">
        <f>100%-Table34[[#This Row],[PDF_initial fee]]</f>
        <v>1</v>
      </c>
      <c r="T2002" s="89"/>
      <c r="U2002" s="26"/>
    </row>
    <row r="2003" spans="1:27" hidden="1" x14ac:dyDescent="0.25">
      <c r="A2003">
        <v>467035</v>
      </c>
      <c r="B2003" t="s">
        <v>2349</v>
      </c>
      <c r="C2003" t="s">
        <v>8815</v>
      </c>
      <c r="D2003">
        <v>2</v>
      </c>
      <c r="E2003" t="s">
        <v>2349</v>
      </c>
      <c r="G2003" s="3"/>
      <c r="H2003" s="21">
        <v>0</v>
      </c>
      <c r="I2003" s="21">
        <v>0</v>
      </c>
      <c r="J2003" s="21">
        <v>0</v>
      </c>
      <c r="K2003" s="21">
        <v>0</v>
      </c>
      <c r="L2003" s="3">
        <f t="shared" si="95"/>
        <v>0</v>
      </c>
      <c r="M2003" s="3"/>
      <c r="N2003" s="3">
        <f t="shared" si="97"/>
        <v>0</v>
      </c>
      <c r="R2003" s="89"/>
      <c r="S2003" s="89">
        <f>100%-Table34[[#This Row],[PDF_initial fee]]</f>
        <v>1</v>
      </c>
      <c r="T2003" s="89"/>
      <c r="U2003" s="26"/>
    </row>
    <row r="2004" spans="1:27" hidden="1" x14ac:dyDescent="0.25">
      <c r="A2004">
        <v>467126</v>
      </c>
      <c r="B2004" t="s">
        <v>2350</v>
      </c>
      <c r="C2004" t="s">
        <v>7267</v>
      </c>
      <c r="D2004">
        <v>1</v>
      </c>
      <c r="E2004" t="s">
        <v>2350</v>
      </c>
      <c r="G2004" s="3"/>
      <c r="H2004" s="21">
        <v>0</v>
      </c>
      <c r="I2004" s="21">
        <v>0</v>
      </c>
      <c r="J2004" s="21">
        <v>0</v>
      </c>
      <c r="K2004" s="21">
        <v>0</v>
      </c>
      <c r="L2004" s="3">
        <f t="shared" si="95"/>
        <v>0</v>
      </c>
      <c r="M2004" s="3"/>
      <c r="N2004" s="3">
        <f t="shared" si="97"/>
        <v>0</v>
      </c>
      <c r="R2004" s="89"/>
      <c r="S2004" s="89">
        <f>100%-Table34[[#This Row],[PDF_initial fee]]</f>
        <v>1</v>
      </c>
      <c r="T2004" s="89"/>
      <c r="U2004" s="26"/>
    </row>
    <row r="2005" spans="1:27" hidden="1" x14ac:dyDescent="0.25">
      <c r="A2005">
        <v>467134</v>
      </c>
      <c r="B2005" t="s">
        <v>2351</v>
      </c>
      <c r="C2005" t="s">
        <v>30129</v>
      </c>
      <c r="D2005">
        <v>1</v>
      </c>
      <c r="E2005" t="s">
        <v>2351</v>
      </c>
      <c r="G2005" s="3"/>
      <c r="H2005" s="21">
        <v>0</v>
      </c>
      <c r="I2005" s="21">
        <v>0</v>
      </c>
      <c r="J2005" s="21">
        <v>0</v>
      </c>
      <c r="K2005" s="21">
        <v>0</v>
      </c>
      <c r="L2005" s="3">
        <f t="shared" si="95"/>
        <v>0</v>
      </c>
      <c r="M2005" s="3"/>
      <c r="N2005" s="3">
        <f t="shared" si="97"/>
        <v>0</v>
      </c>
      <c r="O2005" s="21"/>
      <c r="R2005" s="89"/>
      <c r="S2005" s="89">
        <f>100%-Table34[[#This Row],[PDF_initial fee]]</f>
        <v>1</v>
      </c>
      <c r="T2005" s="89"/>
      <c r="U2005" s="26"/>
    </row>
    <row r="2006" spans="1:27" hidden="1" x14ac:dyDescent="0.25">
      <c r="A2006">
        <v>467173</v>
      </c>
      <c r="B2006" t="s">
        <v>2352</v>
      </c>
      <c r="C2006" t="s">
        <v>12454</v>
      </c>
      <c r="D2006">
        <v>2</v>
      </c>
      <c r="E2006" t="s">
        <v>2352</v>
      </c>
      <c r="G2006" s="3"/>
      <c r="L2006" s="3">
        <f t="shared" si="95"/>
        <v>0</v>
      </c>
      <c r="M2006" s="3"/>
      <c r="N2006" s="3">
        <f t="shared" si="97"/>
        <v>0</v>
      </c>
      <c r="R2006" s="89"/>
      <c r="S2006" s="89">
        <f>100%-Table34[[#This Row],[PDF_initial fee]]</f>
        <v>1</v>
      </c>
      <c r="T2006" s="89"/>
      <c r="U2006" s="26"/>
    </row>
    <row r="2007" spans="1:27" hidden="1" x14ac:dyDescent="0.25">
      <c r="A2007">
        <v>467410</v>
      </c>
      <c r="B2007" t="s">
        <v>2353</v>
      </c>
      <c r="C2007" t="s">
        <v>29464</v>
      </c>
      <c r="D2007">
        <v>0</v>
      </c>
      <c r="E2007" t="s">
        <v>2353</v>
      </c>
      <c r="F2007" t="s">
        <v>29136</v>
      </c>
      <c r="G2007" s="3"/>
      <c r="L2007" s="3">
        <f t="shared" si="95"/>
        <v>0</v>
      </c>
      <c r="M2007" s="3"/>
      <c r="N2007" s="3">
        <f t="shared" si="97"/>
        <v>0</v>
      </c>
      <c r="R2007" s="89"/>
      <c r="S2007" s="89">
        <f>100%-Table34[[#This Row],[PDF_initial fee]]</f>
        <v>1</v>
      </c>
      <c r="T2007" s="89"/>
      <c r="U2007" s="26"/>
    </row>
    <row r="2008" spans="1:27" hidden="1" x14ac:dyDescent="0.25">
      <c r="A2008">
        <v>467705</v>
      </c>
      <c r="B2008" t="s">
        <v>2354</v>
      </c>
      <c r="C2008" t="s">
        <v>6958</v>
      </c>
      <c r="D2008">
        <v>3</v>
      </c>
      <c r="E2008" t="s">
        <v>2354</v>
      </c>
      <c r="F2008" t="s">
        <v>6958</v>
      </c>
      <c r="G2008" s="3"/>
      <c r="H2008" s="21">
        <v>0</v>
      </c>
      <c r="I2008" s="21">
        <v>0</v>
      </c>
      <c r="J2008" s="21">
        <v>0</v>
      </c>
      <c r="K2008" s="21">
        <v>0</v>
      </c>
      <c r="L2008" s="3">
        <f t="shared" si="95"/>
        <v>0</v>
      </c>
      <c r="M2008" s="3"/>
      <c r="N2008" s="3">
        <f t="shared" si="97"/>
        <v>0</v>
      </c>
      <c r="R2008" s="89"/>
      <c r="S2008" s="89">
        <f>100%-Table34[[#This Row],[PDF_initial fee]]</f>
        <v>1</v>
      </c>
      <c r="T2008" s="89"/>
      <c r="U2008" s="26"/>
    </row>
    <row r="2009" spans="1:27" hidden="1" x14ac:dyDescent="0.25">
      <c r="A2009">
        <v>467720</v>
      </c>
      <c r="B2009" t="s">
        <v>2355</v>
      </c>
      <c r="C2009" t="s">
        <v>6948</v>
      </c>
      <c r="D2009">
        <v>1</v>
      </c>
      <c r="E2009" t="s">
        <v>2355</v>
      </c>
      <c r="G2009" s="3"/>
      <c r="H2009" s="21">
        <v>0</v>
      </c>
      <c r="I2009" s="21">
        <v>0</v>
      </c>
      <c r="J2009" s="21">
        <v>0</v>
      </c>
      <c r="K2009" s="21">
        <v>0</v>
      </c>
      <c r="L2009" s="3">
        <f t="shared" si="95"/>
        <v>0</v>
      </c>
      <c r="M2009" s="3"/>
      <c r="N2009" s="3">
        <f t="shared" si="97"/>
        <v>0</v>
      </c>
      <c r="R2009" s="89"/>
      <c r="S2009" s="89">
        <f>100%-Table34[[#This Row],[PDF_initial fee]]</f>
        <v>1</v>
      </c>
      <c r="T2009" s="89"/>
      <c r="U2009" s="26"/>
    </row>
    <row r="2010" spans="1:27" hidden="1" x14ac:dyDescent="0.25">
      <c r="A2010">
        <v>467771</v>
      </c>
      <c r="B2010" t="s">
        <v>2356</v>
      </c>
      <c r="C2010" t="s">
        <v>30130</v>
      </c>
      <c r="D2010">
        <v>6</v>
      </c>
      <c r="E2010" t="s">
        <v>2356</v>
      </c>
      <c r="G2010" s="3"/>
      <c r="H2010" s="21">
        <v>0</v>
      </c>
      <c r="I2010" s="21">
        <v>0</v>
      </c>
      <c r="J2010" s="21">
        <v>0</v>
      </c>
      <c r="K2010" s="21">
        <v>0</v>
      </c>
      <c r="L2010" s="3">
        <f t="shared" si="95"/>
        <v>0</v>
      </c>
      <c r="M2010" s="3"/>
      <c r="N2010" s="3">
        <f t="shared" si="97"/>
        <v>0</v>
      </c>
      <c r="O2010" s="21"/>
      <c r="R2010" s="89"/>
      <c r="S2010" s="89">
        <f>100%-Table34[[#This Row],[PDF_initial fee]]</f>
        <v>1</v>
      </c>
      <c r="T2010" s="89"/>
      <c r="U2010" s="26"/>
    </row>
    <row r="2011" spans="1:27" hidden="1" x14ac:dyDescent="0.25">
      <c r="A2011">
        <v>467779</v>
      </c>
      <c r="B2011" t="s">
        <v>2357</v>
      </c>
      <c r="C2011" t="s">
        <v>9392</v>
      </c>
      <c r="D2011">
        <v>1</v>
      </c>
      <c r="E2011" t="s">
        <v>2357</v>
      </c>
      <c r="G2011" s="3"/>
      <c r="H2011" s="21">
        <v>0</v>
      </c>
      <c r="I2011" s="21">
        <v>0</v>
      </c>
      <c r="J2011" s="21">
        <v>0</v>
      </c>
      <c r="K2011" s="21">
        <v>0</v>
      </c>
      <c r="L2011" s="3">
        <f t="shared" si="95"/>
        <v>0</v>
      </c>
      <c r="M2011" s="3"/>
      <c r="N2011" s="3">
        <f t="shared" si="97"/>
        <v>0</v>
      </c>
      <c r="R2011" s="89"/>
      <c r="S2011" s="89">
        <f>100%-Table34[[#This Row],[PDF_initial fee]]</f>
        <v>1</v>
      </c>
      <c r="T2011" s="89"/>
      <c r="U2011" s="26"/>
    </row>
    <row r="2012" spans="1:27" hidden="1" x14ac:dyDescent="0.25">
      <c r="A2012">
        <v>467847</v>
      </c>
      <c r="B2012" t="s">
        <v>2358</v>
      </c>
      <c r="C2012" t="s">
        <v>30131</v>
      </c>
      <c r="D2012">
        <v>2</v>
      </c>
      <c r="E2012" t="s">
        <v>2358</v>
      </c>
      <c r="G2012" s="3"/>
      <c r="H2012" s="21">
        <v>0</v>
      </c>
      <c r="I2012" s="21">
        <v>0</v>
      </c>
      <c r="J2012" s="21">
        <v>0</v>
      </c>
      <c r="K2012" s="21">
        <v>0</v>
      </c>
      <c r="L2012" s="3">
        <f t="shared" si="95"/>
        <v>0</v>
      </c>
      <c r="M2012" s="3"/>
      <c r="N2012" s="3">
        <f t="shared" si="97"/>
        <v>0</v>
      </c>
      <c r="O2012" s="21"/>
      <c r="R2012" s="89"/>
      <c r="S2012" s="89">
        <f>100%-Table34[[#This Row],[PDF_initial fee]]</f>
        <v>1</v>
      </c>
      <c r="T2012" s="89"/>
      <c r="U2012" s="26"/>
    </row>
    <row r="2013" spans="1:27" x14ac:dyDescent="0.25">
      <c r="A2013">
        <v>136414</v>
      </c>
      <c r="B2013" t="s">
        <v>48</v>
      </c>
      <c r="C2013" t="s">
        <v>30095</v>
      </c>
      <c r="D2013">
        <v>282</v>
      </c>
      <c r="E2013" t="s">
        <v>48</v>
      </c>
      <c r="F2013" t="s">
        <v>6</v>
      </c>
      <c r="G2013" s="3">
        <v>1.2200000000000001E-2</v>
      </c>
      <c r="H2013" s="3">
        <v>0.02</v>
      </c>
      <c r="I2013" s="3">
        <v>4.0000000000000001E-3</v>
      </c>
      <c r="J2013" s="6">
        <v>0</v>
      </c>
      <c r="K2013" s="6">
        <v>0</v>
      </c>
      <c r="L2013" s="3">
        <f t="shared" si="95"/>
        <v>2.4E-2</v>
      </c>
      <c r="M2013" s="3"/>
      <c r="N2013" s="3">
        <f t="shared" si="97"/>
        <v>3.6200000000000003E-2</v>
      </c>
      <c r="O2013" s="21"/>
      <c r="P2013" s="1" t="s">
        <v>30097</v>
      </c>
      <c r="Q2013" s="1" t="s">
        <v>30098</v>
      </c>
      <c r="R2013" s="89">
        <f>207.5/153-1</f>
        <v>0.35620915032679745</v>
      </c>
      <c r="S2013" s="89">
        <f>100%-Table34[[#This Row],[InitialFee]]</f>
        <v>0.98</v>
      </c>
      <c r="T2013" s="89">
        <f>(1-Table34[[#This Row],[OngoingFee (plus Platform fee)]])^5</f>
        <v>0.98015936127897596</v>
      </c>
      <c r="U2013" s="26">
        <f>(1+Table34[[#This Row],[Net 5yrs return (mostly up to 28th of Feb 2026)]])*Table34[[#This Row],[Investment after initial charge]]*Table34[[#This Row],[Cummulative 5yrs ongoing advice charge]]-1</f>
        <v>0.30271507265411612</v>
      </c>
      <c r="V2013" s="10">
        <v>74976000</v>
      </c>
      <c r="W2013" s="10" t="s">
        <v>29051</v>
      </c>
      <c r="X2013" s="10">
        <v>62439000</v>
      </c>
      <c r="Y2013" s="10">
        <f>X2013/V2013</f>
        <v>0.83278649167733676</v>
      </c>
      <c r="Z2013" s="10"/>
      <c r="AA2013" s="1" t="s">
        <v>30132</v>
      </c>
    </row>
    <row r="2014" spans="1:27" hidden="1" x14ac:dyDescent="0.25">
      <c r="A2014">
        <v>467903</v>
      </c>
      <c r="B2014" t="s">
        <v>2359</v>
      </c>
      <c r="C2014" t="s">
        <v>12196</v>
      </c>
      <c r="D2014">
        <v>2</v>
      </c>
      <c r="E2014" t="s">
        <v>2359</v>
      </c>
      <c r="G2014" s="3"/>
      <c r="L2014" s="3">
        <f t="shared" si="95"/>
        <v>0</v>
      </c>
      <c r="M2014" s="3"/>
      <c r="N2014" s="3">
        <f t="shared" si="97"/>
        <v>0</v>
      </c>
      <c r="R2014" s="89"/>
      <c r="S2014" s="89">
        <f>100%-Table34[[#This Row],[PDF_initial fee]]</f>
        <v>1</v>
      </c>
      <c r="T2014" s="89"/>
      <c r="U2014" s="26"/>
    </row>
    <row r="2015" spans="1:27" hidden="1" x14ac:dyDescent="0.25">
      <c r="A2015">
        <v>468059</v>
      </c>
      <c r="B2015" t="s">
        <v>2360</v>
      </c>
      <c r="C2015" t="s">
        <v>6958</v>
      </c>
      <c r="D2015">
        <v>1</v>
      </c>
      <c r="E2015" t="s">
        <v>2360</v>
      </c>
      <c r="F2015" t="s">
        <v>6958</v>
      </c>
      <c r="G2015" s="3"/>
      <c r="H2015" s="21">
        <v>0</v>
      </c>
      <c r="I2015" s="21">
        <v>0</v>
      </c>
      <c r="J2015" s="21">
        <v>0</v>
      </c>
      <c r="K2015" s="21">
        <v>0</v>
      </c>
      <c r="L2015" s="3">
        <f t="shared" si="95"/>
        <v>0</v>
      </c>
      <c r="M2015" s="3"/>
      <c r="N2015" s="3">
        <f t="shared" si="97"/>
        <v>0</v>
      </c>
      <c r="R2015" s="89"/>
      <c r="S2015" s="89">
        <f>100%-Table34[[#This Row],[PDF_initial fee]]</f>
        <v>1</v>
      </c>
      <c r="T2015" s="89"/>
      <c r="U2015" s="26"/>
    </row>
    <row r="2016" spans="1:27" hidden="1" x14ac:dyDescent="0.25">
      <c r="A2016">
        <v>468116</v>
      </c>
      <c r="B2016" t="s">
        <v>2362</v>
      </c>
      <c r="C2016" t="s">
        <v>6958</v>
      </c>
      <c r="D2016">
        <v>4</v>
      </c>
      <c r="E2016" t="s">
        <v>2362</v>
      </c>
      <c r="F2016" t="s">
        <v>6958</v>
      </c>
      <c r="G2016" s="3"/>
      <c r="H2016" s="21">
        <v>0</v>
      </c>
      <c r="I2016" s="21">
        <v>0</v>
      </c>
      <c r="J2016" s="21">
        <v>0</v>
      </c>
      <c r="K2016" s="21">
        <v>0</v>
      </c>
      <c r="L2016" s="3">
        <f t="shared" si="95"/>
        <v>0</v>
      </c>
      <c r="M2016" s="3"/>
      <c r="N2016" s="3">
        <f t="shared" si="97"/>
        <v>0</v>
      </c>
      <c r="R2016" s="89"/>
      <c r="S2016" s="89">
        <f>100%-Table34[[#This Row],[PDF_initial fee]]</f>
        <v>1</v>
      </c>
      <c r="T2016" s="89"/>
      <c r="U2016" s="26"/>
    </row>
    <row r="2017" spans="1:21" hidden="1" x14ac:dyDescent="0.25">
      <c r="A2017">
        <v>468119</v>
      </c>
      <c r="B2017" t="s">
        <v>2363</v>
      </c>
      <c r="C2017" t="s">
        <v>30133</v>
      </c>
      <c r="D2017">
        <v>4</v>
      </c>
      <c r="E2017" t="s">
        <v>2363</v>
      </c>
      <c r="G2017" s="3"/>
      <c r="H2017" s="3">
        <v>0</v>
      </c>
      <c r="I2017" s="3">
        <v>0</v>
      </c>
      <c r="J2017" s="3">
        <v>0</v>
      </c>
      <c r="K2017" s="3">
        <v>0</v>
      </c>
      <c r="L2017" s="3">
        <f t="shared" si="95"/>
        <v>0</v>
      </c>
      <c r="M2017" s="3"/>
      <c r="N2017" s="3">
        <f t="shared" si="97"/>
        <v>0</v>
      </c>
      <c r="R2017" s="89"/>
      <c r="S2017" s="89">
        <f>100%-Table34[[#This Row],[PDF_initial fee]]</f>
        <v>1</v>
      </c>
      <c r="T2017" s="89"/>
      <c r="U2017" s="26"/>
    </row>
    <row r="2018" spans="1:21" hidden="1" x14ac:dyDescent="0.25">
      <c r="A2018">
        <v>468321</v>
      </c>
      <c r="B2018" t="s">
        <v>2364</v>
      </c>
      <c r="C2018" t="s">
        <v>30134</v>
      </c>
      <c r="D2018">
        <v>10</v>
      </c>
      <c r="E2018" t="s">
        <v>2364</v>
      </c>
      <c r="G2018" s="3"/>
      <c r="H2018" s="3">
        <v>0</v>
      </c>
      <c r="I2018" s="3">
        <v>0</v>
      </c>
      <c r="J2018" s="3">
        <v>0</v>
      </c>
      <c r="K2018" s="3">
        <v>0</v>
      </c>
      <c r="L2018" s="3">
        <f t="shared" si="95"/>
        <v>0</v>
      </c>
      <c r="M2018" s="3"/>
      <c r="N2018" s="3">
        <f t="shared" si="97"/>
        <v>0</v>
      </c>
      <c r="R2018" s="89"/>
      <c r="S2018" s="89">
        <f>100%-Table34[[#This Row],[PDF_initial fee]]</f>
        <v>1</v>
      </c>
      <c r="T2018" s="89"/>
      <c r="U2018" s="26"/>
    </row>
    <row r="2019" spans="1:21" hidden="1" x14ac:dyDescent="0.25">
      <c r="A2019">
        <v>468445</v>
      </c>
      <c r="B2019" t="s">
        <v>2365</v>
      </c>
      <c r="C2019" t="s">
        <v>6958</v>
      </c>
      <c r="D2019">
        <v>2</v>
      </c>
      <c r="E2019" t="s">
        <v>2365</v>
      </c>
      <c r="F2019" t="s">
        <v>6958</v>
      </c>
      <c r="G2019" s="3"/>
      <c r="H2019" s="21">
        <v>0</v>
      </c>
      <c r="I2019" s="21">
        <v>0</v>
      </c>
      <c r="J2019" s="21">
        <v>0</v>
      </c>
      <c r="K2019" s="21">
        <v>0</v>
      </c>
      <c r="L2019" s="3">
        <f t="shared" si="95"/>
        <v>0</v>
      </c>
      <c r="M2019" s="3"/>
      <c r="N2019" s="3">
        <f t="shared" si="97"/>
        <v>0</v>
      </c>
      <c r="R2019" s="89"/>
      <c r="S2019" s="89">
        <f>100%-Table34[[#This Row],[PDF_initial fee]]</f>
        <v>1</v>
      </c>
      <c r="T2019" s="89"/>
      <c r="U2019" s="26"/>
    </row>
    <row r="2020" spans="1:21" hidden="1" x14ac:dyDescent="0.25">
      <c r="A2020">
        <v>468452</v>
      </c>
      <c r="B2020" t="s">
        <v>2366</v>
      </c>
      <c r="C2020" t="s">
        <v>6958</v>
      </c>
      <c r="D2020">
        <v>1</v>
      </c>
      <c r="E2020" t="s">
        <v>2366</v>
      </c>
      <c r="F2020" t="s">
        <v>6958</v>
      </c>
      <c r="G2020" s="3"/>
      <c r="H2020" s="21">
        <v>0</v>
      </c>
      <c r="I2020" s="21">
        <v>0</v>
      </c>
      <c r="J2020" s="21">
        <v>0</v>
      </c>
      <c r="K2020" s="21">
        <v>0</v>
      </c>
      <c r="L2020" s="3">
        <f t="shared" si="95"/>
        <v>0</v>
      </c>
      <c r="M2020" s="3"/>
      <c r="N2020" s="3">
        <f t="shared" si="97"/>
        <v>0</v>
      </c>
      <c r="R2020" s="89"/>
      <c r="S2020" s="89">
        <f>100%-Table34[[#This Row],[PDF_initial fee]]</f>
        <v>1</v>
      </c>
      <c r="T2020" s="89"/>
      <c r="U2020" s="26"/>
    </row>
    <row r="2021" spans="1:21" hidden="1" x14ac:dyDescent="0.25">
      <c r="A2021">
        <v>468541</v>
      </c>
      <c r="B2021" t="s">
        <v>2367</v>
      </c>
      <c r="C2021" t="s">
        <v>8096</v>
      </c>
      <c r="D2021">
        <v>2</v>
      </c>
      <c r="E2021" t="s">
        <v>2367</v>
      </c>
      <c r="G2021" s="3"/>
      <c r="H2021" s="21">
        <v>0</v>
      </c>
      <c r="I2021" s="21">
        <v>0</v>
      </c>
      <c r="J2021" s="21">
        <v>0</v>
      </c>
      <c r="K2021" s="21">
        <v>0</v>
      </c>
      <c r="L2021" s="3">
        <f t="shared" si="95"/>
        <v>0</v>
      </c>
      <c r="M2021" s="3"/>
      <c r="N2021" s="3">
        <f t="shared" si="97"/>
        <v>0</v>
      </c>
      <c r="R2021" s="89"/>
      <c r="S2021" s="89">
        <f>100%-Table34[[#This Row],[PDF_initial fee]]</f>
        <v>1</v>
      </c>
      <c r="T2021" s="89"/>
      <c r="U2021" s="26"/>
    </row>
    <row r="2022" spans="1:21" hidden="1" x14ac:dyDescent="0.25">
      <c r="A2022">
        <v>468636</v>
      </c>
      <c r="B2022" t="s">
        <v>2368</v>
      </c>
      <c r="C2022" t="s">
        <v>10405</v>
      </c>
      <c r="D2022">
        <v>4</v>
      </c>
      <c r="E2022" t="s">
        <v>2368</v>
      </c>
      <c r="G2022" s="3"/>
      <c r="H2022" s="21">
        <v>0</v>
      </c>
      <c r="I2022" s="21">
        <v>0</v>
      </c>
      <c r="J2022" s="21">
        <v>0</v>
      </c>
      <c r="K2022" s="21">
        <v>0</v>
      </c>
      <c r="L2022" s="3">
        <f t="shared" si="95"/>
        <v>0</v>
      </c>
      <c r="M2022" s="3"/>
      <c r="N2022" s="3">
        <f t="shared" si="97"/>
        <v>0</v>
      </c>
      <c r="R2022" s="89"/>
      <c r="S2022" s="89">
        <f>100%-Table34[[#This Row],[PDF_initial fee]]</f>
        <v>1</v>
      </c>
      <c r="T2022" s="89"/>
      <c r="U2022" s="26"/>
    </row>
    <row r="2023" spans="1:21" hidden="1" x14ac:dyDescent="0.25">
      <c r="A2023">
        <v>468797</v>
      </c>
      <c r="B2023" t="s">
        <v>2369</v>
      </c>
      <c r="C2023" t="s">
        <v>8182</v>
      </c>
      <c r="D2023">
        <v>3</v>
      </c>
      <c r="E2023" t="s">
        <v>2369</v>
      </c>
      <c r="G2023" s="3"/>
      <c r="H2023" s="21">
        <v>0</v>
      </c>
      <c r="I2023" s="21">
        <v>0</v>
      </c>
      <c r="J2023" s="21">
        <v>0</v>
      </c>
      <c r="K2023" s="21">
        <v>0</v>
      </c>
      <c r="L2023" s="3">
        <f t="shared" si="95"/>
        <v>0</v>
      </c>
      <c r="M2023" s="3"/>
      <c r="N2023" s="3">
        <f t="shared" si="97"/>
        <v>0</v>
      </c>
      <c r="R2023" s="89"/>
      <c r="S2023" s="89">
        <f>100%-Table34[[#This Row],[PDF_initial fee]]</f>
        <v>1</v>
      </c>
      <c r="T2023" s="89"/>
      <c r="U2023" s="26"/>
    </row>
    <row r="2024" spans="1:21" hidden="1" x14ac:dyDescent="0.25">
      <c r="A2024">
        <v>468805</v>
      </c>
      <c r="B2024" t="s">
        <v>2370</v>
      </c>
      <c r="C2024" t="s">
        <v>10371</v>
      </c>
      <c r="D2024">
        <v>2</v>
      </c>
      <c r="E2024" t="s">
        <v>2370</v>
      </c>
      <c r="G2024" s="3"/>
      <c r="H2024" s="21">
        <v>0</v>
      </c>
      <c r="I2024" s="21">
        <v>0</v>
      </c>
      <c r="J2024" s="21">
        <v>0</v>
      </c>
      <c r="K2024" s="21">
        <v>0</v>
      </c>
      <c r="L2024" s="3">
        <f t="shared" si="95"/>
        <v>0</v>
      </c>
      <c r="M2024" s="3"/>
      <c r="N2024" s="3">
        <f t="shared" si="97"/>
        <v>0</v>
      </c>
      <c r="R2024" s="89"/>
      <c r="S2024" s="89">
        <f>100%-Table34[[#This Row],[PDF_initial fee]]</f>
        <v>1</v>
      </c>
      <c r="T2024" s="89"/>
      <c r="U2024" s="26"/>
    </row>
    <row r="2025" spans="1:21" hidden="1" x14ac:dyDescent="0.25">
      <c r="A2025">
        <v>468821</v>
      </c>
      <c r="B2025" t="s">
        <v>2371</v>
      </c>
      <c r="C2025" t="s">
        <v>8426</v>
      </c>
      <c r="D2025">
        <v>2</v>
      </c>
      <c r="E2025" t="s">
        <v>2371</v>
      </c>
      <c r="G2025" s="3"/>
      <c r="H2025" s="21">
        <v>0</v>
      </c>
      <c r="I2025" s="21">
        <v>0</v>
      </c>
      <c r="J2025" s="21">
        <v>0</v>
      </c>
      <c r="K2025" s="21">
        <v>0</v>
      </c>
      <c r="L2025" s="3">
        <f t="shared" si="95"/>
        <v>0</v>
      </c>
      <c r="M2025" s="3"/>
      <c r="N2025" s="3">
        <f t="shared" si="97"/>
        <v>0</v>
      </c>
      <c r="R2025" s="89"/>
      <c r="S2025" s="89">
        <f>100%-Table34[[#This Row],[PDF_initial fee]]</f>
        <v>1</v>
      </c>
      <c r="T2025" s="89"/>
      <c r="U2025" s="26"/>
    </row>
    <row r="2026" spans="1:21" hidden="1" x14ac:dyDescent="0.25">
      <c r="A2026">
        <v>468942</v>
      </c>
      <c r="B2026" t="s">
        <v>2372</v>
      </c>
      <c r="C2026" t="s">
        <v>10142</v>
      </c>
      <c r="D2026">
        <v>1</v>
      </c>
      <c r="E2026" t="s">
        <v>2372</v>
      </c>
      <c r="G2026" s="3"/>
      <c r="H2026" s="21">
        <v>0</v>
      </c>
      <c r="I2026" s="21">
        <v>0</v>
      </c>
      <c r="J2026" s="21">
        <v>0</v>
      </c>
      <c r="K2026" s="21">
        <v>0</v>
      </c>
      <c r="L2026" s="3">
        <f t="shared" si="95"/>
        <v>0</v>
      </c>
      <c r="M2026" s="3"/>
      <c r="N2026" s="3">
        <f t="shared" si="97"/>
        <v>0</v>
      </c>
      <c r="R2026" s="89"/>
      <c r="S2026" s="89">
        <f>100%-Table34[[#This Row],[PDF_initial fee]]</f>
        <v>1</v>
      </c>
      <c r="T2026" s="89"/>
      <c r="U2026" s="26"/>
    </row>
    <row r="2027" spans="1:21" hidden="1" x14ac:dyDescent="0.25">
      <c r="A2027">
        <v>469024</v>
      </c>
      <c r="B2027" t="s">
        <v>2373</v>
      </c>
      <c r="C2027" t="s">
        <v>6958</v>
      </c>
      <c r="D2027">
        <v>1</v>
      </c>
      <c r="E2027" t="s">
        <v>2373</v>
      </c>
      <c r="F2027" t="s">
        <v>6958</v>
      </c>
      <c r="G2027" s="3"/>
      <c r="H2027" s="21">
        <v>0</v>
      </c>
      <c r="I2027" s="21">
        <v>0</v>
      </c>
      <c r="J2027" s="21">
        <v>0</v>
      </c>
      <c r="K2027" s="21">
        <v>0</v>
      </c>
      <c r="L2027" s="3">
        <f t="shared" si="95"/>
        <v>0</v>
      </c>
      <c r="M2027" s="3"/>
      <c r="N2027" s="3">
        <f t="shared" si="97"/>
        <v>0</v>
      </c>
      <c r="R2027" s="89"/>
      <c r="S2027" s="89">
        <f>100%-Table34[[#This Row],[PDF_initial fee]]</f>
        <v>1</v>
      </c>
      <c r="T2027" s="89"/>
      <c r="U2027" s="26"/>
    </row>
    <row r="2028" spans="1:21" hidden="1" x14ac:dyDescent="0.25">
      <c r="A2028">
        <v>469027</v>
      </c>
      <c r="B2028" t="s">
        <v>2374</v>
      </c>
      <c r="C2028" s="1" t="s">
        <v>30135</v>
      </c>
      <c r="D2028">
        <v>1</v>
      </c>
      <c r="E2028" t="s">
        <v>2374</v>
      </c>
      <c r="G2028" s="3"/>
      <c r="H2028" s="3">
        <v>0</v>
      </c>
      <c r="I2028" s="3">
        <v>0</v>
      </c>
      <c r="J2028" s="3">
        <v>0</v>
      </c>
      <c r="K2028" s="3">
        <v>0</v>
      </c>
      <c r="L2028" s="3">
        <f t="shared" ref="L2028:L2091" si="98">SUM(H2028:K2028)</f>
        <v>0</v>
      </c>
      <c r="M2028" s="3"/>
      <c r="N2028" s="3">
        <f t="shared" ref="N2028:N2059" si="99">L2028+G2028</f>
        <v>0</v>
      </c>
      <c r="R2028" s="89"/>
      <c r="S2028" s="89">
        <f>100%-Table34[[#This Row],[PDF_initial fee]]</f>
        <v>1</v>
      </c>
      <c r="T2028" s="89"/>
      <c r="U2028" s="26"/>
    </row>
    <row r="2029" spans="1:21" hidden="1" x14ac:dyDescent="0.25">
      <c r="A2029">
        <v>469073</v>
      </c>
      <c r="B2029" t="s">
        <v>2375</v>
      </c>
      <c r="C2029" t="s">
        <v>11309</v>
      </c>
      <c r="D2029">
        <v>2</v>
      </c>
      <c r="E2029" t="s">
        <v>2375</v>
      </c>
      <c r="G2029" s="3"/>
      <c r="L2029" s="3">
        <f t="shared" si="98"/>
        <v>0</v>
      </c>
      <c r="M2029" s="3"/>
      <c r="N2029" s="3">
        <f t="shared" si="99"/>
        <v>0</v>
      </c>
      <c r="R2029" s="89"/>
      <c r="S2029" s="89">
        <f>100%-Table34[[#This Row],[PDF_initial fee]]</f>
        <v>1</v>
      </c>
      <c r="T2029" s="89"/>
      <c r="U2029" s="26"/>
    </row>
    <row r="2030" spans="1:21" hidden="1" x14ac:dyDescent="0.25">
      <c r="A2030">
        <v>469077</v>
      </c>
      <c r="B2030" t="s">
        <v>2376</v>
      </c>
      <c r="C2030" t="s">
        <v>11402</v>
      </c>
      <c r="D2030">
        <v>2</v>
      </c>
      <c r="E2030" t="s">
        <v>2376</v>
      </c>
      <c r="G2030" s="3"/>
      <c r="H2030" s="21">
        <v>0</v>
      </c>
      <c r="I2030" s="21">
        <v>0</v>
      </c>
      <c r="J2030" s="21">
        <v>0</v>
      </c>
      <c r="K2030" s="21">
        <v>0</v>
      </c>
      <c r="L2030" s="3">
        <f t="shared" si="98"/>
        <v>0</v>
      </c>
      <c r="M2030" s="3"/>
      <c r="N2030" s="3">
        <f t="shared" si="99"/>
        <v>0</v>
      </c>
      <c r="R2030" s="89"/>
      <c r="S2030" s="89">
        <f>100%-Table34[[#This Row],[PDF_initial fee]]</f>
        <v>1</v>
      </c>
      <c r="T2030" s="89"/>
      <c r="U2030" s="26"/>
    </row>
    <row r="2031" spans="1:21" hidden="1" x14ac:dyDescent="0.25">
      <c r="A2031">
        <v>469147</v>
      </c>
      <c r="B2031" t="s">
        <v>2377</v>
      </c>
      <c r="C2031" t="s">
        <v>6958</v>
      </c>
      <c r="D2031">
        <v>1</v>
      </c>
      <c r="E2031" t="s">
        <v>2377</v>
      </c>
      <c r="F2031" t="s">
        <v>6958</v>
      </c>
      <c r="G2031" s="3"/>
      <c r="H2031" s="21">
        <v>0</v>
      </c>
      <c r="I2031" s="21">
        <v>0</v>
      </c>
      <c r="J2031" s="21">
        <v>0</v>
      </c>
      <c r="K2031" s="21">
        <v>0</v>
      </c>
      <c r="L2031" s="3">
        <f t="shared" si="98"/>
        <v>0</v>
      </c>
      <c r="M2031" s="3"/>
      <c r="N2031" s="3">
        <f t="shared" si="99"/>
        <v>0</v>
      </c>
      <c r="O2031" s="21"/>
      <c r="R2031" s="89"/>
      <c r="S2031" s="89">
        <f>100%-Table34[[#This Row],[PDF_initial fee]]</f>
        <v>1</v>
      </c>
      <c r="T2031" s="89"/>
      <c r="U2031" s="26"/>
    </row>
    <row r="2032" spans="1:21" hidden="1" x14ac:dyDescent="0.25">
      <c r="A2032">
        <v>469162</v>
      </c>
      <c r="B2032" t="s">
        <v>2378</v>
      </c>
      <c r="C2032" t="s">
        <v>30136</v>
      </c>
      <c r="D2032">
        <v>3</v>
      </c>
      <c r="E2032" t="s">
        <v>2378</v>
      </c>
      <c r="G2032" s="3"/>
      <c r="H2032" s="3">
        <v>0</v>
      </c>
      <c r="I2032" s="3">
        <v>0</v>
      </c>
      <c r="J2032" s="3">
        <v>0</v>
      </c>
      <c r="K2032" s="3">
        <v>0</v>
      </c>
      <c r="L2032" s="3">
        <f t="shared" si="98"/>
        <v>0</v>
      </c>
      <c r="M2032" s="3"/>
      <c r="N2032" s="3">
        <f t="shared" si="99"/>
        <v>0</v>
      </c>
      <c r="R2032" s="89"/>
      <c r="S2032" s="89">
        <f>100%-Table34[[#This Row],[PDF_initial fee]]</f>
        <v>1</v>
      </c>
      <c r="T2032" s="89"/>
      <c r="U2032" s="26"/>
    </row>
    <row r="2033" spans="1:27" hidden="1" x14ac:dyDescent="0.25">
      <c r="A2033">
        <v>469175</v>
      </c>
      <c r="B2033" t="s">
        <v>2379</v>
      </c>
      <c r="C2033" t="s">
        <v>9349</v>
      </c>
      <c r="D2033">
        <v>4</v>
      </c>
      <c r="E2033" t="s">
        <v>2379</v>
      </c>
      <c r="G2033" s="3"/>
      <c r="H2033" s="21">
        <v>0</v>
      </c>
      <c r="I2033" s="21">
        <v>0</v>
      </c>
      <c r="J2033" s="21">
        <v>0</v>
      </c>
      <c r="K2033" s="21">
        <v>0</v>
      </c>
      <c r="L2033" s="3">
        <f t="shared" si="98"/>
        <v>0</v>
      </c>
      <c r="M2033" s="3"/>
      <c r="N2033" s="3">
        <f t="shared" si="99"/>
        <v>0</v>
      </c>
      <c r="R2033" s="89"/>
      <c r="S2033" s="89">
        <f>100%-Table34[[#This Row],[PDF_initial fee]]</f>
        <v>1</v>
      </c>
      <c r="T2033" s="89"/>
      <c r="U2033" s="26"/>
    </row>
    <row r="2034" spans="1:27" hidden="1" x14ac:dyDescent="0.25">
      <c r="A2034">
        <v>469399</v>
      </c>
      <c r="B2034" t="s">
        <v>2380</v>
      </c>
      <c r="C2034" t="s">
        <v>10226</v>
      </c>
      <c r="D2034">
        <v>1</v>
      </c>
      <c r="E2034" t="s">
        <v>2380</v>
      </c>
      <c r="G2034" s="3"/>
      <c r="H2034" s="21">
        <v>0</v>
      </c>
      <c r="I2034" s="21">
        <v>0</v>
      </c>
      <c r="J2034" s="21">
        <v>0</v>
      </c>
      <c r="K2034" s="21">
        <v>0</v>
      </c>
      <c r="L2034" s="3">
        <f t="shared" si="98"/>
        <v>0</v>
      </c>
      <c r="M2034" s="3"/>
      <c r="N2034" s="3">
        <f t="shared" si="99"/>
        <v>0</v>
      </c>
      <c r="R2034" s="89"/>
      <c r="S2034" s="89">
        <f>100%-Table34[[#This Row],[PDF_initial fee]]</f>
        <v>1</v>
      </c>
      <c r="T2034" s="89"/>
      <c r="U2034" s="26"/>
    </row>
    <row r="2035" spans="1:27" hidden="1" x14ac:dyDescent="0.25">
      <c r="A2035">
        <v>469482</v>
      </c>
      <c r="B2035" t="s">
        <v>2381</v>
      </c>
      <c r="C2035" t="s">
        <v>6958</v>
      </c>
      <c r="D2035">
        <v>11</v>
      </c>
      <c r="E2035" t="s">
        <v>2381</v>
      </c>
      <c r="F2035" t="s">
        <v>6958</v>
      </c>
      <c r="G2035" s="3"/>
      <c r="L2035" s="3">
        <f t="shared" si="98"/>
        <v>0</v>
      </c>
      <c r="M2035" s="3"/>
      <c r="N2035" s="3">
        <f t="shared" si="99"/>
        <v>0</v>
      </c>
      <c r="R2035" s="89"/>
      <c r="S2035" s="89">
        <f>100%-Table34[[#This Row],[PDF_initial fee]]</f>
        <v>1</v>
      </c>
      <c r="T2035" s="89"/>
      <c r="U2035" s="26"/>
    </row>
    <row r="2036" spans="1:27" hidden="1" x14ac:dyDescent="0.25">
      <c r="A2036">
        <v>469500</v>
      </c>
      <c r="B2036" t="s">
        <v>2382</v>
      </c>
      <c r="C2036" t="s">
        <v>30137</v>
      </c>
      <c r="D2036">
        <v>3</v>
      </c>
      <c r="E2036" t="s">
        <v>2382</v>
      </c>
      <c r="G2036" s="3"/>
      <c r="H2036" s="3">
        <v>0</v>
      </c>
      <c r="I2036" s="3">
        <v>0</v>
      </c>
      <c r="J2036" s="3">
        <v>0</v>
      </c>
      <c r="K2036" s="3">
        <v>0</v>
      </c>
      <c r="L2036" s="3">
        <f t="shared" si="98"/>
        <v>0</v>
      </c>
      <c r="M2036" s="3"/>
      <c r="N2036" s="3">
        <f t="shared" si="99"/>
        <v>0</v>
      </c>
      <c r="R2036" s="89"/>
      <c r="S2036" s="89">
        <f>100%-Table34[[#This Row],[PDF_initial fee]]</f>
        <v>1</v>
      </c>
      <c r="T2036" s="89"/>
      <c r="U2036" s="26"/>
    </row>
    <row r="2037" spans="1:27" hidden="1" x14ac:dyDescent="0.25">
      <c r="A2037">
        <v>469507</v>
      </c>
      <c r="B2037" t="s">
        <v>2383</v>
      </c>
      <c r="C2037" s="1" t="s">
        <v>30138</v>
      </c>
      <c r="D2037">
        <v>1</v>
      </c>
      <c r="E2037" t="s">
        <v>2383</v>
      </c>
      <c r="G2037" s="3"/>
      <c r="H2037" s="3">
        <v>0</v>
      </c>
      <c r="I2037" s="3">
        <v>0</v>
      </c>
      <c r="J2037" s="3">
        <v>0</v>
      </c>
      <c r="K2037" s="3">
        <v>0</v>
      </c>
      <c r="L2037" s="3">
        <f t="shared" si="98"/>
        <v>0</v>
      </c>
      <c r="M2037" s="3"/>
      <c r="N2037" s="3">
        <f t="shared" si="99"/>
        <v>0</v>
      </c>
      <c r="R2037" s="89"/>
      <c r="S2037" s="89">
        <f>100%-Table34[[#This Row],[PDF_initial fee]]</f>
        <v>1</v>
      </c>
      <c r="T2037" s="89"/>
      <c r="U2037" s="26"/>
    </row>
    <row r="2038" spans="1:27" hidden="1" x14ac:dyDescent="0.25">
      <c r="A2038">
        <v>469508</v>
      </c>
      <c r="B2038" t="s">
        <v>2384</v>
      </c>
      <c r="C2038" t="s">
        <v>11934</v>
      </c>
      <c r="D2038">
        <v>1</v>
      </c>
      <c r="E2038" t="s">
        <v>2384</v>
      </c>
      <c r="G2038" s="3"/>
      <c r="L2038" s="3">
        <f t="shared" si="98"/>
        <v>0</v>
      </c>
      <c r="M2038" s="3"/>
      <c r="N2038" s="3">
        <f t="shared" si="99"/>
        <v>0</v>
      </c>
      <c r="R2038" s="89"/>
      <c r="S2038" s="89">
        <f>100%-Table34[[#This Row],[PDF_initial fee]]</f>
        <v>1</v>
      </c>
      <c r="T2038" s="89"/>
      <c r="U2038" s="26"/>
    </row>
    <row r="2039" spans="1:27" hidden="1" x14ac:dyDescent="0.25">
      <c r="A2039">
        <v>469547</v>
      </c>
      <c r="B2039" t="s">
        <v>2385</v>
      </c>
      <c r="C2039" t="s">
        <v>9643</v>
      </c>
      <c r="D2039">
        <v>17</v>
      </c>
      <c r="E2039" t="s">
        <v>2385</v>
      </c>
      <c r="G2039" s="3"/>
      <c r="H2039" s="21">
        <v>0</v>
      </c>
      <c r="I2039" s="21">
        <v>0</v>
      </c>
      <c r="J2039" s="21">
        <v>0</v>
      </c>
      <c r="K2039" s="21">
        <v>0</v>
      </c>
      <c r="L2039" s="3">
        <f t="shared" si="98"/>
        <v>0</v>
      </c>
      <c r="M2039" s="3"/>
      <c r="N2039" s="3">
        <f t="shared" si="99"/>
        <v>0</v>
      </c>
      <c r="R2039" s="89"/>
      <c r="S2039" s="89">
        <f>100%-Table34[[#This Row],[PDF_initial fee]]</f>
        <v>1</v>
      </c>
      <c r="T2039" s="89"/>
      <c r="U2039" s="26"/>
    </row>
    <row r="2040" spans="1:27" hidden="1" x14ac:dyDescent="0.25">
      <c r="A2040">
        <v>469658</v>
      </c>
      <c r="B2040" t="s">
        <v>2386</v>
      </c>
      <c r="C2040" t="s">
        <v>10304</v>
      </c>
      <c r="D2040">
        <v>1</v>
      </c>
      <c r="E2040" t="s">
        <v>2386</v>
      </c>
      <c r="G2040" s="3"/>
      <c r="H2040" s="21">
        <v>0</v>
      </c>
      <c r="I2040" s="21">
        <v>0</v>
      </c>
      <c r="J2040" s="21">
        <v>0</v>
      </c>
      <c r="K2040" s="21">
        <v>0</v>
      </c>
      <c r="L2040" s="3">
        <f t="shared" si="98"/>
        <v>0</v>
      </c>
      <c r="M2040" s="3"/>
      <c r="N2040" s="3">
        <f t="shared" si="99"/>
        <v>0</v>
      </c>
      <c r="R2040" s="89"/>
      <c r="S2040" s="89">
        <f>100%-Table34[[#This Row],[PDF_initial fee]]</f>
        <v>1</v>
      </c>
      <c r="T2040" s="89"/>
      <c r="U2040" s="26"/>
    </row>
    <row r="2041" spans="1:27" hidden="1" x14ac:dyDescent="0.25">
      <c r="A2041">
        <v>469662</v>
      </c>
      <c r="B2041" t="s">
        <v>2387</v>
      </c>
      <c r="C2041" t="s">
        <v>6958</v>
      </c>
      <c r="D2041">
        <v>1</v>
      </c>
      <c r="E2041" t="s">
        <v>2387</v>
      </c>
      <c r="F2041" t="s">
        <v>6958</v>
      </c>
      <c r="G2041" s="3"/>
      <c r="H2041" s="21">
        <v>0</v>
      </c>
      <c r="I2041" s="21">
        <v>0</v>
      </c>
      <c r="J2041" s="21">
        <v>0</v>
      </c>
      <c r="K2041" s="21">
        <v>0</v>
      </c>
      <c r="L2041" s="3">
        <f t="shared" si="98"/>
        <v>0</v>
      </c>
      <c r="M2041" s="3"/>
      <c r="N2041" s="3">
        <f t="shared" si="99"/>
        <v>0</v>
      </c>
      <c r="R2041" s="89"/>
      <c r="S2041" s="89">
        <f>100%-Table34[[#This Row],[PDF_initial fee]]</f>
        <v>1</v>
      </c>
      <c r="T2041" s="89"/>
      <c r="U2041" s="26"/>
    </row>
    <row r="2042" spans="1:27" hidden="1" x14ac:dyDescent="0.25">
      <c r="A2042">
        <v>469909</v>
      </c>
      <c r="B2042" t="s">
        <v>2388</v>
      </c>
      <c r="C2042" t="s">
        <v>11341</v>
      </c>
      <c r="D2042">
        <v>1</v>
      </c>
      <c r="E2042" t="s">
        <v>2388</v>
      </c>
      <c r="G2042" s="3"/>
      <c r="H2042" s="21">
        <v>0</v>
      </c>
      <c r="I2042" s="21">
        <v>0</v>
      </c>
      <c r="J2042" s="21">
        <v>0</v>
      </c>
      <c r="K2042" s="21">
        <v>0</v>
      </c>
      <c r="L2042" s="3">
        <f t="shared" si="98"/>
        <v>0</v>
      </c>
      <c r="M2042" s="3"/>
      <c r="N2042" s="3">
        <f t="shared" si="99"/>
        <v>0</v>
      </c>
      <c r="R2042" s="89"/>
      <c r="S2042" s="89">
        <f>100%-Table34[[#This Row],[PDF_initial fee]]</f>
        <v>1</v>
      </c>
      <c r="T2042" s="89"/>
      <c r="U2042" s="26"/>
    </row>
    <row r="2043" spans="1:27" hidden="1" x14ac:dyDescent="0.25">
      <c r="A2043">
        <v>469955</v>
      </c>
      <c r="B2043" t="s">
        <v>2389</v>
      </c>
      <c r="C2043" t="s">
        <v>10380</v>
      </c>
      <c r="D2043">
        <v>21</v>
      </c>
      <c r="E2043" t="s">
        <v>2389</v>
      </c>
      <c r="G2043" s="3"/>
      <c r="H2043" s="21">
        <v>0</v>
      </c>
      <c r="I2043" s="21">
        <v>0</v>
      </c>
      <c r="J2043" s="21">
        <v>0</v>
      </c>
      <c r="K2043" s="21">
        <v>0</v>
      </c>
      <c r="L2043" s="3">
        <f t="shared" si="98"/>
        <v>0</v>
      </c>
      <c r="M2043" s="3"/>
      <c r="N2043" s="3">
        <f t="shared" si="99"/>
        <v>0</v>
      </c>
      <c r="R2043" s="89"/>
      <c r="S2043" s="89">
        <f>100%-Table34[[#This Row],[PDF_initial fee]]</f>
        <v>1</v>
      </c>
      <c r="T2043" s="89"/>
      <c r="U2043" s="26"/>
    </row>
    <row r="2044" spans="1:27" hidden="1" x14ac:dyDescent="0.25">
      <c r="A2044">
        <v>469998</v>
      </c>
      <c r="B2044" t="s">
        <v>2390</v>
      </c>
      <c r="C2044" t="s">
        <v>11108</v>
      </c>
      <c r="D2044">
        <v>2</v>
      </c>
      <c r="E2044" t="s">
        <v>2390</v>
      </c>
      <c r="G2044" s="3"/>
      <c r="L2044" s="3">
        <f t="shared" si="98"/>
        <v>0</v>
      </c>
      <c r="M2044" s="3"/>
      <c r="N2044" s="3">
        <f t="shared" si="99"/>
        <v>0</v>
      </c>
      <c r="R2044" s="89"/>
      <c r="S2044" s="89">
        <f>100%-Table34[[#This Row],[PDF_initial fee]]</f>
        <v>1</v>
      </c>
      <c r="T2044" s="89"/>
      <c r="U2044" s="26"/>
    </row>
    <row r="2045" spans="1:27" hidden="1" x14ac:dyDescent="0.25">
      <c r="A2045">
        <v>470092</v>
      </c>
      <c r="B2045" t="s">
        <v>2391</v>
      </c>
      <c r="C2045" t="s">
        <v>6958</v>
      </c>
      <c r="D2045">
        <v>1</v>
      </c>
      <c r="E2045" t="s">
        <v>2391</v>
      </c>
      <c r="F2045" t="s">
        <v>6958</v>
      </c>
      <c r="G2045" s="3"/>
      <c r="H2045" s="21">
        <v>0</v>
      </c>
      <c r="I2045" s="21">
        <v>0</v>
      </c>
      <c r="J2045" s="21">
        <v>0</v>
      </c>
      <c r="K2045" s="21">
        <v>0</v>
      </c>
      <c r="L2045" s="3">
        <f t="shared" si="98"/>
        <v>0</v>
      </c>
      <c r="M2045" s="3"/>
      <c r="N2045" s="3">
        <f t="shared" si="99"/>
        <v>0</v>
      </c>
      <c r="R2045" s="89"/>
      <c r="S2045" s="89">
        <f>100%-Table34[[#This Row],[PDF_initial fee]]</f>
        <v>1</v>
      </c>
      <c r="T2045" s="89"/>
      <c r="U2045" s="26"/>
    </row>
    <row r="2046" spans="1:27" hidden="1" x14ac:dyDescent="0.25">
      <c r="A2046">
        <v>470102</v>
      </c>
      <c r="B2046" t="s">
        <v>2392</v>
      </c>
      <c r="C2046" t="s">
        <v>10713</v>
      </c>
      <c r="D2046">
        <v>1</v>
      </c>
      <c r="E2046" t="s">
        <v>2392</v>
      </c>
      <c r="G2046" s="3"/>
      <c r="H2046" s="21">
        <v>0</v>
      </c>
      <c r="I2046" s="21">
        <v>0</v>
      </c>
      <c r="J2046" s="21">
        <v>0</v>
      </c>
      <c r="K2046" s="21">
        <v>0</v>
      </c>
      <c r="L2046" s="3">
        <f t="shared" si="98"/>
        <v>0</v>
      </c>
      <c r="M2046" s="3"/>
      <c r="N2046" s="3">
        <f t="shared" si="99"/>
        <v>0</v>
      </c>
      <c r="R2046" s="89"/>
      <c r="S2046" s="89">
        <f>100%-Table34[[#This Row],[PDF_initial fee]]</f>
        <v>1</v>
      </c>
      <c r="T2046" s="89"/>
      <c r="U2046" s="26"/>
    </row>
    <row r="2047" spans="1:27" hidden="1" x14ac:dyDescent="0.25">
      <c r="A2047">
        <v>470448</v>
      </c>
      <c r="B2047" t="s">
        <v>2393</v>
      </c>
      <c r="C2047" t="s">
        <v>6958</v>
      </c>
      <c r="D2047">
        <v>1</v>
      </c>
      <c r="E2047" t="s">
        <v>2393</v>
      </c>
      <c r="F2047" t="s">
        <v>6958</v>
      </c>
      <c r="G2047" s="3"/>
      <c r="H2047" s="21">
        <v>0</v>
      </c>
      <c r="I2047" s="21">
        <v>0</v>
      </c>
      <c r="J2047" s="21">
        <v>0</v>
      </c>
      <c r="K2047" s="21">
        <v>0</v>
      </c>
      <c r="L2047" s="3">
        <f t="shared" si="98"/>
        <v>0</v>
      </c>
      <c r="M2047" s="3"/>
      <c r="N2047" s="3">
        <f t="shared" si="99"/>
        <v>0</v>
      </c>
      <c r="R2047" s="89"/>
      <c r="S2047" s="89">
        <f>100%-Table34[[#This Row],[PDF_initial fee]]</f>
        <v>1</v>
      </c>
      <c r="T2047" s="89"/>
      <c r="U2047" s="26"/>
    </row>
    <row r="2048" spans="1:27" x14ac:dyDescent="0.25">
      <c r="A2048">
        <v>137569</v>
      </c>
      <c r="B2048" t="s">
        <v>51</v>
      </c>
      <c r="C2048" t="s">
        <v>30095</v>
      </c>
      <c r="D2048">
        <v>4</v>
      </c>
      <c r="E2048" t="s">
        <v>51</v>
      </c>
      <c r="F2048" t="s">
        <v>6</v>
      </c>
      <c r="G2048" s="3">
        <v>1.2200000000000001E-2</v>
      </c>
      <c r="H2048" s="3">
        <v>0.02</v>
      </c>
      <c r="I2048" s="3">
        <v>4.0000000000000001E-3</v>
      </c>
      <c r="J2048" s="6">
        <v>0</v>
      </c>
      <c r="K2048" s="6">
        <v>0</v>
      </c>
      <c r="L2048" s="3">
        <f t="shared" si="98"/>
        <v>2.4E-2</v>
      </c>
      <c r="M2048" s="3"/>
      <c r="N2048" s="3">
        <f t="shared" si="99"/>
        <v>3.6200000000000003E-2</v>
      </c>
      <c r="O2048" s="21" t="s">
        <v>30139</v>
      </c>
      <c r="P2048" s="1" t="s">
        <v>30097</v>
      </c>
      <c r="Q2048" s="1" t="s">
        <v>30098</v>
      </c>
      <c r="R2048" s="89">
        <f>207.5/153-1</f>
        <v>0.35620915032679745</v>
      </c>
      <c r="S2048" s="89">
        <f>100%-Table34[[#This Row],[InitialFee]]</f>
        <v>0.98</v>
      </c>
      <c r="T2048" s="89">
        <f>(1-Table34[[#This Row],[OngoingFee (plus Platform fee)]])^5</f>
        <v>0.98015936127897596</v>
      </c>
      <c r="U2048" s="26">
        <f>(1+Table34[[#This Row],[Net 5yrs return (mostly up to 28th of Feb 2026)]])*Table34[[#This Row],[Investment after initial charge]]*Table34[[#This Row],[Cummulative 5yrs ongoing advice charge]]-1</f>
        <v>0.30271507265411612</v>
      </c>
      <c r="V2048" s="10">
        <v>74976000</v>
      </c>
      <c r="W2048" s="10" t="s">
        <v>29051</v>
      </c>
      <c r="X2048" s="10">
        <v>62439000</v>
      </c>
      <c r="Y2048" s="10">
        <f>X2048/V2048</f>
        <v>0.83278649167733676</v>
      </c>
      <c r="Z2048" s="10"/>
      <c r="AA2048" s="1" t="s">
        <v>30140</v>
      </c>
    </row>
    <row r="2049" spans="1:27" hidden="1" x14ac:dyDescent="0.25">
      <c r="A2049">
        <v>470611</v>
      </c>
      <c r="B2049" t="s">
        <v>2394</v>
      </c>
      <c r="C2049" t="s">
        <v>7196</v>
      </c>
      <c r="D2049">
        <v>2</v>
      </c>
      <c r="E2049" t="s">
        <v>2394</v>
      </c>
      <c r="G2049" s="3"/>
      <c r="H2049" s="21">
        <v>0</v>
      </c>
      <c r="I2049" s="21">
        <v>0</v>
      </c>
      <c r="J2049" s="21">
        <v>0</v>
      </c>
      <c r="K2049" s="21">
        <v>0</v>
      </c>
      <c r="L2049" s="3">
        <f t="shared" si="98"/>
        <v>0</v>
      </c>
      <c r="M2049" s="3"/>
      <c r="N2049" s="3">
        <f t="shared" si="99"/>
        <v>0</v>
      </c>
      <c r="R2049" s="89"/>
      <c r="S2049" s="89">
        <f>100%-Table34[[#This Row],[PDF_initial fee]]</f>
        <v>1</v>
      </c>
      <c r="T2049" s="89"/>
      <c r="U2049" s="26"/>
    </row>
    <row r="2050" spans="1:27" hidden="1" x14ac:dyDescent="0.25">
      <c r="A2050">
        <v>470648</v>
      </c>
      <c r="B2050" t="s">
        <v>2395</v>
      </c>
      <c r="C2050" t="s">
        <v>10925</v>
      </c>
      <c r="D2050">
        <v>2</v>
      </c>
      <c r="E2050" t="s">
        <v>2395</v>
      </c>
      <c r="G2050" s="3"/>
      <c r="H2050" s="21">
        <v>0</v>
      </c>
      <c r="I2050" s="21">
        <v>0</v>
      </c>
      <c r="J2050" s="21">
        <v>0</v>
      </c>
      <c r="K2050" s="21">
        <v>0</v>
      </c>
      <c r="L2050" s="3">
        <f t="shared" si="98"/>
        <v>0</v>
      </c>
      <c r="M2050" s="3"/>
      <c r="N2050" s="3">
        <f t="shared" si="99"/>
        <v>0</v>
      </c>
      <c r="R2050" s="89"/>
      <c r="S2050" s="89">
        <f>100%-Table34[[#This Row],[PDF_initial fee]]</f>
        <v>1</v>
      </c>
      <c r="T2050" s="89"/>
      <c r="U2050" s="26"/>
    </row>
    <row r="2051" spans="1:27" hidden="1" x14ac:dyDescent="0.25">
      <c r="A2051">
        <v>470707</v>
      </c>
      <c r="B2051" t="s">
        <v>2396</v>
      </c>
      <c r="C2051" t="s">
        <v>6958</v>
      </c>
      <c r="D2051">
        <v>3</v>
      </c>
      <c r="E2051" t="s">
        <v>2396</v>
      </c>
      <c r="F2051" t="s">
        <v>6958</v>
      </c>
      <c r="G2051" s="3"/>
      <c r="H2051" s="21">
        <v>0</v>
      </c>
      <c r="I2051" s="21">
        <v>0</v>
      </c>
      <c r="J2051" s="21">
        <v>0</v>
      </c>
      <c r="K2051" s="43">
        <v>0</v>
      </c>
      <c r="L2051" s="3">
        <f t="shared" si="98"/>
        <v>0</v>
      </c>
      <c r="M2051" s="3"/>
      <c r="N2051" s="3">
        <f t="shared" si="99"/>
        <v>0</v>
      </c>
      <c r="R2051" s="89"/>
      <c r="S2051" s="89">
        <f>100%-Table34[[#This Row],[PDF_initial fee]]</f>
        <v>1</v>
      </c>
      <c r="T2051" s="89"/>
      <c r="U2051" s="26"/>
    </row>
    <row r="2052" spans="1:27" hidden="1" x14ac:dyDescent="0.25">
      <c r="A2052">
        <v>470730</v>
      </c>
      <c r="B2052" t="s">
        <v>2397</v>
      </c>
      <c r="C2052" t="s">
        <v>6958</v>
      </c>
      <c r="D2052">
        <v>1</v>
      </c>
      <c r="E2052" t="s">
        <v>2397</v>
      </c>
      <c r="F2052" t="s">
        <v>6958</v>
      </c>
      <c r="G2052" s="3"/>
      <c r="H2052" s="21">
        <v>0</v>
      </c>
      <c r="I2052" s="21">
        <v>0</v>
      </c>
      <c r="J2052" s="21">
        <v>0</v>
      </c>
      <c r="K2052" s="21">
        <v>0</v>
      </c>
      <c r="L2052" s="3">
        <f t="shared" si="98"/>
        <v>0</v>
      </c>
      <c r="M2052" s="3"/>
      <c r="N2052" s="3">
        <f t="shared" si="99"/>
        <v>0</v>
      </c>
      <c r="R2052" s="89"/>
      <c r="S2052" s="89">
        <f>100%-Table34[[#This Row],[PDF_initial fee]]</f>
        <v>1</v>
      </c>
      <c r="T2052" s="89"/>
      <c r="U2052" s="26"/>
    </row>
    <row r="2053" spans="1:27" hidden="1" x14ac:dyDescent="0.25">
      <c r="A2053">
        <v>470835</v>
      </c>
      <c r="B2053" t="s">
        <v>2398</v>
      </c>
      <c r="C2053" t="s">
        <v>12012</v>
      </c>
      <c r="D2053">
        <v>1</v>
      </c>
      <c r="E2053" t="s">
        <v>2398</v>
      </c>
      <c r="G2053" s="3"/>
      <c r="H2053" s="21">
        <v>0</v>
      </c>
      <c r="I2053" s="21">
        <v>0</v>
      </c>
      <c r="J2053" s="21">
        <v>0</v>
      </c>
      <c r="K2053" s="21">
        <v>0</v>
      </c>
      <c r="L2053" s="3">
        <f t="shared" si="98"/>
        <v>0</v>
      </c>
      <c r="M2053" s="3"/>
      <c r="N2053" s="3">
        <f t="shared" si="99"/>
        <v>0</v>
      </c>
      <c r="R2053" s="89"/>
      <c r="S2053" s="89">
        <f>100%-Table34[[#This Row],[PDF_initial fee]]</f>
        <v>1</v>
      </c>
      <c r="T2053" s="89"/>
      <c r="U2053" s="26"/>
    </row>
    <row r="2054" spans="1:27" hidden="1" x14ac:dyDescent="0.25">
      <c r="A2054">
        <v>470952</v>
      </c>
      <c r="B2054" t="s">
        <v>2399</v>
      </c>
      <c r="C2054" t="s">
        <v>6958</v>
      </c>
      <c r="D2054">
        <v>2</v>
      </c>
      <c r="E2054" t="s">
        <v>2399</v>
      </c>
      <c r="F2054" t="s">
        <v>6958</v>
      </c>
      <c r="G2054" s="3"/>
      <c r="H2054" s="21">
        <v>0</v>
      </c>
      <c r="I2054" s="21">
        <v>0</v>
      </c>
      <c r="J2054" s="21">
        <v>0</v>
      </c>
      <c r="K2054" s="21">
        <v>0</v>
      </c>
      <c r="L2054" s="3">
        <f t="shared" si="98"/>
        <v>0</v>
      </c>
      <c r="M2054" s="3"/>
      <c r="N2054" s="3">
        <f t="shared" si="99"/>
        <v>0</v>
      </c>
      <c r="R2054" s="89"/>
      <c r="S2054" s="89">
        <f>100%-Table34[[#This Row],[PDF_initial fee]]</f>
        <v>1</v>
      </c>
      <c r="T2054" s="89"/>
      <c r="U2054" s="26"/>
    </row>
    <row r="2055" spans="1:27" hidden="1" x14ac:dyDescent="0.25">
      <c r="A2055">
        <v>471003</v>
      </c>
      <c r="B2055" t="s">
        <v>2400</v>
      </c>
      <c r="C2055" t="s">
        <v>30141</v>
      </c>
      <c r="D2055">
        <v>0</v>
      </c>
      <c r="E2055" t="s">
        <v>2400</v>
      </c>
      <c r="F2055" t="s">
        <v>29136</v>
      </c>
      <c r="G2055" s="3"/>
      <c r="H2055" s="21">
        <v>0</v>
      </c>
      <c r="I2055" s="21">
        <v>0</v>
      </c>
      <c r="J2055" s="21">
        <v>0</v>
      </c>
      <c r="K2055" s="21">
        <v>0</v>
      </c>
      <c r="L2055" s="3">
        <f t="shared" si="98"/>
        <v>0</v>
      </c>
      <c r="M2055" s="3"/>
      <c r="N2055" s="3">
        <f t="shared" si="99"/>
        <v>0</v>
      </c>
      <c r="O2055" s="21"/>
      <c r="R2055" s="89"/>
      <c r="S2055" s="89">
        <f>100%-Table34[[#This Row],[PDF_initial fee]]</f>
        <v>1</v>
      </c>
      <c r="T2055" s="89"/>
      <c r="U2055" s="26"/>
    </row>
    <row r="2056" spans="1:27" hidden="1" x14ac:dyDescent="0.25">
      <c r="A2056">
        <v>471048</v>
      </c>
      <c r="B2056" t="s">
        <v>2401</v>
      </c>
      <c r="C2056" t="s">
        <v>30142</v>
      </c>
      <c r="D2056">
        <v>127</v>
      </c>
      <c r="E2056" t="s">
        <v>2401</v>
      </c>
      <c r="F2056" t="s">
        <v>29147</v>
      </c>
      <c r="G2056" s="3"/>
      <c r="H2056" s="21">
        <v>0</v>
      </c>
      <c r="I2056" s="21">
        <v>0</v>
      </c>
      <c r="J2056" s="21">
        <v>0</v>
      </c>
      <c r="K2056" s="21">
        <v>0</v>
      </c>
      <c r="L2056" s="3">
        <f t="shared" si="98"/>
        <v>0</v>
      </c>
      <c r="M2056" s="3"/>
      <c r="N2056" s="3">
        <f t="shared" si="99"/>
        <v>0</v>
      </c>
      <c r="O2056" s="21"/>
      <c r="R2056" s="89"/>
      <c r="S2056" s="89">
        <f>100%-Table34[[#This Row],[PDF_initial fee]]</f>
        <v>1</v>
      </c>
      <c r="T2056" s="89"/>
      <c r="U2056" s="26"/>
    </row>
    <row r="2057" spans="1:27" hidden="1" x14ac:dyDescent="0.25">
      <c r="A2057">
        <v>471109</v>
      </c>
      <c r="B2057" t="s">
        <v>2402</v>
      </c>
      <c r="C2057" t="s">
        <v>6958</v>
      </c>
      <c r="D2057">
        <v>1</v>
      </c>
      <c r="E2057" t="s">
        <v>2402</v>
      </c>
      <c r="F2057" t="s">
        <v>6958</v>
      </c>
      <c r="G2057" s="3"/>
      <c r="H2057" s="21">
        <v>0</v>
      </c>
      <c r="I2057" s="21">
        <v>0</v>
      </c>
      <c r="J2057" s="21">
        <v>0</v>
      </c>
      <c r="K2057" s="21">
        <v>0</v>
      </c>
      <c r="L2057" s="3">
        <f t="shared" si="98"/>
        <v>0</v>
      </c>
      <c r="M2057" s="3"/>
      <c r="N2057" s="3">
        <f t="shared" si="99"/>
        <v>0</v>
      </c>
      <c r="R2057" s="89"/>
      <c r="S2057" s="89">
        <f>100%-Table34[[#This Row],[PDF_initial fee]]</f>
        <v>1</v>
      </c>
      <c r="T2057" s="89"/>
      <c r="U2057" s="26"/>
    </row>
    <row r="2058" spans="1:27" x14ac:dyDescent="0.25">
      <c r="A2058">
        <v>147103</v>
      </c>
      <c r="B2058" t="s">
        <v>66</v>
      </c>
      <c r="C2058" t="s">
        <v>30095</v>
      </c>
      <c r="D2058">
        <v>172</v>
      </c>
      <c r="E2058" t="s">
        <v>66</v>
      </c>
      <c r="F2058" t="s">
        <v>6</v>
      </c>
      <c r="G2058" s="3">
        <v>1.2200000000000001E-2</v>
      </c>
      <c r="H2058" s="3">
        <v>0.02</v>
      </c>
      <c r="I2058" s="3">
        <v>4.0000000000000001E-3</v>
      </c>
      <c r="J2058" s="6">
        <v>0</v>
      </c>
      <c r="K2058" s="6">
        <v>0</v>
      </c>
      <c r="L2058" s="3">
        <f t="shared" si="98"/>
        <v>2.4E-2</v>
      </c>
      <c r="M2058" s="3"/>
      <c r="N2058" s="3">
        <f t="shared" si="99"/>
        <v>3.6200000000000003E-2</v>
      </c>
      <c r="O2058" s="21"/>
      <c r="P2058" s="1" t="s">
        <v>30097</v>
      </c>
      <c r="Q2058" s="1" t="s">
        <v>30098</v>
      </c>
      <c r="R2058" s="89">
        <f>207.5/153-1</f>
        <v>0.35620915032679745</v>
      </c>
      <c r="S2058" s="89">
        <f>100%-Table34[[#This Row],[InitialFee]]</f>
        <v>0.98</v>
      </c>
      <c r="T2058" s="89">
        <f>(1-Table34[[#This Row],[OngoingFee (plus Platform fee)]])^5</f>
        <v>0.98015936127897596</v>
      </c>
      <c r="U2058" s="26">
        <f>(1+Table34[[#This Row],[Net 5yrs return (mostly up to 28th of Feb 2026)]])*Table34[[#This Row],[Investment after initial charge]]*Table34[[#This Row],[Cummulative 5yrs ongoing advice charge]]-1</f>
        <v>0.30271507265411612</v>
      </c>
      <c r="V2058" s="10">
        <f>(2355+39877)*1000</f>
        <v>42232000</v>
      </c>
      <c r="W2058" s="10" t="s">
        <v>29051</v>
      </c>
      <c r="X2058" s="10">
        <v>26398000</v>
      </c>
      <c r="Y2058" s="30">
        <f>X2058/V2058</f>
        <v>0.62507103618109494</v>
      </c>
      <c r="Z2058" s="10"/>
      <c r="AA2058" s="1" t="s">
        <v>30143</v>
      </c>
    </row>
    <row r="2059" spans="1:27" hidden="1" x14ac:dyDescent="0.25">
      <c r="A2059">
        <v>471184</v>
      </c>
      <c r="B2059" t="s">
        <v>2404</v>
      </c>
      <c r="C2059" t="s">
        <v>7036</v>
      </c>
      <c r="D2059">
        <v>11</v>
      </c>
      <c r="E2059" t="s">
        <v>2404</v>
      </c>
      <c r="G2059" s="3"/>
      <c r="H2059" s="21">
        <v>0</v>
      </c>
      <c r="I2059" s="21">
        <v>0</v>
      </c>
      <c r="J2059" s="21">
        <v>0</v>
      </c>
      <c r="K2059" s="21">
        <v>0</v>
      </c>
      <c r="L2059" s="3">
        <f t="shared" si="98"/>
        <v>0</v>
      </c>
      <c r="M2059" s="3"/>
      <c r="N2059" s="3">
        <f t="shared" si="99"/>
        <v>0</v>
      </c>
      <c r="R2059" s="89"/>
      <c r="S2059" s="89">
        <f>100%-Table34[[#This Row],[PDF_initial fee]]</f>
        <v>1</v>
      </c>
      <c r="T2059" s="89"/>
      <c r="U2059" s="26"/>
    </row>
    <row r="2060" spans="1:27" hidden="1" x14ac:dyDescent="0.25">
      <c r="A2060">
        <v>471207</v>
      </c>
      <c r="B2060" t="s">
        <v>2405</v>
      </c>
      <c r="C2060" t="s">
        <v>6958</v>
      </c>
      <c r="D2060">
        <v>6</v>
      </c>
      <c r="E2060" t="s">
        <v>2405</v>
      </c>
      <c r="F2060" t="s">
        <v>6958</v>
      </c>
      <c r="G2060" s="3"/>
      <c r="H2060" s="21">
        <v>0</v>
      </c>
      <c r="I2060" s="21">
        <v>0</v>
      </c>
      <c r="J2060" s="21">
        <v>0</v>
      </c>
      <c r="K2060" s="21">
        <v>0</v>
      </c>
      <c r="L2060" s="3">
        <f t="shared" si="98"/>
        <v>0</v>
      </c>
      <c r="M2060" s="3"/>
      <c r="N2060" s="3">
        <f t="shared" ref="N2060:N2091" si="100">L2060+G2060</f>
        <v>0</v>
      </c>
      <c r="R2060" s="89"/>
      <c r="S2060" s="89">
        <f>100%-Table34[[#This Row],[PDF_initial fee]]</f>
        <v>1</v>
      </c>
      <c r="T2060" s="89"/>
      <c r="U2060" s="26"/>
    </row>
    <row r="2061" spans="1:27" hidden="1" x14ac:dyDescent="0.25">
      <c r="A2061">
        <v>471375</v>
      </c>
      <c r="B2061" t="s">
        <v>2406</v>
      </c>
      <c r="C2061" t="s">
        <v>30144</v>
      </c>
      <c r="D2061">
        <v>9</v>
      </c>
      <c r="E2061" t="s">
        <v>2406</v>
      </c>
      <c r="G2061" s="3"/>
      <c r="H2061" s="21">
        <v>0</v>
      </c>
      <c r="I2061" s="21">
        <v>0</v>
      </c>
      <c r="J2061" s="21">
        <v>0</v>
      </c>
      <c r="K2061" s="21">
        <v>0</v>
      </c>
      <c r="L2061" s="3">
        <f t="shared" si="98"/>
        <v>0</v>
      </c>
      <c r="M2061" s="3"/>
      <c r="N2061" s="3">
        <f t="shared" si="100"/>
        <v>0</v>
      </c>
      <c r="O2061" s="21"/>
      <c r="R2061" s="89"/>
      <c r="S2061" s="89">
        <f>100%-Table34[[#This Row],[PDF_initial fee]]</f>
        <v>1</v>
      </c>
      <c r="T2061" s="89"/>
      <c r="U2061" s="26"/>
    </row>
    <row r="2062" spans="1:27" hidden="1" x14ac:dyDescent="0.25">
      <c r="A2062">
        <v>471394</v>
      </c>
      <c r="B2062" t="s">
        <v>2407</v>
      </c>
      <c r="C2062" t="s">
        <v>30145</v>
      </c>
      <c r="D2062">
        <v>14</v>
      </c>
      <c r="E2062" t="s">
        <v>2407</v>
      </c>
      <c r="G2062" s="3"/>
      <c r="H2062" s="3">
        <v>0</v>
      </c>
      <c r="I2062" s="3">
        <v>0</v>
      </c>
      <c r="J2062" s="3">
        <v>0</v>
      </c>
      <c r="K2062" s="3">
        <v>0</v>
      </c>
      <c r="L2062" s="3">
        <f t="shared" si="98"/>
        <v>0</v>
      </c>
      <c r="M2062" s="3"/>
      <c r="N2062" s="3">
        <f t="shared" si="100"/>
        <v>0</v>
      </c>
      <c r="R2062" s="89"/>
      <c r="S2062" s="89">
        <f>100%-Table34[[#This Row],[PDF_initial fee]]</f>
        <v>1</v>
      </c>
      <c r="T2062" s="89"/>
      <c r="U2062" s="26"/>
    </row>
    <row r="2063" spans="1:27" hidden="1" x14ac:dyDescent="0.25">
      <c r="A2063">
        <v>471417</v>
      </c>
      <c r="B2063" t="s">
        <v>2408</v>
      </c>
      <c r="C2063" t="s">
        <v>8188</v>
      </c>
      <c r="D2063">
        <v>0</v>
      </c>
      <c r="E2063" t="s">
        <v>2408</v>
      </c>
      <c r="F2063" t="s">
        <v>29136</v>
      </c>
      <c r="G2063" s="3"/>
      <c r="H2063" s="21">
        <v>0</v>
      </c>
      <c r="I2063" s="21">
        <v>0</v>
      </c>
      <c r="J2063" s="21">
        <v>0</v>
      </c>
      <c r="K2063" s="21">
        <v>0</v>
      </c>
      <c r="L2063" s="3">
        <f t="shared" si="98"/>
        <v>0</v>
      </c>
      <c r="M2063" s="3"/>
      <c r="N2063" s="3">
        <f t="shared" si="100"/>
        <v>0</v>
      </c>
      <c r="R2063" s="89"/>
      <c r="S2063" s="89">
        <f>100%-Table34[[#This Row],[PDF_initial fee]]</f>
        <v>1</v>
      </c>
      <c r="T2063" s="89"/>
      <c r="U2063" s="26"/>
    </row>
    <row r="2064" spans="1:27" hidden="1" x14ac:dyDescent="0.25">
      <c r="A2064">
        <v>471535</v>
      </c>
      <c r="B2064" t="s">
        <v>2409</v>
      </c>
      <c r="C2064" t="s">
        <v>30146</v>
      </c>
      <c r="D2064">
        <v>1</v>
      </c>
      <c r="E2064" t="s">
        <v>2409</v>
      </c>
      <c r="G2064" s="3"/>
      <c r="H2064" s="21">
        <v>0</v>
      </c>
      <c r="I2064" s="3">
        <v>0</v>
      </c>
      <c r="J2064" s="3">
        <v>0</v>
      </c>
      <c r="K2064">
        <v>0</v>
      </c>
      <c r="L2064" s="3">
        <f t="shared" si="98"/>
        <v>0</v>
      </c>
      <c r="M2064" s="3"/>
      <c r="N2064" s="3">
        <f t="shared" si="100"/>
        <v>0</v>
      </c>
      <c r="R2064" s="89"/>
      <c r="S2064" s="89">
        <f>100%-Table34[[#This Row],[PDF_initial fee]]</f>
        <v>1</v>
      </c>
      <c r="T2064" s="89"/>
      <c r="U2064" s="26"/>
    </row>
    <row r="2065" spans="1:21" hidden="1" x14ac:dyDescent="0.25">
      <c r="A2065">
        <v>471575</v>
      </c>
      <c r="B2065" t="s">
        <v>2410</v>
      </c>
      <c r="C2065" t="s">
        <v>6958</v>
      </c>
      <c r="D2065">
        <v>2</v>
      </c>
      <c r="E2065" t="s">
        <v>2410</v>
      </c>
      <c r="F2065" t="s">
        <v>6958</v>
      </c>
      <c r="G2065" s="3"/>
      <c r="H2065" s="21">
        <v>0</v>
      </c>
      <c r="I2065" s="21">
        <v>0</v>
      </c>
      <c r="J2065" s="21">
        <v>0</v>
      </c>
      <c r="K2065" s="21">
        <v>0</v>
      </c>
      <c r="L2065" s="3">
        <f t="shared" si="98"/>
        <v>0</v>
      </c>
      <c r="M2065" s="3"/>
      <c r="N2065" s="3">
        <f t="shared" si="100"/>
        <v>0</v>
      </c>
      <c r="R2065" s="89"/>
      <c r="S2065" s="89">
        <f>100%-Table34[[#This Row],[PDF_initial fee]]</f>
        <v>1</v>
      </c>
      <c r="T2065" s="89"/>
      <c r="U2065" s="26"/>
    </row>
    <row r="2066" spans="1:21" hidden="1" x14ac:dyDescent="0.25">
      <c r="A2066">
        <v>471974</v>
      </c>
      <c r="B2066" t="s">
        <v>2411</v>
      </c>
      <c r="C2066" t="s">
        <v>8119</v>
      </c>
      <c r="D2066">
        <v>1</v>
      </c>
      <c r="E2066" t="s">
        <v>2411</v>
      </c>
      <c r="G2066" s="3"/>
      <c r="H2066" s="21">
        <v>0</v>
      </c>
      <c r="I2066" s="21">
        <v>0</v>
      </c>
      <c r="J2066" s="21">
        <v>0</v>
      </c>
      <c r="K2066" s="21">
        <v>0</v>
      </c>
      <c r="L2066" s="3">
        <f t="shared" si="98"/>
        <v>0</v>
      </c>
      <c r="M2066" s="3"/>
      <c r="N2066" s="3">
        <f t="shared" si="100"/>
        <v>0</v>
      </c>
      <c r="R2066" s="89"/>
      <c r="S2066" s="89">
        <f>100%-Table34[[#This Row],[PDF_initial fee]]</f>
        <v>1</v>
      </c>
      <c r="T2066" s="89"/>
      <c r="U2066" s="26"/>
    </row>
    <row r="2067" spans="1:21" hidden="1" x14ac:dyDescent="0.25">
      <c r="A2067">
        <v>472031</v>
      </c>
      <c r="B2067" t="s">
        <v>2412</v>
      </c>
      <c r="C2067" t="s">
        <v>11788</v>
      </c>
      <c r="D2067">
        <v>4</v>
      </c>
      <c r="E2067" t="s">
        <v>2412</v>
      </c>
      <c r="G2067" s="3"/>
      <c r="H2067" s="21">
        <v>0</v>
      </c>
      <c r="I2067" s="21">
        <v>0</v>
      </c>
      <c r="J2067" s="21">
        <v>0</v>
      </c>
      <c r="K2067" s="21">
        <v>0</v>
      </c>
      <c r="L2067" s="3">
        <f t="shared" si="98"/>
        <v>0</v>
      </c>
      <c r="M2067" s="3"/>
      <c r="N2067" s="3">
        <f t="shared" si="100"/>
        <v>0</v>
      </c>
      <c r="R2067" s="89"/>
      <c r="S2067" s="89">
        <f>100%-Table34[[#This Row],[PDF_initial fee]]</f>
        <v>1</v>
      </c>
      <c r="T2067" s="89"/>
      <c r="U2067" s="26"/>
    </row>
    <row r="2068" spans="1:21" hidden="1" x14ac:dyDescent="0.25">
      <c r="A2068">
        <v>472086</v>
      </c>
      <c r="B2068" t="s">
        <v>2413</v>
      </c>
      <c r="C2068" t="s">
        <v>6958</v>
      </c>
      <c r="D2068">
        <v>1</v>
      </c>
      <c r="E2068" t="s">
        <v>2413</v>
      </c>
      <c r="F2068" t="s">
        <v>6958</v>
      </c>
      <c r="G2068" s="3"/>
      <c r="H2068" s="21">
        <v>0</v>
      </c>
      <c r="I2068" s="21">
        <v>0</v>
      </c>
      <c r="J2068" s="21">
        <v>0</v>
      </c>
      <c r="K2068" s="21">
        <v>0</v>
      </c>
      <c r="L2068" s="3">
        <f t="shared" si="98"/>
        <v>0</v>
      </c>
      <c r="M2068" s="3"/>
      <c r="N2068" s="3">
        <f t="shared" si="100"/>
        <v>0</v>
      </c>
      <c r="R2068" s="89"/>
      <c r="S2068" s="89">
        <f>100%-Table34[[#This Row],[PDF_initial fee]]</f>
        <v>1</v>
      </c>
      <c r="T2068" s="89"/>
      <c r="U2068" s="26"/>
    </row>
    <row r="2069" spans="1:21" hidden="1" x14ac:dyDescent="0.25">
      <c r="A2069">
        <v>472152</v>
      </c>
      <c r="B2069" t="s">
        <v>2414</v>
      </c>
      <c r="C2069" t="s">
        <v>30147</v>
      </c>
      <c r="D2069">
        <v>3</v>
      </c>
      <c r="E2069" t="s">
        <v>2414</v>
      </c>
      <c r="G2069" s="3"/>
      <c r="H2069" s="3">
        <v>0</v>
      </c>
      <c r="I2069" s="3">
        <v>0</v>
      </c>
      <c r="J2069" s="3">
        <v>0</v>
      </c>
      <c r="K2069" s="3">
        <v>0</v>
      </c>
      <c r="L2069" s="3">
        <f t="shared" si="98"/>
        <v>0</v>
      </c>
      <c r="M2069" s="3"/>
      <c r="N2069" s="3">
        <f t="shared" si="100"/>
        <v>0</v>
      </c>
      <c r="R2069" s="89"/>
      <c r="S2069" s="89">
        <f>100%-Table34[[#This Row],[PDF_initial fee]]</f>
        <v>1</v>
      </c>
      <c r="T2069" s="89"/>
      <c r="U2069" s="26"/>
    </row>
    <row r="2070" spans="1:21" hidden="1" x14ac:dyDescent="0.25">
      <c r="A2070">
        <v>472247</v>
      </c>
      <c r="B2070" t="s">
        <v>2415</v>
      </c>
      <c r="C2070" t="s">
        <v>9195</v>
      </c>
      <c r="D2070">
        <v>5</v>
      </c>
      <c r="E2070" t="s">
        <v>2415</v>
      </c>
      <c r="G2070" s="3"/>
      <c r="H2070" s="21">
        <v>0</v>
      </c>
      <c r="I2070" s="21">
        <v>0</v>
      </c>
      <c r="J2070" s="21">
        <v>0</v>
      </c>
      <c r="K2070" s="21">
        <v>0</v>
      </c>
      <c r="L2070" s="3">
        <f t="shared" si="98"/>
        <v>0</v>
      </c>
      <c r="M2070" s="3"/>
      <c r="N2070" s="3">
        <f t="shared" si="100"/>
        <v>0</v>
      </c>
      <c r="R2070" s="89"/>
      <c r="S2070" s="89">
        <f>100%-Table34[[#This Row],[PDF_initial fee]]</f>
        <v>1</v>
      </c>
      <c r="T2070" s="89"/>
      <c r="U2070" s="26"/>
    </row>
    <row r="2071" spans="1:21" hidden="1" x14ac:dyDescent="0.25">
      <c r="A2071">
        <v>472268</v>
      </c>
      <c r="B2071" t="s">
        <v>2417</v>
      </c>
      <c r="C2071" t="s">
        <v>8379</v>
      </c>
      <c r="D2071">
        <v>4</v>
      </c>
      <c r="E2071" t="s">
        <v>2417</v>
      </c>
      <c r="G2071" s="3"/>
      <c r="H2071" s="21">
        <v>0</v>
      </c>
      <c r="I2071" s="21">
        <v>0</v>
      </c>
      <c r="J2071" s="21">
        <v>0</v>
      </c>
      <c r="K2071" s="21">
        <v>0</v>
      </c>
      <c r="L2071" s="3">
        <f t="shared" si="98"/>
        <v>0</v>
      </c>
      <c r="M2071" s="3"/>
      <c r="N2071" s="3">
        <f t="shared" si="100"/>
        <v>0</v>
      </c>
      <c r="R2071" s="89"/>
      <c r="S2071" s="89">
        <f>100%-Table34[[#This Row],[PDF_initial fee]]</f>
        <v>1</v>
      </c>
      <c r="T2071" s="89"/>
      <c r="U2071" s="26"/>
    </row>
    <row r="2072" spans="1:21" hidden="1" x14ac:dyDescent="0.25">
      <c r="A2072">
        <v>472446</v>
      </c>
      <c r="B2072" t="s">
        <v>2418</v>
      </c>
      <c r="C2072" t="s">
        <v>6958</v>
      </c>
      <c r="D2072">
        <v>1</v>
      </c>
      <c r="E2072" t="s">
        <v>2418</v>
      </c>
      <c r="F2072" t="s">
        <v>6958</v>
      </c>
      <c r="G2072" s="3"/>
      <c r="H2072" s="21">
        <v>0</v>
      </c>
      <c r="I2072" s="21">
        <v>0</v>
      </c>
      <c r="J2072" s="21">
        <v>0</v>
      </c>
      <c r="K2072" s="21">
        <v>0</v>
      </c>
      <c r="L2072" s="3">
        <f t="shared" si="98"/>
        <v>0</v>
      </c>
      <c r="M2072" s="3"/>
      <c r="N2072" s="3">
        <f t="shared" si="100"/>
        <v>0</v>
      </c>
      <c r="R2072" s="89"/>
      <c r="S2072" s="89">
        <f>100%-Table34[[#This Row],[PDF_initial fee]]</f>
        <v>1</v>
      </c>
      <c r="T2072" s="89"/>
      <c r="U2072" s="26"/>
    </row>
    <row r="2073" spans="1:21" hidden="1" x14ac:dyDescent="0.25">
      <c r="A2073">
        <v>472466</v>
      </c>
      <c r="B2073" t="s">
        <v>2419</v>
      </c>
      <c r="C2073" t="s">
        <v>6958</v>
      </c>
      <c r="D2073">
        <v>5</v>
      </c>
      <c r="E2073" t="s">
        <v>2419</v>
      </c>
      <c r="F2073" t="s">
        <v>6958</v>
      </c>
      <c r="G2073" s="3"/>
      <c r="L2073" s="3">
        <f t="shared" si="98"/>
        <v>0</v>
      </c>
      <c r="M2073" s="3"/>
      <c r="N2073" s="3">
        <f t="shared" si="100"/>
        <v>0</v>
      </c>
      <c r="R2073" s="89"/>
      <c r="S2073" s="89">
        <f>100%-Table34[[#This Row],[PDF_initial fee]]</f>
        <v>1</v>
      </c>
      <c r="T2073" s="89"/>
      <c r="U2073" s="26"/>
    </row>
    <row r="2074" spans="1:21" hidden="1" x14ac:dyDescent="0.25">
      <c r="A2074">
        <v>472635</v>
      </c>
      <c r="B2074" t="s">
        <v>2421</v>
      </c>
      <c r="C2074" t="s">
        <v>6958</v>
      </c>
      <c r="D2074">
        <v>0</v>
      </c>
      <c r="E2074" t="s">
        <v>2421</v>
      </c>
      <c r="F2074" t="s">
        <v>6958</v>
      </c>
      <c r="G2074" s="3"/>
      <c r="L2074" s="3">
        <f t="shared" si="98"/>
        <v>0</v>
      </c>
      <c r="M2074" s="3"/>
      <c r="N2074" s="3">
        <f t="shared" si="100"/>
        <v>0</v>
      </c>
      <c r="R2074" s="89"/>
      <c r="S2074" s="89">
        <f>100%-Table34[[#This Row],[PDF_initial fee]]</f>
        <v>1</v>
      </c>
      <c r="T2074" s="89"/>
      <c r="U2074" s="26"/>
    </row>
    <row r="2075" spans="1:21" hidden="1" x14ac:dyDescent="0.25">
      <c r="A2075">
        <v>472637</v>
      </c>
      <c r="B2075" t="s">
        <v>2422</v>
      </c>
      <c r="C2075" t="s">
        <v>10144</v>
      </c>
      <c r="D2075">
        <v>1</v>
      </c>
      <c r="E2075" t="s">
        <v>2422</v>
      </c>
      <c r="G2075" s="3"/>
      <c r="H2075" s="21">
        <v>0</v>
      </c>
      <c r="I2075" s="21">
        <v>0</v>
      </c>
      <c r="J2075" s="21">
        <v>0</v>
      </c>
      <c r="K2075" s="21">
        <v>0</v>
      </c>
      <c r="L2075" s="3">
        <f t="shared" si="98"/>
        <v>0</v>
      </c>
      <c r="M2075" s="3"/>
      <c r="N2075" s="3">
        <f t="shared" si="100"/>
        <v>0</v>
      </c>
      <c r="R2075" s="89"/>
      <c r="S2075" s="89">
        <f>100%-Table34[[#This Row],[PDF_initial fee]]</f>
        <v>1</v>
      </c>
      <c r="T2075" s="89"/>
      <c r="U2075" s="26"/>
    </row>
    <row r="2076" spans="1:21" hidden="1" x14ac:dyDescent="0.25">
      <c r="A2076">
        <v>472648</v>
      </c>
      <c r="B2076" t="s">
        <v>2423</v>
      </c>
      <c r="C2076" t="s">
        <v>10023</v>
      </c>
      <c r="D2076">
        <v>1</v>
      </c>
      <c r="E2076" t="s">
        <v>2423</v>
      </c>
      <c r="G2076" s="3"/>
      <c r="H2076" s="21">
        <v>0</v>
      </c>
      <c r="I2076" s="21">
        <v>0</v>
      </c>
      <c r="J2076" s="21">
        <v>0</v>
      </c>
      <c r="K2076" s="21">
        <v>0</v>
      </c>
      <c r="L2076" s="3">
        <f t="shared" si="98"/>
        <v>0</v>
      </c>
      <c r="M2076" s="3"/>
      <c r="N2076" s="3">
        <f t="shared" si="100"/>
        <v>0</v>
      </c>
      <c r="R2076" s="89"/>
      <c r="S2076" s="89">
        <f>100%-Table34[[#This Row],[PDF_initial fee]]</f>
        <v>1</v>
      </c>
      <c r="T2076" s="89"/>
      <c r="U2076" s="26"/>
    </row>
    <row r="2077" spans="1:21" hidden="1" x14ac:dyDescent="0.25">
      <c r="A2077">
        <v>472650</v>
      </c>
      <c r="B2077" t="s">
        <v>2424</v>
      </c>
      <c r="C2077" t="s">
        <v>6958</v>
      </c>
      <c r="D2077">
        <v>1</v>
      </c>
      <c r="E2077" t="s">
        <v>2424</v>
      </c>
      <c r="F2077" t="s">
        <v>6958</v>
      </c>
      <c r="G2077" s="3"/>
      <c r="H2077" s="21">
        <v>0</v>
      </c>
      <c r="I2077" s="21">
        <v>0</v>
      </c>
      <c r="J2077" s="21">
        <v>0</v>
      </c>
      <c r="K2077" s="21">
        <v>0</v>
      </c>
      <c r="L2077" s="3">
        <f t="shared" si="98"/>
        <v>0</v>
      </c>
      <c r="M2077" s="3"/>
      <c r="N2077" s="3">
        <f t="shared" si="100"/>
        <v>0</v>
      </c>
      <c r="R2077" s="89"/>
      <c r="S2077" s="89">
        <f>100%-Table34[[#This Row],[PDF_initial fee]]</f>
        <v>1</v>
      </c>
      <c r="T2077" s="89"/>
      <c r="U2077" s="26"/>
    </row>
    <row r="2078" spans="1:21" hidden="1" x14ac:dyDescent="0.25">
      <c r="A2078">
        <v>472777</v>
      </c>
      <c r="B2078" t="s">
        <v>2425</v>
      </c>
      <c r="C2078" t="s">
        <v>8260</v>
      </c>
      <c r="D2078">
        <v>2</v>
      </c>
      <c r="E2078" t="s">
        <v>2425</v>
      </c>
      <c r="G2078" s="3"/>
      <c r="H2078" s="21">
        <v>0</v>
      </c>
      <c r="I2078" s="21">
        <v>0</v>
      </c>
      <c r="J2078" s="21">
        <v>0</v>
      </c>
      <c r="K2078" s="21">
        <v>0</v>
      </c>
      <c r="L2078" s="3">
        <f t="shared" si="98"/>
        <v>0</v>
      </c>
      <c r="M2078" s="3"/>
      <c r="N2078" s="3">
        <f t="shared" si="100"/>
        <v>0</v>
      </c>
      <c r="R2078" s="89"/>
      <c r="S2078" s="89">
        <f>100%-Table34[[#This Row],[PDF_initial fee]]</f>
        <v>1</v>
      </c>
      <c r="T2078" s="89"/>
      <c r="U2078" s="26"/>
    </row>
    <row r="2079" spans="1:21" hidden="1" x14ac:dyDescent="0.25">
      <c r="A2079">
        <v>472779</v>
      </c>
      <c r="B2079" t="s">
        <v>2426</v>
      </c>
      <c r="C2079" t="s">
        <v>6958</v>
      </c>
      <c r="D2079">
        <v>1</v>
      </c>
      <c r="E2079" t="s">
        <v>2426</v>
      </c>
      <c r="F2079" t="s">
        <v>6958</v>
      </c>
      <c r="G2079" s="3"/>
      <c r="L2079" s="3">
        <f t="shared" si="98"/>
        <v>0</v>
      </c>
      <c r="M2079" s="3"/>
      <c r="N2079" s="3">
        <f t="shared" si="100"/>
        <v>0</v>
      </c>
      <c r="R2079" s="89"/>
      <c r="S2079" s="89">
        <f>100%-Table34[[#This Row],[PDF_initial fee]]</f>
        <v>1</v>
      </c>
      <c r="T2079" s="89"/>
      <c r="U2079" s="26"/>
    </row>
    <row r="2080" spans="1:21" hidden="1" x14ac:dyDescent="0.25">
      <c r="A2080">
        <v>472781</v>
      </c>
      <c r="B2080" t="s">
        <v>2427</v>
      </c>
      <c r="C2080" t="s">
        <v>11411</v>
      </c>
      <c r="D2080">
        <v>4</v>
      </c>
      <c r="E2080" t="s">
        <v>2427</v>
      </c>
      <c r="G2080" s="3"/>
      <c r="L2080" s="3">
        <f t="shared" si="98"/>
        <v>0</v>
      </c>
      <c r="M2080" s="3"/>
      <c r="N2080" s="3">
        <f t="shared" si="100"/>
        <v>0</v>
      </c>
      <c r="R2080" s="89"/>
      <c r="S2080" s="89">
        <f>100%-Table34[[#This Row],[PDF_initial fee]]</f>
        <v>1</v>
      </c>
      <c r="T2080" s="89"/>
      <c r="U2080" s="26"/>
    </row>
    <row r="2081" spans="1:21" hidden="1" x14ac:dyDescent="0.25">
      <c r="A2081">
        <v>472792</v>
      </c>
      <c r="B2081" t="s">
        <v>2428</v>
      </c>
      <c r="C2081" t="s">
        <v>10100</v>
      </c>
      <c r="D2081">
        <v>6</v>
      </c>
      <c r="E2081" t="s">
        <v>2428</v>
      </c>
      <c r="G2081" s="3"/>
      <c r="H2081" s="21">
        <v>0</v>
      </c>
      <c r="I2081" s="21">
        <v>0</v>
      </c>
      <c r="J2081" s="21">
        <v>0</v>
      </c>
      <c r="K2081" s="21">
        <v>0</v>
      </c>
      <c r="L2081" s="3">
        <f t="shared" si="98"/>
        <v>0</v>
      </c>
      <c r="M2081" s="3"/>
      <c r="N2081" s="3">
        <f t="shared" si="100"/>
        <v>0</v>
      </c>
      <c r="R2081" s="89"/>
      <c r="S2081" s="89">
        <f>100%-Table34[[#This Row],[PDF_initial fee]]</f>
        <v>1</v>
      </c>
      <c r="T2081" s="89"/>
      <c r="U2081" s="26"/>
    </row>
    <row r="2082" spans="1:21" hidden="1" x14ac:dyDescent="0.25">
      <c r="A2082">
        <v>472913</v>
      </c>
      <c r="B2082" t="s">
        <v>2429</v>
      </c>
      <c r="C2082" t="s">
        <v>30148</v>
      </c>
      <c r="D2082">
        <v>5</v>
      </c>
      <c r="E2082" t="s">
        <v>2429</v>
      </c>
      <c r="G2082" s="3"/>
      <c r="H2082" s="3">
        <v>0</v>
      </c>
      <c r="I2082" s="3">
        <v>0</v>
      </c>
      <c r="J2082" s="3">
        <v>0</v>
      </c>
      <c r="K2082" s="3">
        <v>0</v>
      </c>
      <c r="L2082" s="3">
        <f t="shared" si="98"/>
        <v>0</v>
      </c>
      <c r="M2082" s="3"/>
      <c r="N2082" s="3">
        <f t="shared" si="100"/>
        <v>0</v>
      </c>
      <c r="R2082" s="89"/>
      <c r="S2082" s="89">
        <f>100%-Table34[[#This Row],[PDF_initial fee]]</f>
        <v>1</v>
      </c>
      <c r="T2082" s="89"/>
      <c r="U2082" s="26"/>
    </row>
    <row r="2083" spans="1:21" hidden="1" x14ac:dyDescent="0.25">
      <c r="A2083">
        <v>472929</v>
      </c>
      <c r="B2083" t="s">
        <v>2430</v>
      </c>
      <c r="C2083" t="s">
        <v>30149</v>
      </c>
      <c r="D2083">
        <v>27</v>
      </c>
      <c r="E2083" t="s">
        <v>2430</v>
      </c>
      <c r="G2083" s="3"/>
      <c r="H2083" s="3">
        <v>0</v>
      </c>
      <c r="I2083" s="3">
        <v>0</v>
      </c>
      <c r="J2083" s="3">
        <v>0</v>
      </c>
      <c r="K2083" s="3">
        <v>0</v>
      </c>
      <c r="L2083" s="3">
        <f t="shared" si="98"/>
        <v>0</v>
      </c>
      <c r="M2083" s="3"/>
      <c r="N2083" s="3">
        <f t="shared" si="100"/>
        <v>0</v>
      </c>
      <c r="R2083" s="89"/>
      <c r="S2083" s="89">
        <f>100%-Table34[[#This Row],[PDF_initial fee]]</f>
        <v>1</v>
      </c>
      <c r="T2083" s="89"/>
      <c r="U2083" s="26"/>
    </row>
    <row r="2084" spans="1:21" hidden="1" x14ac:dyDescent="0.25">
      <c r="A2084">
        <v>472971</v>
      </c>
      <c r="B2084" t="s">
        <v>2431</v>
      </c>
      <c r="C2084" t="s">
        <v>30150</v>
      </c>
      <c r="D2084">
        <v>1</v>
      </c>
      <c r="E2084" t="s">
        <v>2431</v>
      </c>
      <c r="G2084" s="3"/>
      <c r="H2084" s="3">
        <v>0</v>
      </c>
      <c r="I2084" s="3">
        <v>0</v>
      </c>
      <c r="J2084" s="3">
        <v>0</v>
      </c>
      <c r="K2084" s="3">
        <v>0</v>
      </c>
      <c r="L2084" s="3">
        <f t="shared" si="98"/>
        <v>0</v>
      </c>
      <c r="M2084" s="3"/>
      <c r="N2084" s="3">
        <f t="shared" si="100"/>
        <v>0</v>
      </c>
      <c r="R2084" s="89"/>
      <c r="S2084" s="89">
        <f>100%-Table34[[#This Row],[PDF_initial fee]]</f>
        <v>1</v>
      </c>
      <c r="T2084" s="89"/>
      <c r="U2084" s="26"/>
    </row>
    <row r="2085" spans="1:21" hidden="1" x14ac:dyDescent="0.25">
      <c r="A2085">
        <v>473759</v>
      </c>
      <c r="B2085" t="s">
        <v>2432</v>
      </c>
      <c r="C2085" t="s">
        <v>30151</v>
      </c>
      <c r="D2085">
        <v>1</v>
      </c>
      <c r="E2085" t="s">
        <v>2432</v>
      </c>
      <c r="G2085" s="3"/>
      <c r="H2085" s="3">
        <v>0</v>
      </c>
      <c r="I2085" s="3">
        <v>0</v>
      </c>
      <c r="J2085" s="3">
        <v>0</v>
      </c>
      <c r="K2085" s="3">
        <v>0</v>
      </c>
      <c r="L2085" s="3">
        <f t="shared" si="98"/>
        <v>0</v>
      </c>
      <c r="M2085" s="3"/>
      <c r="N2085" s="3">
        <f t="shared" si="100"/>
        <v>0</v>
      </c>
      <c r="R2085" s="89"/>
      <c r="S2085" s="89">
        <f>100%-Table34[[#This Row],[PDF_initial fee]]</f>
        <v>1</v>
      </c>
      <c r="T2085" s="89"/>
      <c r="U2085" s="26"/>
    </row>
    <row r="2086" spans="1:21" hidden="1" x14ac:dyDescent="0.25">
      <c r="A2086">
        <v>473863</v>
      </c>
      <c r="B2086" t="s">
        <v>2433</v>
      </c>
      <c r="C2086" t="s">
        <v>7157</v>
      </c>
      <c r="D2086">
        <v>3</v>
      </c>
      <c r="E2086" t="s">
        <v>2433</v>
      </c>
      <c r="G2086" s="3"/>
      <c r="H2086" s="21">
        <v>0</v>
      </c>
      <c r="I2086" s="21">
        <v>0</v>
      </c>
      <c r="J2086" s="21">
        <v>0</v>
      </c>
      <c r="K2086" s="21">
        <v>0</v>
      </c>
      <c r="L2086" s="3">
        <f t="shared" si="98"/>
        <v>0</v>
      </c>
      <c r="M2086" s="3"/>
      <c r="N2086" s="3">
        <f t="shared" si="100"/>
        <v>0</v>
      </c>
      <c r="R2086" s="89"/>
      <c r="S2086" s="89">
        <f>100%-Table34[[#This Row],[PDF_initial fee]]</f>
        <v>1</v>
      </c>
      <c r="T2086" s="89"/>
      <c r="U2086" s="26"/>
    </row>
    <row r="2087" spans="1:21" hidden="1" x14ac:dyDescent="0.25">
      <c r="A2087">
        <v>473931</v>
      </c>
      <c r="B2087" t="s">
        <v>2434</v>
      </c>
      <c r="C2087" t="s">
        <v>6958</v>
      </c>
      <c r="D2087">
        <v>1</v>
      </c>
      <c r="E2087" t="s">
        <v>2434</v>
      </c>
      <c r="F2087" t="s">
        <v>6958</v>
      </c>
      <c r="G2087" s="3"/>
      <c r="L2087" s="3">
        <f t="shared" si="98"/>
        <v>0</v>
      </c>
      <c r="M2087" s="3"/>
      <c r="N2087" s="3">
        <f t="shared" si="100"/>
        <v>0</v>
      </c>
      <c r="R2087" s="89"/>
      <c r="S2087" s="89">
        <f>100%-Table34[[#This Row],[PDF_initial fee]]</f>
        <v>1</v>
      </c>
      <c r="T2087" s="89"/>
      <c r="U2087" s="26"/>
    </row>
    <row r="2088" spans="1:21" hidden="1" x14ac:dyDescent="0.25">
      <c r="A2088">
        <v>474013</v>
      </c>
      <c r="B2088" t="s">
        <v>2435</v>
      </c>
      <c r="C2088" t="s">
        <v>30152</v>
      </c>
      <c r="D2088">
        <v>2</v>
      </c>
      <c r="E2088" t="s">
        <v>2435</v>
      </c>
      <c r="G2088" s="3"/>
      <c r="L2088" s="3">
        <f t="shared" si="98"/>
        <v>0</v>
      </c>
      <c r="M2088" s="3"/>
      <c r="N2088" s="3">
        <f t="shared" si="100"/>
        <v>0</v>
      </c>
      <c r="R2088" s="89"/>
      <c r="S2088" s="89">
        <f>100%-Table34[[#This Row],[PDF_initial fee]]</f>
        <v>1</v>
      </c>
      <c r="T2088" s="89"/>
      <c r="U2088" s="26"/>
    </row>
    <row r="2089" spans="1:21" hidden="1" x14ac:dyDescent="0.25">
      <c r="A2089">
        <v>474060</v>
      </c>
      <c r="B2089" t="s">
        <v>2436</v>
      </c>
      <c r="C2089" t="s">
        <v>6958</v>
      </c>
      <c r="D2089">
        <v>2</v>
      </c>
      <c r="E2089" t="s">
        <v>2436</v>
      </c>
      <c r="F2089" t="s">
        <v>6958</v>
      </c>
      <c r="G2089" s="3"/>
      <c r="H2089" s="21">
        <v>0</v>
      </c>
      <c r="I2089" s="21">
        <v>0</v>
      </c>
      <c r="J2089" s="21">
        <v>0</v>
      </c>
      <c r="K2089" s="21">
        <v>0</v>
      </c>
      <c r="L2089" s="3">
        <f t="shared" si="98"/>
        <v>0</v>
      </c>
      <c r="M2089" s="3"/>
      <c r="N2089" s="3">
        <f t="shared" si="100"/>
        <v>0</v>
      </c>
      <c r="R2089" s="89"/>
      <c r="S2089" s="89">
        <f>100%-Table34[[#This Row],[PDF_initial fee]]</f>
        <v>1</v>
      </c>
      <c r="T2089" s="89"/>
      <c r="U2089" s="26"/>
    </row>
    <row r="2090" spans="1:21" hidden="1" x14ac:dyDescent="0.25">
      <c r="A2090">
        <v>474097</v>
      </c>
      <c r="B2090" t="s">
        <v>2437</v>
      </c>
      <c r="C2090" t="s">
        <v>8301</v>
      </c>
      <c r="D2090">
        <v>4</v>
      </c>
      <c r="E2090" t="s">
        <v>2437</v>
      </c>
      <c r="G2090" s="3"/>
      <c r="L2090" s="3">
        <f t="shared" si="98"/>
        <v>0</v>
      </c>
      <c r="M2090" s="3"/>
      <c r="N2090" s="3">
        <f t="shared" si="100"/>
        <v>0</v>
      </c>
      <c r="R2090" s="89"/>
      <c r="S2090" s="89">
        <f>100%-Table34[[#This Row],[PDF_initial fee]]</f>
        <v>1</v>
      </c>
      <c r="T2090" s="89"/>
      <c r="U2090" s="26"/>
    </row>
    <row r="2091" spans="1:21" hidden="1" x14ac:dyDescent="0.25">
      <c r="A2091">
        <v>474163</v>
      </c>
      <c r="B2091" t="s">
        <v>2438</v>
      </c>
      <c r="C2091" t="s">
        <v>30153</v>
      </c>
      <c r="D2091">
        <v>12</v>
      </c>
      <c r="E2091" t="s">
        <v>2438</v>
      </c>
      <c r="G2091" s="3"/>
      <c r="H2091" s="3">
        <v>0</v>
      </c>
      <c r="I2091" s="3">
        <v>0</v>
      </c>
      <c r="J2091" s="3">
        <v>0</v>
      </c>
      <c r="K2091" s="3">
        <v>0</v>
      </c>
      <c r="L2091" s="3">
        <f t="shared" si="98"/>
        <v>0</v>
      </c>
      <c r="M2091" s="3"/>
      <c r="N2091" s="3">
        <f t="shared" si="100"/>
        <v>0</v>
      </c>
      <c r="R2091" s="89"/>
      <c r="S2091" s="89">
        <f>100%-Table34[[#This Row],[PDF_initial fee]]</f>
        <v>1</v>
      </c>
      <c r="T2091" s="89"/>
      <c r="U2091" s="26"/>
    </row>
    <row r="2092" spans="1:21" hidden="1" x14ac:dyDescent="0.25">
      <c r="A2092">
        <v>474277</v>
      </c>
      <c r="B2092" t="s">
        <v>2439</v>
      </c>
      <c r="C2092" t="s">
        <v>30154</v>
      </c>
      <c r="D2092">
        <v>1</v>
      </c>
      <c r="E2092" t="s">
        <v>2439</v>
      </c>
      <c r="G2092" s="3"/>
      <c r="H2092" s="21">
        <v>0</v>
      </c>
      <c r="I2092" s="21">
        <v>0</v>
      </c>
      <c r="J2092" s="21">
        <v>0</v>
      </c>
      <c r="K2092" s="21">
        <v>0</v>
      </c>
      <c r="L2092" s="3">
        <f t="shared" ref="L2092:L2155" si="101">SUM(H2092:K2092)</f>
        <v>0</v>
      </c>
      <c r="M2092" s="3"/>
      <c r="N2092" s="3">
        <f t="shared" ref="N2092:N2120" si="102">L2092+G2092</f>
        <v>0</v>
      </c>
      <c r="O2092" s="21"/>
      <c r="R2092" s="89"/>
      <c r="S2092" s="89">
        <f>100%-Table34[[#This Row],[PDF_initial fee]]</f>
        <v>1</v>
      </c>
      <c r="T2092" s="89"/>
      <c r="U2092" s="26"/>
    </row>
    <row r="2093" spans="1:21" hidden="1" x14ac:dyDescent="0.25">
      <c r="A2093">
        <v>474338</v>
      </c>
      <c r="B2093" t="s">
        <v>2440</v>
      </c>
      <c r="C2093" s="1" t="s">
        <v>30155</v>
      </c>
      <c r="D2093">
        <v>1</v>
      </c>
      <c r="E2093" t="s">
        <v>2440</v>
      </c>
      <c r="G2093" s="3"/>
      <c r="H2093" s="3">
        <v>0</v>
      </c>
      <c r="I2093" s="3">
        <v>0</v>
      </c>
      <c r="J2093" s="3">
        <v>0</v>
      </c>
      <c r="K2093" s="3">
        <v>0</v>
      </c>
      <c r="L2093" s="3">
        <f t="shared" si="101"/>
        <v>0</v>
      </c>
      <c r="M2093" s="3"/>
      <c r="N2093" s="3">
        <f t="shared" si="102"/>
        <v>0</v>
      </c>
      <c r="R2093" s="89"/>
      <c r="S2093" s="89">
        <f>100%-Table34[[#This Row],[PDF_initial fee]]</f>
        <v>1</v>
      </c>
      <c r="T2093" s="89"/>
      <c r="U2093" s="26"/>
    </row>
    <row r="2094" spans="1:21" hidden="1" x14ac:dyDescent="0.25">
      <c r="A2094">
        <v>474606</v>
      </c>
      <c r="B2094" t="s">
        <v>2442</v>
      </c>
      <c r="C2094" t="s">
        <v>30156</v>
      </c>
      <c r="D2094">
        <v>0</v>
      </c>
      <c r="E2094" t="s">
        <v>2442</v>
      </c>
      <c r="F2094" t="s">
        <v>29136</v>
      </c>
      <c r="G2094" s="3"/>
      <c r="H2094" s="21">
        <v>0</v>
      </c>
      <c r="I2094" s="21">
        <v>0</v>
      </c>
      <c r="J2094" s="21">
        <v>0</v>
      </c>
      <c r="K2094" s="21">
        <v>0</v>
      </c>
      <c r="L2094" s="3">
        <f t="shared" si="101"/>
        <v>0</v>
      </c>
      <c r="M2094" s="3"/>
      <c r="N2094" s="3">
        <f t="shared" si="102"/>
        <v>0</v>
      </c>
      <c r="O2094" s="21"/>
      <c r="R2094" s="89"/>
      <c r="S2094" s="89">
        <f>100%-Table34[[#This Row],[PDF_initial fee]]</f>
        <v>1</v>
      </c>
      <c r="T2094" s="89"/>
      <c r="U2094" s="26"/>
    </row>
    <row r="2095" spans="1:21" hidden="1" x14ac:dyDescent="0.25">
      <c r="A2095">
        <v>474740</v>
      </c>
      <c r="B2095" t="s">
        <v>2443</v>
      </c>
      <c r="C2095" t="s">
        <v>6958</v>
      </c>
      <c r="D2095">
        <v>10</v>
      </c>
      <c r="E2095" t="s">
        <v>2443</v>
      </c>
      <c r="F2095" t="s">
        <v>6958</v>
      </c>
      <c r="G2095" s="3"/>
      <c r="H2095" s="21">
        <v>0</v>
      </c>
      <c r="I2095" s="21">
        <v>0</v>
      </c>
      <c r="J2095" s="21">
        <v>0</v>
      </c>
      <c r="K2095" s="21">
        <v>0</v>
      </c>
      <c r="L2095" s="3">
        <f t="shared" si="101"/>
        <v>0</v>
      </c>
      <c r="M2095" s="3"/>
      <c r="N2095" s="3">
        <f t="shared" si="102"/>
        <v>0</v>
      </c>
      <c r="R2095" s="89"/>
      <c r="S2095" s="89">
        <f>100%-Table34[[#This Row],[PDF_initial fee]]</f>
        <v>1</v>
      </c>
      <c r="T2095" s="89"/>
      <c r="U2095" s="26"/>
    </row>
    <row r="2096" spans="1:21" hidden="1" x14ac:dyDescent="0.25">
      <c r="A2096">
        <v>474794</v>
      </c>
      <c r="B2096" t="s">
        <v>2444</v>
      </c>
      <c r="C2096" t="s">
        <v>29883</v>
      </c>
      <c r="D2096">
        <v>0</v>
      </c>
      <c r="E2096" t="s">
        <v>2444</v>
      </c>
      <c r="F2096" t="s">
        <v>29136</v>
      </c>
      <c r="G2096" s="3"/>
      <c r="H2096" s="21">
        <v>0</v>
      </c>
      <c r="I2096" s="21">
        <v>0</v>
      </c>
      <c r="J2096" s="21">
        <v>0</v>
      </c>
      <c r="K2096" s="21">
        <v>0</v>
      </c>
      <c r="L2096" s="3">
        <f t="shared" si="101"/>
        <v>0</v>
      </c>
      <c r="M2096" s="3"/>
      <c r="N2096" s="3">
        <f t="shared" si="102"/>
        <v>0</v>
      </c>
      <c r="O2096" s="21"/>
      <c r="R2096" s="89"/>
      <c r="S2096" s="89">
        <f>100%-Table34[[#This Row],[PDF_initial fee]]</f>
        <v>1</v>
      </c>
      <c r="T2096" s="89"/>
      <c r="U2096" s="26"/>
    </row>
    <row r="2097" spans="1:27" hidden="1" x14ac:dyDescent="0.25">
      <c r="A2097">
        <v>474799</v>
      </c>
      <c r="B2097" t="s">
        <v>2445</v>
      </c>
      <c r="C2097" t="s">
        <v>30157</v>
      </c>
      <c r="D2097">
        <v>1</v>
      </c>
      <c r="E2097" t="s">
        <v>2445</v>
      </c>
      <c r="G2097" s="3"/>
      <c r="H2097" s="3">
        <v>0</v>
      </c>
      <c r="I2097" s="3">
        <v>0</v>
      </c>
      <c r="J2097" s="3">
        <v>0</v>
      </c>
      <c r="K2097" s="3">
        <v>0</v>
      </c>
      <c r="L2097" s="3">
        <f t="shared" si="101"/>
        <v>0</v>
      </c>
      <c r="M2097" s="3"/>
      <c r="N2097" s="3">
        <f t="shared" si="102"/>
        <v>0</v>
      </c>
      <c r="R2097" s="89"/>
      <c r="S2097" s="89">
        <f>100%-Table34[[#This Row],[PDF_initial fee]]</f>
        <v>1</v>
      </c>
      <c r="T2097" s="89"/>
      <c r="U2097" s="26"/>
    </row>
    <row r="2098" spans="1:27" hidden="1" x14ac:dyDescent="0.25">
      <c r="A2098">
        <v>474850</v>
      </c>
      <c r="B2098" t="s">
        <v>2447</v>
      </c>
      <c r="C2098" t="s">
        <v>6958</v>
      </c>
      <c r="D2098">
        <v>3</v>
      </c>
      <c r="E2098" t="s">
        <v>2447</v>
      </c>
      <c r="F2098" t="s">
        <v>6958</v>
      </c>
      <c r="G2098" s="3"/>
      <c r="H2098" s="21">
        <v>0</v>
      </c>
      <c r="I2098" s="21">
        <v>0</v>
      </c>
      <c r="J2098" s="21">
        <v>0</v>
      </c>
      <c r="K2098" s="21">
        <v>0</v>
      </c>
      <c r="L2098" s="3">
        <f t="shared" si="101"/>
        <v>0</v>
      </c>
      <c r="M2098" s="3"/>
      <c r="N2098" s="3">
        <f t="shared" si="102"/>
        <v>0</v>
      </c>
      <c r="R2098" s="89"/>
      <c r="S2098" s="89">
        <f>100%-Table34[[#This Row],[PDF_initial fee]]</f>
        <v>1</v>
      </c>
      <c r="T2098" s="89"/>
      <c r="U2098" s="26"/>
    </row>
    <row r="2099" spans="1:27" x14ac:dyDescent="0.25">
      <c r="A2099">
        <v>165169</v>
      </c>
      <c r="B2099" t="s">
        <v>76</v>
      </c>
      <c r="C2099" t="s">
        <v>30095</v>
      </c>
      <c r="D2099">
        <v>231</v>
      </c>
      <c r="E2099" t="s">
        <v>76</v>
      </c>
      <c r="F2099" t="s">
        <v>6</v>
      </c>
      <c r="G2099" s="3">
        <v>1.2200000000000001E-2</v>
      </c>
      <c r="H2099" s="3">
        <v>0.02</v>
      </c>
      <c r="I2099" s="3">
        <v>4.0000000000000001E-3</v>
      </c>
      <c r="J2099" s="6">
        <v>0</v>
      </c>
      <c r="K2099" s="6">
        <v>0</v>
      </c>
      <c r="L2099" s="3">
        <f t="shared" si="101"/>
        <v>2.4E-2</v>
      </c>
      <c r="M2099" s="3"/>
      <c r="N2099" s="3">
        <f t="shared" si="102"/>
        <v>3.6200000000000003E-2</v>
      </c>
      <c r="O2099" s="21"/>
      <c r="P2099" s="1" t="s">
        <v>30097</v>
      </c>
      <c r="Q2099" s="1" t="s">
        <v>30098</v>
      </c>
      <c r="R2099" s="89">
        <f>207.5/153-1</f>
        <v>0.35620915032679745</v>
      </c>
      <c r="S2099" s="89">
        <f>100%-Table34[[#This Row],[InitialFee]]</f>
        <v>0.98</v>
      </c>
      <c r="T2099" s="89">
        <f>(1-Table34[[#This Row],[OngoingFee (plus Platform fee)]])^5</f>
        <v>0.98015936127897596</v>
      </c>
      <c r="U2099" s="26">
        <f>(1+Table34[[#This Row],[Net 5yrs return (mostly up to 28th of Feb 2026)]])*Table34[[#This Row],[Investment after initial charge]]*Table34[[#This Row],[Cummulative 5yrs ongoing advice charge]]-1</f>
        <v>0.30271507265411612</v>
      </c>
      <c r="V2099" s="10">
        <v>73339000</v>
      </c>
      <c r="W2099" s="10" t="s">
        <v>29051</v>
      </c>
      <c r="X2099" s="10">
        <v>71592000</v>
      </c>
      <c r="Y2099" s="30">
        <f>X2099/V2099</f>
        <v>0.97617911343214392</v>
      </c>
      <c r="Z2099" s="10"/>
      <c r="AA2099" s="1" t="s">
        <v>30099</v>
      </c>
    </row>
    <row r="2100" spans="1:27" hidden="1" x14ac:dyDescent="0.25">
      <c r="A2100">
        <v>474901</v>
      </c>
      <c r="B2100" t="s">
        <v>2448</v>
      </c>
      <c r="C2100" s="1" t="s">
        <v>30158</v>
      </c>
      <c r="D2100">
        <v>1</v>
      </c>
      <c r="E2100" t="s">
        <v>2448</v>
      </c>
      <c r="G2100" s="3"/>
      <c r="H2100" s="3">
        <v>0</v>
      </c>
      <c r="I2100" s="3">
        <v>0</v>
      </c>
      <c r="J2100" s="3">
        <v>0</v>
      </c>
      <c r="K2100" s="3">
        <v>0</v>
      </c>
      <c r="L2100" s="3">
        <f t="shared" si="101"/>
        <v>0</v>
      </c>
      <c r="M2100" s="3"/>
      <c r="N2100" s="3">
        <f t="shared" si="102"/>
        <v>0</v>
      </c>
      <c r="R2100" s="89"/>
      <c r="S2100" s="89">
        <f>100%-Table34[[#This Row],[PDF_initial fee]]</f>
        <v>1</v>
      </c>
      <c r="T2100" s="89"/>
      <c r="U2100" s="26"/>
    </row>
    <row r="2101" spans="1:27" hidden="1" x14ac:dyDescent="0.25">
      <c r="A2101">
        <v>474925</v>
      </c>
      <c r="B2101" t="s">
        <v>2449</v>
      </c>
      <c r="C2101" t="s">
        <v>30159</v>
      </c>
      <c r="D2101">
        <v>1</v>
      </c>
      <c r="E2101" t="s">
        <v>2449</v>
      </c>
      <c r="G2101" s="3"/>
      <c r="H2101" s="3">
        <v>0</v>
      </c>
      <c r="I2101" s="3">
        <v>0</v>
      </c>
      <c r="J2101" s="3">
        <v>0</v>
      </c>
      <c r="K2101" s="3">
        <v>0</v>
      </c>
      <c r="L2101" s="3">
        <f t="shared" si="101"/>
        <v>0</v>
      </c>
      <c r="M2101" s="3"/>
      <c r="N2101" s="3">
        <f t="shared" si="102"/>
        <v>0</v>
      </c>
      <c r="R2101" s="89"/>
      <c r="S2101" s="89">
        <f>100%-Table34[[#This Row],[PDF_initial fee]]</f>
        <v>1</v>
      </c>
      <c r="T2101" s="89"/>
      <c r="U2101" s="26"/>
    </row>
    <row r="2102" spans="1:27" hidden="1" x14ac:dyDescent="0.25">
      <c r="A2102">
        <v>474928</v>
      </c>
      <c r="B2102" t="s">
        <v>2450</v>
      </c>
      <c r="C2102" t="s">
        <v>30160</v>
      </c>
      <c r="D2102">
        <v>3</v>
      </c>
      <c r="E2102" t="s">
        <v>2450</v>
      </c>
      <c r="G2102" s="3"/>
      <c r="L2102" s="3">
        <f t="shared" si="101"/>
        <v>0</v>
      </c>
      <c r="M2102" s="3"/>
      <c r="N2102" s="3">
        <f t="shared" si="102"/>
        <v>0</v>
      </c>
      <c r="R2102" s="89"/>
      <c r="S2102" s="89">
        <f>100%-Table34[[#This Row],[PDF_initial fee]]</f>
        <v>1</v>
      </c>
      <c r="T2102" s="89"/>
      <c r="U2102" s="26"/>
    </row>
    <row r="2103" spans="1:27" hidden="1" x14ac:dyDescent="0.25">
      <c r="A2103">
        <v>474932</v>
      </c>
      <c r="B2103" t="s">
        <v>2451</v>
      </c>
      <c r="C2103" t="s">
        <v>30161</v>
      </c>
      <c r="D2103">
        <v>4</v>
      </c>
      <c r="E2103" t="s">
        <v>2451</v>
      </c>
      <c r="G2103" s="3"/>
      <c r="H2103" s="3">
        <v>0</v>
      </c>
      <c r="I2103" s="3">
        <v>0</v>
      </c>
      <c r="J2103" s="3">
        <v>0</v>
      </c>
      <c r="K2103" s="3">
        <v>0</v>
      </c>
      <c r="L2103" s="3">
        <f t="shared" si="101"/>
        <v>0</v>
      </c>
      <c r="M2103" s="3"/>
      <c r="N2103" s="3">
        <f t="shared" si="102"/>
        <v>0</v>
      </c>
      <c r="R2103" s="89"/>
      <c r="S2103" s="89">
        <f>100%-Table34[[#This Row],[PDF_initial fee]]</f>
        <v>1</v>
      </c>
      <c r="T2103" s="89"/>
      <c r="U2103" s="26"/>
    </row>
    <row r="2104" spans="1:27" hidden="1" x14ac:dyDescent="0.25">
      <c r="A2104">
        <v>475009</v>
      </c>
      <c r="B2104" t="s">
        <v>2452</v>
      </c>
      <c r="C2104" t="s">
        <v>6958</v>
      </c>
      <c r="D2104">
        <v>1</v>
      </c>
      <c r="E2104" t="s">
        <v>2452</v>
      </c>
      <c r="F2104" t="s">
        <v>6958</v>
      </c>
      <c r="G2104" s="3"/>
      <c r="H2104" s="21">
        <v>0</v>
      </c>
      <c r="I2104" s="21">
        <v>0</v>
      </c>
      <c r="J2104" s="21">
        <v>0</v>
      </c>
      <c r="K2104" s="21">
        <v>0</v>
      </c>
      <c r="L2104" s="3">
        <f t="shared" si="101"/>
        <v>0</v>
      </c>
      <c r="M2104" s="3"/>
      <c r="N2104" s="3">
        <f t="shared" si="102"/>
        <v>0</v>
      </c>
      <c r="R2104" s="89"/>
      <c r="S2104" s="89">
        <f>100%-Table34[[#This Row],[PDF_initial fee]]</f>
        <v>1</v>
      </c>
      <c r="T2104" s="89"/>
      <c r="U2104" s="26"/>
    </row>
    <row r="2105" spans="1:27" hidden="1" x14ac:dyDescent="0.25">
      <c r="A2105">
        <v>475010</v>
      </c>
      <c r="B2105" t="s">
        <v>2453</v>
      </c>
      <c r="C2105" t="s">
        <v>30162</v>
      </c>
      <c r="D2105">
        <v>2</v>
      </c>
      <c r="E2105" t="s">
        <v>2453</v>
      </c>
      <c r="G2105" s="3"/>
      <c r="H2105" s="3">
        <v>0</v>
      </c>
      <c r="I2105" s="3">
        <v>0</v>
      </c>
      <c r="J2105" s="3">
        <v>0</v>
      </c>
      <c r="K2105" s="3">
        <v>0</v>
      </c>
      <c r="L2105" s="3">
        <f t="shared" si="101"/>
        <v>0</v>
      </c>
      <c r="M2105" s="3"/>
      <c r="N2105" s="3">
        <f t="shared" si="102"/>
        <v>0</v>
      </c>
      <c r="R2105" s="89"/>
      <c r="S2105" s="89">
        <f>100%-Table34[[#This Row],[PDF_initial fee]]</f>
        <v>1</v>
      </c>
      <c r="T2105" s="89"/>
      <c r="U2105" s="26"/>
    </row>
    <row r="2106" spans="1:27" hidden="1" x14ac:dyDescent="0.25">
      <c r="A2106">
        <v>475285</v>
      </c>
      <c r="B2106" t="s">
        <v>2454</v>
      </c>
      <c r="C2106" t="s">
        <v>6992</v>
      </c>
      <c r="D2106">
        <v>0</v>
      </c>
      <c r="E2106" t="s">
        <v>2454</v>
      </c>
      <c r="F2106" t="s">
        <v>29136</v>
      </c>
      <c r="G2106" s="3"/>
      <c r="L2106" s="3">
        <f t="shared" si="101"/>
        <v>0</v>
      </c>
      <c r="M2106" s="3"/>
      <c r="N2106" s="3">
        <f t="shared" si="102"/>
        <v>0</v>
      </c>
      <c r="R2106" s="89"/>
      <c r="S2106" s="89">
        <f>100%-Table34[[#This Row],[PDF_initial fee]]</f>
        <v>1</v>
      </c>
      <c r="T2106" s="89"/>
      <c r="U2106" s="26"/>
    </row>
    <row r="2107" spans="1:27" hidden="1" x14ac:dyDescent="0.25">
      <c r="A2107">
        <v>475332</v>
      </c>
      <c r="B2107" t="s">
        <v>2455</v>
      </c>
      <c r="C2107" t="s">
        <v>11043</v>
      </c>
      <c r="D2107">
        <v>3</v>
      </c>
      <c r="E2107" t="s">
        <v>2455</v>
      </c>
      <c r="G2107" s="3"/>
      <c r="H2107" s="21">
        <v>0</v>
      </c>
      <c r="I2107" s="21">
        <v>0</v>
      </c>
      <c r="J2107" s="21">
        <v>0</v>
      </c>
      <c r="K2107" s="21">
        <v>0</v>
      </c>
      <c r="L2107" s="3">
        <f t="shared" si="101"/>
        <v>0</v>
      </c>
      <c r="M2107" s="3"/>
      <c r="N2107" s="3">
        <f t="shared" si="102"/>
        <v>0</v>
      </c>
      <c r="R2107" s="89"/>
      <c r="S2107" s="89">
        <f>100%-Table34[[#This Row],[PDF_initial fee]]</f>
        <v>1</v>
      </c>
      <c r="T2107" s="89"/>
      <c r="U2107" s="26"/>
    </row>
    <row r="2108" spans="1:27" hidden="1" x14ac:dyDescent="0.25">
      <c r="A2108">
        <v>475370</v>
      </c>
      <c r="B2108" t="s">
        <v>2456</v>
      </c>
      <c r="C2108" t="s">
        <v>30163</v>
      </c>
      <c r="D2108">
        <v>0</v>
      </c>
      <c r="E2108" t="s">
        <v>2456</v>
      </c>
      <c r="F2108" t="s">
        <v>29136</v>
      </c>
      <c r="G2108" s="3"/>
      <c r="H2108" s="21">
        <v>0</v>
      </c>
      <c r="I2108" s="21">
        <v>0</v>
      </c>
      <c r="J2108" s="21">
        <v>0</v>
      </c>
      <c r="K2108" s="21">
        <v>0</v>
      </c>
      <c r="L2108" s="3">
        <f t="shared" si="101"/>
        <v>0</v>
      </c>
      <c r="M2108" s="3"/>
      <c r="N2108" s="3">
        <f t="shared" si="102"/>
        <v>0</v>
      </c>
      <c r="O2108" s="21"/>
      <c r="R2108" s="89"/>
      <c r="S2108" s="89">
        <f>100%-Table34[[#This Row],[PDF_initial fee]]</f>
        <v>1</v>
      </c>
      <c r="T2108" s="89"/>
      <c r="U2108" s="26"/>
    </row>
    <row r="2109" spans="1:27" hidden="1" x14ac:dyDescent="0.25">
      <c r="A2109">
        <v>475453</v>
      </c>
      <c r="B2109" t="s">
        <v>2457</v>
      </c>
      <c r="C2109" t="s">
        <v>6958</v>
      </c>
      <c r="D2109">
        <v>1</v>
      </c>
      <c r="E2109" t="s">
        <v>2457</v>
      </c>
      <c r="F2109" t="s">
        <v>6958</v>
      </c>
      <c r="G2109" s="3"/>
      <c r="H2109" s="21">
        <v>0</v>
      </c>
      <c r="I2109" s="21">
        <v>0</v>
      </c>
      <c r="J2109" s="21">
        <v>0</v>
      </c>
      <c r="K2109" s="21">
        <v>0</v>
      </c>
      <c r="L2109" s="3">
        <f t="shared" si="101"/>
        <v>0</v>
      </c>
      <c r="M2109" s="3"/>
      <c r="N2109" s="3">
        <f t="shared" si="102"/>
        <v>0</v>
      </c>
      <c r="R2109" s="89"/>
      <c r="S2109" s="89">
        <f>100%-Table34[[#This Row],[PDF_initial fee]]</f>
        <v>1</v>
      </c>
      <c r="T2109" s="89"/>
      <c r="U2109" s="26"/>
    </row>
    <row r="2110" spans="1:27" hidden="1" x14ac:dyDescent="0.25">
      <c r="A2110">
        <v>475464</v>
      </c>
      <c r="B2110" t="s">
        <v>2458</v>
      </c>
      <c r="C2110" t="s">
        <v>6958</v>
      </c>
      <c r="D2110">
        <v>1</v>
      </c>
      <c r="E2110" t="s">
        <v>2458</v>
      </c>
      <c r="F2110" t="s">
        <v>6958</v>
      </c>
      <c r="G2110" s="3"/>
      <c r="H2110" s="21">
        <v>0</v>
      </c>
      <c r="I2110" s="21">
        <v>0</v>
      </c>
      <c r="J2110" s="21">
        <v>0</v>
      </c>
      <c r="K2110" s="21">
        <v>0</v>
      </c>
      <c r="L2110" s="3">
        <f t="shared" si="101"/>
        <v>0</v>
      </c>
      <c r="M2110" s="3"/>
      <c r="N2110" s="3">
        <f t="shared" si="102"/>
        <v>0</v>
      </c>
      <c r="R2110" s="89"/>
      <c r="S2110" s="89">
        <f>100%-Table34[[#This Row],[PDF_initial fee]]</f>
        <v>1</v>
      </c>
      <c r="T2110" s="89"/>
      <c r="U2110" s="26"/>
    </row>
    <row r="2111" spans="1:27" hidden="1" x14ac:dyDescent="0.25">
      <c r="A2111">
        <v>475615</v>
      </c>
      <c r="B2111" t="s">
        <v>2459</v>
      </c>
      <c r="C2111" t="s">
        <v>30164</v>
      </c>
      <c r="D2111">
        <v>2</v>
      </c>
      <c r="E2111" t="s">
        <v>2459</v>
      </c>
      <c r="G2111" s="3"/>
      <c r="H2111" s="21">
        <v>0</v>
      </c>
      <c r="I2111" s="21">
        <v>0</v>
      </c>
      <c r="J2111" s="21">
        <v>0</v>
      </c>
      <c r="K2111" s="21">
        <v>0</v>
      </c>
      <c r="L2111" s="3">
        <f t="shared" si="101"/>
        <v>0</v>
      </c>
      <c r="M2111" s="3"/>
      <c r="N2111" s="3">
        <f t="shared" si="102"/>
        <v>0</v>
      </c>
      <c r="O2111" s="21"/>
      <c r="R2111" s="89"/>
      <c r="S2111" s="89">
        <f>100%-Table34[[#This Row],[PDF_initial fee]]</f>
        <v>1</v>
      </c>
      <c r="T2111" s="89"/>
      <c r="U2111" s="26"/>
    </row>
    <row r="2112" spans="1:27" hidden="1" x14ac:dyDescent="0.25">
      <c r="A2112">
        <v>475657</v>
      </c>
      <c r="B2112" t="s">
        <v>2460</v>
      </c>
      <c r="C2112" t="s">
        <v>8931</v>
      </c>
      <c r="D2112">
        <v>1</v>
      </c>
      <c r="E2112" t="s">
        <v>2460</v>
      </c>
      <c r="G2112" s="3"/>
      <c r="H2112" s="39"/>
      <c r="I2112" s="39"/>
      <c r="J2112" s="39"/>
      <c r="K2112" s="39"/>
      <c r="L2112" s="3">
        <f t="shared" si="101"/>
        <v>0</v>
      </c>
      <c r="M2112" s="3"/>
      <c r="N2112" s="3">
        <f t="shared" si="102"/>
        <v>0</v>
      </c>
      <c r="R2112" s="89"/>
      <c r="S2112" s="89">
        <f>100%-Table34[[#This Row],[PDF_initial fee]]</f>
        <v>1</v>
      </c>
      <c r="T2112" s="89"/>
      <c r="U2112" s="26"/>
    </row>
    <row r="2113" spans="1:21" hidden="1" x14ac:dyDescent="0.25">
      <c r="A2113">
        <v>475683</v>
      </c>
      <c r="B2113" t="s">
        <v>2461</v>
      </c>
      <c r="C2113" t="s">
        <v>6958</v>
      </c>
      <c r="D2113">
        <v>1</v>
      </c>
      <c r="E2113" t="s">
        <v>2461</v>
      </c>
      <c r="F2113" t="s">
        <v>6958</v>
      </c>
      <c r="G2113" s="3"/>
      <c r="H2113" s="21">
        <v>0</v>
      </c>
      <c r="I2113" s="21">
        <v>0</v>
      </c>
      <c r="J2113" s="21">
        <v>0</v>
      </c>
      <c r="K2113" s="21">
        <v>0</v>
      </c>
      <c r="L2113" s="3">
        <f t="shared" si="101"/>
        <v>0</v>
      </c>
      <c r="M2113" s="3"/>
      <c r="N2113" s="3">
        <f t="shared" si="102"/>
        <v>0</v>
      </c>
      <c r="R2113" s="89"/>
      <c r="S2113" s="89">
        <f>100%-Table34[[#This Row],[PDF_initial fee]]</f>
        <v>1</v>
      </c>
      <c r="T2113" s="89"/>
      <c r="U2113" s="26"/>
    </row>
    <row r="2114" spans="1:21" hidden="1" x14ac:dyDescent="0.25">
      <c r="A2114">
        <v>475700</v>
      </c>
      <c r="B2114" t="s">
        <v>2462</v>
      </c>
      <c r="C2114" t="s">
        <v>12625</v>
      </c>
      <c r="D2114">
        <v>1</v>
      </c>
      <c r="E2114" t="s">
        <v>2462</v>
      </c>
      <c r="G2114" s="3"/>
      <c r="H2114" s="21">
        <v>0</v>
      </c>
      <c r="I2114" s="21">
        <v>0</v>
      </c>
      <c r="J2114" s="21">
        <v>0</v>
      </c>
      <c r="K2114" s="21">
        <v>0</v>
      </c>
      <c r="L2114" s="3">
        <f t="shared" si="101"/>
        <v>0</v>
      </c>
      <c r="M2114" s="3"/>
      <c r="N2114" s="3">
        <f t="shared" si="102"/>
        <v>0</v>
      </c>
      <c r="R2114" s="89"/>
      <c r="S2114" s="89">
        <f>100%-Table34[[#This Row],[PDF_initial fee]]</f>
        <v>1</v>
      </c>
      <c r="T2114" s="89"/>
      <c r="U2114" s="26"/>
    </row>
    <row r="2115" spans="1:21" hidden="1" x14ac:dyDescent="0.25">
      <c r="A2115">
        <v>475709</v>
      </c>
      <c r="B2115" t="s">
        <v>2463</v>
      </c>
      <c r="C2115" t="s">
        <v>30165</v>
      </c>
      <c r="D2115">
        <v>1</v>
      </c>
      <c r="E2115" t="s">
        <v>2463</v>
      </c>
      <c r="G2115" s="3"/>
      <c r="L2115" s="3">
        <f t="shared" si="101"/>
        <v>0</v>
      </c>
      <c r="M2115" s="3"/>
      <c r="N2115" s="3">
        <f t="shared" si="102"/>
        <v>0</v>
      </c>
      <c r="R2115" s="89"/>
      <c r="S2115" s="89">
        <f>100%-Table34[[#This Row],[PDF_initial fee]]</f>
        <v>1</v>
      </c>
      <c r="T2115" s="89"/>
      <c r="U2115" s="26"/>
    </row>
    <row r="2116" spans="1:21" hidden="1" x14ac:dyDescent="0.25">
      <c r="A2116">
        <v>475743</v>
      </c>
      <c r="B2116" t="s">
        <v>2464</v>
      </c>
      <c r="C2116" t="s">
        <v>30166</v>
      </c>
      <c r="D2116">
        <v>24</v>
      </c>
      <c r="E2116" t="s">
        <v>2464</v>
      </c>
      <c r="G2116" s="3"/>
      <c r="H2116" s="21">
        <v>0</v>
      </c>
      <c r="I2116" s="21">
        <v>0</v>
      </c>
      <c r="J2116" s="21">
        <v>0</v>
      </c>
      <c r="K2116" s="21">
        <v>0</v>
      </c>
      <c r="L2116" s="3">
        <f t="shared" si="101"/>
        <v>0</v>
      </c>
      <c r="M2116" s="3"/>
      <c r="N2116" s="3">
        <f t="shared" si="102"/>
        <v>0</v>
      </c>
      <c r="O2116" s="21"/>
      <c r="R2116" s="89"/>
      <c r="S2116" s="89">
        <f>100%-Table34[[#This Row],[PDF_initial fee]]</f>
        <v>1</v>
      </c>
      <c r="T2116" s="89"/>
      <c r="U2116" s="26"/>
    </row>
    <row r="2117" spans="1:21" hidden="1" x14ac:dyDescent="0.25">
      <c r="A2117">
        <v>475826</v>
      </c>
      <c r="B2117" t="s">
        <v>2465</v>
      </c>
      <c r="C2117" t="s">
        <v>7275</v>
      </c>
      <c r="D2117">
        <v>1</v>
      </c>
      <c r="E2117" t="s">
        <v>2465</v>
      </c>
      <c r="G2117" s="3"/>
      <c r="H2117" s="21">
        <v>0</v>
      </c>
      <c r="I2117" s="21">
        <v>0</v>
      </c>
      <c r="J2117" s="21">
        <v>0</v>
      </c>
      <c r="K2117" s="21">
        <v>0</v>
      </c>
      <c r="L2117" s="3">
        <f t="shared" si="101"/>
        <v>0</v>
      </c>
      <c r="M2117" s="3"/>
      <c r="N2117" s="3">
        <f t="shared" si="102"/>
        <v>0</v>
      </c>
      <c r="R2117" s="89"/>
      <c r="S2117" s="89">
        <f>100%-Table34[[#This Row],[PDF_initial fee]]</f>
        <v>1</v>
      </c>
      <c r="T2117" s="89"/>
      <c r="U2117" s="26"/>
    </row>
    <row r="2118" spans="1:21" hidden="1" x14ac:dyDescent="0.25">
      <c r="A2118">
        <v>475828</v>
      </c>
      <c r="B2118" t="s">
        <v>2466</v>
      </c>
      <c r="C2118" t="s">
        <v>6958</v>
      </c>
      <c r="D2118">
        <v>0</v>
      </c>
      <c r="E2118" t="s">
        <v>2466</v>
      </c>
      <c r="F2118" t="s">
        <v>6958</v>
      </c>
      <c r="G2118" s="3"/>
      <c r="H2118" s="21">
        <v>0</v>
      </c>
      <c r="I2118" s="21">
        <v>0</v>
      </c>
      <c r="J2118" s="21">
        <v>0</v>
      </c>
      <c r="K2118" s="21">
        <v>0</v>
      </c>
      <c r="L2118" s="3">
        <f t="shared" si="101"/>
        <v>0</v>
      </c>
      <c r="M2118" s="3"/>
      <c r="N2118" s="3">
        <f t="shared" si="102"/>
        <v>0</v>
      </c>
      <c r="R2118" s="89"/>
      <c r="S2118" s="89">
        <f>100%-Table34[[#This Row],[PDF_initial fee]]</f>
        <v>1</v>
      </c>
      <c r="T2118" s="89"/>
      <c r="U2118" s="26"/>
    </row>
    <row r="2119" spans="1:21" hidden="1" x14ac:dyDescent="0.25">
      <c r="A2119">
        <v>475945</v>
      </c>
      <c r="B2119" t="s">
        <v>2467</v>
      </c>
      <c r="C2119" t="s">
        <v>9468</v>
      </c>
      <c r="D2119">
        <v>1</v>
      </c>
      <c r="E2119" t="s">
        <v>2467</v>
      </c>
      <c r="G2119" s="3"/>
      <c r="H2119" s="21">
        <v>0</v>
      </c>
      <c r="I2119" s="21">
        <v>0</v>
      </c>
      <c r="J2119" s="21">
        <v>0</v>
      </c>
      <c r="K2119" s="21">
        <v>0</v>
      </c>
      <c r="L2119" s="3">
        <f t="shared" si="101"/>
        <v>0</v>
      </c>
      <c r="M2119" s="3"/>
      <c r="N2119" s="3">
        <f t="shared" si="102"/>
        <v>0</v>
      </c>
      <c r="R2119" s="89"/>
      <c r="S2119" s="89">
        <f>100%-Table34[[#This Row],[PDF_initial fee]]</f>
        <v>1</v>
      </c>
      <c r="T2119" s="89"/>
      <c r="U2119" s="26"/>
    </row>
    <row r="2120" spans="1:21" hidden="1" x14ac:dyDescent="0.25">
      <c r="A2120">
        <v>475953</v>
      </c>
      <c r="B2120" t="s">
        <v>2469</v>
      </c>
      <c r="C2120" t="s">
        <v>30167</v>
      </c>
      <c r="D2120">
        <v>0</v>
      </c>
      <c r="E2120" t="s">
        <v>2469</v>
      </c>
      <c r="F2120" t="s">
        <v>29136</v>
      </c>
      <c r="G2120" s="3"/>
      <c r="H2120" s="21">
        <v>0</v>
      </c>
      <c r="I2120" s="21">
        <v>0</v>
      </c>
      <c r="J2120" s="21">
        <v>0</v>
      </c>
      <c r="K2120" s="21">
        <v>0</v>
      </c>
      <c r="L2120" s="3">
        <f t="shared" si="101"/>
        <v>0</v>
      </c>
      <c r="M2120" s="3"/>
      <c r="N2120" s="3">
        <f t="shared" si="102"/>
        <v>0</v>
      </c>
      <c r="O2120" s="21"/>
      <c r="R2120" s="89"/>
      <c r="S2120" s="89">
        <f>100%-Table34[[#This Row],[PDF_initial fee]]</f>
        <v>1</v>
      </c>
      <c r="T2120" s="89"/>
      <c r="U2120" s="26"/>
    </row>
    <row r="2121" spans="1:21" hidden="1" x14ac:dyDescent="0.25">
      <c r="A2121">
        <v>475973</v>
      </c>
      <c r="B2121" t="s">
        <v>2470</v>
      </c>
      <c r="C2121" t="s">
        <v>8717</v>
      </c>
      <c r="D2121">
        <v>311</v>
      </c>
      <c r="E2121" t="s">
        <v>2470</v>
      </c>
      <c r="F2121" t="s">
        <v>3</v>
      </c>
      <c r="G2121" s="28">
        <v>1.6999999999999999E-3</v>
      </c>
      <c r="H2121" s="21">
        <v>0</v>
      </c>
      <c r="I2121" s="51">
        <v>0</v>
      </c>
      <c r="J2121" s="6">
        <v>0</v>
      </c>
      <c r="K2121" s="6">
        <v>0</v>
      </c>
      <c r="L2121" s="3">
        <f t="shared" si="101"/>
        <v>0</v>
      </c>
      <c r="M2121" s="3"/>
      <c r="N2121" s="3">
        <v>0</v>
      </c>
      <c r="P2121" s="1" t="s">
        <v>30063</v>
      </c>
      <c r="R2121" s="89"/>
      <c r="S2121" s="89">
        <f>100%-Table34[[#This Row],[PDF_initial fee]]</f>
        <v>1</v>
      </c>
      <c r="T2121" s="89"/>
      <c r="U2121" s="26"/>
    </row>
    <row r="2122" spans="1:21" hidden="1" x14ac:dyDescent="0.25">
      <c r="A2122">
        <v>476035</v>
      </c>
      <c r="B2122" t="s">
        <v>2471</v>
      </c>
      <c r="C2122" t="s">
        <v>6958</v>
      </c>
      <c r="D2122">
        <v>1</v>
      </c>
      <c r="E2122" t="s">
        <v>2471</v>
      </c>
      <c r="F2122" t="s">
        <v>6958</v>
      </c>
      <c r="G2122" s="3"/>
      <c r="H2122" s="21">
        <v>0</v>
      </c>
      <c r="I2122" s="21">
        <v>0</v>
      </c>
      <c r="J2122" s="21">
        <v>0</v>
      </c>
      <c r="K2122" s="21">
        <v>0</v>
      </c>
      <c r="L2122" s="3">
        <f t="shared" si="101"/>
        <v>0</v>
      </c>
      <c r="M2122" s="3"/>
      <c r="N2122" s="3">
        <f t="shared" ref="N2122:N2185" si="103">L2122+G2122</f>
        <v>0</v>
      </c>
      <c r="O2122" s="21"/>
      <c r="R2122" s="89"/>
      <c r="S2122" s="89">
        <f>100%-Table34[[#This Row],[PDF_initial fee]]</f>
        <v>1</v>
      </c>
      <c r="T2122" s="89"/>
      <c r="U2122" s="26"/>
    </row>
    <row r="2123" spans="1:21" hidden="1" x14ac:dyDescent="0.25">
      <c r="A2123">
        <v>476104</v>
      </c>
      <c r="B2123" t="s">
        <v>2472</v>
      </c>
      <c r="C2123" t="s">
        <v>30168</v>
      </c>
      <c r="D2123">
        <v>3</v>
      </c>
      <c r="E2123" t="s">
        <v>2472</v>
      </c>
      <c r="G2123" s="3"/>
      <c r="H2123" s="3">
        <v>0</v>
      </c>
      <c r="I2123" s="3">
        <v>0</v>
      </c>
      <c r="J2123" s="3">
        <v>0</v>
      </c>
      <c r="K2123" s="3">
        <v>0</v>
      </c>
      <c r="L2123" s="3">
        <f t="shared" si="101"/>
        <v>0</v>
      </c>
      <c r="M2123" s="3"/>
      <c r="N2123" s="3">
        <f t="shared" si="103"/>
        <v>0</v>
      </c>
      <c r="R2123" s="89"/>
      <c r="S2123" s="89">
        <f>100%-Table34[[#This Row],[PDF_initial fee]]</f>
        <v>1</v>
      </c>
      <c r="T2123" s="89"/>
      <c r="U2123" s="26"/>
    </row>
    <row r="2124" spans="1:21" hidden="1" x14ac:dyDescent="0.25">
      <c r="A2124">
        <v>476116</v>
      </c>
      <c r="B2124" t="s">
        <v>2473</v>
      </c>
      <c r="C2124" s="1" t="s">
        <v>30169</v>
      </c>
      <c r="D2124">
        <v>9</v>
      </c>
      <c r="E2124" t="s">
        <v>2473</v>
      </c>
      <c r="G2124" s="3"/>
      <c r="H2124" s="21">
        <v>0</v>
      </c>
      <c r="I2124" s="21">
        <v>0</v>
      </c>
      <c r="J2124" s="21">
        <v>0</v>
      </c>
      <c r="K2124" s="21">
        <v>0</v>
      </c>
      <c r="L2124" s="3">
        <f t="shared" si="101"/>
        <v>0</v>
      </c>
      <c r="M2124" s="3"/>
      <c r="N2124" s="3">
        <f t="shared" si="103"/>
        <v>0</v>
      </c>
      <c r="R2124" s="89"/>
      <c r="S2124" s="89">
        <f>100%-Table34[[#This Row],[PDF_initial fee]]</f>
        <v>1</v>
      </c>
      <c r="T2124" s="89"/>
      <c r="U2124" s="26"/>
    </row>
    <row r="2125" spans="1:21" hidden="1" x14ac:dyDescent="0.25">
      <c r="A2125">
        <v>476155</v>
      </c>
      <c r="B2125" t="s">
        <v>2474</v>
      </c>
      <c r="C2125" t="s">
        <v>30170</v>
      </c>
      <c r="D2125">
        <v>1</v>
      </c>
      <c r="E2125" t="s">
        <v>2474</v>
      </c>
      <c r="G2125" s="3"/>
      <c r="H2125" s="3">
        <v>0</v>
      </c>
      <c r="I2125" s="3">
        <v>0</v>
      </c>
      <c r="J2125" s="3">
        <v>0</v>
      </c>
      <c r="K2125" s="3">
        <v>0</v>
      </c>
      <c r="L2125" s="3">
        <f t="shared" si="101"/>
        <v>0</v>
      </c>
      <c r="M2125" s="3"/>
      <c r="N2125" s="3">
        <f t="shared" si="103"/>
        <v>0</v>
      </c>
      <c r="R2125" s="89"/>
      <c r="S2125" s="89">
        <f>100%-Table34[[#This Row],[PDF_initial fee]]</f>
        <v>1</v>
      </c>
      <c r="T2125" s="89"/>
      <c r="U2125" s="26"/>
    </row>
    <row r="2126" spans="1:21" hidden="1" x14ac:dyDescent="0.25">
      <c r="A2126">
        <v>476326</v>
      </c>
      <c r="B2126" t="s">
        <v>2475</v>
      </c>
      <c r="C2126" t="s">
        <v>30171</v>
      </c>
      <c r="D2126">
        <v>2</v>
      </c>
      <c r="E2126" t="s">
        <v>2475</v>
      </c>
      <c r="G2126" s="3"/>
      <c r="H2126" s="3">
        <v>0</v>
      </c>
      <c r="I2126" s="3">
        <v>0</v>
      </c>
      <c r="J2126" s="3">
        <v>0</v>
      </c>
      <c r="K2126" s="3">
        <v>0</v>
      </c>
      <c r="L2126" s="3">
        <f t="shared" si="101"/>
        <v>0</v>
      </c>
      <c r="M2126" s="3"/>
      <c r="N2126" s="3">
        <f t="shared" si="103"/>
        <v>0</v>
      </c>
      <c r="R2126" s="89"/>
      <c r="S2126" s="89">
        <f>100%-Table34[[#This Row],[PDF_initial fee]]</f>
        <v>1</v>
      </c>
      <c r="T2126" s="89"/>
      <c r="U2126" s="26"/>
    </row>
    <row r="2127" spans="1:21" hidden="1" x14ac:dyDescent="0.25">
      <c r="A2127">
        <v>476417</v>
      </c>
      <c r="B2127" t="s">
        <v>2476</v>
      </c>
      <c r="C2127" t="s">
        <v>6958</v>
      </c>
      <c r="D2127">
        <v>5</v>
      </c>
      <c r="E2127" t="s">
        <v>2476</v>
      </c>
      <c r="F2127" t="s">
        <v>6958</v>
      </c>
      <c r="G2127" s="3"/>
      <c r="H2127" s="21">
        <v>0</v>
      </c>
      <c r="I2127" s="21">
        <v>0</v>
      </c>
      <c r="J2127" s="21">
        <v>0</v>
      </c>
      <c r="K2127" s="21">
        <v>0</v>
      </c>
      <c r="L2127" s="3">
        <f t="shared" si="101"/>
        <v>0</v>
      </c>
      <c r="M2127" s="3"/>
      <c r="N2127" s="3">
        <f t="shared" si="103"/>
        <v>0</v>
      </c>
      <c r="R2127" s="89"/>
      <c r="S2127" s="89">
        <f>100%-Table34[[#This Row],[PDF_initial fee]]</f>
        <v>1</v>
      </c>
      <c r="T2127" s="89"/>
      <c r="U2127" s="26"/>
    </row>
    <row r="2128" spans="1:21" hidden="1" x14ac:dyDescent="0.25">
      <c r="A2128">
        <v>476454</v>
      </c>
      <c r="B2128" t="s">
        <v>2477</v>
      </c>
      <c r="C2128" t="s">
        <v>6958</v>
      </c>
      <c r="D2128">
        <v>4</v>
      </c>
      <c r="E2128" t="s">
        <v>2477</v>
      </c>
      <c r="F2128" t="s">
        <v>6958</v>
      </c>
      <c r="G2128" s="3"/>
      <c r="H2128" s="21">
        <v>0</v>
      </c>
      <c r="I2128" s="21">
        <v>0</v>
      </c>
      <c r="J2128" s="21">
        <v>0</v>
      </c>
      <c r="K2128" s="21">
        <v>0</v>
      </c>
      <c r="L2128" s="3">
        <f t="shared" si="101"/>
        <v>0</v>
      </c>
      <c r="M2128" s="3"/>
      <c r="N2128" s="3">
        <f t="shared" si="103"/>
        <v>0</v>
      </c>
      <c r="R2128" s="89"/>
      <c r="S2128" s="89">
        <f>100%-Table34[[#This Row],[PDF_initial fee]]</f>
        <v>1</v>
      </c>
      <c r="T2128" s="89"/>
      <c r="U2128" s="26"/>
    </row>
    <row r="2129" spans="1:27" hidden="1" x14ac:dyDescent="0.25">
      <c r="A2129">
        <v>476495</v>
      </c>
      <c r="B2129" t="s">
        <v>2478</v>
      </c>
      <c r="C2129" t="s">
        <v>8917</v>
      </c>
      <c r="D2129">
        <v>7</v>
      </c>
      <c r="E2129" t="s">
        <v>2478</v>
      </c>
      <c r="G2129" s="3"/>
      <c r="H2129" s="21">
        <v>0</v>
      </c>
      <c r="I2129" s="21">
        <v>0</v>
      </c>
      <c r="J2129" s="21">
        <v>0</v>
      </c>
      <c r="K2129" s="21">
        <v>0</v>
      </c>
      <c r="L2129" s="3">
        <f t="shared" si="101"/>
        <v>0</v>
      </c>
      <c r="M2129" s="3"/>
      <c r="N2129" s="3">
        <f t="shared" si="103"/>
        <v>0</v>
      </c>
      <c r="R2129" s="89"/>
      <c r="S2129" s="89">
        <f>100%-Table34[[#This Row],[PDF_initial fee]]</f>
        <v>1</v>
      </c>
      <c r="T2129" s="89"/>
      <c r="U2129" s="26"/>
    </row>
    <row r="2130" spans="1:27" hidden="1" x14ac:dyDescent="0.25">
      <c r="A2130">
        <v>476681</v>
      </c>
      <c r="B2130" t="s">
        <v>2479</v>
      </c>
      <c r="C2130" t="s">
        <v>11285</v>
      </c>
      <c r="D2130">
        <v>2</v>
      </c>
      <c r="E2130" t="s">
        <v>2479</v>
      </c>
      <c r="G2130" s="3"/>
      <c r="H2130" s="21">
        <v>0</v>
      </c>
      <c r="I2130" s="21">
        <v>0</v>
      </c>
      <c r="J2130" s="21">
        <v>0</v>
      </c>
      <c r="K2130" s="21">
        <v>0</v>
      </c>
      <c r="L2130" s="3">
        <f t="shared" si="101"/>
        <v>0</v>
      </c>
      <c r="M2130" s="3"/>
      <c r="N2130" s="3">
        <f t="shared" si="103"/>
        <v>0</v>
      </c>
      <c r="R2130" s="89"/>
      <c r="S2130" s="89">
        <f>100%-Table34[[#This Row],[PDF_initial fee]]</f>
        <v>1</v>
      </c>
      <c r="T2130" s="89"/>
      <c r="U2130" s="26"/>
    </row>
    <row r="2131" spans="1:27" hidden="1" x14ac:dyDescent="0.25">
      <c r="A2131">
        <v>476748</v>
      </c>
      <c r="B2131" t="s">
        <v>2480</v>
      </c>
      <c r="C2131" t="s">
        <v>30172</v>
      </c>
      <c r="D2131">
        <v>3</v>
      </c>
      <c r="E2131" t="s">
        <v>2480</v>
      </c>
      <c r="G2131" s="3"/>
      <c r="H2131" s="3">
        <v>0</v>
      </c>
      <c r="I2131" s="3">
        <v>0</v>
      </c>
      <c r="J2131" s="3">
        <v>0</v>
      </c>
      <c r="K2131" s="3">
        <v>0</v>
      </c>
      <c r="L2131" s="3">
        <f t="shared" si="101"/>
        <v>0</v>
      </c>
      <c r="M2131" s="3"/>
      <c r="N2131" s="3">
        <f t="shared" si="103"/>
        <v>0</v>
      </c>
      <c r="R2131" s="89"/>
      <c r="S2131" s="89">
        <f>100%-Table34[[#This Row],[PDF_initial fee]]</f>
        <v>1</v>
      </c>
      <c r="T2131" s="89"/>
      <c r="U2131" s="26"/>
    </row>
    <row r="2132" spans="1:27" hidden="1" x14ac:dyDescent="0.25">
      <c r="A2132">
        <v>477155</v>
      </c>
      <c r="B2132" t="s">
        <v>2481</v>
      </c>
      <c r="C2132" t="s">
        <v>30173</v>
      </c>
      <c r="D2132">
        <v>2</v>
      </c>
      <c r="E2132" t="s">
        <v>2481</v>
      </c>
      <c r="G2132" s="3"/>
      <c r="H2132" s="21">
        <v>0</v>
      </c>
      <c r="I2132" s="21">
        <v>0</v>
      </c>
      <c r="J2132" s="21">
        <v>0</v>
      </c>
      <c r="K2132" s="21">
        <v>0</v>
      </c>
      <c r="L2132" s="3">
        <f t="shared" si="101"/>
        <v>0</v>
      </c>
      <c r="M2132" s="3"/>
      <c r="N2132" s="3">
        <f t="shared" si="103"/>
        <v>0</v>
      </c>
      <c r="O2132" s="21"/>
      <c r="R2132" s="89"/>
      <c r="S2132" s="89">
        <f>100%-Table34[[#This Row],[PDF_initial fee]]</f>
        <v>1</v>
      </c>
      <c r="T2132" s="89"/>
      <c r="U2132" s="26"/>
    </row>
    <row r="2133" spans="1:27" hidden="1" x14ac:dyDescent="0.25">
      <c r="A2133">
        <v>477194</v>
      </c>
      <c r="B2133" t="s">
        <v>2482</v>
      </c>
      <c r="C2133" t="s">
        <v>30174</v>
      </c>
      <c r="D2133">
        <v>1</v>
      </c>
      <c r="E2133" t="s">
        <v>2482</v>
      </c>
      <c r="G2133" s="3"/>
      <c r="H2133" s="3">
        <v>0</v>
      </c>
      <c r="I2133" s="3">
        <v>0</v>
      </c>
      <c r="J2133" s="3">
        <v>0</v>
      </c>
      <c r="K2133" s="3">
        <v>0</v>
      </c>
      <c r="L2133" s="3">
        <f t="shared" si="101"/>
        <v>0</v>
      </c>
      <c r="M2133" s="3"/>
      <c r="N2133" s="3">
        <f t="shared" si="103"/>
        <v>0</v>
      </c>
      <c r="R2133" s="89"/>
      <c r="S2133" s="89">
        <f>100%-Table34[[#This Row],[PDF_initial fee]]</f>
        <v>1</v>
      </c>
      <c r="T2133" s="89"/>
      <c r="U2133" s="26"/>
    </row>
    <row r="2134" spans="1:27" hidden="1" x14ac:dyDescent="0.25">
      <c r="A2134">
        <v>477293</v>
      </c>
      <c r="B2134" t="s">
        <v>2483</v>
      </c>
      <c r="C2134" t="s">
        <v>30175</v>
      </c>
      <c r="D2134">
        <v>6</v>
      </c>
      <c r="E2134" t="s">
        <v>2483</v>
      </c>
      <c r="G2134" s="3"/>
      <c r="H2134" s="3">
        <v>0</v>
      </c>
      <c r="I2134" s="3">
        <v>0</v>
      </c>
      <c r="J2134" s="3">
        <v>0</v>
      </c>
      <c r="K2134" s="3">
        <v>0</v>
      </c>
      <c r="L2134" s="3">
        <f t="shared" si="101"/>
        <v>0</v>
      </c>
      <c r="M2134" s="3"/>
      <c r="N2134" s="3">
        <f t="shared" si="103"/>
        <v>0</v>
      </c>
      <c r="R2134" s="89"/>
      <c r="S2134" s="89">
        <f>100%-Table34[[#This Row],[PDF_initial fee]]</f>
        <v>1</v>
      </c>
      <c r="T2134" s="89"/>
      <c r="U2134" s="26"/>
    </row>
    <row r="2135" spans="1:27" x14ac:dyDescent="0.25">
      <c r="A2135">
        <v>180563</v>
      </c>
      <c r="B2135" t="s">
        <v>82</v>
      </c>
      <c r="C2135" t="s">
        <v>30095</v>
      </c>
      <c r="D2135">
        <v>20</v>
      </c>
      <c r="E2135" t="s">
        <v>82</v>
      </c>
      <c r="F2135" t="s">
        <v>6</v>
      </c>
      <c r="G2135" s="3">
        <v>1.2200000000000001E-2</v>
      </c>
      <c r="H2135" s="3">
        <v>0.02</v>
      </c>
      <c r="I2135" s="3">
        <v>4.0000000000000001E-3</v>
      </c>
      <c r="J2135" s="6">
        <v>0</v>
      </c>
      <c r="K2135" s="6">
        <v>0</v>
      </c>
      <c r="L2135" s="3">
        <f t="shared" si="101"/>
        <v>2.4E-2</v>
      </c>
      <c r="M2135" s="3"/>
      <c r="N2135" s="3">
        <f t="shared" si="103"/>
        <v>3.6200000000000003E-2</v>
      </c>
      <c r="O2135" s="21"/>
      <c r="P2135" s="1" t="s">
        <v>30097</v>
      </c>
      <c r="Q2135" s="1" t="s">
        <v>30098</v>
      </c>
      <c r="R2135" s="89">
        <f>207.5/153-1</f>
        <v>0.35620915032679745</v>
      </c>
      <c r="S2135" s="89">
        <f>100%-Table34[[#This Row],[InitialFee]]</f>
        <v>0.98</v>
      </c>
      <c r="T2135" s="89">
        <f>(1-Table34[[#This Row],[OngoingFee (plus Platform fee)]])^5</f>
        <v>0.98015936127897596</v>
      </c>
      <c r="U2135" s="26">
        <f>(1+Table34[[#This Row],[Net 5yrs return (mostly up to 28th of Feb 2026)]])*Table34[[#This Row],[Investment after initial charge]]*Table34[[#This Row],[Cummulative 5yrs ongoing advice charge]]-1</f>
        <v>0.30271507265411612</v>
      </c>
      <c r="V2135" s="10">
        <v>74976000</v>
      </c>
      <c r="W2135" s="10" t="s">
        <v>29051</v>
      </c>
      <c r="X2135" s="10">
        <v>62439000</v>
      </c>
      <c r="Y2135" s="30">
        <f>X2135/V2135</f>
        <v>0.83278649167733676</v>
      </c>
      <c r="Z2135" s="10"/>
      <c r="AA2135" s="1" t="s">
        <v>30176</v>
      </c>
    </row>
    <row r="2136" spans="1:27" hidden="1" x14ac:dyDescent="0.25">
      <c r="A2136">
        <v>477903</v>
      </c>
      <c r="B2136" t="s">
        <v>2484</v>
      </c>
      <c r="C2136" t="s">
        <v>30177</v>
      </c>
      <c r="D2136">
        <v>1</v>
      </c>
      <c r="E2136" t="s">
        <v>2484</v>
      </c>
      <c r="G2136" s="3"/>
      <c r="H2136" s="3">
        <v>0</v>
      </c>
      <c r="I2136" s="3">
        <v>0</v>
      </c>
      <c r="J2136" s="3">
        <v>0</v>
      </c>
      <c r="K2136" s="3">
        <v>0</v>
      </c>
      <c r="L2136" s="3">
        <f t="shared" si="101"/>
        <v>0</v>
      </c>
      <c r="M2136" s="3"/>
      <c r="N2136" s="3">
        <f t="shared" si="103"/>
        <v>0</v>
      </c>
      <c r="R2136" s="89"/>
      <c r="S2136" s="89">
        <f>100%-Table34[[#This Row],[PDF_initial fee]]</f>
        <v>1</v>
      </c>
      <c r="T2136" s="89"/>
      <c r="U2136" s="26"/>
    </row>
    <row r="2137" spans="1:27" hidden="1" x14ac:dyDescent="0.25">
      <c r="A2137">
        <v>478111</v>
      </c>
      <c r="B2137" t="s">
        <v>2485</v>
      </c>
      <c r="C2137" t="s">
        <v>11261</v>
      </c>
      <c r="D2137">
        <v>3</v>
      </c>
      <c r="E2137" t="s">
        <v>2485</v>
      </c>
      <c r="G2137" s="3"/>
      <c r="H2137" s="21">
        <v>0</v>
      </c>
      <c r="I2137" s="21">
        <v>0</v>
      </c>
      <c r="J2137" s="21">
        <v>0</v>
      </c>
      <c r="K2137" s="21">
        <v>0</v>
      </c>
      <c r="L2137" s="3">
        <f t="shared" si="101"/>
        <v>0</v>
      </c>
      <c r="M2137" s="3"/>
      <c r="N2137" s="3">
        <f t="shared" si="103"/>
        <v>0</v>
      </c>
      <c r="R2137" s="89"/>
      <c r="S2137" s="89">
        <f>100%-Table34[[#This Row],[PDF_initial fee]]</f>
        <v>1</v>
      </c>
      <c r="T2137" s="89"/>
      <c r="U2137" s="26"/>
    </row>
    <row r="2138" spans="1:27" x14ac:dyDescent="0.25">
      <c r="A2138">
        <v>223074</v>
      </c>
      <c r="B2138" t="s">
        <v>122</v>
      </c>
      <c r="C2138" t="s">
        <v>30178</v>
      </c>
      <c r="D2138">
        <v>171</v>
      </c>
      <c r="E2138" t="s">
        <v>122</v>
      </c>
      <c r="F2138" t="s">
        <v>6</v>
      </c>
      <c r="G2138" s="3">
        <v>1.2200000000000001E-2</v>
      </c>
      <c r="H2138" s="3">
        <v>0.02</v>
      </c>
      <c r="I2138" s="3">
        <v>4.0000000000000001E-3</v>
      </c>
      <c r="J2138" s="6">
        <v>0</v>
      </c>
      <c r="K2138" s="6">
        <v>0</v>
      </c>
      <c r="L2138" s="3">
        <f t="shared" si="101"/>
        <v>2.4E-2</v>
      </c>
      <c r="M2138" s="3"/>
      <c r="N2138" s="3">
        <f t="shared" si="103"/>
        <v>3.6200000000000003E-2</v>
      </c>
      <c r="O2138" s="21" t="s">
        <v>30179</v>
      </c>
      <c r="P2138" s="1" t="s">
        <v>30097</v>
      </c>
      <c r="Q2138" s="1" t="s">
        <v>30098</v>
      </c>
      <c r="R2138" s="89">
        <f>207.5/153-1</f>
        <v>0.35620915032679745</v>
      </c>
      <c r="S2138" s="89">
        <f>100%-Table34[[#This Row],[InitialFee]]</f>
        <v>0.98</v>
      </c>
      <c r="T2138" s="89">
        <f>(1-Table34[[#This Row],[OngoingFee (plus Platform fee)]])^5</f>
        <v>0.98015936127897596</v>
      </c>
      <c r="U2138" s="26">
        <f>(1+Table34[[#This Row],[Net 5yrs return (mostly up to 28th of Feb 2026)]])*Table34[[#This Row],[Investment after initial charge]]*Table34[[#This Row],[Cummulative 5yrs ongoing advice charge]]-1</f>
        <v>0.30271507265411612</v>
      </c>
      <c r="V2138" s="10">
        <v>73339000</v>
      </c>
      <c r="W2138" s="10" t="s">
        <v>29051</v>
      </c>
      <c r="X2138" s="10">
        <v>71592000</v>
      </c>
      <c r="Y2138" s="30">
        <f>X2138/V2138</f>
        <v>0.97617911343214392</v>
      </c>
      <c r="Z2138" s="10"/>
      <c r="AA2138" s="1" t="s">
        <v>30099</v>
      </c>
    </row>
    <row r="2139" spans="1:27" hidden="1" x14ac:dyDescent="0.25">
      <c r="A2139">
        <v>478255</v>
      </c>
      <c r="B2139" t="s">
        <v>2486</v>
      </c>
      <c r="C2139" t="s">
        <v>11822</v>
      </c>
      <c r="D2139">
        <v>1</v>
      </c>
      <c r="E2139" t="s">
        <v>2486</v>
      </c>
      <c r="G2139" s="3"/>
      <c r="H2139" s="21">
        <v>0</v>
      </c>
      <c r="I2139" s="21">
        <v>0</v>
      </c>
      <c r="J2139" s="21">
        <v>0</v>
      </c>
      <c r="K2139" s="21">
        <v>0</v>
      </c>
      <c r="L2139" s="3">
        <f t="shared" si="101"/>
        <v>0</v>
      </c>
      <c r="M2139" s="3"/>
      <c r="N2139" s="3">
        <f t="shared" si="103"/>
        <v>0</v>
      </c>
      <c r="R2139" s="89"/>
      <c r="S2139" s="89">
        <f>100%-Table34[[#This Row],[PDF_initial fee]]</f>
        <v>1</v>
      </c>
      <c r="T2139" s="89"/>
      <c r="U2139" s="26"/>
    </row>
    <row r="2140" spans="1:27" hidden="1" x14ac:dyDescent="0.25">
      <c r="A2140">
        <v>478268</v>
      </c>
      <c r="B2140" t="s">
        <v>2487</v>
      </c>
      <c r="C2140" t="s">
        <v>8016</v>
      </c>
      <c r="D2140">
        <v>4</v>
      </c>
      <c r="E2140" t="s">
        <v>2487</v>
      </c>
      <c r="G2140" s="3"/>
      <c r="H2140" s="21">
        <v>0</v>
      </c>
      <c r="I2140" s="21">
        <v>0</v>
      </c>
      <c r="J2140" s="21">
        <v>0</v>
      </c>
      <c r="K2140" s="21">
        <v>0</v>
      </c>
      <c r="L2140" s="3">
        <f t="shared" si="101"/>
        <v>0</v>
      </c>
      <c r="M2140" s="3"/>
      <c r="N2140" s="3">
        <f t="shared" si="103"/>
        <v>0</v>
      </c>
      <c r="R2140" s="89"/>
      <c r="S2140" s="89">
        <f>100%-Table34[[#This Row],[PDF_initial fee]]</f>
        <v>1</v>
      </c>
      <c r="T2140" s="89"/>
      <c r="U2140" s="26"/>
    </row>
    <row r="2141" spans="1:27" hidden="1" x14ac:dyDescent="0.25">
      <c r="A2141">
        <v>478376</v>
      </c>
      <c r="B2141" t="s">
        <v>2488</v>
      </c>
      <c r="C2141" t="s">
        <v>30180</v>
      </c>
      <c r="D2141">
        <v>2</v>
      </c>
      <c r="E2141" t="s">
        <v>2488</v>
      </c>
      <c r="G2141" s="3"/>
      <c r="H2141" s="3">
        <v>0</v>
      </c>
      <c r="I2141" s="3">
        <v>0</v>
      </c>
      <c r="J2141" s="3">
        <v>0</v>
      </c>
      <c r="K2141" s="3">
        <v>0</v>
      </c>
      <c r="L2141" s="3">
        <f t="shared" si="101"/>
        <v>0</v>
      </c>
      <c r="M2141" s="3"/>
      <c r="N2141" s="3">
        <f t="shared" si="103"/>
        <v>0</v>
      </c>
      <c r="R2141" s="89"/>
      <c r="S2141" s="89">
        <f>100%-Table34[[#This Row],[PDF_initial fee]]</f>
        <v>1</v>
      </c>
      <c r="T2141" s="89"/>
      <c r="U2141" s="26"/>
    </row>
    <row r="2142" spans="1:27" hidden="1" x14ac:dyDescent="0.25">
      <c r="A2142">
        <v>478406</v>
      </c>
      <c r="B2142" t="s">
        <v>2489</v>
      </c>
      <c r="C2142" t="s">
        <v>30181</v>
      </c>
      <c r="D2142">
        <v>0</v>
      </c>
      <c r="E2142" t="s">
        <v>2489</v>
      </c>
      <c r="F2142" t="s">
        <v>29136</v>
      </c>
      <c r="G2142" s="3"/>
      <c r="H2142" s="21">
        <v>0</v>
      </c>
      <c r="I2142" s="21">
        <v>0</v>
      </c>
      <c r="J2142" s="21">
        <v>0</v>
      </c>
      <c r="K2142" s="21">
        <v>0</v>
      </c>
      <c r="L2142" s="3">
        <f t="shared" si="101"/>
        <v>0</v>
      </c>
      <c r="M2142" s="3"/>
      <c r="N2142" s="3">
        <f t="shared" si="103"/>
        <v>0</v>
      </c>
      <c r="O2142" s="21"/>
      <c r="R2142" s="89"/>
      <c r="S2142" s="89">
        <f>100%-Table34[[#This Row],[PDF_initial fee]]</f>
        <v>1</v>
      </c>
      <c r="T2142" s="89"/>
      <c r="U2142" s="26"/>
    </row>
    <row r="2143" spans="1:27" hidden="1" x14ac:dyDescent="0.25">
      <c r="A2143">
        <v>478519</v>
      </c>
      <c r="B2143" t="s">
        <v>2490</v>
      </c>
      <c r="C2143" t="s">
        <v>6958</v>
      </c>
      <c r="D2143">
        <v>1</v>
      </c>
      <c r="E2143" t="s">
        <v>2490</v>
      </c>
      <c r="F2143" t="s">
        <v>6958</v>
      </c>
      <c r="G2143" s="3"/>
      <c r="H2143" s="21">
        <v>0</v>
      </c>
      <c r="I2143" s="21">
        <v>0</v>
      </c>
      <c r="J2143" s="21">
        <v>0</v>
      </c>
      <c r="K2143" s="21">
        <v>0</v>
      </c>
      <c r="L2143" s="3">
        <f t="shared" si="101"/>
        <v>0</v>
      </c>
      <c r="M2143" s="3"/>
      <c r="N2143" s="3">
        <f t="shared" si="103"/>
        <v>0</v>
      </c>
      <c r="R2143" s="89"/>
      <c r="S2143" s="89">
        <f>100%-Table34[[#This Row],[PDF_initial fee]]</f>
        <v>1</v>
      </c>
      <c r="T2143" s="89"/>
      <c r="U2143" s="26"/>
    </row>
    <row r="2144" spans="1:27" hidden="1" x14ac:dyDescent="0.25">
      <c r="A2144">
        <v>478785</v>
      </c>
      <c r="B2144" t="s">
        <v>2491</v>
      </c>
      <c r="C2144" t="s">
        <v>7588</v>
      </c>
      <c r="D2144">
        <v>1</v>
      </c>
      <c r="E2144" t="s">
        <v>2491</v>
      </c>
      <c r="G2144" s="3"/>
      <c r="H2144" s="21">
        <v>0</v>
      </c>
      <c r="I2144" s="21">
        <v>0</v>
      </c>
      <c r="J2144" s="21">
        <v>0</v>
      </c>
      <c r="K2144" s="21">
        <v>0</v>
      </c>
      <c r="L2144" s="3">
        <f t="shared" si="101"/>
        <v>0</v>
      </c>
      <c r="M2144" s="3"/>
      <c r="N2144" s="3">
        <f t="shared" si="103"/>
        <v>0</v>
      </c>
      <c r="R2144" s="89"/>
      <c r="S2144" s="89">
        <f>100%-Table34[[#This Row],[PDF_initial fee]]</f>
        <v>1</v>
      </c>
      <c r="T2144" s="89"/>
      <c r="U2144" s="26"/>
    </row>
    <row r="2145" spans="1:21" hidden="1" x14ac:dyDescent="0.25">
      <c r="A2145">
        <v>478840</v>
      </c>
      <c r="B2145" t="s">
        <v>2492</v>
      </c>
      <c r="C2145" t="s">
        <v>6958</v>
      </c>
      <c r="D2145">
        <v>0</v>
      </c>
      <c r="E2145" t="s">
        <v>2492</v>
      </c>
      <c r="F2145" t="s">
        <v>6958</v>
      </c>
      <c r="G2145" s="3"/>
      <c r="H2145" s="21">
        <v>0</v>
      </c>
      <c r="I2145" s="21">
        <v>0</v>
      </c>
      <c r="J2145" s="21">
        <v>0</v>
      </c>
      <c r="K2145" s="21">
        <v>0</v>
      </c>
      <c r="L2145" s="3">
        <f t="shared" si="101"/>
        <v>0</v>
      </c>
      <c r="M2145" s="3"/>
      <c r="N2145" s="3">
        <f t="shared" si="103"/>
        <v>0</v>
      </c>
      <c r="R2145" s="89"/>
      <c r="S2145" s="89">
        <f>100%-Table34[[#This Row],[PDF_initial fee]]</f>
        <v>1</v>
      </c>
      <c r="T2145" s="89"/>
      <c r="U2145" s="26"/>
    </row>
    <row r="2146" spans="1:21" hidden="1" x14ac:dyDescent="0.25">
      <c r="A2146">
        <v>478923</v>
      </c>
      <c r="B2146" t="s">
        <v>2493</v>
      </c>
      <c r="C2146" t="s">
        <v>12621</v>
      </c>
      <c r="D2146">
        <v>6</v>
      </c>
      <c r="E2146" t="s">
        <v>2493</v>
      </c>
      <c r="G2146" s="3"/>
      <c r="H2146" s="21">
        <v>0</v>
      </c>
      <c r="I2146" s="21">
        <v>0</v>
      </c>
      <c r="J2146" s="21">
        <v>0</v>
      </c>
      <c r="K2146" s="21">
        <v>0</v>
      </c>
      <c r="L2146" s="3">
        <f t="shared" si="101"/>
        <v>0</v>
      </c>
      <c r="M2146" s="3"/>
      <c r="N2146" s="3">
        <f t="shared" si="103"/>
        <v>0</v>
      </c>
      <c r="R2146" s="89"/>
      <c r="S2146" s="89">
        <f>100%-Table34[[#This Row],[PDF_initial fee]]</f>
        <v>1</v>
      </c>
      <c r="T2146" s="89"/>
      <c r="U2146" s="26"/>
    </row>
    <row r="2147" spans="1:21" hidden="1" x14ac:dyDescent="0.25">
      <c r="A2147">
        <v>478956</v>
      </c>
      <c r="B2147" t="s">
        <v>2495</v>
      </c>
      <c r="C2147" s="1" t="s">
        <v>30182</v>
      </c>
      <c r="D2147">
        <v>1</v>
      </c>
      <c r="E2147" t="s">
        <v>2495</v>
      </c>
      <c r="G2147" s="3"/>
      <c r="H2147" s="3">
        <v>0</v>
      </c>
      <c r="I2147" s="3">
        <v>0</v>
      </c>
      <c r="J2147" s="3">
        <v>0</v>
      </c>
      <c r="K2147" s="3">
        <v>0</v>
      </c>
      <c r="L2147" s="3">
        <f t="shared" si="101"/>
        <v>0</v>
      </c>
      <c r="M2147" s="3"/>
      <c r="N2147" s="3">
        <f t="shared" si="103"/>
        <v>0</v>
      </c>
      <c r="R2147" s="89"/>
      <c r="S2147" s="89">
        <f>100%-Table34[[#This Row],[PDF_initial fee]]</f>
        <v>1</v>
      </c>
      <c r="T2147" s="89"/>
      <c r="U2147" s="26"/>
    </row>
    <row r="2148" spans="1:21" hidden="1" x14ac:dyDescent="0.25">
      <c r="A2148">
        <v>479172</v>
      </c>
      <c r="B2148" t="s">
        <v>2496</v>
      </c>
      <c r="C2148" t="s">
        <v>10506</v>
      </c>
      <c r="D2148">
        <v>2</v>
      </c>
      <c r="E2148" t="s">
        <v>2496</v>
      </c>
      <c r="G2148" s="3"/>
      <c r="H2148" s="21">
        <v>0</v>
      </c>
      <c r="I2148" s="21">
        <v>0</v>
      </c>
      <c r="J2148" s="21">
        <v>0</v>
      </c>
      <c r="K2148" s="21">
        <v>0</v>
      </c>
      <c r="L2148" s="3">
        <f t="shared" si="101"/>
        <v>0</v>
      </c>
      <c r="M2148" s="3"/>
      <c r="N2148" s="3">
        <f t="shared" si="103"/>
        <v>0</v>
      </c>
      <c r="R2148" s="89"/>
      <c r="S2148" s="89">
        <f>100%-Table34[[#This Row],[PDF_initial fee]]</f>
        <v>1</v>
      </c>
      <c r="T2148" s="89"/>
      <c r="U2148" s="26"/>
    </row>
    <row r="2149" spans="1:21" hidden="1" x14ac:dyDescent="0.25">
      <c r="A2149">
        <v>479175</v>
      </c>
      <c r="B2149" t="s">
        <v>2497</v>
      </c>
      <c r="C2149" t="s">
        <v>8866</v>
      </c>
      <c r="D2149">
        <v>16</v>
      </c>
      <c r="E2149" t="s">
        <v>2497</v>
      </c>
      <c r="G2149" s="3"/>
      <c r="H2149" s="21">
        <v>0</v>
      </c>
      <c r="I2149" s="21">
        <v>0</v>
      </c>
      <c r="J2149" s="21">
        <v>0</v>
      </c>
      <c r="K2149" s="21">
        <v>0</v>
      </c>
      <c r="L2149" s="3">
        <f t="shared" si="101"/>
        <v>0</v>
      </c>
      <c r="M2149" s="3"/>
      <c r="N2149" s="3">
        <f t="shared" si="103"/>
        <v>0</v>
      </c>
      <c r="R2149" s="89"/>
      <c r="S2149" s="89">
        <f>100%-Table34[[#This Row],[PDF_initial fee]]</f>
        <v>1</v>
      </c>
      <c r="T2149" s="89"/>
      <c r="U2149" s="26"/>
    </row>
    <row r="2150" spans="1:21" hidden="1" x14ac:dyDescent="0.25">
      <c r="A2150">
        <v>479203</v>
      </c>
      <c r="B2150" t="s">
        <v>2498</v>
      </c>
      <c r="C2150" t="s">
        <v>8576</v>
      </c>
      <c r="D2150">
        <v>0</v>
      </c>
      <c r="E2150" t="s">
        <v>2498</v>
      </c>
      <c r="F2150" t="s">
        <v>29136</v>
      </c>
      <c r="G2150" s="3"/>
      <c r="L2150" s="3">
        <f t="shared" si="101"/>
        <v>0</v>
      </c>
      <c r="M2150" s="3"/>
      <c r="N2150" s="3">
        <f t="shared" si="103"/>
        <v>0</v>
      </c>
      <c r="R2150" s="89"/>
      <c r="S2150" s="89">
        <f>100%-Table34[[#This Row],[PDF_initial fee]]</f>
        <v>1</v>
      </c>
      <c r="T2150" s="89"/>
      <c r="U2150" s="26"/>
    </row>
    <row r="2151" spans="1:21" hidden="1" x14ac:dyDescent="0.25">
      <c r="A2151">
        <v>479204</v>
      </c>
      <c r="B2151" t="s">
        <v>2499</v>
      </c>
      <c r="C2151" t="s">
        <v>6958</v>
      </c>
      <c r="D2151">
        <v>2</v>
      </c>
      <c r="E2151" t="s">
        <v>2499</v>
      </c>
      <c r="F2151" t="s">
        <v>6958</v>
      </c>
      <c r="G2151" s="3"/>
      <c r="H2151" s="21">
        <v>0</v>
      </c>
      <c r="I2151" s="21">
        <v>0</v>
      </c>
      <c r="J2151" s="21">
        <v>0</v>
      </c>
      <c r="K2151" s="21">
        <v>0</v>
      </c>
      <c r="L2151" s="3">
        <f t="shared" si="101"/>
        <v>0</v>
      </c>
      <c r="M2151" s="3"/>
      <c r="N2151" s="3">
        <f t="shared" si="103"/>
        <v>0</v>
      </c>
      <c r="R2151" s="89"/>
      <c r="S2151" s="89">
        <f>100%-Table34[[#This Row],[PDF_initial fee]]</f>
        <v>1</v>
      </c>
      <c r="T2151" s="89"/>
      <c r="U2151" s="26"/>
    </row>
    <row r="2152" spans="1:21" hidden="1" x14ac:dyDescent="0.25">
      <c r="A2152">
        <v>479220</v>
      </c>
      <c r="B2152" t="s">
        <v>2500</v>
      </c>
      <c r="C2152" t="s">
        <v>6958</v>
      </c>
      <c r="D2152">
        <v>0</v>
      </c>
      <c r="E2152" t="s">
        <v>2500</v>
      </c>
      <c r="F2152" t="s">
        <v>6958</v>
      </c>
      <c r="G2152" s="3"/>
      <c r="L2152" s="3">
        <f t="shared" si="101"/>
        <v>0</v>
      </c>
      <c r="M2152" s="3"/>
      <c r="N2152" s="3">
        <f t="shared" si="103"/>
        <v>0</v>
      </c>
      <c r="R2152" s="89"/>
      <c r="S2152" s="89">
        <f>100%-Table34[[#This Row],[PDF_initial fee]]</f>
        <v>1</v>
      </c>
      <c r="T2152" s="89"/>
      <c r="U2152" s="26"/>
    </row>
    <row r="2153" spans="1:21" hidden="1" x14ac:dyDescent="0.25">
      <c r="A2153">
        <v>479335</v>
      </c>
      <c r="B2153" t="s">
        <v>2501</v>
      </c>
      <c r="C2153" t="s">
        <v>12211</v>
      </c>
      <c r="D2153">
        <v>2</v>
      </c>
      <c r="E2153" t="s">
        <v>2501</v>
      </c>
      <c r="G2153" s="3"/>
      <c r="H2153" s="21">
        <v>0</v>
      </c>
      <c r="I2153" s="21">
        <v>0</v>
      </c>
      <c r="J2153" s="21">
        <v>0</v>
      </c>
      <c r="K2153" s="21">
        <v>0</v>
      </c>
      <c r="L2153" s="3">
        <f t="shared" si="101"/>
        <v>0</v>
      </c>
      <c r="M2153" s="3"/>
      <c r="N2153" s="3">
        <f t="shared" si="103"/>
        <v>0</v>
      </c>
      <c r="R2153" s="89"/>
      <c r="S2153" s="89">
        <f>100%-Table34[[#This Row],[PDF_initial fee]]</f>
        <v>1</v>
      </c>
      <c r="T2153" s="89"/>
      <c r="U2153" s="26"/>
    </row>
    <row r="2154" spans="1:21" hidden="1" x14ac:dyDescent="0.25">
      <c r="A2154">
        <v>479377</v>
      </c>
      <c r="B2154" t="s">
        <v>2502</v>
      </c>
      <c r="C2154" t="s">
        <v>30183</v>
      </c>
      <c r="D2154">
        <v>6</v>
      </c>
      <c r="E2154" t="s">
        <v>2502</v>
      </c>
      <c r="G2154" s="3"/>
      <c r="H2154" s="21">
        <v>0</v>
      </c>
      <c r="I2154" s="21">
        <v>0</v>
      </c>
      <c r="J2154" s="21">
        <v>0</v>
      </c>
      <c r="K2154" s="21">
        <v>0</v>
      </c>
      <c r="L2154" s="3">
        <f t="shared" si="101"/>
        <v>0</v>
      </c>
      <c r="M2154" s="3"/>
      <c r="N2154" s="3">
        <f t="shared" si="103"/>
        <v>0</v>
      </c>
      <c r="O2154" s="21"/>
      <c r="R2154" s="89"/>
      <c r="S2154" s="89">
        <f>100%-Table34[[#This Row],[PDF_initial fee]]</f>
        <v>1</v>
      </c>
      <c r="T2154" s="89"/>
      <c r="U2154" s="26"/>
    </row>
    <row r="2155" spans="1:21" hidden="1" x14ac:dyDescent="0.25">
      <c r="A2155">
        <v>479421</v>
      </c>
      <c r="B2155" t="s">
        <v>2503</v>
      </c>
      <c r="C2155" t="s">
        <v>7601</v>
      </c>
      <c r="D2155">
        <v>1</v>
      </c>
      <c r="E2155" t="s">
        <v>2503</v>
      </c>
      <c r="G2155" s="3"/>
      <c r="H2155" s="21">
        <v>0</v>
      </c>
      <c r="I2155" s="21">
        <v>0</v>
      </c>
      <c r="J2155" s="21">
        <v>0</v>
      </c>
      <c r="K2155" s="21">
        <v>0</v>
      </c>
      <c r="L2155" s="3">
        <f t="shared" si="101"/>
        <v>0</v>
      </c>
      <c r="M2155" s="3"/>
      <c r="N2155" s="3">
        <f t="shared" si="103"/>
        <v>0</v>
      </c>
      <c r="R2155" s="89"/>
      <c r="S2155" s="89">
        <f>100%-Table34[[#This Row],[PDF_initial fee]]</f>
        <v>1</v>
      </c>
      <c r="T2155" s="89"/>
      <c r="U2155" s="26"/>
    </row>
    <row r="2156" spans="1:21" hidden="1" x14ac:dyDescent="0.25">
      <c r="A2156">
        <v>479453</v>
      </c>
      <c r="B2156" t="s">
        <v>2504</v>
      </c>
      <c r="C2156" t="s">
        <v>6958</v>
      </c>
      <c r="D2156">
        <v>1</v>
      </c>
      <c r="E2156" t="s">
        <v>2504</v>
      </c>
      <c r="F2156" t="s">
        <v>6958</v>
      </c>
      <c r="G2156" s="3"/>
      <c r="H2156" s="21">
        <v>0</v>
      </c>
      <c r="I2156" s="21">
        <v>0</v>
      </c>
      <c r="J2156" s="21">
        <v>0</v>
      </c>
      <c r="K2156" s="21">
        <v>0</v>
      </c>
      <c r="L2156" s="3">
        <f t="shared" ref="L2156:L2219" si="104">SUM(H2156:K2156)</f>
        <v>0</v>
      </c>
      <c r="M2156" s="3"/>
      <c r="N2156" s="3">
        <f t="shared" si="103"/>
        <v>0</v>
      </c>
      <c r="R2156" s="89"/>
      <c r="S2156" s="89">
        <f>100%-Table34[[#This Row],[PDF_initial fee]]</f>
        <v>1</v>
      </c>
      <c r="T2156" s="89"/>
      <c r="U2156" s="26"/>
    </row>
    <row r="2157" spans="1:21" hidden="1" x14ac:dyDescent="0.25">
      <c r="A2157">
        <v>479501</v>
      </c>
      <c r="B2157" t="s">
        <v>2505</v>
      </c>
      <c r="C2157" t="s">
        <v>30184</v>
      </c>
      <c r="D2157">
        <v>1</v>
      </c>
      <c r="E2157" t="s">
        <v>2505</v>
      </c>
      <c r="G2157" s="3"/>
      <c r="H2157" s="3">
        <v>0</v>
      </c>
      <c r="I2157" s="3">
        <v>0</v>
      </c>
      <c r="J2157" s="3">
        <v>0</v>
      </c>
      <c r="K2157" s="3">
        <v>0</v>
      </c>
      <c r="L2157" s="3">
        <f t="shared" si="104"/>
        <v>0</v>
      </c>
      <c r="M2157" s="3"/>
      <c r="N2157" s="3">
        <f t="shared" si="103"/>
        <v>0</v>
      </c>
      <c r="R2157" s="89"/>
      <c r="S2157" s="89">
        <f>100%-Table34[[#This Row],[PDF_initial fee]]</f>
        <v>1</v>
      </c>
      <c r="T2157" s="89"/>
      <c r="U2157" s="26"/>
    </row>
    <row r="2158" spans="1:21" hidden="1" x14ac:dyDescent="0.25">
      <c r="A2158">
        <v>479512</v>
      </c>
      <c r="B2158" t="s">
        <v>2506</v>
      </c>
      <c r="C2158" t="s">
        <v>6958</v>
      </c>
      <c r="D2158">
        <v>2</v>
      </c>
      <c r="E2158" t="s">
        <v>2506</v>
      </c>
      <c r="F2158" t="s">
        <v>6958</v>
      </c>
      <c r="G2158" s="3"/>
      <c r="H2158" s="21">
        <v>0</v>
      </c>
      <c r="I2158" s="21">
        <v>0</v>
      </c>
      <c r="J2158" s="21">
        <v>0</v>
      </c>
      <c r="K2158" s="21">
        <v>0</v>
      </c>
      <c r="L2158" s="3">
        <f t="shared" si="104"/>
        <v>0</v>
      </c>
      <c r="M2158" s="3"/>
      <c r="N2158" s="3">
        <f t="shared" si="103"/>
        <v>0</v>
      </c>
      <c r="R2158" s="89"/>
      <c r="S2158" s="89">
        <f>100%-Table34[[#This Row],[PDF_initial fee]]</f>
        <v>1</v>
      </c>
      <c r="T2158" s="89"/>
      <c r="U2158" s="26"/>
    </row>
    <row r="2159" spans="1:21" hidden="1" x14ac:dyDescent="0.25">
      <c r="A2159">
        <v>479550</v>
      </c>
      <c r="B2159" t="s">
        <v>2507</v>
      </c>
      <c r="C2159" t="s">
        <v>30185</v>
      </c>
      <c r="D2159">
        <v>3</v>
      </c>
      <c r="E2159" t="s">
        <v>2507</v>
      </c>
      <c r="G2159" s="3"/>
      <c r="H2159" s="3">
        <v>0</v>
      </c>
      <c r="I2159" s="3">
        <v>0</v>
      </c>
      <c r="J2159" s="3">
        <v>0</v>
      </c>
      <c r="K2159" s="3">
        <v>0</v>
      </c>
      <c r="L2159" s="3">
        <f t="shared" si="104"/>
        <v>0</v>
      </c>
      <c r="M2159" s="3"/>
      <c r="N2159" s="3">
        <f t="shared" si="103"/>
        <v>0</v>
      </c>
      <c r="R2159" s="89"/>
      <c r="S2159" s="89">
        <f>100%-Table34[[#This Row],[PDF_initial fee]]</f>
        <v>1</v>
      </c>
      <c r="T2159" s="89"/>
      <c r="U2159" s="26"/>
    </row>
    <row r="2160" spans="1:21" hidden="1" x14ac:dyDescent="0.25">
      <c r="A2160">
        <v>479668</v>
      </c>
      <c r="B2160" t="s">
        <v>2508</v>
      </c>
      <c r="C2160" t="s">
        <v>9776</v>
      </c>
      <c r="D2160">
        <v>3</v>
      </c>
      <c r="E2160" t="s">
        <v>2508</v>
      </c>
      <c r="G2160" s="3"/>
      <c r="H2160" s="21">
        <v>0</v>
      </c>
      <c r="I2160" s="21">
        <v>0</v>
      </c>
      <c r="J2160" s="21">
        <v>0</v>
      </c>
      <c r="K2160" s="21">
        <v>0</v>
      </c>
      <c r="L2160" s="3">
        <f t="shared" si="104"/>
        <v>0</v>
      </c>
      <c r="M2160" s="3"/>
      <c r="N2160" s="3">
        <f t="shared" si="103"/>
        <v>0</v>
      </c>
      <c r="R2160" s="89"/>
      <c r="S2160" s="89">
        <f>100%-Table34[[#This Row],[PDF_initial fee]]</f>
        <v>1</v>
      </c>
      <c r="T2160" s="89"/>
      <c r="U2160" s="26"/>
    </row>
    <row r="2161" spans="1:30" hidden="1" x14ac:dyDescent="0.25">
      <c r="A2161">
        <v>479708</v>
      </c>
      <c r="B2161" t="s">
        <v>2509</v>
      </c>
      <c r="C2161" t="s">
        <v>12520</v>
      </c>
      <c r="D2161">
        <v>5</v>
      </c>
      <c r="E2161" t="s">
        <v>2509</v>
      </c>
      <c r="G2161" s="3"/>
      <c r="H2161" s="21">
        <v>0</v>
      </c>
      <c r="I2161" s="21">
        <v>0</v>
      </c>
      <c r="J2161" s="21">
        <v>0</v>
      </c>
      <c r="K2161" s="21">
        <v>0</v>
      </c>
      <c r="L2161" s="3">
        <f t="shared" si="104"/>
        <v>0</v>
      </c>
      <c r="M2161" s="3"/>
      <c r="N2161" s="3">
        <f t="shared" si="103"/>
        <v>0</v>
      </c>
      <c r="R2161" s="89"/>
      <c r="S2161" s="89">
        <f>100%-Table34[[#This Row],[PDF_initial fee]]</f>
        <v>1</v>
      </c>
      <c r="T2161" s="89"/>
      <c r="U2161" s="26"/>
    </row>
    <row r="2162" spans="1:30" hidden="1" x14ac:dyDescent="0.25">
      <c r="A2162">
        <v>479780</v>
      </c>
      <c r="B2162" t="s">
        <v>2510</v>
      </c>
      <c r="C2162" t="s">
        <v>12190</v>
      </c>
      <c r="D2162">
        <v>2</v>
      </c>
      <c r="E2162" t="s">
        <v>2510</v>
      </c>
      <c r="G2162" s="3"/>
      <c r="H2162" s="21">
        <v>0</v>
      </c>
      <c r="I2162" s="21">
        <v>0</v>
      </c>
      <c r="J2162" s="21">
        <v>0</v>
      </c>
      <c r="K2162" s="21">
        <v>0</v>
      </c>
      <c r="L2162" s="3">
        <f t="shared" si="104"/>
        <v>0</v>
      </c>
      <c r="M2162" s="3"/>
      <c r="N2162" s="3">
        <f t="shared" si="103"/>
        <v>0</v>
      </c>
      <c r="R2162" s="89"/>
      <c r="S2162" s="89">
        <f>100%-Table34[[#This Row],[PDF_initial fee]]</f>
        <v>1</v>
      </c>
      <c r="T2162" s="89"/>
      <c r="U2162" s="26"/>
    </row>
    <row r="2163" spans="1:30" hidden="1" x14ac:dyDescent="0.25">
      <c r="A2163">
        <v>479792</v>
      </c>
      <c r="B2163" t="s">
        <v>2511</v>
      </c>
      <c r="C2163" t="s">
        <v>8562</v>
      </c>
      <c r="D2163">
        <v>1</v>
      </c>
      <c r="E2163" t="s">
        <v>2511</v>
      </c>
      <c r="G2163" s="3"/>
      <c r="H2163" s="21">
        <v>0</v>
      </c>
      <c r="I2163" s="21">
        <v>0</v>
      </c>
      <c r="J2163" s="21">
        <v>0</v>
      </c>
      <c r="K2163" s="21">
        <v>0</v>
      </c>
      <c r="L2163" s="3">
        <f t="shared" si="104"/>
        <v>0</v>
      </c>
      <c r="M2163" s="3"/>
      <c r="N2163" s="3">
        <f t="shared" si="103"/>
        <v>0</v>
      </c>
      <c r="R2163" s="89"/>
      <c r="S2163" s="89">
        <f>100%-Table34[[#This Row],[PDF_initial fee]]</f>
        <v>1</v>
      </c>
      <c r="T2163" s="89"/>
      <c r="U2163" s="26"/>
    </row>
    <row r="2164" spans="1:30" hidden="1" x14ac:dyDescent="0.25">
      <c r="A2164">
        <v>479827</v>
      </c>
      <c r="B2164" t="s">
        <v>2512</v>
      </c>
      <c r="C2164" t="s">
        <v>6958</v>
      </c>
      <c r="D2164">
        <v>2</v>
      </c>
      <c r="E2164" t="s">
        <v>2512</v>
      </c>
      <c r="F2164" t="s">
        <v>6958</v>
      </c>
      <c r="G2164" s="3"/>
      <c r="H2164" s="21">
        <v>0</v>
      </c>
      <c r="I2164" s="21">
        <v>0</v>
      </c>
      <c r="J2164" s="21">
        <v>0</v>
      </c>
      <c r="K2164" s="21">
        <v>0</v>
      </c>
      <c r="L2164" s="3">
        <f t="shared" si="104"/>
        <v>0</v>
      </c>
      <c r="M2164" s="3"/>
      <c r="N2164" s="3">
        <f t="shared" si="103"/>
        <v>0</v>
      </c>
      <c r="R2164" s="89"/>
      <c r="S2164" s="89">
        <f>100%-Table34[[#This Row],[PDF_initial fee]]</f>
        <v>1</v>
      </c>
      <c r="T2164" s="89"/>
      <c r="U2164" s="26"/>
    </row>
    <row r="2165" spans="1:30" hidden="1" x14ac:dyDescent="0.25">
      <c r="A2165">
        <v>480069</v>
      </c>
      <c r="B2165" t="s">
        <v>2513</v>
      </c>
      <c r="C2165" t="s">
        <v>30186</v>
      </c>
      <c r="D2165">
        <v>5</v>
      </c>
      <c r="E2165" t="s">
        <v>2513</v>
      </c>
      <c r="G2165" s="3"/>
      <c r="H2165" s="21">
        <v>0</v>
      </c>
      <c r="I2165" s="21">
        <v>0</v>
      </c>
      <c r="J2165" s="21">
        <v>0</v>
      </c>
      <c r="K2165" s="21">
        <v>0</v>
      </c>
      <c r="L2165" s="3">
        <f t="shared" si="104"/>
        <v>0</v>
      </c>
      <c r="M2165" s="3"/>
      <c r="N2165" s="3">
        <f t="shared" si="103"/>
        <v>0</v>
      </c>
      <c r="O2165" s="21"/>
      <c r="R2165" s="89"/>
      <c r="S2165" s="89">
        <f>100%-Table34[[#This Row],[PDF_initial fee]]</f>
        <v>1</v>
      </c>
      <c r="T2165" s="89"/>
      <c r="U2165" s="26"/>
    </row>
    <row r="2166" spans="1:30" hidden="1" x14ac:dyDescent="0.25">
      <c r="A2166">
        <v>480111</v>
      </c>
      <c r="B2166" t="s">
        <v>2514</v>
      </c>
      <c r="C2166" t="s">
        <v>11862</v>
      </c>
      <c r="D2166">
        <v>1</v>
      </c>
      <c r="E2166" t="s">
        <v>2514</v>
      </c>
      <c r="G2166" s="3"/>
      <c r="H2166" s="21">
        <v>0</v>
      </c>
      <c r="I2166" s="21">
        <v>0</v>
      </c>
      <c r="J2166" s="21">
        <v>0</v>
      </c>
      <c r="K2166" s="21">
        <v>0</v>
      </c>
      <c r="L2166" s="3">
        <f t="shared" si="104"/>
        <v>0</v>
      </c>
      <c r="M2166" s="3"/>
      <c r="N2166" s="3">
        <f t="shared" si="103"/>
        <v>0</v>
      </c>
      <c r="R2166" s="89"/>
      <c r="S2166" s="89">
        <f>100%-Table34[[#This Row],[PDF_initial fee]]</f>
        <v>1</v>
      </c>
      <c r="T2166" s="89"/>
      <c r="U2166" s="26"/>
    </row>
    <row r="2167" spans="1:30" hidden="1" x14ac:dyDescent="0.25">
      <c r="A2167">
        <v>480202</v>
      </c>
      <c r="B2167" t="s">
        <v>2515</v>
      </c>
      <c r="C2167" t="s">
        <v>11857</v>
      </c>
      <c r="D2167">
        <v>2</v>
      </c>
      <c r="E2167" t="s">
        <v>2515</v>
      </c>
      <c r="G2167" s="3"/>
      <c r="H2167" s="21">
        <v>0</v>
      </c>
      <c r="I2167" s="21">
        <v>0</v>
      </c>
      <c r="J2167" s="21">
        <v>0</v>
      </c>
      <c r="K2167" s="21">
        <v>0</v>
      </c>
      <c r="L2167" s="3">
        <f t="shared" si="104"/>
        <v>0</v>
      </c>
      <c r="M2167" s="3"/>
      <c r="N2167" s="3">
        <f t="shared" si="103"/>
        <v>0</v>
      </c>
      <c r="R2167" s="89"/>
      <c r="S2167" s="89">
        <f>100%-Table34[[#This Row],[PDF_initial fee]]</f>
        <v>1</v>
      </c>
      <c r="T2167" s="89"/>
      <c r="U2167" s="26"/>
    </row>
    <row r="2168" spans="1:30" hidden="1" x14ac:dyDescent="0.25">
      <c r="A2168">
        <v>480405</v>
      </c>
      <c r="B2168" t="s">
        <v>2516</v>
      </c>
      <c r="C2168" t="s">
        <v>12536</v>
      </c>
      <c r="D2168">
        <v>2</v>
      </c>
      <c r="E2168" t="s">
        <v>2516</v>
      </c>
      <c r="G2168" s="3"/>
      <c r="H2168" s="21">
        <v>0</v>
      </c>
      <c r="I2168" s="21">
        <v>0</v>
      </c>
      <c r="J2168" s="21">
        <v>0</v>
      </c>
      <c r="K2168" s="21">
        <v>0</v>
      </c>
      <c r="L2168" s="3">
        <f t="shared" si="104"/>
        <v>0</v>
      </c>
      <c r="M2168" s="3"/>
      <c r="N2168" s="3">
        <f t="shared" si="103"/>
        <v>0</v>
      </c>
      <c r="R2168" s="89"/>
      <c r="S2168" s="89">
        <f>100%-Table34[[#This Row],[PDF_initial fee]]</f>
        <v>1</v>
      </c>
      <c r="T2168" s="89"/>
      <c r="U2168" s="26"/>
    </row>
    <row r="2169" spans="1:30" hidden="1" x14ac:dyDescent="0.25">
      <c r="A2169">
        <v>480455</v>
      </c>
      <c r="B2169" t="s">
        <v>2517</v>
      </c>
      <c r="C2169" t="s">
        <v>8819</v>
      </c>
      <c r="D2169">
        <v>2</v>
      </c>
      <c r="E2169" t="s">
        <v>2517</v>
      </c>
      <c r="G2169" s="3"/>
      <c r="H2169" s="21">
        <v>0</v>
      </c>
      <c r="I2169" s="21">
        <v>0</v>
      </c>
      <c r="J2169" s="21">
        <v>0</v>
      </c>
      <c r="K2169" s="21">
        <v>0</v>
      </c>
      <c r="L2169" s="3">
        <f t="shared" si="104"/>
        <v>0</v>
      </c>
      <c r="M2169" s="3"/>
      <c r="N2169" s="3">
        <f t="shared" si="103"/>
        <v>0</v>
      </c>
      <c r="R2169" s="89"/>
      <c r="S2169" s="89">
        <f>100%-Table34[[#This Row],[PDF_initial fee]]</f>
        <v>1</v>
      </c>
      <c r="T2169" s="89"/>
      <c r="U2169" s="26"/>
    </row>
    <row r="2170" spans="1:30" hidden="1" x14ac:dyDescent="0.25">
      <c r="A2170">
        <v>480676</v>
      </c>
      <c r="B2170" t="s">
        <v>2518</v>
      </c>
      <c r="C2170" t="s">
        <v>30187</v>
      </c>
      <c r="D2170">
        <v>7</v>
      </c>
      <c r="E2170" t="s">
        <v>2518</v>
      </c>
      <c r="G2170" s="3"/>
      <c r="H2170" s="3">
        <v>0</v>
      </c>
      <c r="I2170" s="3">
        <v>0</v>
      </c>
      <c r="J2170" s="3">
        <v>0</v>
      </c>
      <c r="K2170" s="3">
        <v>0</v>
      </c>
      <c r="L2170" s="3">
        <f t="shared" si="104"/>
        <v>0</v>
      </c>
      <c r="M2170" s="3"/>
      <c r="N2170" s="3">
        <f t="shared" si="103"/>
        <v>0</v>
      </c>
      <c r="R2170" s="89"/>
      <c r="S2170" s="89">
        <f>100%-Table34[[#This Row],[PDF_initial fee]]</f>
        <v>1</v>
      </c>
      <c r="T2170" s="89"/>
      <c r="U2170" s="26"/>
    </row>
    <row r="2171" spans="1:30" hidden="1" x14ac:dyDescent="0.25">
      <c r="A2171">
        <v>480864</v>
      </c>
      <c r="B2171" t="s">
        <v>2519</v>
      </c>
      <c r="C2171" t="s">
        <v>9749</v>
      </c>
      <c r="D2171">
        <v>1</v>
      </c>
      <c r="E2171" t="s">
        <v>2519</v>
      </c>
      <c r="G2171" s="3"/>
      <c r="H2171" s="21">
        <v>0</v>
      </c>
      <c r="I2171" s="21">
        <v>0</v>
      </c>
      <c r="J2171" s="21">
        <v>0</v>
      </c>
      <c r="K2171" s="21">
        <v>0</v>
      </c>
      <c r="L2171" s="3">
        <f t="shared" si="104"/>
        <v>0</v>
      </c>
      <c r="M2171" s="3"/>
      <c r="N2171" s="3">
        <f t="shared" si="103"/>
        <v>0</v>
      </c>
      <c r="R2171" s="89"/>
      <c r="S2171" s="89">
        <f>100%-Table34[[#This Row],[PDF_initial fee]]</f>
        <v>1</v>
      </c>
      <c r="T2171" s="89"/>
      <c r="U2171" s="26"/>
    </row>
    <row r="2172" spans="1:30" hidden="1" x14ac:dyDescent="0.25">
      <c r="A2172">
        <v>480909</v>
      </c>
      <c r="B2172" t="s">
        <v>2520</v>
      </c>
      <c r="C2172" t="s">
        <v>12429</v>
      </c>
      <c r="D2172">
        <v>1</v>
      </c>
      <c r="E2172" t="s">
        <v>2520</v>
      </c>
      <c r="G2172" s="3"/>
      <c r="L2172" s="3">
        <f t="shared" si="104"/>
        <v>0</v>
      </c>
      <c r="M2172" s="3"/>
      <c r="N2172" s="3">
        <f t="shared" si="103"/>
        <v>0</v>
      </c>
      <c r="R2172" s="89"/>
      <c r="S2172" s="89">
        <f>100%-Table34[[#This Row],[PDF_initial fee]]</f>
        <v>1</v>
      </c>
      <c r="T2172" s="89"/>
      <c r="U2172" s="26"/>
    </row>
    <row r="2173" spans="1:30" hidden="1" x14ac:dyDescent="0.25">
      <c r="A2173">
        <v>481012</v>
      </c>
      <c r="B2173" t="s">
        <v>2521</v>
      </c>
      <c r="C2173" t="s">
        <v>6958</v>
      </c>
      <c r="D2173">
        <v>1</v>
      </c>
      <c r="E2173" t="s">
        <v>2521</v>
      </c>
      <c r="F2173" t="s">
        <v>6958</v>
      </c>
      <c r="G2173" s="3"/>
      <c r="H2173" s="21">
        <v>0</v>
      </c>
      <c r="I2173" s="21">
        <v>0</v>
      </c>
      <c r="J2173" s="21">
        <v>0</v>
      </c>
      <c r="K2173" s="21">
        <v>0</v>
      </c>
      <c r="L2173" s="3">
        <f t="shared" si="104"/>
        <v>0</v>
      </c>
      <c r="M2173" s="3"/>
      <c r="N2173" s="3">
        <f t="shared" si="103"/>
        <v>0</v>
      </c>
      <c r="O2173" s="21"/>
      <c r="R2173" s="89"/>
      <c r="S2173" s="89">
        <f>100%-Table34[[#This Row],[PDF_initial fee]]</f>
        <v>1</v>
      </c>
      <c r="T2173" s="89"/>
      <c r="U2173" s="26"/>
    </row>
    <row r="2174" spans="1:30" x14ac:dyDescent="0.25">
      <c r="A2174">
        <v>580531</v>
      </c>
      <c r="B2174" t="s">
        <v>233</v>
      </c>
      <c r="C2174" t="s">
        <v>30095</v>
      </c>
      <c r="D2174">
        <v>181</v>
      </c>
      <c r="E2174" t="s">
        <v>233</v>
      </c>
      <c r="F2174" t="s">
        <v>6</v>
      </c>
      <c r="G2174" s="3">
        <v>1.2200000000000001E-2</v>
      </c>
      <c r="H2174" s="3">
        <v>0.02</v>
      </c>
      <c r="I2174" s="3">
        <v>4.0000000000000001E-3</v>
      </c>
      <c r="J2174" s="6">
        <v>0</v>
      </c>
      <c r="K2174" s="6">
        <v>0</v>
      </c>
      <c r="L2174" s="3">
        <f t="shared" si="104"/>
        <v>2.4E-2</v>
      </c>
      <c r="M2174" s="3"/>
      <c r="N2174" s="3">
        <f t="shared" si="103"/>
        <v>3.6200000000000003E-2</v>
      </c>
      <c r="O2174" s="21"/>
      <c r="P2174" s="1" t="s">
        <v>30097</v>
      </c>
      <c r="Q2174" s="1" t="s">
        <v>30098</v>
      </c>
      <c r="R2174" s="89">
        <f>207.5/153-1</f>
        <v>0.35620915032679745</v>
      </c>
      <c r="S2174" s="89">
        <f>100%-Table34[[#This Row],[InitialFee]]</f>
        <v>0.98</v>
      </c>
      <c r="T2174" s="89">
        <f>(1-Table34[[#This Row],[OngoingFee (plus Platform fee)]])^5</f>
        <v>0.98015936127897596</v>
      </c>
      <c r="U2174" s="26">
        <f>(1+Table34[[#This Row],[Net 5yrs return (mostly up to 28th of Feb 2026)]])*Table34[[#This Row],[Investment after initial charge]]*Table34[[#This Row],[Cummulative 5yrs ongoing advice charge]]-1</f>
        <v>0.30271507265411612</v>
      </c>
      <c r="V2174" s="10">
        <v>73339000</v>
      </c>
      <c r="W2174" s="10" t="s">
        <v>29051</v>
      </c>
      <c r="X2174" s="10">
        <v>71592000</v>
      </c>
      <c r="Y2174" s="30">
        <f>X2174/V2174</f>
        <v>0.97617911343214392</v>
      </c>
      <c r="Z2174" s="10"/>
      <c r="AA2174" s="1" t="s">
        <v>30188</v>
      </c>
      <c r="AD2174" s="1" t="s">
        <v>30098</v>
      </c>
    </row>
    <row r="2175" spans="1:30" x14ac:dyDescent="0.25">
      <c r="A2175">
        <v>122169</v>
      </c>
      <c r="B2175" t="s">
        <v>24</v>
      </c>
      <c r="C2175" t="s">
        <v>8775</v>
      </c>
      <c r="D2175">
        <v>20</v>
      </c>
      <c r="E2175" t="s">
        <v>24</v>
      </c>
      <c r="F2175" t="s">
        <v>6</v>
      </c>
      <c r="G2175" s="3">
        <v>1.14E-2</v>
      </c>
      <c r="H2175" s="3"/>
      <c r="I2175" s="3">
        <v>0</v>
      </c>
      <c r="J2175" s="6">
        <v>0.01</v>
      </c>
      <c r="K2175" s="6">
        <v>5.0000000000000001E-3</v>
      </c>
      <c r="L2175" s="3">
        <f t="shared" si="104"/>
        <v>1.4999999999999999E-2</v>
      </c>
      <c r="M2175" s="3"/>
      <c r="N2175" s="3">
        <f t="shared" si="103"/>
        <v>2.64E-2</v>
      </c>
      <c r="O2175" t="s">
        <v>30189</v>
      </c>
      <c r="P2175" s="1" t="s">
        <v>30190</v>
      </c>
      <c r="Q2175" s="1" t="s">
        <v>30191</v>
      </c>
      <c r="R2175" s="89">
        <f>152.8/114.9-1</f>
        <v>0.32985204525674505</v>
      </c>
      <c r="S2175" s="89">
        <f>100%-Table34[[#This Row],[PDF_initial fee]]</f>
        <v>0.99</v>
      </c>
      <c r="T2175" s="89">
        <f>(1-Table34[[#This Row],[PDF ongoing fee]])^5</f>
        <v>0.97524875312187509</v>
      </c>
      <c r="U2175" s="26">
        <f>(1+Table34[[#This Row],[Net 5yrs return (mostly up to 28th of Feb 2026)]])*Table34[[#This Row],[Investment after initial charge]]*Table34[[#This Row],[Cummulative 5yrs ongoing advice charge]]-1</f>
        <v>0.28396718348348382</v>
      </c>
      <c r="V2175" s="10">
        <v>2952000</v>
      </c>
      <c r="W2175" t="s">
        <v>29051</v>
      </c>
      <c r="X2175" s="10">
        <v>2313000</v>
      </c>
      <c r="Y2175" s="30">
        <f>X2175/V2175</f>
        <v>0.78353658536585369</v>
      </c>
      <c r="AA2175" s="1" t="s">
        <v>30192</v>
      </c>
    </row>
    <row r="2176" spans="1:30" hidden="1" x14ac:dyDescent="0.25">
      <c r="A2176">
        <v>481315</v>
      </c>
      <c r="B2176" t="s">
        <v>2522</v>
      </c>
      <c r="C2176" t="s">
        <v>30193</v>
      </c>
      <c r="D2176">
        <v>3</v>
      </c>
      <c r="E2176" t="s">
        <v>2522</v>
      </c>
      <c r="G2176" s="3"/>
      <c r="H2176" s="3">
        <v>0</v>
      </c>
      <c r="I2176" s="3">
        <v>0</v>
      </c>
      <c r="J2176" s="3">
        <v>0</v>
      </c>
      <c r="K2176" s="3">
        <v>0</v>
      </c>
      <c r="L2176" s="3">
        <f t="shared" si="104"/>
        <v>0</v>
      </c>
      <c r="M2176" s="3"/>
      <c r="N2176" s="3">
        <f t="shared" si="103"/>
        <v>0</v>
      </c>
      <c r="R2176" s="89"/>
      <c r="S2176" s="89">
        <f>100%-Table34[[#This Row],[PDF_initial fee]]</f>
        <v>1</v>
      </c>
      <c r="T2176" s="89"/>
      <c r="U2176" s="26"/>
    </row>
    <row r="2177" spans="1:27" hidden="1" x14ac:dyDescent="0.25">
      <c r="A2177">
        <v>481332</v>
      </c>
      <c r="B2177" t="s">
        <v>2523</v>
      </c>
      <c r="C2177" t="s">
        <v>7867</v>
      </c>
      <c r="D2177">
        <v>2</v>
      </c>
      <c r="E2177" t="s">
        <v>2523</v>
      </c>
      <c r="G2177" s="3"/>
      <c r="H2177" s="21">
        <v>0</v>
      </c>
      <c r="I2177" s="21">
        <v>0</v>
      </c>
      <c r="J2177" s="21">
        <v>0</v>
      </c>
      <c r="K2177" s="21">
        <v>0</v>
      </c>
      <c r="L2177" s="3">
        <f t="shared" si="104"/>
        <v>0</v>
      </c>
      <c r="M2177" s="3"/>
      <c r="N2177" s="3">
        <f t="shared" si="103"/>
        <v>0</v>
      </c>
      <c r="R2177" s="89"/>
      <c r="S2177" s="89">
        <f>100%-Table34[[#This Row],[PDF_initial fee]]</f>
        <v>1</v>
      </c>
      <c r="T2177" s="89"/>
      <c r="U2177" s="26"/>
    </row>
    <row r="2178" spans="1:27" hidden="1" x14ac:dyDescent="0.25">
      <c r="A2178">
        <v>481350</v>
      </c>
      <c r="B2178" t="s">
        <v>2524</v>
      </c>
      <c r="C2178" t="s">
        <v>30194</v>
      </c>
      <c r="D2178">
        <v>19</v>
      </c>
      <c r="E2178" t="s">
        <v>2524</v>
      </c>
      <c r="G2178" s="3"/>
      <c r="H2178" s="3">
        <v>0</v>
      </c>
      <c r="I2178" s="3">
        <v>0</v>
      </c>
      <c r="J2178" s="3">
        <v>0</v>
      </c>
      <c r="K2178" s="3">
        <v>0</v>
      </c>
      <c r="L2178" s="3">
        <f t="shared" si="104"/>
        <v>0</v>
      </c>
      <c r="M2178" s="3"/>
      <c r="N2178" s="3">
        <f t="shared" si="103"/>
        <v>0</v>
      </c>
      <c r="R2178" s="89"/>
      <c r="S2178" s="89">
        <f>100%-Table34[[#This Row],[PDF_initial fee]]</f>
        <v>1</v>
      </c>
      <c r="T2178" s="89"/>
      <c r="U2178" s="26"/>
    </row>
    <row r="2179" spans="1:27" hidden="1" x14ac:dyDescent="0.25">
      <c r="A2179">
        <v>481386</v>
      </c>
      <c r="B2179" t="s">
        <v>2525</v>
      </c>
      <c r="C2179" t="s">
        <v>10001</v>
      </c>
      <c r="D2179">
        <v>1</v>
      </c>
      <c r="E2179" t="s">
        <v>2525</v>
      </c>
      <c r="G2179" s="3"/>
      <c r="H2179" s="21">
        <v>0</v>
      </c>
      <c r="I2179" s="21">
        <v>0</v>
      </c>
      <c r="J2179" s="21">
        <v>0</v>
      </c>
      <c r="K2179" s="21">
        <v>0</v>
      </c>
      <c r="L2179" s="3">
        <f t="shared" si="104"/>
        <v>0</v>
      </c>
      <c r="M2179" s="3"/>
      <c r="N2179" s="3">
        <f t="shared" si="103"/>
        <v>0</v>
      </c>
      <c r="R2179" s="89"/>
      <c r="S2179" s="89">
        <f>100%-Table34[[#This Row],[PDF_initial fee]]</f>
        <v>1</v>
      </c>
      <c r="T2179" s="89"/>
      <c r="U2179" s="26"/>
    </row>
    <row r="2180" spans="1:27" hidden="1" x14ac:dyDescent="0.25">
      <c r="A2180">
        <v>481553</v>
      </c>
      <c r="B2180" t="s">
        <v>2526</v>
      </c>
      <c r="C2180" t="s">
        <v>6958</v>
      </c>
      <c r="D2180">
        <v>1</v>
      </c>
      <c r="E2180" t="s">
        <v>2526</v>
      </c>
      <c r="F2180" t="s">
        <v>6958</v>
      </c>
      <c r="G2180" s="3"/>
      <c r="H2180" s="21">
        <v>0</v>
      </c>
      <c r="I2180" s="21">
        <v>0</v>
      </c>
      <c r="J2180" s="21">
        <v>0</v>
      </c>
      <c r="K2180" s="21">
        <v>0</v>
      </c>
      <c r="L2180" s="3">
        <f t="shared" si="104"/>
        <v>0</v>
      </c>
      <c r="M2180" s="3"/>
      <c r="N2180" s="3">
        <f t="shared" si="103"/>
        <v>0</v>
      </c>
      <c r="R2180" s="89"/>
      <c r="S2180" s="89">
        <f>100%-Table34[[#This Row],[PDF_initial fee]]</f>
        <v>1</v>
      </c>
      <c r="T2180" s="89"/>
      <c r="U2180" s="26"/>
    </row>
    <row r="2181" spans="1:27" x14ac:dyDescent="0.25">
      <c r="A2181">
        <v>464968</v>
      </c>
      <c r="B2181" t="s">
        <v>183</v>
      </c>
      <c r="C2181" t="s">
        <v>30190</v>
      </c>
      <c r="D2181">
        <v>20</v>
      </c>
      <c r="E2181" t="s">
        <v>183</v>
      </c>
      <c r="F2181" t="s">
        <v>6</v>
      </c>
      <c r="G2181" s="3">
        <v>1.14E-2</v>
      </c>
      <c r="H2181" s="21">
        <v>0</v>
      </c>
      <c r="I2181" s="51">
        <v>0</v>
      </c>
      <c r="J2181" s="6">
        <v>0.01</v>
      </c>
      <c r="K2181" s="6">
        <v>5.0000000000000001E-3</v>
      </c>
      <c r="L2181" s="3">
        <f t="shared" si="104"/>
        <v>1.4999999999999999E-2</v>
      </c>
      <c r="M2181" s="3"/>
      <c r="N2181" s="3">
        <f t="shared" si="103"/>
        <v>2.64E-2</v>
      </c>
      <c r="P2181" s="1" t="s">
        <v>30190</v>
      </c>
      <c r="Q2181" s="1" t="s">
        <v>30191</v>
      </c>
      <c r="R2181" s="89">
        <f>152.8/114.9-1</f>
        <v>0.32985204525674505</v>
      </c>
      <c r="S2181" s="89">
        <f>100%-Table34[[#This Row],[PDF_initial fee]]</f>
        <v>0.99</v>
      </c>
      <c r="T2181" s="89">
        <f>(1-Table34[[#This Row],[PDF ongoing fee]])^5</f>
        <v>0.97524875312187509</v>
      </c>
      <c r="U2181" s="26">
        <f>(1+Table34[[#This Row],[Net 5yrs return (mostly up to 28th of Feb 2026)]])*Table34[[#This Row],[Investment after initial charge]]*Table34[[#This Row],[Cummulative 5yrs ongoing advice charge]]-1</f>
        <v>0.28396718348348382</v>
      </c>
      <c r="V2181" s="10">
        <v>2952000</v>
      </c>
      <c r="W2181" t="s">
        <v>29051</v>
      </c>
      <c r="X2181" s="10">
        <v>2313000</v>
      </c>
      <c r="Y2181" s="30">
        <f>X2181/V2181</f>
        <v>0.78353658536585369</v>
      </c>
      <c r="AA2181" s="1" t="s">
        <v>30195</v>
      </c>
    </row>
    <row r="2182" spans="1:27" hidden="1" x14ac:dyDescent="0.25">
      <c r="A2182">
        <v>481871</v>
      </c>
      <c r="B2182" t="s">
        <v>2528</v>
      </c>
      <c r="C2182" t="s">
        <v>8648</v>
      </c>
      <c r="D2182">
        <v>1</v>
      </c>
      <c r="E2182" t="s">
        <v>2528</v>
      </c>
      <c r="G2182" s="3"/>
      <c r="H2182" s="21">
        <v>0</v>
      </c>
      <c r="I2182" s="21">
        <v>0</v>
      </c>
      <c r="J2182" s="21">
        <v>0</v>
      </c>
      <c r="K2182" s="21">
        <v>0</v>
      </c>
      <c r="L2182" s="3">
        <f t="shared" si="104"/>
        <v>0</v>
      </c>
      <c r="M2182" s="3"/>
      <c r="N2182" s="3">
        <f t="shared" si="103"/>
        <v>0</v>
      </c>
      <c r="R2182" s="89"/>
      <c r="S2182" s="89">
        <f>100%-Table34[[#This Row],[PDF_initial fee]]</f>
        <v>1</v>
      </c>
      <c r="T2182" s="89"/>
      <c r="U2182" s="26"/>
    </row>
    <row r="2183" spans="1:27" hidden="1" x14ac:dyDescent="0.25">
      <c r="A2183">
        <v>482276</v>
      </c>
      <c r="B2183" t="s">
        <v>2529</v>
      </c>
      <c r="C2183" t="s">
        <v>6958</v>
      </c>
      <c r="D2183">
        <v>2</v>
      </c>
      <c r="E2183" t="s">
        <v>2529</v>
      </c>
      <c r="F2183" t="s">
        <v>6958</v>
      </c>
      <c r="G2183" s="3"/>
      <c r="H2183" s="21">
        <v>0</v>
      </c>
      <c r="I2183" s="21">
        <v>0</v>
      </c>
      <c r="J2183" s="21">
        <v>0</v>
      </c>
      <c r="K2183" s="21">
        <v>0</v>
      </c>
      <c r="L2183" s="3">
        <f t="shared" si="104"/>
        <v>0</v>
      </c>
      <c r="M2183" s="3"/>
      <c r="N2183" s="3">
        <f t="shared" si="103"/>
        <v>0</v>
      </c>
      <c r="R2183" s="89"/>
      <c r="S2183" s="89">
        <f>100%-Table34[[#This Row],[PDF_initial fee]]</f>
        <v>1</v>
      </c>
      <c r="T2183" s="89"/>
      <c r="U2183" s="26"/>
    </row>
    <row r="2184" spans="1:27" hidden="1" x14ac:dyDescent="0.25">
      <c r="A2184">
        <v>482278</v>
      </c>
      <c r="B2184" t="s">
        <v>2530</v>
      </c>
      <c r="C2184" t="s">
        <v>6958</v>
      </c>
      <c r="D2184">
        <v>2</v>
      </c>
      <c r="E2184" t="s">
        <v>2530</v>
      </c>
      <c r="F2184" t="s">
        <v>6958</v>
      </c>
      <c r="G2184" s="3"/>
      <c r="H2184" s="21">
        <v>0</v>
      </c>
      <c r="I2184" s="21">
        <v>0</v>
      </c>
      <c r="J2184" s="21">
        <v>0</v>
      </c>
      <c r="K2184" s="21">
        <v>0</v>
      </c>
      <c r="L2184" s="3">
        <f t="shared" si="104"/>
        <v>0</v>
      </c>
      <c r="M2184" s="3"/>
      <c r="N2184" s="3">
        <f t="shared" si="103"/>
        <v>0</v>
      </c>
      <c r="R2184" s="89"/>
      <c r="S2184" s="89">
        <f>100%-Table34[[#This Row],[PDF_initial fee]]</f>
        <v>1</v>
      </c>
      <c r="T2184" s="89"/>
      <c r="U2184" s="26"/>
    </row>
    <row r="2185" spans="1:27" hidden="1" x14ac:dyDescent="0.25">
      <c r="A2185">
        <v>482323</v>
      </c>
      <c r="B2185" t="s">
        <v>2532</v>
      </c>
      <c r="C2185" t="s">
        <v>6958</v>
      </c>
      <c r="D2185">
        <v>2</v>
      </c>
      <c r="E2185" t="s">
        <v>2532</v>
      </c>
      <c r="F2185" t="s">
        <v>6958</v>
      </c>
      <c r="G2185" s="3"/>
      <c r="H2185" s="21">
        <v>0</v>
      </c>
      <c r="I2185" s="21">
        <v>0</v>
      </c>
      <c r="J2185" s="21">
        <v>0</v>
      </c>
      <c r="K2185" s="21">
        <v>0</v>
      </c>
      <c r="L2185" s="3">
        <f t="shared" si="104"/>
        <v>0</v>
      </c>
      <c r="M2185" s="3"/>
      <c r="N2185" s="3">
        <f t="shared" si="103"/>
        <v>0</v>
      </c>
      <c r="R2185" s="89"/>
      <c r="S2185" s="89">
        <f>100%-Table34[[#This Row],[PDF_initial fee]]</f>
        <v>1</v>
      </c>
      <c r="T2185" s="89"/>
      <c r="U2185" s="26"/>
    </row>
    <row r="2186" spans="1:27" hidden="1" x14ac:dyDescent="0.25">
      <c r="A2186">
        <v>482324</v>
      </c>
      <c r="B2186" t="s">
        <v>2533</v>
      </c>
      <c r="C2186" t="s">
        <v>6958</v>
      </c>
      <c r="D2186">
        <v>1</v>
      </c>
      <c r="E2186" t="s">
        <v>2533</v>
      </c>
      <c r="F2186" t="s">
        <v>6958</v>
      </c>
      <c r="G2186" s="3"/>
      <c r="H2186" s="21">
        <v>0</v>
      </c>
      <c r="I2186" s="21">
        <v>0</v>
      </c>
      <c r="J2186" s="21">
        <v>0</v>
      </c>
      <c r="K2186" s="21">
        <v>0</v>
      </c>
      <c r="L2186" s="3">
        <f t="shared" si="104"/>
        <v>0</v>
      </c>
      <c r="M2186" s="3"/>
      <c r="N2186" s="3">
        <f t="shared" ref="N2186:N2249" si="105">L2186+G2186</f>
        <v>0</v>
      </c>
      <c r="R2186" s="89"/>
      <c r="S2186" s="89">
        <f>100%-Table34[[#This Row],[PDF_initial fee]]</f>
        <v>1</v>
      </c>
      <c r="T2186" s="89"/>
      <c r="U2186" s="26"/>
    </row>
    <row r="2187" spans="1:27" hidden="1" x14ac:dyDescent="0.25">
      <c r="A2187">
        <v>482388</v>
      </c>
      <c r="B2187" t="s">
        <v>2534</v>
      </c>
      <c r="C2187" t="s">
        <v>9264</v>
      </c>
      <c r="D2187">
        <v>6</v>
      </c>
      <c r="E2187" t="s">
        <v>2534</v>
      </c>
      <c r="G2187" s="3"/>
      <c r="L2187" s="3">
        <f t="shared" si="104"/>
        <v>0</v>
      </c>
      <c r="M2187" s="3"/>
      <c r="N2187" s="3">
        <f t="shared" si="105"/>
        <v>0</v>
      </c>
      <c r="R2187" s="89"/>
      <c r="S2187" s="89">
        <f>100%-Table34[[#This Row],[PDF_initial fee]]</f>
        <v>1</v>
      </c>
      <c r="T2187" s="89"/>
      <c r="U2187" s="26"/>
    </row>
    <row r="2188" spans="1:27" hidden="1" x14ac:dyDescent="0.25">
      <c r="A2188">
        <v>482410</v>
      </c>
      <c r="B2188" t="s">
        <v>2535</v>
      </c>
      <c r="C2188" t="s">
        <v>6958</v>
      </c>
      <c r="D2188">
        <v>1</v>
      </c>
      <c r="E2188" t="s">
        <v>2535</v>
      </c>
      <c r="F2188" t="s">
        <v>6958</v>
      </c>
      <c r="G2188" s="3"/>
      <c r="H2188" s="21">
        <v>0</v>
      </c>
      <c r="I2188" s="21">
        <v>0</v>
      </c>
      <c r="J2188" s="21">
        <v>0</v>
      </c>
      <c r="K2188" s="21">
        <v>0</v>
      </c>
      <c r="L2188" s="3">
        <f t="shared" si="104"/>
        <v>0</v>
      </c>
      <c r="M2188" s="3"/>
      <c r="N2188" s="3">
        <f t="shared" si="105"/>
        <v>0</v>
      </c>
      <c r="R2188" s="89"/>
      <c r="S2188" s="89">
        <f>100%-Table34[[#This Row],[PDF_initial fee]]</f>
        <v>1</v>
      </c>
      <c r="T2188" s="89"/>
      <c r="U2188" s="26"/>
    </row>
    <row r="2189" spans="1:27" hidden="1" x14ac:dyDescent="0.25">
      <c r="A2189">
        <v>482616</v>
      </c>
      <c r="B2189" t="s">
        <v>2536</v>
      </c>
      <c r="C2189" t="s">
        <v>9836</v>
      </c>
      <c r="D2189">
        <v>1</v>
      </c>
      <c r="E2189" t="s">
        <v>2536</v>
      </c>
      <c r="G2189" s="3"/>
      <c r="H2189" s="21">
        <v>0</v>
      </c>
      <c r="I2189" s="21">
        <v>0</v>
      </c>
      <c r="J2189" s="21">
        <v>0</v>
      </c>
      <c r="K2189" s="21">
        <v>0</v>
      </c>
      <c r="L2189" s="3">
        <f t="shared" si="104"/>
        <v>0</v>
      </c>
      <c r="M2189" s="3"/>
      <c r="N2189" s="3">
        <f t="shared" si="105"/>
        <v>0</v>
      </c>
      <c r="R2189" s="89"/>
      <c r="S2189" s="89">
        <f>100%-Table34[[#This Row],[PDF_initial fee]]</f>
        <v>1</v>
      </c>
      <c r="T2189" s="89"/>
      <c r="U2189" s="26"/>
    </row>
    <row r="2190" spans="1:27" hidden="1" x14ac:dyDescent="0.25">
      <c r="A2190">
        <v>482628</v>
      </c>
      <c r="B2190" t="s">
        <v>2537</v>
      </c>
      <c r="C2190" t="s">
        <v>30196</v>
      </c>
      <c r="D2190">
        <v>3</v>
      </c>
      <c r="E2190" t="s">
        <v>2537</v>
      </c>
      <c r="G2190" s="3"/>
      <c r="H2190" s="3">
        <v>0</v>
      </c>
      <c r="I2190" s="3">
        <v>0</v>
      </c>
      <c r="J2190" s="3">
        <v>0</v>
      </c>
      <c r="K2190" s="3">
        <v>0</v>
      </c>
      <c r="L2190" s="3">
        <f t="shared" si="104"/>
        <v>0</v>
      </c>
      <c r="M2190" s="3"/>
      <c r="N2190" s="3">
        <f t="shared" si="105"/>
        <v>0</v>
      </c>
      <c r="R2190" s="89"/>
      <c r="S2190" s="89">
        <f>100%-Table34[[#This Row],[PDF_initial fee]]</f>
        <v>1</v>
      </c>
      <c r="T2190" s="89"/>
      <c r="U2190" s="26"/>
    </row>
    <row r="2191" spans="1:27" hidden="1" x14ac:dyDescent="0.25">
      <c r="A2191">
        <v>482631</v>
      </c>
      <c r="B2191" t="s">
        <v>2538</v>
      </c>
      <c r="C2191" t="s">
        <v>11219</v>
      </c>
      <c r="D2191">
        <v>4</v>
      </c>
      <c r="E2191" t="s">
        <v>2538</v>
      </c>
      <c r="G2191" s="3"/>
      <c r="L2191" s="3">
        <f t="shared" si="104"/>
        <v>0</v>
      </c>
      <c r="M2191" s="3"/>
      <c r="N2191" s="3">
        <f t="shared" si="105"/>
        <v>0</v>
      </c>
      <c r="R2191" s="89"/>
      <c r="S2191" s="89">
        <f>100%-Table34[[#This Row],[PDF_initial fee]]</f>
        <v>1</v>
      </c>
      <c r="T2191" s="89"/>
      <c r="U2191" s="26"/>
    </row>
    <row r="2192" spans="1:27" hidden="1" x14ac:dyDescent="0.25">
      <c r="A2192">
        <v>482693</v>
      </c>
      <c r="B2192" t="s">
        <v>2539</v>
      </c>
      <c r="C2192" t="s">
        <v>10819</v>
      </c>
      <c r="D2192">
        <v>1</v>
      </c>
      <c r="E2192" t="s">
        <v>2539</v>
      </c>
      <c r="G2192" s="3"/>
      <c r="H2192" s="21">
        <v>0</v>
      </c>
      <c r="I2192" s="21">
        <v>0</v>
      </c>
      <c r="J2192" s="21">
        <v>0</v>
      </c>
      <c r="K2192" s="21">
        <v>0</v>
      </c>
      <c r="L2192" s="3">
        <f t="shared" si="104"/>
        <v>0</v>
      </c>
      <c r="M2192" s="3"/>
      <c r="N2192" s="3">
        <f t="shared" si="105"/>
        <v>0</v>
      </c>
      <c r="R2192" s="89"/>
      <c r="S2192" s="89">
        <f>100%-Table34[[#This Row],[PDF_initial fee]]</f>
        <v>1</v>
      </c>
      <c r="T2192" s="89"/>
      <c r="U2192" s="26"/>
    </row>
    <row r="2193" spans="1:21" hidden="1" x14ac:dyDescent="0.25">
      <c r="A2193">
        <v>483315</v>
      </c>
      <c r="B2193" t="s">
        <v>2541</v>
      </c>
      <c r="C2193" t="s">
        <v>30197</v>
      </c>
      <c r="D2193">
        <v>2</v>
      </c>
      <c r="E2193" t="s">
        <v>2541</v>
      </c>
      <c r="G2193" s="3"/>
      <c r="L2193" s="3">
        <f t="shared" si="104"/>
        <v>0</v>
      </c>
      <c r="M2193" s="3"/>
      <c r="N2193" s="3">
        <f t="shared" si="105"/>
        <v>0</v>
      </c>
      <c r="R2193" s="89"/>
      <c r="S2193" s="89">
        <f>100%-Table34[[#This Row],[PDF_initial fee]]</f>
        <v>1</v>
      </c>
      <c r="T2193" s="89"/>
      <c r="U2193" s="26"/>
    </row>
    <row r="2194" spans="1:21" hidden="1" x14ac:dyDescent="0.25">
      <c r="A2194">
        <v>483403</v>
      </c>
      <c r="B2194" t="s">
        <v>2542</v>
      </c>
      <c r="C2194" t="s">
        <v>30198</v>
      </c>
      <c r="D2194">
        <v>10</v>
      </c>
      <c r="E2194" t="s">
        <v>2542</v>
      </c>
      <c r="G2194" s="3"/>
      <c r="H2194" s="3">
        <v>0</v>
      </c>
      <c r="I2194" s="3">
        <v>0</v>
      </c>
      <c r="J2194" s="3">
        <v>0</v>
      </c>
      <c r="K2194" s="3">
        <v>0</v>
      </c>
      <c r="L2194" s="3">
        <f t="shared" si="104"/>
        <v>0</v>
      </c>
      <c r="M2194" s="3"/>
      <c r="N2194" s="3">
        <f t="shared" si="105"/>
        <v>0</v>
      </c>
      <c r="R2194" s="89"/>
      <c r="S2194" s="89">
        <f>100%-Table34[[#This Row],[PDF_initial fee]]</f>
        <v>1</v>
      </c>
      <c r="T2194" s="89"/>
      <c r="U2194" s="26"/>
    </row>
    <row r="2195" spans="1:21" hidden="1" x14ac:dyDescent="0.25">
      <c r="A2195">
        <v>483503</v>
      </c>
      <c r="B2195" t="s">
        <v>2543</v>
      </c>
      <c r="C2195" t="s">
        <v>30199</v>
      </c>
      <c r="D2195">
        <v>0</v>
      </c>
      <c r="E2195" t="s">
        <v>2543</v>
      </c>
      <c r="F2195" t="s">
        <v>29136</v>
      </c>
      <c r="G2195" s="3"/>
      <c r="H2195" s="21">
        <v>0</v>
      </c>
      <c r="I2195" s="21">
        <v>0</v>
      </c>
      <c r="J2195" s="21">
        <v>0</v>
      </c>
      <c r="K2195" s="21">
        <v>0</v>
      </c>
      <c r="L2195" s="3">
        <f t="shared" si="104"/>
        <v>0</v>
      </c>
      <c r="M2195" s="3"/>
      <c r="N2195" s="3">
        <f t="shared" si="105"/>
        <v>0</v>
      </c>
      <c r="O2195" s="21"/>
      <c r="R2195" s="89"/>
      <c r="S2195" s="89">
        <f>100%-Table34[[#This Row],[PDF_initial fee]]</f>
        <v>1</v>
      </c>
      <c r="T2195" s="89"/>
      <c r="U2195" s="26"/>
    </row>
    <row r="2196" spans="1:21" hidden="1" x14ac:dyDescent="0.25">
      <c r="A2196">
        <v>483710</v>
      </c>
      <c r="B2196" t="s">
        <v>2544</v>
      </c>
      <c r="C2196" t="s">
        <v>6958</v>
      </c>
      <c r="D2196">
        <v>3</v>
      </c>
      <c r="E2196" t="s">
        <v>2544</v>
      </c>
      <c r="F2196" t="s">
        <v>6958</v>
      </c>
      <c r="G2196" s="3"/>
      <c r="H2196" s="21">
        <v>0</v>
      </c>
      <c r="I2196" s="21">
        <v>0</v>
      </c>
      <c r="J2196" s="21">
        <v>0</v>
      </c>
      <c r="K2196" s="21">
        <v>0</v>
      </c>
      <c r="L2196" s="3">
        <f t="shared" si="104"/>
        <v>0</v>
      </c>
      <c r="M2196" s="3"/>
      <c r="N2196" s="3">
        <f t="shared" si="105"/>
        <v>0</v>
      </c>
      <c r="R2196" s="89"/>
      <c r="S2196" s="89">
        <f>100%-Table34[[#This Row],[PDF_initial fee]]</f>
        <v>1</v>
      </c>
      <c r="T2196" s="89"/>
      <c r="U2196" s="26"/>
    </row>
    <row r="2197" spans="1:21" hidden="1" x14ac:dyDescent="0.25">
      <c r="A2197">
        <v>483817</v>
      </c>
      <c r="B2197" t="s">
        <v>2545</v>
      </c>
      <c r="C2197" t="s">
        <v>11459</v>
      </c>
      <c r="D2197">
        <v>6</v>
      </c>
      <c r="E2197" t="s">
        <v>2545</v>
      </c>
      <c r="G2197" s="3"/>
      <c r="H2197" s="21">
        <v>0</v>
      </c>
      <c r="I2197" s="21">
        <v>0</v>
      </c>
      <c r="J2197" s="21">
        <v>0</v>
      </c>
      <c r="K2197" s="21">
        <v>0</v>
      </c>
      <c r="L2197" s="3">
        <f t="shared" si="104"/>
        <v>0</v>
      </c>
      <c r="M2197" s="3"/>
      <c r="N2197" s="3">
        <f t="shared" si="105"/>
        <v>0</v>
      </c>
      <c r="R2197" s="89"/>
      <c r="S2197" s="89">
        <f>100%-Table34[[#This Row],[PDF_initial fee]]</f>
        <v>1</v>
      </c>
      <c r="T2197" s="89"/>
      <c r="U2197" s="26"/>
    </row>
    <row r="2198" spans="1:21" hidden="1" x14ac:dyDescent="0.25">
      <c r="A2198">
        <v>483868</v>
      </c>
      <c r="B2198" t="s">
        <v>2546</v>
      </c>
      <c r="C2198" t="s">
        <v>30200</v>
      </c>
      <c r="D2198">
        <v>5</v>
      </c>
      <c r="E2198" t="s">
        <v>2546</v>
      </c>
      <c r="G2198" s="3"/>
      <c r="H2198" s="21">
        <v>0</v>
      </c>
      <c r="I2198" s="21">
        <v>0</v>
      </c>
      <c r="J2198" s="21">
        <v>0</v>
      </c>
      <c r="K2198" s="21">
        <v>0</v>
      </c>
      <c r="L2198" s="3">
        <f t="shared" si="104"/>
        <v>0</v>
      </c>
      <c r="M2198" s="3"/>
      <c r="N2198" s="3">
        <f t="shared" si="105"/>
        <v>0</v>
      </c>
      <c r="O2198" s="21"/>
      <c r="R2198" s="89"/>
      <c r="S2198" s="89">
        <f>100%-Table34[[#This Row],[PDF_initial fee]]</f>
        <v>1</v>
      </c>
      <c r="T2198" s="89"/>
      <c r="U2198" s="26"/>
    </row>
    <row r="2199" spans="1:21" hidden="1" x14ac:dyDescent="0.25">
      <c r="A2199">
        <v>483959</v>
      </c>
      <c r="B2199" t="s">
        <v>2547</v>
      </c>
      <c r="C2199" t="s">
        <v>6958</v>
      </c>
      <c r="D2199">
        <v>1</v>
      </c>
      <c r="E2199" t="s">
        <v>2547</v>
      </c>
      <c r="F2199" t="s">
        <v>6958</v>
      </c>
      <c r="G2199" s="3"/>
      <c r="L2199" s="3">
        <f t="shared" si="104"/>
        <v>0</v>
      </c>
      <c r="M2199" s="3"/>
      <c r="N2199" s="3">
        <f t="shared" si="105"/>
        <v>0</v>
      </c>
      <c r="R2199" s="89"/>
      <c r="S2199" s="89">
        <f>100%-Table34[[#This Row],[PDF_initial fee]]</f>
        <v>1</v>
      </c>
      <c r="T2199" s="89"/>
      <c r="U2199" s="26"/>
    </row>
    <row r="2200" spans="1:21" hidden="1" x14ac:dyDescent="0.25">
      <c r="A2200">
        <v>484213</v>
      </c>
      <c r="B2200" t="s">
        <v>2548</v>
      </c>
      <c r="C2200" t="s">
        <v>6958</v>
      </c>
      <c r="D2200">
        <v>1</v>
      </c>
      <c r="E2200" t="s">
        <v>2548</v>
      </c>
      <c r="F2200" t="s">
        <v>6958</v>
      </c>
      <c r="G2200" s="3"/>
      <c r="H2200" s="21">
        <v>0</v>
      </c>
      <c r="I2200" s="21">
        <v>0</v>
      </c>
      <c r="J2200" s="21">
        <v>0</v>
      </c>
      <c r="K2200" s="21">
        <v>0</v>
      </c>
      <c r="L2200" s="3">
        <f t="shared" si="104"/>
        <v>0</v>
      </c>
      <c r="M2200" s="3"/>
      <c r="N2200" s="3">
        <f t="shared" si="105"/>
        <v>0</v>
      </c>
      <c r="R2200" s="89"/>
      <c r="S2200" s="89">
        <f>100%-Table34[[#This Row],[PDF_initial fee]]</f>
        <v>1</v>
      </c>
      <c r="T2200" s="89"/>
      <c r="U2200" s="26"/>
    </row>
    <row r="2201" spans="1:21" hidden="1" x14ac:dyDescent="0.25">
      <c r="A2201">
        <v>484300</v>
      </c>
      <c r="B2201" t="s">
        <v>2549</v>
      </c>
      <c r="C2201" t="s">
        <v>11820</v>
      </c>
      <c r="D2201">
        <v>2</v>
      </c>
      <c r="E2201" t="s">
        <v>2549</v>
      </c>
      <c r="G2201" s="3"/>
      <c r="H2201" s="21">
        <v>0</v>
      </c>
      <c r="I2201" s="21">
        <v>0</v>
      </c>
      <c r="J2201" s="21">
        <v>0</v>
      </c>
      <c r="K2201" s="21">
        <v>0</v>
      </c>
      <c r="L2201" s="3">
        <f t="shared" si="104"/>
        <v>0</v>
      </c>
      <c r="M2201" s="3"/>
      <c r="N2201" s="3">
        <f t="shared" si="105"/>
        <v>0</v>
      </c>
      <c r="R2201" s="89"/>
      <c r="S2201" s="89">
        <f>100%-Table34[[#This Row],[PDF_initial fee]]</f>
        <v>1</v>
      </c>
      <c r="T2201" s="89"/>
      <c r="U2201" s="26"/>
    </row>
    <row r="2202" spans="1:21" hidden="1" x14ac:dyDescent="0.25">
      <c r="A2202">
        <v>484308</v>
      </c>
      <c r="B2202" t="s">
        <v>2550</v>
      </c>
      <c r="C2202" t="s">
        <v>10893</v>
      </c>
      <c r="D2202">
        <v>1</v>
      </c>
      <c r="E2202" t="s">
        <v>2550</v>
      </c>
      <c r="G2202" s="3"/>
      <c r="H2202" s="21">
        <v>0</v>
      </c>
      <c r="I2202" s="21">
        <v>0</v>
      </c>
      <c r="J2202" s="21">
        <v>0</v>
      </c>
      <c r="K2202" s="21">
        <v>0</v>
      </c>
      <c r="L2202" s="3">
        <f t="shared" si="104"/>
        <v>0</v>
      </c>
      <c r="M2202" s="3"/>
      <c r="N2202" s="3">
        <f t="shared" si="105"/>
        <v>0</v>
      </c>
      <c r="R2202" s="89"/>
      <c r="S2202" s="89">
        <f>100%-Table34[[#This Row],[PDF_initial fee]]</f>
        <v>1</v>
      </c>
      <c r="T2202" s="89"/>
      <c r="U2202" s="26"/>
    </row>
    <row r="2203" spans="1:21" hidden="1" x14ac:dyDescent="0.25">
      <c r="A2203">
        <v>484324</v>
      </c>
      <c r="B2203" t="s">
        <v>2551</v>
      </c>
      <c r="C2203" t="s">
        <v>9839</v>
      </c>
      <c r="D2203">
        <v>6</v>
      </c>
      <c r="E2203" t="s">
        <v>2551</v>
      </c>
      <c r="G2203" s="3"/>
      <c r="H2203" s="21">
        <v>0</v>
      </c>
      <c r="I2203" s="21">
        <v>0</v>
      </c>
      <c r="J2203" s="21">
        <v>0</v>
      </c>
      <c r="K2203" s="21">
        <v>0</v>
      </c>
      <c r="L2203" s="3">
        <f t="shared" si="104"/>
        <v>0</v>
      </c>
      <c r="M2203" s="3"/>
      <c r="N2203" s="3">
        <f t="shared" si="105"/>
        <v>0</v>
      </c>
      <c r="R2203" s="89"/>
      <c r="S2203" s="89">
        <f>100%-Table34[[#This Row],[PDF_initial fee]]</f>
        <v>1</v>
      </c>
      <c r="T2203" s="89"/>
      <c r="U2203" s="26"/>
    </row>
    <row r="2204" spans="1:21" hidden="1" x14ac:dyDescent="0.25">
      <c r="A2204">
        <v>484325</v>
      </c>
      <c r="B2204" t="s">
        <v>2552</v>
      </c>
      <c r="C2204" t="s">
        <v>30201</v>
      </c>
      <c r="D2204">
        <v>1</v>
      </c>
      <c r="E2204" t="s">
        <v>2552</v>
      </c>
      <c r="G2204" s="3"/>
      <c r="H2204" s="3">
        <v>0</v>
      </c>
      <c r="I2204" s="3">
        <v>0</v>
      </c>
      <c r="J2204" s="3">
        <v>0</v>
      </c>
      <c r="K2204" s="3">
        <v>0</v>
      </c>
      <c r="L2204" s="3">
        <f t="shared" si="104"/>
        <v>0</v>
      </c>
      <c r="M2204" s="3"/>
      <c r="N2204" s="3">
        <f t="shared" si="105"/>
        <v>0</v>
      </c>
      <c r="R2204" s="89"/>
      <c r="S2204" s="89">
        <f>100%-Table34[[#This Row],[PDF_initial fee]]</f>
        <v>1</v>
      </c>
      <c r="T2204" s="89"/>
      <c r="U2204" s="26"/>
    </row>
    <row r="2205" spans="1:21" hidden="1" x14ac:dyDescent="0.25">
      <c r="A2205">
        <v>484450</v>
      </c>
      <c r="B2205" t="s">
        <v>2553</v>
      </c>
      <c r="C2205" t="s">
        <v>30202</v>
      </c>
      <c r="D2205">
        <v>11</v>
      </c>
      <c r="E2205" t="s">
        <v>2553</v>
      </c>
      <c r="G2205" s="3"/>
      <c r="H2205" s="21">
        <v>0</v>
      </c>
      <c r="I2205" s="21">
        <v>0</v>
      </c>
      <c r="J2205" s="21">
        <v>0</v>
      </c>
      <c r="K2205" s="21">
        <v>0</v>
      </c>
      <c r="L2205" s="3">
        <f t="shared" si="104"/>
        <v>0</v>
      </c>
      <c r="M2205" s="3"/>
      <c r="N2205" s="3">
        <f t="shared" si="105"/>
        <v>0</v>
      </c>
      <c r="O2205" s="21"/>
      <c r="R2205" s="89"/>
      <c r="S2205" s="89">
        <f>100%-Table34[[#This Row],[PDF_initial fee]]</f>
        <v>1</v>
      </c>
      <c r="T2205" s="89"/>
      <c r="U2205" s="26"/>
    </row>
    <row r="2206" spans="1:21" hidden="1" x14ac:dyDescent="0.25">
      <c r="A2206">
        <v>484682</v>
      </c>
      <c r="B2206" t="s">
        <v>2554</v>
      </c>
      <c r="C2206" t="s">
        <v>10200</v>
      </c>
      <c r="D2206">
        <v>1</v>
      </c>
      <c r="E2206" t="s">
        <v>2554</v>
      </c>
      <c r="G2206" s="3"/>
      <c r="H2206" s="21">
        <v>0</v>
      </c>
      <c r="I2206" s="21">
        <v>0</v>
      </c>
      <c r="J2206" s="21">
        <v>0</v>
      </c>
      <c r="K2206" s="21">
        <v>0</v>
      </c>
      <c r="L2206" s="3">
        <f t="shared" si="104"/>
        <v>0</v>
      </c>
      <c r="M2206" s="3"/>
      <c r="N2206" s="3">
        <f t="shared" si="105"/>
        <v>0</v>
      </c>
      <c r="R2206" s="89"/>
      <c r="S2206" s="89">
        <f>100%-Table34[[#This Row],[PDF_initial fee]]</f>
        <v>1</v>
      </c>
      <c r="T2206" s="89"/>
      <c r="U2206" s="26"/>
    </row>
    <row r="2207" spans="1:21" hidden="1" x14ac:dyDescent="0.25">
      <c r="A2207">
        <v>484813</v>
      </c>
      <c r="B2207" t="s">
        <v>2555</v>
      </c>
      <c r="C2207" t="s">
        <v>12207</v>
      </c>
      <c r="D2207">
        <v>1</v>
      </c>
      <c r="E2207" t="s">
        <v>2555</v>
      </c>
      <c r="G2207" s="3"/>
      <c r="H2207" s="39"/>
      <c r="I2207" s="39"/>
      <c r="J2207" s="39"/>
      <c r="K2207" s="39"/>
      <c r="L2207" s="3">
        <f t="shared" si="104"/>
        <v>0</v>
      </c>
      <c r="M2207" s="3"/>
      <c r="N2207" s="3">
        <f t="shared" si="105"/>
        <v>0</v>
      </c>
      <c r="R2207" s="89"/>
      <c r="S2207" s="89">
        <f>100%-Table34[[#This Row],[PDF_initial fee]]</f>
        <v>1</v>
      </c>
      <c r="T2207" s="89"/>
      <c r="U2207" s="26"/>
    </row>
    <row r="2208" spans="1:21" hidden="1" x14ac:dyDescent="0.25">
      <c r="A2208">
        <v>484860</v>
      </c>
      <c r="B2208" t="s">
        <v>2556</v>
      </c>
      <c r="C2208" t="s">
        <v>9914</v>
      </c>
      <c r="D2208">
        <v>4</v>
      </c>
      <c r="E2208" t="s">
        <v>2556</v>
      </c>
      <c r="G2208" s="3"/>
      <c r="H2208" s="21">
        <v>0</v>
      </c>
      <c r="I2208" s="21">
        <v>0</v>
      </c>
      <c r="J2208" s="21">
        <v>0</v>
      </c>
      <c r="K2208" s="21">
        <v>0</v>
      </c>
      <c r="L2208" s="3">
        <f t="shared" si="104"/>
        <v>0</v>
      </c>
      <c r="M2208" s="3"/>
      <c r="N2208" s="3">
        <f t="shared" si="105"/>
        <v>0</v>
      </c>
      <c r="R2208" s="89"/>
      <c r="S2208" s="89">
        <f>100%-Table34[[#This Row],[PDF_initial fee]]</f>
        <v>1</v>
      </c>
      <c r="T2208" s="89"/>
      <c r="U2208" s="26"/>
    </row>
    <row r="2209" spans="1:27" hidden="1" x14ac:dyDescent="0.25">
      <c r="A2209">
        <v>484938</v>
      </c>
      <c r="B2209" t="s">
        <v>2557</v>
      </c>
      <c r="C2209" t="s">
        <v>12072</v>
      </c>
      <c r="D2209">
        <v>1</v>
      </c>
      <c r="E2209" t="s">
        <v>2557</v>
      </c>
      <c r="G2209" s="3"/>
      <c r="H2209" s="21">
        <v>0</v>
      </c>
      <c r="I2209" s="21">
        <v>0</v>
      </c>
      <c r="J2209" s="21">
        <v>0</v>
      </c>
      <c r="K2209" s="21">
        <v>0</v>
      </c>
      <c r="L2209" s="3">
        <f t="shared" si="104"/>
        <v>0</v>
      </c>
      <c r="M2209" s="3"/>
      <c r="N2209" s="3">
        <f t="shared" si="105"/>
        <v>0</v>
      </c>
      <c r="R2209" s="89"/>
      <c r="S2209" s="89">
        <f>100%-Table34[[#This Row],[PDF_initial fee]]</f>
        <v>1</v>
      </c>
      <c r="T2209" s="89"/>
      <c r="U2209" s="26"/>
    </row>
    <row r="2210" spans="1:27" x14ac:dyDescent="0.25">
      <c r="A2210">
        <v>408210</v>
      </c>
      <c r="B2210" t="s">
        <v>149</v>
      </c>
      <c r="C2210" t="s">
        <v>30203</v>
      </c>
      <c r="D2210">
        <v>4</v>
      </c>
      <c r="E2210" t="s">
        <v>149</v>
      </c>
      <c r="F2210" t="s">
        <v>3</v>
      </c>
      <c r="G2210" s="3">
        <v>1.4E-3</v>
      </c>
      <c r="H2210" s="3">
        <v>2.5000000000000001E-2</v>
      </c>
      <c r="I2210" s="3">
        <v>0.01</v>
      </c>
      <c r="J2210" s="6">
        <v>0</v>
      </c>
      <c r="K2210" s="6">
        <v>0</v>
      </c>
      <c r="L2210" s="3">
        <f t="shared" si="104"/>
        <v>3.5000000000000003E-2</v>
      </c>
      <c r="M2210" s="3"/>
      <c r="N2210" s="3">
        <f t="shared" si="105"/>
        <v>3.6400000000000002E-2</v>
      </c>
      <c r="P2210" s="1" t="s">
        <v>30204</v>
      </c>
      <c r="Q2210" t="s">
        <v>31787</v>
      </c>
      <c r="R2210" s="89">
        <v>0.33333333333333348</v>
      </c>
      <c r="S2210" s="89">
        <f>100%-Table34[[#This Row],[InitialFee]]</f>
        <v>0.97499999999999998</v>
      </c>
      <c r="T2210" s="89">
        <f>(1-Table34[[#This Row],[OngoingFee (plus Platform fee)]])^5</f>
        <v>0.95099004989999991</v>
      </c>
      <c r="U2210" s="26">
        <f>(1+Table34[[#This Row],[Net 5yrs return (mostly up to 28th of Feb 2026)]])*Table34[[#This Row],[Investment after initial charge]]*Table34[[#This Row],[Cummulative 5yrs ongoing advice charge]]-1</f>
        <v>0.23628706486999995</v>
      </c>
      <c r="V2210" s="10">
        <f>329846+9916</f>
        <v>339762</v>
      </c>
      <c r="W2210" t="s">
        <v>29051</v>
      </c>
      <c r="X2210" s="10">
        <v>192395</v>
      </c>
      <c r="Y2210" s="30">
        <f>X2210/V2210</f>
        <v>0.56626403188114027</v>
      </c>
      <c r="AA2210" s="1" t="s">
        <v>30205</v>
      </c>
    </row>
    <row r="2211" spans="1:27" hidden="1" x14ac:dyDescent="0.25">
      <c r="A2211">
        <v>485058</v>
      </c>
      <c r="B2211" t="s">
        <v>2558</v>
      </c>
      <c r="C2211" t="s">
        <v>30206</v>
      </c>
      <c r="D2211">
        <v>5</v>
      </c>
      <c r="E2211" t="s">
        <v>2558</v>
      </c>
      <c r="G2211" s="3"/>
      <c r="H2211" s="21">
        <v>0</v>
      </c>
      <c r="I2211" s="21">
        <v>0</v>
      </c>
      <c r="J2211" s="21">
        <v>0</v>
      </c>
      <c r="K2211" s="21">
        <v>0</v>
      </c>
      <c r="L2211" s="3">
        <f t="shared" si="104"/>
        <v>0</v>
      </c>
      <c r="M2211" s="3"/>
      <c r="N2211" s="3">
        <f t="shared" si="105"/>
        <v>0</v>
      </c>
      <c r="O2211" s="21"/>
      <c r="R2211" s="89"/>
      <c r="S2211" s="89">
        <f>100%-Table34[[#This Row],[PDF_initial fee]]</f>
        <v>1</v>
      </c>
      <c r="T2211" s="89"/>
      <c r="U2211" s="26"/>
    </row>
    <row r="2212" spans="1:27" hidden="1" x14ac:dyDescent="0.25">
      <c r="A2212">
        <v>485157</v>
      </c>
      <c r="B2212" t="s">
        <v>2559</v>
      </c>
      <c r="C2212" t="s">
        <v>30207</v>
      </c>
      <c r="D2212">
        <v>2</v>
      </c>
      <c r="E2212" t="s">
        <v>2559</v>
      </c>
      <c r="G2212" s="3"/>
      <c r="H2212" s="3">
        <v>0</v>
      </c>
      <c r="I2212" s="3">
        <v>0</v>
      </c>
      <c r="J2212" s="3">
        <v>0</v>
      </c>
      <c r="K2212" s="3">
        <v>0</v>
      </c>
      <c r="L2212" s="3">
        <f t="shared" si="104"/>
        <v>0</v>
      </c>
      <c r="M2212" s="3"/>
      <c r="N2212" s="3">
        <f t="shared" si="105"/>
        <v>0</v>
      </c>
      <c r="R2212" s="89"/>
      <c r="S2212" s="89">
        <f>100%-Table34[[#This Row],[PDF_initial fee]]</f>
        <v>1</v>
      </c>
      <c r="T2212" s="89"/>
      <c r="U2212" s="26"/>
    </row>
    <row r="2213" spans="1:27" hidden="1" x14ac:dyDescent="0.25">
      <c r="A2213">
        <v>485258</v>
      </c>
      <c r="B2213" t="s">
        <v>2560</v>
      </c>
      <c r="C2213" t="s">
        <v>30208</v>
      </c>
      <c r="D2213">
        <v>5</v>
      </c>
      <c r="E2213" t="s">
        <v>2560</v>
      </c>
      <c r="G2213" s="3"/>
      <c r="H2213" s="3">
        <v>0</v>
      </c>
      <c r="I2213" s="3">
        <v>0</v>
      </c>
      <c r="J2213" s="3">
        <v>0</v>
      </c>
      <c r="K2213" s="3">
        <v>0</v>
      </c>
      <c r="L2213" s="3">
        <f t="shared" si="104"/>
        <v>0</v>
      </c>
      <c r="M2213" s="3"/>
      <c r="N2213" s="3">
        <f t="shared" si="105"/>
        <v>0</v>
      </c>
      <c r="R2213" s="89"/>
      <c r="S2213" s="89">
        <f>100%-Table34[[#This Row],[PDF_initial fee]]</f>
        <v>1</v>
      </c>
      <c r="T2213" s="89"/>
      <c r="U2213" s="26"/>
    </row>
    <row r="2214" spans="1:27" hidden="1" x14ac:dyDescent="0.25">
      <c r="A2214">
        <v>485301</v>
      </c>
      <c r="B2214" t="s">
        <v>2561</v>
      </c>
      <c r="C2214" t="s">
        <v>10207</v>
      </c>
      <c r="D2214">
        <v>1</v>
      </c>
      <c r="E2214" t="s">
        <v>2561</v>
      </c>
      <c r="G2214" s="3"/>
      <c r="H2214" s="21">
        <v>0</v>
      </c>
      <c r="I2214" s="21">
        <v>0</v>
      </c>
      <c r="J2214" s="21">
        <v>0</v>
      </c>
      <c r="K2214" s="21">
        <v>0</v>
      </c>
      <c r="L2214" s="3">
        <f t="shared" si="104"/>
        <v>0</v>
      </c>
      <c r="M2214" s="3"/>
      <c r="N2214" s="3">
        <f t="shared" si="105"/>
        <v>0</v>
      </c>
      <c r="R2214" s="89"/>
      <c r="S2214" s="89">
        <f>100%-Table34[[#This Row],[PDF_initial fee]]</f>
        <v>1</v>
      </c>
      <c r="T2214" s="89"/>
      <c r="U2214" s="26"/>
    </row>
    <row r="2215" spans="1:27" hidden="1" x14ac:dyDescent="0.25">
      <c r="A2215">
        <v>485351</v>
      </c>
      <c r="B2215" t="s">
        <v>2562</v>
      </c>
      <c r="C2215" t="s">
        <v>30209</v>
      </c>
      <c r="D2215">
        <v>17</v>
      </c>
      <c r="E2215" t="s">
        <v>2562</v>
      </c>
      <c r="G2215" s="3"/>
      <c r="H2215" s="3">
        <v>0</v>
      </c>
      <c r="I2215" s="3">
        <v>0</v>
      </c>
      <c r="J2215" s="3">
        <v>0</v>
      </c>
      <c r="K2215" s="3">
        <v>0</v>
      </c>
      <c r="L2215" s="3">
        <f t="shared" si="104"/>
        <v>0</v>
      </c>
      <c r="M2215" s="3"/>
      <c r="N2215" s="3">
        <f t="shared" si="105"/>
        <v>0</v>
      </c>
      <c r="R2215" s="89"/>
      <c r="S2215" s="89">
        <f>100%-Table34[[#This Row],[PDF_initial fee]]</f>
        <v>1</v>
      </c>
      <c r="T2215" s="89"/>
      <c r="U2215" s="26"/>
    </row>
    <row r="2216" spans="1:27" hidden="1" x14ac:dyDescent="0.25">
      <c r="A2216">
        <v>485423</v>
      </c>
      <c r="B2216" t="s">
        <v>2563</v>
      </c>
      <c r="C2216" t="s">
        <v>6958</v>
      </c>
      <c r="D2216">
        <v>5</v>
      </c>
      <c r="E2216" t="s">
        <v>2563</v>
      </c>
      <c r="F2216" t="s">
        <v>6958</v>
      </c>
      <c r="G2216" s="3"/>
      <c r="H2216" s="21">
        <v>0</v>
      </c>
      <c r="I2216" s="21">
        <v>0</v>
      </c>
      <c r="J2216" s="21">
        <v>0</v>
      </c>
      <c r="K2216" s="21">
        <v>0</v>
      </c>
      <c r="L2216" s="3">
        <f t="shared" si="104"/>
        <v>0</v>
      </c>
      <c r="M2216" s="3"/>
      <c r="N2216" s="3">
        <f t="shared" si="105"/>
        <v>0</v>
      </c>
      <c r="R2216" s="89"/>
      <c r="S2216" s="89">
        <f>100%-Table34[[#This Row],[PDF_initial fee]]</f>
        <v>1</v>
      </c>
      <c r="T2216" s="89"/>
      <c r="U2216" s="26"/>
    </row>
    <row r="2217" spans="1:27" hidden="1" x14ac:dyDescent="0.25">
      <c r="A2217">
        <v>485546</v>
      </c>
      <c r="B2217" t="s">
        <v>2564</v>
      </c>
      <c r="C2217" t="s">
        <v>9246</v>
      </c>
      <c r="D2217">
        <v>3</v>
      </c>
      <c r="E2217" t="s">
        <v>2564</v>
      </c>
      <c r="G2217" s="3"/>
      <c r="H2217" s="21">
        <v>0</v>
      </c>
      <c r="I2217" s="21">
        <v>0</v>
      </c>
      <c r="J2217" s="21">
        <v>0</v>
      </c>
      <c r="K2217" s="21">
        <v>0</v>
      </c>
      <c r="L2217" s="3">
        <f t="shared" si="104"/>
        <v>0</v>
      </c>
      <c r="M2217" s="3"/>
      <c r="N2217" s="3">
        <f t="shared" si="105"/>
        <v>0</v>
      </c>
      <c r="R2217" s="89"/>
      <c r="S2217" s="89">
        <f>100%-Table34[[#This Row],[PDF_initial fee]]</f>
        <v>1</v>
      </c>
      <c r="T2217" s="89"/>
      <c r="U2217" s="26"/>
    </row>
    <row r="2218" spans="1:27" hidden="1" x14ac:dyDescent="0.25">
      <c r="A2218">
        <v>485690</v>
      </c>
      <c r="B2218" t="s">
        <v>2565</v>
      </c>
      <c r="C2218" t="s">
        <v>11318</v>
      </c>
      <c r="D2218">
        <v>4</v>
      </c>
      <c r="E2218" t="s">
        <v>2565</v>
      </c>
      <c r="G2218" s="3"/>
      <c r="H2218" s="21">
        <v>0</v>
      </c>
      <c r="I2218" s="21">
        <v>0</v>
      </c>
      <c r="J2218" s="21">
        <v>0</v>
      </c>
      <c r="K2218" s="21">
        <v>0</v>
      </c>
      <c r="L2218" s="3">
        <f t="shared" si="104"/>
        <v>0</v>
      </c>
      <c r="M2218" s="3"/>
      <c r="N2218" s="3">
        <f t="shared" si="105"/>
        <v>0</v>
      </c>
      <c r="R2218" s="89"/>
      <c r="S2218" s="89">
        <f>100%-Table34[[#This Row],[PDF_initial fee]]</f>
        <v>1</v>
      </c>
      <c r="T2218" s="89"/>
      <c r="U2218" s="26"/>
    </row>
    <row r="2219" spans="1:27" hidden="1" x14ac:dyDescent="0.25">
      <c r="A2219">
        <v>485835</v>
      </c>
      <c r="B2219" t="s">
        <v>2566</v>
      </c>
      <c r="C2219" t="s">
        <v>6958</v>
      </c>
      <c r="D2219">
        <v>2</v>
      </c>
      <c r="E2219" t="s">
        <v>2566</v>
      </c>
      <c r="F2219" t="s">
        <v>6958</v>
      </c>
      <c r="G2219" s="3"/>
      <c r="H2219" s="21">
        <v>0</v>
      </c>
      <c r="I2219" s="21">
        <v>0</v>
      </c>
      <c r="J2219" s="21">
        <v>0</v>
      </c>
      <c r="K2219" s="21">
        <v>0</v>
      </c>
      <c r="L2219" s="3">
        <f t="shared" si="104"/>
        <v>0</v>
      </c>
      <c r="M2219" s="3"/>
      <c r="N2219" s="3">
        <f t="shared" si="105"/>
        <v>0</v>
      </c>
      <c r="R2219" s="89"/>
      <c r="S2219" s="89">
        <f>100%-Table34[[#This Row],[PDF_initial fee]]</f>
        <v>1</v>
      </c>
      <c r="T2219" s="89"/>
      <c r="U2219" s="26"/>
    </row>
    <row r="2220" spans="1:27" hidden="1" x14ac:dyDescent="0.25">
      <c r="A2220">
        <v>485852</v>
      </c>
      <c r="B2220" t="s">
        <v>2567</v>
      </c>
      <c r="C2220" t="s">
        <v>6958</v>
      </c>
      <c r="D2220">
        <v>7</v>
      </c>
      <c r="E2220" t="s">
        <v>2567</v>
      </c>
      <c r="F2220" t="s">
        <v>6958</v>
      </c>
      <c r="G2220" s="3"/>
      <c r="H2220" s="21">
        <v>0</v>
      </c>
      <c r="I2220" s="21">
        <v>0</v>
      </c>
      <c r="J2220" s="21">
        <v>0</v>
      </c>
      <c r="K2220" s="21">
        <v>0</v>
      </c>
      <c r="L2220" s="3">
        <f t="shared" ref="L2220:L2283" si="106">SUM(H2220:K2220)</f>
        <v>0</v>
      </c>
      <c r="M2220" s="3"/>
      <c r="N2220" s="3">
        <f t="shared" si="105"/>
        <v>0</v>
      </c>
      <c r="R2220" s="89"/>
      <c r="S2220" s="89">
        <f>100%-Table34[[#This Row],[PDF_initial fee]]</f>
        <v>1</v>
      </c>
      <c r="T2220" s="89"/>
      <c r="U2220" s="26"/>
    </row>
    <row r="2221" spans="1:27" hidden="1" x14ac:dyDescent="0.25">
      <c r="A2221">
        <v>485877</v>
      </c>
      <c r="B2221" t="s">
        <v>2568</v>
      </c>
      <c r="C2221" t="s">
        <v>9529</v>
      </c>
      <c r="D2221">
        <v>4</v>
      </c>
      <c r="E2221" t="s">
        <v>2568</v>
      </c>
      <c r="G2221" s="3"/>
      <c r="H2221" s="21">
        <v>0</v>
      </c>
      <c r="I2221" s="21">
        <v>0</v>
      </c>
      <c r="J2221" s="21">
        <v>0</v>
      </c>
      <c r="K2221" s="21">
        <v>0</v>
      </c>
      <c r="L2221" s="3">
        <f t="shared" si="106"/>
        <v>0</v>
      </c>
      <c r="M2221" s="3"/>
      <c r="N2221" s="3">
        <f t="shared" si="105"/>
        <v>0</v>
      </c>
      <c r="R2221" s="89"/>
      <c r="S2221" s="89">
        <f>100%-Table34[[#This Row],[PDF_initial fee]]</f>
        <v>1</v>
      </c>
      <c r="T2221" s="89"/>
      <c r="U2221" s="26"/>
    </row>
    <row r="2222" spans="1:27" hidden="1" x14ac:dyDescent="0.25">
      <c r="A2222">
        <v>485883</v>
      </c>
      <c r="B2222" t="s">
        <v>2569</v>
      </c>
      <c r="C2222" t="s">
        <v>8832</v>
      </c>
      <c r="D2222">
        <v>1</v>
      </c>
      <c r="E2222" t="s">
        <v>2569</v>
      </c>
      <c r="G2222" s="3"/>
      <c r="H2222" s="21">
        <v>0</v>
      </c>
      <c r="I2222" s="21">
        <v>0</v>
      </c>
      <c r="J2222" s="21">
        <v>0</v>
      </c>
      <c r="K2222" s="21">
        <v>0</v>
      </c>
      <c r="L2222" s="3">
        <f t="shared" si="106"/>
        <v>0</v>
      </c>
      <c r="M2222" s="3"/>
      <c r="N2222" s="3">
        <f t="shared" si="105"/>
        <v>0</v>
      </c>
      <c r="R2222" s="89"/>
      <c r="S2222" s="89">
        <f>100%-Table34[[#This Row],[PDF_initial fee]]</f>
        <v>1</v>
      </c>
      <c r="T2222" s="89"/>
      <c r="U2222" s="26"/>
    </row>
    <row r="2223" spans="1:27" hidden="1" x14ac:dyDescent="0.25">
      <c r="A2223">
        <v>485886</v>
      </c>
      <c r="B2223" t="s">
        <v>2570</v>
      </c>
      <c r="C2223" t="s">
        <v>8338</v>
      </c>
      <c r="D2223">
        <v>2</v>
      </c>
      <c r="E2223" t="s">
        <v>2570</v>
      </c>
      <c r="G2223" s="3"/>
      <c r="H2223" s="21">
        <v>0</v>
      </c>
      <c r="I2223" s="21">
        <v>0</v>
      </c>
      <c r="J2223" s="21">
        <v>0</v>
      </c>
      <c r="K2223" s="21">
        <v>0</v>
      </c>
      <c r="L2223" s="3">
        <f t="shared" si="106"/>
        <v>0</v>
      </c>
      <c r="M2223" s="3"/>
      <c r="N2223" s="3">
        <f t="shared" si="105"/>
        <v>0</v>
      </c>
      <c r="R2223" s="89"/>
      <c r="S2223" s="89">
        <f>100%-Table34[[#This Row],[PDF_initial fee]]</f>
        <v>1</v>
      </c>
      <c r="T2223" s="89"/>
      <c r="U2223" s="26"/>
    </row>
    <row r="2224" spans="1:27" hidden="1" x14ac:dyDescent="0.25">
      <c r="A2224">
        <v>485918</v>
      </c>
      <c r="B2224" t="s">
        <v>2571</v>
      </c>
      <c r="C2224" t="s">
        <v>10966</v>
      </c>
      <c r="D2224">
        <v>1</v>
      </c>
      <c r="E2224" t="s">
        <v>2571</v>
      </c>
      <c r="G2224" s="3"/>
      <c r="H2224" s="39"/>
      <c r="I2224" s="39"/>
      <c r="J2224" s="39"/>
      <c r="K2224" s="39"/>
      <c r="L2224" s="3">
        <f t="shared" si="106"/>
        <v>0</v>
      </c>
      <c r="M2224" s="3"/>
      <c r="N2224" s="3">
        <f t="shared" si="105"/>
        <v>0</v>
      </c>
      <c r="R2224" s="89"/>
      <c r="S2224" s="89">
        <f>100%-Table34[[#This Row],[PDF_initial fee]]</f>
        <v>1</v>
      </c>
      <c r="T2224" s="89"/>
      <c r="U2224" s="26"/>
    </row>
    <row r="2225" spans="1:27" hidden="1" x14ac:dyDescent="0.25">
      <c r="A2225">
        <v>486131</v>
      </c>
      <c r="B2225" t="s">
        <v>2572</v>
      </c>
      <c r="C2225" t="s">
        <v>7000</v>
      </c>
      <c r="D2225">
        <v>2</v>
      </c>
      <c r="E2225" t="s">
        <v>2572</v>
      </c>
      <c r="G2225" s="3"/>
      <c r="H2225" s="21">
        <v>0</v>
      </c>
      <c r="I2225" s="21">
        <v>0</v>
      </c>
      <c r="J2225" s="21">
        <v>0</v>
      </c>
      <c r="K2225" s="21">
        <v>0</v>
      </c>
      <c r="L2225" s="3">
        <f t="shared" si="106"/>
        <v>0</v>
      </c>
      <c r="M2225" s="3"/>
      <c r="N2225" s="3">
        <f t="shared" si="105"/>
        <v>0</v>
      </c>
      <c r="R2225" s="89"/>
      <c r="S2225" s="89">
        <f>100%-Table34[[#This Row],[PDF_initial fee]]</f>
        <v>1</v>
      </c>
      <c r="T2225" s="89"/>
      <c r="U2225" s="26"/>
    </row>
    <row r="2226" spans="1:27" hidden="1" x14ac:dyDescent="0.25">
      <c r="A2226">
        <v>486138</v>
      </c>
      <c r="B2226" t="s">
        <v>2573</v>
      </c>
      <c r="C2226" t="s">
        <v>10113</v>
      </c>
      <c r="D2226">
        <v>0</v>
      </c>
      <c r="E2226" t="s">
        <v>2573</v>
      </c>
      <c r="F2226" t="s">
        <v>3</v>
      </c>
      <c r="G2226" s="3"/>
      <c r="H2226" s="21">
        <v>0</v>
      </c>
      <c r="I2226" s="21">
        <v>0</v>
      </c>
      <c r="J2226" s="21">
        <v>0</v>
      </c>
      <c r="K2226" s="21">
        <v>0</v>
      </c>
      <c r="L2226" s="3">
        <f t="shared" si="106"/>
        <v>0</v>
      </c>
      <c r="M2226" s="3"/>
      <c r="N2226" s="3">
        <f t="shared" si="105"/>
        <v>0</v>
      </c>
      <c r="R2226" s="89"/>
      <c r="S2226" s="89">
        <f>100%-Table34[[#This Row],[PDF_initial fee]]</f>
        <v>1</v>
      </c>
      <c r="T2226" s="89"/>
      <c r="U2226" s="26"/>
    </row>
    <row r="2227" spans="1:27" hidden="1" x14ac:dyDescent="0.25">
      <c r="A2227">
        <v>486256</v>
      </c>
      <c r="B2227" t="s">
        <v>2574</v>
      </c>
      <c r="C2227" t="s">
        <v>6958</v>
      </c>
      <c r="D2227">
        <v>1</v>
      </c>
      <c r="E2227" t="s">
        <v>2574</v>
      </c>
      <c r="F2227" t="s">
        <v>6958</v>
      </c>
      <c r="G2227" s="3"/>
      <c r="H2227" s="21">
        <v>0</v>
      </c>
      <c r="I2227" s="21">
        <v>0</v>
      </c>
      <c r="J2227" s="21">
        <v>0</v>
      </c>
      <c r="K2227" s="21">
        <v>0</v>
      </c>
      <c r="L2227" s="3">
        <f t="shared" si="106"/>
        <v>0</v>
      </c>
      <c r="M2227" s="3"/>
      <c r="N2227" s="3">
        <f t="shared" si="105"/>
        <v>0</v>
      </c>
      <c r="O2227" s="21"/>
      <c r="R2227" s="89"/>
      <c r="S2227" s="89">
        <f>100%-Table34[[#This Row],[PDF_initial fee]]</f>
        <v>1</v>
      </c>
      <c r="T2227" s="89"/>
      <c r="U2227" s="26"/>
    </row>
    <row r="2228" spans="1:27" hidden="1" x14ac:dyDescent="0.25">
      <c r="A2228">
        <v>486259</v>
      </c>
      <c r="B2228" t="s">
        <v>2575</v>
      </c>
      <c r="C2228" t="s">
        <v>11498</v>
      </c>
      <c r="D2228">
        <v>2</v>
      </c>
      <c r="E2228" t="s">
        <v>2575</v>
      </c>
      <c r="G2228" s="3"/>
      <c r="H2228" s="21">
        <v>0</v>
      </c>
      <c r="I2228" s="21">
        <v>0</v>
      </c>
      <c r="J2228" s="21">
        <v>0</v>
      </c>
      <c r="K2228" s="21">
        <v>0</v>
      </c>
      <c r="L2228" s="3">
        <f t="shared" si="106"/>
        <v>0</v>
      </c>
      <c r="M2228" s="3"/>
      <c r="N2228" s="3">
        <f t="shared" si="105"/>
        <v>0</v>
      </c>
      <c r="R2228" s="89"/>
      <c r="S2228" s="89">
        <f>100%-Table34[[#This Row],[PDF_initial fee]]</f>
        <v>1</v>
      </c>
      <c r="T2228" s="89"/>
      <c r="U2228" s="26"/>
    </row>
    <row r="2229" spans="1:27" hidden="1" x14ac:dyDescent="0.25">
      <c r="A2229">
        <v>486353</v>
      </c>
      <c r="B2229" t="s">
        <v>2576</v>
      </c>
      <c r="C2229" t="s">
        <v>6958</v>
      </c>
      <c r="D2229">
        <v>1</v>
      </c>
      <c r="E2229" t="s">
        <v>2576</v>
      </c>
      <c r="F2229" t="s">
        <v>6958</v>
      </c>
      <c r="G2229" s="3"/>
      <c r="H2229" s="21">
        <v>0</v>
      </c>
      <c r="I2229" s="21">
        <v>0</v>
      </c>
      <c r="J2229" s="21">
        <v>0</v>
      </c>
      <c r="K2229" s="21">
        <v>0</v>
      </c>
      <c r="L2229" s="3">
        <f t="shared" si="106"/>
        <v>0</v>
      </c>
      <c r="M2229" s="3"/>
      <c r="N2229" s="3">
        <f t="shared" si="105"/>
        <v>0</v>
      </c>
      <c r="R2229" s="89"/>
      <c r="S2229" s="89">
        <f>100%-Table34[[#This Row],[PDF_initial fee]]</f>
        <v>1</v>
      </c>
      <c r="T2229" s="89"/>
      <c r="U2229" s="26"/>
    </row>
    <row r="2230" spans="1:27" hidden="1" x14ac:dyDescent="0.25">
      <c r="A2230">
        <v>486492</v>
      </c>
      <c r="B2230" t="s">
        <v>2577</v>
      </c>
      <c r="C2230" t="s">
        <v>6958</v>
      </c>
      <c r="D2230">
        <v>1</v>
      </c>
      <c r="E2230" t="s">
        <v>2577</v>
      </c>
      <c r="F2230" t="s">
        <v>6958</v>
      </c>
      <c r="G2230" s="3"/>
      <c r="L2230" s="3">
        <f t="shared" si="106"/>
        <v>0</v>
      </c>
      <c r="M2230" s="3"/>
      <c r="N2230" s="3">
        <f t="shared" si="105"/>
        <v>0</v>
      </c>
      <c r="R2230" s="89"/>
      <c r="S2230" s="89">
        <f>100%-Table34[[#This Row],[PDF_initial fee]]</f>
        <v>1</v>
      </c>
      <c r="T2230" s="89"/>
      <c r="U2230" s="26"/>
    </row>
    <row r="2231" spans="1:27" x14ac:dyDescent="0.25">
      <c r="A2231">
        <v>219945</v>
      </c>
      <c r="B2231" t="s">
        <v>120</v>
      </c>
      <c r="C2231" t="s">
        <v>9034</v>
      </c>
      <c r="D2231">
        <v>6</v>
      </c>
      <c r="E2231" t="s">
        <v>120</v>
      </c>
      <c r="F2231" t="s">
        <v>3</v>
      </c>
      <c r="G2231" s="3">
        <v>1.4E-3</v>
      </c>
      <c r="H2231" s="3">
        <v>1.4999999999999999E-2</v>
      </c>
      <c r="I2231" s="3">
        <v>7.4999999999999997E-3</v>
      </c>
      <c r="J2231" s="6">
        <v>0</v>
      </c>
      <c r="K2231" s="6">
        <v>0</v>
      </c>
      <c r="L2231" s="3">
        <f t="shared" si="106"/>
        <v>2.2499999999999999E-2</v>
      </c>
      <c r="M2231" s="3"/>
      <c r="N2231" s="3">
        <f t="shared" si="105"/>
        <v>2.3899999999999998E-2</v>
      </c>
      <c r="P2231" s="1" t="s">
        <v>30210</v>
      </c>
      <c r="Q2231" t="s">
        <v>31787</v>
      </c>
      <c r="R2231" s="89">
        <v>0.33333333333333348</v>
      </c>
      <c r="S2231" s="89">
        <f>100%-Table34[[#This Row],[InitialFee]]</f>
        <v>0.98499999999999999</v>
      </c>
      <c r="T2231" s="89">
        <f>(1-Table34[[#This Row],[OngoingFee (plus Platform fee)]])^5</f>
        <v>0.9630582970465823</v>
      </c>
      <c r="U2231" s="26">
        <f>(1+Table34[[#This Row],[Net 5yrs return (mostly up to 28th of Feb 2026)]])*Table34[[#This Row],[Investment after initial charge]]*Table34[[#This Row],[Cummulative 5yrs ongoing advice charge]]-1</f>
        <v>0.26481656345451166</v>
      </c>
      <c r="V2231" s="10">
        <f>1537465+485521</f>
        <v>2022986</v>
      </c>
      <c r="W2231" t="s">
        <v>29051</v>
      </c>
      <c r="X2231" s="10">
        <v>1793527</v>
      </c>
      <c r="Y2231" s="30">
        <f>X2231/V2231</f>
        <v>0.88657410382474222</v>
      </c>
      <c r="AA2231" s="1" t="s">
        <v>30211</v>
      </c>
    </row>
    <row r="2232" spans="1:27" hidden="1" x14ac:dyDescent="0.25">
      <c r="A2232">
        <v>486548</v>
      </c>
      <c r="B2232" t="s">
        <v>2578</v>
      </c>
      <c r="C2232" t="s">
        <v>30212</v>
      </c>
      <c r="D2232">
        <v>14</v>
      </c>
      <c r="E2232" t="s">
        <v>2578</v>
      </c>
      <c r="G2232" s="3"/>
      <c r="H2232" s="21">
        <v>0</v>
      </c>
      <c r="I2232" s="21">
        <v>0</v>
      </c>
      <c r="J2232" s="21">
        <v>0</v>
      </c>
      <c r="K2232" s="21">
        <v>0</v>
      </c>
      <c r="L2232" s="3">
        <f t="shared" si="106"/>
        <v>0</v>
      </c>
      <c r="M2232" s="3"/>
      <c r="N2232" s="3">
        <f t="shared" si="105"/>
        <v>0</v>
      </c>
      <c r="O2232" s="21"/>
      <c r="R2232" s="89"/>
      <c r="S2232" s="89">
        <f>100%-Table34[[#This Row],[PDF_initial fee]]</f>
        <v>1</v>
      </c>
      <c r="T2232" s="89"/>
      <c r="U2232" s="26"/>
    </row>
    <row r="2233" spans="1:27" x14ac:dyDescent="0.25">
      <c r="A2233">
        <v>434807</v>
      </c>
      <c r="B2233" t="s">
        <v>159</v>
      </c>
      <c r="C2233" t="s">
        <v>9140</v>
      </c>
      <c r="D2233">
        <v>1</v>
      </c>
      <c r="E2233" t="s">
        <v>159</v>
      </c>
      <c r="F2233" t="s">
        <v>3</v>
      </c>
      <c r="G2233" s="3">
        <v>1.4E-3</v>
      </c>
      <c r="H2233" s="3">
        <f>0.0195+0.0047</f>
        <v>2.4199999999999999E-2</v>
      </c>
      <c r="I2233" s="3">
        <v>7.0000000000000001E-3</v>
      </c>
      <c r="J2233" s="6"/>
      <c r="K2233" s="6"/>
      <c r="L2233" s="3">
        <f t="shared" si="106"/>
        <v>3.1199999999999999E-2</v>
      </c>
      <c r="M2233" s="3"/>
      <c r="N2233" s="3">
        <f t="shared" si="105"/>
        <v>3.2599999999999997E-2</v>
      </c>
      <c r="P2233" s="1" t="s">
        <v>9140</v>
      </c>
      <c r="Q2233" t="s">
        <v>31787</v>
      </c>
      <c r="R2233" s="89">
        <v>0.33333333333333348</v>
      </c>
      <c r="S2233" s="89">
        <f>100%-Table34[[#This Row],[InitialFee]]</f>
        <v>0.9758</v>
      </c>
      <c r="T2233" s="89">
        <f>(1-Table34[[#This Row],[OngoingFee (plus Platform fee)]])^5</f>
        <v>0.96548658198819293</v>
      </c>
      <c r="U2233" s="26">
        <f>(1+Table34[[#This Row],[Net 5yrs return (mostly up to 28th of Feb 2026)]])*Table34[[#This Row],[Investment after initial charge]]*Table34[[#This Row],[Cummulative 5yrs ongoing advice charge]]-1</f>
        <v>0.25616240893877174</v>
      </c>
      <c r="V2233" s="10">
        <f>166837+5307</f>
        <v>172144</v>
      </c>
      <c r="W2233" t="s">
        <v>29051</v>
      </c>
      <c r="X2233" s="9">
        <v>136667</v>
      </c>
      <c r="Y2233" s="30">
        <f>X2233/V2233</f>
        <v>0.79391091179477646</v>
      </c>
      <c r="AA2233" s="1" t="s">
        <v>30213</v>
      </c>
    </row>
    <row r="2234" spans="1:27" hidden="1" x14ac:dyDescent="0.25">
      <c r="A2234">
        <v>486790</v>
      </c>
      <c r="B2234" t="s">
        <v>2579</v>
      </c>
      <c r="C2234" t="s">
        <v>11849</v>
      </c>
      <c r="D2234">
        <v>1</v>
      </c>
      <c r="E2234" t="s">
        <v>2579</v>
      </c>
      <c r="G2234" s="3"/>
      <c r="H2234" s="21">
        <v>0</v>
      </c>
      <c r="I2234" s="21">
        <v>0</v>
      </c>
      <c r="J2234" s="21">
        <v>0</v>
      </c>
      <c r="K2234" s="21">
        <v>0</v>
      </c>
      <c r="L2234" s="3">
        <f t="shared" si="106"/>
        <v>0</v>
      </c>
      <c r="M2234" s="3"/>
      <c r="N2234" s="3">
        <f t="shared" si="105"/>
        <v>0</v>
      </c>
      <c r="R2234" s="89"/>
      <c r="S2234" s="89">
        <f>100%-Table34[[#This Row],[PDF_initial fee]]</f>
        <v>1</v>
      </c>
      <c r="T2234" s="89"/>
      <c r="U2234" s="26"/>
    </row>
    <row r="2235" spans="1:27" hidden="1" x14ac:dyDescent="0.25">
      <c r="A2235">
        <v>486803</v>
      </c>
      <c r="B2235" t="s">
        <v>2580</v>
      </c>
      <c r="C2235" t="s">
        <v>10212</v>
      </c>
      <c r="D2235">
        <v>5</v>
      </c>
      <c r="E2235" t="s">
        <v>2580</v>
      </c>
      <c r="G2235" s="3"/>
      <c r="H2235" s="21">
        <v>0</v>
      </c>
      <c r="I2235" s="21">
        <v>0</v>
      </c>
      <c r="J2235" s="21">
        <v>0</v>
      </c>
      <c r="K2235" s="21">
        <v>0</v>
      </c>
      <c r="L2235" s="3">
        <f t="shared" si="106"/>
        <v>0</v>
      </c>
      <c r="M2235" s="3"/>
      <c r="N2235" s="3">
        <f t="shared" si="105"/>
        <v>0</v>
      </c>
      <c r="R2235" s="89"/>
      <c r="S2235" s="89">
        <f>100%-Table34[[#This Row],[PDF_initial fee]]</f>
        <v>1</v>
      </c>
      <c r="T2235" s="89"/>
      <c r="U2235" s="26"/>
    </row>
    <row r="2236" spans="1:27" hidden="1" x14ac:dyDescent="0.25">
      <c r="A2236">
        <v>486877</v>
      </c>
      <c r="B2236" t="s">
        <v>2581</v>
      </c>
      <c r="C2236" t="s">
        <v>7155</v>
      </c>
      <c r="D2236">
        <v>1</v>
      </c>
      <c r="E2236" t="s">
        <v>2581</v>
      </c>
      <c r="G2236" s="3"/>
      <c r="H2236" s="21">
        <v>0</v>
      </c>
      <c r="I2236" s="21">
        <v>0</v>
      </c>
      <c r="J2236" s="21">
        <v>0</v>
      </c>
      <c r="K2236" s="21">
        <v>0</v>
      </c>
      <c r="L2236" s="3">
        <f t="shared" si="106"/>
        <v>0</v>
      </c>
      <c r="M2236" s="3"/>
      <c r="N2236" s="3">
        <f t="shared" si="105"/>
        <v>0</v>
      </c>
      <c r="R2236" s="89"/>
      <c r="S2236" s="89">
        <f>100%-Table34[[#This Row],[PDF_initial fee]]</f>
        <v>1</v>
      </c>
      <c r="T2236" s="89"/>
      <c r="U2236" s="26"/>
    </row>
    <row r="2237" spans="1:27" hidden="1" x14ac:dyDescent="0.25">
      <c r="A2237">
        <v>486909</v>
      </c>
      <c r="B2237" t="s">
        <v>2582</v>
      </c>
      <c r="C2237" t="s">
        <v>6958</v>
      </c>
      <c r="D2237">
        <v>1</v>
      </c>
      <c r="E2237" t="s">
        <v>2582</v>
      </c>
      <c r="F2237" t="s">
        <v>6958</v>
      </c>
      <c r="G2237" s="3"/>
      <c r="H2237" s="21">
        <v>0</v>
      </c>
      <c r="I2237" s="21">
        <v>0</v>
      </c>
      <c r="J2237" s="21">
        <v>0</v>
      </c>
      <c r="K2237" s="21">
        <v>0</v>
      </c>
      <c r="L2237" s="3">
        <f t="shared" si="106"/>
        <v>0</v>
      </c>
      <c r="M2237" s="3"/>
      <c r="N2237" s="3">
        <f t="shared" si="105"/>
        <v>0</v>
      </c>
      <c r="R2237" s="89"/>
      <c r="S2237" s="89">
        <f>100%-Table34[[#This Row],[PDF_initial fee]]</f>
        <v>1</v>
      </c>
      <c r="T2237" s="89"/>
      <c r="U2237" s="26"/>
    </row>
    <row r="2238" spans="1:27" hidden="1" x14ac:dyDescent="0.25">
      <c r="A2238">
        <v>487176</v>
      </c>
      <c r="B2238" t="s">
        <v>2583</v>
      </c>
      <c r="C2238" t="s">
        <v>9001</v>
      </c>
      <c r="D2238">
        <v>0</v>
      </c>
      <c r="E2238" t="s">
        <v>2583</v>
      </c>
      <c r="F2238" t="s">
        <v>29136</v>
      </c>
      <c r="G2238" s="3"/>
      <c r="H2238" s="21">
        <v>0</v>
      </c>
      <c r="I2238" s="21">
        <v>0</v>
      </c>
      <c r="J2238" s="21">
        <v>0</v>
      </c>
      <c r="K2238" s="21">
        <v>0</v>
      </c>
      <c r="L2238" s="3">
        <f t="shared" si="106"/>
        <v>0</v>
      </c>
      <c r="M2238" s="3"/>
      <c r="N2238" s="3">
        <f t="shared" si="105"/>
        <v>0</v>
      </c>
      <c r="R2238" s="89"/>
      <c r="S2238" s="89">
        <f>100%-Table34[[#This Row],[PDF_initial fee]]</f>
        <v>1</v>
      </c>
      <c r="T2238" s="89"/>
      <c r="U2238" s="26"/>
    </row>
    <row r="2239" spans="1:27" hidden="1" x14ac:dyDescent="0.25">
      <c r="A2239">
        <v>487297</v>
      </c>
      <c r="B2239" t="s">
        <v>2584</v>
      </c>
      <c r="C2239" t="s">
        <v>10901</v>
      </c>
      <c r="D2239">
        <v>2</v>
      </c>
      <c r="E2239" t="s">
        <v>2584</v>
      </c>
      <c r="G2239" s="3"/>
      <c r="H2239" s="21">
        <v>0</v>
      </c>
      <c r="I2239" s="21">
        <v>0</v>
      </c>
      <c r="J2239" s="21">
        <v>0</v>
      </c>
      <c r="K2239" s="21">
        <v>0</v>
      </c>
      <c r="L2239" s="3">
        <f t="shared" si="106"/>
        <v>0</v>
      </c>
      <c r="M2239" s="3"/>
      <c r="N2239" s="3">
        <f t="shared" si="105"/>
        <v>0</v>
      </c>
      <c r="R2239" s="89"/>
      <c r="S2239" s="89">
        <f>100%-Table34[[#This Row],[PDF_initial fee]]</f>
        <v>1</v>
      </c>
      <c r="T2239" s="89"/>
      <c r="U2239" s="26"/>
    </row>
    <row r="2240" spans="1:27" hidden="1" x14ac:dyDescent="0.25">
      <c r="A2240">
        <v>487312</v>
      </c>
      <c r="B2240" t="s">
        <v>2585</v>
      </c>
      <c r="C2240" t="s">
        <v>6958</v>
      </c>
      <c r="D2240">
        <v>8</v>
      </c>
      <c r="E2240" t="s">
        <v>2585</v>
      </c>
      <c r="F2240" t="s">
        <v>6958</v>
      </c>
      <c r="G2240" s="3"/>
      <c r="H2240" s="21">
        <v>0</v>
      </c>
      <c r="I2240" s="21">
        <v>0</v>
      </c>
      <c r="J2240" s="21">
        <v>0</v>
      </c>
      <c r="K2240" s="21">
        <v>0</v>
      </c>
      <c r="L2240" s="3">
        <f t="shared" si="106"/>
        <v>0</v>
      </c>
      <c r="M2240" s="3"/>
      <c r="N2240" s="3">
        <f t="shared" si="105"/>
        <v>0</v>
      </c>
      <c r="R2240" s="89"/>
      <c r="S2240" s="89">
        <f>100%-Table34[[#This Row],[PDF_initial fee]]</f>
        <v>1</v>
      </c>
      <c r="T2240" s="89"/>
      <c r="U2240" s="26"/>
    </row>
    <row r="2241" spans="1:21" hidden="1" x14ac:dyDescent="0.25">
      <c r="A2241">
        <v>487359</v>
      </c>
      <c r="B2241" t="s">
        <v>2586</v>
      </c>
      <c r="C2241" t="s">
        <v>9733</v>
      </c>
      <c r="D2241">
        <v>1</v>
      </c>
      <c r="E2241" t="s">
        <v>2586</v>
      </c>
      <c r="G2241" s="3"/>
      <c r="H2241" s="21">
        <v>0</v>
      </c>
      <c r="I2241" s="21">
        <v>0</v>
      </c>
      <c r="J2241" s="21">
        <v>0</v>
      </c>
      <c r="K2241" s="21">
        <v>0</v>
      </c>
      <c r="L2241" s="3">
        <f t="shared" si="106"/>
        <v>0</v>
      </c>
      <c r="M2241" s="3"/>
      <c r="N2241" s="3">
        <f t="shared" si="105"/>
        <v>0</v>
      </c>
      <c r="R2241" s="89"/>
      <c r="S2241" s="89">
        <f>100%-Table34[[#This Row],[PDF_initial fee]]</f>
        <v>1</v>
      </c>
      <c r="T2241" s="89"/>
      <c r="U2241" s="26"/>
    </row>
    <row r="2242" spans="1:21" hidden="1" x14ac:dyDescent="0.25">
      <c r="A2242">
        <v>487361</v>
      </c>
      <c r="B2242" t="s">
        <v>2587</v>
      </c>
      <c r="C2242" t="s">
        <v>7174</v>
      </c>
      <c r="D2242">
        <v>1</v>
      </c>
      <c r="E2242" t="s">
        <v>2587</v>
      </c>
      <c r="G2242" s="3"/>
      <c r="H2242" s="21">
        <v>0</v>
      </c>
      <c r="I2242" s="21">
        <v>0</v>
      </c>
      <c r="J2242" s="21">
        <v>0</v>
      </c>
      <c r="K2242" s="21">
        <v>0</v>
      </c>
      <c r="L2242" s="3">
        <f t="shared" si="106"/>
        <v>0</v>
      </c>
      <c r="M2242" s="3"/>
      <c r="N2242" s="3">
        <f t="shared" si="105"/>
        <v>0</v>
      </c>
      <c r="R2242" s="89"/>
      <c r="S2242" s="89">
        <f>100%-Table34[[#This Row],[PDF_initial fee]]</f>
        <v>1</v>
      </c>
      <c r="T2242" s="89"/>
      <c r="U2242" s="26"/>
    </row>
    <row r="2243" spans="1:21" hidden="1" x14ac:dyDescent="0.25">
      <c r="A2243">
        <v>487395</v>
      </c>
      <c r="B2243" t="s">
        <v>2588</v>
      </c>
      <c r="C2243" t="s">
        <v>12408</v>
      </c>
      <c r="D2243">
        <v>142</v>
      </c>
      <c r="E2243" t="s">
        <v>2588</v>
      </c>
      <c r="F2243" t="s">
        <v>3</v>
      </c>
      <c r="G2243" s="3"/>
      <c r="L2243" s="3">
        <f t="shared" si="106"/>
        <v>0</v>
      </c>
      <c r="M2243" s="3"/>
      <c r="N2243" s="3">
        <f t="shared" si="105"/>
        <v>0</v>
      </c>
      <c r="O2243" t="s">
        <v>29486</v>
      </c>
      <c r="R2243" s="89"/>
      <c r="S2243" s="89">
        <f>100%-Table34[[#This Row],[PDF_initial fee]]</f>
        <v>1</v>
      </c>
      <c r="T2243" s="89"/>
      <c r="U2243" s="26"/>
    </row>
    <row r="2244" spans="1:21" hidden="1" x14ac:dyDescent="0.25">
      <c r="A2244">
        <v>487416</v>
      </c>
      <c r="B2244" t="s">
        <v>2589</v>
      </c>
      <c r="C2244" t="s">
        <v>7012</v>
      </c>
      <c r="D2244">
        <v>4</v>
      </c>
      <c r="E2244" t="s">
        <v>2589</v>
      </c>
      <c r="G2244" s="3"/>
      <c r="H2244" s="21">
        <v>0</v>
      </c>
      <c r="I2244" s="21">
        <v>0</v>
      </c>
      <c r="J2244" s="21">
        <v>0</v>
      </c>
      <c r="K2244" s="21">
        <v>0</v>
      </c>
      <c r="L2244" s="3">
        <f t="shared" si="106"/>
        <v>0</v>
      </c>
      <c r="M2244" s="3"/>
      <c r="N2244" s="3">
        <f t="shared" si="105"/>
        <v>0</v>
      </c>
      <c r="R2244" s="89"/>
      <c r="S2244" s="89">
        <f>100%-Table34[[#This Row],[PDF_initial fee]]</f>
        <v>1</v>
      </c>
      <c r="T2244" s="89"/>
      <c r="U2244" s="26"/>
    </row>
    <row r="2245" spans="1:21" hidden="1" x14ac:dyDescent="0.25">
      <c r="A2245">
        <v>487612</v>
      </c>
      <c r="B2245" t="s">
        <v>2590</v>
      </c>
      <c r="C2245" t="s">
        <v>10438</v>
      </c>
      <c r="D2245">
        <v>1</v>
      </c>
      <c r="E2245" t="s">
        <v>2590</v>
      </c>
      <c r="G2245" s="3"/>
      <c r="H2245" s="21">
        <v>0</v>
      </c>
      <c r="I2245" s="21">
        <v>0</v>
      </c>
      <c r="J2245" s="21">
        <v>0</v>
      </c>
      <c r="K2245" s="21">
        <v>0</v>
      </c>
      <c r="L2245" s="3">
        <f t="shared" si="106"/>
        <v>0</v>
      </c>
      <c r="M2245" s="3"/>
      <c r="N2245" s="3">
        <f t="shared" si="105"/>
        <v>0</v>
      </c>
      <c r="R2245" s="89"/>
      <c r="S2245" s="89">
        <f>100%-Table34[[#This Row],[PDF_initial fee]]</f>
        <v>1</v>
      </c>
      <c r="T2245" s="89"/>
      <c r="U2245" s="26"/>
    </row>
    <row r="2246" spans="1:21" hidden="1" x14ac:dyDescent="0.25">
      <c r="A2246">
        <v>487904</v>
      </c>
      <c r="B2246" t="s">
        <v>2591</v>
      </c>
      <c r="C2246" t="s">
        <v>7579</v>
      </c>
      <c r="D2246">
        <v>2</v>
      </c>
      <c r="E2246" t="s">
        <v>2591</v>
      </c>
      <c r="G2246" s="3"/>
      <c r="H2246" s="21">
        <v>0</v>
      </c>
      <c r="I2246" s="21">
        <v>0</v>
      </c>
      <c r="J2246" s="21">
        <v>0</v>
      </c>
      <c r="K2246" s="21">
        <v>0</v>
      </c>
      <c r="L2246" s="3">
        <f t="shared" si="106"/>
        <v>0</v>
      </c>
      <c r="M2246" s="3"/>
      <c r="N2246" s="3">
        <f t="shared" si="105"/>
        <v>0</v>
      </c>
      <c r="R2246" s="89"/>
      <c r="S2246" s="89">
        <f>100%-Table34[[#This Row],[PDF_initial fee]]</f>
        <v>1</v>
      </c>
      <c r="T2246" s="89"/>
      <c r="U2246" s="26"/>
    </row>
    <row r="2247" spans="1:21" hidden="1" x14ac:dyDescent="0.25">
      <c r="A2247">
        <v>488046</v>
      </c>
      <c r="B2247" t="s">
        <v>2592</v>
      </c>
      <c r="C2247" t="s">
        <v>6958</v>
      </c>
      <c r="D2247">
        <v>0</v>
      </c>
      <c r="E2247" t="s">
        <v>2592</v>
      </c>
      <c r="F2247" t="s">
        <v>6958</v>
      </c>
      <c r="G2247" s="3"/>
      <c r="L2247" s="3">
        <f t="shared" si="106"/>
        <v>0</v>
      </c>
      <c r="M2247" s="3"/>
      <c r="N2247" s="3">
        <f t="shared" si="105"/>
        <v>0</v>
      </c>
      <c r="R2247" s="89"/>
      <c r="S2247" s="89">
        <f>100%-Table34[[#This Row],[PDF_initial fee]]</f>
        <v>1</v>
      </c>
      <c r="T2247" s="89"/>
      <c r="U2247" s="26"/>
    </row>
    <row r="2248" spans="1:21" hidden="1" x14ac:dyDescent="0.25">
      <c r="A2248">
        <v>488153</v>
      </c>
      <c r="B2248" t="s">
        <v>2593</v>
      </c>
      <c r="C2248" t="s">
        <v>10177</v>
      </c>
      <c r="D2248">
        <v>5</v>
      </c>
      <c r="E2248" t="s">
        <v>2593</v>
      </c>
      <c r="G2248" s="3"/>
      <c r="H2248" s="21">
        <v>0</v>
      </c>
      <c r="I2248" s="21">
        <v>0</v>
      </c>
      <c r="J2248" s="21">
        <v>0</v>
      </c>
      <c r="K2248" s="21">
        <v>0</v>
      </c>
      <c r="L2248" s="3">
        <f t="shared" si="106"/>
        <v>0</v>
      </c>
      <c r="M2248" s="3"/>
      <c r="N2248" s="3">
        <f t="shared" si="105"/>
        <v>0</v>
      </c>
      <c r="R2248" s="89"/>
      <c r="S2248" s="89">
        <f>100%-Table34[[#This Row],[PDF_initial fee]]</f>
        <v>1</v>
      </c>
      <c r="T2248" s="89"/>
      <c r="U2248" s="26"/>
    </row>
    <row r="2249" spans="1:21" hidden="1" x14ac:dyDescent="0.25">
      <c r="A2249">
        <v>488210</v>
      </c>
      <c r="B2249" t="s">
        <v>2594</v>
      </c>
      <c r="C2249" t="s">
        <v>9933</v>
      </c>
      <c r="D2249">
        <v>4</v>
      </c>
      <c r="E2249" t="s">
        <v>2594</v>
      </c>
      <c r="G2249" s="3"/>
      <c r="H2249" s="21">
        <v>0</v>
      </c>
      <c r="I2249" s="21">
        <v>0</v>
      </c>
      <c r="J2249" s="21">
        <v>0</v>
      </c>
      <c r="K2249" s="21">
        <v>0</v>
      </c>
      <c r="L2249" s="3">
        <f t="shared" si="106"/>
        <v>0</v>
      </c>
      <c r="M2249" s="3"/>
      <c r="N2249" s="3">
        <f t="shared" si="105"/>
        <v>0</v>
      </c>
      <c r="R2249" s="89"/>
      <c r="S2249" s="89">
        <f>100%-Table34[[#This Row],[PDF_initial fee]]</f>
        <v>1</v>
      </c>
      <c r="T2249" s="89"/>
      <c r="U2249" s="26"/>
    </row>
    <row r="2250" spans="1:21" hidden="1" x14ac:dyDescent="0.25">
      <c r="A2250">
        <v>488254</v>
      </c>
      <c r="B2250" t="s">
        <v>2595</v>
      </c>
      <c r="C2250" t="s">
        <v>11169</v>
      </c>
      <c r="D2250">
        <v>5</v>
      </c>
      <c r="E2250" t="s">
        <v>2595</v>
      </c>
      <c r="G2250" s="3"/>
      <c r="H2250" s="21">
        <v>0</v>
      </c>
      <c r="I2250" s="21">
        <v>0</v>
      </c>
      <c r="J2250" s="21">
        <v>0</v>
      </c>
      <c r="K2250" s="21">
        <v>0</v>
      </c>
      <c r="L2250" s="3">
        <f t="shared" si="106"/>
        <v>0</v>
      </c>
      <c r="M2250" s="3"/>
      <c r="N2250" s="3">
        <f t="shared" ref="N2250:N2313" si="107">L2250+G2250</f>
        <v>0</v>
      </c>
      <c r="R2250" s="89"/>
      <c r="S2250" s="89">
        <f>100%-Table34[[#This Row],[PDF_initial fee]]</f>
        <v>1</v>
      </c>
      <c r="T2250" s="89"/>
      <c r="U2250" s="26"/>
    </row>
    <row r="2251" spans="1:21" hidden="1" x14ac:dyDescent="0.25">
      <c r="A2251">
        <v>488257</v>
      </c>
      <c r="B2251" t="s">
        <v>2596</v>
      </c>
      <c r="C2251" t="s">
        <v>30214</v>
      </c>
      <c r="D2251">
        <v>7</v>
      </c>
      <c r="E2251" t="s">
        <v>2596</v>
      </c>
      <c r="G2251" s="3"/>
      <c r="H2251" s="3">
        <v>0</v>
      </c>
      <c r="I2251" s="3">
        <v>0</v>
      </c>
      <c r="J2251" s="3">
        <v>0</v>
      </c>
      <c r="K2251" s="3">
        <v>0</v>
      </c>
      <c r="L2251" s="3">
        <f t="shared" si="106"/>
        <v>0</v>
      </c>
      <c r="M2251" s="3"/>
      <c r="N2251" s="3">
        <f t="shared" si="107"/>
        <v>0</v>
      </c>
      <c r="R2251" s="89"/>
      <c r="S2251" s="89">
        <f>100%-Table34[[#This Row],[PDF_initial fee]]</f>
        <v>1</v>
      </c>
      <c r="T2251" s="89"/>
      <c r="U2251" s="26"/>
    </row>
    <row r="2252" spans="1:21" hidden="1" x14ac:dyDescent="0.25">
      <c r="A2252">
        <v>488273</v>
      </c>
      <c r="B2252" t="s">
        <v>2597</v>
      </c>
      <c r="C2252" t="s">
        <v>8498</v>
      </c>
      <c r="D2252">
        <v>2</v>
      </c>
      <c r="E2252" t="s">
        <v>2597</v>
      </c>
      <c r="G2252" s="3"/>
      <c r="H2252" s="21">
        <v>0</v>
      </c>
      <c r="I2252" s="21">
        <v>0</v>
      </c>
      <c r="J2252" s="21">
        <v>0</v>
      </c>
      <c r="K2252" s="21">
        <v>0</v>
      </c>
      <c r="L2252" s="3">
        <f t="shared" si="106"/>
        <v>0</v>
      </c>
      <c r="M2252" s="3"/>
      <c r="N2252" s="3">
        <f t="shared" si="107"/>
        <v>0</v>
      </c>
      <c r="R2252" s="89"/>
      <c r="S2252" s="89">
        <f>100%-Table34[[#This Row],[PDF_initial fee]]</f>
        <v>1</v>
      </c>
      <c r="T2252" s="89"/>
      <c r="U2252" s="26"/>
    </row>
    <row r="2253" spans="1:21" hidden="1" x14ac:dyDescent="0.25">
      <c r="A2253">
        <v>488660</v>
      </c>
      <c r="B2253" t="s">
        <v>2598</v>
      </c>
      <c r="C2253" t="s">
        <v>6958</v>
      </c>
      <c r="D2253">
        <v>1</v>
      </c>
      <c r="E2253" t="s">
        <v>2598</v>
      </c>
      <c r="F2253" t="s">
        <v>6958</v>
      </c>
      <c r="G2253" s="3"/>
      <c r="H2253" s="21">
        <v>0</v>
      </c>
      <c r="I2253" s="21">
        <v>0</v>
      </c>
      <c r="J2253" s="21">
        <v>0</v>
      </c>
      <c r="K2253" s="21">
        <v>0</v>
      </c>
      <c r="L2253" s="3">
        <f t="shared" si="106"/>
        <v>0</v>
      </c>
      <c r="M2253" s="3"/>
      <c r="N2253" s="3">
        <f t="shared" si="107"/>
        <v>0</v>
      </c>
      <c r="R2253" s="89"/>
      <c r="S2253" s="89">
        <f>100%-Table34[[#This Row],[PDF_initial fee]]</f>
        <v>1</v>
      </c>
      <c r="T2253" s="89"/>
      <c r="U2253" s="26"/>
    </row>
    <row r="2254" spans="1:21" hidden="1" x14ac:dyDescent="0.25">
      <c r="A2254">
        <v>488822</v>
      </c>
      <c r="B2254" t="s">
        <v>2599</v>
      </c>
      <c r="C2254" t="s">
        <v>7061</v>
      </c>
      <c r="D2254">
        <v>14</v>
      </c>
      <c r="E2254" t="s">
        <v>2599</v>
      </c>
      <c r="G2254" s="3"/>
      <c r="H2254" s="21">
        <v>0</v>
      </c>
      <c r="I2254" s="21">
        <v>0</v>
      </c>
      <c r="J2254" s="21">
        <v>0</v>
      </c>
      <c r="K2254" s="21">
        <v>0</v>
      </c>
      <c r="L2254" s="3">
        <f t="shared" si="106"/>
        <v>0</v>
      </c>
      <c r="M2254" s="3"/>
      <c r="N2254" s="3">
        <f t="shared" si="107"/>
        <v>0</v>
      </c>
      <c r="R2254" s="89"/>
      <c r="S2254" s="89">
        <f>100%-Table34[[#This Row],[PDF_initial fee]]</f>
        <v>1</v>
      </c>
      <c r="T2254" s="89"/>
      <c r="U2254" s="26"/>
    </row>
    <row r="2255" spans="1:21" hidden="1" x14ac:dyDescent="0.25">
      <c r="A2255">
        <v>488850</v>
      </c>
      <c r="B2255" t="s">
        <v>2600</v>
      </c>
      <c r="C2255" t="s">
        <v>11517</v>
      </c>
      <c r="D2255">
        <v>1</v>
      </c>
      <c r="E2255" t="s">
        <v>2600</v>
      </c>
      <c r="G2255" s="3"/>
      <c r="L2255" s="3">
        <f t="shared" si="106"/>
        <v>0</v>
      </c>
      <c r="M2255" s="3"/>
      <c r="N2255" s="3">
        <f t="shared" si="107"/>
        <v>0</v>
      </c>
      <c r="R2255" s="89"/>
      <c r="S2255" s="89">
        <f>100%-Table34[[#This Row],[PDF_initial fee]]</f>
        <v>1</v>
      </c>
      <c r="T2255" s="89"/>
      <c r="U2255" s="26"/>
    </row>
    <row r="2256" spans="1:21" hidden="1" x14ac:dyDescent="0.25">
      <c r="A2256">
        <v>489234</v>
      </c>
      <c r="B2256" t="s">
        <v>2601</v>
      </c>
      <c r="C2256" t="s">
        <v>6958</v>
      </c>
      <c r="D2256">
        <v>0</v>
      </c>
      <c r="E2256" t="s">
        <v>2601</v>
      </c>
      <c r="F2256" t="s">
        <v>6958</v>
      </c>
      <c r="G2256" s="3"/>
      <c r="H2256" s="21">
        <v>0</v>
      </c>
      <c r="I2256" s="21">
        <v>0</v>
      </c>
      <c r="J2256" s="21">
        <v>0</v>
      </c>
      <c r="K2256" s="21">
        <v>0</v>
      </c>
      <c r="L2256" s="3">
        <f t="shared" si="106"/>
        <v>0</v>
      </c>
      <c r="M2256" s="3"/>
      <c r="N2256" s="3">
        <f t="shared" si="107"/>
        <v>0</v>
      </c>
      <c r="R2256" s="89"/>
      <c r="S2256" s="89">
        <f>100%-Table34[[#This Row],[PDF_initial fee]]</f>
        <v>1</v>
      </c>
      <c r="T2256" s="89"/>
      <c r="U2256" s="26"/>
    </row>
    <row r="2257" spans="1:27" hidden="1" x14ac:dyDescent="0.25">
      <c r="A2257">
        <v>489357</v>
      </c>
      <c r="B2257" t="s">
        <v>2602</v>
      </c>
      <c r="C2257" t="s">
        <v>7680</v>
      </c>
      <c r="D2257">
        <v>2</v>
      </c>
      <c r="E2257" t="s">
        <v>2602</v>
      </c>
      <c r="G2257" s="3"/>
      <c r="L2257" s="3">
        <f t="shared" si="106"/>
        <v>0</v>
      </c>
      <c r="M2257" s="3"/>
      <c r="N2257" s="3">
        <f t="shared" si="107"/>
        <v>0</v>
      </c>
      <c r="R2257" s="89"/>
      <c r="S2257" s="89">
        <f>100%-Table34[[#This Row],[PDF_initial fee]]</f>
        <v>1</v>
      </c>
      <c r="T2257" s="89"/>
      <c r="U2257" s="26"/>
    </row>
    <row r="2258" spans="1:27" hidden="1" x14ac:dyDescent="0.25">
      <c r="A2258">
        <v>489359</v>
      </c>
      <c r="B2258" t="s">
        <v>2603</v>
      </c>
      <c r="C2258" t="s">
        <v>6958</v>
      </c>
      <c r="D2258">
        <v>1</v>
      </c>
      <c r="E2258" t="s">
        <v>2603</v>
      </c>
      <c r="F2258" t="s">
        <v>6958</v>
      </c>
      <c r="G2258" s="3"/>
      <c r="H2258" s="21">
        <v>0</v>
      </c>
      <c r="I2258" s="21">
        <v>0</v>
      </c>
      <c r="J2258" s="21">
        <v>0</v>
      </c>
      <c r="K2258" s="21">
        <v>0</v>
      </c>
      <c r="L2258" s="3">
        <f t="shared" si="106"/>
        <v>0</v>
      </c>
      <c r="M2258" s="3"/>
      <c r="N2258" s="3">
        <f t="shared" si="107"/>
        <v>0</v>
      </c>
      <c r="R2258" s="89"/>
      <c r="S2258" s="89">
        <f>100%-Table34[[#This Row],[PDF_initial fee]]</f>
        <v>1</v>
      </c>
      <c r="T2258" s="89"/>
      <c r="U2258" s="26"/>
    </row>
    <row r="2259" spans="1:27" hidden="1" x14ac:dyDescent="0.25">
      <c r="A2259">
        <v>489408</v>
      </c>
      <c r="B2259" t="s">
        <v>2604</v>
      </c>
      <c r="C2259" t="s">
        <v>30215</v>
      </c>
      <c r="D2259">
        <v>2</v>
      </c>
      <c r="E2259" t="s">
        <v>2604</v>
      </c>
      <c r="G2259" s="3"/>
      <c r="H2259" s="21">
        <v>0</v>
      </c>
      <c r="I2259" s="21">
        <v>0</v>
      </c>
      <c r="J2259" s="21">
        <v>0</v>
      </c>
      <c r="K2259" s="21">
        <v>0</v>
      </c>
      <c r="L2259" s="3">
        <f t="shared" si="106"/>
        <v>0</v>
      </c>
      <c r="M2259" s="3"/>
      <c r="N2259" s="3">
        <f t="shared" si="107"/>
        <v>0</v>
      </c>
      <c r="O2259" s="21"/>
      <c r="R2259" s="89"/>
      <c r="S2259" s="89">
        <f>100%-Table34[[#This Row],[PDF_initial fee]]</f>
        <v>1</v>
      </c>
      <c r="T2259" s="89"/>
      <c r="U2259" s="26"/>
    </row>
    <row r="2260" spans="1:27" hidden="1" x14ac:dyDescent="0.25">
      <c r="A2260">
        <v>489484</v>
      </c>
      <c r="B2260" t="s">
        <v>2605</v>
      </c>
      <c r="C2260" t="s">
        <v>6958</v>
      </c>
      <c r="D2260">
        <v>7</v>
      </c>
      <c r="E2260" t="s">
        <v>2605</v>
      </c>
      <c r="F2260" t="s">
        <v>6958</v>
      </c>
      <c r="G2260" s="3"/>
      <c r="H2260" s="21">
        <v>0</v>
      </c>
      <c r="I2260" s="21">
        <v>0</v>
      </c>
      <c r="J2260" s="21">
        <v>0</v>
      </c>
      <c r="K2260" s="21">
        <v>0</v>
      </c>
      <c r="L2260" s="3">
        <f t="shared" si="106"/>
        <v>0</v>
      </c>
      <c r="M2260" s="3"/>
      <c r="N2260" s="3">
        <f t="shared" si="107"/>
        <v>0</v>
      </c>
      <c r="R2260" s="89"/>
      <c r="S2260" s="89">
        <f>100%-Table34[[#This Row],[PDF_initial fee]]</f>
        <v>1</v>
      </c>
      <c r="T2260" s="89"/>
      <c r="U2260" s="26"/>
    </row>
    <row r="2261" spans="1:27" hidden="1" x14ac:dyDescent="0.25">
      <c r="A2261">
        <v>489680</v>
      </c>
      <c r="B2261" t="s">
        <v>2606</v>
      </c>
      <c r="C2261" t="s">
        <v>9332</v>
      </c>
      <c r="D2261">
        <v>3</v>
      </c>
      <c r="E2261" t="s">
        <v>2606</v>
      </c>
      <c r="G2261" s="3"/>
      <c r="H2261" s="21">
        <v>0</v>
      </c>
      <c r="I2261" s="21">
        <v>0</v>
      </c>
      <c r="J2261" s="21">
        <v>0</v>
      </c>
      <c r="K2261" s="21">
        <v>0</v>
      </c>
      <c r="L2261" s="3">
        <f t="shared" si="106"/>
        <v>0</v>
      </c>
      <c r="M2261" s="3"/>
      <c r="N2261" s="3">
        <f t="shared" si="107"/>
        <v>0</v>
      </c>
      <c r="R2261" s="89"/>
      <c r="S2261" s="89">
        <f>100%-Table34[[#This Row],[PDF_initial fee]]</f>
        <v>1</v>
      </c>
      <c r="T2261" s="89"/>
      <c r="U2261" s="26"/>
    </row>
    <row r="2262" spans="1:27" hidden="1" x14ac:dyDescent="0.25">
      <c r="A2262">
        <v>489718</v>
      </c>
      <c r="B2262" t="s">
        <v>2607</v>
      </c>
      <c r="C2262" t="s">
        <v>30216</v>
      </c>
      <c r="D2262">
        <v>24</v>
      </c>
      <c r="E2262" t="s">
        <v>2607</v>
      </c>
      <c r="F2262" t="s">
        <v>6</v>
      </c>
      <c r="G2262" s="3"/>
      <c r="H2262" s="21">
        <v>0</v>
      </c>
      <c r="I2262" s="21">
        <v>0</v>
      </c>
      <c r="J2262" s="21">
        <v>0</v>
      </c>
      <c r="K2262" s="21">
        <v>0</v>
      </c>
      <c r="L2262" s="3">
        <f t="shared" si="106"/>
        <v>0</v>
      </c>
      <c r="M2262" s="3"/>
      <c r="N2262" s="3">
        <f t="shared" si="107"/>
        <v>0</v>
      </c>
      <c r="O2262" s="21"/>
      <c r="R2262" s="89"/>
      <c r="S2262" s="89">
        <f>100%-Table34[[#This Row],[PDF_initial fee]]</f>
        <v>1</v>
      </c>
      <c r="T2262" s="89"/>
      <c r="U2262" s="26"/>
    </row>
    <row r="2263" spans="1:27" hidden="1" x14ac:dyDescent="0.25">
      <c r="A2263">
        <v>489795</v>
      </c>
      <c r="B2263" t="s">
        <v>2608</v>
      </c>
      <c r="C2263" t="s">
        <v>30217</v>
      </c>
      <c r="D2263">
        <v>0</v>
      </c>
      <c r="E2263" t="s">
        <v>2608</v>
      </c>
      <c r="F2263" t="s">
        <v>29136</v>
      </c>
      <c r="G2263" s="3"/>
      <c r="H2263" s="21">
        <v>0</v>
      </c>
      <c r="I2263" s="21">
        <v>0</v>
      </c>
      <c r="J2263" s="21">
        <v>0</v>
      </c>
      <c r="K2263" s="21">
        <v>0</v>
      </c>
      <c r="L2263" s="3">
        <f t="shared" si="106"/>
        <v>0</v>
      </c>
      <c r="M2263" s="3"/>
      <c r="N2263" s="3">
        <f t="shared" si="107"/>
        <v>0</v>
      </c>
      <c r="O2263" s="21"/>
      <c r="R2263" s="89"/>
      <c r="S2263" s="89">
        <f>100%-Table34[[#This Row],[PDF_initial fee]]</f>
        <v>1</v>
      </c>
      <c r="T2263" s="89"/>
      <c r="U2263" s="26"/>
    </row>
    <row r="2264" spans="1:27" hidden="1" x14ac:dyDescent="0.25">
      <c r="A2264">
        <v>489807</v>
      </c>
      <c r="B2264" t="s">
        <v>2609</v>
      </c>
      <c r="C2264" s="1" t="s">
        <v>30218</v>
      </c>
      <c r="D2264">
        <v>2</v>
      </c>
      <c r="E2264" t="s">
        <v>2609</v>
      </c>
      <c r="G2264" s="3"/>
      <c r="H2264" s="54"/>
      <c r="I2264" s="54"/>
      <c r="J2264" s="54"/>
      <c r="K2264" s="54"/>
      <c r="L2264" s="3">
        <f t="shared" si="106"/>
        <v>0</v>
      </c>
      <c r="M2264" s="3"/>
      <c r="N2264" s="3">
        <f t="shared" si="107"/>
        <v>0</v>
      </c>
      <c r="R2264" s="89"/>
      <c r="S2264" s="89">
        <f>100%-Table34[[#This Row],[PDF_initial fee]]</f>
        <v>1</v>
      </c>
      <c r="T2264" s="89"/>
      <c r="U2264" s="26"/>
    </row>
    <row r="2265" spans="1:27" hidden="1" x14ac:dyDescent="0.25">
      <c r="A2265">
        <v>489834</v>
      </c>
      <c r="B2265" t="s">
        <v>2610</v>
      </c>
      <c r="C2265" t="s">
        <v>6958</v>
      </c>
      <c r="D2265">
        <v>1</v>
      </c>
      <c r="E2265" t="s">
        <v>2610</v>
      </c>
      <c r="F2265" t="s">
        <v>6958</v>
      </c>
      <c r="G2265" s="3"/>
      <c r="H2265" s="21">
        <v>0</v>
      </c>
      <c r="I2265" s="21">
        <v>0</v>
      </c>
      <c r="J2265" s="21">
        <v>0</v>
      </c>
      <c r="K2265" s="21">
        <v>0</v>
      </c>
      <c r="L2265" s="3">
        <f t="shared" si="106"/>
        <v>0</v>
      </c>
      <c r="M2265" s="3"/>
      <c r="N2265" s="3">
        <f t="shared" si="107"/>
        <v>0</v>
      </c>
      <c r="R2265" s="89"/>
      <c r="S2265" s="89">
        <f>100%-Table34[[#This Row],[PDF_initial fee]]</f>
        <v>1</v>
      </c>
      <c r="T2265" s="89"/>
      <c r="U2265" s="26"/>
    </row>
    <row r="2266" spans="1:27" hidden="1" x14ac:dyDescent="0.25">
      <c r="A2266">
        <v>489839</v>
      </c>
      <c r="B2266" t="s">
        <v>2611</v>
      </c>
      <c r="C2266" t="s">
        <v>30219</v>
      </c>
      <c r="D2266">
        <v>0</v>
      </c>
      <c r="E2266" t="s">
        <v>2611</v>
      </c>
      <c r="F2266" t="s">
        <v>29136</v>
      </c>
      <c r="G2266" s="3"/>
      <c r="H2266" s="21">
        <v>0</v>
      </c>
      <c r="I2266" s="3">
        <v>0</v>
      </c>
      <c r="J2266" s="3">
        <v>0</v>
      </c>
      <c r="K2266">
        <v>0</v>
      </c>
      <c r="L2266" s="3">
        <f t="shared" si="106"/>
        <v>0</v>
      </c>
      <c r="M2266" s="3"/>
      <c r="N2266" s="3">
        <f t="shared" si="107"/>
        <v>0</v>
      </c>
      <c r="R2266" s="89"/>
      <c r="S2266" s="89">
        <f>100%-Table34[[#This Row],[PDF_initial fee]]</f>
        <v>1</v>
      </c>
      <c r="T2266" s="89"/>
      <c r="U2266" s="26"/>
    </row>
    <row r="2267" spans="1:27" hidden="1" x14ac:dyDescent="0.25">
      <c r="A2267">
        <v>489840</v>
      </c>
      <c r="B2267" t="s">
        <v>2612</v>
      </c>
      <c r="C2267" t="s">
        <v>6958</v>
      </c>
      <c r="D2267">
        <v>0</v>
      </c>
      <c r="E2267" t="s">
        <v>2612</v>
      </c>
      <c r="F2267" t="s">
        <v>6958</v>
      </c>
      <c r="G2267" s="3"/>
      <c r="H2267" s="21">
        <v>0</v>
      </c>
      <c r="I2267" s="21">
        <v>0</v>
      </c>
      <c r="J2267" s="21">
        <v>0</v>
      </c>
      <c r="K2267" s="21">
        <v>0</v>
      </c>
      <c r="L2267" s="3">
        <f t="shared" si="106"/>
        <v>0</v>
      </c>
      <c r="M2267" s="3"/>
      <c r="N2267" s="3">
        <f t="shared" si="107"/>
        <v>0</v>
      </c>
      <c r="R2267" s="89"/>
      <c r="S2267" s="89">
        <f>100%-Table34[[#This Row],[PDF_initial fee]]</f>
        <v>1</v>
      </c>
      <c r="T2267" s="89"/>
      <c r="U2267" s="26"/>
    </row>
    <row r="2268" spans="1:27" hidden="1" x14ac:dyDescent="0.25">
      <c r="A2268">
        <v>489927</v>
      </c>
      <c r="B2268" t="s">
        <v>2613</v>
      </c>
      <c r="C2268" t="s">
        <v>6958</v>
      </c>
      <c r="D2268">
        <v>6</v>
      </c>
      <c r="E2268" t="s">
        <v>2613</v>
      </c>
      <c r="F2268" t="s">
        <v>6958</v>
      </c>
      <c r="G2268" s="3"/>
      <c r="H2268" s="21">
        <v>0</v>
      </c>
      <c r="I2268" s="21">
        <v>0</v>
      </c>
      <c r="J2268" s="21">
        <v>0</v>
      </c>
      <c r="K2268" s="21">
        <v>0</v>
      </c>
      <c r="L2268" s="3">
        <f t="shared" si="106"/>
        <v>0</v>
      </c>
      <c r="M2268" s="3"/>
      <c r="N2268" s="3">
        <f t="shared" si="107"/>
        <v>0</v>
      </c>
      <c r="R2268" s="89"/>
      <c r="S2268" s="89">
        <f>100%-Table34[[#This Row],[PDF_initial fee]]</f>
        <v>1</v>
      </c>
      <c r="T2268" s="89"/>
      <c r="U2268" s="26"/>
    </row>
    <row r="2269" spans="1:27" hidden="1" x14ac:dyDescent="0.25">
      <c r="A2269">
        <v>490071</v>
      </c>
      <c r="B2269" t="s">
        <v>2614</v>
      </c>
      <c r="C2269" t="s">
        <v>8745</v>
      </c>
      <c r="D2269">
        <v>2</v>
      </c>
      <c r="E2269" t="s">
        <v>2614</v>
      </c>
      <c r="G2269" s="3"/>
      <c r="H2269" s="21">
        <v>0</v>
      </c>
      <c r="I2269" s="21">
        <v>0</v>
      </c>
      <c r="J2269" s="21">
        <v>0</v>
      </c>
      <c r="K2269" s="21">
        <v>0</v>
      </c>
      <c r="L2269" s="3">
        <f t="shared" si="106"/>
        <v>0</v>
      </c>
      <c r="M2269" s="3"/>
      <c r="N2269" s="3">
        <f t="shared" si="107"/>
        <v>0</v>
      </c>
      <c r="R2269" s="89"/>
      <c r="S2269" s="89">
        <f>100%-Table34[[#This Row],[PDF_initial fee]]</f>
        <v>1</v>
      </c>
      <c r="T2269" s="89"/>
      <c r="U2269" s="26"/>
    </row>
    <row r="2270" spans="1:27" hidden="1" x14ac:dyDescent="0.25">
      <c r="A2270">
        <v>490515</v>
      </c>
      <c r="B2270" t="s">
        <v>2615</v>
      </c>
      <c r="C2270" t="s">
        <v>11214</v>
      </c>
      <c r="D2270">
        <v>7</v>
      </c>
      <c r="E2270" t="s">
        <v>2615</v>
      </c>
      <c r="G2270" s="3"/>
      <c r="L2270" s="3">
        <f t="shared" si="106"/>
        <v>0</v>
      </c>
      <c r="M2270" s="3"/>
      <c r="N2270" s="3">
        <f t="shared" si="107"/>
        <v>0</v>
      </c>
      <c r="R2270" s="89"/>
      <c r="S2270" s="89">
        <f>100%-Table34[[#This Row],[PDF_initial fee]]</f>
        <v>1</v>
      </c>
      <c r="T2270" s="89"/>
      <c r="U2270" s="26"/>
    </row>
    <row r="2271" spans="1:27" x14ac:dyDescent="0.25">
      <c r="A2271">
        <v>189816</v>
      </c>
      <c r="B2271" t="s">
        <v>96</v>
      </c>
      <c r="C2271" s="1" t="s">
        <v>9316</v>
      </c>
      <c r="D2271">
        <v>1</v>
      </c>
      <c r="E2271" t="s">
        <v>96</v>
      </c>
      <c r="F2271" t="s">
        <v>3</v>
      </c>
      <c r="G2271" s="3">
        <v>1.4E-3</v>
      </c>
      <c r="H2271" s="21">
        <f>2%</f>
        <v>0.02</v>
      </c>
      <c r="I2271" s="21">
        <v>0.01</v>
      </c>
      <c r="J2271" s="6">
        <v>0</v>
      </c>
      <c r="K2271" s="6">
        <v>0</v>
      </c>
      <c r="L2271" s="3">
        <f t="shared" si="106"/>
        <v>0.03</v>
      </c>
      <c r="M2271" s="3"/>
      <c r="N2271" s="3">
        <f t="shared" si="107"/>
        <v>3.1399999999999997E-2</v>
      </c>
      <c r="P2271" s="1" t="s">
        <v>30220</v>
      </c>
      <c r="Q2271" t="s">
        <v>31787</v>
      </c>
      <c r="R2271" s="89">
        <v>0.33333333333333348</v>
      </c>
      <c r="S2271" s="89">
        <f>100%-Table34[[#This Row],[InitialFee]]</f>
        <v>0.98</v>
      </c>
      <c r="T2271" s="89">
        <f>(1-Table34[[#This Row],[OngoingFee (plus Platform fee)]])^5</f>
        <v>0.95099004989999991</v>
      </c>
      <c r="U2271" s="26">
        <f>(1+Table34[[#This Row],[Net 5yrs return (mostly up to 28th of Feb 2026)]])*Table34[[#This Row],[Investment after initial charge]]*Table34[[#This Row],[Cummulative 5yrs ongoing advice charge]]-1</f>
        <v>0.24262699853600012</v>
      </c>
      <c r="V2271" s="10">
        <v>187655</v>
      </c>
      <c r="W2271" t="s">
        <v>29051</v>
      </c>
      <c r="X2271" s="10">
        <v>131656</v>
      </c>
      <c r="Y2271" s="30">
        <f>X2271/V2271</f>
        <v>0.70158535610561934</v>
      </c>
      <c r="AA2271" s="1" t="s">
        <v>30221</v>
      </c>
    </row>
    <row r="2272" spans="1:27" hidden="1" x14ac:dyDescent="0.25">
      <c r="A2272">
        <v>490575</v>
      </c>
      <c r="B2272" t="s">
        <v>2616</v>
      </c>
      <c r="C2272" t="s">
        <v>6958</v>
      </c>
      <c r="D2272">
        <v>2</v>
      </c>
      <c r="E2272" t="s">
        <v>2616</v>
      </c>
      <c r="F2272" t="s">
        <v>6958</v>
      </c>
      <c r="G2272" s="3"/>
      <c r="H2272" s="21">
        <v>0</v>
      </c>
      <c r="I2272" s="21">
        <v>0</v>
      </c>
      <c r="J2272" s="21">
        <v>0</v>
      </c>
      <c r="K2272" s="21">
        <v>0</v>
      </c>
      <c r="L2272" s="3">
        <f t="shared" si="106"/>
        <v>0</v>
      </c>
      <c r="M2272" s="3"/>
      <c r="N2272" s="3">
        <f t="shared" si="107"/>
        <v>0</v>
      </c>
      <c r="R2272" s="89"/>
      <c r="S2272" s="89">
        <f>100%-Table34[[#This Row],[PDF_initial fee]]</f>
        <v>1</v>
      </c>
      <c r="T2272" s="89"/>
      <c r="U2272" s="26"/>
    </row>
    <row r="2273" spans="1:21" hidden="1" x14ac:dyDescent="0.25">
      <c r="A2273">
        <v>490740</v>
      </c>
      <c r="B2273" t="s">
        <v>2617</v>
      </c>
      <c r="C2273" t="s">
        <v>30222</v>
      </c>
      <c r="D2273">
        <v>2</v>
      </c>
      <c r="E2273" t="s">
        <v>2617</v>
      </c>
      <c r="G2273" s="3"/>
      <c r="H2273" s="3">
        <v>0</v>
      </c>
      <c r="I2273" s="3">
        <v>0</v>
      </c>
      <c r="J2273" s="3">
        <v>0</v>
      </c>
      <c r="K2273" s="3">
        <v>0</v>
      </c>
      <c r="L2273" s="3">
        <f t="shared" si="106"/>
        <v>0</v>
      </c>
      <c r="M2273" s="3"/>
      <c r="N2273" s="3">
        <f t="shared" si="107"/>
        <v>0</v>
      </c>
      <c r="R2273" s="89"/>
      <c r="S2273" s="89">
        <f>100%-Table34[[#This Row],[PDF_initial fee]]</f>
        <v>1</v>
      </c>
      <c r="T2273" s="89"/>
      <c r="U2273" s="26"/>
    </row>
    <row r="2274" spans="1:21" hidden="1" x14ac:dyDescent="0.25">
      <c r="A2274">
        <v>490826</v>
      </c>
      <c r="B2274" t="s">
        <v>2618</v>
      </c>
      <c r="C2274" t="s">
        <v>6958</v>
      </c>
      <c r="D2274">
        <v>3</v>
      </c>
      <c r="E2274" t="s">
        <v>2618</v>
      </c>
      <c r="F2274" t="s">
        <v>6958</v>
      </c>
      <c r="G2274" s="3"/>
      <c r="L2274" s="3">
        <f t="shared" si="106"/>
        <v>0</v>
      </c>
      <c r="M2274" s="3"/>
      <c r="N2274" s="3">
        <f t="shared" si="107"/>
        <v>0</v>
      </c>
      <c r="R2274" s="89"/>
      <c r="S2274" s="89">
        <f>100%-Table34[[#This Row],[PDF_initial fee]]</f>
        <v>1</v>
      </c>
      <c r="T2274" s="89"/>
      <c r="U2274" s="26"/>
    </row>
    <row r="2275" spans="1:21" hidden="1" x14ac:dyDescent="0.25">
      <c r="A2275">
        <v>491145</v>
      </c>
      <c r="B2275" t="s">
        <v>2619</v>
      </c>
      <c r="C2275" t="s">
        <v>10526</v>
      </c>
      <c r="D2275">
        <v>1</v>
      </c>
      <c r="E2275" t="s">
        <v>2619</v>
      </c>
      <c r="G2275" s="3"/>
      <c r="L2275" s="3">
        <f t="shared" si="106"/>
        <v>0</v>
      </c>
      <c r="M2275" s="3"/>
      <c r="N2275" s="3">
        <f t="shared" si="107"/>
        <v>0</v>
      </c>
      <c r="R2275" s="89"/>
      <c r="S2275" s="89">
        <f>100%-Table34[[#This Row],[PDF_initial fee]]</f>
        <v>1</v>
      </c>
      <c r="T2275" s="89"/>
      <c r="U2275" s="26"/>
    </row>
    <row r="2276" spans="1:21" hidden="1" x14ac:dyDescent="0.25">
      <c r="A2276">
        <v>491169</v>
      </c>
      <c r="B2276" t="s">
        <v>2620</v>
      </c>
      <c r="C2276" t="s">
        <v>9188</v>
      </c>
      <c r="D2276">
        <v>0</v>
      </c>
      <c r="E2276" t="s">
        <v>2620</v>
      </c>
      <c r="F2276" t="s">
        <v>29136</v>
      </c>
      <c r="G2276" s="3"/>
      <c r="H2276" s="21">
        <v>0</v>
      </c>
      <c r="I2276" s="21">
        <v>0</v>
      </c>
      <c r="J2276" s="21">
        <v>0</v>
      </c>
      <c r="K2276" s="21">
        <v>0</v>
      </c>
      <c r="L2276" s="3">
        <f t="shared" si="106"/>
        <v>0</v>
      </c>
      <c r="M2276" s="3"/>
      <c r="N2276" s="3">
        <f t="shared" si="107"/>
        <v>0</v>
      </c>
      <c r="R2276" s="89"/>
      <c r="S2276" s="89">
        <f>100%-Table34[[#This Row],[PDF_initial fee]]</f>
        <v>1</v>
      </c>
      <c r="T2276" s="89"/>
      <c r="U2276" s="26"/>
    </row>
    <row r="2277" spans="1:21" hidden="1" x14ac:dyDescent="0.25">
      <c r="A2277">
        <v>491377</v>
      </c>
      <c r="B2277" t="s">
        <v>2621</v>
      </c>
      <c r="C2277" t="s">
        <v>30223</v>
      </c>
      <c r="D2277">
        <v>2</v>
      </c>
      <c r="E2277" t="s">
        <v>2621</v>
      </c>
      <c r="G2277" s="3"/>
      <c r="H2277" s="21">
        <v>0</v>
      </c>
      <c r="I2277" s="21">
        <v>0</v>
      </c>
      <c r="J2277" s="21">
        <v>0</v>
      </c>
      <c r="K2277" s="21">
        <v>0</v>
      </c>
      <c r="L2277" s="3">
        <f t="shared" si="106"/>
        <v>0</v>
      </c>
      <c r="M2277" s="3"/>
      <c r="N2277" s="3">
        <f t="shared" si="107"/>
        <v>0</v>
      </c>
      <c r="O2277" s="21"/>
      <c r="R2277" s="89"/>
      <c r="S2277" s="89">
        <f>100%-Table34[[#This Row],[PDF_initial fee]]</f>
        <v>1</v>
      </c>
      <c r="T2277" s="89"/>
      <c r="U2277" s="26"/>
    </row>
    <row r="2278" spans="1:21" hidden="1" x14ac:dyDescent="0.25">
      <c r="A2278">
        <v>491461</v>
      </c>
      <c r="B2278" t="s">
        <v>2622</v>
      </c>
      <c r="C2278" t="s">
        <v>12366</v>
      </c>
      <c r="D2278">
        <v>9</v>
      </c>
      <c r="E2278" t="s">
        <v>2622</v>
      </c>
      <c r="G2278" s="3"/>
      <c r="H2278" s="21">
        <v>0</v>
      </c>
      <c r="I2278" s="21">
        <v>0</v>
      </c>
      <c r="J2278" s="21">
        <v>0</v>
      </c>
      <c r="K2278" s="21">
        <v>0</v>
      </c>
      <c r="L2278" s="3">
        <f t="shared" si="106"/>
        <v>0</v>
      </c>
      <c r="M2278" s="3"/>
      <c r="N2278" s="3">
        <f t="shared" si="107"/>
        <v>0</v>
      </c>
      <c r="R2278" s="89"/>
      <c r="S2278" s="89">
        <f>100%-Table34[[#This Row],[PDF_initial fee]]</f>
        <v>1</v>
      </c>
      <c r="T2278" s="89"/>
      <c r="U2278" s="26"/>
    </row>
    <row r="2279" spans="1:21" hidden="1" x14ac:dyDescent="0.25">
      <c r="A2279">
        <v>491656</v>
      </c>
      <c r="B2279" t="s">
        <v>2623</v>
      </c>
      <c r="C2279" t="s">
        <v>7258</v>
      </c>
      <c r="D2279">
        <v>1</v>
      </c>
      <c r="E2279" t="s">
        <v>2623</v>
      </c>
      <c r="G2279" s="3"/>
      <c r="H2279" s="21">
        <v>0</v>
      </c>
      <c r="I2279" s="21">
        <v>0</v>
      </c>
      <c r="J2279" s="21">
        <v>0</v>
      </c>
      <c r="K2279" s="21">
        <v>0</v>
      </c>
      <c r="L2279" s="3">
        <f t="shared" si="106"/>
        <v>0</v>
      </c>
      <c r="M2279" s="3"/>
      <c r="N2279" s="3">
        <f t="shared" si="107"/>
        <v>0</v>
      </c>
      <c r="R2279" s="89"/>
      <c r="S2279" s="89">
        <f>100%-Table34[[#This Row],[PDF_initial fee]]</f>
        <v>1</v>
      </c>
      <c r="T2279" s="89"/>
      <c r="U2279" s="26"/>
    </row>
    <row r="2280" spans="1:21" hidden="1" x14ac:dyDescent="0.25">
      <c r="A2280">
        <v>491660</v>
      </c>
      <c r="B2280" t="s">
        <v>2624</v>
      </c>
      <c r="C2280" t="s">
        <v>7074</v>
      </c>
      <c r="D2280">
        <v>1</v>
      </c>
      <c r="E2280" t="s">
        <v>2624</v>
      </c>
      <c r="G2280" s="3"/>
      <c r="H2280" s="21">
        <v>0</v>
      </c>
      <c r="I2280" s="21">
        <v>0</v>
      </c>
      <c r="J2280" s="21">
        <v>0</v>
      </c>
      <c r="K2280" s="21">
        <v>0</v>
      </c>
      <c r="L2280" s="3">
        <f t="shared" si="106"/>
        <v>0</v>
      </c>
      <c r="M2280" s="3"/>
      <c r="N2280" s="3">
        <f t="shared" si="107"/>
        <v>0</v>
      </c>
      <c r="R2280" s="89"/>
      <c r="S2280" s="89">
        <f>100%-Table34[[#This Row],[PDF_initial fee]]</f>
        <v>1</v>
      </c>
      <c r="T2280" s="89"/>
      <c r="U2280" s="26"/>
    </row>
    <row r="2281" spans="1:21" hidden="1" x14ac:dyDescent="0.25">
      <c r="A2281">
        <v>491666</v>
      </c>
      <c r="B2281" t="s">
        <v>2625</v>
      </c>
      <c r="C2281" t="s">
        <v>30224</v>
      </c>
      <c r="D2281">
        <v>3</v>
      </c>
      <c r="E2281" t="s">
        <v>2625</v>
      </c>
      <c r="G2281" s="3"/>
      <c r="H2281" s="21">
        <v>0</v>
      </c>
      <c r="I2281" s="21">
        <v>0</v>
      </c>
      <c r="J2281" s="21">
        <v>0</v>
      </c>
      <c r="K2281" s="21">
        <v>0</v>
      </c>
      <c r="L2281" s="3">
        <f t="shared" si="106"/>
        <v>0</v>
      </c>
      <c r="M2281" s="3"/>
      <c r="N2281" s="3">
        <f t="shared" si="107"/>
        <v>0</v>
      </c>
      <c r="O2281" s="21"/>
      <c r="R2281" s="89"/>
      <c r="S2281" s="89">
        <f>100%-Table34[[#This Row],[PDF_initial fee]]</f>
        <v>1</v>
      </c>
      <c r="T2281" s="89"/>
      <c r="U2281" s="26"/>
    </row>
    <row r="2282" spans="1:21" hidden="1" x14ac:dyDescent="0.25">
      <c r="A2282">
        <v>491834</v>
      </c>
      <c r="B2282" t="s">
        <v>2626</v>
      </c>
      <c r="C2282" t="s">
        <v>12427</v>
      </c>
      <c r="D2282">
        <v>3</v>
      </c>
      <c r="E2282" t="s">
        <v>2626</v>
      </c>
      <c r="G2282" s="3"/>
      <c r="L2282" s="3">
        <f t="shared" si="106"/>
        <v>0</v>
      </c>
      <c r="M2282" s="3"/>
      <c r="N2282" s="3">
        <f t="shared" si="107"/>
        <v>0</v>
      </c>
      <c r="R2282" s="89"/>
      <c r="S2282" s="89">
        <f>100%-Table34[[#This Row],[PDF_initial fee]]</f>
        <v>1</v>
      </c>
      <c r="T2282" s="89"/>
      <c r="U2282" s="26"/>
    </row>
    <row r="2283" spans="1:21" hidden="1" x14ac:dyDescent="0.25">
      <c r="A2283">
        <v>491901</v>
      </c>
      <c r="B2283" t="s">
        <v>2627</v>
      </c>
      <c r="C2283" t="s">
        <v>11746</v>
      </c>
      <c r="D2283">
        <v>2</v>
      </c>
      <c r="E2283" t="s">
        <v>2627</v>
      </c>
      <c r="G2283" s="3"/>
      <c r="H2283" s="21">
        <v>0</v>
      </c>
      <c r="I2283" s="21">
        <v>0</v>
      </c>
      <c r="J2283" s="21">
        <v>0</v>
      </c>
      <c r="K2283" s="21">
        <v>0</v>
      </c>
      <c r="L2283" s="3">
        <f t="shared" si="106"/>
        <v>0</v>
      </c>
      <c r="M2283" s="3"/>
      <c r="N2283" s="3">
        <f t="shared" si="107"/>
        <v>0</v>
      </c>
      <c r="R2283" s="89"/>
      <c r="S2283" s="89">
        <f>100%-Table34[[#This Row],[PDF_initial fee]]</f>
        <v>1</v>
      </c>
      <c r="T2283" s="89"/>
      <c r="U2283" s="26"/>
    </row>
    <row r="2284" spans="1:21" hidden="1" x14ac:dyDescent="0.25">
      <c r="A2284">
        <v>491905</v>
      </c>
      <c r="B2284" t="s">
        <v>2628</v>
      </c>
      <c r="C2284" t="s">
        <v>6958</v>
      </c>
      <c r="D2284">
        <v>1</v>
      </c>
      <c r="E2284" t="s">
        <v>2628</v>
      </c>
      <c r="F2284" t="s">
        <v>6958</v>
      </c>
      <c r="G2284" s="3"/>
      <c r="H2284" s="21">
        <v>0</v>
      </c>
      <c r="I2284" s="21">
        <v>0</v>
      </c>
      <c r="J2284" s="21">
        <v>0</v>
      </c>
      <c r="K2284" s="21">
        <v>0</v>
      </c>
      <c r="L2284" s="3">
        <f t="shared" ref="L2284:L2347" si="108">SUM(H2284:K2284)</f>
        <v>0</v>
      </c>
      <c r="M2284" s="3"/>
      <c r="N2284" s="3">
        <f t="shared" si="107"/>
        <v>0</v>
      </c>
      <c r="R2284" s="89"/>
      <c r="S2284" s="89">
        <f>100%-Table34[[#This Row],[PDF_initial fee]]</f>
        <v>1</v>
      </c>
      <c r="T2284" s="89"/>
      <c r="U2284" s="26"/>
    </row>
    <row r="2285" spans="1:21" hidden="1" x14ac:dyDescent="0.25">
      <c r="A2285">
        <v>491916</v>
      </c>
      <c r="B2285" t="s">
        <v>2629</v>
      </c>
      <c r="C2285" t="s">
        <v>6958</v>
      </c>
      <c r="D2285">
        <v>1</v>
      </c>
      <c r="E2285" t="s">
        <v>2629</v>
      </c>
      <c r="F2285" t="s">
        <v>6958</v>
      </c>
      <c r="G2285" s="3"/>
      <c r="H2285" s="21">
        <v>0</v>
      </c>
      <c r="I2285" s="21">
        <v>0</v>
      </c>
      <c r="J2285" s="21">
        <v>0</v>
      </c>
      <c r="K2285" s="21">
        <v>0</v>
      </c>
      <c r="L2285" s="3">
        <f t="shared" si="108"/>
        <v>0</v>
      </c>
      <c r="M2285" s="3"/>
      <c r="N2285" s="3">
        <f t="shared" si="107"/>
        <v>0</v>
      </c>
      <c r="R2285" s="89"/>
      <c r="S2285" s="89">
        <f>100%-Table34[[#This Row],[PDF_initial fee]]</f>
        <v>1</v>
      </c>
      <c r="T2285" s="89"/>
      <c r="U2285" s="26"/>
    </row>
    <row r="2286" spans="1:21" hidden="1" x14ac:dyDescent="0.25">
      <c r="A2286">
        <v>492124</v>
      </c>
      <c r="B2286" t="s">
        <v>2630</v>
      </c>
      <c r="C2286" t="s">
        <v>11971</v>
      </c>
      <c r="D2286">
        <v>3</v>
      </c>
      <c r="E2286" t="s">
        <v>2630</v>
      </c>
      <c r="G2286" s="3"/>
      <c r="H2286" s="21">
        <v>0</v>
      </c>
      <c r="I2286" s="21">
        <v>0</v>
      </c>
      <c r="J2286" s="21">
        <v>0</v>
      </c>
      <c r="K2286" s="21">
        <v>0</v>
      </c>
      <c r="L2286" s="3">
        <f t="shared" si="108"/>
        <v>0</v>
      </c>
      <c r="M2286" s="3"/>
      <c r="N2286" s="3">
        <f t="shared" si="107"/>
        <v>0</v>
      </c>
      <c r="R2286" s="89"/>
      <c r="S2286" s="89">
        <f>100%-Table34[[#This Row],[PDF_initial fee]]</f>
        <v>1</v>
      </c>
      <c r="T2286" s="89"/>
      <c r="U2286" s="26"/>
    </row>
    <row r="2287" spans="1:21" hidden="1" x14ac:dyDescent="0.25">
      <c r="A2287">
        <v>492241</v>
      </c>
      <c r="B2287" t="s">
        <v>2631</v>
      </c>
      <c r="C2287" t="s">
        <v>10802</v>
      </c>
      <c r="D2287">
        <v>9</v>
      </c>
      <c r="E2287" t="s">
        <v>2631</v>
      </c>
      <c r="G2287" s="3"/>
      <c r="H2287" s="21">
        <v>0</v>
      </c>
      <c r="I2287" s="21">
        <v>0</v>
      </c>
      <c r="J2287" s="21">
        <v>0</v>
      </c>
      <c r="K2287" s="21">
        <v>0</v>
      </c>
      <c r="L2287" s="3">
        <f t="shared" si="108"/>
        <v>0</v>
      </c>
      <c r="M2287" s="3"/>
      <c r="N2287" s="3">
        <f t="shared" si="107"/>
        <v>0</v>
      </c>
      <c r="R2287" s="89"/>
      <c r="S2287" s="89">
        <f>100%-Table34[[#This Row],[PDF_initial fee]]</f>
        <v>1</v>
      </c>
      <c r="T2287" s="89"/>
      <c r="U2287" s="26"/>
    </row>
    <row r="2288" spans="1:21" hidden="1" x14ac:dyDescent="0.25">
      <c r="A2288">
        <v>492277</v>
      </c>
      <c r="B2288" t="s">
        <v>2632</v>
      </c>
      <c r="C2288" t="s">
        <v>30225</v>
      </c>
      <c r="D2288">
        <v>1</v>
      </c>
      <c r="E2288" t="s">
        <v>2632</v>
      </c>
      <c r="G2288" s="3"/>
      <c r="H2288" s="21">
        <v>0</v>
      </c>
      <c r="I2288" s="21">
        <v>0</v>
      </c>
      <c r="J2288" s="21">
        <v>0</v>
      </c>
      <c r="K2288" s="21">
        <v>0</v>
      </c>
      <c r="L2288" s="3">
        <f t="shared" si="108"/>
        <v>0</v>
      </c>
      <c r="M2288" s="3"/>
      <c r="N2288" s="3">
        <f t="shared" si="107"/>
        <v>0</v>
      </c>
      <c r="O2288" s="21"/>
      <c r="R2288" s="89"/>
      <c r="S2288" s="89">
        <f>100%-Table34[[#This Row],[PDF_initial fee]]</f>
        <v>1</v>
      </c>
      <c r="T2288" s="89"/>
      <c r="U2288" s="26"/>
    </row>
    <row r="2289" spans="1:21" hidden="1" x14ac:dyDescent="0.25">
      <c r="A2289">
        <v>492377</v>
      </c>
      <c r="B2289" t="s">
        <v>2633</v>
      </c>
      <c r="C2289" t="s">
        <v>6958</v>
      </c>
      <c r="D2289">
        <v>1</v>
      </c>
      <c r="E2289" t="s">
        <v>2633</v>
      </c>
      <c r="F2289" t="s">
        <v>6958</v>
      </c>
      <c r="G2289" s="3"/>
      <c r="H2289" s="21">
        <v>0</v>
      </c>
      <c r="I2289" s="21">
        <v>0</v>
      </c>
      <c r="J2289" s="21">
        <v>0</v>
      </c>
      <c r="K2289" s="21">
        <v>0</v>
      </c>
      <c r="L2289" s="3">
        <f t="shared" si="108"/>
        <v>0</v>
      </c>
      <c r="M2289" s="3"/>
      <c r="N2289" s="3">
        <f t="shared" si="107"/>
        <v>0</v>
      </c>
      <c r="R2289" s="89"/>
      <c r="S2289" s="89">
        <f>100%-Table34[[#This Row],[PDF_initial fee]]</f>
        <v>1</v>
      </c>
      <c r="T2289" s="89"/>
      <c r="U2289" s="26"/>
    </row>
    <row r="2290" spans="1:21" hidden="1" x14ac:dyDescent="0.25">
      <c r="A2290">
        <v>492444</v>
      </c>
      <c r="B2290" t="s">
        <v>2634</v>
      </c>
      <c r="C2290" t="s">
        <v>9617</v>
      </c>
      <c r="D2290">
        <v>4</v>
      </c>
      <c r="E2290" t="s">
        <v>2634</v>
      </c>
      <c r="G2290" s="3"/>
      <c r="H2290" s="21">
        <v>0</v>
      </c>
      <c r="I2290" s="21">
        <v>0</v>
      </c>
      <c r="J2290" s="21">
        <v>0</v>
      </c>
      <c r="K2290" s="21">
        <v>0</v>
      </c>
      <c r="L2290" s="3">
        <f t="shared" si="108"/>
        <v>0</v>
      </c>
      <c r="M2290" s="3"/>
      <c r="N2290" s="3">
        <f t="shared" si="107"/>
        <v>0</v>
      </c>
      <c r="R2290" s="89"/>
      <c r="S2290" s="89">
        <f>100%-Table34[[#This Row],[PDF_initial fee]]</f>
        <v>1</v>
      </c>
      <c r="T2290" s="89"/>
      <c r="U2290" s="26"/>
    </row>
    <row r="2291" spans="1:21" hidden="1" x14ac:dyDescent="0.25">
      <c r="A2291">
        <v>492448</v>
      </c>
      <c r="B2291" t="s">
        <v>2635</v>
      </c>
      <c r="C2291" t="s">
        <v>9887</v>
      </c>
      <c r="D2291">
        <v>2</v>
      </c>
      <c r="E2291" t="s">
        <v>2635</v>
      </c>
      <c r="G2291" s="3"/>
      <c r="H2291" s="21">
        <v>0</v>
      </c>
      <c r="I2291" s="21">
        <v>0</v>
      </c>
      <c r="J2291" s="21">
        <v>0</v>
      </c>
      <c r="K2291" s="21">
        <v>0</v>
      </c>
      <c r="L2291" s="3">
        <f t="shared" si="108"/>
        <v>0</v>
      </c>
      <c r="M2291" s="3"/>
      <c r="N2291" s="3">
        <f t="shared" si="107"/>
        <v>0</v>
      </c>
      <c r="R2291" s="89"/>
      <c r="S2291" s="89">
        <f>100%-Table34[[#This Row],[PDF_initial fee]]</f>
        <v>1</v>
      </c>
      <c r="T2291" s="89"/>
      <c r="U2291" s="26"/>
    </row>
    <row r="2292" spans="1:21" hidden="1" x14ac:dyDescent="0.25">
      <c r="A2292">
        <v>492519</v>
      </c>
      <c r="B2292" t="s">
        <v>2636</v>
      </c>
      <c r="C2292" t="s">
        <v>30226</v>
      </c>
      <c r="D2292">
        <v>4</v>
      </c>
      <c r="E2292" t="s">
        <v>2636</v>
      </c>
      <c r="G2292" s="3"/>
      <c r="H2292" s="39"/>
      <c r="I2292" s="39"/>
      <c r="J2292" s="39" t="s">
        <v>30227</v>
      </c>
      <c r="K2292" s="39"/>
      <c r="L2292" s="3">
        <f t="shared" si="108"/>
        <v>0</v>
      </c>
      <c r="M2292" s="3"/>
      <c r="N2292" s="3">
        <f t="shared" si="107"/>
        <v>0</v>
      </c>
      <c r="O2292" s="39"/>
      <c r="R2292" s="89"/>
      <c r="S2292" s="89" t="e">
        <f>100%-Table34[[#This Row],[PDF_initial fee]]</f>
        <v>#VALUE!</v>
      </c>
      <c r="T2292" s="89"/>
      <c r="U2292" s="26"/>
    </row>
    <row r="2293" spans="1:21" hidden="1" x14ac:dyDescent="0.25">
      <c r="A2293">
        <v>493035</v>
      </c>
      <c r="B2293" t="s">
        <v>2637</v>
      </c>
      <c r="C2293" t="s">
        <v>6958</v>
      </c>
      <c r="D2293">
        <v>6</v>
      </c>
      <c r="E2293" t="s">
        <v>2637</v>
      </c>
      <c r="F2293" t="s">
        <v>6958</v>
      </c>
      <c r="G2293" s="3"/>
      <c r="H2293" s="21">
        <v>0</v>
      </c>
      <c r="I2293" s="21">
        <v>0</v>
      </c>
      <c r="J2293" s="21">
        <v>0</v>
      </c>
      <c r="K2293" s="21">
        <v>0</v>
      </c>
      <c r="L2293" s="3">
        <f t="shared" si="108"/>
        <v>0</v>
      </c>
      <c r="M2293" s="3"/>
      <c r="N2293" s="3">
        <f t="shared" si="107"/>
        <v>0</v>
      </c>
      <c r="R2293" s="89"/>
      <c r="S2293" s="89">
        <f>100%-Table34[[#This Row],[PDF_initial fee]]</f>
        <v>1</v>
      </c>
      <c r="T2293" s="89"/>
      <c r="U2293" s="26"/>
    </row>
    <row r="2294" spans="1:21" hidden="1" x14ac:dyDescent="0.25">
      <c r="A2294">
        <v>493195</v>
      </c>
      <c r="B2294" t="s">
        <v>2638</v>
      </c>
      <c r="C2294" s="1" t="s">
        <v>30228</v>
      </c>
      <c r="D2294">
        <v>2</v>
      </c>
      <c r="E2294" t="s">
        <v>2638</v>
      </c>
      <c r="G2294" s="3"/>
      <c r="H2294" s="3">
        <v>0</v>
      </c>
      <c r="I2294" s="3">
        <v>0</v>
      </c>
      <c r="J2294" s="3">
        <v>0</v>
      </c>
      <c r="K2294" s="3">
        <v>0</v>
      </c>
      <c r="L2294" s="3">
        <f t="shared" si="108"/>
        <v>0</v>
      </c>
      <c r="M2294" s="3"/>
      <c r="N2294" s="3">
        <f t="shared" si="107"/>
        <v>0</v>
      </c>
      <c r="R2294" s="89"/>
      <c r="S2294" s="89">
        <f>100%-Table34[[#This Row],[PDF_initial fee]]</f>
        <v>1</v>
      </c>
      <c r="T2294" s="89"/>
      <c r="U2294" s="26"/>
    </row>
    <row r="2295" spans="1:21" hidden="1" x14ac:dyDescent="0.25">
      <c r="A2295">
        <v>493625</v>
      </c>
      <c r="B2295" t="s">
        <v>2640</v>
      </c>
      <c r="C2295" t="s">
        <v>11136</v>
      </c>
      <c r="D2295">
        <v>15</v>
      </c>
      <c r="E2295" t="s">
        <v>2640</v>
      </c>
      <c r="G2295" s="3"/>
      <c r="H2295" s="21">
        <v>0</v>
      </c>
      <c r="I2295" s="21">
        <v>0</v>
      </c>
      <c r="J2295" s="21">
        <v>0</v>
      </c>
      <c r="K2295" s="21">
        <v>0</v>
      </c>
      <c r="L2295" s="3">
        <f t="shared" si="108"/>
        <v>0</v>
      </c>
      <c r="M2295" s="3"/>
      <c r="N2295" s="3">
        <f t="shared" si="107"/>
        <v>0</v>
      </c>
      <c r="R2295" s="89"/>
      <c r="S2295" s="89">
        <f>100%-Table34[[#This Row],[PDF_initial fee]]</f>
        <v>1</v>
      </c>
      <c r="T2295" s="89"/>
      <c r="U2295" s="26"/>
    </row>
    <row r="2296" spans="1:21" hidden="1" x14ac:dyDescent="0.25">
      <c r="A2296">
        <v>493873</v>
      </c>
      <c r="B2296" t="s">
        <v>2642</v>
      </c>
      <c r="C2296" t="s">
        <v>7813</v>
      </c>
      <c r="D2296">
        <v>2</v>
      </c>
      <c r="E2296" t="s">
        <v>2642</v>
      </c>
      <c r="G2296" s="3"/>
      <c r="H2296" s="21">
        <v>0</v>
      </c>
      <c r="I2296" s="21">
        <v>0</v>
      </c>
      <c r="J2296" s="21">
        <v>0</v>
      </c>
      <c r="K2296" s="21">
        <v>0</v>
      </c>
      <c r="L2296" s="3">
        <f t="shared" si="108"/>
        <v>0</v>
      </c>
      <c r="M2296" s="3"/>
      <c r="N2296" s="3">
        <f t="shared" si="107"/>
        <v>0</v>
      </c>
      <c r="R2296" s="89"/>
      <c r="S2296" s="89">
        <f>100%-Table34[[#This Row],[PDF_initial fee]]</f>
        <v>1</v>
      </c>
      <c r="T2296" s="89"/>
      <c r="U2296" s="26"/>
    </row>
    <row r="2297" spans="1:21" hidden="1" x14ac:dyDescent="0.25">
      <c r="A2297">
        <v>494241</v>
      </c>
      <c r="B2297" t="s">
        <v>2643</v>
      </c>
      <c r="C2297" t="s">
        <v>7024</v>
      </c>
      <c r="D2297">
        <v>7</v>
      </c>
      <c r="E2297" t="s">
        <v>2643</v>
      </c>
      <c r="G2297" s="3"/>
      <c r="H2297" s="21">
        <v>0</v>
      </c>
      <c r="I2297" s="21">
        <v>0</v>
      </c>
      <c r="J2297" s="21">
        <v>0</v>
      </c>
      <c r="K2297" s="21">
        <v>0</v>
      </c>
      <c r="L2297" s="3">
        <f t="shared" si="108"/>
        <v>0</v>
      </c>
      <c r="M2297" s="3"/>
      <c r="N2297" s="3">
        <f t="shared" si="107"/>
        <v>0</v>
      </c>
      <c r="R2297" s="89"/>
      <c r="S2297" s="89">
        <f>100%-Table34[[#This Row],[PDF_initial fee]]</f>
        <v>1</v>
      </c>
      <c r="T2297" s="89"/>
      <c r="U2297" s="26"/>
    </row>
    <row r="2298" spans="1:21" hidden="1" x14ac:dyDescent="0.25">
      <c r="A2298">
        <v>494466</v>
      </c>
      <c r="B2298" t="s">
        <v>2644</v>
      </c>
      <c r="C2298" t="s">
        <v>10597</v>
      </c>
      <c r="D2298">
        <v>1</v>
      </c>
      <c r="E2298" t="s">
        <v>2644</v>
      </c>
      <c r="G2298" s="3"/>
      <c r="H2298" s="21">
        <v>0</v>
      </c>
      <c r="I2298" s="21">
        <v>0</v>
      </c>
      <c r="J2298" s="21">
        <v>0</v>
      </c>
      <c r="K2298" s="21">
        <v>0</v>
      </c>
      <c r="L2298" s="3">
        <f t="shared" si="108"/>
        <v>0</v>
      </c>
      <c r="M2298" s="3"/>
      <c r="N2298" s="3">
        <f t="shared" si="107"/>
        <v>0</v>
      </c>
      <c r="R2298" s="89"/>
      <c r="S2298" s="89">
        <f>100%-Table34[[#This Row],[PDF_initial fee]]</f>
        <v>1</v>
      </c>
      <c r="T2298" s="89"/>
      <c r="U2298" s="26"/>
    </row>
    <row r="2299" spans="1:21" hidden="1" x14ac:dyDescent="0.25">
      <c r="A2299">
        <v>494480</v>
      </c>
      <c r="B2299" t="s">
        <v>2645</v>
      </c>
      <c r="C2299" t="s">
        <v>11018</v>
      </c>
      <c r="D2299">
        <v>2</v>
      </c>
      <c r="E2299" t="s">
        <v>2645</v>
      </c>
      <c r="G2299" s="3"/>
      <c r="H2299" s="21">
        <v>0</v>
      </c>
      <c r="I2299" s="21">
        <v>0</v>
      </c>
      <c r="J2299" s="21">
        <v>0</v>
      </c>
      <c r="K2299" s="21">
        <v>0</v>
      </c>
      <c r="L2299" s="3">
        <f t="shared" si="108"/>
        <v>0</v>
      </c>
      <c r="M2299" s="3"/>
      <c r="N2299" s="3">
        <f t="shared" si="107"/>
        <v>0</v>
      </c>
      <c r="R2299" s="89"/>
      <c r="S2299" s="89">
        <f>100%-Table34[[#This Row],[PDF_initial fee]]</f>
        <v>1</v>
      </c>
      <c r="T2299" s="89"/>
      <c r="U2299" s="26"/>
    </row>
    <row r="2300" spans="1:21" hidden="1" x14ac:dyDescent="0.25">
      <c r="A2300">
        <v>494494</v>
      </c>
      <c r="B2300" t="s">
        <v>2646</v>
      </c>
      <c r="C2300" t="s">
        <v>30229</v>
      </c>
      <c r="D2300">
        <v>20</v>
      </c>
      <c r="E2300" t="s">
        <v>2646</v>
      </c>
      <c r="F2300" t="s">
        <v>3</v>
      </c>
      <c r="G2300" s="3"/>
      <c r="H2300" s="21">
        <v>0</v>
      </c>
      <c r="I2300" s="21">
        <v>0</v>
      </c>
      <c r="J2300" s="21">
        <v>0</v>
      </c>
      <c r="K2300" s="21">
        <v>0</v>
      </c>
      <c r="L2300" s="3">
        <f t="shared" si="108"/>
        <v>0</v>
      </c>
      <c r="M2300" s="3"/>
      <c r="N2300" s="3">
        <f t="shared" si="107"/>
        <v>0</v>
      </c>
      <c r="O2300" s="21"/>
      <c r="R2300" s="89"/>
      <c r="S2300" s="89">
        <f>100%-Table34[[#This Row],[PDF_initial fee]]</f>
        <v>1</v>
      </c>
      <c r="T2300" s="89"/>
      <c r="U2300" s="26"/>
    </row>
    <row r="2301" spans="1:21" hidden="1" x14ac:dyDescent="0.25">
      <c r="A2301">
        <v>494887</v>
      </c>
      <c r="B2301" t="s">
        <v>2647</v>
      </c>
      <c r="C2301" t="s">
        <v>6958</v>
      </c>
      <c r="D2301">
        <v>1</v>
      </c>
      <c r="E2301" t="s">
        <v>2647</v>
      </c>
      <c r="F2301" t="s">
        <v>6958</v>
      </c>
      <c r="G2301" s="3"/>
      <c r="L2301" s="3">
        <f t="shared" si="108"/>
        <v>0</v>
      </c>
      <c r="M2301" s="3"/>
      <c r="N2301" s="3">
        <f t="shared" si="107"/>
        <v>0</v>
      </c>
      <c r="R2301" s="89"/>
      <c r="S2301" s="89">
        <f>100%-Table34[[#This Row],[PDF_initial fee]]</f>
        <v>1</v>
      </c>
      <c r="T2301" s="89"/>
      <c r="U2301" s="26"/>
    </row>
    <row r="2302" spans="1:21" hidden="1" x14ac:dyDescent="0.25">
      <c r="A2302">
        <v>494917</v>
      </c>
      <c r="B2302" t="s">
        <v>2648</v>
      </c>
      <c r="C2302" t="s">
        <v>7014</v>
      </c>
      <c r="D2302">
        <v>3</v>
      </c>
      <c r="E2302" t="s">
        <v>2648</v>
      </c>
      <c r="G2302" s="3"/>
      <c r="L2302" s="3">
        <f t="shared" si="108"/>
        <v>0</v>
      </c>
      <c r="M2302" s="3"/>
      <c r="N2302" s="3">
        <f t="shared" si="107"/>
        <v>0</v>
      </c>
      <c r="R2302" s="89"/>
      <c r="S2302" s="89">
        <f>100%-Table34[[#This Row],[PDF_initial fee]]</f>
        <v>1</v>
      </c>
      <c r="T2302" s="89"/>
      <c r="U2302" s="26"/>
    </row>
    <row r="2303" spans="1:21" hidden="1" x14ac:dyDescent="0.25">
      <c r="A2303">
        <v>494968</v>
      </c>
      <c r="B2303" t="s">
        <v>2649</v>
      </c>
      <c r="C2303" t="s">
        <v>30230</v>
      </c>
      <c r="D2303">
        <v>1</v>
      </c>
      <c r="E2303" t="s">
        <v>2649</v>
      </c>
      <c r="G2303" s="3"/>
      <c r="H2303" s="21">
        <v>0</v>
      </c>
      <c r="I2303" s="21">
        <v>0</v>
      </c>
      <c r="J2303" s="21">
        <v>0</v>
      </c>
      <c r="K2303" s="21">
        <v>0</v>
      </c>
      <c r="L2303" s="3">
        <f t="shared" si="108"/>
        <v>0</v>
      </c>
      <c r="M2303" s="3"/>
      <c r="N2303" s="3">
        <f t="shared" si="107"/>
        <v>0</v>
      </c>
      <c r="O2303" s="21"/>
      <c r="R2303" s="89"/>
      <c r="S2303" s="89">
        <f>100%-Table34[[#This Row],[PDF_initial fee]]</f>
        <v>1</v>
      </c>
      <c r="T2303" s="89"/>
      <c r="U2303" s="26"/>
    </row>
    <row r="2304" spans="1:21" hidden="1" x14ac:dyDescent="0.25">
      <c r="A2304">
        <v>495727</v>
      </c>
      <c r="B2304" t="s">
        <v>2651</v>
      </c>
      <c r="C2304" t="s">
        <v>6958</v>
      </c>
      <c r="D2304">
        <v>1</v>
      </c>
      <c r="E2304" t="s">
        <v>2651</v>
      </c>
      <c r="F2304" t="s">
        <v>6958</v>
      </c>
      <c r="G2304" s="3"/>
      <c r="H2304" s="21">
        <v>0</v>
      </c>
      <c r="I2304" s="21">
        <v>0</v>
      </c>
      <c r="J2304" s="21">
        <v>0</v>
      </c>
      <c r="K2304" s="21">
        <v>0</v>
      </c>
      <c r="L2304" s="3">
        <f t="shared" si="108"/>
        <v>0</v>
      </c>
      <c r="M2304" s="3"/>
      <c r="N2304" s="3">
        <f t="shared" si="107"/>
        <v>0</v>
      </c>
      <c r="R2304" s="89"/>
      <c r="S2304" s="89">
        <f>100%-Table34[[#This Row],[PDF_initial fee]]</f>
        <v>1</v>
      </c>
      <c r="T2304" s="89"/>
      <c r="U2304" s="26"/>
    </row>
    <row r="2305" spans="1:22" hidden="1" x14ac:dyDescent="0.25">
      <c r="A2305">
        <v>495794</v>
      </c>
      <c r="B2305" t="s">
        <v>2652</v>
      </c>
      <c r="C2305" t="s">
        <v>6958</v>
      </c>
      <c r="D2305">
        <v>1</v>
      </c>
      <c r="E2305" t="s">
        <v>2652</v>
      </c>
      <c r="F2305" t="s">
        <v>6958</v>
      </c>
      <c r="G2305" s="3"/>
      <c r="H2305" s="21">
        <v>0</v>
      </c>
      <c r="I2305" s="21">
        <v>0</v>
      </c>
      <c r="J2305" s="21">
        <v>0</v>
      </c>
      <c r="K2305" s="21">
        <v>0</v>
      </c>
      <c r="L2305" s="3">
        <f t="shared" si="108"/>
        <v>0</v>
      </c>
      <c r="M2305" s="3"/>
      <c r="N2305" s="3">
        <f t="shared" si="107"/>
        <v>0</v>
      </c>
      <c r="O2305" s="21"/>
      <c r="R2305" s="89"/>
      <c r="S2305" s="89">
        <f>100%-Table34[[#This Row],[PDF_initial fee]]</f>
        <v>1</v>
      </c>
      <c r="T2305" s="89"/>
      <c r="U2305" s="26"/>
    </row>
    <row r="2306" spans="1:22" hidden="1" x14ac:dyDescent="0.25">
      <c r="A2306">
        <v>496059</v>
      </c>
      <c r="B2306" t="s">
        <v>2653</v>
      </c>
      <c r="C2306" t="s">
        <v>6958</v>
      </c>
      <c r="D2306">
        <v>1</v>
      </c>
      <c r="E2306" t="s">
        <v>2653</v>
      </c>
      <c r="F2306" t="s">
        <v>6958</v>
      </c>
      <c r="G2306" s="3"/>
      <c r="L2306" s="3">
        <f t="shared" si="108"/>
        <v>0</v>
      </c>
      <c r="M2306" s="3"/>
      <c r="N2306" s="3">
        <f t="shared" si="107"/>
        <v>0</v>
      </c>
      <c r="R2306" s="89"/>
      <c r="S2306" s="89">
        <f>100%-Table34[[#This Row],[PDF_initial fee]]</f>
        <v>1</v>
      </c>
      <c r="T2306" s="89"/>
      <c r="U2306" s="26"/>
    </row>
    <row r="2307" spans="1:22" hidden="1" x14ac:dyDescent="0.25">
      <c r="A2307">
        <v>496107</v>
      </c>
      <c r="B2307" t="s">
        <v>2654</v>
      </c>
      <c r="C2307" t="s">
        <v>10905</v>
      </c>
      <c r="D2307">
        <v>1</v>
      </c>
      <c r="E2307" t="s">
        <v>2654</v>
      </c>
      <c r="G2307" s="3"/>
      <c r="H2307" s="39"/>
      <c r="I2307" s="39"/>
      <c r="J2307" s="39"/>
      <c r="K2307" s="39"/>
      <c r="L2307" s="3">
        <f t="shared" si="108"/>
        <v>0</v>
      </c>
      <c r="M2307" s="3"/>
      <c r="N2307" s="3">
        <f t="shared" si="107"/>
        <v>0</v>
      </c>
      <c r="Q2307" t="s">
        <v>30231</v>
      </c>
      <c r="R2307" s="89"/>
      <c r="S2307" s="89">
        <f>100%-Table34[[#This Row],[PDF_initial fee]]</f>
        <v>1</v>
      </c>
      <c r="T2307" s="89"/>
      <c r="U2307" s="26"/>
    </row>
    <row r="2308" spans="1:22" hidden="1" x14ac:dyDescent="0.25">
      <c r="A2308">
        <v>496126</v>
      </c>
      <c r="B2308" t="s">
        <v>2655</v>
      </c>
      <c r="C2308" t="s">
        <v>12254</v>
      </c>
      <c r="D2308">
        <v>1</v>
      </c>
      <c r="E2308" t="s">
        <v>2655</v>
      </c>
      <c r="G2308" s="3"/>
      <c r="L2308" s="3">
        <f t="shared" si="108"/>
        <v>0</v>
      </c>
      <c r="M2308" s="3"/>
      <c r="N2308" s="3">
        <f t="shared" si="107"/>
        <v>0</v>
      </c>
      <c r="R2308" s="89"/>
      <c r="S2308" s="89">
        <f>100%-Table34[[#This Row],[PDF_initial fee]]</f>
        <v>1</v>
      </c>
      <c r="T2308" s="89"/>
      <c r="U2308" s="26"/>
    </row>
    <row r="2309" spans="1:22" hidden="1" x14ac:dyDescent="0.25">
      <c r="A2309">
        <v>496214</v>
      </c>
      <c r="B2309" t="s">
        <v>2656</v>
      </c>
      <c r="C2309" t="s">
        <v>30232</v>
      </c>
      <c r="D2309">
        <v>6</v>
      </c>
      <c r="E2309" t="s">
        <v>2656</v>
      </c>
      <c r="G2309" s="3"/>
      <c r="H2309" s="52"/>
      <c r="I2309" s="52"/>
      <c r="J2309" s="52"/>
      <c r="K2309" s="52"/>
      <c r="L2309" s="3">
        <f t="shared" si="108"/>
        <v>0</v>
      </c>
      <c r="M2309" s="3"/>
      <c r="N2309" s="3">
        <f t="shared" si="107"/>
        <v>0</v>
      </c>
      <c r="R2309" s="89"/>
      <c r="S2309" s="89">
        <f>100%-Table34[[#This Row],[PDF_initial fee]]</f>
        <v>1</v>
      </c>
      <c r="T2309" s="89"/>
      <c r="U2309" s="26"/>
      <c r="V2309" t="s">
        <v>30233</v>
      </c>
    </row>
    <row r="2310" spans="1:22" hidden="1" x14ac:dyDescent="0.25">
      <c r="A2310">
        <v>496257</v>
      </c>
      <c r="B2310" t="s">
        <v>2657</v>
      </c>
      <c r="C2310" t="s">
        <v>7038</v>
      </c>
      <c r="D2310">
        <v>1</v>
      </c>
      <c r="E2310" t="s">
        <v>2657</v>
      </c>
      <c r="G2310" s="3"/>
      <c r="H2310" s="21">
        <v>0</v>
      </c>
      <c r="I2310" s="21">
        <v>0</v>
      </c>
      <c r="J2310" s="21">
        <v>0</v>
      </c>
      <c r="K2310" s="21">
        <v>0</v>
      </c>
      <c r="L2310" s="3">
        <f t="shared" si="108"/>
        <v>0</v>
      </c>
      <c r="M2310" s="3"/>
      <c r="N2310" s="3">
        <f t="shared" si="107"/>
        <v>0</v>
      </c>
      <c r="R2310" s="89"/>
      <c r="S2310" s="89">
        <f>100%-Table34[[#This Row],[PDF_initial fee]]</f>
        <v>1</v>
      </c>
      <c r="T2310" s="89"/>
      <c r="U2310" s="26"/>
    </row>
    <row r="2311" spans="1:22" hidden="1" x14ac:dyDescent="0.25">
      <c r="A2311">
        <v>496300</v>
      </c>
      <c r="B2311" t="s">
        <v>2658</v>
      </c>
      <c r="C2311" t="s">
        <v>6958</v>
      </c>
      <c r="D2311">
        <v>1</v>
      </c>
      <c r="E2311" t="s">
        <v>2658</v>
      </c>
      <c r="F2311" t="s">
        <v>6958</v>
      </c>
      <c r="G2311" s="3"/>
      <c r="H2311" s="21">
        <v>0</v>
      </c>
      <c r="I2311" s="21">
        <v>0</v>
      </c>
      <c r="J2311" s="21">
        <v>0</v>
      </c>
      <c r="K2311" s="21">
        <v>0</v>
      </c>
      <c r="L2311" s="3">
        <f t="shared" si="108"/>
        <v>0</v>
      </c>
      <c r="M2311" s="3"/>
      <c r="N2311" s="3">
        <f t="shared" si="107"/>
        <v>0</v>
      </c>
      <c r="R2311" s="89"/>
      <c r="S2311" s="89">
        <f>100%-Table34[[#This Row],[PDF_initial fee]]</f>
        <v>1</v>
      </c>
      <c r="T2311" s="89"/>
      <c r="U2311" s="26"/>
    </row>
    <row r="2312" spans="1:22" hidden="1" x14ac:dyDescent="0.25">
      <c r="A2312">
        <v>496377</v>
      </c>
      <c r="B2312" t="s">
        <v>2659</v>
      </c>
      <c r="C2312" t="s">
        <v>11922</v>
      </c>
      <c r="D2312">
        <v>1</v>
      </c>
      <c r="E2312" t="s">
        <v>2659</v>
      </c>
      <c r="G2312" s="3"/>
      <c r="H2312" s="21">
        <v>0</v>
      </c>
      <c r="I2312" s="21">
        <v>0</v>
      </c>
      <c r="J2312" s="21">
        <v>0</v>
      </c>
      <c r="K2312" s="21">
        <v>0</v>
      </c>
      <c r="L2312" s="3">
        <f t="shared" si="108"/>
        <v>0</v>
      </c>
      <c r="M2312" s="3"/>
      <c r="N2312" s="3">
        <f t="shared" si="107"/>
        <v>0</v>
      </c>
      <c r="R2312" s="89"/>
      <c r="S2312" s="89">
        <f>100%-Table34[[#This Row],[PDF_initial fee]]</f>
        <v>1</v>
      </c>
      <c r="T2312" s="89"/>
      <c r="U2312" s="26"/>
    </row>
    <row r="2313" spans="1:22" hidden="1" x14ac:dyDescent="0.25">
      <c r="A2313">
        <v>496442</v>
      </c>
      <c r="B2313" t="s">
        <v>2660</v>
      </c>
      <c r="C2313" t="s">
        <v>6958</v>
      </c>
      <c r="D2313">
        <v>4</v>
      </c>
      <c r="E2313" t="s">
        <v>2660</v>
      </c>
      <c r="F2313" t="s">
        <v>6958</v>
      </c>
      <c r="G2313" s="3"/>
      <c r="H2313" s="21">
        <v>0</v>
      </c>
      <c r="I2313" s="21">
        <v>0</v>
      </c>
      <c r="J2313" s="21">
        <v>0</v>
      </c>
      <c r="K2313" s="21">
        <v>0</v>
      </c>
      <c r="L2313" s="3">
        <f t="shared" si="108"/>
        <v>0</v>
      </c>
      <c r="M2313" s="3"/>
      <c r="N2313" s="3">
        <f t="shared" si="107"/>
        <v>0</v>
      </c>
      <c r="R2313" s="89"/>
      <c r="S2313" s="89">
        <f>100%-Table34[[#This Row],[PDF_initial fee]]</f>
        <v>1</v>
      </c>
      <c r="T2313" s="89"/>
      <c r="U2313" s="26"/>
    </row>
    <row r="2314" spans="1:22" hidden="1" x14ac:dyDescent="0.25">
      <c r="A2314">
        <v>496562</v>
      </c>
      <c r="B2314" t="s">
        <v>2661</v>
      </c>
      <c r="C2314" t="s">
        <v>8345</v>
      </c>
      <c r="D2314">
        <v>2</v>
      </c>
      <c r="E2314" t="s">
        <v>2661</v>
      </c>
      <c r="G2314" s="3"/>
      <c r="H2314" s="21">
        <v>0</v>
      </c>
      <c r="I2314" s="21">
        <v>0</v>
      </c>
      <c r="J2314" s="21">
        <v>0</v>
      </c>
      <c r="K2314" s="21">
        <v>0</v>
      </c>
      <c r="L2314" s="3">
        <f t="shared" si="108"/>
        <v>0</v>
      </c>
      <c r="M2314" s="3"/>
      <c r="N2314" s="3">
        <f t="shared" ref="N2314:N2377" si="109">L2314+G2314</f>
        <v>0</v>
      </c>
      <c r="R2314" s="89"/>
      <c r="S2314" s="89">
        <f>100%-Table34[[#This Row],[PDF_initial fee]]</f>
        <v>1</v>
      </c>
      <c r="T2314" s="89"/>
      <c r="U2314" s="26"/>
    </row>
    <row r="2315" spans="1:22" hidden="1" x14ac:dyDescent="0.25">
      <c r="A2315">
        <v>496729</v>
      </c>
      <c r="B2315" t="s">
        <v>2662</v>
      </c>
      <c r="C2315" t="s">
        <v>7165</v>
      </c>
      <c r="D2315">
        <v>4</v>
      </c>
      <c r="E2315" t="s">
        <v>2662</v>
      </c>
      <c r="G2315" s="3"/>
      <c r="H2315" s="39"/>
      <c r="I2315" s="39"/>
      <c r="J2315" s="39"/>
      <c r="K2315" s="39"/>
      <c r="L2315" s="3">
        <f t="shared" si="108"/>
        <v>0</v>
      </c>
      <c r="M2315" s="3"/>
      <c r="N2315" s="3">
        <f t="shared" si="109"/>
        <v>0</v>
      </c>
      <c r="R2315" s="89"/>
      <c r="S2315" s="89">
        <f>100%-Table34[[#This Row],[PDF_initial fee]]</f>
        <v>1</v>
      </c>
      <c r="T2315" s="89"/>
      <c r="U2315" s="26"/>
    </row>
    <row r="2316" spans="1:22" hidden="1" x14ac:dyDescent="0.25">
      <c r="A2316">
        <v>497107</v>
      </c>
      <c r="B2316" t="s">
        <v>2663</v>
      </c>
      <c r="C2316" t="s">
        <v>7773</v>
      </c>
      <c r="D2316">
        <v>3</v>
      </c>
      <c r="E2316" t="s">
        <v>2663</v>
      </c>
      <c r="G2316" s="3"/>
      <c r="H2316" s="21">
        <v>0</v>
      </c>
      <c r="I2316" s="21">
        <v>0</v>
      </c>
      <c r="J2316" s="21">
        <v>0</v>
      </c>
      <c r="K2316" s="21">
        <v>0</v>
      </c>
      <c r="L2316" s="3">
        <f t="shared" si="108"/>
        <v>0</v>
      </c>
      <c r="M2316" s="3"/>
      <c r="N2316" s="3">
        <f t="shared" si="109"/>
        <v>0</v>
      </c>
      <c r="R2316" s="89"/>
      <c r="S2316" s="89">
        <f>100%-Table34[[#This Row],[PDF_initial fee]]</f>
        <v>1</v>
      </c>
      <c r="T2316" s="89"/>
      <c r="U2316" s="26"/>
    </row>
    <row r="2317" spans="1:22" hidden="1" x14ac:dyDescent="0.25">
      <c r="A2317">
        <v>497130</v>
      </c>
      <c r="B2317" t="s">
        <v>2664</v>
      </c>
      <c r="C2317" t="s">
        <v>29364</v>
      </c>
      <c r="D2317">
        <v>56</v>
      </c>
      <c r="E2317" t="s">
        <v>2664</v>
      </c>
      <c r="F2317" t="s">
        <v>3</v>
      </c>
      <c r="G2317" s="3"/>
      <c r="H2317" s="3">
        <v>0</v>
      </c>
      <c r="I2317" s="3">
        <v>0</v>
      </c>
      <c r="J2317" s="3">
        <v>0</v>
      </c>
      <c r="K2317" s="3">
        <v>0</v>
      </c>
      <c r="L2317" s="3">
        <f t="shared" si="108"/>
        <v>0</v>
      </c>
      <c r="M2317" s="3"/>
      <c r="N2317" s="3">
        <f t="shared" si="109"/>
        <v>0</v>
      </c>
      <c r="R2317" s="89"/>
      <c r="S2317" s="89">
        <f>100%-Table34[[#This Row],[PDF_initial fee]]</f>
        <v>1</v>
      </c>
      <c r="T2317" s="89"/>
      <c r="U2317" s="26"/>
    </row>
    <row r="2318" spans="1:22" hidden="1" x14ac:dyDescent="0.25">
      <c r="A2318">
        <v>497245</v>
      </c>
      <c r="B2318" t="s">
        <v>2666</v>
      </c>
      <c r="C2318" t="s">
        <v>6958</v>
      </c>
      <c r="D2318">
        <v>1</v>
      </c>
      <c r="E2318" t="s">
        <v>2666</v>
      </c>
      <c r="F2318" t="s">
        <v>6958</v>
      </c>
      <c r="G2318" s="3"/>
      <c r="H2318" s="21">
        <v>0</v>
      </c>
      <c r="I2318" s="21">
        <v>0</v>
      </c>
      <c r="J2318" s="21">
        <v>0</v>
      </c>
      <c r="K2318" s="21">
        <v>0</v>
      </c>
      <c r="L2318" s="3">
        <f t="shared" si="108"/>
        <v>0</v>
      </c>
      <c r="M2318" s="3"/>
      <c r="N2318" s="3">
        <f t="shared" si="109"/>
        <v>0</v>
      </c>
      <c r="R2318" s="89"/>
      <c r="S2318" s="89">
        <f>100%-Table34[[#This Row],[PDF_initial fee]]</f>
        <v>1</v>
      </c>
      <c r="T2318" s="89"/>
      <c r="U2318" s="26"/>
    </row>
    <row r="2319" spans="1:22" hidden="1" x14ac:dyDescent="0.25">
      <c r="A2319">
        <v>497332</v>
      </c>
      <c r="B2319" t="s">
        <v>2667</v>
      </c>
      <c r="C2319" s="1" t="s">
        <v>30234</v>
      </c>
      <c r="D2319">
        <v>1</v>
      </c>
      <c r="E2319" t="s">
        <v>2667</v>
      </c>
      <c r="G2319" s="3"/>
      <c r="H2319" s="3">
        <v>0</v>
      </c>
      <c r="I2319" s="3">
        <v>0</v>
      </c>
      <c r="J2319" s="3">
        <v>0</v>
      </c>
      <c r="K2319" s="3">
        <v>0</v>
      </c>
      <c r="L2319" s="3">
        <f t="shared" si="108"/>
        <v>0</v>
      </c>
      <c r="M2319" s="3"/>
      <c r="N2319" s="3">
        <f t="shared" si="109"/>
        <v>0</v>
      </c>
      <c r="R2319" s="89"/>
      <c r="S2319" s="89">
        <f>100%-Table34[[#This Row],[PDF_initial fee]]</f>
        <v>1</v>
      </c>
      <c r="T2319" s="89"/>
      <c r="U2319" s="26"/>
    </row>
    <row r="2320" spans="1:22" hidden="1" x14ac:dyDescent="0.25">
      <c r="A2320">
        <v>497519</v>
      </c>
      <c r="B2320" t="s">
        <v>2669</v>
      </c>
      <c r="C2320" t="s">
        <v>30235</v>
      </c>
      <c r="D2320">
        <v>5</v>
      </c>
      <c r="E2320" t="s">
        <v>2669</v>
      </c>
      <c r="G2320" s="3"/>
      <c r="H2320" s="3">
        <v>0</v>
      </c>
      <c r="I2320" s="3">
        <v>0</v>
      </c>
      <c r="J2320" s="3">
        <v>0</v>
      </c>
      <c r="K2320" s="3">
        <v>0</v>
      </c>
      <c r="L2320" s="3">
        <f t="shared" si="108"/>
        <v>0</v>
      </c>
      <c r="M2320" s="3"/>
      <c r="N2320" s="3">
        <f t="shared" si="109"/>
        <v>0</v>
      </c>
      <c r="R2320" s="89"/>
      <c r="S2320" s="89">
        <f>100%-Table34[[#This Row],[PDF_initial fee]]</f>
        <v>1</v>
      </c>
      <c r="T2320" s="89"/>
      <c r="U2320" s="26"/>
    </row>
    <row r="2321" spans="1:29" x14ac:dyDescent="0.25">
      <c r="A2321">
        <v>612049</v>
      </c>
      <c r="B2321" t="s">
        <v>254</v>
      </c>
      <c r="C2321" t="s">
        <v>30236</v>
      </c>
      <c r="D2321">
        <v>1</v>
      </c>
      <c r="E2321" t="s">
        <v>254</v>
      </c>
      <c r="F2321" t="s">
        <v>3</v>
      </c>
      <c r="G2321" s="3">
        <v>1.4E-3</v>
      </c>
      <c r="H2321" s="3">
        <v>0.02</v>
      </c>
      <c r="I2321" s="3">
        <v>5.0000000000000001E-3</v>
      </c>
      <c r="J2321" s="6">
        <v>0</v>
      </c>
      <c r="K2321" s="6">
        <v>0</v>
      </c>
      <c r="L2321" s="3">
        <f t="shared" si="108"/>
        <v>2.5000000000000001E-2</v>
      </c>
      <c r="M2321" s="3"/>
      <c r="N2321" s="3">
        <f t="shared" si="109"/>
        <v>2.64E-2</v>
      </c>
      <c r="P2321" s="1" t="s">
        <v>30237</v>
      </c>
      <c r="Q2321" t="s">
        <v>31787</v>
      </c>
      <c r="R2321" s="89">
        <v>0.33333333333333348</v>
      </c>
      <c r="S2321" s="89">
        <f>100%-Table34[[#This Row],[InitialFee]]</f>
        <v>0.98</v>
      </c>
      <c r="T2321" s="89">
        <f>(1-Table34[[#This Row],[OngoingFee (plus Platform fee)]])^5</f>
        <v>0.97524875312187509</v>
      </c>
      <c r="U2321" s="26">
        <f>(1+Table34[[#This Row],[Net 5yrs return (mostly up to 28th of Feb 2026)]])*Table34[[#This Row],[Investment after initial charge]]*Table34[[#This Row],[Cummulative 5yrs ongoing advice charge]]-1</f>
        <v>0.27432503741258363</v>
      </c>
      <c r="V2321">
        <v>17326</v>
      </c>
      <c r="W2321" t="s">
        <v>29051</v>
      </c>
      <c r="X2321" s="10">
        <v>16244</v>
      </c>
      <c r="Y2321" s="30">
        <f>X2321/V2321</f>
        <v>0.93755050213551883</v>
      </c>
      <c r="AA2321" s="1" t="s">
        <v>30238</v>
      </c>
    </row>
    <row r="2322" spans="1:29" hidden="1" x14ac:dyDescent="0.25">
      <c r="A2322">
        <v>497616</v>
      </c>
      <c r="B2322" t="s">
        <v>2670</v>
      </c>
      <c r="C2322" t="s">
        <v>6958</v>
      </c>
      <c r="D2322">
        <v>1</v>
      </c>
      <c r="E2322" t="s">
        <v>2670</v>
      </c>
      <c r="F2322" t="s">
        <v>6958</v>
      </c>
      <c r="G2322" s="3"/>
      <c r="H2322" s="21">
        <v>0</v>
      </c>
      <c r="I2322" s="21">
        <v>0</v>
      </c>
      <c r="J2322" s="21">
        <v>0</v>
      </c>
      <c r="K2322" s="21">
        <v>0</v>
      </c>
      <c r="L2322" s="3">
        <f t="shared" si="108"/>
        <v>0</v>
      </c>
      <c r="M2322" s="3"/>
      <c r="N2322" s="3">
        <f t="shared" si="109"/>
        <v>0</v>
      </c>
      <c r="R2322" s="89"/>
      <c r="S2322" s="89">
        <f>100%-Table34[[#This Row],[PDF_initial fee]]</f>
        <v>1</v>
      </c>
      <c r="T2322" s="89"/>
      <c r="U2322" s="26"/>
    </row>
    <row r="2323" spans="1:29" hidden="1" x14ac:dyDescent="0.25">
      <c r="A2323">
        <v>497625</v>
      </c>
      <c r="B2323" t="s">
        <v>2671</v>
      </c>
      <c r="C2323" t="s">
        <v>9042</v>
      </c>
      <c r="D2323">
        <v>2</v>
      </c>
      <c r="E2323" t="s">
        <v>2671</v>
      </c>
      <c r="G2323" s="3"/>
      <c r="H2323" s="21">
        <v>0</v>
      </c>
      <c r="I2323" s="21">
        <v>0</v>
      </c>
      <c r="J2323" s="21">
        <v>0</v>
      </c>
      <c r="K2323" s="21">
        <v>0</v>
      </c>
      <c r="L2323" s="3">
        <f t="shared" si="108"/>
        <v>0</v>
      </c>
      <c r="M2323" s="3"/>
      <c r="N2323" s="3">
        <f t="shared" si="109"/>
        <v>0</v>
      </c>
      <c r="R2323" s="89"/>
      <c r="S2323" s="89">
        <f>100%-Table34[[#This Row],[PDF_initial fee]]</f>
        <v>1</v>
      </c>
      <c r="T2323" s="89"/>
      <c r="U2323" s="26"/>
    </row>
    <row r="2324" spans="1:29" hidden="1" x14ac:dyDescent="0.25">
      <c r="A2324">
        <v>497847</v>
      </c>
      <c r="B2324" t="s">
        <v>2672</v>
      </c>
      <c r="C2324" t="s">
        <v>30239</v>
      </c>
      <c r="D2324">
        <v>1</v>
      </c>
      <c r="E2324" t="s">
        <v>2672</v>
      </c>
      <c r="G2324" s="3"/>
      <c r="H2324" s="3">
        <v>0</v>
      </c>
      <c r="I2324" s="3">
        <v>0</v>
      </c>
      <c r="J2324" s="3">
        <v>0</v>
      </c>
      <c r="K2324" s="3">
        <v>0</v>
      </c>
      <c r="L2324" s="3">
        <f t="shared" si="108"/>
        <v>0</v>
      </c>
      <c r="M2324" s="3"/>
      <c r="N2324" s="3">
        <f t="shared" si="109"/>
        <v>0</v>
      </c>
      <c r="R2324" s="89"/>
      <c r="S2324" s="89">
        <f>100%-Table34[[#This Row],[PDF_initial fee]]</f>
        <v>1</v>
      </c>
      <c r="T2324" s="89"/>
      <c r="U2324" s="26"/>
    </row>
    <row r="2325" spans="1:29" hidden="1" x14ac:dyDescent="0.25">
      <c r="A2325">
        <v>497938</v>
      </c>
      <c r="B2325" t="s">
        <v>2673</v>
      </c>
      <c r="C2325" t="s">
        <v>11994</v>
      </c>
      <c r="D2325">
        <v>1</v>
      </c>
      <c r="E2325" t="s">
        <v>2673</v>
      </c>
      <c r="G2325" s="3"/>
      <c r="H2325" s="21">
        <v>0</v>
      </c>
      <c r="I2325" s="21">
        <v>0</v>
      </c>
      <c r="J2325" s="21">
        <v>0</v>
      </c>
      <c r="K2325" s="21">
        <v>0</v>
      </c>
      <c r="L2325" s="3">
        <f t="shared" si="108"/>
        <v>0</v>
      </c>
      <c r="M2325" s="3"/>
      <c r="N2325" s="3">
        <f t="shared" si="109"/>
        <v>0</v>
      </c>
      <c r="R2325" s="89"/>
      <c r="S2325" s="89">
        <f>100%-Table34[[#This Row],[PDF_initial fee]]</f>
        <v>1</v>
      </c>
      <c r="T2325" s="89"/>
      <c r="U2325" s="26"/>
    </row>
    <row r="2326" spans="1:29" hidden="1" x14ac:dyDescent="0.25">
      <c r="A2326">
        <v>497995</v>
      </c>
      <c r="B2326" t="s">
        <v>2674</v>
      </c>
      <c r="C2326" t="s">
        <v>6958</v>
      </c>
      <c r="D2326">
        <v>0</v>
      </c>
      <c r="E2326" t="s">
        <v>2674</v>
      </c>
      <c r="F2326" t="s">
        <v>6958</v>
      </c>
      <c r="G2326" s="3"/>
      <c r="H2326" s="21">
        <v>0</v>
      </c>
      <c r="I2326" s="21">
        <v>0</v>
      </c>
      <c r="J2326" s="21">
        <v>0</v>
      </c>
      <c r="K2326" s="21">
        <v>0</v>
      </c>
      <c r="L2326" s="3">
        <f t="shared" si="108"/>
        <v>0</v>
      </c>
      <c r="M2326" s="3"/>
      <c r="N2326" s="3">
        <f t="shared" si="109"/>
        <v>0</v>
      </c>
      <c r="O2326" s="21"/>
      <c r="R2326" s="89"/>
      <c r="S2326" s="89">
        <f>100%-Table34[[#This Row],[PDF_initial fee]]</f>
        <v>1</v>
      </c>
      <c r="T2326" s="89"/>
      <c r="U2326" s="26"/>
    </row>
    <row r="2327" spans="1:29" hidden="1" x14ac:dyDescent="0.25">
      <c r="A2327">
        <v>498199</v>
      </c>
      <c r="B2327" t="s">
        <v>2675</v>
      </c>
      <c r="C2327" t="s">
        <v>6958</v>
      </c>
      <c r="D2327">
        <v>2</v>
      </c>
      <c r="E2327" t="s">
        <v>2675</v>
      </c>
      <c r="F2327" t="s">
        <v>6958</v>
      </c>
      <c r="G2327" s="3"/>
      <c r="H2327" s="21">
        <v>0</v>
      </c>
      <c r="I2327" s="3">
        <v>0</v>
      </c>
      <c r="J2327" s="3">
        <v>0</v>
      </c>
      <c r="K2327">
        <v>0</v>
      </c>
      <c r="L2327" s="3">
        <f t="shared" si="108"/>
        <v>0</v>
      </c>
      <c r="M2327" s="3"/>
      <c r="N2327" s="3">
        <f t="shared" si="109"/>
        <v>0</v>
      </c>
      <c r="R2327" s="89"/>
      <c r="S2327" s="89">
        <f>100%-Table34[[#This Row],[PDF_initial fee]]</f>
        <v>1</v>
      </c>
      <c r="T2327" s="89"/>
      <c r="U2327" s="26"/>
    </row>
    <row r="2328" spans="1:29" hidden="1" x14ac:dyDescent="0.25">
      <c r="A2328">
        <v>498583</v>
      </c>
      <c r="B2328" t="s">
        <v>2676</v>
      </c>
      <c r="C2328" t="s">
        <v>9431</v>
      </c>
      <c r="D2328">
        <v>1</v>
      </c>
      <c r="E2328" t="s">
        <v>2676</v>
      </c>
      <c r="G2328" s="3"/>
      <c r="H2328" s="21">
        <v>0</v>
      </c>
      <c r="I2328" s="21">
        <v>0</v>
      </c>
      <c r="J2328" s="21">
        <v>0</v>
      </c>
      <c r="K2328" s="21">
        <v>0</v>
      </c>
      <c r="L2328" s="3">
        <f t="shared" si="108"/>
        <v>0</v>
      </c>
      <c r="M2328" s="3"/>
      <c r="N2328" s="3">
        <f t="shared" si="109"/>
        <v>0</v>
      </c>
      <c r="R2328" s="89"/>
      <c r="S2328" s="89">
        <f>100%-Table34[[#This Row],[PDF_initial fee]]</f>
        <v>1</v>
      </c>
      <c r="T2328" s="89"/>
      <c r="U2328" s="26"/>
    </row>
    <row r="2329" spans="1:29" hidden="1" x14ac:dyDescent="0.25">
      <c r="A2329">
        <v>498748</v>
      </c>
      <c r="B2329" t="s">
        <v>2678</v>
      </c>
      <c r="C2329" t="s">
        <v>30240</v>
      </c>
      <c r="D2329">
        <v>4</v>
      </c>
      <c r="E2329" t="s">
        <v>2678</v>
      </c>
      <c r="G2329" s="3"/>
      <c r="L2329" s="3">
        <f t="shared" si="108"/>
        <v>0</v>
      </c>
      <c r="M2329" s="3"/>
      <c r="N2329" s="3">
        <f t="shared" si="109"/>
        <v>0</v>
      </c>
      <c r="R2329" s="89"/>
      <c r="S2329" s="89">
        <f>100%-Table34[[#This Row],[PDF_initial fee]]</f>
        <v>1</v>
      </c>
      <c r="T2329" s="89"/>
      <c r="U2329" s="26"/>
    </row>
    <row r="2330" spans="1:29" hidden="1" x14ac:dyDescent="0.25">
      <c r="A2330">
        <v>498988</v>
      </c>
      <c r="B2330" t="s">
        <v>2679</v>
      </c>
      <c r="C2330" t="s">
        <v>12614</v>
      </c>
      <c r="D2330">
        <v>1</v>
      </c>
      <c r="E2330" t="s">
        <v>2679</v>
      </c>
      <c r="G2330" s="3"/>
      <c r="H2330" s="21">
        <v>0</v>
      </c>
      <c r="I2330" s="21">
        <v>0</v>
      </c>
      <c r="J2330" s="21">
        <v>0</v>
      </c>
      <c r="K2330" s="21">
        <v>0</v>
      </c>
      <c r="L2330" s="3">
        <f t="shared" si="108"/>
        <v>0</v>
      </c>
      <c r="M2330" s="3"/>
      <c r="N2330" s="3">
        <f t="shared" si="109"/>
        <v>0</v>
      </c>
      <c r="R2330" s="89"/>
      <c r="S2330" s="89">
        <f>100%-Table34[[#This Row],[PDF_initial fee]]</f>
        <v>1</v>
      </c>
      <c r="T2330" s="89"/>
      <c r="U2330" s="26"/>
    </row>
    <row r="2331" spans="1:29" hidden="1" x14ac:dyDescent="0.25">
      <c r="A2331">
        <v>499204</v>
      </c>
      <c r="B2331" t="s">
        <v>2680</v>
      </c>
      <c r="C2331" t="s">
        <v>30241</v>
      </c>
      <c r="D2331">
        <v>1</v>
      </c>
      <c r="E2331" t="s">
        <v>2680</v>
      </c>
      <c r="G2331" s="3"/>
      <c r="H2331" s="21">
        <v>0</v>
      </c>
      <c r="I2331" s="21">
        <v>0</v>
      </c>
      <c r="J2331" s="21">
        <v>0</v>
      </c>
      <c r="K2331" s="21">
        <v>0</v>
      </c>
      <c r="L2331" s="3">
        <f t="shared" si="108"/>
        <v>0</v>
      </c>
      <c r="M2331" s="3"/>
      <c r="N2331" s="3">
        <f t="shared" si="109"/>
        <v>0</v>
      </c>
      <c r="O2331" s="21"/>
      <c r="R2331" s="89"/>
      <c r="S2331" s="89">
        <f>100%-Table34[[#This Row],[PDF_initial fee]]</f>
        <v>1</v>
      </c>
      <c r="T2331" s="89"/>
      <c r="U2331" s="26"/>
    </row>
    <row r="2332" spans="1:29" x14ac:dyDescent="0.25">
      <c r="A2332">
        <v>143190</v>
      </c>
      <c r="B2332" t="s">
        <v>57</v>
      </c>
      <c r="C2332" t="s">
        <v>12144</v>
      </c>
      <c r="D2332" s="1">
        <v>1</v>
      </c>
      <c r="E2332" t="s">
        <v>57</v>
      </c>
      <c r="F2332" t="s">
        <v>3</v>
      </c>
      <c r="G2332" s="3">
        <v>1.4E-3</v>
      </c>
      <c r="H2332" s="3">
        <v>1.4999999999999999E-2</v>
      </c>
      <c r="I2332" s="3">
        <v>0</v>
      </c>
      <c r="J2332" s="6"/>
      <c r="K2332" s="6"/>
      <c r="L2332" s="3">
        <f t="shared" si="108"/>
        <v>1.4999999999999999E-2</v>
      </c>
      <c r="M2332" s="3"/>
      <c r="N2332" s="3">
        <f t="shared" si="109"/>
        <v>1.6399999999999998E-2</v>
      </c>
      <c r="O2332" t="s">
        <v>30242</v>
      </c>
      <c r="P2332" s="1" t="s">
        <v>30243</v>
      </c>
      <c r="Q2332" t="s">
        <v>31787</v>
      </c>
      <c r="R2332" s="89">
        <v>0.33333333333333348</v>
      </c>
      <c r="S2332" s="89">
        <f>100%-Table34[[#This Row],[InitialFee]]</f>
        <v>0.98499999999999999</v>
      </c>
      <c r="T2332" s="89">
        <f>(1-Table34[[#This Row],[PDF ongoing fee]])^5</f>
        <v>1</v>
      </c>
      <c r="U2332" s="26">
        <f>(1+Table34[[#This Row],[Net 5yrs return (mostly up to 28th of Feb 2026)]])*Table34[[#This Row],[Investment after initial charge]]*Table34[[#This Row],[Cummulative 5yrs ongoing advice charge]]-1</f>
        <v>0.31333333333333346</v>
      </c>
      <c r="V2332">
        <v>1</v>
      </c>
      <c r="W2332" t="s">
        <v>29051</v>
      </c>
      <c r="X2332" s="10">
        <v>1</v>
      </c>
      <c r="Y2332" s="30">
        <f>X2332/V2332</f>
        <v>1</v>
      </c>
      <c r="AA2332" s="1" t="s">
        <v>30244</v>
      </c>
      <c r="AC2332" t="s">
        <v>30245</v>
      </c>
    </row>
    <row r="2333" spans="1:29" hidden="1" x14ac:dyDescent="0.25">
      <c r="A2333">
        <v>499351</v>
      </c>
      <c r="B2333" t="s">
        <v>2681</v>
      </c>
      <c r="C2333" t="s">
        <v>29642</v>
      </c>
      <c r="D2333">
        <v>7</v>
      </c>
      <c r="E2333" t="s">
        <v>2681</v>
      </c>
      <c r="G2333" s="3"/>
      <c r="H2333" s="3">
        <v>0</v>
      </c>
      <c r="I2333" s="3">
        <v>0</v>
      </c>
      <c r="J2333" s="3">
        <v>0</v>
      </c>
      <c r="K2333" s="3">
        <v>0</v>
      </c>
      <c r="L2333" s="3">
        <f t="shared" si="108"/>
        <v>0</v>
      </c>
      <c r="M2333" s="3"/>
      <c r="N2333" s="3">
        <f t="shared" si="109"/>
        <v>0</v>
      </c>
      <c r="R2333" s="89"/>
      <c r="S2333" s="89">
        <f>100%-Table34[[#This Row],[PDF_initial fee]]</f>
        <v>1</v>
      </c>
      <c r="T2333" s="89"/>
      <c r="U2333" s="26"/>
    </row>
    <row r="2334" spans="1:29" hidden="1" x14ac:dyDescent="0.25">
      <c r="A2334">
        <v>499460</v>
      </c>
      <c r="B2334" t="s">
        <v>2682</v>
      </c>
      <c r="C2334" t="s">
        <v>7433</v>
      </c>
      <c r="D2334">
        <v>14</v>
      </c>
      <c r="E2334" t="s">
        <v>2682</v>
      </c>
      <c r="G2334" s="3"/>
      <c r="L2334" s="3">
        <f t="shared" si="108"/>
        <v>0</v>
      </c>
      <c r="M2334" s="3"/>
      <c r="N2334" s="3">
        <f t="shared" si="109"/>
        <v>0</v>
      </c>
      <c r="R2334" s="89"/>
      <c r="S2334" s="89">
        <f>100%-Table34[[#This Row],[PDF_initial fee]]</f>
        <v>1</v>
      </c>
      <c r="T2334" s="89"/>
      <c r="U2334" s="26"/>
    </row>
    <row r="2335" spans="1:29" hidden="1" x14ac:dyDescent="0.25">
      <c r="A2335">
        <v>499510</v>
      </c>
      <c r="B2335" t="s">
        <v>2683</v>
      </c>
      <c r="C2335" t="s">
        <v>30246</v>
      </c>
      <c r="D2335">
        <v>148</v>
      </c>
      <c r="E2335" t="s">
        <v>2683</v>
      </c>
      <c r="F2335" t="s">
        <v>6</v>
      </c>
      <c r="G2335" s="3"/>
      <c r="H2335" s="54">
        <v>0</v>
      </c>
      <c r="I2335" s="54">
        <v>0</v>
      </c>
      <c r="J2335" s="54"/>
      <c r="K2335" s="54"/>
      <c r="L2335" s="3">
        <f t="shared" si="108"/>
        <v>0</v>
      </c>
      <c r="M2335" s="3"/>
      <c r="N2335" s="3">
        <f t="shared" si="109"/>
        <v>0</v>
      </c>
      <c r="R2335" s="89"/>
      <c r="S2335" s="89">
        <f>100%-Table34[[#This Row],[PDF_initial fee]]</f>
        <v>1</v>
      </c>
      <c r="T2335" s="89"/>
      <c r="U2335" s="26"/>
    </row>
    <row r="2336" spans="1:29" hidden="1" x14ac:dyDescent="0.25">
      <c r="A2336">
        <v>499727</v>
      </c>
      <c r="B2336" t="s">
        <v>2684</v>
      </c>
      <c r="C2336" t="s">
        <v>6958</v>
      </c>
      <c r="D2336">
        <v>0</v>
      </c>
      <c r="E2336" t="s">
        <v>2684</v>
      </c>
      <c r="F2336" t="s">
        <v>6958</v>
      </c>
      <c r="G2336" s="3"/>
      <c r="H2336" s="21">
        <v>0</v>
      </c>
      <c r="I2336" s="21">
        <v>0</v>
      </c>
      <c r="J2336" s="21">
        <v>0</v>
      </c>
      <c r="K2336" s="21">
        <v>0</v>
      </c>
      <c r="L2336" s="3">
        <f t="shared" si="108"/>
        <v>0</v>
      </c>
      <c r="M2336" s="3"/>
      <c r="N2336" s="3">
        <f t="shared" si="109"/>
        <v>0</v>
      </c>
      <c r="R2336" s="89"/>
      <c r="S2336" s="89">
        <f>100%-Table34[[#This Row],[PDF_initial fee]]</f>
        <v>1</v>
      </c>
      <c r="T2336" s="89"/>
      <c r="U2336" s="26"/>
    </row>
    <row r="2337" spans="1:21" hidden="1" x14ac:dyDescent="0.25">
      <c r="A2337">
        <v>500145</v>
      </c>
      <c r="B2337" t="s">
        <v>2685</v>
      </c>
      <c r="C2337" t="s">
        <v>6958</v>
      </c>
      <c r="D2337">
        <v>1</v>
      </c>
      <c r="E2337" t="s">
        <v>2685</v>
      </c>
      <c r="F2337" t="s">
        <v>6958</v>
      </c>
      <c r="G2337" s="3"/>
      <c r="L2337" s="3">
        <f t="shared" si="108"/>
        <v>0</v>
      </c>
      <c r="M2337" s="3"/>
      <c r="N2337" s="3">
        <f t="shared" si="109"/>
        <v>0</v>
      </c>
      <c r="R2337" s="89"/>
      <c r="S2337" s="89">
        <f>100%-Table34[[#This Row],[PDF_initial fee]]</f>
        <v>1</v>
      </c>
      <c r="T2337" s="89"/>
      <c r="U2337" s="26"/>
    </row>
    <row r="2338" spans="1:21" hidden="1" x14ac:dyDescent="0.25">
      <c r="A2338">
        <v>500255</v>
      </c>
      <c r="B2338" t="s">
        <v>2687</v>
      </c>
      <c r="C2338" t="s">
        <v>6958</v>
      </c>
      <c r="D2338">
        <v>0</v>
      </c>
      <c r="E2338" t="s">
        <v>2687</v>
      </c>
      <c r="F2338" t="s">
        <v>6958</v>
      </c>
      <c r="G2338" s="3"/>
      <c r="L2338" s="3">
        <f t="shared" si="108"/>
        <v>0</v>
      </c>
      <c r="M2338" s="3"/>
      <c r="N2338" s="3">
        <f t="shared" si="109"/>
        <v>0</v>
      </c>
      <c r="R2338" s="89"/>
      <c r="S2338" s="89">
        <f>100%-Table34[[#This Row],[PDF_initial fee]]</f>
        <v>1</v>
      </c>
      <c r="T2338" s="89"/>
      <c r="U2338" s="26"/>
    </row>
    <row r="2339" spans="1:21" hidden="1" x14ac:dyDescent="0.25">
      <c r="A2339">
        <v>500547</v>
      </c>
      <c r="B2339" t="s">
        <v>2689</v>
      </c>
      <c r="C2339" t="s">
        <v>9274</v>
      </c>
      <c r="D2339">
        <v>3</v>
      </c>
      <c r="E2339" t="s">
        <v>2689</v>
      </c>
      <c r="G2339" s="3"/>
      <c r="H2339" s="21">
        <v>0</v>
      </c>
      <c r="I2339" s="21">
        <v>0</v>
      </c>
      <c r="J2339" s="21">
        <v>0</v>
      </c>
      <c r="K2339" s="21">
        <v>0</v>
      </c>
      <c r="L2339" s="3">
        <f t="shared" si="108"/>
        <v>0</v>
      </c>
      <c r="M2339" s="3"/>
      <c r="N2339" s="3">
        <f t="shared" si="109"/>
        <v>0</v>
      </c>
      <c r="R2339" s="89"/>
      <c r="S2339" s="89">
        <f>100%-Table34[[#This Row],[PDF_initial fee]]</f>
        <v>1</v>
      </c>
      <c r="T2339" s="89"/>
      <c r="U2339" s="26"/>
    </row>
    <row r="2340" spans="1:21" hidden="1" x14ac:dyDescent="0.25">
      <c r="A2340">
        <v>500654</v>
      </c>
      <c r="B2340" t="s">
        <v>2690</v>
      </c>
      <c r="C2340" t="s">
        <v>6958</v>
      </c>
      <c r="D2340">
        <v>6</v>
      </c>
      <c r="E2340" t="s">
        <v>2690</v>
      </c>
      <c r="F2340" t="s">
        <v>6958</v>
      </c>
      <c r="G2340" s="3"/>
      <c r="H2340" s="21">
        <v>0</v>
      </c>
      <c r="I2340" s="21">
        <v>0</v>
      </c>
      <c r="J2340" s="21">
        <v>0</v>
      </c>
      <c r="K2340" s="21">
        <v>0</v>
      </c>
      <c r="L2340" s="3">
        <f t="shared" si="108"/>
        <v>0</v>
      </c>
      <c r="M2340" s="3"/>
      <c r="N2340" s="3">
        <f t="shared" si="109"/>
        <v>0</v>
      </c>
      <c r="R2340" s="89"/>
      <c r="S2340" s="89">
        <f>100%-Table34[[#This Row],[PDF_initial fee]]</f>
        <v>1</v>
      </c>
      <c r="T2340" s="89"/>
      <c r="U2340" s="26"/>
    </row>
    <row r="2341" spans="1:21" hidden="1" x14ac:dyDescent="0.25">
      <c r="A2341">
        <v>500709</v>
      </c>
      <c r="B2341" t="s">
        <v>2691</v>
      </c>
      <c r="C2341" t="s">
        <v>10299</v>
      </c>
      <c r="D2341">
        <v>2</v>
      </c>
      <c r="E2341" t="s">
        <v>2691</v>
      </c>
      <c r="G2341" s="3"/>
      <c r="L2341" s="3">
        <f t="shared" si="108"/>
        <v>0</v>
      </c>
      <c r="M2341" s="3"/>
      <c r="N2341" s="3">
        <f t="shared" si="109"/>
        <v>0</v>
      </c>
      <c r="R2341" s="89"/>
      <c r="S2341" s="89">
        <f>100%-Table34[[#This Row],[PDF_initial fee]]</f>
        <v>1</v>
      </c>
      <c r="T2341" s="89"/>
      <c r="U2341" s="26"/>
    </row>
    <row r="2342" spans="1:21" hidden="1" x14ac:dyDescent="0.25">
      <c r="A2342">
        <v>500863</v>
      </c>
      <c r="B2342" t="s">
        <v>2692</v>
      </c>
      <c r="C2342" t="s">
        <v>30247</v>
      </c>
      <c r="D2342">
        <v>1</v>
      </c>
      <c r="E2342" t="s">
        <v>2692</v>
      </c>
      <c r="G2342" s="3"/>
      <c r="H2342" s="3">
        <v>0</v>
      </c>
      <c r="I2342" s="3">
        <v>0</v>
      </c>
      <c r="J2342" s="3">
        <v>0</v>
      </c>
      <c r="K2342" s="3">
        <v>0</v>
      </c>
      <c r="L2342" s="3">
        <f t="shared" si="108"/>
        <v>0</v>
      </c>
      <c r="M2342" s="3"/>
      <c r="N2342" s="3">
        <f t="shared" si="109"/>
        <v>0</v>
      </c>
      <c r="R2342" s="89"/>
      <c r="S2342" s="89">
        <f>100%-Table34[[#This Row],[PDF_initial fee]]</f>
        <v>1</v>
      </c>
      <c r="T2342" s="89"/>
      <c r="U2342" s="26"/>
    </row>
    <row r="2343" spans="1:21" hidden="1" x14ac:dyDescent="0.25">
      <c r="A2343">
        <v>500906</v>
      </c>
      <c r="B2343" t="s">
        <v>2693</v>
      </c>
      <c r="C2343" t="s">
        <v>6958</v>
      </c>
      <c r="D2343">
        <v>1</v>
      </c>
      <c r="E2343" t="s">
        <v>2693</v>
      </c>
      <c r="F2343" t="s">
        <v>6958</v>
      </c>
      <c r="G2343" s="3"/>
      <c r="H2343" s="21">
        <v>0</v>
      </c>
      <c r="I2343" s="21">
        <v>0</v>
      </c>
      <c r="J2343" s="21">
        <v>0</v>
      </c>
      <c r="K2343" s="21">
        <v>0</v>
      </c>
      <c r="L2343" s="3">
        <f t="shared" si="108"/>
        <v>0</v>
      </c>
      <c r="M2343" s="3"/>
      <c r="N2343" s="3">
        <f t="shared" si="109"/>
        <v>0</v>
      </c>
      <c r="R2343" s="89"/>
      <c r="S2343" s="89">
        <f>100%-Table34[[#This Row],[PDF_initial fee]]</f>
        <v>1</v>
      </c>
      <c r="T2343" s="89"/>
      <c r="U2343" s="26"/>
    </row>
    <row r="2344" spans="1:21" hidden="1" x14ac:dyDescent="0.25">
      <c r="A2344">
        <v>501064</v>
      </c>
      <c r="B2344" t="s">
        <v>2695</v>
      </c>
      <c r="C2344" t="s">
        <v>30248</v>
      </c>
      <c r="D2344">
        <v>2</v>
      </c>
      <c r="E2344" t="s">
        <v>2695</v>
      </c>
      <c r="G2344" s="3"/>
      <c r="H2344" s="3">
        <v>0</v>
      </c>
      <c r="I2344" s="3">
        <v>0</v>
      </c>
      <c r="J2344" s="3">
        <v>0</v>
      </c>
      <c r="K2344" s="3">
        <v>0</v>
      </c>
      <c r="L2344" s="3">
        <f t="shared" si="108"/>
        <v>0</v>
      </c>
      <c r="M2344" s="3"/>
      <c r="N2344" s="3">
        <f t="shared" si="109"/>
        <v>0</v>
      </c>
      <c r="R2344" s="89"/>
      <c r="S2344" s="89">
        <f>100%-Table34[[#This Row],[PDF_initial fee]]</f>
        <v>1</v>
      </c>
      <c r="T2344" s="89"/>
      <c r="U2344" s="26"/>
    </row>
    <row r="2345" spans="1:21" hidden="1" x14ac:dyDescent="0.25">
      <c r="A2345">
        <v>501409</v>
      </c>
      <c r="B2345" t="s">
        <v>2696</v>
      </c>
      <c r="C2345" s="1" t="s">
        <v>30249</v>
      </c>
      <c r="D2345">
        <v>1</v>
      </c>
      <c r="E2345" t="s">
        <v>2696</v>
      </c>
      <c r="G2345" s="3"/>
      <c r="H2345" s="3">
        <v>0</v>
      </c>
      <c r="I2345" s="3">
        <v>0</v>
      </c>
      <c r="J2345" s="3">
        <v>0</v>
      </c>
      <c r="K2345" s="3">
        <v>0</v>
      </c>
      <c r="L2345" s="3">
        <f t="shared" si="108"/>
        <v>0</v>
      </c>
      <c r="M2345" s="3"/>
      <c r="N2345" s="3">
        <f t="shared" si="109"/>
        <v>0</v>
      </c>
      <c r="R2345" s="89"/>
      <c r="S2345" s="89">
        <f>100%-Table34[[#This Row],[PDF_initial fee]]</f>
        <v>1</v>
      </c>
      <c r="T2345" s="89"/>
      <c r="U2345" s="26"/>
    </row>
    <row r="2346" spans="1:21" hidden="1" x14ac:dyDescent="0.25">
      <c r="A2346">
        <v>501593</v>
      </c>
      <c r="B2346" t="s">
        <v>2697</v>
      </c>
      <c r="C2346" t="s">
        <v>10621</v>
      </c>
      <c r="D2346">
        <v>3</v>
      </c>
      <c r="E2346" t="s">
        <v>2697</v>
      </c>
      <c r="G2346" s="3"/>
      <c r="L2346" s="3">
        <f t="shared" si="108"/>
        <v>0</v>
      </c>
      <c r="M2346" s="3"/>
      <c r="N2346" s="3">
        <f t="shared" si="109"/>
        <v>0</v>
      </c>
      <c r="R2346" s="89"/>
      <c r="S2346" s="89">
        <f>100%-Table34[[#This Row],[PDF_initial fee]]</f>
        <v>1</v>
      </c>
      <c r="T2346" s="89"/>
      <c r="U2346" s="26"/>
    </row>
    <row r="2347" spans="1:21" hidden="1" x14ac:dyDescent="0.25">
      <c r="A2347">
        <v>501695</v>
      </c>
      <c r="B2347" t="s">
        <v>2698</v>
      </c>
      <c r="C2347" t="s">
        <v>6958</v>
      </c>
      <c r="D2347">
        <v>7</v>
      </c>
      <c r="E2347" t="s">
        <v>2698</v>
      </c>
      <c r="F2347" t="s">
        <v>6958</v>
      </c>
      <c r="G2347" s="3"/>
      <c r="H2347" s="21">
        <v>0</v>
      </c>
      <c r="I2347" s="21">
        <v>0</v>
      </c>
      <c r="J2347" s="21">
        <v>0</v>
      </c>
      <c r="K2347" s="21">
        <v>0</v>
      </c>
      <c r="L2347" s="3">
        <f t="shared" si="108"/>
        <v>0</v>
      </c>
      <c r="M2347" s="3"/>
      <c r="N2347" s="3">
        <f t="shared" si="109"/>
        <v>0</v>
      </c>
      <c r="R2347" s="89"/>
      <c r="S2347" s="89">
        <f>100%-Table34[[#This Row],[PDF_initial fee]]</f>
        <v>1</v>
      </c>
      <c r="T2347" s="89"/>
      <c r="U2347" s="26"/>
    </row>
    <row r="2348" spans="1:21" hidden="1" x14ac:dyDescent="0.25">
      <c r="A2348">
        <v>501806</v>
      </c>
      <c r="B2348" t="s">
        <v>2699</v>
      </c>
      <c r="C2348" t="s">
        <v>11642</v>
      </c>
      <c r="D2348">
        <v>3</v>
      </c>
      <c r="E2348" t="s">
        <v>2699</v>
      </c>
      <c r="G2348" s="3"/>
      <c r="H2348" s="21">
        <v>0</v>
      </c>
      <c r="I2348" s="21">
        <v>0</v>
      </c>
      <c r="J2348" s="21">
        <v>0</v>
      </c>
      <c r="K2348" s="21">
        <v>0</v>
      </c>
      <c r="L2348" s="3">
        <f t="shared" ref="L2348:L2411" si="110">SUM(H2348:K2348)</f>
        <v>0</v>
      </c>
      <c r="M2348" s="3"/>
      <c r="N2348" s="3">
        <f t="shared" si="109"/>
        <v>0</v>
      </c>
      <c r="R2348" s="89"/>
      <c r="S2348" s="89">
        <f>100%-Table34[[#This Row],[PDF_initial fee]]</f>
        <v>1</v>
      </c>
      <c r="T2348" s="89"/>
      <c r="U2348" s="26"/>
    </row>
    <row r="2349" spans="1:21" hidden="1" x14ac:dyDescent="0.25">
      <c r="A2349">
        <v>501819</v>
      </c>
      <c r="B2349" t="s">
        <v>2700</v>
      </c>
      <c r="C2349" t="s">
        <v>6958</v>
      </c>
      <c r="D2349">
        <v>1</v>
      </c>
      <c r="E2349" t="s">
        <v>2700</v>
      </c>
      <c r="F2349" t="s">
        <v>6958</v>
      </c>
      <c r="G2349" s="3"/>
      <c r="H2349" s="21">
        <v>0</v>
      </c>
      <c r="I2349" s="21">
        <v>0</v>
      </c>
      <c r="J2349" s="21">
        <v>0</v>
      </c>
      <c r="K2349" s="21">
        <v>0</v>
      </c>
      <c r="L2349" s="3">
        <f t="shared" si="110"/>
        <v>0</v>
      </c>
      <c r="M2349" s="3"/>
      <c r="N2349" s="3">
        <f t="shared" si="109"/>
        <v>0</v>
      </c>
      <c r="R2349" s="89"/>
      <c r="S2349" s="89">
        <f>100%-Table34[[#This Row],[PDF_initial fee]]</f>
        <v>1</v>
      </c>
      <c r="T2349" s="89"/>
      <c r="U2349" s="26"/>
    </row>
    <row r="2350" spans="1:21" hidden="1" x14ac:dyDescent="0.25">
      <c r="A2350">
        <v>501839</v>
      </c>
      <c r="B2350" t="s">
        <v>2701</v>
      </c>
      <c r="C2350" t="s">
        <v>6958</v>
      </c>
      <c r="D2350">
        <v>2</v>
      </c>
      <c r="E2350" t="s">
        <v>2701</v>
      </c>
      <c r="F2350" t="s">
        <v>6958</v>
      </c>
      <c r="G2350" s="3"/>
      <c r="H2350" s="21">
        <v>0</v>
      </c>
      <c r="I2350" s="21">
        <v>0</v>
      </c>
      <c r="J2350" s="21">
        <v>0</v>
      </c>
      <c r="K2350" s="21">
        <v>0</v>
      </c>
      <c r="L2350" s="3">
        <f t="shared" si="110"/>
        <v>0</v>
      </c>
      <c r="M2350" s="3"/>
      <c r="N2350" s="3">
        <f t="shared" si="109"/>
        <v>0</v>
      </c>
      <c r="R2350" s="89"/>
      <c r="S2350" s="89">
        <f>100%-Table34[[#This Row],[PDF_initial fee]]</f>
        <v>1</v>
      </c>
      <c r="T2350" s="89"/>
      <c r="U2350" s="26"/>
    </row>
    <row r="2351" spans="1:21" hidden="1" x14ac:dyDescent="0.25">
      <c r="A2351">
        <v>501854</v>
      </c>
      <c r="B2351" t="s">
        <v>2702</v>
      </c>
      <c r="C2351" t="s">
        <v>30250</v>
      </c>
      <c r="D2351">
        <v>4</v>
      </c>
      <c r="E2351" t="s">
        <v>2702</v>
      </c>
      <c r="G2351" s="3"/>
      <c r="H2351" s="3">
        <v>0</v>
      </c>
      <c r="I2351" s="3">
        <v>0</v>
      </c>
      <c r="J2351" s="3">
        <v>0</v>
      </c>
      <c r="K2351" s="3">
        <v>0</v>
      </c>
      <c r="L2351" s="3">
        <f t="shared" si="110"/>
        <v>0</v>
      </c>
      <c r="M2351" s="3"/>
      <c r="N2351" s="3">
        <f t="shared" si="109"/>
        <v>0</v>
      </c>
      <c r="R2351" s="89"/>
      <c r="S2351" s="89">
        <f>100%-Table34[[#This Row],[PDF_initial fee]]</f>
        <v>1</v>
      </c>
      <c r="T2351" s="89"/>
      <c r="U2351" s="26"/>
    </row>
    <row r="2352" spans="1:21" hidden="1" x14ac:dyDescent="0.25">
      <c r="A2352">
        <v>501867</v>
      </c>
      <c r="B2352" t="s">
        <v>2703</v>
      </c>
      <c r="C2352" t="s">
        <v>6958</v>
      </c>
      <c r="D2352">
        <v>0</v>
      </c>
      <c r="E2352" t="s">
        <v>2703</v>
      </c>
      <c r="F2352" t="s">
        <v>6958</v>
      </c>
      <c r="G2352" s="3"/>
      <c r="H2352" s="21">
        <v>0</v>
      </c>
      <c r="I2352" s="21">
        <v>0</v>
      </c>
      <c r="J2352" s="21">
        <v>0</v>
      </c>
      <c r="K2352" s="21">
        <v>0</v>
      </c>
      <c r="L2352" s="3">
        <f t="shared" si="110"/>
        <v>0</v>
      </c>
      <c r="M2352" s="3"/>
      <c r="N2352" s="3">
        <f t="shared" si="109"/>
        <v>0</v>
      </c>
      <c r="R2352" s="89"/>
      <c r="S2352" s="89">
        <f>100%-Table34[[#This Row],[PDF_initial fee]]</f>
        <v>1</v>
      </c>
      <c r="T2352" s="89"/>
      <c r="U2352" s="26"/>
    </row>
    <row r="2353" spans="1:21" hidden="1" x14ac:dyDescent="0.25">
      <c r="A2353">
        <v>501873</v>
      </c>
      <c r="B2353" t="s">
        <v>2704</v>
      </c>
      <c r="C2353" t="s">
        <v>30251</v>
      </c>
      <c r="D2353">
        <v>1</v>
      </c>
      <c r="E2353" t="s">
        <v>2704</v>
      </c>
      <c r="G2353" s="3"/>
      <c r="H2353" s="3">
        <v>0</v>
      </c>
      <c r="I2353" s="3">
        <v>0</v>
      </c>
      <c r="J2353" s="3">
        <v>0</v>
      </c>
      <c r="K2353" s="3">
        <v>0</v>
      </c>
      <c r="L2353" s="3">
        <f t="shared" si="110"/>
        <v>0</v>
      </c>
      <c r="M2353" s="3"/>
      <c r="N2353" s="3">
        <f t="shared" si="109"/>
        <v>0</v>
      </c>
      <c r="R2353" s="89"/>
      <c r="S2353" s="89">
        <f>100%-Table34[[#This Row],[PDF_initial fee]]</f>
        <v>1</v>
      </c>
      <c r="T2353" s="89"/>
      <c r="U2353" s="26"/>
    </row>
    <row r="2354" spans="1:21" hidden="1" x14ac:dyDescent="0.25">
      <c r="A2354">
        <v>501917</v>
      </c>
      <c r="B2354" t="s">
        <v>2705</v>
      </c>
      <c r="C2354" t="s">
        <v>9941</v>
      </c>
      <c r="D2354">
        <v>15</v>
      </c>
      <c r="E2354" t="s">
        <v>2705</v>
      </c>
      <c r="G2354" s="3"/>
      <c r="H2354" s="21">
        <v>0</v>
      </c>
      <c r="I2354" s="21">
        <v>0</v>
      </c>
      <c r="J2354" s="21">
        <v>0</v>
      </c>
      <c r="K2354" s="21">
        <v>0</v>
      </c>
      <c r="L2354" s="3">
        <f t="shared" si="110"/>
        <v>0</v>
      </c>
      <c r="M2354" s="3"/>
      <c r="N2354" s="3">
        <f t="shared" si="109"/>
        <v>0</v>
      </c>
      <c r="R2354" s="89"/>
      <c r="S2354" s="89">
        <f>100%-Table34[[#This Row],[PDF_initial fee]]</f>
        <v>1</v>
      </c>
      <c r="T2354" s="89"/>
      <c r="U2354" s="26"/>
    </row>
    <row r="2355" spans="1:21" hidden="1" x14ac:dyDescent="0.25">
      <c r="A2355">
        <v>501953</v>
      </c>
      <c r="B2355" t="s">
        <v>2706</v>
      </c>
      <c r="C2355" t="s">
        <v>6958</v>
      </c>
      <c r="D2355">
        <v>1</v>
      </c>
      <c r="E2355" t="s">
        <v>2706</v>
      </c>
      <c r="F2355" t="s">
        <v>6958</v>
      </c>
      <c r="G2355" s="3"/>
      <c r="H2355" s="21">
        <v>0</v>
      </c>
      <c r="I2355" s="21">
        <v>0</v>
      </c>
      <c r="J2355" s="21">
        <v>0</v>
      </c>
      <c r="K2355" s="21">
        <v>0</v>
      </c>
      <c r="L2355" s="3">
        <f t="shared" si="110"/>
        <v>0</v>
      </c>
      <c r="M2355" s="3"/>
      <c r="N2355" s="3">
        <f t="shared" si="109"/>
        <v>0</v>
      </c>
      <c r="R2355" s="89"/>
      <c r="S2355" s="89">
        <f>100%-Table34[[#This Row],[PDF_initial fee]]</f>
        <v>1</v>
      </c>
      <c r="T2355" s="89"/>
      <c r="U2355" s="26"/>
    </row>
    <row r="2356" spans="1:21" hidden="1" x14ac:dyDescent="0.25">
      <c r="A2356">
        <v>502077</v>
      </c>
      <c r="B2356" t="s">
        <v>2708</v>
      </c>
      <c r="C2356" t="s">
        <v>7634</v>
      </c>
      <c r="D2356">
        <v>3</v>
      </c>
      <c r="E2356" t="s">
        <v>2708</v>
      </c>
      <c r="G2356" s="3"/>
      <c r="H2356" s="21">
        <v>0</v>
      </c>
      <c r="I2356" s="21">
        <v>0</v>
      </c>
      <c r="J2356" s="21">
        <v>0</v>
      </c>
      <c r="K2356" s="21">
        <v>0</v>
      </c>
      <c r="L2356" s="3">
        <f t="shared" si="110"/>
        <v>0</v>
      </c>
      <c r="M2356" s="3"/>
      <c r="N2356" s="3">
        <f t="shared" si="109"/>
        <v>0</v>
      </c>
      <c r="R2356" s="89"/>
      <c r="S2356" s="89">
        <f>100%-Table34[[#This Row],[PDF_initial fee]]</f>
        <v>1</v>
      </c>
      <c r="T2356" s="89"/>
      <c r="U2356" s="26"/>
    </row>
    <row r="2357" spans="1:21" hidden="1" x14ac:dyDescent="0.25">
      <c r="A2357">
        <v>502088</v>
      </c>
      <c r="B2357" t="s">
        <v>2709</v>
      </c>
      <c r="C2357" t="s">
        <v>30252</v>
      </c>
      <c r="D2357">
        <v>0</v>
      </c>
      <c r="E2357" t="s">
        <v>2709</v>
      </c>
      <c r="F2357" t="s">
        <v>3</v>
      </c>
      <c r="G2357" s="3"/>
      <c r="H2357" s="3">
        <v>0</v>
      </c>
      <c r="I2357" s="3">
        <v>0</v>
      </c>
      <c r="J2357" s="3">
        <v>0</v>
      </c>
      <c r="K2357" s="3">
        <v>0</v>
      </c>
      <c r="L2357" s="3">
        <f t="shared" si="110"/>
        <v>0</v>
      </c>
      <c r="M2357" s="3"/>
      <c r="N2357" s="3">
        <f t="shared" si="109"/>
        <v>0</v>
      </c>
      <c r="R2357" s="89"/>
      <c r="S2357" s="89">
        <f>100%-Table34[[#This Row],[PDF_initial fee]]</f>
        <v>1</v>
      </c>
      <c r="T2357" s="89"/>
      <c r="U2357" s="26"/>
    </row>
    <row r="2358" spans="1:21" hidden="1" x14ac:dyDescent="0.25">
      <c r="A2358">
        <v>502096</v>
      </c>
      <c r="B2358" t="s">
        <v>2710</v>
      </c>
      <c r="C2358" t="s">
        <v>30253</v>
      </c>
      <c r="D2358">
        <v>1</v>
      </c>
      <c r="E2358" t="s">
        <v>2710</v>
      </c>
      <c r="G2358" s="3"/>
      <c r="H2358" s="3">
        <v>0</v>
      </c>
      <c r="I2358" s="3">
        <v>0</v>
      </c>
      <c r="J2358" s="3">
        <v>0</v>
      </c>
      <c r="K2358" s="3">
        <v>0</v>
      </c>
      <c r="L2358" s="3">
        <f t="shared" si="110"/>
        <v>0</v>
      </c>
      <c r="M2358" s="3"/>
      <c r="N2358" s="3">
        <f t="shared" si="109"/>
        <v>0</v>
      </c>
      <c r="R2358" s="89"/>
      <c r="S2358" s="89">
        <f>100%-Table34[[#This Row],[PDF_initial fee]]</f>
        <v>1</v>
      </c>
      <c r="T2358" s="89"/>
      <c r="U2358" s="26"/>
    </row>
    <row r="2359" spans="1:21" hidden="1" x14ac:dyDescent="0.25">
      <c r="A2359">
        <v>502242</v>
      </c>
      <c r="B2359" t="s">
        <v>2711</v>
      </c>
      <c r="C2359" t="s">
        <v>11355</v>
      </c>
      <c r="D2359">
        <v>3</v>
      </c>
      <c r="E2359" t="s">
        <v>2711</v>
      </c>
      <c r="G2359" s="3"/>
      <c r="H2359" s="21">
        <v>0</v>
      </c>
      <c r="I2359" s="21">
        <v>0</v>
      </c>
      <c r="J2359" s="21">
        <v>0</v>
      </c>
      <c r="K2359" s="21">
        <v>0</v>
      </c>
      <c r="L2359" s="3">
        <f t="shared" si="110"/>
        <v>0</v>
      </c>
      <c r="M2359" s="3"/>
      <c r="N2359" s="3">
        <f t="shared" si="109"/>
        <v>0</v>
      </c>
      <c r="R2359" s="89"/>
      <c r="S2359" s="89">
        <f>100%-Table34[[#This Row],[PDF_initial fee]]</f>
        <v>1</v>
      </c>
      <c r="T2359" s="89"/>
      <c r="U2359" s="26"/>
    </row>
    <row r="2360" spans="1:21" hidden="1" x14ac:dyDescent="0.25">
      <c r="A2360">
        <v>502263</v>
      </c>
      <c r="B2360" t="s">
        <v>2712</v>
      </c>
      <c r="C2360" t="s">
        <v>30254</v>
      </c>
      <c r="D2360">
        <v>1</v>
      </c>
      <c r="E2360" t="s">
        <v>2712</v>
      </c>
      <c r="G2360" s="3"/>
      <c r="H2360" s="21">
        <v>0</v>
      </c>
      <c r="I2360" s="21">
        <v>0</v>
      </c>
      <c r="J2360" s="21">
        <v>0</v>
      </c>
      <c r="K2360" s="21">
        <v>0</v>
      </c>
      <c r="L2360" s="3">
        <f t="shared" si="110"/>
        <v>0</v>
      </c>
      <c r="M2360" s="3"/>
      <c r="N2360" s="3">
        <f t="shared" si="109"/>
        <v>0</v>
      </c>
      <c r="O2360" s="21"/>
      <c r="R2360" s="89"/>
      <c r="S2360" s="89">
        <f>100%-Table34[[#This Row],[PDF_initial fee]]</f>
        <v>1</v>
      </c>
      <c r="T2360" s="89"/>
      <c r="U2360" s="26"/>
    </row>
    <row r="2361" spans="1:21" hidden="1" x14ac:dyDescent="0.25">
      <c r="A2361">
        <v>502281</v>
      </c>
      <c r="B2361" t="s">
        <v>2713</v>
      </c>
      <c r="C2361" t="s">
        <v>10843</v>
      </c>
      <c r="D2361">
        <v>1</v>
      </c>
      <c r="E2361" t="s">
        <v>2713</v>
      </c>
      <c r="G2361" s="3"/>
      <c r="H2361" s="21">
        <v>0</v>
      </c>
      <c r="I2361" s="21">
        <v>0</v>
      </c>
      <c r="J2361" s="21">
        <v>0</v>
      </c>
      <c r="K2361" s="21">
        <v>0</v>
      </c>
      <c r="L2361" s="3">
        <f t="shared" si="110"/>
        <v>0</v>
      </c>
      <c r="M2361" s="3"/>
      <c r="N2361" s="3">
        <f t="shared" si="109"/>
        <v>0</v>
      </c>
      <c r="R2361" s="89"/>
      <c r="S2361" s="89">
        <f>100%-Table34[[#This Row],[PDF_initial fee]]</f>
        <v>1</v>
      </c>
      <c r="T2361" s="89"/>
      <c r="U2361" s="26"/>
    </row>
    <row r="2362" spans="1:21" hidden="1" x14ac:dyDescent="0.25">
      <c r="A2362">
        <v>502319</v>
      </c>
      <c r="B2362" t="s">
        <v>2714</v>
      </c>
      <c r="C2362" t="s">
        <v>7265</v>
      </c>
      <c r="D2362">
        <v>1</v>
      </c>
      <c r="E2362" t="s">
        <v>2714</v>
      </c>
      <c r="G2362" s="3"/>
      <c r="H2362" s="21">
        <v>0</v>
      </c>
      <c r="I2362" s="21">
        <v>0</v>
      </c>
      <c r="J2362" s="21">
        <v>0</v>
      </c>
      <c r="K2362" s="21">
        <v>0</v>
      </c>
      <c r="L2362" s="3">
        <f t="shared" si="110"/>
        <v>0</v>
      </c>
      <c r="M2362" s="3"/>
      <c r="N2362" s="3">
        <f t="shared" si="109"/>
        <v>0</v>
      </c>
      <c r="R2362" s="89"/>
      <c r="S2362" s="89">
        <f>100%-Table34[[#This Row],[PDF_initial fee]]</f>
        <v>1</v>
      </c>
      <c r="T2362" s="89"/>
      <c r="U2362" s="26"/>
    </row>
    <row r="2363" spans="1:21" hidden="1" x14ac:dyDescent="0.25">
      <c r="A2363">
        <v>502399</v>
      </c>
      <c r="B2363" t="s">
        <v>2715</v>
      </c>
      <c r="C2363" t="s">
        <v>8793</v>
      </c>
      <c r="D2363">
        <v>1</v>
      </c>
      <c r="E2363" t="s">
        <v>2715</v>
      </c>
      <c r="G2363" s="3"/>
      <c r="H2363" s="21">
        <v>0</v>
      </c>
      <c r="I2363" s="21">
        <v>0</v>
      </c>
      <c r="J2363" s="21">
        <v>0</v>
      </c>
      <c r="K2363" s="21">
        <v>0</v>
      </c>
      <c r="L2363" s="3">
        <f t="shared" si="110"/>
        <v>0</v>
      </c>
      <c r="M2363" s="3"/>
      <c r="N2363" s="3">
        <f t="shared" si="109"/>
        <v>0</v>
      </c>
      <c r="R2363" s="89"/>
      <c r="S2363" s="89">
        <f>100%-Table34[[#This Row],[PDF_initial fee]]</f>
        <v>1</v>
      </c>
      <c r="T2363" s="89"/>
      <c r="U2363" s="26"/>
    </row>
    <row r="2364" spans="1:21" hidden="1" x14ac:dyDescent="0.25">
      <c r="A2364">
        <v>502476</v>
      </c>
      <c r="B2364" t="s">
        <v>2716</v>
      </c>
      <c r="C2364" t="s">
        <v>9712</v>
      </c>
      <c r="D2364">
        <v>2</v>
      </c>
      <c r="E2364" t="s">
        <v>2716</v>
      </c>
      <c r="G2364" s="3"/>
      <c r="H2364" s="21">
        <v>0</v>
      </c>
      <c r="I2364" s="21">
        <v>0</v>
      </c>
      <c r="J2364" s="21">
        <v>0</v>
      </c>
      <c r="K2364" s="21">
        <v>0</v>
      </c>
      <c r="L2364" s="3">
        <f t="shared" si="110"/>
        <v>0</v>
      </c>
      <c r="M2364" s="3"/>
      <c r="N2364" s="3">
        <f t="shared" si="109"/>
        <v>0</v>
      </c>
      <c r="R2364" s="89"/>
      <c r="S2364" s="89">
        <f>100%-Table34[[#This Row],[PDF_initial fee]]</f>
        <v>1</v>
      </c>
      <c r="T2364" s="89"/>
      <c r="U2364" s="26"/>
    </row>
    <row r="2365" spans="1:21" hidden="1" x14ac:dyDescent="0.25">
      <c r="A2365">
        <v>502537</v>
      </c>
      <c r="B2365" t="s">
        <v>2717</v>
      </c>
      <c r="C2365" t="s">
        <v>6958</v>
      </c>
      <c r="D2365">
        <v>1</v>
      </c>
      <c r="E2365" t="s">
        <v>2717</v>
      </c>
      <c r="F2365" t="s">
        <v>6958</v>
      </c>
      <c r="G2365" s="3"/>
      <c r="H2365" s="21">
        <v>0</v>
      </c>
      <c r="I2365" s="21">
        <v>0</v>
      </c>
      <c r="J2365" s="21">
        <v>0</v>
      </c>
      <c r="K2365" s="21">
        <v>0</v>
      </c>
      <c r="L2365" s="3">
        <f t="shared" si="110"/>
        <v>0</v>
      </c>
      <c r="M2365" s="3"/>
      <c r="N2365" s="3">
        <f t="shared" si="109"/>
        <v>0</v>
      </c>
      <c r="R2365" s="89"/>
      <c r="S2365" s="89">
        <f>100%-Table34[[#This Row],[PDF_initial fee]]</f>
        <v>1</v>
      </c>
      <c r="T2365" s="89"/>
      <c r="U2365" s="26"/>
    </row>
    <row r="2366" spans="1:21" hidden="1" x14ac:dyDescent="0.25">
      <c r="A2366">
        <v>502589</v>
      </c>
      <c r="B2366" t="s">
        <v>2718</v>
      </c>
      <c r="C2366" t="s">
        <v>6958</v>
      </c>
      <c r="D2366">
        <v>0</v>
      </c>
      <c r="E2366" t="s">
        <v>2718</v>
      </c>
      <c r="F2366" t="s">
        <v>6958</v>
      </c>
      <c r="G2366" s="3"/>
      <c r="H2366" s="21">
        <v>0</v>
      </c>
      <c r="I2366" s="21">
        <v>0</v>
      </c>
      <c r="J2366" s="21">
        <v>0</v>
      </c>
      <c r="K2366" s="21">
        <v>0</v>
      </c>
      <c r="L2366" s="3">
        <f t="shared" si="110"/>
        <v>0</v>
      </c>
      <c r="M2366" s="3"/>
      <c r="N2366" s="3">
        <f t="shared" si="109"/>
        <v>0</v>
      </c>
      <c r="R2366" s="89"/>
      <c r="S2366" s="89">
        <f>100%-Table34[[#This Row],[PDF_initial fee]]</f>
        <v>1</v>
      </c>
      <c r="T2366" s="89"/>
      <c r="U2366" s="26"/>
    </row>
    <row r="2367" spans="1:21" hidden="1" x14ac:dyDescent="0.25">
      <c r="A2367">
        <v>502829</v>
      </c>
      <c r="B2367" t="s">
        <v>2720</v>
      </c>
      <c r="C2367" t="s">
        <v>30255</v>
      </c>
      <c r="D2367">
        <v>2</v>
      </c>
      <c r="E2367" t="s">
        <v>2720</v>
      </c>
      <c r="G2367" s="3"/>
      <c r="H2367" s="3">
        <v>0</v>
      </c>
      <c r="I2367" s="3">
        <v>0</v>
      </c>
      <c r="J2367" s="3">
        <v>0</v>
      </c>
      <c r="K2367" s="3">
        <v>0</v>
      </c>
      <c r="L2367" s="3">
        <f t="shared" si="110"/>
        <v>0</v>
      </c>
      <c r="M2367" s="3"/>
      <c r="N2367" s="3">
        <f t="shared" si="109"/>
        <v>0</v>
      </c>
      <c r="R2367" s="89"/>
      <c r="S2367" s="89">
        <f>100%-Table34[[#This Row],[PDF_initial fee]]</f>
        <v>1</v>
      </c>
      <c r="T2367" s="89"/>
      <c r="U2367" s="26"/>
    </row>
    <row r="2368" spans="1:21" hidden="1" x14ac:dyDescent="0.25">
      <c r="A2368">
        <v>502830</v>
      </c>
      <c r="B2368" t="s">
        <v>2721</v>
      </c>
      <c r="C2368" t="s">
        <v>7402</v>
      </c>
      <c r="D2368">
        <v>6</v>
      </c>
      <c r="E2368" t="s">
        <v>2721</v>
      </c>
      <c r="G2368" s="3"/>
      <c r="H2368" s="21">
        <v>0</v>
      </c>
      <c r="I2368" s="21">
        <v>0</v>
      </c>
      <c r="J2368" s="21">
        <v>0</v>
      </c>
      <c r="K2368" s="21">
        <v>0</v>
      </c>
      <c r="L2368" s="3">
        <f t="shared" si="110"/>
        <v>0</v>
      </c>
      <c r="M2368" s="3"/>
      <c r="N2368" s="3">
        <f t="shared" si="109"/>
        <v>0</v>
      </c>
      <c r="R2368" s="89"/>
      <c r="S2368" s="89">
        <f>100%-Table34[[#This Row],[PDF_initial fee]]</f>
        <v>1</v>
      </c>
      <c r="T2368" s="89"/>
      <c r="U2368" s="26"/>
    </row>
    <row r="2369" spans="1:21" hidden="1" x14ac:dyDescent="0.25">
      <c r="A2369">
        <v>502969</v>
      </c>
      <c r="B2369" t="s">
        <v>2722</v>
      </c>
      <c r="C2369" t="s">
        <v>8784</v>
      </c>
      <c r="D2369">
        <v>0</v>
      </c>
      <c r="E2369" t="s">
        <v>2722</v>
      </c>
      <c r="F2369" t="s">
        <v>3</v>
      </c>
      <c r="G2369" s="3"/>
      <c r="H2369" s="21">
        <v>0</v>
      </c>
      <c r="I2369" s="21">
        <v>0</v>
      </c>
      <c r="J2369" s="21">
        <v>0</v>
      </c>
      <c r="K2369" s="21">
        <v>0</v>
      </c>
      <c r="L2369" s="3">
        <f t="shared" si="110"/>
        <v>0</v>
      </c>
      <c r="M2369" s="3"/>
      <c r="N2369" s="3">
        <f t="shared" si="109"/>
        <v>0</v>
      </c>
      <c r="R2369" s="89"/>
      <c r="S2369" s="89">
        <f>100%-Table34[[#This Row],[PDF_initial fee]]</f>
        <v>1</v>
      </c>
      <c r="T2369" s="89"/>
      <c r="U2369" s="26"/>
    </row>
    <row r="2370" spans="1:21" hidden="1" x14ac:dyDescent="0.25">
      <c r="A2370">
        <v>503299</v>
      </c>
      <c r="B2370" t="s">
        <v>2723</v>
      </c>
      <c r="C2370" t="s">
        <v>30256</v>
      </c>
      <c r="D2370">
        <v>1</v>
      </c>
      <c r="E2370" t="s">
        <v>2723</v>
      </c>
      <c r="G2370" s="3"/>
      <c r="H2370" s="3">
        <v>0</v>
      </c>
      <c r="I2370" s="3">
        <v>0</v>
      </c>
      <c r="J2370" s="3">
        <v>0</v>
      </c>
      <c r="K2370" s="3">
        <v>0</v>
      </c>
      <c r="L2370" s="3">
        <f t="shared" si="110"/>
        <v>0</v>
      </c>
      <c r="M2370" s="3"/>
      <c r="N2370" s="3">
        <f t="shared" si="109"/>
        <v>0</v>
      </c>
      <c r="R2370" s="89"/>
      <c r="S2370" s="89">
        <f>100%-Table34[[#This Row],[PDF_initial fee]]</f>
        <v>1</v>
      </c>
      <c r="T2370" s="89"/>
      <c r="U2370" s="26"/>
    </row>
    <row r="2371" spans="1:21" hidden="1" x14ac:dyDescent="0.25">
      <c r="A2371">
        <v>503326</v>
      </c>
      <c r="B2371" t="s">
        <v>2724</v>
      </c>
      <c r="C2371" t="s">
        <v>6983</v>
      </c>
      <c r="D2371">
        <v>2</v>
      </c>
      <c r="E2371" t="s">
        <v>2724</v>
      </c>
      <c r="G2371" s="3"/>
      <c r="L2371" s="3">
        <f t="shared" si="110"/>
        <v>0</v>
      </c>
      <c r="M2371" s="3"/>
      <c r="N2371" s="3">
        <f t="shared" si="109"/>
        <v>0</v>
      </c>
      <c r="R2371" s="89"/>
      <c r="S2371" s="89">
        <f>100%-Table34[[#This Row],[PDF_initial fee]]</f>
        <v>1</v>
      </c>
      <c r="T2371" s="89"/>
      <c r="U2371" s="26"/>
    </row>
    <row r="2372" spans="1:21" hidden="1" x14ac:dyDescent="0.25">
      <c r="A2372">
        <v>503408</v>
      </c>
      <c r="B2372" t="s">
        <v>2725</v>
      </c>
      <c r="C2372" t="s">
        <v>6958</v>
      </c>
      <c r="D2372">
        <v>1</v>
      </c>
      <c r="E2372" t="s">
        <v>2725</v>
      </c>
      <c r="F2372" t="s">
        <v>6958</v>
      </c>
      <c r="G2372" s="3"/>
      <c r="H2372" s="21">
        <v>0</v>
      </c>
      <c r="I2372" s="21">
        <v>0</v>
      </c>
      <c r="J2372" s="21">
        <v>0</v>
      </c>
      <c r="K2372" s="21">
        <v>0</v>
      </c>
      <c r="L2372" s="3">
        <f t="shared" si="110"/>
        <v>0</v>
      </c>
      <c r="M2372" s="3"/>
      <c r="N2372" s="3">
        <f t="shared" si="109"/>
        <v>0</v>
      </c>
      <c r="R2372" s="89"/>
      <c r="S2372" s="89">
        <f>100%-Table34[[#This Row],[PDF_initial fee]]</f>
        <v>1</v>
      </c>
      <c r="T2372" s="89"/>
      <c r="U2372" s="26"/>
    </row>
    <row r="2373" spans="1:21" hidden="1" x14ac:dyDescent="0.25">
      <c r="A2373">
        <v>503671</v>
      </c>
      <c r="B2373" t="s">
        <v>2726</v>
      </c>
      <c r="C2373" t="s">
        <v>6958</v>
      </c>
      <c r="D2373">
        <v>1</v>
      </c>
      <c r="E2373" t="s">
        <v>2726</v>
      </c>
      <c r="F2373" t="s">
        <v>6958</v>
      </c>
      <c r="G2373" s="3"/>
      <c r="H2373" s="21">
        <v>0</v>
      </c>
      <c r="I2373" s="21">
        <v>0</v>
      </c>
      <c r="J2373" s="21">
        <v>0</v>
      </c>
      <c r="K2373" s="21">
        <v>0</v>
      </c>
      <c r="L2373" s="3">
        <f t="shared" si="110"/>
        <v>0</v>
      </c>
      <c r="M2373" s="3"/>
      <c r="N2373" s="3">
        <f t="shared" si="109"/>
        <v>0</v>
      </c>
      <c r="R2373" s="89"/>
      <c r="S2373" s="89">
        <f>100%-Table34[[#This Row],[PDF_initial fee]]</f>
        <v>1</v>
      </c>
      <c r="T2373" s="89"/>
      <c r="U2373" s="26"/>
    </row>
    <row r="2374" spans="1:21" hidden="1" x14ac:dyDescent="0.25">
      <c r="A2374">
        <v>503713</v>
      </c>
      <c r="B2374" t="s">
        <v>2727</v>
      </c>
      <c r="C2374" t="s">
        <v>7194</v>
      </c>
      <c r="D2374">
        <v>10</v>
      </c>
      <c r="E2374" t="s">
        <v>2727</v>
      </c>
      <c r="G2374" s="3"/>
      <c r="H2374" s="21">
        <v>0</v>
      </c>
      <c r="I2374" s="21">
        <v>0</v>
      </c>
      <c r="J2374" s="21">
        <v>0</v>
      </c>
      <c r="K2374" s="21">
        <v>0</v>
      </c>
      <c r="L2374" s="3">
        <f t="shared" si="110"/>
        <v>0</v>
      </c>
      <c r="M2374" s="3"/>
      <c r="N2374" s="3">
        <f t="shared" si="109"/>
        <v>0</v>
      </c>
      <c r="R2374" s="89"/>
      <c r="S2374" s="89">
        <f>100%-Table34[[#This Row],[PDF_initial fee]]</f>
        <v>1</v>
      </c>
      <c r="T2374" s="89"/>
      <c r="U2374" s="26"/>
    </row>
    <row r="2375" spans="1:21" hidden="1" x14ac:dyDescent="0.25">
      <c r="A2375">
        <v>503837</v>
      </c>
      <c r="B2375" t="s">
        <v>2728</v>
      </c>
      <c r="C2375" t="s">
        <v>30257</v>
      </c>
      <c r="D2375">
        <v>2</v>
      </c>
      <c r="E2375" t="s">
        <v>2728</v>
      </c>
      <c r="G2375" s="3"/>
      <c r="H2375" s="3">
        <v>0</v>
      </c>
      <c r="I2375" s="3">
        <v>0</v>
      </c>
      <c r="J2375" s="3">
        <v>0</v>
      </c>
      <c r="K2375" s="3">
        <v>0</v>
      </c>
      <c r="L2375" s="3">
        <f t="shared" si="110"/>
        <v>0</v>
      </c>
      <c r="M2375" s="3"/>
      <c r="N2375" s="3">
        <f t="shared" si="109"/>
        <v>0</v>
      </c>
      <c r="R2375" s="89"/>
      <c r="S2375" s="89">
        <f>100%-Table34[[#This Row],[PDF_initial fee]]</f>
        <v>1</v>
      </c>
      <c r="T2375" s="89"/>
      <c r="U2375" s="26"/>
    </row>
    <row r="2376" spans="1:21" hidden="1" x14ac:dyDescent="0.25">
      <c r="A2376">
        <v>503848</v>
      </c>
      <c r="B2376" t="s">
        <v>2729</v>
      </c>
      <c r="C2376" t="s">
        <v>8389</v>
      </c>
      <c r="D2376">
        <v>1</v>
      </c>
      <c r="E2376" t="s">
        <v>2729</v>
      </c>
      <c r="G2376" s="3"/>
      <c r="H2376" s="21">
        <v>0</v>
      </c>
      <c r="I2376" s="21">
        <v>0</v>
      </c>
      <c r="J2376" s="21">
        <v>0</v>
      </c>
      <c r="K2376" s="21">
        <v>0</v>
      </c>
      <c r="L2376" s="3">
        <f t="shared" si="110"/>
        <v>0</v>
      </c>
      <c r="M2376" s="3"/>
      <c r="N2376" s="3">
        <f t="shared" si="109"/>
        <v>0</v>
      </c>
      <c r="R2376" s="89"/>
      <c r="S2376" s="89">
        <f>100%-Table34[[#This Row],[PDF_initial fee]]</f>
        <v>1</v>
      </c>
      <c r="T2376" s="89"/>
      <c r="U2376" s="26"/>
    </row>
    <row r="2377" spans="1:21" hidden="1" x14ac:dyDescent="0.25">
      <c r="A2377">
        <v>503943</v>
      </c>
      <c r="B2377" t="s">
        <v>2730</v>
      </c>
      <c r="C2377" t="s">
        <v>7669</v>
      </c>
      <c r="D2377">
        <v>3</v>
      </c>
      <c r="E2377" t="s">
        <v>2730</v>
      </c>
      <c r="G2377" s="3"/>
      <c r="L2377" s="3">
        <f t="shared" si="110"/>
        <v>0</v>
      </c>
      <c r="M2377" s="3"/>
      <c r="N2377" s="3">
        <f t="shared" si="109"/>
        <v>0</v>
      </c>
      <c r="Q2377" t="s">
        <v>29864</v>
      </c>
      <c r="R2377" s="89"/>
      <c r="S2377" s="89">
        <f>100%-Table34[[#This Row],[PDF_initial fee]]</f>
        <v>1</v>
      </c>
      <c r="T2377" s="89"/>
      <c r="U2377" s="26"/>
    </row>
    <row r="2378" spans="1:21" hidden="1" x14ac:dyDescent="0.25">
      <c r="A2378">
        <v>504022</v>
      </c>
      <c r="B2378" t="s">
        <v>2731</v>
      </c>
      <c r="C2378" t="s">
        <v>11919</v>
      </c>
      <c r="D2378">
        <v>1</v>
      </c>
      <c r="E2378" t="s">
        <v>2731</v>
      </c>
      <c r="G2378" s="3"/>
      <c r="L2378" s="3">
        <f t="shared" si="110"/>
        <v>0</v>
      </c>
      <c r="M2378" s="3"/>
      <c r="N2378" s="3">
        <f t="shared" ref="N2378:N2441" si="111">L2378+G2378</f>
        <v>0</v>
      </c>
      <c r="R2378" s="89"/>
      <c r="S2378" s="89">
        <f>100%-Table34[[#This Row],[PDF_initial fee]]</f>
        <v>1</v>
      </c>
      <c r="T2378" s="89"/>
      <c r="U2378" s="26"/>
    </row>
    <row r="2379" spans="1:21" hidden="1" x14ac:dyDescent="0.25">
      <c r="A2379">
        <v>504162</v>
      </c>
      <c r="B2379" t="s">
        <v>2732</v>
      </c>
      <c r="C2379" t="s">
        <v>6958</v>
      </c>
      <c r="D2379">
        <v>1</v>
      </c>
      <c r="E2379" t="s">
        <v>2732</v>
      </c>
      <c r="F2379" t="s">
        <v>6958</v>
      </c>
      <c r="G2379" s="3"/>
      <c r="H2379" s="21">
        <v>0</v>
      </c>
      <c r="I2379" s="21">
        <v>0</v>
      </c>
      <c r="J2379" s="21">
        <v>0</v>
      </c>
      <c r="K2379" s="21">
        <v>0</v>
      </c>
      <c r="L2379" s="3">
        <f t="shared" si="110"/>
        <v>0</v>
      </c>
      <c r="M2379" s="3"/>
      <c r="N2379" s="3">
        <f t="shared" si="111"/>
        <v>0</v>
      </c>
      <c r="R2379" s="89"/>
      <c r="S2379" s="89">
        <f>100%-Table34[[#This Row],[PDF_initial fee]]</f>
        <v>1</v>
      </c>
      <c r="T2379" s="89"/>
      <c r="U2379" s="26"/>
    </row>
    <row r="2380" spans="1:21" hidden="1" x14ac:dyDescent="0.25">
      <c r="A2380">
        <v>504207</v>
      </c>
      <c r="B2380" t="s">
        <v>2733</v>
      </c>
      <c r="C2380" t="s">
        <v>10792</v>
      </c>
      <c r="D2380">
        <v>4</v>
      </c>
      <c r="E2380" t="s">
        <v>2733</v>
      </c>
      <c r="G2380" s="3"/>
      <c r="L2380" s="3">
        <f t="shared" si="110"/>
        <v>0</v>
      </c>
      <c r="M2380" s="3"/>
      <c r="N2380" s="3">
        <f t="shared" si="111"/>
        <v>0</v>
      </c>
      <c r="R2380" s="89"/>
      <c r="S2380" s="89">
        <f>100%-Table34[[#This Row],[PDF_initial fee]]</f>
        <v>1</v>
      </c>
      <c r="T2380" s="89"/>
      <c r="U2380" s="26"/>
    </row>
    <row r="2381" spans="1:21" hidden="1" x14ac:dyDescent="0.25">
      <c r="A2381">
        <v>504210</v>
      </c>
      <c r="B2381" t="s">
        <v>2734</v>
      </c>
      <c r="C2381" t="s">
        <v>6958</v>
      </c>
      <c r="D2381">
        <v>2</v>
      </c>
      <c r="E2381" t="s">
        <v>2734</v>
      </c>
      <c r="F2381" t="s">
        <v>6958</v>
      </c>
      <c r="G2381" s="3"/>
      <c r="H2381" s="21">
        <v>0</v>
      </c>
      <c r="I2381" s="21">
        <v>0</v>
      </c>
      <c r="J2381" s="21">
        <v>0</v>
      </c>
      <c r="K2381" s="21">
        <v>0</v>
      </c>
      <c r="L2381" s="3">
        <f t="shared" si="110"/>
        <v>0</v>
      </c>
      <c r="M2381" s="3"/>
      <c r="N2381" s="3">
        <f t="shared" si="111"/>
        <v>0</v>
      </c>
      <c r="R2381" s="89"/>
      <c r="S2381" s="89">
        <f>100%-Table34[[#This Row],[PDF_initial fee]]</f>
        <v>1</v>
      </c>
      <c r="T2381" s="89"/>
      <c r="U2381" s="26"/>
    </row>
    <row r="2382" spans="1:21" hidden="1" x14ac:dyDescent="0.25">
      <c r="A2382">
        <v>504211</v>
      </c>
      <c r="B2382" t="s">
        <v>2735</v>
      </c>
      <c r="C2382" t="s">
        <v>6958</v>
      </c>
      <c r="D2382">
        <v>0</v>
      </c>
      <c r="E2382" t="s">
        <v>2735</v>
      </c>
      <c r="F2382" t="s">
        <v>6958</v>
      </c>
      <c r="G2382" s="3"/>
      <c r="H2382" s="21">
        <v>0</v>
      </c>
      <c r="I2382" s="21">
        <v>0</v>
      </c>
      <c r="J2382" s="21">
        <v>0</v>
      </c>
      <c r="K2382" s="21">
        <v>0</v>
      </c>
      <c r="L2382" s="3">
        <f t="shared" si="110"/>
        <v>0</v>
      </c>
      <c r="M2382" s="3"/>
      <c r="N2382" s="3">
        <f t="shared" si="111"/>
        <v>0</v>
      </c>
      <c r="O2382" s="21"/>
      <c r="R2382" s="89"/>
      <c r="S2382" s="89">
        <f>100%-Table34[[#This Row],[PDF_initial fee]]</f>
        <v>1</v>
      </c>
      <c r="T2382" s="89"/>
      <c r="U2382" s="26"/>
    </row>
    <row r="2383" spans="1:21" hidden="1" x14ac:dyDescent="0.25">
      <c r="A2383">
        <v>504255</v>
      </c>
      <c r="B2383" t="s">
        <v>2736</v>
      </c>
      <c r="C2383" t="s">
        <v>6958</v>
      </c>
      <c r="D2383">
        <v>1</v>
      </c>
      <c r="E2383" t="s">
        <v>2736</v>
      </c>
      <c r="F2383" t="s">
        <v>6958</v>
      </c>
      <c r="G2383" s="3"/>
      <c r="H2383" s="21">
        <v>0</v>
      </c>
      <c r="I2383" s="21">
        <v>0</v>
      </c>
      <c r="J2383" s="21">
        <v>0</v>
      </c>
      <c r="K2383" s="21">
        <v>0</v>
      </c>
      <c r="L2383" s="3">
        <f t="shared" si="110"/>
        <v>0</v>
      </c>
      <c r="M2383" s="3"/>
      <c r="N2383" s="3">
        <f t="shared" si="111"/>
        <v>0</v>
      </c>
      <c r="R2383" s="89"/>
      <c r="S2383" s="89">
        <f>100%-Table34[[#This Row],[PDF_initial fee]]</f>
        <v>1</v>
      </c>
      <c r="T2383" s="89"/>
      <c r="U2383" s="26"/>
    </row>
    <row r="2384" spans="1:21" hidden="1" x14ac:dyDescent="0.25">
      <c r="A2384">
        <v>504272</v>
      </c>
      <c r="B2384" t="s">
        <v>2737</v>
      </c>
      <c r="C2384" t="s">
        <v>30258</v>
      </c>
      <c r="D2384">
        <v>14</v>
      </c>
      <c r="E2384" t="s">
        <v>2737</v>
      </c>
      <c r="G2384" s="3"/>
      <c r="H2384" s="21">
        <v>0</v>
      </c>
      <c r="I2384" s="21">
        <v>0</v>
      </c>
      <c r="J2384" s="21">
        <v>0</v>
      </c>
      <c r="K2384" s="21">
        <v>0</v>
      </c>
      <c r="L2384" s="3">
        <f t="shared" si="110"/>
        <v>0</v>
      </c>
      <c r="M2384" s="3"/>
      <c r="N2384" s="3">
        <f t="shared" si="111"/>
        <v>0</v>
      </c>
      <c r="O2384" s="21"/>
      <c r="R2384" s="89"/>
      <c r="S2384" s="89">
        <f>100%-Table34[[#This Row],[PDF_initial fee]]</f>
        <v>1</v>
      </c>
      <c r="T2384" s="89"/>
      <c r="U2384" s="26"/>
    </row>
    <row r="2385" spans="1:21" hidden="1" x14ac:dyDescent="0.25">
      <c r="A2385">
        <v>504345</v>
      </c>
      <c r="B2385" t="s">
        <v>2738</v>
      </c>
      <c r="C2385" t="s">
        <v>6958</v>
      </c>
      <c r="D2385">
        <v>2</v>
      </c>
      <c r="E2385" t="s">
        <v>2738</v>
      </c>
      <c r="F2385" t="s">
        <v>6958</v>
      </c>
      <c r="G2385" s="3"/>
      <c r="H2385" s="21">
        <v>0</v>
      </c>
      <c r="I2385" s="21">
        <v>0</v>
      </c>
      <c r="J2385" s="21">
        <v>0</v>
      </c>
      <c r="K2385" s="21">
        <v>0</v>
      </c>
      <c r="L2385" s="3">
        <f t="shared" si="110"/>
        <v>0</v>
      </c>
      <c r="M2385" s="3"/>
      <c r="N2385" s="3">
        <f t="shared" si="111"/>
        <v>0</v>
      </c>
      <c r="R2385" s="89"/>
      <c r="S2385" s="89">
        <f>100%-Table34[[#This Row],[PDF_initial fee]]</f>
        <v>1</v>
      </c>
      <c r="T2385" s="89"/>
      <c r="U2385" s="26"/>
    </row>
    <row r="2386" spans="1:21" hidden="1" x14ac:dyDescent="0.25">
      <c r="A2386">
        <v>504571</v>
      </c>
      <c r="B2386" t="s">
        <v>2739</v>
      </c>
      <c r="C2386" t="s">
        <v>12162</v>
      </c>
      <c r="D2386">
        <v>2</v>
      </c>
      <c r="E2386" t="s">
        <v>2739</v>
      </c>
      <c r="G2386" s="3"/>
      <c r="H2386" s="21">
        <v>0</v>
      </c>
      <c r="I2386" s="21">
        <v>0</v>
      </c>
      <c r="J2386" s="21">
        <v>0</v>
      </c>
      <c r="K2386" s="21">
        <v>0</v>
      </c>
      <c r="L2386" s="3">
        <f t="shared" si="110"/>
        <v>0</v>
      </c>
      <c r="M2386" s="3"/>
      <c r="N2386" s="3">
        <f t="shared" si="111"/>
        <v>0</v>
      </c>
      <c r="R2386" s="89"/>
      <c r="S2386" s="89">
        <f>100%-Table34[[#This Row],[PDF_initial fee]]</f>
        <v>1</v>
      </c>
      <c r="T2386" s="89"/>
      <c r="U2386" s="26"/>
    </row>
    <row r="2387" spans="1:21" hidden="1" x14ac:dyDescent="0.25">
      <c r="A2387">
        <v>504710</v>
      </c>
      <c r="B2387" t="s">
        <v>2740</v>
      </c>
      <c r="C2387" s="1" t="s">
        <v>30259</v>
      </c>
      <c r="D2387">
        <v>1</v>
      </c>
      <c r="E2387" t="s">
        <v>2740</v>
      </c>
      <c r="G2387" s="3"/>
      <c r="H2387" s="3">
        <v>0</v>
      </c>
      <c r="I2387" s="3">
        <v>0</v>
      </c>
      <c r="J2387" s="3">
        <v>0</v>
      </c>
      <c r="K2387" s="3">
        <v>0</v>
      </c>
      <c r="L2387" s="3">
        <f t="shared" si="110"/>
        <v>0</v>
      </c>
      <c r="M2387" s="3"/>
      <c r="N2387" s="3">
        <f t="shared" si="111"/>
        <v>0</v>
      </c>
      <c r="R2387" s="89"/>
      <c r="S2387" s="89">
        <f>100%-Table34[[#This Row],[PDF_initial fee]]</f>
        <v>1</v>
      </c>
      <c r="T2387" s="89"/>
      <c r="U2387" s="26"/>
    </row>
    <row r="2388" spans="1:21" hidden="1" x14ac:dyDescent="0.25">
      <c r="A2388">
        <v>505247</v>
      </c>
      <c r="B2388" t="s">
        <v>2742</v>
      </c>
      <c r="C2388" t="s">
        <v>10677</v>
      </c>
      <c r="D2388">
        <v>1</v>
      </c>
      <c r="E2388" t="s">
        <v>2742</v>
      </c>
      <c r="G2388" s="3"/>
      <c r="H2388" s="21">
        <v>0</v>
      </c>
      <c r="I2388" s="21">
        <v>0</v>
      </c>
      <c r="J2388" s="21">
        <v>0</v>
      </c>
      <c r="K2388" s="21">
        <v>0</v>
      </c>
      <c r="L2388" s="3">
        <f t="shared" si="110"/>
        <v>0</v>
      </c>
      <c r="M2388" s="3"/>
      <c r="N2388" s="3">
        <f t="shared" si="111"/>
        <v>0</v>
      </c>
      <c r="R2388" s="89"/>
      <c r="S2388" s="89">
        <f>100%-Table34[[#This Row],[PDF_initial fee]]</f>
        <v>1</v>
      </c>
      <c r="T2388" s="89"/>
      <c r="U2388" s="26"/>
    </row>
    <row r="2389" spans="1:21" hidden="1" x14ac:dyDescent="0.25">
      <c r="A2389">
        <v>505532</v>
      </c>
      <c r="B2389" t="s">
        <v>2743</v>
      </c>
      <c r="C2389" t="s">
        <v>9735</v>
      </c>
      <c r="D2389">
        <v>1</v>
      </c>
      <c r="E2389" t="s">
        <v>2743</v>
      </c>
      <c r="G2389" s="3"/>
      <c r="H2389" s="21">
        <v>0</v>
      </c>
      <c r="I2389" s="21">
        <v>0</v>
      </c>
      <c r="J2389" s="21">
        <v>0</v>
      </c>
      <c r="K2389" s="21">
        <v>0</v>
      </c>
      <c r="L2389" s="3">
        <f t="shared" si="110"/>
        <v>0</v>
      </c>
      <c r="M2389" s="3"/>
      <c r="N2389" s="3">
        <f t="shared" si="111"/>
        <v>0</v>
      </c>
      <c r="R2389" s="89"/>
      <c r="S2389" s="89">
        <f>100%-Table34[[#This Row],[PDF_initial fee]]</f>
        <v>1</v>
      </c>
      <c r="T2389" s="89"/>
      <c r="U2389" s="26"/>
    </row>
    <row r="2390" spans="1:21" hidden="1" x14ac:dyDescent="0.25">
      <c r="A2390">
        <v>506044</v>
      </c>
      <c r="B2390" t="s">
        <v>2744</v>
      </c>
      <c r="C2390" t="s">
        <v>11186</v>
      </c>
      <c r="D2390">
        <v>3</v>
      </c>
      <c r="E2390" t="s">
        <v>2744</v>
      </c>
      <c r="G2390" s="3"/>
      <c r="L2390" s="3">
        <f t="shared" si="110"/>
        <v>0</v>
      </c>
      <c r="M2390" s="3"/>
      <c r="N2390" s="3">
        <f t="shared" si="111"/>
        <v>0</v>
      </c>
      <c r="R2390" s="89"/>
      <c r="S2390" s="89">
        <f>100%-Table34[[#This Row],[PDF_initial fee]]</f>
        <v>1</v>
      </c>
      <c r="T2390" s="89"/>
      <c r="U2390" s="26"/>
    </row>
    <row r="2391" spans="1:21" hidden="1" x14ac:dyDescent="0.25">
      <c r="A2391">
        <v>506064</v>
      </c>
      <c r="B2391" t="s">
        <v>2745</v>
      </c>
      <c r="C2391" t="s">
        <v>6958</v>
      </c>
      <c r="D2391">
        <v>1</v>
      </c>
      <c r="E2391" t="s">
        <v>2745</v>
      </c>
      <c r="F2391" t="s">
        <v>6958</v>
      </c>
      <c r="G2391" s="3"/>
      <c r="H2391" s="21">
        <v>0</v>
      </c>
      <c r="I2391" s="21">
        <v>0</v>
      </c>
      <c r="J2391" s="21">
        <v>0</v>
      </c>
      <c r="K2391" s="21">
        <v>0</v>
      </c>
      <c r="L2391" s="3">
        <f t="shared" si="110"/>
        <v>0</v>
      </c>
      <c r="M2391" s="3"/>
      <c r="N2391" s="3">
        <f t="shared" si="111"/>
        <v>0</v>
      </c>
      <c r="R2391" s="89"/>
      <c r="S2391" s="89">
        <f>100%-Table34[[#This Row],[PDF_initial fee]]</f>
        <v>1</v>
      </c>
      <c r="T2391" s="89"/>
      <c r="U2391" s="26"/>
    </row>
    <row r="2392" spans="1:21" hidden="1" x14ac:dyDescent="0.25">
      <c r="A2392">
        <v>506138</v>
      </c>
      <c r="B2392" t="s">
        <v>2746</v>
      </c>
      <c r="C2392" t="s">
        <v>6958</v>
      </c>
      <c r="D2392">
        <v>6</v>
      </c>
      <c r="E2392" t="s">
        <v>2746</v>
      </c>
      <c r="F2392" t="s">
        <v>6958</v>
      </c>
      <c r="G2392" s="3"/>
      <c r="H2392" s="21">
        <v>0</v>
      </c>
      <c r="I2392" s="21">
        <v>0</v>
      </c>
      <c r="J2392" s="21">
        <v>0</v>
      </c>
      <c r="K2392" s="21">
        <v>0</v>
      </c>
      <c r="L2392" s="3">
        <f t="shared" si="110"/>
        <v>0</v>
      </c>
      <c r="M2392" s="3"/>
      <c r="N2392" s="3">
        <f t="shared" si="111"/>
        <v>0</v>
      </c>
      <c r="R2392" s="89"/>
      <c r="S2392" s="89">
        <f>100%-Table34[[#This Row],[PDF_initial fee]]</f>
        <v>1</v>
      </c>
      <c r="T2392" s="89"/>
      <c r="U2392" s="26"/>
    </row>
    <row r="2393" spans="1:21" hidden="1" x14ac:dyDescent="0.25">
      <c r="A2393">
        <v>506203</v>
      </c>
      <c r="B2393" t="s">
        <v>2747</v>
      </c>
      <c r="C2393" t="s">
        <v>6958</v>
      </c>
      <c r="D2393">
        <v>2</v>
      </c>
      <c r="E2393" t="s">
        <v>2747</v>
      </c>
      <c r="F2393" t="s">
        <v>6958</v>
      </c>
      <c r="G2393" s="3"/>
      <c r="H2393" s="21">
        <v>0</v>
      </c>
      <c r="I2393" s="21">
        <v>0</v>
      </c>
      <c r="J2393" s="21">
        <v>0</v>
      </c>
      <c r="K2393" s="21">
        <v>0</v>
      </c>
      <c r="L2393" s="3">
        <f t="shared" si="110"/>
        <v>0</v>
      </c>
      <c r="M2393" s="3"/>
      <c r="N2393" s="3">
        <f t="shared" si="111"/>
        <v>0</v>
      </c>
      <c r="R2393" s="89"/>
      <c r="S2393" s="89">
        <f>100%-Table34[[#This Row],[PDF_initial fee]]</f>
        <v>1</v>
      </c>
      <c r="T2393" s="89"/>
      <c r="U2393" s="26"/>
    </row>
    <row r="2394" spans="1:21" hidden="1" x14ac:dyDescent="0.25">
      <c r="A2394">
        <v>506278</v>
      </c>
      <c r="B2394" t="s">
        <v>2748</v>
      </c>
      <c r="C2394" t="s">
        <v>10431</v>
      </c>
      <c r="D2394">
        <v>1</v>
      </c>
      <c r="E2394" t="s">
        <v>2748</v>
      </c>
      <c r="G2394" s="3"/>
      <c r="H2394" s="21">
        <v>0</v>
      </c>
      <c r="I2394" s="21">
        <v>0</v>
      </c>
      <c r="J2394" s="21">
        <v>0</v>
      </c>
      <c r="K2394" s="21">
        <v>0</v>
      </c>
      <c r="L2394" s="3">
        <f t="shared" si="110"/>
        <v>0</v>
      </c>
      <c r="M2394" s="3"/>
      <c r="N2394" s="3">
        <f t="shared" si="111"/>
        <v>0</v>
      </c>
      <c r="R2394" s="89"/>
      <c r="S2394" s="89">
        <f>100%-Table34[[#This Row],[PDF_initial fee]]</f>
        <v>1</v>
      </c>
      <c r="T2394" s="89"/>
      <c r="U2394" s="26"/>
    </row>
    <row r="2395" spans="1:21" hidden="1" x14ac:dyDescent="0.25">
      <c r="A2395">
        <v>506317</v>
      </c>
      <c r="B2395" t="s">
        <v>2749</v>
      </c>
      <c r="C2395" t="s">
        <v>9106</v>
      </c>
      <c r="D2395">
        <v>1</v>
      </c>
      <c r="E2395" t="s">
        <v>2749</v>
      </c>
      <c r="G2395" s="3"/>
      <c r="H2395" s="21">
        <v>0</v>
      </c>
      <c r="I2395" s="21">
        <v>0</v>
      </c>
      <c r="J2395" s="21">
        <v>0</v>
      </c>
      <c r="K2395" s="21">
        <v>0</v>
      </c>
      <c r="L2395" s="3">
        <f t="shared" si="110"/>
        <v>0</v>
      </c>
      <c r="M2395" s="3"/>
      <c r="N2395" s="3">
        <f t="shared" si="111"/>
        <v>0</v>
      </c>
      <c r="R2395" s="89"/>
      <c r="S2395" s="89">
        <f>100%-Table34[[#This Row],[PDF_initial fee]]</f>
        <v>1</v>
      </c>
      <c r="T2395" s="89"/>
      <c r="U2395" s="26"/>
    </row>
    <row r="2396" spans="1:21" hidden="1" x14ac:dyDescent="0.25">
      <c r="A2396">
        <v>506551</v>
      </c>
      <c r="B2396" t="s">
        <v>2751</v>
      </c>
      <c r="C2396" t="s">
        <v>7025</v>
      </c>
      <c r="D2396">
        <v>6</v>
      </c>
      <c r="E2396" t="s">
        <v>2751</v>
      </c>
      <c r="G2396" s="3"/>
      <c r="L2396" s="3">
        <f t="shared" si="110"/>
        <v>0</v>
      </c>
      <c r="M2396" s="3"/>
      <c r="N2396" s="3">
        <f t="shared" si="111"/>
        <v>0</v>
      </c>
      <c r="R2396" s="89"/>
      <c r="S2396" s="89">
        <f>100%-Table34[[#This Row],[PDF_initial fee]]</f>
        <v>1</v>
      </c>
      <c r="T2396" s="89"/>
      <c r="U2396" s="26"/>
    </row>
    <row r="2397" spans="1:21" hidden="1" x14ac:dyDescent="0.25">
      <c r="A2397">
        <v>506600</v>
      </c>
      <c r="B2397" t="s">
        <v>2752</v>
      </c>
      <c r="C2397" t="s">
        <v>7040</v>
      </c>
      <c r="D2397">
        <v>2</v>
      </c>
      <c r="E2397" t="s">
        <v>2752</v>
      </c>
      <c r="G2397" s="3"/>
      <c r="L2397" s="3">
        <f t="shared" si="110"/>
        <v>0</v>
      </c>
      <c r="M2397" s="3"/>
      <c r="N2397" s="3">
        <f t="shared" si="111"/>
        <v>0</v>
      </c>
      <c r="R2397" s="89"/>
      <c r="S2397" s="89">
        <f>100%-Table34[[#This Row],[PDF_initial fee]]</f>
        <v>1</v>
      </c>
      <c r="T2397" s="89"/>
      <c r="U2397" s="26"/>
    </row>
    <row r="2398" spans="1:21" hidden="1" x14ac:dyDescent="0.25">
      <c r="A2398">
        <v>506602</v>
      </c>
      <c r="B2398" t="s">
        <v>2753</v>
      </c>
      <c r="C2398" t="s">
        <v>6958</v>
      </c>
      <c r="D2398">
        <v>1</v>
      </c>
      <c r="E2398" t="s">
        <v>2753</v>
      </c>
      <c r="F2398" t="s">
        <v>6958</v>
      </c>
      <c r="G2398" s="3"/>
      <c r="H2398" s="21">
        <v>0</v>
      </c>
      <c r="I2398" s="21">
        <v>0</v>
      </c>
      <c r="J2398" s="21">
        <v>0</v>
      </c>
      <c r="K2398" s="21">
        <v>0</v>
      </c>
      <c r="L2398" s="3">
        <f t="shared" si="110"/>
        <v>0</v>
      </c>
      <c r="M2398" s="3"/>
      <c r="N2398" s="3">
        <f t="shared" si="111"/>
        <v>0</v>
      </c>
      <c r="R2398" s="89"/>
      <c r="S2398" s="89">
        <f>100%-Table34[[#This Row],[PDF_initial fee]]</f>
        <v>1</v>
      </c>
      <c r="T2398" s="89"/>
      <c r="U2398" s="26"/>
    </row>
    <row r="2399" spans="1:21" hidden="1" x14ac:dyDescent="0.25">
      <c r="A2399">
        <v>506768</v>
      </c>
      <c r="B2399" t="s">
        <v>2754</v>
      </c>
      <c r="C2399" t="s">
        <v>30260</v>
      </c>
      <c r="D2399">
        <v>3</v>
      </c>
      <c r="E2399" t="s">
        <v>2754</v>
      </c>
      <c r="G2399" s="3"/>
      <c r="H2399" s="3">
        <v>0</v>
      </c>
      <c r="I2399" s="3">
        <v>0</v>
      </c>
      <c r="J2399" s="3">
        <v>0</v>
      </c>
      <c r="K2399" s="3">
        <v>0</v>
      </c>
      <c r="L2399" s="3">
        <f t="shared" si="110"/>
        <v>0</v>
      </c>
      <c r="M2399" s="3"/>
      <c r="N2399" s="3">
        <f t="shared" si="111"/>
        <v>0</v>
      </c>
      <c r="R2399" s="89"/>
      <c r="S2399" s="89">
        <f>100%-Table34[[#This Row],[PDF_initial fee]]</f>
        <v>1</v>
      </c>
      <c r="T2399" s="89"/>
      <c r="U2399" s="26"/>
    </row>
    <row r="2400" spans="1:21" hidden="1" x14ac:dyDescent="0.25">
      <c r="A2400">
        <v>506821</v>
      </c>
      <c r="B2400" t="s">
        <v>2755</v>
      </c>
      <c r="C2400" t="s">
        <v>6958</v>
      </c>
      <c r="D2400">
        <v>1</v>
      </c>
      <c r="E2400" t="s">
        <v>2755</v>
      </c>
      <c r="F2400" t="s">
        <v>6958</v>
      </c>
      <c r="G2400" s="3"/>
      <c r="H2400" s="21">
        <v>0</v>
      </c>
      <c r="I2400" s="21">
        <v>0</v>
      </c>
      <c r="J2400" s="21">
        <v>0</v>
      </c>
      <c r="K2400" s="21">
        <v>0</v>
      </c>
      <c r="L2400" s="3">
        <f t="shared" si="110"/>
        <v>0</v>
      </c>
      <c r="M2400" s="3"/>
      <c r="N2400" s="3">
        <f t="shared" si="111"/>
        <v>0</v>
      </c>
      <c r="R2400" s="89"/>
      <c r="S2400" s="89">
        <f>100%-Table34[[#This Row],[PDF_initial fee]]</f>
        <v>1</v>
      </c>
      <c r="T2400" s="89"/>
      <c r="U2400" s="26"/>
    </row>
    <row r="2401" spans="1:28" hidden="1" x14ac:dyDescent="0.25">
      <c r="A2401">
        <v>506985</v>
      </c>
      <c r="B2401" t="s">
        <v>2756</v>
      </c>
      <c r="C2401" t="s">
        <v>30261</v>
      </c>
      <c r="D2401">
        <v>2</v>
      </c>
      <c r="E2401" t="s">
        <v>2756</v>
      </c>
      <c r="G2401" s="3"/>
      <c r="H2401" s="3">
        <v>0</v>
      </c>
      <c r="I2401" s="3">
        <v>0</v>
      </c>
      <c r="J2401" s="3">
        <v>0</v>
      </c>
      <c r="K2401" s="3">
        <v>0</v>
      </c>
      <c r="L2401" s="3">
        <f t="shared" si="110"/>
        <v>0</v>
      </c>
      <c r="M2401" s="3"/>
      <c r="N2401" s="3">
        <f t="shared" si="111"/>
        <v>0</v>
      </c>
      <c r="R2401" s="89"/>
      <c r="S2401" s="89">
        <f>100%-Table34[[#This Row],[PDF_initial fee]]</f>
        <v>1</v>
      </c>
      <c r="T2401" s="89"/>
      <c r="U2401" s="26"/>
    </row>
    <row r="2402" spans="1:28" hidden="1" x14ac:dyDescent="0.25">
      <c r="A2402">
        <v>507244</v>
      </c>
      <c r="B2402" t="s">
        <v>2758</v>
      </c>
      <c r="C2402" t="s">
        <v>7039</v>
      </c>
      <c r="D2402">
        <v>9</v>
      </c>
      <c r="E2402" t="s">
        <v>2758</v>
      </c>
      <c r="G2402" s="3"/>
      <c r="H2402" s="21">
        <v>0</v>
      </c>
      <c r="I2402" s="21">
        <v>0</v>
      </c>
      <c r="J2402" s="21">
        <v>0</v>
      </c>
      <c r="K2402" s="21">
        <v>0</v>
      </c>
      <c r="L2402" s="3">
        <f t="shared" si="110"/>
        <v>0</v>
      </c>
      <c r="M2402" s="3"/>
      <c r="N2402" s="3">
        <f t="shared" si="111"/>
        <v>0</v>
      </c>
      <c r="R2402" s="89"/>
      <c r="S2402" s="89">
        <f>100%-Table34[[#This Row],[PDF_initial fee]]</f>
        <v>1</v>
      </c>
      <c r="T2402" s="89"/>
      <c r="U2402" s="26"/>
    </row>
    <row r="2403" spans="1:28" hidden="1" x14ac:dyDescent="0.25">
      <c r="A2403">
        <v>507306</v>
      </c>
      <c r="B2403" t="s">
        <v>2759</v>
      </c>
      <c r="C2403" t="s">
        <v>6958</v>
      </c>
      <c r="D2403">
        <v>1</v>
      </c>
      <c r="E2403" t="s">
        <v>2759</v>
      </c>
      <c r="F2403" t="s">
        <v>6958</v>
      </c>
      <c r="G2403" s="3"/>
      <c r="H2403" s="21">
        <v>0</v>
      </c>
      <c r="I2403" s="21">
        <v>0</v>
      </c>
      <c r="J2403" s="21">
        <v>0</v>
      </c>
      <c r="K2403" s="21">
        <v>0</v>
      </c>
      <c r="L2403" s="3">
        <f t="shared" si="110"/>
        <v>0</v>
      </c>
      <c r="M2403" s="3"/>
      <c r="N2403" s="3">
        <f t="shared" si="111"/>
        <v>0</v>
      </c>
      <c r="R2403" s="89"/>
      <c r="S2403" s="89">
        <f>100%-Table34[[#This Row],[PDF_initial fee]]</f>
        <v>1</v>
      </c>
      <c r="T2403" s="89"/>
      <c r="U2403" s="26"/>
    </row>
    <row r="2404" spans="1:28" hidden="1" x14ac:dyDescent="0.25">
      <c r="A2404">
        <v>507382</v>
      </c>
      <c r="B2404" t="s">
        <v>2760</v>
      </c>
      <c r="C2404" t="s">
        <v>6958</v>
      </c>
      <c r="D2404">
        <v>2</v>
      </c>
      <c r="E2404" t="s">
        <v>2760</v>
      </c>
      <c r="F2404" t="s">
        <v>6958</v>
      </c>
      <c r="G2404" s="3"/>
      <c r="H2404" s="21">
        <v>0</v>
      </c>
      <c r="I2404" s="21">
        <v>0</v>
      </c>
      <c r="J2404" s="21">
        <v>0</v>
      </c>
      <c r="K2404" s="21">
        <v>0</v>
      </c>
      <c r="L2404" s="3">
        <f t="shared" si="110"/>
        <v>0</v>
      </c>
      <c r="M2404" s="3"/>
      <c r="N2404" s="3">
        <f t="shared" si="111"/>
        <v>0</v>
      </c>
      <c r="R2404" s="89"/>
      <c r="S2404" s="89">
        <f>100%-Table34[[#This Row],[PDF_initial fee]]</f>
        <v>1</v>
      </c>
      <c r="T2404" s="89"/>
      <c r="U2404" s="26"/>
    </row>
    <row r="2405" spans="1:28" hidden="1" x14ac:dyDescent="0.25">
      <c r="A2405">
        <v>507387</v>
      </c>
      <c r="B2405" t="s">
        <v>2761</v>
      </c>
      <c r="C2405" t="s">
        <v>11249</v>
      </c>
      <c r="D2405">
        <v>6</v>
      </c>
      <c r="E2405" t="s">
        <v>2761</v>
      </c>
      <c r="G2405" s="3"/>
      <c r="L2405" s="3">
        <f t="shared" si="110"/>
        <v>0</v>
      </c>
      <c r="M2405" s="3"/>
      <c r="N2405" s="3">
        <f t="shared" si="111"/>
        <v>0</v>
      </c>
      <c r="R2405" s="89"/>
      <c r="S2405" s="89">
        <f>100%-Table34[[#This Row],[PDF_initial fee]]</f>
        <v>1</v>
      </c>
      <c r="T2405" s="89"/>
      <c r="U2405" s="26"/>
    </row>
    <row r="2406" spans="1:28" hidden="1" x14ac:dyDescent="0.25">
      <c r="A2406">
        <v>507870</v>
      </c>
      <c r="B2406" t="s">
        <v>2762</v>
      </c>
      <c r="C2406" t="s">
        <v>7506</v>
      </c>
      <c r="D2406">
        <v>2</v>
      </c>
      <c r="E2406" t="s">
        <v>2762</v>
      </c>
      <c r="G2406" s="3"/>
      <c r="H2406" s="21">
        <v>0</v>
      </c>
      <c r="I2406" s="21">
        <v>0</v>
      </c>
      <c r="J2406" s="21">
        <v>0</v>
      </c>
      <c r="K2406" s="21">
        <v>0</v>
      </c>
      <c r="L2406" s="3">
        <f t="shared" si="110"/>
        <v>0</v>
      </c>
      <c r="M2406" s="3"/>
      <c r="N2406" s="3">
        <f t="shared" si="111"/>
        <v>0</v>
      </c>
      <c r="R2406" s="89"/>
      <c r="S2406" s="89">
        <f>100%-Table34[[#This Row],[PDF_initial fee]]</f>
        <v>1</v>
      </c>
      <c r="T2406" s="89"/>
      <c r="U2406" s="26"/>
    </row>
    <row r="2407" spans="1:28" hidden="1" x14ac:dyDescent="0.25">
      <c r="A2407">
        <v>507900</v>
      </c>
      <c r="B2407" t="s">
        <v>2763</v>
      </c>
      <c r="C2407" t="s">
        <v>30262</v>
      </c>
      <c r="D2407">
        <v>2</v>
      </c>
      <c r="E2407" t="s">
        <v>2763</v>
      </c>
      <c r="G2407" s="3"/>
      <c r="H2407" s="21">
        <v>0</v>
      </c>
      <c r="I2407" s="21">
        <v>0</v>
      </c>
      <c r="J2407" s="21">
        <v>0</v>
      </c>
      <c r="K2407" s="21">
        <v>0</v>
      </c>
      <c r="L2407" s="3">
        <f t="shared" si="110"/>
        <v>0</v>
      </c>
      <c r="M2407" s="3"/>
      <c r="N2407" s="3">
        <f t="shared" si="111"/>
        <v>0</v>
      </c>
      <c r="O2407" s="21"/>
      <c r="R2407" s="89"/>
      <c r="S2407" s="89">
        <f>100%-Table34[[#This Row],[PDF_initial fee]]</f>
        <v>1</v>
      </c>
      <c r="T2407" s="89"/>
      <c r="U2407" s="26"/>
    </row>
    <row r="2408" spans="1:28" hidden="1" x14ac:dyDescent="0.25">
      <c r="A2408">
        <v>507921</v>
      </c>
      <c r="B2408" t="s">
        <v>2764</v>
      </c>
      <c r="C2408" t="s">
        <v>6972</v>
      </c>
      <c r="D2408">
        <v>1</v>
      </c>
      <c r="E2408" t="s">
        <v>2764</v>
      </c>
      <c r="G2408" s="3"/>
      <c r="L2408" s="3">
        <f t="shared" si="110"/>
        <v>0</v>
      </c>
      <c r="M2408" s="3"/>
      <c r="N2408" s="3">
        <f t="shared" si="111"/>
        <v>0</v>
      </c>
      <c r="R2408" s="89"/>
      <c r="S2408" s="89">
        <f>100%-Table34[[#This Row],[PDF_initial fee]]</f>
        <v>1</v>
      </c>
      <c r="T2408" s="89"/>
      <c r="U2408" s="26"/>
    </row>
    <row r="2409" spans="1:28" hidden="1" x14ac:dyDescent="0.25">
      <c r="A2409">
        <v>507951</v>
      </c>
      <c r="B2409" t="s">
        <v>2766</v>
      </c>
      <c r="C2409" t="s">
        <v>6958</v>
      </c>
      <c r="D2409">
        <v>1</v>
      </c>
      <c r="E2409" t="s">
        <v>2766</v>
      </c>
      <c r="F2409" t="s">
        <v>6958</v>
      </c>
      <c r="G2409" s="3"/>
      <c r="H2409" s="21">
        <v>0</v>
      </c>
      <c r="I2409" s="21">
        <v>0</v>
      </c>
      <c r="J2409" s="21">
        <v>0</v>
      </c>
      <c r="K2409" s="21">
        <v>0</v>
      </c>
      <c r="L2409" s="3">
        <f t="shared" si="110"/>
        <v>0</v>
      </c>
      <c r="M2409" s="3"/>
      <c r="N2409" s="3">
        <f t="shared" si="111"/>
        <v>0</v>
      </c>
      <c r="R2409" s="89"/>
      <c r="S2409" s="89">
        <f>100%-Table34[[#This Row],[PDF_initial fee]]</f>
        <v>1</v>
      </c>
      <c r="T2409" s="89"/>
      <c r="U2409" s="26"/>
    </row>
    <row r="2410" spans="1:28" hidden="1" x14ac:dyDescent="0.25">
      <c r="A2410">
        <v>507964</v>
      </c>
      <c r="B2410" t="s">
        <v>2767</v>
      </c>
      <c r="C2410" t="s">
        <v>7190</v>
      </c>
      <c r="D2410">
        <v>3</v>
      </c>
      <c r="E2410" t="s">
        <v>2767</v>
      </c>
      <c r="G2410" s="3"/>
      <c r="H2410" s="21">
        <v>0</v>
      </c>
      <c r="I2410" s="21">
        <v>0</v>
      </c>
      <c r="J2410" s="21">
        <v>0</v>
      </c>
      <c r="K2410" s="21">
        <v>0</v>
      </c>
      <c r="L2410" s="3">
        <f t="shared" si="110"/>
        <v>0</v>
      </c>
      <c r="M2410" s="3"/>
      <c r="N2410" s="3">
        <f t="shared" si="111"/>
        <v>0</v>
      </c>
      <c r="R2410" s="89"/>
      <c r="S2410" s="89">
        <f>100%-Table34[[#This Row],[PDF_initial fee]]</f>
        <v>1</v>
      </c>
      <c r="T2410" s="89"/>
      <c r="U2410" s="26"/>
    </row>
    <row r="2411" spans="1:28" hidden="1" x14ac:dyDescent="0.25">
      <c r="A2411">
        <v>507994</v>
      </c>
      <c r="B2411" t="s">
        <v>2768</v>
      </c>
      <c r="C2411" t="s">
        <v>6958</v>
      </c>
      <c r="D2411">
        <v>1</v>
      </c>
      <c r="E2411" t="s">
        <v>2768</v>
      </c>
      <c r="F2411" t="s">
        <v>6958</v>
      </c>
      <c r="G2411" s="3"/>
      <c r="H2411" s="21">
        <v>0</v>
      </c>
      <c r="I2411" s="21">
        <v>0</v>
      </c>
      <c r="J2411" s="21">
        <v>0</v>
      </c>
      <c r="K2411" s="21">
        <v>0</v>
      </c>
      <c r="L2411" s="3">
        <f t="shared" si="110"/>
        <v>0</v>
      </c>
      <c r="M2411" s="3"/>
      <c r="N2411" s="3">
        <f t="shared" si="111"/>
        <v>0</v>
      </c>
      <c r="R2411" s="89"/>
      <c r="S2411" s="89">
        <f>100%-Table34[[#This Row],[PDF_initial fee]]</f>
        <v>1</v>
      </c>
      <c r="T2411" s="89"/>
      <c r="U2411" s="26"/>
    </row>
    <row r="2412" spans="1:28" hidden="1" x14ac:dyDescent="0.25">
      <c r="A2412">
        <v>507996</v>
      </c>
      <c r="B2412" t="s">
        <v>2769</v>
      </c>
      <c r="C2412" t="s">
        <v>30263</v>
      </c>
      <c r="D2412">
        <v>2</v>
      </c>
      <c r="E2412" t="s">
        <v>2769</v>
      </c>
      <c r="G2412" s="3"/>
      <c r="H2412" s="3">
        <v>0</v>
      </c>
      <c r="I2412" s="3">
        <v>0</v>
      </c>
      <c r="J2412" s="3">
        <v>0</v>
      </c>
      <c r="K2412" s="3">
        <v>0</v>
      </c>
      <c r="L2412" s="3">
        <f t="shared" ref="L2412:L2475" si="112">SUM(H2412:K2412)</f>
        <v>0</v>
      </c>
      <c r="M2412" s="3"/>
      <c r="N2412" s="3">
        <f t="shared" si="111"/>
        <v>0</v>
      </c>
      <c r="R2412" s="89"/>
      <c r="S2412" s="89">
        <f>100%-Table34[[#This Row],[PDF_initial fee]]</f>
        <v>1</v>
      </c>
      <c r="T2412" s="89"/>
      <c r="U2412" s="26"/>
    </row>
    <row r="2413" spans="1:28" x14ac:dyDescent="0.25">
      <c r="A2413">
        <v>302275</v>
      </c>
      <c r="B2413" t="s">
        <v>141</v>
      </c>
      <c r="C2413" t="s">
        <v>30264</v>
      </c>
      <c r="D2413">
        <v>2</v>
      </c>
      <c r="E2413" t="s">
        <v>141</v>
      </c>
      <c r="F2413" t="s">
        <v>3</v>
      </c>
      <c r="G2413" s="3">
        <v>1.4E-3</v>
      </c>
      <c r="H2413" s="21">
        <v>0.02</v>
      </c>
      <c r="I2413" s="51">
        <v>2.5000000000000001E-2</v>
      </c>
      <c r="J2413" s="6">
        <v>0</v>
      </c>
      <c r="K2413" s="6">
        <v>0</v>
      </c>
      <c r="L2413" s="3">
        <f t="shared" si="112"/>
        <v>4.4999999999999998E-2</v>
      </c>
      <c r="M2413" s="3"/>
      <c r="N2413" s="3">
        <f t="shared" si="111"/>
        <v>4.6399999999999997E-2</v>
      </c>
      <c r="P2413" s="1" t="s">
        <v>30264</v>
      </c>
      <c r="Q2413" t="s">
        <v>31787</v>
      </c>
      <c r="R2413" s="89">
        <v>0.33333333333333348</v>
      </c>
      <c r="S2413" s="89">
        <f>100%-Table34[[#This Row],[InitialFee]]</f>
        <v>0.98</v>
      </c>
      <c r="T2413" s="89">
        <f>(1-Table34[[#This Row],[OngoingFee (plus Platform fee)]])^5</f>
        <v>0.88109569335937488</v>
      </c>
      <c r="U2413" s="26">
        <f>(1+Table34[[#This Row],[Net 5yrs return (mostly up to 28th of Feb 2026)]])*Table34[[#This Row],[Investment after initial charge]]*Table34[[#This Row],[Cummulative 5yrs ongoing advice charge]]-1</f>
        <v>0.15129837265625001</v>
      </c>
      <c r="V2413">
        <f>60440+1344</f>
        <v>61784</v>
      </c>
      <c r="W2413" t="s">
        <v>29051</v>
      </c>
      <c r="X2413" s="10">
        <v>26312</v>
      </c>
      <c r="Y2413" s="30">
        <f>X2413/V2413</f>
        <v>0.42587077560533471</v>
      </c>
      <c r="AA2413" s="1" t="s">
        <v>30265</v>
      </c>
      <c r="AB2413" t="s">
        <v>29302</v>
      </c>
    </row>
    <row r="2414" spans="1:28" hidden="1" x14ac:dyDescent="0.25">
      <c r="A2414">
        <v>509613</v>
      </c>
      <c r="B2414" t="s">
        <v>2770</v>
      </c>
      <c r="C2414" t="s">
        <v>30266</v>
      </c>
      <c r="D2414">
        <v>1</v>
      </c>
      <c r="E2414" t="s">
        <v>2770</v>
      </c>
      <c r="G2414" s="3"/>
      <c r="H2414" s="3">
        <v>0</v>
      </c>
      <c r="I2414" s="3">
        <v>0</v>
      </c>
      <c r="J2414" s="3">
        <v>0</v>
      </c>
      <c r="K2414" s="3">
        <v>0</v>
      </c>
      <c r="L2414" s="3">
        <f t="shared" si="112"/>
        <v>0</v>
      </c>
      <c r="M2414" s="3"/>
      <c r="N2414" s="3">
        <f t="shared" si="111"/>
        <v>0</v>
      </c>
      <c r="R2414" s="89"/>
      <c r="S2414" s="89">
        <f>100%-Table34[[#This Row],[PDF_initial fee]]</f>
        <v>1</v>
      </c>
      <c r="T2414" s="89"/>
      <c r="U2414" s="26"/>
    </row>
    <row r="2415" spans="1:28" hidden="1" x14ac:dyDescent="0.25">
      <c r="A2415">
        <v>509620</v>
      </c>
      <c r="B2415" t="s">
        <v>2771</v>
      </c>
      <c r="C2415" t="s">
        <v>6958</v>
      </c>
      <c r="D2415">
        <v>2</v>
      </c>
      <c r="E2415" t="s">
        <v>2771</v>
      </c>
      <c r="F2415" t="s">
        <v>6958</v>
      </c>
      <c r="G2415" s="3"/>
      <c r="H2415" s="21">
        <v>0</v>
      </c>
      <c r="I2415" s="21">
        <v>0</v>
      </c>
      <c r="J2415" s="21">
        <v>0</v>
      </c>
      <c r="K2415" s="21">
        <v>0</v>
      </c>
      <c r="L2415" s="3">
        <f t="shared" si="112"/>
        <v>0</v>
      </c>
      <c r="M2415" s="3"/>
      <c r="N2415" s="3">
        <f t="shared" si="111"/>
        <v>0</v>
      </c>
      <c r="R2415" s="89"/>
      <c r="S2415" s="89">
        <f>100%-Table34[[#This Row],[PDF_initial fee]]</f>
        <v>1</v>
      </c>
      <c r="T2415" s="89"/>
      <c r="U2415" s="26"/>
    </row>
    <row r="2416" spans="1:28" hidden="1" x14ac:dyDescent="0.25">
      <c r="A2416">
        <v>509756</v>
      </c>
      <c r="B2416" t="s">
        <v>2772</v>
      </c>
      <c r="C2416" s="1" t="s">
        <v>30267</v>
      </c>
      <c r="D2416">
        <v>19</v>
      </c>
      <c r="E2416" t="s">
        <v>2772</v>
      </c>
      <c r="F2416" t="s">
        <v>3</v>
      </c>
      <c r="G2416" s="3"/>
      <c r="H2416" s="21">
        <v>0</v>
      </c>
      <c r="I2416" s="21">
        <v>0</v>
      </c>
      <c r="J2416" s="21">
        <v>0</v>
      </c>
      <c r="K2416" s="21">
        <v>0</v>
      </c>
      <c r="L2416" s="3">
        <f t="shared" si="112"/>
        <v>0</v>
      </c>
      <c r="M2416" s="3"/>
      <c r="N2416" s="3">
        <f t="shared" si="111"/>
        <v>0</v>
      </c>
      <c r="R2416" s="89"/>
      <c r="S2416" s="89">
        <f>100%-Table34[[#This Row],[PDF_initial fee]]</f>
        <v>1</v>
      </c>
      <c r="T2416" s="89"/>
      <c r="U2416" s="26"/>
    </row>
    <row r="2417" spans="1:27" hidden="1" x14ac:dyDescent="0.25">
      <c r="A2417">
        <v>509758</v>
      </c>
      <c r="B2417" t="s">
        <v>2773</v>
      </c>
      <c r="C2417" t="s">
        <v>7380</v>
      </c>
      <c r="D2417">
        <v>5</v>
      </c>
      <c r="E2417" t="s">
        <v>2773</v>
      </c>
      <c r="G2417" s="3"/>
      <c r="H2417" s="21">
        <v>0</v>
      </c>
      <c r="I2417" s="21">
        <v>0</v>
      </c>
      <c r="J2417" s="21">
        <v>0</v>
      </c>
      <c r="K2417" s="21">
        <v>0</v>
      </c>
      <c r="L2417" s="3">
        <f t="shared" si="112"/>
        <v>0</v>
      </c>
      <c r="M2417" s="3"/>
      <c r="N2417" s="3">
        <f t="shared" si="111"/>
        <v>0</v>
      </c>
      <c r="R2417" s="89"/>
      <c r="S2417" s="89">
        <f>100%-Table34[[#This Row],[PDF_initial fee]]</f>
        <v>1</v>
      </c>
      <c r="T2417" s="89"/>
      <c r="U2417" s="26"/>
    </row>
    <row r="2418" spans="1:27" hidden="1" x14ac:dyDescent="0.25">
      <c r="A2418">
        <v>509765</v>
      </c>
      <c r="B2418" t="s">
        <v>2774</v>
      </c>
      <c r="C2418" t="s">
        <v>10008</v>
      </c>
      <c r="D2418">
        <v>6</v>
      </c>
      <c r="E2418" t="s">
        <v>2774</v>
      </c>
      <c r="G2418" s="3"/>
      <c r="H2418" s="21">
        <v>0</v>
      </c>
      <c r="I2418" s="21">
        <v>0</v>
      </c>
      <c r="J2418" s="21">
        <v>0</v>
      </c>
      <c r="K2418" s="21">
        <v>0</v>
      </c>
      <c r="L2418" s="3">
        <f t="shared" si="112"/>
        <v>0</v>
      </c>
      <c r="M2418" s="3"/>
      <c r="N2418" s="3">
        <f t="shared" si="111"/>
        <v>0</v>
      </c>
      <c r="R2418" s="89"/>
      <c r="S2418" s="89">
        <f>100%-Table34[[#This Row],[PDF_initial fee]]</f>
        <v>1</v>
      </c>
      <c r="T2418" s="89"/>
      <c r="U2418" s="26"/>
    </row>
    <row r="2419" spans="1:27" hidden="1" x14ac:dyDescent="0.25">
      <c r="A2419">
        <v>509803</v>
      </c>
      <c r="B2419" t="s">
        <v>2775</v>
      </c>
      <c r="C2419" t="s">
        <v>12258</v>
      </c>
      <c r="D2419">
        <v>3</v>
      </c>
      <c r="E2419" t="s">
        <v>2775</v>
      </c>
      <c r="G2419" s="3"/>
      <c r="L2419" s="3">
        <f t="shared" si="112"/>
        <v>0</v>
      </c>
      <c r="M2419" s="3"/>
      <c r="N2419" s="3">
        <f t="shared" si="111"/>
        <v>0</v>
      </c>
      <c r="R2419" s="89"/>
      <c r="S2419" s="89">
        <f>100%-Table34[[#This Row],[PDF_initial fee]]</f>
        <v>1</v>
      </c>
      <c r="T2419" s="89"/>
      <c r="U2419" s="26"/>
    </row>
    <row r="2420" spans="1:27" hidden="1" x14ac:dyDescent="0.25">
      <c r="A2420">
        <v>509804</v>
      </c>
      <c r="B2420" t="s">
        <v>2776</v>
      </c>
      <c r="C2420" t="s">
        <v>11990</v>
      </c>
      <c r="D2420">
        <v>3</v>
      </c>
      <c r="E2420" t="s">
        <v>2776</v>
      </c>
      <c r="G2420" s="3"/>
      <c r="H2420" s="21">
        <v>0</v>
      </c>
      <c r="I2420" s="21">
        <v>0</v>
      </c>
      <c r="J2420" s="21">
        <v>0</v>
      </c>
      <c r="K2420" s="21">
        <v>0</v>
      </c>
      <c r="L2420" s="3">
        <f t="shared" si="112"/>
        <v>0</v>
      </c>
      <c r="M2420" s="3"/>
      <c r="N2420" s="3">
        <f t="shared" si="111"/>
        <v>0</v>
      </c>
      <c r="R2420" s="89"/>
      <c r="S2420" s="89">
        <f>100%-Table34[[#This Row],[PDF_initial fee]]</f>
        <v>1</v>
      </c>
      <c r="T2420" s="89"/>
      <c r="U2420" s="26"/>
    </row>
    <row r="2421" spans="1:27" x14ac:dyDescent="0.25">
      <c r="A2421">
        <v>146717</v>
      </c>
      <c r="B2421" t="s">
        <v>64</v>
      </c>
      <c r="C2421" t="s">
        <v>7271</v>
      </c>
      <c r="D2421">
        <v>4</v>
      </c>
      <c r="E2421" t="s">
        <v>64</v>
      </c>
      <c r="F2421" t="s">
        <v>3</v>
      </c>
      <c r="G2421" s="3">
        <v>1.4E-3</v>
      </c>
      <c r="H2421" s="6">
        <v>0.01</v>
      </c>
      <c r="I2421" s="3">
        <v>7.0000000000000001E-3</v>
      </c>
      <c r="J2421" s="6"/>
      <c r="K2421" s="6"/>
      <c r="L2421" s="3">
        <f t="shared" si="112"/>
        <v>1.7000000000000001E-2</v>
      </c>
      <c r="M2421" s="3"/>
      <c r="N2421" s="3">
        <f t="shared" si="111"/>
        <v>1.84E-2</v>
      </c>
      <c r="P2421" s="1" t="s">
        <v>30268</v>
      </c>
      <c r="Q2421" t="s">
        <v>31787</v>
      </c>
      <c r="R2421" s="89">
        <v>0.33333333333333348</v>
      </c>
      <c r="S2421" s="89">
        <f>100%-Table34[[#This Row],[InitialFee]]</f>
        <v>0.99</v>
      </c>
      <c r="T2421" s="89">
        <f>(1-Table34[[#This Row],[OngoingFee (plus Platform fee)]])^5</f>
        <v>0.96548658198819293</v>
      </c>
      <c r="U2421" s="26">
        <f>(1+Table34[[#This Row],[Net 5yrs return (mostly up to 28th of Feb 2026)]])*Table34[[#This Row],[Investment after initial charge]]*Table34[[#This Row],[Cummulative 5yrs ongoing advice charge]]-1</f>
        <v>0.27444228822441463</v>
      </c>
      <c r="V2421" s="10">
        <v>314916</v>
      </c>
      <c r="W2421" t="s">
        <v>29051</v>
      </c>
      <c r="X2421" s="10">
        <v>313669</v>
      </c>
      <c r="Y2421" s="93">
        <f>X2421/V2421</f>
        <v>0.99604021389830943</v>
      </c>
      <c r="AA2421" s="1" t="s">
        <v>29750</v>
      </c>
    </row>
    <row r="2422" spans="1:27" hidden="1" x14ac:dyDescent="0.25">
      <c r="A2422">
        <v>509905</v>
      </c>
      <c r="B2422" t="s">
        <v>2777</v>
      </c>
      <c r="C2422" t="s">
        <v>7921</v>
      </c>
      <c r="D2422">
        <v>12</v>
      </c>
      <c r="E2422" t="s">
        <v>2777</v>
      </c>
      <c r="G2422" s="3"/>
      <c r="H2422" s="21">
        <v>0</v>
      </c>
      <c r="I2422" s="21">
        <v>0</v>
      </c>
      <c r="J2422" s="21">
        <v>0</v>
      </c>
      <c r="K2422" s="21">
        <v>0</v>
      </c>
      <c r="L2422" s="3">
        <f t="shared" si="112"/>
        <v>0</v>
      </c>
      <c r="M2422" s="3"/>
      <c r="N2422" s="3">
        <f t="shared" si="111"/>
        <v>0</v>
      </c>
      <c r="R2422" s="89"/>
      <c r="S2422" s="89">
        <f>100%-Table34[[#This Row],[PDF_initial fee]]</f>
        <v>1</v>
      </c>
      <c r="T2422" s="89"/>
      <c r="U2422" s="26"/>
    </row>
    <row r="2423" spans="1:27" x14ac:dyDescent="0.25">
      <c r="A2423">
        <v>147608</v>
      </c>
      <c r="B2423" t="s">
        <v>68</v>
      </c>
      <c r="C2423" t="s">
        <v>7271</v>
      </c>
      <c r="D2423">
        <v>4</v>
      </c>
      <c r="E2423" t="s">
        <v>68</v>
      </c>
      <c r="F2423" t="s">
        <v>3</v>
      </c>
      <c r="G2423" s="3">
        <v>1.4E-3</v>
      </c>
      <c r="H2423" s="6">
        <v>0.01</v>
      </c>
      <c r="I2423" s="6">
        <v>7.0000000000000001E-3</v>
      </c>
      <c r="J2423" s="6"/>
      <c r="K2423" s="6"/>
      <c r="L2423" s="3">
        <f t="shared" si="112"/>
        <v>1.7000000000000001E-2</v>
      </c>
      <c r="M2423" s="3"/>
      <c r="N2423" s="3">
        <f t="shared" si="111"/>
        <v>1.84E-2</v>
      </c>
      <c r="P2423" s="1" t="s">
        <v>30268</v>
      </c>
      <c r="Q2423" t="s">
        <v>31787</v>
      </c>
      <c r="R2423" s="89">
        <v>0.33333333333333348</v>
      </c>
      <c r="S2423" s="89">
        <f>100%-Table34[[#This Row],[InitialFee]]</f>
        <v>0.99</v>
      </c>
      <c r="T2423" s="89">
        <f>(1-Table34[[#This Row],[OngoingFee (plus Platform fee)]])^5</f>
        <v>0.96548658198819293</v>
      </c>
      <c r="U2423" s="26">
        <f>(1+Table34[[#This Row],[Net 5yrs return (mostly up to 28th of Feb 2026)]])*Table34[[#This Row],[Investment after initial charge]]*Table34[[#This Row],[Cummulative 5yrs ongoing advice charge]]-1</f>
        <v>0.27444228822441463</v>
      </c>
      <c r="V2423" s="10">
        <v>314916</v>
      </c>
      <c r="W2423" t="s">
        <v>29051</v>
      </c>
      <c r="X2423" s="10">
        <v>313669</v>
      </c>
      <c r="Y2423" s="93">
        <f>X2423/V2423</f>
        <v>0.99604021389830943</v>
      </c>
      <c r="AA2423" s="1" t="s">
        <v>29750</v>
      </c>
    </row>
    <row r="2424" spans="1:27" hidden="1" x14ac:dyDescent="0.25">
      <c r="A2424">
        <v>510117</v>
      </c>
      <c r="B2424" t="s">
        <v>2778</v>
      </c>
      <c r="C2424" t="s">
        <v>8844</v>
      </c>
      <c r="D2424">
        <v>1</v>
      </c>
      <c r="E2424" t="s">
        <v>2778</v>
      </c>
      <c r="G2424" s="3"/>
      <c r="H2424" s="21">
        <v>0</v>
      </c>
      <c r="I2424" s="21">
        <v>0</v>
      </c>
      <c r="J2424" s="21">
        <v>0</v>
      </c>
      <c r="K2424" s="21">
        <v>0</v>
      </c>
      <c r="L2424" s="3">
        <f t="shared" si="112"/>
        <v>0</v>
      </c>
      <c r="M2424" s="3"/>
      <c r="N2424" s="3">
        <f t="shared" si="111"/>
        <v>0</v>
      </c>
      <c r="R2424" s="89"/>
      <c r="S2424" s="89">
        <f>100%-Table34[[#This Row],[PDF_initial fee]]</f>
        <v>1</v>
      </c>
      <c r="T2424" s="89"/>
      <c r="U2424" s="26"/>
    </row>
    <row r="2425" spans="1:27" hidden="1" x14ac:dyDescent="0.25">
      <c r="A2425">
        <v>511140</v>
      </c>
      <c r="B2425" t="s">
        <v>2780</v>
      </c>
      <c r="C2425" t="s">
        <v>11163</v>
      </c>
      <c r="D2425">
        <v>3</v>
      </c>
      <c r="E2425" t="s">
        <v>2780</v>
      </c>
      <c r="G2425" s="3"/>
      <c r="L2425" s="3">
        <f t="shared" si="112"/>
        <v>0</v>
      </c>
      <c r="M2425" s="3"/>
      <c r="N2425" s="3">
        <f t="shared" si="111"/>
        <v>0</v>
      </c>
      <c r="R2425" s="89"/>
      <c r="S2425" s="89">
        <f>100%-Table34[[#This Row],[PDF_initial fee]]</f>
        <v>1</v>
      </c>
      <c r="T2425" s="89"/>
      <c r="U2425" s="26"/>
    </row>
    <row r="2426" spans="1:27" hidden="1" x14ac:dyDescent="0.25">
      <c r="A2426">
        <v>511176</v>
      </c>
      <c r="B2426" t="s">
        <v>2781</v>
      </c>
      <c r="C2426" t="s">
        <v>11322</v>
      </c>
      <c r="D2426">
        <v>2</v>
      </c>
      <c r="E2426" t="s">
        <v>2781</v>
      </c>
      <c r="G2426" s="3"/>
      <c r="H2426" s="21">
        <v>0</v>
      </c>
      <c r="I2426" s="21">
        <v>0</v>
      </c>
      <c r="J2426" s="21">
        <v>0</v>
      </c>
      <c r="K2426" s="21">
        <v>0</v>
      </c>
      <c r="L2426" s="3">
        <f t="shared" si="112"/>
        <v>0</v>
      </c>
      <c r="M2426" s="3"/>
      <c r="N2426" s="3">
        <f t="shared" si="111"/>
        <v>0</v>
      </c>
      <c r="R2426" s="89"/>
      <c r="S2426" s="89">
        <f>100%-Table34[[#This Row],[PDF_initial fee]]</f>
        <v>1</v>
      </c>
      <c r="T2426" s="89"/>
      <c r="U2426" s="26"/>
    </row>
    <row r="2427" spans="1:27" hidden="1" x14ac:dyDescent="0.25">
      <c r="A2427">
        <v>511220</v>
      </c>
      <c r="B2427" t="s">
        <v>2782</v>
      </c>
      <c r="C2427" t="s">
        <v>11782</v>
      </c>
      <c r="D2427">
        <v>3</v>
      </c>
      <c r="E2427" t="s">
        <v>2782</v>
      </c>
      <c r="G2427" s="3"/>
      <c r="H2427" s="21">
        <v>0</v>
      </c>
      <c r="I2427" s="21">
        <v>0</v>
      </c>
      <c r="J2427" s="21">
        <v>0</v>
      </c>
      <c r="K2427" s="21">
        <v>0</v>
      </c>
      <c r="L2427" s="3">
        <f t="shared" si="112"/>
        <v>0</v>
      </c>
      <c r="M2427" s="3"/>
      <c r="N2427" s="3">
        <f t="shared" si="111"/>
        <v>0</v>
      </c>
      <c r="R2427" s="89"/>
      <c r="S2427" s="89">
        <f>100%-Table34[[#This Row],[PDF_initial fee]]</f>
        <v>1</v>
      </c>
      <c r="T2427" s="89"/>
      <c r="U2427" s="26"/>
    </row>
    <row r="2428" spans="1:27" hidden="1" x14ac:dyDescent="0.25">
      <c r="A2428">
        <v>511386</v>
      </c>
      <c r="B2428" t="s">
        <v>2784</v>
      </c>
      <c r="C2428" t="s">
        <v>9086</v>
      </c>
      <c r="D2428">
        <v>1</v>
      </c>
      <c r="E2428" t="s">
        <v>2784</v>
      </c>
      <c r="G2428" s="3"/>
      <c r="L2428" s="3">
        <f t="shared" si="112"/>
        <v>0</v>
      </c>
      <c r="M2428" s="3"/>
      <c r="N2428" s="3">
        <f t="shared" si="111"/>
        <v>0</v>
      </c>
      <c r="R2428" s="89"/>
      <c r="S2428" s="89">
        <f>100%-Table34[[#This Row],[PDF_initial fee]]</f>
        <v>1</v>
      </c>
      <c r="T2428" s="89"/>
      <c r="U2428" s="26"/>
    </row>
    <row r="2429" spans="1:27" hidden="1" x14ac:dyDescent="0.25">
      <c r="A2429">
        <v>511417</v>
      </c>
      <c r="B2429" t="s">
        <v>2785</v>
      </c>
      <c r="C2429" t="s">
        <v>7625</v>
      </c>
      <c r="D2429">
        <v>4</v>
      </c>
      <c r="E2429" t="s">
        <v>2785</v>
      </c>
      <c r="G2429" s="3"/>
      <c r="H2429" s="21">
        <v>0</v>
      </c>
      <c r="I2429" s="21">
        <v>0</v>
      </c>
      <c r="J2429" s="21">
        <v>0</v>
      </c>
      <c r="K2429" s="21">
        <v>0</v>
      </c>
      <c r="L2429" s="3">
        <f t="shared" si="112"/>
        <v>0</v>
      </c>
      <c r="M2429" s="3"/>
      <c r="N2429" s="3">
        <f t="shared" si="111"/>
        <v>0</v>
      </c>
      <c r="R2429" s="89"/>
      <c r="S2429" s="89">
        <f>100%-Table34[[#This Row],[PDF_initial fee]]</f>
        <v>1</v>
      </c>
      <c r="T2429" s="89"/>
      <c r="U2429" s="26"/>
    </row>
    <row r="2430" spans="1:27" hidden="1" x14ac:dyDescent="0.25">
      <c r="A2430">
        <v>511609</v>
      </c>
      <c r="B2430" t="s">
        <v>2786</v>
      </c>
      <c r="C2430" t="s">
        <v>6958</v>
      </c>
      <c r="D2430">
        <v>1</v>
      </c>
      <c r="E2430" t="s">
        <v>2786</v>
      </c>
      <c r="F2430" t="s">
        <v>6958</v>
      </c>
      <c r="G2430" s="3"/>
      <c r="H2430" s="21">
        <v>0</v>
      </c>
      <c r="I2430" s="21">
        <v>0</v>
      </c>
      <c r="J2430" s="21">
        <v>0</v>
      </c>
      <c r="K2430" s="21">
        <v>0</v>
      </c>
      <c r="L2430" s="3">
        <f t="shared" si="112"/>
        <v>0</v>
      </c>
      <c r="M2430" s="3"/>
      <c r="N2430" s="3">
        <f t="shared" si="111"/>
        <v>0</v>
      </c>
      <c r="R2430" s="89"/>
      <c r="S2430" s="89">
        <f>100%-Table34[[#This Row],[PDF_initial fee]]</f>
        <v>1</v>
      </c>
      <c r="T2430" s="89"/>
      <c r="U2430" s="26"/>
    </row>
    <row r="2431" spans="1:27" hidden="1" x14ac:dyDescent="0.25">
      <c r="A2431">
        <v>511619</v>
      </c>
      <c r="B2431" t="s">
        <v>2787</v>
      </c>
      <c r="C2431" t="s">
        <v>8602</v>
      </c>
      <c r="D2431">
        <v>2</v>
      </c>
      <c r="E2431" t="s">
        <v>2787</v>
      </c>
      <c r="G2431" s="3"/>
      <c r="H2431" s="21">
        <v>0</v>
      </c>
      <c r="I2431" s="21">
        <v>0</v>
      </c>
      <c r="J2431" s="21">
        <v>0</v>
      </c>
      <c r="K2431" s="21">
        <v>0</v>
      </c>
      <c r="L2431" s="3">
        <f t="shared" si="112"/>
        <v>0</v>
      </c>
      <c r="M2431" s="3"/>
      <c r="N2431" s="3">
        <f t="shared" si="111"/>
        <v>0</v>
      </c>
      <c r="R2431" s="89"/>
      <c r="S2431" s="89">
        <f>100%-Table34[[#This Row],[PDF_initial fee]]</f>
        <v>1</v>
      </c>
      <c r="T2431" s="89"/>
      <c r="U2431" s="26"/>
    </row>
    <row r="2432" spans="1:27" hidden="1" x14ac:dyDescent="0.25">
      <c r="A2432">
        <v>511977</v>
      </c>
      <c r="B2432" t="s">
        <v>2788</v>
      </c>
      <c r="C2432" t="s">
        <v>6958</v>
      </c>
      <c r="D2432">
        <v>2</v>
      </c>
      <c r="E2432" t="s">
        <v>2788</v>
      </c>
      <c r="F2432" t="s">
        <v>6958</v>
      </c>
      <c r="G2432" s="3"/>
      <c r="H2432" s="21">
        <v>0</v>
      </c>
      <c r="I2432" s="21">
        <v>0</v>
      </c>
      <c r="J2432" s="21">
        <v>0</v>
      </c>
      <c r="K2432" s="21">
        <v>0</v>
      </c>
      <c r="L2432" s="3">
        <f t="shared" si="112"/>
        <v>0</v>
      </c>
      <c r="M2432" s="3"/>
      <c r="N2432" s="3">
        <f t="shared" si="111"/>
        <v>0</v>
      </c>
      <c r="R2432" s="89"/>
      <c r="S2432" s="89">
        <f>100%-Table34[[#This Row],[PDF_initial fee]]</f>
        <v>1</v>
      </c>
      <c r="T2432" s="89"/>
      <c r="U2432" s="26"/>
    </row>
    <row r="2433" spans="1:21" hidden="1" x14ac:dyDescent="0.25">
      <c r="A2433">
        <v>512084</v>
      </c>
      <c r="B2433" t="s">
        <v>2789</v>
      </c>
      <c r="C2433" t="s">
        <v>10187</v>
      </c>
      <c r="D2433">
        <v>2</v>
      </c>
      <c r="E2433" t="s">
        <v>2789</v>
      </c>
      <c r="G2433" s="3"/>
      <c r="L2433" s="3">
        <f t="shared" si="112"/>
        <v>0</v>
      </c>
      <c r="M2433" s="3"/>
      <c r="N2433" s="3">
        <f t="shared" si="111"/>
        <v>0</v>
      </c>
      <c r="R2433" s="89"/>
      <c r="S2433" s="89">
        <f>100%-Table34[[#This Row],[PDF_initial fee]]</f>
        <v>1</v>
      </c>
      <c r="T2433" s="89"/>
      <c r="U2433" s="26"/>
    </row>
    <row r="2434" spans="1:21" hidden="1" x14ac:dyDescent="0.25">
      <c r="A2434">
        <v>512100</v>
      </c>
      <c r="B2434" t="s">
        <v>2790</v>
      </c>
      <c r="C2434" t="s">
        <v>6958</v>
      </c>
      <c r="D2434">
        <v>1</v>
      </c>
      <c r="E2434" t="s">
        <v>2790</v>
      </c>
      <c r="F2434" t="s">
        <v>6958</v>
      </c>
      <c r="G2434" s="3"/>
      <c r="H2434" s="21">
        <v>0</v>
      </c>
      <c r="I2434" s="21">
        <v>0</v>
      </c>
      <c r="J2434" s="21">
        <v>0</v>
      </c>
      <c r="K2434" s="21">
        <v>0</v>
      </c>
      <c r="L2434" s="3">
        <f t="shared" si="112"/>
        <v>0</v>
      </c>
      <c r="M2434" s="3"/>
      <c r="N2434" s="3">
        <f t="shared" si="111"/>
        <v>0</v>
      </c>
      <c r="R2434" s="89"/>
      <c r="S2434" s="89">
        <f>100%-Table34[[#This Row],[PDF_initial fee]]</f>
        <v>1</v>
      </c>
      <c r="T2434" s="89"/>
      <c r="U2434" s="26"/>
    </row>
    <row r="2435" spans="1:21" hidden="1" x14ac:dyDescent="0.25">
      <c r="A2435">
        <v>512406</v>
      </c>
      <c r="B2435" t="s">
        <v>2791</v>
      </c>
      <c r="C2435" t="s">
        <v>30269</v>
      </c>
      <c r="D2435">
        <v>5</v>
      </c>
      <c r="E2435" t="s">
        <v>2791</v>
      </c>
      <c r="G2435" s="3"/>
      <c r="H2435" s="3">
        <v>0</v>
      </c>
      <c r="I2435" s="3">
        <v>0</v>
      </c>
      <c r="J2435" s="3">
        <v>0</v>
      </c>
      <c r="K2435" s="3">
        <v>0</v>
      </c>
      <c r="L2435" s="3">
        <f t="shared" si="112"/>
        <v>0</v>
      </c>
      <c r="M2435" s="3"/>
      <c r="N2435" s="3">
        <f t="shared" si="111"/>
        <v>0</v>
      </c>
      <c r="R2435" s="89"/>
      <c r="S2435" s="89">
        <f>100%-Table34[[#This Row],[PDF_initial fee]]</f>
        <v>1</v>
      </c>
      <c r="T2435" s="89"/>
      <c r="U2435" s="26"/>
    </row>
    <row r="2436" spans="1:21" hidden="1" x14ac:dyDescent="0.25">
      <c r="A2436">
        <v>512436</v>
      </c>
      <c r="B2436" t="s">
        <v>2792</v>
      </c>
      <c r="C2436" t="s">
        <v>6958</v>
      </c>
      <c r="D2436">
        <v>2</v>
      </c>
      <c r="E2436" t="s">
        <v>2792</v>
      </c>
      <c r="F2436" t="s">
        <v>6958</v>
      </c>
      <c r="G2436" s="3"/>
      <c r="H2436" s="21">
        <v>0</v>
      </c>
      <c r="I2436" s="21">
        <v>0</v>
      </c>
      <c r="J2436" s="21">
        <v>0</v>
      </c>
      <c r="K2436" s="21">
        <v>0</v>
      </c>
      <c r="L2436" s="3">
        <f t="shared" si="112"/>
        <v>0</v>
      </c>
      <c r="M2436" s="3"/>
      <c r="N2436" s="3">
        <f t="shared" si="111"/>
        <v>0</v>
      </c>
      <c r="R2436" s="89"/>
      <c r="S2436" s="89">
        <f>100%-Table34[[#This Row],[PDF_initial fee]]</f>
        <v>1</v>
      </c>
      <c r="T2436" s="89"/>
      <c r="U2436" s="26"/>
    </row>
    <row r="2437" spans="1:21" hidden="1" x14ac:dyDescent="0.25">
      <c r="A2437">
        <v>512448</v>
      </c>
      <c r="B2437" t="s">
        <v>2793</v>
      </c>
      <c r="C2437" t="s">
        <v>6958</v>
      </c>
      <c r="D2437">
        <v>3</v>
      </c>
      <c r="E2437" t="s">
        <v>2793</v>
      </c>
      <c r="F2437" t="s">
        <v>6958</v>
      </c>
      <c r="G2437" s="3"/>
      <c r="H2437" s="21">
        <v>0</v>
      </c>
      <c r="I2437" s="21">
        <v>0</v>
      </c>
      <c r="J2437" s="21">
        <v>0</v>
      </c>
      <c r="K2437" s="21">
        <v>0</v>
      </c>
      <c r="L2437" s="3">
        <f t="shared" si="112"/>
        <v>0</v>
      </c>
      <c r="M2437" s="3"/>
      <c r="N2437" s="3">
        <f t="shared" si="111"/>
        <v>0</v>
      </c>
      <c r="R2437" s="89"/>
      <c r="S2437" s="89">
        <f>100%-Table34[[#This Row],[PDF_initial fee]]</f>
        <v>1</v>
      </c>
      <c r="T2437" s="89"/>
      <c r="U2437" s="26"/>
    </row>
    <row r="2438" spans="1:21" hidden="1" x14ac:dyDescent="0.25">
      <c r="A2438">
        <v>512486</v>
      </c>
      <c r="B2438" t="s">
        <v>2794</v>
      </c>
      <c r="C2438" t="s">
        <v>6958</v>
      </c>
      <c r="D2438">
        <v>1</v>
      </c>
      <c r="E2438" t="s">
        <v>2794</v>
      </c>
      <c r="F2438" t="s">
        <v>6958</v>
      </c>
      <c r="G2438" s="3"/>
      <c r="H2438" s="21">
        <v>0</v>
      </c>
      <c r="I2438" s="21">
        <v>0</v>
      </c>
      <c r="J2438" s="21">
        <v>0</v>
      </c>
      <c r="K2438" s="21">
        <v>0</v>
      </c>
      <c r="L2438" s="3">
        <f t="shared" si="112"/>
        <v>0</v>
      </c>
      <c r="M2438" s="3"/>
      <c r="N2438" s="3">
        <f t="shared" si="111"/>
        <v>0</v>
      </c>
      <c r="R2438" s="89"/>
      <c r="S2438" s="89">
        <f>100%-Table34[[#This Row],[PDF_initial fee]]</f>
        <v>1</v>
      </c>
      <c r="T2438" s="89"/>
      <c r="U2438" s="26"/>
    </row>
    <row r="2439" spans="1:21" hidden="1" x14ac:dyDescent="0.25">
      <c r="A2439">
        <v>512517</v>
      </c>
      <c r="B2439" t="s">
        <v>2795</v>
      </c>
      <c r="C2439" t="s">
        <v>6958</v>
      </c>
      <c r="D2439">
        <v>1</v>
      </c>
      <c r="E2439" t="s">
        <v>2795</v>
      </c>
      <c r="F2439" t="s">
        <v>6958</v>
      </c>
      <c r="G2439" s="3"/>
      <c r="L2439" s="3">
        <f t="shared" si="112"/>
        <v>0</v>
      </c>
      <c r="M2439" s="3"/>
      <c r="N2439" s="3">
        <f t="shared" si="111"/>
        <v>0</v>
      </c>
      <c r="R2439" s="89"/>
      <c r="S2439" s="89">
        <f>100%-Table34[[#This Row],[PDF_initial fee]]</f>
        <v>1</v>
      </c>
      <c r="T2439" s="89"/>
      <c r="U2439" s="26"/>
    </row>
    <row r="2440" spans="1:21" hidden="1" x14ac:dyDescent="0.25">
      <c r="A2440">
        <v>512554</v>
      </c>
      <c r="B2440" t="s">
        <v>2796</v>
      </c>
      <c r="C2440" t="s">
        <v>30270</v>
      </c>
      <c r="D2440">
        <v>1</v>
      </c>
      <c r="E2440" t="s">
        <v>2796</v>
      </c>
      <c r="G2440" s="3"/>
      <c r="H2440" s="3">
        <v>0</v>
      </c>
      <c r="I2440" s="3">
        <v>0</v>
      </c>
      <c r="J2440" s="3">
        <v>0</v>
      </c>
      <c r="K2440" s="3">
        <v>0</v>
      </c>
      <c r="L2440" s="3">
        <f t="shared" si="112"/>
        <v>0</v>
      </c>
      <c r="M2440" s="3"/>
      <c r="N2440" s="3">
        <f t="shared" si="111"/>
        <v>0</v>
      </c>
      <c r="R2440" s="89"/>
      <c r="S2440" s="89">
        <f>100%-Table34[[#This Row],[PDF_initial fee]]</f>
        <v>1</v>
      </c>
      <c r="T2440" s="89"/>
      <c r="U2440" s="26"/>
    </row>
    <row r="2441" spans="1:21" hidden="1" x14ac:dyDescent="0.25">
      <c r="A2441">
        <v>513138</v>
      </c>
      <c r="B2441" t="s">
        <v>2798</v>
      </c>
      <c r="C2441" t="s">
        <v>30271</v>
      </c>
      <c r="D2441">
        <v>13</v>
      </c>
      <c r="E2441" t="s">
        <v>2798</v>
      </c>
      <c r="G2441" s="3"/>
      <c r="H2441" s="21">
        <v>0</v>
      </c>
      <c r="I2441" s="21">
        <v>0</v>
      </c>
      <c r="J2441" s="21">
        <v>0</v>
      </c>
      <c r="K2441" s="21">
        <v>0</v>
      </c>
      <c r="L2441" s="3">
        <f t="shared" si="112"/>
        <v>0</v>
      </c>
      <c r="M2441" s="3"/>
      <c r="N2441" s="3">
        <f t="shared" si="111"/>
        <v>0</v>
      </c>
      <c r="O2441" s="21"/>
      <c r="R2441" s="89"/>
      <c r="S2441" s="89">
        <f>100%-Table34[[#This Row],[PDF_initial fee]]</f>
        <v>1</v>
      </c>
      <c r="T2441" s="89"/>
      <c r="U2441" s="26"/>
    </row>
    <row r="2442" spans="1:21" hidden="1" x14ac:dyDescent="0.25">
      <c r="A2442">
        <v>513177</v>
      </c>
      <c r="B2442" t="s">
        <v>2799</v>
      </c>
      <c r="C2442" t="s">
        <v>9950</v>
      </c>
      <c r="D2442">
        <v>2</v>
      </c>
      <c r="E2442" t="s">
        <v>2799</v>
      </c>
      <c r="G2442" s="3"/>
      <c r="H2442" s="21">
        <v>0</v>
      </c>
      <c r="I2442" s="21">
        <v>0</v>
      </c>
      <c r="J2442" s="21">
        <v>0</v>
      </c>
      <c r="K2442" s="21">
        <v>0</v>
      </c>
      <c r="L2442" s="3">
        <f t="shared" si="112"/>
        <v>0</v>
      </c>
      <c r="M2442" s="3"/>
      <c r="N2442" s="3">
        <f t="shared" ref="N2442:N2505" si="113">L2442+G2442</f>
        <v>0</v>
      </c>
      <c r="R2442" s="89"/>
      <c r="S2442" s="89">
        <f>100%-Table34[[#This Row],[PDF_initial fee]]</f>
        <v>1</v>
      </c>
      <c r="T2442" s="89"/>
      <c r="U2442" s="26"/>
    </row>
    <row r="2443" spans="1:21" hidden="1" x14ac:dyDescent="0.25">
      <c r="A2443">
        <v>513178</v>
      </c>
      <c r="B2443" t="s">
        <v>2800</v>
      </c>
      <c r="C2443" t="s">
        <v>9312</v>
      </c>
      <c r="D2443">
        <v>4</v>
      </c>
      <c r="E2443" t="s">
        <v>2800</v>
      </c>
      <c r="G2443" s="3"/>
      <c r="H2443" s="21">
        <v>0</v>
      </c>
      <c r="I2443" s="21">
        <v>0</v>
      </c>
      <c r="J2443" s="21">
        <v>0</v>
      </c>
      <c r="K2443" s="21">
        <v>0</v>
      </c>
      <c r="L2443" s="3">
        <f t="shared" si="112"/>
        <v>0</v>
      </c>
      <c r="M2443" s="3"/>
      <c r="N2443" s="3">
        <f t="shared" si="113"/>
        <v>0</v>
      </c>
      <c r="R2443" s="89"/>
      <c r="S2443" s="89">
        <f>100%-Table34[[#This Row],[PDF_initial fee]]</f>
        <v>1</v>
      </c>
      <c r="T2443" s="89"/>
      <c r="U2443" s="26"/>
    </row>
    <row r="2444" spans="1:21" hidden="1" x14ac:dyDescent="0.25">
      <c r="A2444">
        <v>513210</v>
      </c>
      <c r="B2444" t="s">
        <v>2801</v>
      </c>
      <c r="C2444" t="s">
        <v>10166</v>
      </c>
      <c r="D2444">
        <v>3</v>
      </c>
      <c r="E2444" t="s">
        <v>2801</v>
      </c>
      <c r="G2444" s="3"/>
      <c r="H2444" s="21">
        <v>0</v>
      </c>
      <c r="I2444" s="21">
        <v>0</v>
      </c>
      <c r="J2444" s="21">
        <v>0</v>
      </c>
      <c r="K2444" s="21">
        <v>0</v>
      </c>
      <c r="L2444" s="3">
        <f t="shared" si="112"/>
        <v>0</v>
      </c>
      <c r="M2444" s="3"/>
      <c r="N2444" s="3">
        <f t="shared" si="113"/>
        <v>0</v>
      </c>
      <c r="R2444" s="89"/>
      <c r="S2444" s="89">
        <f>100%-Table34[[#This Row],[PDF_initial fee]]</f>
        <v>1</v>
      </c>
      <c r="T2444" s="89"/>
      <c r="U2444" s="26"/>
    </row>
    <row r="2445" spans="1:21" hidden="1" x14ac:dyDescent="0.25">
      <c r="A2445">
        <v>513246</v>
      </c>
      <c r="B2445" t="s">
        <v>2802</v>
      </c>
      <c r="C2445" t="s">
        <v>30272</v>
      </c>
      <c r="D2445">
        <v>22</v>
      </c>
      <c r="E2445" t="s">
        <v>2802</v>
      </c>
      <c r="G2445" s="3"/>
      <c r="H2445" s="21">
        <v>0</v>
      </c>
      <c r="I2445" s="21">
        <v>0</v>
      </c>
      <c r="J2445" s="21">
        <v>0</v>
      </c>
      <c r="K2445" s="21">
        <v>0</v>
      </c>
      <c r="L2445" s="3">
        <f t="shared" si="112"/>
        <v>0</v>
      </c>
      <c r="M2445" s="3"/>
      <c r="N2445" s="3">
        <f t="shared" si="113"/>
        <v>0</v>
      </c>
      <c r="O2445" s="21"/>
      <c r="R2445" s="89"/>
      <c r="S2445" s="89">
        <f>100%-Table34[[#This Row],[PDF_initial fee]]</f>
        <v>1</v>
      </c>
      <c r="T2445" s="89"/>
      <c r="U2445" s="26"/>
    </row>
    <row r="2446" spans="1:21" hidden="1" x14ac:dyDescent="0.25">
      <c r="A2446">
        <v>513250</v>
      </c>
      <c r="B2446" t="s">
        <v>2803</v>
      </c>
      <c r="C2446" t="s">
        <v>6958</v>
      </c>
      <c r="D2446">
        <v>2</v>
      </c>
      <c r="E2446" t="s">
        <v>2803</v>
      </c>
      <c r="F2446" t="s">
        <v>6958</v>
      </c>
      <c r="G2446" s="3"/>
      <c r="H2446" s="21">
        <v>0</v>
      </c>
      <c r="I2446" s="21">
        <v>0</v>
      </c>
      <c r="J2446" s="21">
        <v>0</v>
      </c>
      <c r="K2446" s="21">
        <v>0</v>
      </c>
      <c r="L2446" s="3">
        <f t="shared" si="112"/>
        <v>0</v>
      </c>
      <c r="M2446" s="3"/>
      <c r="N2446" s="3">
        <f t="shared" si="113"/>
        <v>0</v>
      </c>
      <c r="R2446" s="89"/>
      <c r="S2446" s="89">
        <f>100%-Table34[[#This Row],[PDF_initial fee]]</f>
        <v>1</v>
      </c>
      <c r="T2446" s="89"/>
      <c r="U2446" s="26"/>
    </row>
    <row r="2447" spans="1:21" hidden="1" x14ac:dyDescent="0.25">
      <c r="A2447">
        <v>513289</v>
      </c>
      <c r="B2447" t="s">
        <v>2804</v>
      </c>
      <c r="C2447" t="s">
        <v>30273</v>
      </c>
      <c r="D2447">
        <v>18</v>
      </c>
      <c r="E2447" t="s">
        <v>2804</v>
      </c>
      <c r="F2447" t="s">
        <v>3</v>
      </c>
      <c r="G2447" s="3"/>
      <c r="H2447" s="3">
        <v>0</v>
      </c>
      <c r="I2447" s="3">
        <v>0</v>
      </c>
      <c r="J2447" s="3">
        <v>0</v>
      </c>
      <c r="K2447" s="3">
        <v>0</v>
      </c>
      <c r="L2447" s="3">
        <f t="shared" si="112"/>
        <v>0</v>
      </c>
      <c r="M2447" s="3"/>
      <c r="N2447" s="3">
        <f t="shared" si="113"/>
        <v>0</v>
      </c>
      <c r="R2447" s="89"/>
      <c r="S2447" s="89">
        <f>100%-Table34[[#This Row],[PDF_initial fee]]</f>
        <v>1</v>
      </c>
      <c r="T2447" s="89"/>
      <c r="U2447" s="26"/>
    </row>
    <row r="2448" spans="1:21" hidden="1" x14ac:dyDescent="0.25">
      <c r="A2448">
        <v>513562</v>
      </c>
      <c r="B2448" t="s">
        <v>2805</v>
      </c>
      <c r="C2448" s="1" t="s">
        <v>30274</v>
      </c>
      <c r="D2448">
        <v>1</v>
      </c>
      <c r="E2448" t="s">
        <v>2805</v>
      </c>
      <c r="G2448" s="3"/>
      <c r="H2448" s="3">
        <v>0</v>
      </c>
      <c r="I2448" s="3">
        <v>0</v>
      </c>
      <c r="J2448" s="3">
        <v>0</v>
      </c>
      <c r="K2448" s="3">
        <v>0</v>
      </c>
      <c r="L2448" s="3">
        <f t="shared" si="112"/>
        <v>0</v>
      </c>
      <c r="M2448" s="3"/>
      <c r="N2448" s="3">
        <f t="shared" si="113"/>
        <v>0</v>
      </c>
      <c r="R2448" s="89"/>
      <c r="S2448" s="89">
        <f>100%-Table34[[#This Row],[PDF_initial fee]]</f>
        <v>1</v>
      </c>
      <c r="T2448" s="89"/>
      <c r="U2448" s="26"/>
    </row>
    <row r="2449" spans="1:27" hidden="1" x14ac:dyDescent="0.25">
      <c r="A2449">
        <v>513637</v>
      </c>
      <c r="B2449" t="s">
        <v>2806</v>
      </c>
      <c r="C2449" t="s">
        <v>12245</v>
      </c>
      <c r="D2449">
        <v>1</v>
      </c>
      <c r="E2449" t="s">
        <v>2806</v>
      </c>
      <c r="G2449" s="3"/>
      <c r="H2449" s="21">
        <v>0</v>
      </c>
      <c r="I2449" s="21">
        <v>0</v>
      </c>
      <c r="J2449" s="21">
        <v>0</v>
      </c>
      <c r="K2449" s="21">
        <v>0</v>
      </c>
      <c r="L2449" s="3">
        <f t="shared" si="112"/>
        <v>0</v>
      </c>
      <c r="M2449" s="3"/>
      <c r="N2449" s="3">
        <f t="shared" si="113"/>
        <v>0</v>
      </c>
      <c r="R2449" s="89"/>
      <c r="S2449" s="89">
        <f>100%-Table34[[#This Row],[PDF_initial fee]]</f>
        <v>1</v>
      </c>
      <c r="T2449" s="89"/>
      <c r="U2449" s="26"/>
    </row>
    <row r="2450" spans="1:27" hidden="1" x14ac:dyDescent="0.25">
      <c r="A2450">
        <v>513644</v>
      </c>
      <c r="B2450" t="s">
        <v>2807</v>
      </c>
      <c r="C2450" t="s">
        <v>9702</v>
      </c>
      <c r="D2450">
        <v>1</v>
      </c>
      <c r="E2450" t="s">
        <v>2807</v>
      </c>
      <c r="G2450" s="3"/>
      <c r="H2450" s="21">
        <v>0</v>
      </c>
      <c r="I2450" s="21">
        <v>0</v>
      </c>
      <c r="J2450" s="21">
        <v>0</v>
      </c>
      <c r="K2450" s="21">
        <v>0</v>
      </c>
      <c r="L2450" s="3">
        <f t="shared" si="112"/>
        <v>0</v>
      </c>
      <c r="M2450" s="3"/>
      <c r="N2450" s="3">
        <f t="shared" si="113"/>
        <v>0</v>
      </c>
      <c r="R2450" s="89"/>
      <c r="S2450" s="89">
        <f>100%-Table34[[#This Row],[PDF_initial fee]]</f>
        <v>1</v>
      </c>
      <c r="T2450" s="89"/>
      <c r="U2450" s="26"/>
    </row>
    <row r="2451" spans="1:27" x14ac:dyDescent="0.25">
      <c r="A2451">
        <v>192999</v>
      </c>
      <c r="B2451" t="s">
        <v>103</v>
      </c>
      <c r="C2451" t="s">
        <v>30275</v>
      </c>
      <c r="D2451">
        <v>34</v>
      </c>
      <c r="E2451" t="s">
        <v>103</v>
      </c>
      <c r="F2451" t="s">
        <v>3</v>
      </c>
      <c r="G2451" s="3">
        <v>1.4E-3</v>
      </c>
      <c r="H2451" s="6">
        <v>0.01</v>
      </c>
      <c r="I2451" s="6">
        <v>7.0000000000000001E-3</v>
      </c>
      <c r="J2451" s="6">
        <v>0</v>
      </c>
      <c r="K2451" s="6">
        <v>0</v>
      </c>
      <c r="L2451" s="3">
        <f t="shared" si="112"/>
        <v>1.7000000000000001E-2</v>
      </c>
      <c r="M2451" s="3"/>
      <c r="N2451" s="3">
        <f t="shared" si="113"/>
        <v>1.84E-2</v>
      </c>
      <c r="P2451" s="1" t="s">
        <v>30268</v>
      </c>
      <c r="Q2451" t="s">
        <v>31787</v>
      </c>
      <c r="R2451" s="89">
        <v>0.33333333333333348</v>
      </c>
      <c r="S2451" s="89">
        <f>100%-Table34[[#This Row],[InitialFee]]</f>
        <v>0.99</v>
      </c>
      <c r="T2451" s="89">
        <f>(1-Table34[[#This Row],[OngoingFee (plus Platform fee)]])^5</f>
        <v>0.96548658198819293</v>
      </c>
      <c r="U2451" s="26">
        <f>(1+Table34[[#This Row],[Net 5yrs return (mostly up to 28th of Feb 2026)]])*Table34[[#This Row],[Investment after initial charge]]*Table34[[#This Row],[Cummulative 5yrs ongoing advice charge]]-1</f>
        <v>0.27444228822441463</v>
      </c>
      <c r="V2451" s="9">
        <v>771625</v>
      </c>
      <c r="W2451" t="s">
        <v>29051</v>
      </c>
      <c r="X2451" s="10">
        <v>759247</v>
      </c>
      <c r="Y2451" s="30">
        <f>X2451/V2451</f>
        <v>0.98395852907824399</v>
      </c>
      <c r="AA2451" s="1" t="s">
        <v>30276</v>
      </c>
    </row>
    <row r="2452" spans="1:27" hidden="1" x14ac:dyDescent="0.25">
      <c r="A2452">
        <v>513667</v>
      </c>
      <c r="B2452" t="s">
        <v>2808</v>
      </c>
      <c r="C2452" t="s">
        <v>30277</v>
      </c>
      <c r="D2452">
        <v>7</v>
      </c>
      <c r="E2452" t="s">
        <v>2808</v>
      </c>
      <c r="G2452" s="3"/>
      <c r="H2452" s="3">
        <v>0</v>
      </c>
      <c r="I2452" s="3">
        <v>0</v>
      </c>
      <c r="J2452" s="3">
        <v>0</v>
      </c>
      <c r="K2452" s="3">
        <v>0</v>
      </c>
      <c r="L2452" s="3">
        <f t="shared" si="112"/>
        <v>0</v>
      </c>
      <c r="M2452" s="3"/>
      <c r="N2452" s="3">
        <f t="shared" si="113"/>
        <v>0</v>
      </c>
      <c r="R2452" s="89"/>
      <c r="S2452" s="89">
        <f>100%-Table34[[#This Row],[PDF_initial fee]]</f>
        <v>1</v>
      </c>
      <c r="T2452" s="89"/>
      <c r="U2452" s="26"/>
    </row>
    <row r="2453" spans="1:27" hidden="1" x14ac:dyDescent="0.25">
      <c r="A2453">
        <v>513673</v>
      </c>
      <c r="B2453" t="s">
        <v>2809</v>
      </c>
      <c r="C2453" t="s">
        <v>6997</v>
      </c>
      <c r="D2453">
        <v>2</v>
      </c>
      <c r="E2453" t="s">
        <v>2809</v>
      </c>
      <c r="G2453" s="3"/>
      <c r="H2453" s="21">
        <v>0</v>
      </c>
      <c r="I2453" s="21">
        <v>0</v>
      </c>
      <c r="J2453" s="21">
        <v>0</v>
      </c>
      <c r="K2453" s="21">
        <v>0</v>
      </c>
      <c r="L2453" s="3">
        <f t="shared" si="112"/>
        <v>0</v>
      </c>
      <c r="M2453" s="3"/>
      <c r="N2453" s="3">
        <f t="shared" si="113"/>
        <v>0</v>
      </c>
      <c r="R2453" s="89"/>
      <c r="S2453" s="89">
        <f>100%-Table34[[#This Row],[PDF_initial fee]]</f>
        <v>1</v>
      </c>
      <c r="T2453" s="89"/>
      <c r="U2453" s="26"/>
    </row>
    <row r="2454" spans="1:27" hidden="1" x14ac:dyDescent="0.25">
      <c r="A2454">
        <v>513803</v>
      </c>
      <c r="B2454" t="s">
        <v>2810</v>
      </c>
      <c r="C2454" t="s">
        <v>11470</v>
      </c>
      <c r="D2454">
        <v>3</v>
      </c>
      <c r="E2454" t="s">
        <v>2810</v>
      </c>
      <c r="G2454" s="3"/>
      <c r="L2454" s="3">
        <f t="shared" si="112"/>
        <v>0</v>
      </c>
      <c r="M2454" s="3"/>
      <c r="N2454" s="3">
        <f t="shared" si="113"/>
        <v>0</v>
      </c>
      <c r="R2454" s="89"/>
      <c r="S2454" s="89">
        <f>100%-Table34[[#This Row],[PDF_initial fee]]</f>
        <v>1</v>
      </c>
      <c r="T2454" s="89"/>
      <c r="U2454" s="26"/>
    </row>
    <row r="2455" spans="1:27" hidden="1" x14ac:dyDescent="0.25">
      <c r="A2455">
        <v>513993</v>
      </c>
      <c r="B2455" t="s">
        <v>2811</v>
      </c>
      <c r="C2455" t="s">
        <v>6958</v>
      </c>
      <c r="D2455">
        <v>3</v>
      </c>
      <c r="E2455" t="s">
        <v>2811</v>
      </c>
      <c r="F2455" t="s">
        <v>6958</v>
      </c>
      <c r="G2455" s="3"/>
      <c r="H2455" s="21">
        <v>0</v>
      </c>
      <c r="I2455" s="21">
        <v>0</v>
      </c>
      <c r="J2455" s="21">
        <v>0</v>
      </c>
      <c r="K2455" s="21">
        <v>0</v>
      </c>
      <c r="L2455" s="3">
        <f t="shared" si="112"/>
        <v>0</v>
      </c>
      <c r="M2455" s="3"/>
      <c r="N2455" s="3">
        <f t="shared" si="113"/>
        <v>0</v>
      </c>
      <c r="R2455" s="89"/>
      <c r="S2455" s="89">
        <f>100%-Table34[[#This Row],[PDF_initial fee]]</f>
        <v>1</v>
      </c>
      <c r="T2455" s="89"/>
      <c r="U2455" s="26"/>
    </row>
    <row r="2456" spans="1:27" hidden="1" x14ac:dyDescent="0.25">
      <c r="A2456">
        <v>514128</v>
      </c>
      <c r="B2456" t="s">
        <v>2812</v>
      </c>
      <c r="C2456" t="s">
        <v>6958</v>
      </c>
      <c r="D2456">
        <v>2</v>
      </c>
      <c r="E2456" t="s">
        <v>2812</v>
      </c>
      <c r="F2456" t="s">
        <v>6958</v>
      </c>
      <c r="G2456" s="3"/>
      <c r="H2456" s="21">
        <v>0</v>
      </c>
      <c r="I2456" s="21">
        <v>0</v>
      </c>
      <c r="J2456" s="21">
        <v>0</v>
      </c>
      <c r="K2456" s="21">
        <v>0</v>
      </c>
      <c r="L2456" s="3">
        <f t="shared" si="112"/>
        <v>0</v>
      </c>
      <c r="M2456" s="3"/>
      <c r="N2456" s="3">
        <f t="shared" si="113"/>
        <v>0</v>
      </c>
      <c r="R2456" s="89"/>
      <c r="S2456" s="89">
        <f>100%-Table34[[#This Row],[PDF_initial fee]]</f>
        <v>1</v>
      </c>
      <c r="T2456" s="89"/>
      <c r="U2456" s="26"/>
    </row>
    <row r="2457" spans="1:27" hidden="1" x14ac:dyDescent="0.25">
      <c r="A2457">
        <v>514205</v>
      </c>
      <c r="B2457" t="s">
        <v>2813</v>
      </c>
      <c r="C2457" t="s">
        <v>6958</v>
      </c>
      <c r="D2457">
        <v>0</v>
      </c>
      <c r="E2457" t="s">
        <v>2813</v>
      </c>
      <c r="F2457" t="s">
        <v>6958</v>
      </c>
      <c r="G2457" s="3"/>
      <c r="H2457" s="21">
        <v>0</v>
      </c>
      <c r="I2457" s="21">
        <v>0</v>
      </c>
      <c r="J2457" s="21">
        <v>0</v>
      </c>
      <c r="K2457" s="21">
        <v>0</v>
      </c>
      <c r="L2457" s="3">
        <f t="shared" si="112"/>
        <v>0</v>
      </c>
      <c r="M2457" s="3"/>
      <c r="N2457" s="3">
        <f t="shared" si="113"/>
        <v>0</v>
      </c>
      <c r="R2457" s="89"/>
      <c r="S2457" s="89">
        <f>100%-Table34[[#This Row],[PDF_initial fee]]</f>
        <v>1</v>
      </c>
      <c r="T2457" s="89"/>
      <c r="U2457" s="26"/>
    </row>
    <row r="2458" spans="1:27" hidden="1" x14ac:dyDescent="0.25">
      <c r="A2458">
        <v>514224</v>
      </c>
      <c r="B2458" t="s">
        <v>2814</v>
      </c>
      <c r="C2458" t="s">
        <v>7603</v>
      </c>
      <c r="D2458">
        <v>8</v>
      </c>
      <c r="E2458" t="s">
        <v>2814</v>
      </c>
      <c r="G2458" s="3"/>
      <c r="H2458" s="21">
        <v>0</v>
      </c>
      <c r="I2458" s="21">
        <v>0</v>
      </c>
      <c r="J2458" s="21">
        <v>0</v>
      </c>
      <c r="K2458" s="21">
        <v>0</v>
      </c>
      <c r="L2458" s="3">
        <f t="shared" si="112"/>
        <v>0</v>
      </c>
      <c r="M2458" s="3"/>
      <c r="N2458" s="3">
        <f t="shared" si="113"/>
        <v>0</v>
      </c>
      <c r="R2458" s="89"/>
      <c r="S2458" s="89">
        <f>100%-Table34[[#This Row],[PDF_initial fee]]</f>
        <v>1</v>
      </c>
      <c r="T2458" s="89"/>
      <c r="U2458" s="26"/>
    </row>
    <row r="2459" spans="1:27" hidden="1" x14ac:dyDescent="0.25">
      <c r="A2459">
        <v>514240</v>
      </c>
      <c r="B2459" t="s">
        <v>2815</v>
      </c>
      <c r="C2459" t="s">
        <v>6958</v>
      </c>
      <c r="D2459">
        <v>1</v>
      </c>
      <c r="E2459" t="s">
        <v>2815</v>
      </c>
      <c r="F2459" t="s">
        <v>6958</v>
      </c>
      <c r="G2459" s="3"/>
      <c r="H2459" s="21">
        <v>0</v>
      </c>
      <c r="I2459" s="21">
        <v>0</v>
      </c>
      <c r="J2459" s="21">
        <v>0</v>
      </c>
      <c r="K2459" s="21">
        <v>0</v>
      </c>
      <c r="L2459" s="3">
        <f t="shared" si="112"/>
        <v>0</v>
      </c>
      <c r="M2459" s="3"/>
      <c r="N2459" s="3">
        <f t="shared" si="113"/>
        <v>0</v>
      </c>
      <c r="R2459" s="89"/>
      <c r="S2459" s="89">
        <f>100%-Table34[[#This Row],[PDF_initial fee]]</f>
        <v>1</v>
      </c>
      <c r="T2459" s="89"/>
      <c r="U2459" s="26"/>
    </row>
    <row r="2460" spans="1:27" hidden="1" x14ac:dyDescent="0.25">
      <c r="A2460">
        <v>514264</v>
      </c>
      <c r="B2460" t="s">
        <v>2816</v>
      </c>
      <c r="C2460" t="s">
        <v>30278</v>
      </c>
      <c r="D2460">
        <v>1</v>
      </c>
      <c r="E2460" t="s">
        <v>2816</v>
      </c>
      <c r="G2460" s="3"/>
      <c r="H2460" s="21">
        <v>0</v>
      </c>
      <c r="I2460" s="21">
        <v>0</v>
      </c>
      <c r="J2460" s="21">
        <v>0</v>
      </c>
      <c r="K2460" s="21">
        <v>0</v>
      </c>
      <c r="L2460" s="3">
        <f t="shared" si="112"/>
        <v>0</v>
      </c>
      <c r="M2460" s="3"/>
      <c r="N2460" s="3">
        <f t="shared" si="113"/>
        <v>0</v>
      </c>
      <c r="O2460" s="21"/>
      <c r="R2460" s="89"/>
      <c r="S2460" s="89">
        <f>100%-Table34[[#This Row],[PDF_initial fee]]</f>
        <v>1</v>
      </c>
      <c r="T2460" s="89"/>
      <c r="U2460" s="26"/>
    </row>
    <row r="2461" spans="1:27" hidden="1" x14ac:dyDescent="0.25">
      <c r="A2461">
        <v>514290</v>
      </c>
      <c r="B2461" t="s">
        <v>2817</v>
      </c>
      <c r="C2461" t="s">
        <v>30279</v>
      </c>
      <c r="D2461">
        <v>1</v>
      </c>
      <c r="E2461" t="s">
        <v>2817</v>
      </c>
      <c r="G2461" s="3"/>
      <c r="L2461" s="3">
        <f t="shared" si="112"/>
        <v>0</v>
      </c>
      <c r="M2461" s="3"/>
      <c r="N2461" s="3">
        <f t="shared" si="113"/>
        <v>0</v>
      </c>
      <c r="R2461" s="89"/>
      <c r="S2461" s="89">
        <f>100%-Table34[[#This Row],[PDF_initial fee]]</f>
        <v>1</v>
      </c>
      <c r="T2461" s="89"/>
      <c r="U2461" s="26"/>
    </row>
    <row r="2462" spans="1:27" hidden="1" x14ac:dyDescent="0.25">
      <c r="A2462">
        <v>514308</v>
      </c>
      <c r="B2462" t="s">
        <v>2818</v>
      </c>
      <c r="C2462" t="s">
        <v>8546</v>
      </c>
      <c r="D2462">
        <v>2</v>
      </c>
      <c r="E2462" t="s">
        <v>2818</v>
      </c>
      <c r="G2462" s="3"/>
      <c r="H2462" s="21">
        <v>0</v>
      </c>
      <c r="I2462" s="21">
        <v>0</v>
      </c>
      <c r="J2462" s="21">
        <v>0</v>
      </c>
      <c r="K2462" s="21">
        <v>0</v>
      </c>
      <c r="L2462" s="3">
        <f t="shared" si="112"/>
        <v>0</v>
      </c>
      <c r="M2462" s="3"/>
      <c r="N2462" s="3">
        <f t="shared" si="113"/>
        <v>0</v>
      </c>
      <c r="R2462" s="89"/>
      <c r="S2462" s="89">
        <f>100%-Table34[[#This Row],[PDF_initial fee]]</f>
        <v>1</v>
      </c>
      <c r="T2462" s="89"/>
      <c r="U2462" s="26"/>
    </row>
    <row r="2463" spans="1:27" hidden="1" x14ac:dyDescent="0.25">
      <c r="A2463">
        <v>514387</v>
      </c>
      <c r="B2463" t="s">
        <v>2819</v>
      </c>
      <c r="C2463" t="s">
        <v>7483</v>
      </c>
      <c r="D2463">
        <v>2</v>
      </c>
      <c r="E2463" t="s">
        <v>2819</v>
      </c>
      <c r="G2463" s="3"/>
      <c r="H2463" s="21">
        <v>0</v>
      </c>
      <c r="I2463" s="21">
        <v>0</v>
      </c>
      <c r="J2463" s="21">
        <v>0</v>
      </c>
      <c r="K2463" s="21">
        <v>0</v>
      </c>
      <c r="L2463" s="3">
        <f t="shared" si="112"/>
        <v>0</v>
      </c>
      <c r="M2463" s="3"/>
      <c r="N2463" s="3">
        <f t="shared" si="113"/>
        <v>0</v>
      </c>
      <c r="R2463" s="89"/>
      <c r="S2463" s="89">
        <f>100%-Table34[[#This Row],[PDF_initial fee]]</f>
        <v>1</v>
      </c>
      <c r="T2463" s="89"/>
      <c r="U2463" s="26"/>
    </row>
    <row r="2464" spans="1:27" hidden="1" x14ac:dyDescent="0.25">
      <c r="A2464">
        <v>514394</v>
      </c>
      <c r="B2464" t="s">
        <v>2820</v>
      </c>
      <c r="C2464" t="s">
        <v>30280</v>
      </c>
      <c r="D2464">
        <v>0</v>
      </c>
      <c r="E2464" t="s">
        <v>2820</v>
      </c>
      <c r="F2464" t="s">
        <v>29136</v>
      </c>
      <c r="G2464" s="3"/>
      <c r="H2464" s="21">
        <v>0</v>
      </c>
      <c r="I2464" s="21">
        <v>0</v>
      </c>
      <c r="J2464" s="21">
        <v>0</v>
      </c>
      <c r="K2464" s="21">
        <v>0</v>
      </c>
      <c r="L2464" s="3">
        <f t="shared" si="112"/>
        <v>0</v>
      </c>
      <c r="M2464" s="3"/>
      <c r="N2464" s="3">
        <f t="shared" si="113"/>
        <v>0</v>
      </c>
      <c r="O2464" s="21"/>
      <c r="R2464" s="89"/>
      <c r="S2464" s="89">
        <f>100%-Table34[[#This Row],[PDF_initial fee]]</f>
        <v>1</v>
      </c>
      <c r="T2464" s="89"/>
      <c r="U2464" s="26"/>
    </row>
    <row r="2465" spans="1:27" hidden="1" x14ac:dyDescent="0.25">
      <c r="A2465">
        <v>514480</v>
      </c>
      <c r="B2465" t="s">
        <v>2821</v>
      </c>
      <c r="C2465" t="s">
        <v>10936</v>
      </c>
      <c r="D2465">
        <v>7</v>
      </c>
      <c r="E2465" t="s">
        <v>2821</v>
      </c>
      <c r="G2465" s="3"/>
      <c r="H2465" s="21">
        <v>0</v>
      </c>
      <c r="I2465" s="21">
        <v>0</v>
      </c>
      <c r="J2465" s="21">
        <v>0</v>
      </c>
      <c r="K2465" s="21">
        <v>0</v>
      </c>
      <c r="L2465" s="3">
        <f t="shared" si="112"/>
        <v>0</v>
      </c>
      <c r="M2465" s="3"/>
      <c r="N2465" s="3">
        <f t="shared" si="113"/>
        <v>0</v>
      </c>
      <c r="R2465" s="89"/>
      <c r="S2465" s="89">
        <f>100%-Table34[[#This Row],[PDF_initial fee]]</f>
        <v>1</v>
      </c>
      <c r="T2465" s="89"/>
      <c r="U2465" s="26"/>
    </row>
    <row r="2466" spans="1:27" hidden="1" x14ac:dyDescent="0.25">
      <c r="A2466">
        <v>514493</v>
      </c>
      <c r="B2466" t="s">
        <v>2822</v>
      </c>
      <c r="C2466" t="s">
        <v>8019</v>
      </c>
      <c r="D2466">
        <v>12</v>
      </c>
      <c r="E2466" t="s">
        <v>2822</v>
      </c>
      <c r="G2466" s="3"/>
      <c r="L2466" s="3">
        <f t="shared" si="112"/>
        <v>0</v>
      </c>
      <c r="M2466" s="3"/>
      <c r="N2466" s="3">
        <f t="shared" si="113"/>
        <v>0</v>
      </c>
      <c r="R2466" s="89"/>
      <c r="S2466" s="89">
        <f>100%-Table34[[#This Row],[PDF_initial fee]]</f>
        <v>1</v>
      </c>
      <c r="T2466" s="89"/>
      <c r="U2466" s="26"/>
    </row>
    <row r="2467" spans="1:27" hidden="1" x14ac:dyDescent="0.25">
      <c r="A2467">
        <v>514546</v>
      </c>
      <c r="B2467" t="s">
        <v>2823</v>
      </c>
      <c r="C2467" t="s">
        <v>30281</v>
      </c>
      <c r="D2467">
        <v>1</v>
      </c>
      <c r="E2467" t="s">
        <v>2823</v>
      </c>
      <c r="G2467" s="3"/>
      <c r="H2467" s="21">
        <v>0</v>
      </c>
      <c r="I2467" s="21">
        <v>0</v>
      </c>
      <c r="J2467" s="21">
        <v>0</v>
      </c>
      <c r="K2467" s="21">
        <v>0</v>
      </c>
      <c r="L2467" s="3">
        <f t="shared" si="112"/>
        <v>0</v>
      </c>
      <c r="M2467" s="3"/>
      <c r="N2467" s="3">
        <f t="shared" si="113"/>
        <v>0</v>
      </c>
      <c r="O2467" s="21"/>
      <c r="R2467" s="89"/>
      <c r="S2467" s="89">
        <f>100%-Table34[[#This Row],[PDF_initial fee]]</f>
        <v>1</v>
      </c>
      <c r="T2467" s="89"/>
      <c r="U2467" s="26"/>
    </row>
    <row r="2468" spans="1:27" hidden="1" x14ac:dyDescent="0.25">
      <c r="A2468" s="69">
        <v>514624</v>
      </c>
      <c r="B2468" s="69" t="s">
        <v>2824</v>
      </c>
      <c r="C2468" s="69" t="s">
        <v>8830</v>
      </c>
      <c r="D2468">
        <v>3</v>
      </c>
      <c r="E2468" t="s">
        <v>2824</v>
      </c>
      <c r="G2468" s="3"/>
      <c r="H2468" s="70">
        <v>0</v>
      </c>
      <c r="I2468" s="70">
        <v>0</v>
      </c>
      <c r="J2468" s="70">
        <v>0</v>
      </c>
      <c r="K2468" s="70">
        <v>0</v>
      </c>
      <c r="L2468" s="3">
        <f t="shared" si="112"/>
        <v>0</v>
      </c>
      <c r="M2468" s="3"/>
      <c r="N2468" s="3">
        <f t="shared" si="113"/>
        <v>0</v>
      </c>
      <c r="O2468" s="69"/>
      <c r="P2468" s="69"/>
      <c r="R2468" s="89"/>
      <c r="S2468" s="89">
        <f>100%-Table34[[#This Row],[PDF_initial fee]]</f>
        <v>1</v>
      </c>
      <c r="T2468" s="89"/>
      <c r="U2468" s="26"/>
      <c r="V2468" s="69"/>
    </row>
    <row r="2469" spans="1:27" hidden="1" x14ac:dyDescent="0.25">
      <c r="A2469">
        <v>514680</v>
      </c>
      <c r="B2469" t="s">
        <v>2825</v>
      </c>
      <c r="C2469" t="s">
        <v>30282</v>
      </c>
      <c r="D2469">
        <v>10</v>
      </c>
      <c r="E2469" t="s">
        <v>2825</v>
      </c>
      <c r="G2469" s="3"/>
      <c r="L2469" s="3">
        <f t="shared" si="112"/>
        <v>0</v>
      </c>
      <c r="M2469" s="3"/>
      <c r="N2469" s="3">
        <f t="shared" si="113"/>
        <v>0</v>
      </c>
      <c r="R2469" s="89"/>
      <c r="S2469" s="89">
        <f>100%-Table34[[#This Row],[PDF_initial fee]]</f>
        <v>1</v>
      </c>
      <c r="T2469" s="89"/>
      <c r="U2469" s="26"/>
    </row>
    <row r="2470" spans="1:27" hidden="1" x14ac:dyDescent="0.25">
      <c r="A2470">
        <v>514725</v>
      </c>
      <c r="B2470" t="s">
        <v>2826</v>
      </c>
      <c r="C2470" t="s">
        <v>30283</v>
      </c>
      <c r="D2470">
        <v>0</v>
      </c>
      <c r="E2470" t="s">
        <v>2826</v>
      </c>
      <c r="F2470" t="s">
        <v>29136</v>
      </c>
      <c r="G2470" s="3"/>
      <c r="H2470" s="21">
        <v>0</v>
      </c>
      <c r="I2470" s="21">
        <v>0</v>
      </c>
      <c r="J2470" s="21">
        <v>0</v>
      </c>
      <c r="K2470" s="21">
        <v>0</v>
      </c>
      <c r="L2470" s="3">
        <f t="shared" si="112"/>
        <v>0</v>
      </c>
      <c r="M2470" s="3"/>
      <c r="N2470" s="3">
        <f t="shared" si="113"/>
        <v>0</v>
      </c>
      <c r="O2470" s="21"/>
      <c r="R2470" s="89"/>
      <c r="S2470" s="89">
        <f>100%-Table34[[#This Row],[PDF_initial fee]]</f>
        <v>1</v>
      </c>
      <c r="T2470" s="89"/>
      <c r="U2470" s="26"/>
    </row>
    <row r="2471" spans="1:27" hidden="1" x14ac:dyDescent="0.25">
      <c r="A2471">
        <v>514731</v>
      </c>
      <c r="B2471" t="s">
        <v>2827</v>
      </c>
      <c r="C2471" t="s">
        <v>30284</v>
      </c>
      <c r="D2471">
        <v>1</v>
      </c>
      <c r="E2471" t="s">
        <v>2827</v>
      </c>
      <c r="G2471" s="3"/>
      <c r="H2471" s="3">
        <v>0</v>
      </c>
      <c r="I2471" s="3">
        <v>0</v>
      </c>
      <c r="J2471" s="3">
        <v>0</v>
      </c>
      <c r="K2471" s="3">
        <v>0</v>
      </c>
      <c r="L2471" s="3">
        <f t="shared" si="112"/>
        <v>0</v>
      </c>
      <c r="M2471" s="3"/>
      <c r="N2471" s="3">
        <f t="shared" si="113"/>
        <v>0</v>
      </c>
      <c r="R2471" s="89"/>
      <c r="S2471" s="89">
        <f>100%-Table34[[#This Row],[PDF_initial fee]]</f>
        <v>1</v>
      </c>
      <c r="T2471" s="89"/>
      <c r="U2471" s="26"/>
    </row>
    <row r="2472" spans="1:27" hidden="1" x14ac:dyDescent="0.25">
      <c r="A2472">
        <v>514817</v>
      </c>
      <c r="B2472" t="s">
        <v>2828</v>
      </c>
      <c r="C2472" t="s">
        <v>30285</v>
      </c>
      <c r="D2472">
        <v>1</v>
      </c>
      <c r="E2472" t="s">
        <v>2828</v>
      </c>
      <c r="G2472" s="3"/>
      <c r="H2472" s="3">
        <v>0</v>
      </c>
      <c r="I2472" s="3">
        <v>0</v>
      </c>
      <c r="J2472" s="3">
        <v>0</v>
      </c>
      <c r="K2472" s="3">
        <v>0</v>
      </c>
      <c r="L2472" s="3">
        <f t="shared" si="112"/>
        <v>0</v>
      </c>
      <c r="M2472" s="3"/>
      <c r="N2472" s="3">
        <f t="shared" si="113"/>
        <v>0</v>
      </c>
      <c r="R2472" s="89"/>
      <c r="S2472" s="89">
        <f>100%-Table34[[#This Row],[PDF_initial fee]]</f>
        <v>1</v>
      </c>
      <c r="T2472" s="89"/>
      <c r="U2472" s="26"/>
    </row>
    <row r="2473" spans="1:27" hidden="1" x14ac:dyDescent="0.25">
      <c r="A2473">
        <v>514841</v>
      </c>
      <c r="B2473" t="s">
        <v>2829</v>
      </c>
      <c r="C2473" t="s">
        <v>6958</v>
      </c>
      <c r="D2473">
        <v>1</v>
      </c>
      <c r="E2473" t="s">
        <v>2829</v>
      </c>
      <c r="F2473" t="s">
        <v>6958</v>
      </c>
      <c r="G2473" s="3"/>
      <c r="H2473" s="21">
        <v>0</v>
      </c>
      <c r="I2473" s="21">
        <v>0</v>
      </c>
      <c r="J2473" s="21">
        <v>0</v>
      </c>
      <c r="K2473" s="21">
        <v>0</v>
      </c>
      <c r="L2473" s="3">
        <f t="shared" si="112"/>
        <v>0</v>
      </c>
      <c r="M2473" s="3"/>
      <c r="N2473" s="3">
        <f t="shared" si="113"/>
        <v>0</v>
      </c>
      <c r="R2473" s="89"/>
      <c r="S2473" s="89">
        <f>100%-Table34[[#This Row],[PDF_initial fee]]</f>
        <v>1</v>
      </c>
      <c r="T2473" s="89"/>
      <c r="U2473" s="26"/>
    </row>
    <row r="2474" spans="1:27" x14ac:dyDescent="0.25">
      <c r="A2474">
        <v>427640</v>
      </c>
      <c r="B2474" t="s">
        <v>154</v>
      </c>
      <c r="C2474" t="s">
        <v>7271</v>
      </c>
      <c r="D2474">
        <v>23</v>
      </c>
      <c r="E2474" t="s">
        <v>154</v>
      </c>
      <c r="F2474" t="s">
        <v>3</v>
      </c>
      <c r="G2474" s="3">
        <v>1.4E-3</v>
      </c>
      <c r="H2474" s="6">
        <v>0.01</v>
      </c>
      <c r="I2474" s="6">
        <v>7.0000000000000001E-3</v>
      </c>
      <c r="J2474" s="6"/>
      <c r="K2474" s="6"/>
      <c r="L2474" s="3">
        <f t="shared" si="112"/>
        <v>1.7000000000000001E-2</v>
      </c>
      <c r="M2474" s="3"/>
      <c r="N2474" s="3">
        <f t="shared" si="113"/>
        <v>1.84E-2</v>
      </c>
      <c r="P2474" s="1" t="s">
        <v>30268</v>
      </c>
      <c r="Q2474" t="s">
        <v>31787</v>
      </c>
      <c r="R2474" s="89">
        <v>0.33333333333333348</v>
      </c>
      <c r="S2474" s="89">
        <f>100%-Table34[[#This Row],[InitialFee]]</f>
        <v>0.99</v>
      </c>
      <c r="T2474" s="89">
        <f>(1-Table34[[#This Row],[OngoingFee (plus Platform fee)]])^5</f>
        <v>0.96548658198819293</v>
      </c>
      <c r="U2474" s="26">
        <f>(1+Table34[[#This Row],[Net 5yrs return (mostly up to 28th of Feb 2026)]])*Table34[[#This Row],[Investment after initial charge]]*Table34[[#This Row],[Cummulative 5yrs ongoing advice charge]]-1</f>
        <v>0.27444228822441463</v>
      </c>
      <c r="V2474" s="10">
        <v>314916</v>
      </c>
      <c r="W2474" t="s">
        <v>29051</v>
      </c>
      <c r="X2474" s="10">
        <v>313669</v>
      </c>
      <c r="Y2474" s="30">
        <f>X2474/V2474</f>
        <v>0.99604021389830943</v>
      </c>
      <c r="AA2474" s="1" t="s">
        <v>29750</v>
      </c>
    </row>
    <row r="2475" spans="1:27" x14ac:dyDescent="0.25">
      <c r="A2475">
        <v>514965</v>
      </c>
      <c r="B2475" t="s">
        <v>203</v>
      </c>
      <c r="C2475" t="s">
        <v>7271</v>
      </c>
      <c r="D2475">
        <v>1</v>
      </c>
      <c r="E2475" t="s">
        <v>203</v>
      </c>
      <c r="F2475" t="s">
        <v>3</v>
      </c>
      <c r="G2475" s="3">
        <v>1.4E-3</v>
      </c>
      <c r="H2475" s="6">
        <v>0.01</v>
      </c>
      <c r="I2475" s="6">
        <v>7.0000000000000001E-3</v>
      </c>
      <c r="J2475" s="6"/>
      <c r="K2475" s="6"/>
      <c r="L2475" s="3">
        <f t="shared" si="112"/>
        <v>1.7000000000000001E-2</v>
      </c>
      <c r="M2475" s="3"/>
      <c r="N2475" s="3">
        <f t="shared" si="113"/>
        <v>1.84E-2</v>
      </c>
      <c r="P2475" s="22" t="s">
        <v>30268</v>
      </c>
      <c r="Q2475" t="s">
        <v>31787</v>
      </c>
      <c r="R2475" s="89">
        <v>0.33333333333333348</v>
      </c>
      <c r="S2475" s="89">
        <f>100%-Table34[[#This Row],[InitialFee]]</f>
        <v>0.99</v>
      </c>
      <c r="T2475" s="89">
        <f>(1-Table34[[#This Row],[OngoingFee (plus Platform fee)]])^5</f>
        <v>0.96548658198819293</v>
      </c>
      <c r="U2475" s="26">
        <f>(1+Table34[[#This Row],[Net 5yrs return (mostly up to 28th of Feb 2026)]])*Table34[[#This Row],[Investment after initial charge]]*Table34[[#This Row],[Cummulative 5yrs ongoing advice charge]]-1</f>
        <v>0.27444228822441463</v>
      </c>
      <c r="V2475" s="10">
        <v>314916</v>
      </c>
      <c r="W2475" t="s">
        <v>29051</v>
      </c>
      <c r="X2475" s="10">
        <v>313669</v>
      </c>
      <c r="Y2475" s="30">
        <f>X2475/V2475</f>
        <v>0.99604021389830943</v>
      </c>
      <c r="AA2475" s="1" t="s">
        <v>29750</v>
      </c>
    </row>
    <row r="2476" spans="1:27" hidden="1" x14ac:dyDescent="0.25">
      <c r="A2476">
        <v>515003</v>
      </c>
      <c r="B2476" t="s">
        <v>2830</v>
      </c>
      <c r="C2476" t="s">
        <v>30286</v>
      </c>
      <c r="D2476">
        <v>1</v>
      </c>
      <c r="E2476" t="s">
        <v>2830</v>
      </c>
      <c r="G2476" s="3"/>
      <c r="H2476" s="3">
        <v>0</v>
      </c>
      <c r="I2476" s="3">
        <v>0</v>
      </c>
      <c r="J2476" s="3">
        <v>0</v>
      </c>
      <c r="K2476" s="3">
        <v>0</v>
      </c>
      <c r="L2476" s="3">
        <f t="shared" ref="L2476:L2539" si="114">SUM(H2476:K2476)</f>
        <v>0</v>
      </c>
      <c r="M2476" s="3"/>
      <c r="N2476" s="3">
        <f t="shared" si="113"/>
        <v>0</v>
      </c>
      <c r="R2476" s="89"/>
      <c r="S2476" s="89">
        <f>100%-Table34[[#This Row],[PDF_initial fee]]</f>
        <v>1</v>
      </c>
      <c r="T2476" s="89"/>
      <c r="U2476" s="26"/>
    </row>
    <row r="2477" spans="1:27" hidden="1" x14ac:dyDescent="0.25">
      <c r="A2477">
        <v>515015</v>
      </c>
      <c r="B2477" t="s">
        <v>2831</v>
      </c>
      <c r="C2477" t="s">
        <v>7960</v>
      </c>
      <c r="D2477">
        <v>1</v>
      </c>
      <c r="E2477" t="s">
        <v>2831</v>
      </c>
      <c r="G2477" s="3"/>
      <c r="H2477" s="21">
        <v>0</v>
      </c>
      <c r="I2477" s="21">
        <v>0</v>
      </c>
      <c r="J2477" s="21">
        <v>0</v>
      </c>
      <c r="K2477" s="21">
        <v>0</v>
      </c>
      <c r="L2477" s="3">
        <f t="shared" si="114"/>
        <v>0</v>
      </c>
      <c r="M2477" s="3"/>
      <c r="N2477" s="3">
        <f t="shared" si="113"/>
        <v>0</v>
      </c>
      <c r="R2477" s="89"/>
      <c r="S2477" s="89">
        <f>100%-Table34[[#This Row],[PDF_initial fee]]</f>
        <v>1</v>
      </c>
      <c r="T2477" s="89"/>
      <c r="U2477" s="26"/>
    </row>
    <row r="2478" spans="1:27" hidden="1" x14ac:dyDescent="0.25">
      <c r="A2478">
        <v>515272</v>
      </c>
      <c r="B2478" t="s">
        <v>2832</v>
      </c>
      <c r="C2478" t="s">
        <v>8975</v>
      </c>
      <c r="D2478">
        <v>11</v>
      </c>
      <c r="E2478" t="s">
        <v>2832</v>
      </c>
      <c r="G2478" s="3"/>
      <c r="H2478" s="21">
        <v>0</v>
      </c>
      <c r="I2478" s="21">
        <v>0</v>
      </c>
      <c r="J2478" s="21">
        <v>0</v>
      </c>
      <c r="K2478" s="21">
        <v>0</v>
      </c>
      <c r="L2478" s="3">
        <f t="shared" si="114"/>
        <v>0</v>
      </c>
      <c r="M2478" s="3"/>
      <c r="N2478" s="3">
        <f t="shared" si="113"/>
        <v>0</v>
      </c>
      <c r="R2478" s="89"/>
      <c r="S2478" s="89">
        <f>100%-Table34[[#This Row],[PDF_initial fee]]</f>
        <v>1</v>
      </c>
      <c r="T2478" s="89"/>
      <c r="U2478" s="26"/>
    </row>
    <row r="2479" spans="1:27" hidden="1" x14ac:dyDescent="0.25">
      <c r="A2479">
        <v>515359</v>
      </c>
      <c r="B2479" t="s">
        <v>2833</v>
      </c>
      <c r="C2479" t="s">
        <v>6958</v>
      </c>
      <c r="D2479">
        <v>1</v>
      </c>
      <c r="E2479" t="s">
        <v>2833</v>
      </c>
      <c r="F2479" t="s">
        <v>6958</v>
      </c>
      <c r="G2479" s="3"/>
      <c r="H2479" s="21">
        <v>0</v>
      </c>
      <c r="I2479" s="21">
        <v>0</v>
      </c>
      <c r="J2479" s="21">
        <v>0</v>
      </c>
      <c r="K2479" s="21">
        <v>0</v>
      </c>
      <c r="L2479" s="3">
        <f t="shared" si="114"/>
        <v>0</v>
      </c>
      <c r="M2479" s="3"/>
      <c r="N2479" s="3">
        <f t="shared" si="113"/>
        <v>0</v>
      </c>
      <c r="R2479" s="89"/>
      <c r="S2479" s="89">
        <f>100%-Table34[[#This Row],[PDF_initial fee]]</f>
        <v>1</v>
      </c>
      <c r="T2479" s="89"/>
      <c r="U2479" s="26"/>
    </row>
    <row r="2480" spans="1:27" hidden="1" x14ac:dyDescent="0.25">
      <c r="A2480">
        <v>515361</v>
      </c>
      <c r="B2480" t="s">
        <v>2834</v>
      </c>
      <c r="C2480" t="s">
        <v>6958</v>
      </c>
      <c r="D2480">
        <v>3</v>
      </c>
      <c r="E2480" t="s">
        <v>2834</v>
      </c>
      <c r="F2480" t="s">
        <v>6958</v>
      </c>
      <c r="G2480" s="3"/>
      <c r="H2480" s="21">
        <v>0</v>
      </c>
      <c r="I2480" s="21">
        <v>0</v>
      </c>
      <c r="J2480" s="21">
        <v>0</v>
      </c>
      <c r="K2480" s="21">
        <v>0</v>
      </c>
      <c r="L2480" s="3">
        <f t="shared" si="114"/>
        <v>0</v>
      </c>
      <c r="M2480" s="3"/>
      <c r="N2480" s="3">
        <f t="shared" si="113"/>
        <v>0</v>
      </c>
      <c r="R2480" s="89"/>
      <c r="S2480" s="89">
        <f>100%-Table34[[#This Row],[PDF_initial fee]]</f>
        <v>1</v>
      </c>
      <c r="T2480" s="89"/>
      <c r="U2480" s="26"/>
    </row>
    <row r="2481" spans="1:21" hidden="1" x14ac:dyDescent="0.25">
      <c r="A2481">
        <v>515373</v>
      </c>
      <c r="B2481" t="s">
        <v>2835</v>
      </c>
      <c r="C2481" t="s">
        <v>6958</v>
      </c>
      <c r="D2481">
        <v>3</v>
      </c>
      <c r="E2481" t="s">
        <v>2835</v>
      </c>
      <c r="F2481" t="s">
        <v>6958</v>
      </c>
      <c r="G2481" s="3"/>
      <c r="H2481" s="21">
        <v>0</v>
      </c>
      <c r="I2481" s="21">
        <v>0</v>
      </c>
      <c r="J2481" s="21">
        <v>0</v>
      </c>
      <c r="K2481" s="21">
        <v>0</v>
      </c>
      <c r="L2481" s="3">
        <f t="shared" si="114"/>
        <v>0</v>
      </c>
      <c r="M2481" s="3"/>
      <c r="N2481" s="3">
        <f t="shared" si="113"/>
        <v>0</v>
      </c>
      <c r="R2481" s="89"/>
      <c r="S2481" s="89">
        <f>100%-Table34[[#This Row],[PDF_initial fee]]</f>
        <v>1</v>
      </c>
      <c r="T2481" s="89"/>
      <c r="U2481" s="26"/>
    </row>
    <row r="2482" spans="1:21" hidden="1" x14ac:dyDescent="0.25">
      <c r="A2482">
        <v>515404</v>
      </c>
      <c r="B2482" t="s">
        <v>2837</v>
      </c>
      <c r="C2482" t="s">
        <v>6958</v>
      </c>
      <c r="D2482">
        <v>1</v>
      </c>
      <c r="E2482" t="s">
        <v>2837</v>
      </c>
      <c r="F2482" t="s">
        <v>6958</v>
      </c>
      <c r="G2482" s="3"/>
      <c r="H2482" s="21">
        <v>0</v>
      </c>
      <c r="I2482" s="21">
        <v>0</v>
      </c>
      <c r="J2482" s="21">
        <v>0</v>
      </c>
      <c r="K2482" s="21">
        <v>0</v>
      </c>
      <c r="L2482" s="3">
        <f t="shared" si="114"/>
        <v>0</v>
      </c>
      <c r="M2482" s="3"/>
      <c r="N2482" s="3">
        <f t="shared" si="113"/>
        <v>0</v>
      </c>
      <c r="R2482" s="89"/>
      <c r="S2482" s="89">
        <f>100%-Table34[[#This Row],[PDF_initial fee]]</f>
        <v>1</v>
      </c>
      <c r="T2482" s="89"/>
      <c r="U2482" s="26"/>
    </row>
    <row r="2483" spans="1:21" hidden="1" x14ac:dyDescent="0.25">
      <c r="A2483">
        <v>515410</v>
      </c>
      <c r="B2483" t="s">
        <v>2838</v>
      </c>
      <c r="C2483" t="s">
        <v>6958</v>
      </c>
      <c r="D2483">
        <v>1</v>
      </c>
      <c r="E2483" t="s">
        <v>2838</v>
      </c>
      <c r="F2483" t="s">
        <v>6958</v>
      </c>
      <c r="G2483" s="3"/>
      <c r="H2483" s="21">
        <v>0</v>
      </c>
      <c r="I2483" s="21">
        <v>0</v>
      </c>
      <c r="J2483" s="21">
        <v>0</v>
      </c>
      <c r="K2483" s="21">
        <v>0</v>
      </c>
      <c r="L2483" s="3">
        <f t="shared" si="114"/>
        <v>0</v>
      </c>
      <c r="M2483" s="3"/>
      <c r="N2483" s="3">
        <f t="shared" si="113"/>
        <v>0</v>
      </c>
      <c r="R2483" s="89"/>
      <c r="S2483" s="89">
        <f>100%-Table34[[#This Row],[PDF_initial fee]]</f>
        <v>1</v>
      </c>
      <c r="T2483" s="89"/>
      <c r="U2483" s="26"/>
    </row>
    <row r="2484" spans="1:21" hidden="1" x14ac:dyDescent="0.25">
      <c r="A2484">
        <v>515432</v>
      </c>
      <c r="B2484" t="s">
        <v>2839</v>
      </c>
      <c r="C2484" t="s">
        <v>11654</v>
      </c>
      <c r="D2484">
        <v>2</v>
      </c>
      <c r="E2484" t="s">
        <v>2839</v>
      </c>
      <c r="G2484" s="3"/>
      <c r="H2484" s="21">
        <v>0</v>
      </c>
      <c r="I2484" s="21">
        <v>0</v>
      </c>
      <c r="J2484" s="21">
        <v>0</v>
      </c>
      <c r="K2484" s="21">
        <v>0</v>
      </c>
      <c r="L2484" s="3">
        <f t="shared" si="114"/>
        <v>0</v>
      </c>
      <c r="M2484" s="3"/>
      <c r="N2484" s="3">
        <f t="shared" si="113"/>
        <v>0</v>
      </c>
      <c r="R2484" s="89"/>
      <c r="S2484" s="89">
        <f>100%-Table34[[#This Row],[PDF_initial fee]]</f>
        <v>1</v>
      </c>
      <c r="T2484" s="89"/>
      <c r="U2484" s="26"/>
    </row>
    <row r="2485" spans="1:21" hidden="1" x14ac:dyDescent="0.25">
      <c r="A2485">
        <v>515473</v>
      </c>
      <c r="B2485" t="s">
        <v>2841</v>
      </c>
      <c r="C2485" t="s">
        <v>6958</v>
      </c>
      <c r="D2485">
        <v>1</v>
      </c>
      <c r="E2485" t="s">
        <v>2841</v>
      </c>
      <c r="F2485" t="s">
        <v>6958</v>
      </c>
      <c r="G2485" s="3"/>
      <c r="H2485" s="21">
        <v>0</v>
      </c>
      <c r="I2485" s="21">
        <v>0</v>
      </c>
      <c r="J2485" s="21">
        <v>0</v>
      </c>
      <c r="K2485" s="21">
        <v>0</v>
      </c>
      <c r="L2485" s="3">
        <f t="shared" si="114"/>
        <v>0</v>
      </c>
      <c r="M2485" s="3"/>
      <c r="N2485" s="3">
        <f t="shared" si="113"/>
        <v>0</v>
      </c>
      <c r="R2485" s="89"/>
      <c r="S2485" s="89">
        <f>100%-Table34[[#This Row],[PDF_initial fee]]</f>
        <v>1</v>
      </c>
      <c r="T2485" s="89"/>
      <c r="U2485" s="26"/>
    </row>
    <row r="2486" spans="1:21" hidden="1" x14ac:dyDescent="0.25">
      <c r="A2486">
        <v>515793</v>
      </c>
      <c r="B2486" t="s">
        <v>2843</v>
      </c>
      <c r="C2486" t="s">
        <v>6958</v>
      </c>
      <c r="D2486">
        <v>1</v>
      </c>
      <c r="E2486" t="s">
        <v>2843</v>
      </c>
      <c r="F2486" t="s">
        <v>6958</v>
      </c>
      <c r="G2486" s="3"/>
      <c r="H2486" s="21">
        <v>0</v>
      </c>
      <c r="I2486" s="3">
        <v>0</v>
      </c>
      <c r="J2486" s="3">
        <v>0</v>
      </c>
      <c r="K2486">
        <v>0</v>
      </c>
      <c r="L2486" s="3">
        <f t="shared" si="114"/>
        <v>0</v>
      </c>
      <c r="M2486" s="3"/>
      <c r="N2486" s="3">
        <f t="shared" si="113"/>
        <v>0</v>
      </c>
      <c r="R2486" s="89"/>
      <c r="S2486" s="89">
        <f>100%-Table34[[#This Row],[PDF_initial fee]]</f>
        <v>1</v>
      </c>
      <c r="T2486" s="89"/>
      <c r="U2486" s="26"/>
    </row>
    <row r="2487" spans="1:21" hidden="1" x14ac:dyDescent="0.25">
      <c r="A2487">
        <v>515946</v>
      </c>
      <c r="B2487" t="s">
        <v>2844</v>
      </c>
      <c r="C2487" t="s">
        <v>30287</v>
      </c>
      <c r="D2487">
        <v>1</v>
      </c>
      <c r="E2487" t="s">
        <v>2844</v>
      </c>
      <c r="G2487" s="3"/>
      <c r="H2487" s="21">
        <v>0</v>
      </c>
      <c r="I2487" s="21">
        <v>0</v>
      </c>
      <c r="J2487" s="21">
        <v>0</v>
      </c>
      <c r="K2487" s="21">
        <v>0</v>
      </c>
      <c r="L2487" s="3">
        <f t="shared" si="114"/>
        <v>0</v>
      </c>
      <c r="M2487" s="3"/>
      <c r="N2487" s="3">
        <f t="shared" si="113"/>
        <v>0</v>
      </c>
      <c r="O2487" s="21"/>
      <c r="R2487" s="89"/>
      <c r="S2487" s="89">
        <f>100%-Table34[[#This Row],[PDF_initial fee]]</f>
        <v>1</v>
      </c>
      <c r="T2487" s="89"/>
      <c r="U2487" s="26"/>
    </row>
    <row r="2488" spans="1:21" hidden="1" x14ac:dyDescent="0.25">
      <c r="A2488">
        <v>516109</v>
      </c>
      <c r="B2488" t="s">
        <v>2846</v>
      </c>
      <c r="C2488" t="s">
        <v>6979</v>
      </c>
      <c r="D2488">
        <v>3</v>
      </c>
      <c r="E2488" t="s">
        <v>2846</v>
      </c>
      <c r="G2488" s="3"/>
      <c r="H2488" s="21">
        <v>0</v>
      </c>
      <c r="I2488" s="21">
        <v>0</v>
      </c>
      <c r="J2488" s="21">
        <v>0</v>
      </c>
      <c r="K2488" s="21">
        <v>0</v>
      </c>
      <c r="L2488" s="3">
        <f t="shared" si="114"/>
        <v>0</v>
      </c>
      <c r="M2488" s="3"/>
      <c r="N2488" s="3">
        <f t="shared" si="113"/>
        <v>0</v>
      </c>
      <c r="R2488" s="89"/>
      <c r="S2488" s="89">
        <f>100%-Table34[[#This Row],[PDF_initial fee]]</f>
        <v>1</v>
      </c>
      <c r="T2488" s="89"/>
      <c r="U2488" s="26"/>
    </row>
    <row r="2489" spans="1:21" hidden="1" x14ac:dyDescent="0.25">
      <c r="A2489">
        <v>516196</v>
      </c>
      <c r="B2489" t="s">
        <v>2847</v>
      </c>
      <c r="C2489" t="s">
        <v>7330</v>
      </c>
      <c r="D2489">
        <v>3</v>
      </c>
      <c r="E2489" t="s">
        <v>2847</v>
      </c>
      <c r="G2489" s="3"/>
      <c r="H2489" s="21">
        <v>0</v>
      </c>
      <c r="I2489" s="21">
        <v>0</v>
      </c>
      <c r="J2489" s="21">
        <v>0</v>
      </c>
      <c r="K2489" s="21">
        <v>0</v>
      </c>
      <c r="L2489" s="3">
        <f t="shared" si="114"/>
        <v>0</v>
      </c>
      <c r="M2489" s="3"/>
      <c r="N2489" s="3">
        <f t="shared" si="113"/>
        <v>0</v>
      </c>
      <c r="O2489" s="21"/>
      <c r="R2489" s="89"/>
      <c r="S2489" s="89">
        <f>100%-Table34[[#This Row],[PDF_initial fee]]</f>
        <v>1</v>
      </c>
      <c r="T2489" s="89"/>
      <c r="U2489" s="26"/>
    </row>
    <row r="2490" spans="1:21" hidden="1" x14ac:dyDescent="0.25">
      <c r="A2490">
        <v>516222</v>
      </c>
      <c r="B2490" t="s">
        <v>2848</v>
      </c>
      <c r="C2490" t="s">
        <v>6958</v>
      </c>
      <c r="D2490">
        <v>1</v>
      </c>
      <c r="E2490" t="s">
        <v>2848</v>
      </c>
      <c r="F2490" t="s">
        <v>6958</v>
      </c>
      <c r="G2490" s="3"/>
      <c r="H2490" s="21">
        <v>0</v>
      </c>
      <c r="I2490" s="21">
        <v>0</v>
      </c>
      <c r="J2490" s="21">
        <v>0</v>
      </c>
      <c r="K2490" s="21">
        <v>0</v>
      </c>
      <c r="L2490" s="3">
        <f t="shared" si="114"/>
        <v>0</v>
      </c>
      <c r="M2490" s="3"/>
      <c r="N2490" s="3">
        <f t="shared" si="113"/>
        <v>0</v>
      </c>
      <c r="R2490" s="89"/>
      <c r="S2490" s="89">
        <f>100%-Table34[[#This Row],[PDF_initial fee]]</f>
        <v>1</v>
      </c>
      <c r="T2490" s="89"/>
      <c r="U2490" s="26"/>
    </row>
    <row r="2491" spans="1:21" hidden="1" x14ac:dyDescent="0.25">
      <c r="A2491">
        <v>516359</v>
      </c>
      <c r="B2491" t="s">
        <v>2849</v>
      </c>
      <c r="C2491" t="s">
        <v>6958</v>
      </c>
      <c r="D2491">
        <v>1</v>
      </c>
      <c r="E2491" t="s">
        <v>2849</v>
      </c>
      <c r="F2491" t="s">
        <v>6958</v>
      </c>
      <c r="G2491" s="3"/>
      <c r="H2491" s="21">
        <v>0</v>
      </c>
      <c r="I2491" s="21">
        <v>0</v>
      </c>
      <c r="J2491" s="21">
        <v>0</v>
      </c>
      <c r="K2491" s="21">
        <v>0</v>
      </c>
      <c r="L2491" s="3">
        <f t="shared" si="114"/>
        <v>0</v>
      </c>
      <c r="M2491" s="3"/>
      <c r="N2491" s="3">
        <f t="shared" si="113"/>
        <v>0</v>
      </c>
      <c r="R2491" s="89"/>
      <c r="S2491" s="89">
        <f>100%-Table34[[#This Row],[PDF_initial fee]]</f>
        <v>1</v>
      </c>
      <c r="T2491" s="89"/>
      <c r="U2491" s="26"/>
    </row>
    <row r="2492" spans="1:21" hidden="1" x14ac:dyDescent="0.25">
      <c r="A2492">
        <v>516496</v>
      </c>
      <c r="B2492" t="s">
        <v>2852</v>
      </c>
      <c r="C2492" t="s">
        <v>30288</v>
      </c>
      <c r="D2492">
        <v>0</v>
      </c>
      <c r="E2492" t="s">
        <v>2852</v>
      </c>
      <c r="F2492" t="s">
        <v>29136</v>
      </c>
      <c r="G2492" s="3"/>
      <c r="H2492" s="21">
        <v>0</v>
      </c>
      <c r="I2492" s="21">
        <v>0</v>
      </c>
      <c r="J2492" s="21">
        <v>0</v>
      </c>
      <c r="K2492" s="21">
        <v>0</v>
      </c>
      <c r="L2492" s="3">
        <f t="shared" si="114"/>
        <v>0</v>
      </c>
      <c r="M2492" s="3"/>
      <c r="N2492" s="3">
        <f t="shared" si="113"/>
        <v>0</v>
      </c>
      <c r="O2492" s="21"/>
      <c r="R2492" s="89"/>
      <c r="S2492" s="89">
        <f>100%-Table34[[#This Row],[PDF_initial fee]]</f>
        <v>1</v>
      </c>
      <c r="T2492" s="89"/>
      <c r="U2492" s="26"/>
    </row>
    <row r="2493" spans="1:21" hidden="1" x14ac:dyDescent="0.25">
      <c r="A2493">
        <v>516577</v>
      </c>
      <c r="B2493" t="s">
        <v>2853</v>
      </c>
      <c r="C2493" t="s">
        <v>11884</v>
      </c>
      <c r="D2493">
        <v>2</v>
      </c>
      <c r="E2493" t="s">
        <v>2853</v>
      </c>
      <c r="G2493" s="3"/>
      <c r="H2493" s="21">
        <v>0</v>
      </c>
      <c r="I2493" s="21">
        <v>0</v>
      </c>
      <c r="J2493" s="21">
        <v>0</v>
      </c>
      <c r="K2493" s="21">
        <v>0</v>
      </c>
      <c r="L2493" s="3">
        <f t="shared" si="114"/>
        <v>0</v>
      </c>
      <c r="M2493" s="3"/>
      <c r="N2493" s="3">
        <f t="shared" si="113"/>
        <v>0</v>
      </c>
      <c r="R2493" s="89"/>
      <c r="S2493" s="89">
        <f>100%-Table34[[#This Row],[PDF_initial fee]]</f>
        <v>1</v>
      </c>
      <c r="T2493" s="89"/>
      <c r="U2493" s="26"/>
    </row>
    <row r="2494" spans="1:21" hidden="1" x14ac:dyDescent="0.25">
      <c r="A2494">
        <v>516653</v>
      </c>
      <c r="B2494" t="s">
        <v>2854</v>
      </c>
      <c r="C2494" t="s">
        <v>8283</v>
      </c>
      <c r="D2494">
        <v>3</v>
      </c>
      <c r="E2494" t="s">
        <v>2854</v>
      </c>
      <c r="G2494" s="3"/>
      <c r="H2494" s="21">
        <v>0</v>
      </c>
      <c r="I2494" s="21">
        <v>0</v>
      </c>
      <c r="J2494" s="21">
        <v>0</v>
      </c>
      <c r="K2494" s="21">
        <v>0</v>
      </c>
      <c r="L2494" s="3">
        <f t="shared" si="114"/>
        <v>0</v>
      </c>
      <c r="M2494" s="3"/>
      <c r="N2494" s="3">
        <f t="shared" si="113"/>
        <v>0</v>
      </c>
      <c r="R2494" s="89"/>
      <c r="S2494" s="89">
        <f>100%-Table34[[#This Row],[PDF_initial fee]]</f>
        <v>1</v>
      </c>
      <c r="T2494" s="89"/>
      <c r="U2494" s="26"/>
    </row>
    <row r="2495" spans="1:21" hidden="1" x14ac:dyDescent="0.25">
      <c r="A2495">
        <v>516758</v>
      </c>
      <c r="B2495" t="s">
        <v>2855</v>
      </c>
      <c r="C2495" t="s">
        <v>30289</v>
      </c>
      <c r="D2495">
        <v>0</v>
      </c>
      <c r="E2495" t="s">
        <v>2855</v>
      </c>
      <c r="F2495" t="s">
        <v>29136</v>
      </c>
      <c r="G2495" s="3"/>
      <c r="H2495" s="21">
        <v>0</v>
      </c>
      <c r="I2495" s="21">
        <v>0</v>
      </c>
      <c r="J2495" s="21">
        <v>0</v>
      </c>
      <c r="K2495" s="21">
        <v>0</v>
      </c>
      <c r="L2495" s="3">
        <f t="shared" si="114"/>
        <v>0</v>
      </c>
      <c r="M2495" s="3"/>
      <c r="N2495" s="3">
        <f t="shared" si="113"/>
        <v>0</v>
      </c>
      <c r="O2495" s="21"/>
      <c r="R2495" s="89"/>
      <c r="S2495" s="89">
        <f>100%-Table34[[#This Row],[PDF_initial fee]]</f>
        <v>1</v>
      </c>
      <c r="T2495" s="89"/>
      <c r="U2495" s="26"/>
    </row>
    <row r="2496" spans="1:21" hidden="1" x14ac:dyDescent="0.25">
      <c r="A2496">
        <v>516797</v>
      </c>
      <c r="B2496" t="s">
        <v>2856</v>
      </c>
      <c r="C2496" t="s">
        <v>12502</v>
      </c>
      <c r="D2496">
        <v>1</v>
      </c>
      <c r="E2496" t="s">
        <v>2856</v>
      </c>
      <c r="G2496" s="3"/>
      <c r="H2496" s="21">
        <v>0</v>
      </c>
      <c r="I2496" s="21">
        <v>0</v>
      </c>
      <c r="J2496" s="21">
        <v>0</v>
      </c>
      <c r="K2496" s="21">
        <v>0</v>
      </c>
      <c r="L2496" s="3">
        <f t="shared" si="114"/>
        <v>0</v>
      </c>
      <c r="M2496" s="3"/>
      <c r="N2496" s="3">
        <f t="shared" si="113"/>
        <v>0</v>
      </c>
      <c r="R2496" s="89"/>
      <c r="S2496" s="89">
        <f>100%-Table34[[#This Row],[PDF_initial fee]]</f>
        <v>1</v>
      </c>
      <c r="T2496" s="89"/>
      <c r="U2496" s="26"/>
    </row>
    <row r="2497" spans="1:27" hidden="1" x14ac:dyDescent="0.25">
      <c r="A2497">
        <v>516829</v>
      </c>
      <c r="B2497" t="s">
        <v>2857</v>
      </c>
      <c r="C2497" t="s">
        <v>11302</v>
      </c>
      <c r="D2497">
        <v>1</v>
      </c>
      <c r="E2497" t="s">
        <v>2857</v>
      </c>
      <c r="G2497" s="3"/>
      <c r="H2497" s="21">
        <v>0</v>
      </c>
      <c r="I2497" s="21">
        <v>0</v>
      </c>
      <c r="J2497" s="21">
        <v>0</v>
      </c>
      <c r="K2497" s="21">
        <v>0</v>
      </c>
      <c r="L2497" s="3">
        <f t="shared" si="114"/>
        <v>0</v>
      </c>
      <c r="M2497" s="3"/>
      <c r="N2497" s="3">
        <f t="shared" si="113"/>
        <v>0</v>
      </c>
      <c r="R2497" s="89"/>
      <c r="S2497" s="89">
        <f>100%-Table34[[#This Row],[PDF_initial fee]]</f>
        <v>1</v>
      </c>
      <c r="T2497" s="89"/>
      <c r="U2497" s="26"/>
    </row>
    <row r="2498" spans="1:27" hidden="1" x14ac:dyDescent="0.25">
      <c r="A2498">
        <v>516932</v>
      </c>
      <c r="B2498" t="s">
        <v>2858</v>
      </c>
      <c r="C2498" t="s">
        <v>30290</v>
      </c>
      <c r="D2498">
        <v>0</v>
      </c>
      <c r="E2498" t="s">
        <v>2858</v>
      </c>
      <c r="F2498" t="s">
        <v>29136</v>
      </c>
      <c r="G2498" s="3"/>
      <c r="H2498" s="21">
        <v>0</v>
      </c>
      <c r="I2498" s="21">
        <v>0</v>
      </c>
      <c r="J2498" s="21">
        <v>0</v>
      </c>
      <c r="K2498" s="21">
        <v>0</v>
      </c>
      <c r="L2498" s="3">
        <f t="shared" si="114"/>
        <v>0</v>
      </c>
      <c r="M2498" s="3"/>
      <c r="N2498" s="3">
        <f t="shared" si="113"/>
        <v>0</v>
      </c>
      <c r="O2498" s="21"/>
      <c r="R2498" s="89"/>
      <c r="S2498" s="89">
        <f>100%-Table34[[#This Row],[PDF_initial fee]]</f>
        <v>1</v>
      </c>
      <c r="T2498" s="89"/>
      <c r="U2498" s="26"/>
    </row>
    <row r="2499" spans="1:27" hidden="1" x14ac:dyDescent="0.25">
      <c r="A2499">
        <v>516955</v>
      </c>
      <c r="B2499" t="s">
        <v>2859</v>
      </c>
      <c r="C2499" t="s">
        <v>6958</v>
      </c>
      <c r="D2499">
        <v>1</v>
      </c>
      <c r="E2499" t="s">
        <v>2859</v>
      </c>
      <c r="F2499" t="s">
        <v>6958</v>
      </c>
      <c r="G2499" s="3"/>
      <c r="H2499" s="21">
        <v>0</v>
      </c>
      <c r="I2499" s="21">
        <v>0</v>
      </c>
      <c r="J2499" s="21">
        <v>0</v>
      </c>
      <c r="K2499" s="21">
        <v>0</v>
      </c>
      <c r="L2499" s="3">
        <f t="shared" si="114"/>
        <v>0</v>
      </c>
      <c r="M2499" s="3"/>
      <c r="N2499" s="3">
        <f t="shared" si="113"/>
        <v>0</v>
      </c>
      <c r="R2499" s="89"/>
      <c r="S2499" s="89">
        <f>100%-Table34[[#This Row],[PDF_initial fee]]</f>
        <v>1</v>
      </c>
      <c r="T2499" s="89"/>
      <c r="U2499" s="26"/>
    </row>
    <row r="2500" spans="1:27" x14ac:dyDescent="0.25">
      <c r="A2500">
        <v>827417</v>
      </c>
      <c r="B2500" t="s">
        <v>316</v>
      </c>
      <c r="C2500" t="s">
        <v>7271</v>
      </c>
      <c r="D2500">
        <v>3</v>
      </c>
      <c r="E2500" t="s">
        <v>316</v>
      </c>
      <c r="F2500" t="s">
        <v>3</v>
      </c>
      <c r="G2500" s="3">
        <v>1.4E-3</v>
      </c>
      <c r="H2500" s="6">
        <v>0.01</v>
      </c>
      <c r="I2500" s="6">
        <v>7.0000000000000001E-3</v>
      </c>
      <c r="J2500" s="6"/>
      <c r="K2500" s="6"/>
      <c r="L2500" s="3">
        <f t="shared" si="114"/>
        <v>1.7000000000000001E-2</v>
      </c>
      <c r="M2500" s="3"/>
      <c r="N2500" s="3">
        <f t="shared" si="113"/>
        <v>1.84E-2</v>
      </c>
      <c r="O2500" t="s">
        <v>30268</v>
      </c>
      <c r="P2500" s="22" t="s">
        <v>30268</v>
      </c>
      <c r="Q2500" t="s">
        <v>31787</v>
      </c>
      <c r="R2500" s="89">
        <v>0.33333333333333348</v>
      </c>
      <c r="S2500" s="89">
        <f>100%-Table34[[#This Row],[InitialFee]]</f>
        <v>0.99</v>
      </c>
      <c r="T2500" s="89">
        <f>(1-Table34[[#This Row],[OngoingFee (plus Platform fee)]])^5</f>
        <v>0.96548658198819293</v>
      </c>
      <c r="U2500" s="26">
        <f>(1+Table34[[#This Row],[Net 5yrs return (mostly up to 28th of Feb 2026)]])*Table34[[#This Row],[Investment after initial charge]]*Table34[[#This Row],[Cummulative 5yrs ongoing advice charge]]-1</f>
        <v>0.27444228822441463</v>
      </c>
      <c r="V2500" s="10">
        <v>314916</v>
      </c>
      <c r="W2500" t="s">
        <v>29051</v>
      </c>
      <c r="X2500" s="10">
        <v>313669</v>
      </c>
      <c r="Y2500" s="30">
        <f>X2500/V2500</f>
        <v>0.99604021389830943</v>
      </c>
      <c r="AA2500" s="1" t="s">
        <v>29750</v>
      </c>
    </row>
    <row r="2501" spans="1:27" hidden="1" x14ac:dyDescent="0.25">
      <c r="A2501">
        <v>517098</v>
      </c>
      <c r="B2501" t="s">
        <v>2861</v>
      </c>
      <c r="C2501" t="s">
        <v>8823</v>
      </c>
      <c r="D2501">
        <v>2</v>
      </c>
      <c r="E2501" t="s">
        <v>2861</v>
      </c>
      <c r="G2501" s="3"/>
      <c r="H2501" s="21">
        <v>0</v>
      </c>
      <c r="I2501" s="21">
        <v>0</v>
      </c>
      <c r="J2501" s="21">
        <v>0</v>
      </c>
      <c r="K2501" s="21">
        <v>0</v>
      </c>
      <c r="L2501" s="3">
        <f t="shared" si="114"/>
        <v>0</v>
      </c>
      <c r="M2501" s="3"/>
      <c r="N2501" s="3">
        <f t="shared" si="113"/>
        <v>0</v>
      </c>
      <c r="R2501" s="89"/>
      <c r="S2501" s="89">
        <f>100%-Table34[[#This Row],[PDF_initial fee]]</f>
        <v>1</v>
      </c>
      <c r="T2501" s="89"/>
      <c r="U2501" s="26"/>
    </row>
    <row r="2502" spans="1:27" hidden="1" x14ac:dyDescent="0.25">
      <c r="A2502">
        <v>517235</v>
      </c>
      <c r="B2502" t="s">
        <v>2862</v>
      </c>
      <c r="C2502" s="1" t="s">
        <v>30291</v>
      </c>
      <c r="D2502">
        <v>6</v>
      </c>
      <c r="E2502" t="s">
        <v>2862</v>
      </c>
      <c r="G2502" s="3"/>
      <c r="H2502" s="3">
        <v>0</v>
      </c>
      <c r="I2502" s="3">
        <v>0</v>
      </c>
      <c r="J2502" s="3">
        <v>0</v>
      </c>
      <c r="K2502" s="3">
        <v>0</v>
      </c>
      <c r="L2502" s="3">
        <f t="shared" si="114"/>
        <v>0</v>
      </c>
      <c r="M2502" s="3"/>
      <c r="N2502" s="3">
        <f t="shared" si="113"/>
        <v>0</v>
      </c>
      <c r="R2502" s="89"/>
      <c r="S2502" s="89">
        <f>100%-Table34[[#This Row],[PDF_initial fee]]</f>
        <v>1</v>
      </c>
      <c r="T2502" s="89"/>
      <c r="U2502" s="26"/>
    </row>
    <row r="2503" spans="1:27" hidden="1" x14ac:dyDescent="0.25">
      <c r="A2503">
        <v>517308</v>
      </c>
      <c r="B2503" t="s">
        <v>2863</v>
      </c>
      <c r="C2503" t="s">
        <v>30292</v>
      </c>
      <c r="D2503">
        <v>2</v>
      </c>
      <c r="E2503" t="s">
        <v>2863</v>
      </c>
      <c r="G2503" s="3"/>
      <c r="H2503" s="3">
        <v>0</v>
      </c>
      <c r="I2503" s="3">
        <v>0</v>
      </c>
      <c r="J2503" s="3">
        <v>0</v>
      </c>
      <c r="K2503" s="3">
        <v>0</v>
      </c>
      <c r="L2503" s="3">
        <f t="shared" si="114"/>
        <v>0</v>
      </c>
      <c r="M2503" s="3"/>
      <c r="N2503" s="3">
        <f t="shared" si="113"/>
        <v>0</v>
      </c>
      <c r="R2503" s="89"/>
      <c r="S2503" s="89">
        <f>100%-Table34[[#This Row],[PDF_initial fee]]</f>
        <v>1</v>
      </c>
      <c r="T2503" s="89"/>
      <c r="U2503" s="26"/>
    </row>
    <row r="2504" spans="1:27" hidden="1" x14ac:dyDescent="0.25">
      <c r="A2504">
        <v>517309</v>
      </c>
      <c r="B2504" t="s">
        <v>2864</v>
      </c>
      <c r="C2504" t="s">
        <v>6960</v>
      </c>
      <c r="D2504">
        <v>1</v>
      </c>
      <c r="E2504" t="s">
        <v>2864</v>
      </c>
      <c r="G2504" s="3"/>
      <c r="H2504" s="21">
        <v>0</v>
      </c>
      <c r="I2504" s="21">
        <v>0</v>
      </c>
      <c r="J2504" s="21">
        <v>0</v>
      </c>
      <c r="K2504" s="21">
        <v>0</v>
      </c>
      <c r="L2504" s="3">
        <f t="shared" si="114"/>
        <v>0</v>
      </c>
      <c r="M2504" s="3"/>
      <c r="N2504" s="3">
        <f t="shared" si="113"/>
        <v>0</v>
      </c>
      <c r="R2504" s="89"/>
      <c r="S2504" s="89">
        <f>100%-Table34[[#This Row],[PDF_initial fee]]</f>
        <v>1</v>
      </c>
      <c r="T2504" s="89"/>
      <c r="U2504" s="26"/>
    </row>
    <row r="2505" spans="1:27" hidden="1" x14ac:dyDescent="0.25">
      <c r="A2505">
        <v>517310</v>
      </c>
      <c r="B2505" t="s">
        <v>2865</v>
      </c>
      <c r="C2505" t="s">
        <v>7398</v>
      </c>
      <c r="D2505">
        <v>1</v>
      </c>
      <c r="E2505" t="s">
        <v>2865</v>
      </c>
      <c r="G2505" s="3"/>
      <c r="H2505" s="21">
        <v>0</v>
      </c>
      <c r="I2505" s="21">
        <v>0</v>
      </c>
      <c r="J2505" s="21">
        <v>0</v>
      </c>
      <c r="K2505" s="21">
        <v>0</v>
      </c>
      <c r="L2505" s="3">
        <f t="shared" si="114"/>
        <v>0</v>
      </c>
      <c r="M2505" s="3"/>
      <c r="N2505" s="3">
        <f t="shared" si="113"/>
        <v>0</v>
      </c>
      <c r="R2505" s="89"/>
      <c r="S2505" s="89">
        <f>100%-Table34[[#This Row],[PDF_initial fee]]</f>
        <v>1</v>
      </c>
      <c r="T2505" s="89"/>
      <c r="U2505" s="26"/>
    </row>
    <row r="2506" spans="1:27" hidden="1" x14ac:dyDescent="0.25">
      <c r="A2506">
        <v>517403</v>
      </c>
      <c r="B2506" t="s">
        <v>2867</v>
      </c>
      <c r="C2506" t="s">
        <v>10952</v>
      </c>
      <c r="D2506">
        <v>1</v>
      </c>
      <c r="E2506" t="s">
        <v>2867</v>
      </c>
      <c r="G2506" s="3"/>
      <c r="H2506" s="21">
        <v>0</v>
      </c>
      <c r="I2506" s="21">
        <v>0</v>
      </c>
      <c r="J2506" s="21">
        <v>0</v>
      </c>
      <c r="K2506" s="21">
        <v>0</v>
      </c>
      <c r="L2506" s="3">
        <f t="shared" si="114"/>
        <v>0</v>
      </c>
      <c r="M2506" s="3"/>
      <c r="N2506" s="3">
        <f t="shared" ref="N2506:N2569" si="115">L2506+G2506</f>
        <v>0</v>
      </c>
      <c r="R2506" s="89"/>
      <c r="S2506" s="89">
        <f>100%-Table34[[#This Row],[PDF_initial fee]]</f>
        <v>1</v>
      </c>
      <c r="T2506" s="89"/>
      <c r="U2506" s="26"/>
    </row>
    <row r="2507" spans="1:27" hidden="1" x14ac:dyDescent="0.25">
      <c r="A2507">
        <v>517588</v>
      </c>
      <c r="B2507" t="s">
        <v>2868</v>
      </c>
      <c r="C2507" t="s">
        <v>6958</v>
      </c>
      <c r="D2507">
        <v>1</v>
      </c>
      <c r="E2507" t="s">
        <v>2868</v>
      </c>
      <c r="F2507" t="s">
        <v>6958</v>
      </c>
      <c r="G2507" s="3"/>
      <c r="H2507" s="21">
        <v>0</v>
      </c>
      <c r="I2507" s="21">
        <v>0</v>
      </c>
      <c r="J2507" s="21">
        <v>0</v>
      </c>
      <c r="K2507" s="21">
        <v>0</v>
      </c>
      <c r="L2507" s="3">
        <f t="shared" si="114"/>
        <v>0</v>
      </c>
      <c r="M2507" s="3"/>
      <c r="N2507" s="3">
        <f t="shared" si="115"/>
        <v>0</v>
      </c>
      <c r="R2507" s="89"/>
      <c r="S2507" s="89">
        <f>100%-Table34[[#This Row],[PDF_initial fee]]</f>
        <v>1</v>
      </c>
      <c r="T2507" s="89"/>
      <c r="U2507" s="26"/>
    </row>
    <row r="2508" spans="1:27" hidden="1" x14ac:dyDescent="0.25">
      <c r="A2508">
        <v>517598</v>
      </c>
      <c r="B2508" t="s">
        <v>2869</v>
      </c>
      <c r="C2508" t="s">
        <v>8996</v>
      </c>
      <c r="D2508">
        <v>1</v>
      </c>
      <c r="E2508" t="s">
        <v>2869</v>
      </c>
      <c r="G2508" s="3"/>
      <c r="H2508" s="21">
        <v>0</v>
      </c>
      <c r="I2508" s="21">
        <v>0</v>
      </c>
      <c r="J2508" s="21">
        <v>0</v>
      </c>
      <c r="K2508" s="21">
        <v>0</v>
      </c>
      <c r="L2508" s="3">
        <f t="shared" si="114"/>
        <v>0</v>
      </c>
      <c r="M2508" s="3"/>
      <c r="N2508" s="3">
        <f t="shared" si="115"/>
        <v>0</v>
      </c>
      <c r="R2508" s="89"/>
      <c r="S2508" s="89">
        <f>100%-Table34[[#This Row],[PDF_initial fee]]</f>
        <v>1</v>
      </c>
      <c r="T2508" s="89"/>
      <c r="U2508" s="26"/>
    </row>
    <row r="2509" spans="1:27" hidden="1" x14ac:dyDescent="0.25">
      <c r="A2509">
        <v>517892</v>
      </c>
      <c r="B2509" t="s">
        <v>2870</v>
      </c>
      <c r="C2509" t="s">
        <v>30293</v>
      </c>
      <c r="D2509">
        <v>3</v>
      </c>
      <c r="E2509" t="s">
        <v>2870</v>
      </c>
      <c r="G2509" s="3"/>
      <c r="H2509" s="3">
        <v>0</v>
      </c>
      <c r="I2509" s="3">
        <v>0</v>
      </c>
      <c r="J2509" s="3">
        <v>0</v>
      </c>
      <c r="K2509" s="3">
        <v>0</v>
      </c>
      <c r="L2509" s="3">
        <f t="shared" si="114"/>
        <v>0</v>
      </c>
      <c r="M2509" s="3"/>
      <c r="N2509" s="3">
        <f t="shared" si="115"/>
        <v>0</v>
      </c>
      <c r="R2509" s="89"/>
      <c r="S2509" s="89">
        <f>100%-Table34[[#This Row],[PDF_initial fee]]</f>
        <v>1</v>
      </c>
      <c r="T2509" s="89"/>
      <c r="U2509" s="26"/>
    </row>
    <row r="2510" spans="1:27" hidden="1" x14ac:dyDescent="0.25">
      <c r="A2510">
        <v>518096</v>
      </c>
      <c r="B2510" t="s">
        <v>2871</v>
      </c>
      <c r="C2510" t="s">
        <v>9169</v>
      </c>
      <c r="D2510">
        <v>3</v>
      </c>
      <c r="E2510" t="s">
        <v>2871</v>
      </c>
      <c r="G2510" s="3"/>
      <c r="H2510" s="21">
        <v>0</v>
      </c>
      <c r="I2510" s="21">
        <v>0</v>
      </c>
      <c r="J2510" s="21">
        <v>0</v>
      </c>
      <c r="K2510" s="21">
        <v>0</v>
      </c>
      <c r="L2510" s="3">
        <f t="shared" si="114"/>
        <v>0</v>
      </c>
      <c r="M2510" s="3"/>
      <c r="N2510" s="3">
        <f t="shared" si="115"/>
        <v>0</v>
      </c>
      <c r="R2510" s="89"/>
      <c r="S2510" s="89">
        <f>100%-Table34[[#This Row],[PDF_initial fee]]</f>
        <v>1</v>
      </c>
      <c r="T2510" s="89"/>
      <c r="U2510" s="26"/>
    </row>
    <row r="2511" spans="1:27" hidden="1" x14ac:dyDescent="0.25">
      <c r="A2511">
        <v>518150</v>
      </c>
      <c r="B2511" t="s">
        <v>2872</v>
      </c>
      <c r="C2511" t="s">
        <v>12294</v>
      </c>
      <c r="D2511">
        <v>2</v>
      </c>
      <c r="E2511" t="s">
        <v>2872</v>
      </c>
      <c r="G2511" s="3"/>
      <c r="H2511" s="21">
        <v>0</v>
      </c>
      <c r="I2511" s="21">
        <v>0</v>
      </c>
      <c r="J2511" s="21">
        <v>0</v>
      </c>
      <c r="K2511" s="21">
        <v>0</v>
      </c>
      <c r="L2511" s="3">
        <f t="shared" si="114"/>
        <v>0</v>
      </c>
      <c r="M2511" s="3"/>
      <c r="N2511" s="3">
        <f t="shared" si="115"/>
        <v>0</v>
      </c>
      <c r="R2511" s="89"/>
      <c r="S2511" s="89">
        <f>100%-Table34[[#This Row],[PDF_initial fee]]</f>
        <v>1</v>
      </c>
      <c r="T2511" s="89"/>
      <c r="U2511" s="26"/>
    </row>
    <row r="2512" spans="1:27" hidden="1" x14ac:dyDescent="0.25">
      <c r="A2512">
        <v>518152</v>
      </c>
      <c r="B2512" t="s">
        <v>2873</v>
      </c>
      <c r="C2512" s="1" t="s">
        <v>30294</v>
      </c>
      <c r="D2512">
        <v>2</v>
      </c>
      <c r="E2512" t="s">
        <v>2873</v>
      </c>
      <c r="G2512" s="3"/>
      <c r="H2512" s="3">
        <v>0</v>
      </c>
      <c r="I2512" s="3">
        <v>0</v>
      </c>
      <c r="J2512" s="3">
        <v>0</v>
      </c>
      <c r="K2512" s="3">
        <v>0</v>
      </c>
      <c r="L2512" s="3">
        <f t="shared" si="114"/>
        <v>0</v>
      </c>
      <c r="M2512" s="3"/>
      <c r="N2512" s="3">
        <f t="shared" si="115"/>
        <v>0</v>
      </c>
      <c r="R2512" s="89"/>
      <c r="S2512" s="89">
        <f>100%-Table34[[#This Row],[PDF_initial fee]]</f>
        <v>1</v>
      </c>
      <c r="T2512" s="89"/>
      <c r="U2512" s="26"/>
    </row>
    <row r="2513" spans="1:27" hidden="1" x14ac:dyDescent="0.25">
      <c r="A2513">
        <v>518176</v>
      </c>
      <c r="B2513" t="s">
        <v>2874</v>
      </c>
      <c r="C2513" t="s">
        <v>10146</v>
      </c>
      <c r="D2513">
        <v>4</v>
      </c>
      <c r="E2513" t="s">
        <v>2874</v>
      </c>
      <c r="G2513" s="3"/>
      <c r="H2513" s="21">
        <v>0</v>
      </c>
      <c r="I2513" s="21">
        <v>0</v>
      </c>
      <c r="J2513" s="21">
        <v>0</v>
      </c>
      <c r="K2513" s="21">
        <v>0</v>
      </c>
      <c r="L2513" s="3">
        <f t="shared" si="114"/>
        <v>0</v>
      </c>
      <c r="M2513" s="3"/>
      <c r="N2513" s="3">
        <f t="shared" si="115"/>
        <v>0</v>
      </c>
      <c r="R2513" s="89"/>
      <c r="S2513" s="89">
        <f>100%-Table34[[#This Row],[PDF_initial fee]]</f>
        <v>1</v>
      </c>
      <c r="T2513" s="89"/>
      <c r="U2513" s="26"/>
    </row>
    <row r="2514" spans="1:27" hidden="1" x14ac:dyDescent="0.25">
      <c r="A2514">
        <v>518338</v>
      </c>
      <c r="B2514" t="s">
        <v>2875</v>
      </c>
      <c r="C2514" t="s">
        <v>30295</v>
      </c>
      <c r="D2514">
        <v>2</v>
      </c>
      <c r="E2514" t="s">
        <v>2875</v>
      </c>
      <c r="G2514" s="3"/>
      <c r="H2514" s="3">
        <v>0</v>
      </c>
      <c r="I2514" s="3">
        <v>0</v>
      </c>
      <c r="J2514" s="3">
        <v>0</v>
      </c>
      <c r="K2514" s="3">
        <v>0</v>
      </c>
      <c r="L2514" s="3">
        <f t="shared" si="114"/>
        <v>0</v>
      </c>
      <c r="M2514" s="3"/>
      <c r="N2514" s="3">
        <f t="shared" si="115"/>
        <v>0</v>
      </c>
      <c r="R2514" s="89"/>
      <c r="S2514" s="89">
        <f>100%-Table34[[#This Row],[PDF_initial fee]]</f>
        <v>1</v>
      </c>
      <c r="T2514" s="89"/>
      <c r="U2514" s="26"/>
    </row>
    <row r="2515" spans="1:27" hidden="1" x14ac:dyDescent="0.25">
      <c r="A2515">
        <v>518402</v>
      </c>
      <c r="B2515" t="s">
        <v>2876</v>
      </c>
      <c r="C2515" t="s">
        <v>6958</v>
      </c>
      <c r="D2515">
        <v>2</v>
      </c>
      <c r="E2515" t="s">
        <v>2876</v>
      </c>
      <c r="F2515" t="s">
        <v>6958</v>
      </c>
      <c r="G2515" s="3"/>
      <c r="H2515" s="21">
        <v>0</v>
      </c>
      <c r="I2515" s="21">
        <v>0</v>
      </c>
      <c r="J2515" s="21">
        <v>0</v>
      </c>
      <c r="K2515" s="21">
        <v>0</v>
      </c>
      <c r="L2515" s="3">
        <f t="shared" si="114"/>
        <v>0</v>
      </c>
      <c r="M2515" s="3"/>
      <c r="N2515" s="3">
        <f t="shared" si="115"/>
        <v>0</v>
      </c>
      <c r="R2515" s="89"/>
      <c r="S2515" s="89">
        <f>100%-Table34[[#This Row],[PDF_initial fee]]</f>
        <v>1</v>
      </c>
      <c r="T2515" s="89"/>
      <c r="U2515" s="26"/>
    </row>
    <row r="2516" spans="1:27" hidden="1" x14ac:dyDescent="0.25">
      <c r="A2516">
        <v>518429</v>
      </c>
      <c r="B2516" t="s">
        <v>2877</v>
      </c>
      <c r="C2516" t="s">
        <v>30296</v>
      </c>
      <c r="D2516">
        <v>0</v>
      </c>
      <c r="E2516" t="s">
        <v>2877</v>
      </c>
      <c r="F2516" t="s">
        <v>29136</v>
      </c>
      <c r="G2516" s="3"/>
      <c r="H2516" s="21">
        <v>0</v>
      </c>
      <c r="I2516" s="21">
        <v>0</v>
      </c>
      <c r="J2516" s="21">
        <v>0</v>
      </c>
      <c r="K2516" s="21">
        <v>0</v>
      </c>
      <c r="L2516" s="3">
        <f t="shared" si="114"/>
        <v>0</v>
      </c>
      <c r="M2516" s="3"/>
      <c r="N2516" s="3">
        <f t="shared" si="115"/>
        <v>0</v>
      </c>
      <c r="O2516" s="21"/>
      <c r="R2516" s="89"/>
      <c r="S2516" s="89">
        <f>100%-Table34[[#This Row],[PDF_initial fee]]</f>
        <v>1</v>
      </c>
      <c r="T2516" s="89"/>
      <c r="U2516" s="26"/>
    </row>
    <row r="2517" spans="1:27" hidden="1" x14ac:dyDescent="0.25">
      <c r="A2517">
        <v>518468</v>
      </c>
      <c r="B2517" t="s">
        <v>2878</v>
      </c>
      <c r="C2517" t="s">
        <v>30297</v>
      </c>
      <c r="D2517">
        <v>9</v>
      </c>
      <c r="E2517" t="s">
        <v>2878</v>
      </c>
      <c r="G2517" s="3"/>
      <c r="H2517" s="21">
        <v>0</v>
      </c>
      <c r="I2517" s="21">
        <v>0</v>
      </c>
      <c r="J2517" s="21">
        <v>0</v>
      </c>
      <c r="K2517" s="21">
        <v>0</v>
      </c>
      <c r="L2517" s="3">
        <f t="shared" si="114"/>
        <v>0</v>
      </c>
      <c r="M2517" s="3"/>
      <c r="N2517" s="3">
        <f t="shared" si="115"/>
        <v>0</v>
      </c>
      <c r="O2517" s="21"/>
      <c r="R2517" s="89"/>
      <c r="S2517" s="89">
        <f>100%-Table34[[#This Row],[PDF_initial fee]]</f>
        <v>1</v>
      </c>
      <c r="T2517" s="89"/>
      <c r="U2517" s="26"/>
    </row>
    <row r="2518" spans="1:27" hidden="1" x14ac:dyDescent="0.25">
      <c r="A2518">
        <v>518498</v>
      </c>
      <c r="B2518" t="s">
        <v>2879</v>
      </c>
      <c r="C2518" t="s">
        <v>6958</v>
      </c>
      <c r="D2518">
        <v>2</v>
      </c>
      <c r="E2518" t="s">
        <v>2879</v>
      </c>
      <c r="F2518" t="s">
        <v>6958</v>
      </c>
      <c r="G2518" s="3"/>
      <c r="H2518" s="21">
        <v>0</v>
      </c>
      <c r="I2518" s="21">
        <v>0</v>
      </c>
      <c r="J2518" s="21">
        <v>0</v>
      </c>
      <c r="K2518" s="21">
        <v>0</v>
      </c>
      <c r="L2518" s="3">
        <f t="shared" si="114"/>
        <v>0</v>
      </c>
      <c r="M2518" s="3"/>
      <c r="N2518" s="3">
        <f t="shared" si="115"/>
        <v>0</v>
      </c>
      <c r="R2518" s="89"/>
      <c r="S2518" s="89">
        <f>100%-Table34[[#This Row],[PDF_initial fee]]</f>
        <v>1</v>
      </c>
      <c r="T2518" s="89"/>
      <c r="U2518" s="26"/>
    </row>
    <row r="2519" spans="1:27" hidden="1" x14ac:dyDescent="0.25">
      <c r="A2519">
        <v>518520</v>
      </c>
      <c r="B2519" t="s">
        <v>2880</v>
      </c>
      <c r="C2519" t="s">
        <v>30298</v>
      </c>
      <c r="D2519">
        <v>3</v>
      </c>
      <c r="E2519" t="s">
        <v>2880</v>
      </c>
      <c r="G2519" s="3"/>
      <c r="H2519" s="3">
        <v>0</v>
      </c>
      <c r="I2519" s="3">
        <v>0</v>
      </c>
      <c r="J2519" s="3">
        <v>0</v>
      </c>
      <c r="K2519" s="3">
        <v>0</v>
      </c>
      <c r="L2519" s="3">
        <f t="shared" si="114"/>
        <v>0</v>
      </c>
      <c r="M2519" s="3"/>
      <c r="N2519" s="3">
        <f t="shared" si="115"/>
        <v>0</v>
      </c>
      <c r="R2519" s="89"/>
      <c r="S2519" s="89">
        <f>100%-Table34[[#This Row],[PDF_initial fee]]</f>
        <v>1</v>
      </c>
      <c r="T2519" s="89"/>
      <c r="U2519" s="26"/>
    </row>
    <row r="2520" spans="1:27" hidden="1" x14ac:dyDescent="0.25">
      <c r="A2520">
        <v>518551</v>
      </c>
      <c r="B2520" t="s">
        <v>2881</v>
      </c>
      <c r="C2520" t="s">
        <v>6958</v>
      </c>
      <c r="D2520">
        <v>1</v>
      </c>
      <c r="E2520" t="s">
        <v>2881</v>
      </c>
      <c r="F2520" t="s">
        <v>6958</v>
      </c>
      <c r="G2520" s="3"/>
      <c r="H2520" s="21">
        <v>0</v>
      </c>
      <c r="I2520" s="21">
        <v>0</v>
      </c>
      <c r="J2520" s="21">
        <v>0</v>
      </c>
      <c r="K2520" s="21">
        <v>0</v>
      </c>
      <c r="L2520" s="3">
        <f t="shared" si="114"/>
        <v>0</v>
      </c>
      <c r="M2520" s="3"/>
      <c r="N2520" s="3">
        <f t="shared" si="115"/>
        <v>0</v>
      </c>
      <c r="R2520" s="89"/>
      <c r="S2520" s="89">
        <f>100%-Table34[[#This Row],[PDF_initial fee]]</f>
        <v>1</v>
      </c>
      <c r="T2520" s="89"/>
      <c r="U2520" s="26"/>
    </row>
    <row r="2521" spans="1:27" hidden="1" x14ac:dyDescent="0.25">
      <c r="A2521">
        <v>518617</v>
      </c>
      <c r="B2521" t="s">
        <v>2882</v>
      </c>
      <c r="C2521" t="s">
        <v>7919</v>
      </c>
      <c r="D2521">
        <v>5</v>
      </c>
      <c r="E2521" t="s">
        <v>2882</v>
      </c>
      <c r="G2521" s="3"/>
      <c r="H2521" s="21">
        <v>0</v>
      </c>
      <c r="I2521" s="21">
        <v>0</v>
      </c>
      <c r="J2521" s="21">
        <v>0</v>
      </c>
      <c r="K2521" s="21">
        <v>0</v>
      </c>
      <c r="L2521" s="3">
        <f t="shared" si="114"/>
        <v>0</v>
      </c>
      <c r="M2521" s="3"/>
      <c r="N2521" s="3">
        <f t="shared" si="115"/>
        <v>0</v>
      </c>
      <c r="R2521" s="89"/>
      <c r="S2521" s="89">
        <f>100%-Table34[[#This Row],[PDF_initial fee]]</f>
        <v>1</v>
      </c>
      <c r="T2521" s="89"/>
      <c r="U2521" s="26"/>
    </row>
    <row r="2522" spans="1:27" hidden="1" x14ac:dyDescent="0.25">
      <c r="A2522">
        <v>518701</v>
      </c>
      <c r="B2522" t="s">
        <v>2883</v>
      </c>
      <c r="C2522" t="s">
        <v>6958</v>
      </c>
      <c r="D2522">
        <v>1</v>
      </c>
      <c r="E2522" t="s">
        <v>2883</v>
      </c>
      <c r="F2522" t="s">
        <v>6958</v>
      </c>
      <c r="G2522" s="3"/>
      <c r="H2522" s="21">
        <v>0</v>
      </c>
      <c r="I2522" s="21">
        <v>0</v>
      </c>
      <c r="J2522" s="21">
        <v>0</v>
      </c>
      <c r="K2522" s="21">
        <v>0</v>
      </c>
      <c r="L2522" s="3">
        <f t="shared" si="114"/>
        <v>0</v>
      </c>
      <c r="M2522" s="3"/>
      <c r="N2522" s="3">
        <f t="shared" si="115"/>
        <v>0</v>
      </c>
      <c r="R2522" s="89"/>
      <c r="S2522" s="89">
        <f>100%-Table34[[#This Row],[PDF_initial fee]]</f>
        <v>1</v>
      </c>
      <c r="T2522" s="89"/>
      <c r="U2522" s="26"/>
    </row>
    <row r="2523" spans="1:27" hidden="1" x14ac:dyDescent="0.25">
      <c r="A2523">
        <v>518813</v>
      </c>
      <c r="B2523" t="s">
        <v>2884</v>
      </c>
      <c r="C2523" t="s">
        <v>8080</v>
      </c>
      <c r="D2523">
        <v>6</v>
      </c>
      <c r="E2523" t="s">
        <v>2884</v>
      </c>
      <c r="G2523" s="3"/>
      <c r="H2523" s="21">
        <v>0</v>
      </c>
      <c r="I2523" s="21">
        <v>0</v>
      </c>
      <c r="J2523" s="21">
        <v>0</v>
      </c>
      <c r="K2523" s="21">
        <v>0</v>
      </c>
      <c r="L2523" s="3">
        <f t="shared" si="114"/>
        <v>0</v>
      </c>
      <c r="M2523" s="3"/>
      <c r="N2523" s="3">
        <f t="shared" si="115"/>
        <v>0</v>
      </c>
      <c r="R2523" s="89"/>
      <c r="S2523" s="89">
        <f>100%-Table34[[#This Row],[PDF_initial fee]]</f>
        <v>1</v>
      </c>
      <c r="T2523" s="89"/>
      <c r="U2523" s="26"/>
    </row>
    <row r="2524" spans="1:27" hidden="1" x14ac:dyDescent="0.25">
      <c r="A2524">
        <v>518833</v>
      </c>
      <c r="B2524" t="s">
        <v>2885</v>
      </c>
      <c r="C2524" t="s">
        <v>30299</v>
      </c>
      <c r="D2524">
        <v>5</v>
      </c>
      <c r="E2524" t="s">
        <v>2885</v>
      </c>
      <c r="G2524" s="3"/>
      <c r="H2524" s="3">
        <v>0</v>
      </c>
      <c r="I2524" s="3">
        <v>0</v>
      </c>
      <c r="J2524" s="3">
        <v>0</v>
      </c>
      <c r="K2524" s="3">
        <v>0</v>
      </c>
      <c r="L2524" s="3">
        <f t="shared" si="114"/>
        <v>0</v>
      </c>
      <c r="M2524" s="3"/>
      <c r="N2524" s="3">
        <f t="shared" si="115"/>
        <v>0</v>
      </c>
      <c r="R2524" s="89"/>
      <c r="S2524" s="89">
        <f>100%-Table34[[#This Row],[PDF_initial fee]]</f>
        <v>1</v>
      </c>
      <c r="T2524" s="89"/>
      <c r="U2524" s="26"/>
    </row>
    <row r="2525" spans="1:27" hidden="1" x14ac:dyDescent="0.25">
      <c r="A2525">
        <v>519014</v>
      </c>
      <c r="B2525" t="s">
        <v>2886</v>
      </c>
      <c r="C2525" t="s">
        <v>12079</v>
      </c>
      <c r="D2525">
        <v>8</v>
      </c>
      <c r="E2525" t="s">
        <v>2886</v>
      </c>
      <c r="G2525" s="3"/>
      <c r="H2525" s="21">
        <v>0</v>
      </c>
      <c r="I2525" s="21">
        <v>0</v>
      </c>
      <c r="J2525" s="21">
        <v>0</v>
      </c>
      <c r="K2525" s="21">
        <v>0</v>
      </c>
      <c r="L2525" s="3">
        <f t="shared" si="114"/>
        <v>0</v>
      </c>
      <c r="M2525" s="3"/>
      <c r="N2525" s="3">
        <f t="shared" si="115"/>
        <v>0</v>
      </c>
      <c r="R2525" s="89"/>
      <c r="S2525" s="89">
        <f>100%-Table34[[#This Row],[PDF_initial fee]]</f>
        <v>1</v>
      </c>
      <c r="T2525" s="89"/>
      <c r="U2525" s="26"/>
    </row>
    <row r="2526" spans="1:27" hidden="1" x14ac:dyDescent="0.25">
      <c r="A2526">
        <v>519228</v>
      </c>
      <c r="B2526" t="s">
        <v>2887</v>
      </c>
      <c r="C2526" t="s">
        <v>6958</v>
      </c>
      <c r="D2526">
        <v>3</v>
      </c>
      <c r="E2526" t="s">
        <v>2887</v>
      </c>
      <c r="F2526" t="s">
        <v>6958</v>
      </c>
      <c r="G2526" s="3"/>
      <c r="H2526" s="21">
        <v>0</v>
      </c>
      <c r="I2526" s="21">
        <v>0</v>
      </c>
      <c r="J2526" s="21">
        <v>0</v>
      </c>
      <c r="K2526" s="21">
        <v>0</v>
      </c>
      <c r="L2526" s="3">
        <f t="shared" si="114"/>
        <v>0</v>
      </c>
      <c r="M2526" s="3"/>
      <c r="N2526" s="3">
        <f t="shared" si="115"/>
        <v>0</v>
      </c>
      <c r="R2526" s="89"/>
      <c r="S2526" s="89">
        <f>100%-Table34[[#This Row],[PDF_initial fee]]</f>
        <v>1</v>
      </c>
      <c r="T2526" s="89"/>
      <c r="U2526" s="26"/>
    </row>
    <row r="2527" spans="1:27" hidden="1" x14ac:dyDescent="0.25">
      <c r="A2527">
        <v>519488</v>
      </c>
      <c r="B2527" t="s">
        <v>2888</v>
      </c>
      <c r="C2527" t="s">
        <v>6958</v>
      </c>
      <c r="D2527">
        <v>1</v>
      </c>
      <c r="E2527" t="s">
        <v>2888</v>
      </c>
      <c r="F2527" t="s">
        <v>6958</v>
      </c>
      <c r="G2527" s="3"/>
      <c r="H2527" s="21">
        <v>0</v>
      </c>
      <c r="I2527" s="21">
        <v>0</v>
      </c>
      <c r="J2527" s="21">
        <v>0</v>
      </c>
      <c r="K2527" s="21">
        <v>0</v>
      </c>
      <c r="L2527" s="3">
        <f t="shared" si="114"/>
        <v>0</v>
      </c>
      <c r="M2527" s="3"/>
      <c r="N2527" s="3">
        <f t="shared" si="115"/>
        <v>0</v>
      </c>
      <c r="R2527" s="89"/>
      <c r="S2527" s="89">
        <f>100%-Table34[[#This Row],[PDF_initial fee]]</f>
        <v>1</v>
      </c>
      <c r="T2527" s="89"/>
      <c r="U2527" s="26"/>
    </row>
    <row r="2528" spans="1:27" x14ac:dyDescent="0.25">
      <c r="A2528">
        <v>135717</v>
      </c>
      <c r="B2528" t="s">
        <v>45</v>
      </c>
      <c r="C2528" t="s">
        <v>9388</v>
      </c>
      <c r="D2528">
        <v>8</v>
      </c>
      <c r="E2528" t="s">
        <v>45</v>
      </c>
      <c r="F2528" t="s">
        <v>3</v>
      </c>
      <c r="G2528" s="3">
        <v>1.4E-3</v>
      </c>
      <c r="H2528" s="3">
        <v>3.5000000000000003E-2</v>
      </c>
      <c r="I2528" s="3">
        <v>2.3E-3</v>
      </c>
      <c r="J2528" s="6"/>
      <c r="K2528" s="6"/>
      <c r="L2528" s="3">
        <f t="shared" si="114"/>
        <v>3.73E-2</v>
      </c>
      <c r="M2528" s="3"/>
      <c r="N2528" s="3">
        <f t="shared" si="115"/>
        <v>3.8699999999999998E-2</v>
      </c>
      <c r="O2528" t="s">
        <v>30300</v>
      </c>
      <c r="P2528" s="1" t="s">
        <v>30301</v>
      </c>
      <c r="Q2528" t="s">
        <v>31787</v>
      </c>
      <c r="R2528" s="89">
        <v>0.33333333333333348</v>
      </c>
      <c r="S2528" s="89">
        <f>100%-Table34[[#This Row],[InitialFee]]</f>
        <v>0.96499999999999997</v>
      </c>
      <c r="T2528" s="89">
        <f>(1-Table34[[#This Row],[OngoingFee (plus Platform fee)]])^5</f>
        <v>0.98855277846985634</v>
      </c>
      <c r="U2528" s="26">
        <f>(1+Table34[[#This Row],[Net 5yrs return (mostly up to 28th of Feb 2026)]])*Table34[[#This Row],[Investment after initial charge]]*Table34[[#This Row],[Cummulative 5yrs ongoing advice charge]]-1</f>
        <v>0.27193790829788211</v>
      </c>
      <c r="V2528" s="10">
        <v>114223</v>
      </c>
      <c r="W2528" t="s">
        <v>29051</v>
      </c>
      <c r="X2528" s="10">
        <v>114223</v>
      </c>
      <c r="Y2528" s="30">
        <f>X2528/V2528</f>
        <v>1</v>
      </c>
      <c r="AA2528" s="1" t="s">
        <v>30302</v>
      </c>
    </row>
    <row r="2529" spans="1:27" hidden="1" x14ac:dyDescent="0.25">
      <c r="A2529">
        <v>519747</v>
      </c>
      <c r="B2529" t="s">
        <v>2889</v>
      </c>
      <c r="C2529" t="s">
        <v>7096</v>
      </c>
      <c r="D2529">
        <v>3</v>
      </c>
      <c r="E2529" t="s">
        <v>2889</v>
      </c>
      <c r="G2529" s="3"/>
      <c r="H2529" s="21">
        <v>0</v>
      </c>
      <c r="I2529" s="21">
        <v>0</v>
      </c>
      <c r="J2529" s="21">
        <v>0</v>
      </c>
      <c r="K2529" s="21">
        <v>0</v>
      </c>
      <c r="L2529" s="3">
        <f t="shared" si="114"/>
        <v>0</v>
      </c>
      <c r="M2529" s="3"/>
      <c r="N2529" s="3">
        <f t="shared" si="115"/>
        <v>0</v>
      </c>
      <c r="R2529" s="89"/>
      <c r="S2529" s="89">
        <f>100%-Table34[[#This Row],[PDF_initial fee]]</f>
        <v>1</v>
      </c>
      <c r="T2529" s="89"/>
      <c r="U2529" s="26"/>
    </row>
    <row r="2530" spans="1:27" hidden="1" x14ac:dyDescent="0.25">
      <c r="A2530">
        <v>520200</v>
      </c>
      <c r="B2530" t="s">
        <v>2890</v>
      </c>
      <c r="C2530" t="s">
        <v>7990</v>
      </c>
      <c r="D2530">
        <v>3</v>
      </c>
      <c r="E2530" t="s">
        <v>2890</v>
      </c>
      <c r="G2530" s="3"/>
      <c r="H2530" s="21">
        <v>0</v>
      </c>
      <c r="I2530" s="21">
        <v>0</v>
      </c>
      <c r="J2530" s="21">
        <v>0</v>
      </c>
      <c r="K2530" s="21">
        <v>0</v>
      </c>
      <c r="L2530" s="3">
        <f t="shared" si="114"/>
        <v>0</v>
      </c>
      <c r="M2530" s="3"/>
      <c r="N2530" s="3">
        <f t="shared" si="115"/>
        <v>0</v>
      </c>
      <c r="R2530" s="89"/>
      <c r="S2530" s="89">
        <f>100%-Table34[[#This Row],[PDF_initial fee]]</f>
        <v>1</v>
      </c>
      <c r="T2530" s="89"/>
      <c r="U2530" s="26"/>
    </row>
    <row r="2531" spans="1:27" hidden="1" x14ac:dyDescent="0.25">
      <c r="A2531">
        <v>520332</v>
      </c>
      <c r="B2531" t="s">
        <v>2891</v>
      </c>
      <c r="C2531" t="s">
        <v>6958</v>
      </c>
      <c r="D2531">
        <v>0</v>
      </c>
      <c r="E2531" t="s">
        <v>2891</v>
      </c>
      <c r="F2531" t="s">
        <v>6958</v>
      </c>
      <c r="G2531" s="3"/>
      <c r="H2531" s="21">
        <v>0</v>
      </c>
      <c r="I2531" s="21">
        <v>0</v>
      </c>
      <c r="J2531" s="21">
        <v>0</v>
      </c>
      <c r="K2531" s="21">
        <v>0</v>
      </c>
      <c r="L2531" s="3">
        <f t="shared" si="114"/>
        <v>0</v>
      </c>
      <c r="M2531" s="3"/>
      <c r="N2531" s="3">
        <f t="shared" si="115"/>
        <v>0</v>
      </c>
      <c r="O2531" s="21"/>
      <c r="R2531" s="89"/>
      <c r="S2531" s="89">
        <f>100%-Table34[[#This Row],[PDF_initial fee]]</f>
        <v>1</v>
      </c>
      <c r="T2531" s="89"/>
      <c r="U2531" s="26"/>
    </row>
    <row r="2532" spans="1:27" hidden="1" x14ac:dyDescent="0.25">
      <c r="A2532">
        <v>520362</v>
      </c>
      <c r="B2532" t="s">
        <v>2892</v>
      </c>
      <c r="C2532" t="s">
        <v>9627</v>
      </c>
      <c r="D2532">
        <v>3</v>
      </c>
      <c r="E2532" t="s">
        <v>2892</v>
      </c>
      <c r="G2532" s="3"/>
      <c r="L2532" s="3">
        <f t="shared" si="114"/>
        <v>0</v>
      </c>
      <c r="M2532" s="3"/>
      <c r="N2532" s="3">
        <f t="shared" si="115"/>
        <v>0</v>
      </c>
      <c r="R2532" s="89"/>
      <c r="S2532" s="89">
        <f>100%-Table34[[#This Row],[PDF_initial fee]]</f>
        <v>1</v>
      </c>
      <c r="T2532" s="89"/>
      <c r="U2532" s="26"/>
    </row>
    <row r="2533" spans="1:27" hidden="1" x14ac:dyDescent="0.25">
      <c r="A2533">
        <v>520403</v>
      </c>
      <c r="B2533" t="s">
        <v>2893</v>
      </c>
      <c r="C2533" t="s">
        <v>6958</v>
      </c>
      <c r="D2533">
        <v>1</v>
      </c>
      <c r="E2533" t="s">
        <v>2893</v>
      </c>
      <c r="F2533" t="s">
        <v>6958</v>
      </c>
      <c r="G2533" s="3"/>
      <c r="H2533" s="21">
        <v>0</v>
      </c>
      <c r="I2533" s="21">
        <v>0</v>
      </c>
      <c r="J2533" s="21">
        <v>0</v>
      </c>
      <c r="K2533" s="21">
        <v>0</v>
      </c>
      <c r="L2533" s="3">
        <f t="shared" si="114"/>
        <v>0</v>
      </c>
      <c r="M2533" s="3"/>
      <c r="N2533" s="3">
        <f t="shared" si="115"/>
        <v>0</v>
      </c>
      <c r="R2533" s="89"/>
      <c r="S2533" s="89">
        <f>100%-Table34[[#This Row],[PDF_initial fee]]</f>
        <v>1</v>
      </c>
      <c r="T2533" s="89"/>
      <c r="U2533" s="26"/>
    </row>
    <row r="2534" spans="1:27" hidden="1" x14ac:dyDescent="0.25">
      <c r="A2534">
        <v>520487</v>
      </c>
      <c r="B2534" t="s">
        <v>2894</v>
      </c>
      <c r="C2534" t="s">
        <v>10734</v>
      </c>
      <c r="D2534">
        <v>1</v>
      </c>
      <c r="E2534" t="s">
        <v>2894</v>
      </c>
      <c r="G2534" s="3"/>
      <c r="H2534" s="21">
        <v>0</v>
      </c>
      <c r="I2534" s="21">
        <v>0</v>
      </c>
      <c r="J2534" s="21">
        <v>0</v>
      </c>
      <c r="K2534" s="21">
        <v>0</v>
      </c>
      <c r="L2534" s="3">
        <f t="shared" si="114"/>
        <v>0</v>
      </c>
      <c r="M2534" s="3"/>
      <c r="N2534" s="3">
        <f t="shared" si="115"/>
        <v>0</v>
      </c>
      <c r="R2534" s="89"/>
      <c r="S2534" s="89">
        <f>100%-Table34[[#This Row],[PDF_initial fee]]</f>
        <v>1</v>
      </c>
      <c r="T2534" s="89"/>
      <c r="U2534" s="26"/>
    </row>
    <row r="2535" spans="1:27" hidden="1" x14ac:dyDescent="0.25">
      <c r="A2535">
        <v>520525</v>
      </c>
      <c r="B2535" t="s">
        <v>2895</v>
      </c>
      <c r="C2535" t="s">
        <v>6958</v>
      </c>
      <c r="D2535">
        <v>1</v>
      </c>
      <c r="E2535" t="s">
        <v>2895</v>
      </c>
      <c r="F2535" t="s">
        <v>6958</v>
      </c>
      <c r="G2535" s="3"/>
      <c r="H2535" s="21">
        <v>0</v>
      </c>
      <c r="I2535" s="21">
        <v>0</v>
      </c>
      <c r="J2535" s="21">
        <v>0</v>
      </c>
      <c r="K2535" s="21">
        <v>0</v>
      </c>
      <c r="L2535" s="3">
        <f t="shared" si="114"/>
        <v>0</v>
      </c>
      <c r="M2535" s="3"/>
      <c r="N2535" s="3">
        <f t="shared" si="115"/>
        <v>0</v>
      </c>
      <c r="R2535" s="89"/>
      <c r="S2535" s="89">
        <f>100%-Table34[[#This Row],[PDF_initial fee]]</f>
        <v>1</v>
      </c>
      <c r="T2535" s="89"/>
      <c r="U2535" s="26"/>
    </row>
    <row r="2536" spans="1:27" hidden="1" x14ac:dyDescent="0.25">
      <c r="A2536">
        <v>520614</v>
      </c>
      <c r="B2536" t="s">
        <v>2896</v>
      </c>
      <c r="C2536" t="s">
        <v>30303</v>
      </c>
      <c r="D2536">
        <v>3</v>
      </c>
      <c r="E2536" t="s">
        <v>2896</v>
      </c>
      <c r="G2536" s="3"/>
      <c r="H2536" s="3">
        <v>0</v>
      </c>
      <c r="I2536" s="3">
        <v>0</v>
      </c>
      <c r="J2536" s="3">
        <v>0</v>
      </c>
      <c r="K2536" s="3">
        <v>0</v>
      </c>
      <c r="L2536" s="3">
        <f t="shared" si="114"/>
        <v>0</v>
      </c>
      <c r="M2536" s="3"/>
      <c r="N2536" s="3">
        <f t="shared" si="115"/>
        <v>0</v>
      </c>
      <c r="R2536" s="89"/>
      <c r="S2536" s="89">
        <f>100%-Table34[[#This Row],[PDF_initial fee]]</f>
        <v>1</v>
      </c>
      <c r="T2536" s="89"/>
      <c r="U2536" s="26"/>
    </row>
    <row r="2537" spans="1:27" x14ac:dyDescent="0.25">
      <c r="A2537">
        <v>189627</v>
      </c>
      <c r="B2537" t="s">
        <v>94</v>
      </c>
      <c r="C2537" t="s">
        <v>30304</v>
      </c>
      <c r="D2537">
        <v>82</v>
      </c>
      <c r="E2537" t="s">
        <v>94</v>
      </c>
      <c r="F2537" t="s">
        <v>6</v>
      </c>
      <c r="G2537" s="3">
        <v>8.2000000000000007E-3</v>
      </c>
      <c r="H2537" s="3">
        <v>0.02</v>
      </c>
      <c r="I2537" s="3">
        <v>3.65E-3</v>
      </c>
      <c r="J2537" s="6">
        <v>0</v>
      </c>
      <c r="K2537" s="6">
        <v>0</v>
      </c>
      <c r="L2537" s="3">
        <f t="shared" si="114"/>
        <v>2.3650000000000001E-2</v>
      </c>
      <c r="M2537" s="3"/>
      <c r="N2537" s="3">
        <f t="shared" si="115"/>
        <v>3.1850000000000003E-2</v>
      </c>
      <c r="O2537" t="s">
        <v>30305</v>
      </c>
      <c r="P2537" s="1" t="s">
        <v>30306</v>
      </c>
      <c r="Q2537" s="1" t="s">
        <v>30307</v>
      </c>
      <c r="R2537" s="89">
        <v>0.27600000000000002</v>
      </c>
      <c r="S2537" s="89">
        <f>100%-Table34[[#This Row],[InitialFee]]</f>
        <v>0.98</v>
      </c>
      <c r="T2537" s="89">
        <f>(1-Table34[[#This Row],[OngoingFee (plus Platform fee)]])^5</f>
        <v>0.98188273961554695</v>
      </c>
      <c r="U2537" s="26">
        <f>(1+Table34[[#This Row],[Net 5yrs return (mostly up to 28th of Feb 2026)]])*Table34[[#This Row],[Investment after initial charge]]*Table34[[#This Row],[Cummulative 5yrs ongoing advice charge]]-1</f>
        <v>0.22782472823444921</v>
      </c>
      <c r="V2537" s="10">
        <v>25922778</v>
      </c>
      <c r="W2537" t="s">
        <v>29081</v>
      </c>
      <c r="X2537" s="10">
        <v>7901141</v>
      </c>
      <c r="Y2537" s="30">
        <f>X2537/V2537</f>
        <v>0.30479530396009252</v>
      </c>
      <c r="AA2537" s="1" t="s">
        <v>30308</v>
      </c>
    </row>
    <row r="2538" spans="1:27" hidden="1" x14ac:dyDescent="0.25">
      <c r="A2538">
        <v>520796</v>
      </c>
      <c r="B2538" t="s">
        <v>2897</v>
      </c>
      <c r="C2538" t="s">
        <v>7466</v>
      </c>
      <c r="D2538">
        <v>1</v>
      </c>
      <c r="E2538" t="s">
        <v>2897</v>
      </c>
      <c r="G2538" s="3"/>
      <c r="H2538" s="21">
        <v>0</v>
      </c>
      <c r="I2538" s="21">
        <v>0</v>
      </c>
      <c r="J2538" s="21">
        <v>0</v>
      </c>
      <c r="K2538" s="21">
        <v>0</v>
      </c>
      <c r="L2538" s="3">
        <f t="shared" si="114"/>
        <v>0</v>
      </c>
      <c r="M2538" s="3"/>
      <c r="N2538" s="3">
        <f t="shared" si="115"/>
        <v>0</v>
      </c>
      <c r="R2538" s="89"/>
      <c r="S2538" s="89">
        <f>100%-Table34[[#This Row],[PDF_initial fee]]</f>
        <v>1</v>
      </c>
      <c r="T2538" s="89"/>
      <c r="U2538" s="26"/>
    </row>
    <row r="2539" spans="1:27" x14ac:dyDescent="0.25">
      <c r="A2539">
        <v>103287</v>
      </c>
      <c r="B2539" t="s">
        <v>2</v>
      </c>
      <c r="C2539" s="1" t="s">
        <v>30309</v>
      </c>
      <c r="D2539">
        <v>1</v>
      </c>
      <c r="E2539" t="s">
        <v>2</v>
      </c>
      <c r="F2539" t="s">
        <v>3</v>
      </c>
      <c r="G2539" s="3">
        <v>1.4E-3</v>
      </c>
      <c r="H2539" s="3">
        <f>2.5%+1%</f>
        <v>3.5000000000000003E-2</v>
      </c>
      <c r="I2539" s="3">
        <v>0</v>
      </c>
      <c r="J2539" s="6">
        <v>0</v>
      </c>
      <c r="K2539" s="6">
        <v>0</v>
      </c>
      <c r="L2539" s="3">
        <f t="shared" si="114"/>
        <v>3.5000000000000003E-2</v>
      </c>
      <c r="M2539" s="3"/>
      <c r="N2539" s="3">
        <f t="shared" si="115"/>
        <v>3.6400000000000002E-2</v>
      </c>
      <c r="O2539" s="21" t="s">
        <v>30310</v>
      </c>
      <c r="P2539" s="1" t="s">
        <v>30311</v>
      </c>
      <c r="Q2539" t="s">
        <v>31787</v>
      </c>
      <c r="R2539" s="89">
        <v>0.33333333333333348</v>
      </c>
      <c r="S2539" s="89">
        <f>100%-Table34[[#This Row],[InitialFee]]</f>
        <v>0.96499999999999997</v>
      </c>
      <c r="T2539" s="89">
        <f>(1-Table34[[#This Row],[PDF ongoing fee]])^5</f>
        <v>1</v>
      </c>
      <c r="U2539" s="26">
        <f>(1+Table34[[#This Row],[Net 5yrs return (mostly up to 28th of Feb 2026)]])*Table34[[#This Row],[Investment after initial charge]]*Table34[[#This Row],[Cummulative 5yrs ongoing advice charge]]-1</f>
        <v>0.28666666666666685</v>
      </c>
      <c r="V2539" s="10">
        <v>144000</v>
      </c>
      <c r="W2539" s="10" t="s">
        <v>29051</v>
      </c>
      <c r="X2539" s="10">
        <v>140667</v>
      </c>
      <c r="Y2539" s="91">
        <f>X2539/V2539</f>
        <v>0.97685416666666669</v>
      </c>
      <c r="Z2539" s="10"/>
      <c r="AA2539" s="1" t="s">
        <v>30312</v>
      </c>
    </row>
    <row r="2540" spans="1:27" hidden="1" x14ac:dyDescent="0.25">
      <c r="A2540">
        <v>521330</v>
      </c>
      <c r="B2540" t="s">
        <v>2898</v>
      </c>
      <c r="C2540" t="s">
        <v>8190</v>
      </c>
      <c r="D2540">
        <v>0</v>
      </c>
      <c r="E2540" t="s">
        <v>2898</v>
      </c>
      <c r="F2540" t="s">
        <v>3</v>
      </c>
      <c r="G2540" s="3"/>
      <c r="H2540" s="21">
        <v>0</v>
      </c>
      <c r="I2540" s="21">
        <v>0</v>
      </c>
      <c r="J2540" s="21">
        <v>0</v>
      </c>
      <c r="K2540" s="21">
        <v>0</v>
      </c>
      <c r="L2540" s="3">
        <f t="shared" ref="L2540:L2603" si="116">SUM(H2540:K2540)</f>
        <v>0</v>
      </c>
      <c r="M2540" s="3"/>
      <c r="N2540" s="3">
        <f t="shared" si="115"/>
        <v>0</v>
      </c>
      <c r="R2540" s="89"/>
      <c r="S2540" s="89">
        <f>100%-Table34[[#This Row],[PDF_initial fee]]</f>
        <v>1</v>
      </c>
      <c r="T2540" s="89"/>
      <c r="U2540" s="26"/>
    </row>
    <row r="2541" spans="1:27" hidden="1" x14ac:dyDescent="0.25">
      <c r="A2541">
        <v>521333</v>
      </c>
      <c r="B2541" t="s">
        <v>2900</v>
      </c>
      <c r="C2541" t="s">
        <v>30313</v>
      </c>
      <c r="D2541">
        <v>5</v>
      </c>
      <c r="E2541" t="s">
        <v>2900</v>
      </c>
      <c r="G2541" s="3"/>
      <c r="H2541" s="3">
        <v>0</v>
      </c>
      <c r="I2541" s="3">
        <v>0</v>
      </c>
      <c r="J2541" s="3">
        <v>0</v>
      </c>
      <c r="K2541" s="3">
        <v>0</v>
      </c>
      <c r="L2541" s="3">
        <f t="shared" si="116"/>
        <v>0</v>
      </c>
      <c r="M2541" s="3"/>
      <c r="N2541" s="3">
        <f t="shared" si="115"/>
        <v>0</v>
      </c>
      <c r="R2541" s="89"/>
      <c r="S2541" s="89">
        <f>100%-Table34[[#This Row],[PDF_initial fee]]</f>
        <v>1</v>
      </c>
      <c r="T2541" s="89"/>
      <c r="U2541" s="26"/>
    </row>
    <row r="2542" spans="1:27" hidden="1" x14ac:dyDescent="0.25">
      <c r="A2542">
        <v>521369</v>
      </c>
      <c r="B2542" t="s">
        <v>2901</v>
      </c>
      <c r="C2542" t="s">
        <v>11673</v>
      </c>
      <c r="D2542">
        <v>1</v>
      </c>
      <c r="E2542" t="s">
        <v>2901</v>
      </c>
      <c r="G2542" s="3"/>
      <c r="H2542" s="21">
        <v>0</v>
      </c>
      <c r="I2542" s="21">
        <v>0</v>
      </c>
      <c r="J2542" s="21">
        <v>0</v>
      </c>
      <c r="K2542" s="21">
        <v>0</v>
      </c>
      <c r="L2542" s="3">
        <f t="shared" si="116"/>
        <v>0</v>
      </c>
      <c r="M2542" s="3"/>
      <c r="N2542" s="3">
        <f t="shared" si="115"/>
        <v>0</v>
      </c>
      <c r="R2542" s="89"/>
      <c r="S2542" s="89">
        <f>100%-Table34[[#This Row],[PDF_initial fee]]</f>
        <v>1</v>
      </c>
      <c r="T2542" s="89"/>
      <c r="U2542" s="26"/>
    </row>
    <row r="2543" spans="1:27" hidden="1" x14ac:dyDescent="0.25">
      <c r="A2543">
        <v>521875</v>
      </c>
      <c r="B2543" t="s">
        <v>2904</v>
      </c>
      <c r="C2543" t="s">
        <v>10383</v>
      </c>
      <c r="D2543">
        <v>5</v>
      </c>
      <c r="E2543" t="s">
        <v>2904</v>
      </c>
      <c r="G2543" s="3"/>
      <c r="H2543" s="21">
        <v>0</v>
      </c>
      <c r="I2543" s="21">
        <v>0</v>
      </c>
      <c r="J2543" s="21">
        <v>0</v>
      </c>
      <c r="K2543" s="21">
        <v>0</v>
      </c>
      <c r="L2543" s="3">
        <f t="shared" si="116"/>
        <v>0</v>
      </c>
      <c r="M2543" s="3"/>
      <c r="N2543" s="3">
        <f t="shared" si="115"/>
        <v>0</v>
      </c>
      <c r="R2543" s="89"/>
      <c r="S2543" s="89">
        <f>100%-Table34[[#This Row],[PDF_initial fee]]</f>
        <v>1</v>
      </c>
      <c r="T2543" s="89"/>
      <c r="U2543" s="26"/>
    </row>
    <row r="2544" spans="1:27" hidden="1" x14ac:dyDescent="0.25">
      <c r="A2544">
        <v>521904</v>
      </c>
      <c r="B2544" t="s">
        <v>2905</v>
      </c>
      <c r="C2544" t="s">
        <v>11729</v>
      </c>
      <c r="D2544">
        <v>1</v>
      </c>
      <c r="E2544" t="s">
        <v>2905</v>
      </c>
      <c r="G2544" s="3"/>
      <c r="L2544" s="3">
        <f t="shared" si="116"/>
        <v>0</v>
      </c>
      <c r="M2544" s="3"/>
      <c r="N2544" s="3">
        <f t="shared" si="115"/>
        <v>0</v>
      </c>
      <c r="R2544" s="89"/>
      <c r="S2544" s="89">
        <f>100%-Table34[[#This Row],[PDF_initial fee]]</f>
        <v>1</v>
      </c>
      <c r="T2544" s="89"/>
      <c r="U2544" s="26"/>
    </row>
    <row r="2545" spans="1:28" hidden="1" x14ac:dyDescent="0.25">
      <c r="A2545">
        <v>521913</v>
      </c>
      <c r="B2545" t="s">
        <v>2906</v>
      </c>
      <c r="C2545" t="s">
        <v>6958</v>
      </c>
      <c r="D2545">
        <v>1</v>
      </c>
      <c r="E2545" t="s">
        <v>2906</v>
      </c>
      <c r="F2545" t="s">
        <v>6958</v>
      </c>
      <c r="G2545" s="3"/>
      <c r="H2545" s="21">
        <v>0</v>
      </c>
      <c r="I2545" s="21">
        <v>0</v>
      </c>
      <c r="J2545" s="21">
        <v>0</v>
      </c>
      <c r="K2545" s="21">
        <v>0</v>
      </c>
      <c r="L2545" s="3">
        <f t="shared" si="116"/>
        <v>0</v>
      </c>
      <c r="M2545" s="3"/>
      <c r="N2545" s="3">
        <f t="shared" si="115"/>
        <v>0</v>
      </c>
      <c r="R2545" s="89"/>
      <c r="S2545" s="89">
        <f>100%-Table34[[#This Row],[PDF_initial fee]]</f>
        <v>1</v>
      </c>
      <c r="T2545" s="89"/>
      <c r="U2545" s="26"/>
    </row>
    <row r="2546" spans="1:28" hidden="1" x14ac:dyDescent="0.25">
      <c r="A2546">
        <v>522008</v>
      </c>
      <c r="B2546" t="s">
        <v>2907</v>
      </c>
      <c r="C2546" t="s">
        <v>10412</v>
      </c>
      <c r="D2546">
        <v>2</v>
      </c>
      <c r="E2546" t="s">
        <v>2907</v>
      </c>
      <c r="G2546" s="3"/>
      <c r="H2546" s="21">
        <v>0</v>
      </c>
      <c r="I2546" s="21">
        <v>0</v>
      </c>
      <c r="J2546" s="21">
        <v>0</v>
      </c>
      <c r="K2546" s="21">
        <v>0</v>
      </c>
      <c r="L2546" s="3">
        <f t="shared" si="116"/>
        <v>0</v>
      </c>
      <c r="M2546" s="3"/>
      <c r="N2546" s="3">
        <f t="shared" si="115"/>
        <v>0</v>
      </c>
      <c r="R2546" s="89"/>
      <c r="S2546" s="89">
        <f>100%-Table34[[#This Row],[PDF_initial fee]]</f>
        <v>1</v>
      </c>
      <c r="T2546" s="89"/>
      <c r="U2546" s="26"/>
    </row>
    <row r="2547" spans="1:28" hidden="1" x14ac:dyDescent="0.25">
      <c r="A2547">
        <v>522048</v>
      </c>
      <c r="B2547" t="s">
        <v>2908</v>
      </c>
      <c r="C2547" t="s">
        <v>8960</v>
      </c>
      <c r="D2547">
        <v>0</v>
      </c>
      <c r="E2547" t="s">
        <v>2908</v>
      </c>
      <c r="F2547" t="s">
        <v>3</v>
      </c>
      <c r="G2547" s="3"/>
      <c r="H2547" s="21">
        <v>0</v>
      </c>
      <c r="I2547" s="21">
        <v>0</v>
      </c>
      <c r="J2547" s="21">
        <v>0</v>
      </c>
      <c r="K2547" s="21">
        <v>0</v>
      </c>
      <c r="L2547" s="3">
        <f t="shared" si="116"/>
        <v>0</v>
      </c>
      <c r="M2547" s="3"/>
      <c r="N2547" s="3">
        <f t="shared" si="115"/>
        <v>0</v>
      </c>
      <c r="R2547" s="89"/>
      <c r="S2547" s="89">
        <f>100%-Table34[[#This Row],[PDF_initial fee]]</f>
        <v>1</v>
      </c>
      <c r="T2547" s="89"/>
      <c r="U2547" s="26"/>
    </row>
    <row r="2548" spans="1:28" hidden="1" x14ac:dyDescent="0.25">
      <c r="A2548">
        <v>522125</v>
      </c>
      <c r="B2548" t="s">
        <v>2909</v>
      </c>
      <c r="C2548" t="s">
        <v>6958</v>
      </c>
      <c r="D2548">
        <v>3</v>
      </c>
      <c r="E2548" t="s">
        <v>2909</v>
      </c>
      <c r="F2548" t="s">
        <v>6958</v>
      </c>
      <c r="G2548" s="3"/>
      <c r="H2548" s="21">
        <v>0</v>
      </c>
      <c r="I2548" s="21">
        <v>0</v>
      </c>
      <c r="J2548" s="21">
        <v>0</v>
      </c>
      <c r="K2548" s="21">
        <v>0</v>
      </c>
      <c r="L2548" s="3">
        <f t="shared" si="116"/>
        <v>0</v>
      </c>
      <c r="M2548" s="3"/>
      <c r="N2548" s="3">
        <f t="shared" si="115"/>
        <v>0</v>
      </c>
      <c r="R2548" s="89"/>
      <c r="S2548" s="89">
        <f>100%-Table34[[#This Row],[PDF_initial fee]]</f>
        <v>1</v>
      </c>
      <c r="T2548" s="89"/>
      <c r="U2548" s="26"/>
    </row>
    <row r="2549" spans="1:28" x14ac:dyDescent="0.25">
      <c r="A2549">
        <v>446291</v>
      </c>
      <c r="B2549" t="s">
        <v>166</v>
      </c>
      <c r="C2549" t="s">
        <v>30314</v>
      </c>
      <c r="D2549">
        <v>11</v>
      </c>
      <c r="E2549" t="s">
        <v>166</v>
      </c>
      <c r="F2549" t="s">
        <v>3</v>
      </c>
      <c r="G2549" s="3">
        <v>1.4E-3</v>
      </c>
      <c r="H2549" s="51">
        <v>3.5000000000000003E-2</v>
      </c>
      <c r="I2549" s="21">
        <v>0.01</v>
      </c>
      <c r="J2549" s="6">
        <v>0</v>
      </c>
      <c r="K2549" s="6">
        <v>0</v>
      </c>
      <c r="L2549" s="3">
        <f t="shared" si="116"/>
        <v>4.5000000000000005E-2</v>
      </c>
      <c r="M2549" s="3"/>
      <c r="N2549" s="3">
        <f t="shared" si="115"/>
        <v>4.6400000000000004E-2</v>
      </c>
      <c r="O2549" s="21"/>
      <c r="P2549" s="31" t="s">
        <v>30311</v>
      </c>
      <c r="Q2549" t="s">
        <v>31787</v>
      </c>
      <c r="R2549" s="89">
        <v>0.33333333333333348</v>
      </c>
      <c r="S2549" s="89">
        <f>100%-Table34[[#This Row],[InitialFee]]</f>
        <v>0.96499999999999997</v>
      </c>
      <c r="T2549" s="89">
        <f>(1-Table34[[#This Row],[OngoingFee (plus Platform fee)]])^5</f>
        <v>0.95099004989999991</v>
      </c>
      <c r="U2549" s="26">
        <f>(1+Table34[[#This Row],[Net 5yrs return (mostly up to 28th of Feb 2026)]])*Table34[[#This Row],[Investment after initial charge]]*Table34[[#This Row],[Cummulative 5yrs ongoing advice charge]]-1</f>
        <v>0.22360719753800007</v>
      </c>
      <c r="V2549">
        <f>896572+34204</f>
        <v>930776</v>
      </c>
      <c r="W2549" t="s">
        <v>29051</v>
      </c>
      <c r="X2549" s="9">
        <v>729542</v>
      </c>
      <c r="Y2549" s="30">
        <f>X2549/V2549</f>
        <v>0.78379975418360592</v>
      </c>
      <c r="AA2549" s="1" t="s">
        <v>30315</v>
      </c>
      <c r="AB2549" t="s">
        <v>29302</v>
      </c>
    </row>
    <row r="2550" spans="1:28" hidden="1" x14ac:dyDescent="0.25">
      <c r="A2550">
        <v>522214</v>
      </c>
      <c r="B2550" t="s">
        <v>2910</v>
      </c>
      <c r="C2550" s="1" t="s">
        <v>30316</v>
      </c>
      <c r="D2550">
        <v>15</v>
      </c>
      <c r="E2550" t="s">
        <v>2910</v>
      </c>
      <c r="G2550" s="3"/>
      <c r="H2550" s="3">
        <v>0</v>
      </c>
      <c r="I2550" s="3">
        <v>0</v>
      </c>
      <c r="J2550" s="3">
        <v>0</v>
      </c>
      <c r="K2550" s="3">
        <v>0</v>
      </c>
      <c r="L2550" s="3">
        <f t="shared" si="116"/>
        <v>0</v>
      </c>
      <c r="M2550" s="3"/>
      <c r="N2550" s="3">
        <f t="shared" si="115"/>
        <v>0</v>
      </c>
      <c r="R2550" s="89"/>
      <c r="S2550" s="89">
        <f>100%-Table34[[#This Row],[PDF_initial fee]]</f>
        <v>1</v>
      </c>
      <c r="T2550" s="89"/>
      <c r="U2550" s="26"/>
    </row>
    <row r="2551" spans="1:28" hidden="1" x14ac:dyDescent="0.25">
      <c r="A2551">
        <v>522309</v>
      </c>
      <c r="B2551" t="s">
        <v>2911</v>
      </c>
      <c r="C2551" t="s">
        <v>6958</v>
      </c>
      <c r="D2551">
        <v>1</v>
      </c>
      <c r="E2551" t="s">
        <v>2911</v>
      </c>
      <c r="F2551" t="s">
        <v>6958</v>
      </c>
      <c r="G2551" s="3"/>
      <c r="H2551" s="21">
        <v>0</v>
      </c>
      <c r="I2551" s="21">
        <v>0</v>
      </c>
      <c r="J2551" s="21">
        <v>0</v>
      </c>
      <c r="K2551" s="21">
        <v>0</v>
      </c>
      <c r="L2551" s="3">
        <f t="shared" si="116"/>
        <v>0</v>
      </c>
      <c r="M2551" s="3"/>
      <c r="N2551" s="3">
        <f t="shared" si="115"/>
        <v>0</v>
      </c>
      <c r="R2551" s="89"/>
      <c r="S2551" s="89">
        <f>100%-Table34[[#This Row],[PDF_initial fee]]</f>
        <v>1</v>
      </c>
      <c r="T2551" s="89"/>
      <c r="U2551" s="26"/>
    </row>
    <row r="2552" spans="1:28" hidden="1" x14ac:dyDescent="0.25">
      <c r="A2552">
        <v>522330</v>
      </c>
      <c r="B2552" t="s">
        <v>2912</v>
      </c>
      <c r="C2552" t="s">
        <v>30317</v>
      </c>
      <c r="D2552">
        <v>3</v>
      </c>
      <c r="E2552" t="s">
        <v>2912</v>
      </c>
      <c r="G2552" s="3"/>
      <c r="H2552" s="21">
        <v>0</v>
      </c>
      <c r="I2552" s="21">
        <v>0</v>
      </c>
      <c r="J2552" s="21">
        <v>0</v>
      </c>
      <c r="K2552" s="21">
        <v>0</v>
      </c>
      <c r="L2552" s="3">
        <f t="shared" si="116"/>
        <v>0</v>
      </c>
      <c r="M2552" s="3"/>
      <c r="N2552" s="3">
        <f t="shared" si="115"/>
        <v>0</v>
      </c>
      <c r="O2552" s="21"/>
      <c r="R2552" s="89"/>
      <c r="S2552" s="89">
        <f>100%-Table34[[#This Row],[PDF_initial fee]]</f>
        <v>1</v>
      </c>
      <c r="T2552" s="89"/>
      <c r="U2552" s="26"/>
    </row>
    <row r="2553" spans="1:28" hidden="1" x14ac:dyDescent="0.25">
      <c r="A2553">
        <v>522337</v>
      </c>
      <c r="B2553" t="s">
        <v>2913</v>
      </c>
      <c r="C2553" t="s">
        <v>30318</v>
      </c>
      <c r="D2553">
        <v>1</v>
      </c>
      <c r="E2553" t="s">
        <v>2913</v>
      </c>
      <c r="G2553" s="3"/>
      <c r="H2553" s="3">
        <v>0</v>
      </c>
      <c r="I2553" s="3">
        <v>0</v>
      </c>
      <c r="J2553" s="3">
        <v>0</v>
      </c>
      <c r="K2553" s="3">
        <v>0</v>
      </c>
      <c r="L2553" s="3">
        <f t="shared" si="116"/>
        <v>0</v>
      </c>
      <c r="M2553" s="3"/>
      <c r="N2553" s="3">
        <f t="shared" si="115"/>
        <v>0</v>
      </c>
      <c r="R2553" s="89"/>
      <c r="S2553" s="89">
        <f>100%-Table34[[#This Row],[PDF_initial fee]]</f>
        <v>1</v>
      </c>
      <c r="T2553" s="89"/>
      <c r="U2553" s="26"/>
    </row>
    <row r="2554" spans="1:28" hidden="1" x14ac:dyDescent="0.25">
      <c r="A2554">
        <v>522390</v>
      </c>
      <c r="B2554" t="s">
        <v>2914</v>
      </c>
      <c r="C2554" t="s">
        <v>6958</v>
      </c>
      <c r="D2554">
        <v>0</v>
      </c>
      <c r="E2554" t="s">
        <v>2914</v>
      </c>
      <c r="F2554" t="s">
        <v>6958</v>
      </c>
      <c r="G2554" s="3"/>
      <c r="H2554" s="21">
        <v>0</v>
      </c>
      <c r="I2554" s="21">
        <v>0</v>
      </c>
      <c r="J2554" s="21">
        <v>0</v>
      </c>
      <c r="K2554" s="21">
        <v>0</v>
      </c>
      <c r="L2554" s="3">
        <f t="shared" si="116"/>
        <v>0</v>
      </c>
      <c r="M2554" s="3"/>
      <c r="N2554" s="3">
        <f t="shared" si="115"/>
        <v>0</v>
      </c>
      <c r="R2554" s="89"/>
      <c r="S2554" s="89">
        <f>100%-Table34[[#This Row],[PDF_initial fee]]</f>
        <v>1</v>
      </c>
      <c r="T2554" s="89"/>
      <c r="U2554" s="26"/>
    </row>
    <row r="2555" spans="1:28" hidden="1" x14ac:dyDescent="0.25">
      <c r="A2555">
        <v>522395</v>
      </c>
      <c r="B2555" t="s">
        <v>2915</v>
      </c>
      <c r="C2555" t="s">
        <v>6958</v>
      </c>
      <c r="D2555">
        <v>1</v>
      </c>
      <c r="E2555" t="s">
        <v>2915</v>
      </c>
      <c r="F2555" t="s">
        <v>6958</v>
      </c>
      <c r="G2555" s="3"/>
      <c r="H2555" s="21">
        <v>0</v>
      </c>
      <c r="I2555" s="21">
        <v>0</v>
      </c>
      <c r="J2555" s="21">
        <v>0</v>
      </c>
      <c r="K2555" s="21">
        <v>0</v>
      </c>
      <c r="L2555" s="3">
        <f t="shared" si="116"/>
        <v>0</v>
      </c>
      <c r="M2555" s="3"/>
      <c r="N2555" s="3">
        <f t="shared" si="115"/>
        <v>0</v>
      </c>
      <c r="R2555" s="89"/>
      <c r="S2555" s="89">
        <f>100%-Table34[[#This Row],[PDF_initial fee]]</f>
        <v>1</v>
      </c>
      <c r="T2555" s="89"/>
      <c r="U2555" s="26"/>
    </row>
    <row r="2556" spans="1:28" hidden="1" x14ac:dyDescent="0.25">
      <c r="A2556">
        <v>522649</v>
      </c>
      <c r="B2556" t="s">
        <v>2917</v>
      </c>
      <c r="C2556" t="s">
        <v>8855</v>
      </c>
      <c r="D2556">
        <v>8</v>
      </c>
      <c r="E2556" t="s">
        <v>2917</v>
      </c>
      <c r="G2556" s="3"/>
      <c r="H2556" s="21">
        <v>0</v>
      </c>
      <c r="I2556" s="21">
        <v>0</v>
      </c>
      <c r="J2556" s="21">
        <v>0</v>
      </c>
      <c r="K2556" s="21">
        <v>0</v>
      </c>
      <c r="L2556" s="3">
        <f t="shared" si="116"/>
        <v>0</v>
      </c>
      <c r="M2556" s="3"/>
      <c r="N2556" s="3">
        <f t="shared" si="115"/>
        <v>0</v>
      </c>
      <c r="R2556" s="89"/>
      <c r="S2556" s="89">
        <f>100%-Table34[[#This Row],[PDF_initial fee]]</f>
        <v>1</v>
      </c>
      <c r="T2556" s="89"/>
      <c r="U2556" s="26"/>
    </row>
    <row r="2557" spans="1:28" hidden="1" x14ac:dyDescent="0.25">
      <c r="A2557">
        <v>522660</v>
      </c>
      <c r="B2557" t="s">
        <v>2918</v>
      </c>
      <c r="C2557" t="s">
        <v>6958</v>
      </c>
      <c r="D2557">
        <v>2</v>
      </c>
      <c r="E2557" t="s">
        <v>2918</v>
      </c>
      <c r="F2557" t="s">
        <v>6958</v>
      </c>
      <c r="G2557" s="3"/>
      <c r="H2557" s="21">
        <v>0</v>
      </c>
      <c r="I2557" s="21">
        <v>0</v>
      </c>
      <c r="J2557" s="21">
        <v>0</v>
      </c>
      <c r="K2557" s="21">
        <v>0</v>
      </c>
      <c r="L2557" s="3">
        <f t="shared" si="116"/>
        <v>0</v>
      </c>
      <c r="M2557" s="3"/>
      <c r="N2557" s="3">
        <f t="shared" si="115"/>
        <v>0</v>
      </c>
      <c r="R2557" s="89"/>
      <c r="S2557" s="89">
        <f>100%-Table34[[#This Row],[PDF_initial fee]]</f>
        <v>1</v>
      </c>
      <c r="T2557" s="89"/>
      <c r="U2557" s="26"/>
    </row>
    <row r="2558" spans="1:28" hidden="1" x14ac:dyDescent="0.25">
      <c r="A2558">
        <v>523126</v>
      </c>
      <c r="B2558" t="s">
        <v>2919</v>
      </c>
      <c r="C2558" t="s">
        <v>8391</v>
      </c>
      <c r="D2558">
        <v>1</v>
      </c>
      <c r="E2558" t="s">
        <v>2919</v>
      </c>
      <c r="G2558" s="3"/>
      <c r="H2558" s="21">
        <v>0</v>
      </c>
      <c r="I2558" s="21">
        <v>0</v>
      </c>
      <c r="J2558" s="21">
        <v>0</v>
      </c>
      <c r="K2558" s="21">
        <v>0</v>
      </c>
      <c r="L2558" s="3">
        <f t="shared" si="116"/>
        <v>0</v>
      </c>
      <c r="M2558" s="3"/>
      <c r="N2558" s="3">
        <f t="shared" si="115"/>
        <v>0</v>
      </c>
      <c r="R2558" s="89"/>
      <c r="S2558" s="89">
        <f>100%-Table34[[#This Row],[PDF_initial fee]]</f>
        <v>1</v>
      </c>
      <c r="T2558" s="89"/>
      <c r="U2558" s="26"/>
    </row>
    <row r="2559" spans="1:28" hidden="1" x14ac:dyDescent="0.25">
      <c r="A2559">
        <v>523173</v>
      </c>
      <c r="B2559" t="s">
        <v>2920</v>
      </c>
      <c r="C2559" t="s">
        <v>30319</v>
      </c>
      <c r="D2559">
        <v>8</v>
      </c>
      <c r="E2559" t="s">
        <v>2920</v>
      </c>
      <c r="G2559" s="3"/>
      <c r="H2559" s="3"/>
      <c r="I2559" s="3"/>
      <c r="J2559" s="3"/>
      <c r="K2559" s="3"/>
      <c r="L2559" s="3">
        <f t="shared" si="116"/>
        <v>0</v>
      </c>
      <c r="M2559" s="3"/>
      <c r="N2559" s="3">
        <f t="shared" si="115"/>
        <v>0</v>
      </c>
      <c r="R2559" s="89"/>
      <c r="S2559" s="89">
        <f>100%-Table34[[#This Row],[PDF_initial fee]]</f>
        <v>1</v>
      </c>
      <c r="T2559" s="89"/>
      <c r="U2559" s="26"/>
    </row>
    <row r="2560" spans="1:28" hidden="1" x14ac:dyDescent="0.25">
      <c r="A2560">
        <v>523237</v>
      </c>
      <c r="B2560" t="s">
        <v>2921</v>
      </c>
      <c r="C2560" t="s">
        <v>9068</v>
      </c>
      <c r="D2560">
        <v>2</v>
      </c>
      <c r="E2560" t="s">
        <v>2921</v>
      </c>
      <c r="G2560" s="3"/>
      <c r="H2560" s="21">
        <v>0</v>
      </c>
      <c r="I2560" s="21">
        <v>0</v>
      </c>
      <c r="J2560" s="21">
        <v>0</v>
      </c>
      <c r="K2560" s="21">
        <v>0</v>
      </c>
      <c r="L2560" s="3">
        <f t="shared" si="116"/>
        <v>0</v>
      </c>
      <c r="M2560" s="3"/>
      <c r="N2560" s="3">
        <f t="shared" si="115"/>
        <v>0</v>
      </c>
      <c r="R2560" s="89"/>
      <c r="S2560" s="89">
        <f>100%-Table34[[#This Row],[PDF_initial fee]]</f>
        <v>1</v>
      </c>
      <c r="T2560" s="89"/>
      <c r="U2560" s="26"/>
    </row>
    <row r="2561" spans="1:21" hidden="1" x14ac:dyDescent="0.25">
      <c r="A2561">
        <v>523247</v>
      </c>
      <c r="B2561" t="s">
        <v>2922</v>
      </c>
      <c r="C2561" t="s">
        <v>8336</v>
      </c>
      <c r="D2561">
        <v>1</v>
      </c>
      <c r="E2561" t="s">
        <v>2922</v>
      </c>
      <c r="G2561" s="3"/>
      <c r="H2561" s="21">
        <v>0</v>
      </c>
      <c r="I2561" s="21">
        <v>0</v>
      </c>
      <c r="J2561" s="21">
        <v>0</v>
      </c>
      <c r="K2561" s="21">
        <v>0</v>
      </c>
      <c r="L2561" s="3">
        <f t="shared" si="116"/>
        <v>0</v>
      </c>
      <c r="M2561" s="3"/>
      <c r="N2561" s="3">
        <f t="shared" si="115"/>
        <v>0</v>
      </c>
      <c r="R2561" s="89"/>
      <c r="S2561" s="89">
        <f>100%-Table34[[#This Row],[PDF_initial fee]]</f>
        <v>1</v>
      </c>
      <c r="T2561" s="89"/>
      <c r="U2561" s="26"/>
    </row>
    <row r="2562" spans="1:21" hidden="1" x14ac:dyDescent="0.25">
      <c r="A2562">
        <v>523254</v>
      </c>
      <c r="B2562" t="s">
        <v>2923</v>
      </c>
      <c r="C2562" t="s">
        <v>7186</v>
      </c>
      <c r="D2562">
        <v>19</v>
      </c>
      <c r="E2562" t="s">
        <v>2923</v>
      </c>
      <c r="G2562" s="3"/>
      <c r="L2562" s="3">
        <f t="shared" si="116"/>
        <v>0</v>
      </c>
      <c r="M2562" s="3"/>
      <c r="N2562" s="3">
        <f t="shared" si="115"/>
        <v>0</v>
      </c>
      <c r="R2562" s="89"/>
      <c r="S2562" s="89">
        <f>100%-Table34[[#This Row],[PDF_initial fee]]</f>
        <v>1</v>
      </c>
      <c r="T2562" s="89"/>
      <c r="U2562" s="26"/>
    </row>
    <row r="2563" spans="1:21" hidden="1" x14ac:dyDescent="0.25">
      <c r="A2563">
        <v>523308</v>
      </c>
      <c r="B2563" t="s">
        <v>2924</v>
      </c>
      <c r="C2563" t="s">
        <v>9152</v>
      </c>
      <c r="D2563">
        <v>1</v>
      </c>
      <c r="E2563" t="s">
        <v>2924</v>
      </c>
      <c r="G2563" s="3"/>
      <c r="H2563" s="21">
        <v>0</v>
      </c>
      <c r="I2563" s="21">
        <v>0</v>
      </c>
      <c r="J2563" s="21">
        <v>0</v>
      </c>
      <c r="K2563" s="21">
        <v>0</v>
      </c>
      <c r="L2563" s="3">
        <f t="shared" si="116"/>
        <v>0</v>
      </c>
      <c r="M2563" s="3"/>
      <c r="N2563" s="3">
        <f t="shared" si="115"/>
        <v>0</v>
      </c>
      <c r="R2563" s="89"/>
      <c r="S2563" s="89">
        <f>100%-Table34[[#This Row],[PDF_initial fee]]</f>
        <v>1</v>
      </c>
      <c r="T2563" s="89"/>
      <c r="U2563" s="26"/>
    </row>
    <row r="2564" spans="1:21" hidden="1" x14ac:dyDescent="0.25">
      <c r="A2564">
        <v>523565</v>
      </c>
      <c r="B2564" t="s">
        <v>2926</v>
      </c>
      <c r="C2564" t="s">
        <v>30320</v>
      </c>
      <c r="D2564">
        <v>2</v>
      </c>
      <c r="E2564" t="s">
        <v>2926</v>
      </c>
      <c r="G2564" s="3"/>
      <c r="H2564" s="21">
        <v>0</v>
      </c>
      <c r="I2564" s="3">
        <v>0</v>
      </c>
      <c r="J2564" s="3">
        <v>0</v>
      </c>
      <c r="K2564">
        <v>0</v>
      </c>
      <c r="L2564" s="3">
        <f t="shared" si="116"/>
        <v>0</v>
      </c>
      <c r="M2564" s="3"/>
      <c r="N2564" s="3">
        <f t="shared" si="115"/>
        <v>0</v>
      </c>
      <c r="R2564" s="89"/>
      <c r="S2564" s="89">
        <f>100%-Table34[[#This Row],[PDF_initial fee]]</f>
        <v>1</v>
      </c>
      <c r="T2564" s="89"/>
      <c r="U2564" s="26"/>
    </row>
    <row r="2565" spans="1:21" hidden="1" x14ac:dyDescent="0.25">
      <c r="A2565">
        <v>523569</v>
      </c>
      <c r="B2565" t="s">
        <v>2927</v>
      </c>
      <c r="C2565" t="s">
        <v>6958</v>
      </c>
      <c r="D2565">
        <v>1</v>
      </c>
      <c r="E2565" t="s">
        <v>2927</v>
      </c>
      <c r="F2565" t="s">
        <v>6958</v>
      </c>
      <c r="G2565" s="3"/>
      <c r="H2565" s="21">
        <v>0</v>
      </c>
      <c r="I2565" s="21">
        <v>0</v>
      </c>
      <c r="J2565" s="21">
        <v>0</v>
      </c>
      <c r="K2565" s="21">
        <v>0</v>
      </c>
      <c r="L2565" s="3">
        <f t="shared" si="116"/>
        <v>0</v>
      </c>
      <c r="M2565" s="3"/>
      <c r="N2565" s="3">
        <f t="shared" si="115"/>
        <v>0</v>
      </c>
      <c r="R2565" s="89"/>
      <c r="S2565" s="89">
        <f>100%-Table34[[#This Row],[PDF_initial fee]]</f>
        <v>1</v>
      </c>
      <c r="T2565" s="89"/>
      <c r="U2565" s="26"/>
    </row>
    <row r="2566" spans="1:21" hidden="1" x14ac:dyDescent="0.25">
      <c r="A2566">
        <v>523620</v>
      </c>
      <c r="B2566" t="s">
        <v>2928</v>
      </c>
      <c r="C2566" t="s">
        <v>30321</v>
      </c>
      <c r="D2566">
        <v>0</v>
      </c>
      <c r="E2566" t="s">
        <v>2928</v>
      </c>
      <c r="F2566" t="s">
        <v>29136</v>
      </c>
      <c r="G2566" s="3"/>
      <c r="L2566" s="3">
        <f t="shared" si="116"/>
        <v>0</v>
      </c>
      <c r="M2566" s="3"/>
      <c r="N2566" s="3">
        <f t="shared" si="115"/>
        <v>0</v>
      </c>
      <c r="R2566" s="89"/>
      <c r="S2566" s="89">
        <f>100%-Table34[[#This Row],[PDF_initial fee]]</f>
        <v>1</v>
      </c>
      <c r="T2566" s="89"/>
      <c r="U2566" s="26"/>
    </row>
    <row r="2567" spans="1:21" hidden="1" x14ac:dyDescent="0.25">
      <c r="A2567">
        <v>523632</v>
      </c>
      <c r="B2567" t="s">
        <v>2929</v>
      </c>
      <c r="C2567" t="s">
        <v>30322</v>
      </c>
      <c r="D2567">
        <v>4</v>
      </c>
      <c r="E2567" t="s">
        <v>2929</v>
      </c>
      <c r="G2567" s="3"/>
      <c r="H2567" s="3">
        <v>0</v>
      </c>
      <c r="I2567" s="3">
        <v>0</v>
      </c>
      <c r="J2567" s="3">
        <v>0</v>
      </c>
      <c r="K2567" s="3">
        <v>0</v>
      </c>
      <c r="L2567" s="3">
        <f t="shared" si="116"/>
        <v>0</v>
      </c>
      <c r="M2567" s="3"/>
      <c r="N2567" s="3">
        <f t="shared" si="115"/>
        <v>0</v>
      </c>
      <c r="R2567" s="89"/>
      <c r="S2567" s="89">
        <f>100%-Table34[[#This Row],[PDF_initial fee]]</f>
        <v>1</v>
      </c>
      <c r="T2567" s="89"/>
      <c r="U2567" s="26"/>
    </row>
    <row r="2568" spans="1:21" hidden="1" x14ac:dyDescent="0.25">
      <c r="A2568">
        <v>524109</v>
      </c>
      <c r="B2568" t="s">
        <v>2930</v>
      </c>
      <c r="C2568" t="s">
        <v>30323</v>
      </c>
      <c r="D2568">
        <v>2</v>
      </c>
      <c r="E2568" t="s">
        <v>2930</v>
      </c>
      <c r="G2568" s="3"/>
      <c r="H2568" s="3">
        <v>0</v>
      </c>
      <c r="I2568" s="3">
        <v>0</v>
      </c>
      <c r="J2568" s="3">
        <v>0</v>
      </c>
      <c r="K2568" s="3">
        <v>0</v>
      </c>
      <c r="L2568" s="3">
        <f t="shared" si="116"/>
        <v>0</v>
      </c>
      <c r="M2568" s="3"/>
      <c r="N2568" s="3">
        <f t="shared" si="115"/>
        <v>0</v>
      </c>
      <c r="R2568" s="89"/>
      <c r="S2568" s="89">
        <f>100%-Table34[[#This Row],[PDF_initial fee]]</f>
        <v>1</v>
      </c>
      <c r="T2568" s="89"/>
      <c r="U2568" s="26"/>
    </row>
    <row r="2569" spans="1:21" hidden="1" x14ac:dyDescent="0.25">
      <c r="A2569">
        <v>524256</v>
      </c>
      <c r="B2569" t="s">
        <v>2931</v>
      </c>
      <c r="C2569" t="s">
        <v>6958</v>
      </c>
      <c r="D2569">
        <v>1</v>
      </c>
      <c r="E2569" t="s">
        <v>2931</v>
      </c>
      <c r="F2569" t="s">
        <v>6958</v>
      </c>
      <c r="G2569" s="3"/>
      <c r="H2569" s="21">
        <v>0</v>
      </c>
      <c r="I2569" s="21">
        <v>0</v>
      </c>
      <c r="J2569" s="21">
        <v>0</v>
      </c>
      <c r="K2569" s="21">
        <v>0</v>
      </c>
      <c r="L2569" s="3">
        <f t="shared" si="116"/>
        <v>0</v>
      </c>
      <c r="M2569" s="3"/>
      <c r="N2569" s="3">
        <f t="shared" si="115"/>
        <v>0</v>
      </c>
      <c r="R2569" s="89"/>
      <c r="S2569" s="89">
        <f>100%-Table34[[#This Row],[PDF_initial fee]]</f>
        <v>1</v>
      </c>
      <c r="T2569" s="89"/>
      <c r="U2569" s="26"/>
    </row>
    <row r="2570" spans="1:21" hidden="1" x14ac:dyDescent="0.25">
      <c r="A2570">
        <v>524428</v>
      </c>
      <c r="B2570" t="s">
        <v>2932</v>
      </c>
      <c r="C2570" t="s">
        <v>6958</v>
      </c>
      <c r="D2570">
        <v>3</v>
      </c>
      <c r="E2570" t="s">
        <v>2932</v>
      </c>
      <c r="F2570" t="s">
        <v>6958</v>
      </c>
      <c r="G2570" s="3"/>
      <c r="H2570" s="21">
        <v>0</v>
      </c>
      <c r="I2570" s="21">
        <v>0</v>
      </c>
      <c r="J2570" s="21">
        <v>0</v>
      </c>
      <c r="K2570" s="21">
        <v>0</v>
      </c>
      <c r="L2570" s="3">
        <f t="shared" si="116"/>
        <v>0</v>
      </c>
      <c r="M2570" s="3"/>
      <c r="N2570" s="3">
        <f t="shared" ref="N2570:N2633" si="117">L2570+G2570</f>
        <v>0</v>
      </c>
      <c r="R2570" s="89"/>
      <c r="S2570" s="89">
        <f>100%-Table34[[#This Row],[PDF_initial fee]]</f>
        <v>1</v>
      </c>
      <c r="T2570" s="89"/>
      <c r="U2570" s="26"/>
    </row>
    <row r="2571" spans="1:21" hidden="1" x14ac:dyDescent="0.25">
      <c r="A2571">
        <v>524458</v>
      </c>
      <c r="B2571" t="s">
        <v>2933</v>
      </c>
      <c r="C2571" t="s">
        <v>6958</v>
      </c>
      <c r="D2571">
        <v>1</v>
      </c>
      <c r="E2571" t="s">
        <v>2933</v>
      </c>
      <c r="F2571" t="s">
        <v>6958</v>
      </c>
      <c r="G2571" s="3"/>
      <c r="H2571" s="21">
        <v>0</v>
      </c>
      <c r="I2571" s="21">
        <v>0</v>
      </c>
      <c r="J2571" s="21">
        <v>0</v>
      </c>
      <c r="K2571" s="21">
        <v>0</v>
      </c>
      <c r="L2571" s="3">
        <f t="shared" si="116"/>
        <v>0</v>
      </c>
      <c r="M2571" s="3"/>
      <c r="N2571" s="3">
        <f t="shared" si="117"/>
        <v>0</v>
      </c>
      <c r="R2571" s="89"/>
      <c r="S2571" s="89">
        <f>100%-Table34[[#This Row],[PDF_initial fee]]</f>
        <v>1</v>
      </c>
      <c r="T2571" s="89"/>
      <c r="U2571" s="26"/>
    </row>
    <row r="2572" spans="1:21" hidden="1" x14ac:dyDescent="0.25">
      <c r="A2572">
        <v>524535</v>
      </c>
      <c r="B2572" t="s">
        <v>2934</v>
      </c>
      <c r="C2572" t="s">
        <v>6958</v>
      </c>
      <c r="D2572">
        <v>2</v>
      </c>
      <c r="E2572" t="s">
        <v>2934</v>
      </c>
      <c r="F2572" t="s">
        <v>6958</v>
      </c>
      <c r="G2572" s="3"/>
      <c r="H2572" s="21">
        <v>0</v>
      </c>
      <c r="I2572" s="21">
        <v>0</v>
      </c>
      <c r="J2572" s="21">
        <v>0</v>
      </c>
      <c r="K2572" s="21">
        <v>0</v>
      </c>
      <c r="L2572" s="3">
        <f t="shared" si="116"/>
        <v>0</v>
      </c>
      <c r="M2572" s="3"/>
      <c r="N2572" s="3">
        <f t="shared" si="117"/>
        <v>0</v>
      </c>
      <c r="R2572" s="89"/>
      <c r="S2572" s="89">
        <f>100%-Table34[[#This Row],[PDF_initial fee]]</f>
        <v>1</v>
      </c>
      <c r="T2572" s="89"/>
      <c r="U2572" s="26"/>
    </row>
    <row r="2573" spans="1:21" hidden="1" x14ac:dyDescent="0.25">
      <c r="A2573">
        <v>524635</v>
      </c>
      <c r="B2573" t="s">
        <v>2935</v>
      </c>
      <c r="C2573" t="s">
        <v>10972</v>
      </c>
      <c r="D2573">
        <v>1</v>
      </c>
      <c r="E2573" t="s">
        <v>2935</v>
      </c>
      <c r="G2573" s="3"/>
      <c r="H2573" s="21">
        <v>0</v>
      </c>
      <c r="I2573" s="21">
        <v>0</v>
      </c>
      <c r="J2573" s="21">
        <v>0</v>
      </c>
      <c r="K2573" s="21">
        <v>0</v>
      </c>
      <c r="L2573" s="3">
        <f t="shared" si="116"/>
        <v>0</v>
      </c>
      <c r="M2573" s="3"/>
      <c r="N2573" s="3">
        <f t="shared" si="117"/>
        <v>0</v>
      </c>
      <c r="R2573" s="89"/>
      <c r="S2573" s="89">
        <f>100%-Table34[[#This Row],[PDF_initial fee]]</f>
        <v>1</v>
      </c>
      <c r="T2573" s="89"/>
      <c r="U2573" s="26"/>
    </row>
    <row r="2574" spans="1:21" hidden="1" x14ac:dyDescent="0.25">
      <c r="A2574">
        <v>524674</v>
      </c>
      <c r="B2574" t="s">
        <v>2936</v>
      </c>
      <c r="C2574" t="s">
        <v>6958</v>
      </c>
      <c r="D2574">
        <v>3</v>
      </c>
      <c r="E2574" t="s">
        <v>2936</v>
      </c>
      <c r="F2574" t="s">
        <v>6958</v>
      </c>
      <c r="G2574" s="3"/>
      <c r="L2574" s="3">
        <f t="shared" si="116"/>
        <v>0</v>
      </c>
      <c r="M2574" s="3"/>
      <c r="N2574" s="3">
        <f t="shared" si="117"/>
        <v>0</v>
      </c>
      <c r="R2574" s="89"/>
      <c r="S2574" s="89">
        <f>100%-Table34[[#This Row],[PDF_initial fee]]</f>
        <v>1</v>
      </c>
      <c r="T2574" s="89"/>
      <c r="U2574" s="26"/>
    </row>
    <row r="2575" spans="1:21" hidden="1" x14ac:dyDescent="0.25">
      <c r="A2575">
        <v>524733</v>
      </c>
      <c r="B2575" t="s">
        <v>2937</v>
      </c>
      <c r="C2575" t="s">
        <v>10244</v>
      </c>
      <c r="D2575">
        <v>0</v>
      </c>
      <c r="E2575" t="s">
        <v>2937</v>
      </c>
      <c r="F2575" t="s">
        <v>29136</v>
      </c>
      <c r="G2575" s="3"/>
      <c r="L2575" s="3">
        <f t="shared" si="116"/>
        <v>0</v>
      </c>
      <c r="M2575" s="3"/>
      <c r="N2575" s="3">
        <f t="shared" si="117"/>
        <v>0</v>
      </c>
      <c r="R2575" s="89"/>
      <c r="S2575" s="89">
        <f>100%-Table34[[#This Row],[PDF_initial fee]]</f>
        <v>1</v>
      </c>
      <c r="T2575" s="89"/>
      <c r="U2575" s="26"/>
    </row>
    <row r="2576" spans="1:21" hidden="1" x14ac:dyDescent="0.25">
      <c r="A2576">
        <v>524775</v>
      </c>
      <c r="B2576" t="s">
        <v>2938</v>
      </c>
      <c r="C2576" t="s">
        <v>30324</v>
      </c>
      <c r="D2576">
        <v>2</v>
      </c>
      <c r="E2576" t="s">
        <v>2938</v>
      </c>
      <c r="G2576" s="3"/>
      <c r="H2576" s="3">
        <v>0</v>
      </c>
      <c r="I2576" s="3">
        <v>0</v>
      </c>
      <c r="J2576" s="3">
        <v>0</v>
      </c>
      <c r="K2576" s="3">
        <v>0</v>
      </c>
      <c r="L2576" s="3">
        <f t="shared" si="116"/>
        <v>0</v>
      </c>
      <c r="M2576" s="3"/>
      <c r="N2576" s="3">
        <f t="shared" si="117"/>
        <v>0</v>
      </c>
      <c r="R2576" s="89"/>
      <c r="S2576" s="89">
        <f>100%-Table34[[#This Row],[PDF_initial fee]]</f>
        <v>1</v>
      </c>
      <c r="T2576" s="89"/>
      <c r="U2576" s="26"/>
    </row>
    <row r="2577" spans="1:27" hidden="1" x14ac:dyDescent="0.25">
      <c r="A2577">
        <v>524896</v>
      </c>
      <c r="B2577" t="s">
        <v>2941</v>
      </c>
      <c r="C2577" t="s">
        <v>6958</v>
      </c>
      <c r="D2577">
        <v>1</v>
      </c>
      <c r="E2577" t="s">
        <v>2941</v>
      </c>
      <c r="F2577" t="s">
        <v>6958</v>
      </c>
      <c r="G2577" s="3"/>
      <c r="H2577" s="21">
        <v>0</v>
      </c>
      <c r="I2577" s="21">
        <v>0</v>
      </c>
      <c r="J2577" s="21">
        <v>0</v>
      </c>
      <c r="K2577" s="21">
        <v>0</v>
      </c>
      <c r="L2577" s="3">
        <f t="shared" si="116"/>
        <v>0</v>
      </c>
      <c r="M2577" s="3"/>
      <c r="N2577" s="3">
        <f t="shared" si="117"/>
        <v>0</v>
      </c>
      <c r="R2577" s="89"/>
      <c r="S2577" s="89">
        <f>100%-Table34[[#This Row],[PDF_initial fee]]</f>
        <v>1</v>
      </c>
      <c r="T2577" s="89"/>
      <c r="U2577" s="26"/>
    </row>
    <row r="2578" spans="1:27" hidden="1" x14ac:dyDescent="0.25">
      <c r="A2578">
        <v>524966</v>
      </c>
      <c r="B2578" t="s">
        <v>2942</v>
      </c>
      <c r="C2578" t="s">
        <v>11912</v>
      </c>
      <c r="D2578">
        <v>2</v>
      </c>
      <c r="E2578" t="s">
        <v>2942</v>
      </c>
      <c r="G2578" s="3"/>
      <c r="H2578" s="21">
        <v>0</v>
      </c>
      <c r="I2578" s="21">
        <v>0</v>
      </c>
      <c r="J2578" s="21">
        <v>0</v>
      </c>
      <c r="K2578" s="21">
        <v>0</v>
      </c>
      <c r="L2578" s="3">
        <f t="shared" si="116"/>
        <v>0</v>
      </c>
      <c r="M2578" s="3"/>
      <c r="N2578" s="3">
        <f t="shared" si="117"/>
        <v>0</v>
      </c>
      <c r="R2578" s="89"/>
      <c r="S2578" s="89">
        <f>100%-Table34[[#This Row],[PDF_initial fee]]</f>
        <v>1</v>
      </c>
      <c r="T2578" s="89"/>
      <c r="U2578" s="26"/>
    </row>
    <row r="2579" spans="1:27" hidden="1" x14ac:dyDescent="0.25">
      <c r="A2579">
        <v>525128</v>
      </c>
      <c r="B2579" t="s">
        <v>2943</v>
      </c>
      <c r="C2579" t="s">
        <v>6958</v>
      </c>
      <c r="D2579">
        <v>1</v>
      </c>
      <c r="E2579" t="s">
        <v>2943</v>
      </c>
      <c r="F2579" t="s">
        <v>6958</v>
      </c>
      <c r="G2579" s="3"/>
      <c r="L2579" s="3">
        <f t="shared" si="116"/>
        <v>0</v>
      </c>
      <c r="M2579" s="3"/>
      <c r="N2579" s="3">
        <f t="shared" si="117"/>
        <v>0</v>
      </c>
      <c r="R2579" s="89"/>
      <c r="S2579" s="89">
        <f>100%-Table34[[#This Row],[PDF_initial fee]]</f>
        <v>1</v>
      </c>
      <c r="T2579" s="89"/>
      <c r="U2579" s="26"/>
    </row>
    <row r="2580" spans="1:27" hidden="1" x14ac:dyDescent="0.25">
      <c r="A2580">
        <v>525140</v>
      </c>
      <c r="B2580" t="s">
        <v>2944</v>
      </c>
      <c r="C2580" t="s">
        <v>6958</v>
      </c>
      <c r="D2580">
        <v>1</v>
      </c>
      <c r="E2580" t="s">
        <v>2944</v>
      </c>
      <c r="F2580" t="s">
        <v>6958</v>
      </c>
      <c r="G2580" s="3"/>
      <c r="L2580" s="3">
        <f t="shared" si="116"/>
        <v>0</v>
      </c>
      <c r="M2580" s="3"/>
      <c r="N2580" s="3">
        <f t="shared" si="117"/>
        <v>0</v>
      </c>
      <c r="R2580" s="89"/>
      <c r="S2580" s="89">
        <f>100%-Table34[[#This Row],[PDF_initial fee]]</f>
        <v>1</v>
      </c>
      <c r="T2580" s="89"/>
      <c r="U2580" s="26"/>
    </row>
    <row r="2581" spans="1:27" hidden="1" x14ac:dyDescent="0.25">
      <c r="A2581">
        <v>525147</v>
      </c>
      <c r="B2581" t="s">
        <v>2945</v>
      </c>
      <c r="C2581" t="s">
        <v>9685</v>
      </c>
      <c r="D2581">
        <v>0</v>
      </c>
      <c r="E2581" t="s">
        <v>2945</v>
      </c>
      <c r="F2581" t="s">
        <v>3</v>
      </c>
      <c r="G2581" s="3"/>
      <c r="H2581" s="21">
        <v>0</v>
      </c>
      <c r="I2581" s="21">
        <v>0</v>
      </c>
      <c r="J2581" s="21">
        <v>0</v>
      </c>
      <c r="K2581" s="21">
        <v>0</v>
      </c>
      <c r="L2581" s="3">
        <f t="shared" si="116"/>
        <v>0</v>
      </c>
      <c r="M2581" s="3"/>
      <c r="N2581" s="3">
        <f t="shared" si="117"/>
        <v>0</v>
      </c>
      <c r="R2581" s="89"/>
      <c r="S2581" s="89">
        <f>100%-Table34[[#This Row],[PDF_initial fee]]</f>
        <v>1</v>
      </c>
      <c r="T2581" s="89"/>
      <c r="U2581" s="26"/>
    </row>
    <row r="2582" spans="1:27" hidden="1" x14ac:dyDescent="0.25">
      <c r="A2582">
        <v>525407</v>
      </c>
      <c r="B2582" t="s">
        <v>2946</v>
      </c>
      <c r="C2582" t="s">
        <v>11395</v>
      </c>
      <c r="D2582">
        <v>2</v>
      </c>
      <c r="E2582" t="s">
        <v>2946</v>
      </c>
      <c r="G2582" s="3"/>
      <c r="H2582" s="21">
        <v>0</v>
      </c>
      <c r="I2582" s="21">
        <v>0</v>
      </c>
      <c r="J2582" s="21">
        <v>0</v>
      </c>
      <c r="K2582" s="21">
        <v>0</v>
      </c>
      <c r="L2582" s="3">
        <f t="shared" si="116"/>
        <v>0</v>
      </c>
      <c r="M2582" s="3"/>
      <c r="N2582" s="3">
        <f t="shared" si="117"/>
        <v>0</v>
      </c>
      <c r="R2582" s="89"/>
      <c r="S2582" s="89">
        <f>100%-Table34[[#This Row],[PDF_initial fee]]</f>
        <v>1</v>
      </c>
      <c r="T2582" s="89"/>
      <c r="U2582" s="26"/>
    </row>
    <row r="2583" spans="1:27" hidden="1" x14ac:dyDescent="0.25">
      <c r="A2583">
        <v>525431</v>
      </c>
      <c r="B2583" t="s">
        <v>2948</v>
      </c>
      <c r="C2583" t="s">
        <v>10455</v>
      </c>
      <c r="D2583">
        <v>1</v>
      </c>
      <c r="E2583" t="s">
        <v>2948</v>
      </c>
      <c r="G2583" s="3"/>
      <c r="H2583" s="21">
        <v>0</v>
      </c>
      <c r="I2583" s="21">
        <v>0</v>
      </c>
      <c r="J2583" s="21">
        <v>0</v>
      </c>
      <c r="K2583" s="21">
        <v>0</v>
      </c>
      <c r="L2583" s="3">
        <f t="shared" si="116"/>
        <v>0</v>
      </c>
      <c r="M2583" s="3"/>
      <c r="N2583" s="3">
        <f t="shared" si="117"/>
        <v>0</v>
      </c>
      <c r="R2583" s="89"/>
      <c r="S2583" s="89">
        <f>100%-Table34[[#This Row],[PDF_initial fee]]</f>
        <v>1</v>
      </c>
      <c r="T2583" s="89"/>
      <c r="U2583" s="26"/>
    </row>
    <row r="2584" spans="1:27" hidden="1" x14ac:dyDescent="0.25">
      <c r="A2584">
        <v>525567</v>
      </c>
      <c r="B2584" t="s">
        <v>2949</v>
      </c>
      <c r="C2584" t="s">
        <v>9849</v>
      </c>
      <c r="D2584">
        <v>4</v>
      </c>
      <c r="E2584" t="s">
        <v>2949</v>
      </c>
      <c r="G2584" s="3"/>
      <c r="L2584" s="3">
        <f t="shared" si="116"/>
        <v>0</v>
      </c>
      <c r="M2584" s="3"/>
      <c r="N2584" s="3">
        <f t="shared" si="117"/>
        <v>0</v>
      </c>
      <c r="R2584" s="89"/>
      <c r="S2584" s="89">
        <f>100%-Table34[[#This Row],[PDF_initial fee]]</f>
        <v>1</v>
      </c>
      <c r="T2584" s="89"/>
      <c r="U2584" s="26"/>
    </row>
    <row r="2585" spans="1:27" hidden="1" x14ac:dyDescent="0.25">
      <c r="A2585">
        <v>525679</v>
      </c>
      <c r="B2585" t="s">
        <v>2950</v>
      </c>
      <c r="C2585" t="s">
        <v>9453</v>
      </c>
      <c r="D2585">
        <v>2</v>
      </c>
      <c r="E2585" t="s">
        <v>2950</v>
      </c>
      <c r="G2585" s="3"/>
      <c r="H2585" s="21">
        <v>0</v>
      </c>
      <c r="I2585" s="21">
        <v>0</v>
      </c>
      <c r="J2585" s="21">
        <v>0</v>
      </c>
      <c r="K2585" s="21">
        <v>0</v>
      </c>
      <c r="L2585" s="3">
        <f t="shared" si="116"/>
        <v>0</v>
      </c>
      <c r="M2585" s="3"/>
      <c r="N2585" s="3">
        <f t="shared" si="117"/>
        <v>0</v>
      </c>
      <c r="R2585" s="89"/>
      <c r="S2585" s="89">
        <f>100%-Table34[[#This Row],[PDF_initial fee]]</f>
        <v>1</v>
      </c>
      <c r="T2585" s="89"/>
      <c r="U2585" s="26"/>
    </row>
    <row r="2586" spans="1:27" x14ac:dyDescent="0.25">
      <c r="A2586">
        <v>197493</v>
      </c>
      <c r="B2586" t="s">
        <v>108</v>
      </c>
      <c r="C2586" t="s">
        <v>9647</v>
      </c>
      <c r="D2586">
        <v>2</v>
      </c>
      <c r="E2586" t="s">
        <v>108</v>
      </c>
      <c r="F2586" t="s">
        <v>3</v>
      </c>
      <c r="G2586" s="3">
        <v>1.4E-3</v>
      </c>
      <c r="H2586" s="21">
        <v>0.01</v>
      </c>
      <c r="I2586" s="3">
        <v>7.4999999999999997E-3</v>
      </c>
      <c r="J2586" s="6">
        <v>0</v>
      </c>
      <c r="K2586" s="6">
        <v>0</v>
      </c>
      <c r="L2586" s="3">
        <f t="shared" si="116"/>
        <v>1.7500000000000002E-2</v>
      </c>
      <c r="M2586" s="3"/>
      <c r="N2586" s="3">
        <f t="shared" si="117"/>
        <v>1.89E-2</v>
      </c>
      <c r="P2586" s="1" t="s">
        <v>30325</v>
      </c>
      <c r="Q2586" t="s">
        <v>31787</v>
      </c>
      <c r="R2586" s="89">
        <v>0.33333333333333348</v>
      </c>
      <c r="S2586" s="89">
        <f>100%-Table34[[#This Row],[InitialFee]]</f>
        <v>0.99</v>
      </c>
      <c r="T2586" s="89">
        <f>(1-Table34[[#This Row],[OngoingFee (plus Platform fee)]])^5</f>
        <v>0.9630582970465823</v>
      </c>
      <c r="U2586" s="26">
        <f>(1+Table34[[#This Row],[Net 5yrs return (mostly up to 28th of Feb 2026)]])*Table34[[#This Row],[Investment after initial charge]]*Table34[[#This Row],[Cummulative 5yrs ongoing advice charge]]-1</f>
        <v>0.27123695210148879</v>
      </c>
      <c r="V2586" s="10">
        <v>216317</v>
      </c>
      <c r="W2586" t="s">
        <v>29051</v>
      </c>
      <c r="X2586" s="10">
        <v>85954</v>
      </c>
      <c r="Y2586" s="30">
        <f>X2586/V2586</f>
        <v>0.39735203428301985</v>
      </c>
      <c r="AA2586" s="1" t="s">
        <v>30326</v>
      </c>
    </row>
    <row r="2587" spans="1:27" hidden="1" x14ac:dyDescent="0.25">
      <c r="A2587">
        <v>525739</v>
      </c>
      <c r="B2587" t="s">
        <v>2951</v>
      </c>
      <c r="C2587" t="s">
        <v>30327</v>
      </c>
      <c r="D2587">
        <v>1</v>
      </c>
      <c r="E2587" t="s">
        <v>2951</v>
      </c>
      <c r="G2587" s="3"/>
      <c r="H2587" s="3">
        <v>0</v>
      </c>
      <c r="I2587" s="3">
        <v>0</v>
      </c>
      <c r="J2587" s="3">
        <v>0</v>
      </c>
      <c r="K2587" s="3">
        <v>0</v>
      </c>
      <c r="L2587" s="3">
        <f t="shared" si="116"/>
        <v>0</v>
      </c>
      <c r="M2587" s="3"/>
      <c r="N2587" s="3">
        <f t="shared" si="117"/>
        <v>0</v>
      </c>
      <c r="R2587" s="89"/>
      <c r="S2587" s="89">
        <f>100%-Table34[[#This Row],[PDF_initial fee]]</f>
        <v>1</v>
      </c>
      <c r="T2587" s="89"/>
      <c r="U2587" s="26"/>
    </row>
    <row r="2588" spans="1:27" x14ac:dyDescent="0.25">
      <c r="A2588">
        <v>192005</v>
      </c>
      <c r="B2588" t="s">
        <v>100</v>
      </c>
      <c r="C2588" t="s">
        <v>30328</v>
      </c>
      <c r="D2588">
        <v>4</v>
      </c>
      <c r="E2588" t="s">
        <v>100</v>
      </c>
      <c r="F2588" t="s">
        <v>3</v>
      </c>
      <c r="G2588" s="3">
        <v>1.4E-3</v>
      </c>
      <c r="H2588" s="3">
        <v>0</v>
      </c>
      <c r="I2588" s="3">
        <v>0</v>
      </c>
      <c r="J2588" s="6">
        <v>7.4999999999999997E-3</v>
      </c>
      <c r="K2588" s="6">
        <v>0.01</v>
      </c>
      <c r="L2588" s="3">
        <f t="shared" si="116"/>
        <v>1.7500000000000002E-2</v>
      </c>
      <c r="M2588" s="3"/>
      <c r="N2588" s="3">
        <f t="shared" si="117"/>
        <v>1.89E-2</v>
      </c>
      <c r="P2588" s="1" t="s">
        <v>30329</v>
      </c>
      <c r="Q2588" t="s">
        <v>31787</v>
      </c>
      <c r="R2588" s="89">
        <v>0.33333333333333348</v>
      </c>
      <c r="S2588" s="89">
        <f>100%-Table34[[#This Row],[PDF_initial fee]]</f>
        <v>0.99250000000000005</v>
      </c>
      <c r="T2588" s="89">
        <f>(1-Table34[[#This Row],[PDF ongoing fee]])^5</f>
        <v>0.95099004989999991</v>
      </c>
      <c r="U2588" s="26">
        <f>(1+Table34[[#This Row],[Net 5yrs return (mostly up to 28th of Feb 2026)]])*Table34[[#This Row],[Investment after initial charge]]*Table34[[#This Row],[Cummulative 5yrs ongoing advice charge]]-1</f>
        <v>0.25847683270100008</v>
      </c>
      <c r="V2588" s="10">
        <f>150140+338110</f>
        <v>488250</v>
      </c>
      <c r="W2588" t="s">
        <v>29051</v>
      </c>
      <c r="X2588" s="10">
        <v>270006</v>
      </c>
      <c r="Y2588" s="30">
        <f>X2588/V2588</f>
        <v>0.55300768049155147</v>
      </c>
      <c r="AA2588" s="1" t="s">
        <v>30330</v>
      </c>
    </row>
    <row r="2589" spans="1:27" hidden="1" x14ac:dyDescent="0.25">
      <c r="A2589">
        <v>525784</v>
      </c>
      <c r="B2589" t="s">
        <v>2952</v>
      </c>
      <c r="C2589" t="s">
        <v>30331</v>
      </c>
      <c r="D2589">
        <v>3</v>
      </c>
      <c r="E2589" t="s">
        <v>2952</v>
      </c>
      <c r="G2589" s="3"/>
      <c r="H2589" s="21">
        <v>0</v>
      </c>
      <c r="I2589" s="21">
        <v>0</v>
      </c>
      <c r="J2589" s="21">
        <v>0</v>
      </c>
      <c r="K2589" s="21">
        <v>0</v>
      </c>
      <c r="L2589" s="3">
        <f t="shared" si="116"/>
        <v>0</v>
      </c>
      <c r="M2589" s="3"/>
      <c r="N2589" s="3">
        <f t="shared" si="117"/>
        <v>0</v>
      </c>
      <c r="O2589" s="21"/>
      <c r="R2589" s="89"/>
      <c r="S2589" s="89">
        <f>100%-Table34[[#This Row],[PDF_initial fee]]</f>
        <v>1</v>
      </c>
      <c r="T2589" s="89"/>
      <c r="U2589" s="26"/>
    </row>
    <row r="2590" spans="1:27" hidden="1" x14ac:dyDescent="0.25">
      <c r="A2590">
        <v>525831</v>
      </c>
      <c r="B2590" t="s">
        <v>2953</v>
      </c>
      <c r="C2590" t="s">
        <v>30332</v>
      </c>
      <c r="D2590">
        <v>2</v>
      </c>
      <c r="E2590" t="s">
        <v>2953</v>
      </c>
      <c r="G2590" s="3"/>
      <c r="H2590" s="3">
        <v>0</v>
      </c>
      <c r="I2590" s="3">
        <v>0</v>
      </c>
      <c r="J2590" s="3">
        <v>0</v>
      </c>
      <c r="K2590" s="3">
        <v>0</v>
      </c>
      <c r="L2590" s="3">
        <f t="shared" si="116"/>
        <v>0</v>
      </c>
      <c r="M2590" s="3"/>
      <c r="N2590" s="3">
        <f t="shared" si="117"/>
        <v>0</v>
      </c>
      <c r="R2590" s="89"/>
      <c r="S2590" s="89">
        <f>100%-Table34[[#This Row],[PDF_initial fee]]</f>
        <v>1</v>
      </c>
      <c r="T2590" s="89"/>
      <c r="U2590" s="26"/>
    </row>
    <row r="2591" spans="1:27" hidden="1" x14ac:dyDescent="0.25">
      <c r="A2591">
        <v>525901</v>
      </c>
      <c r="B2591" t="s">
        <v>2955</v>
      </c>
      <c r="C2591" t="s">
        <v>6958</v>
      </c>
      <c r="D2591">
        <v>1</v>
      </c>
      <c r="E2591" t="s">
        <v>2955</v>
      </c>
      <c r="F2591" t="s">
        <v>6958</v>
      </c>
      <c r="G2591" s="3"/>
      <c r="H2591" s="21">
        <v>0</v>
      </c>
      <c r="I2591" s="21">
        <v>0</v>
      </c>
      <c r="J2591" s="21">
        <v>0</v>
      </c>
      <c r="K2591" s="21">
        <v>0</v>
      </c>
      <c r="L2591" s="3">
        <f t="shared" si="116"/>
        <v>0</v>
      </c>
      <c r="M2591" s="3"/>
      <c r="N2591" s="3">
        <f t="shared" si="117"/>
        <v>0</v>
      </c>
      <c r="R2591" s="89"/>
      <c r="S2591" s="89">
        <f>100%-Table34[[#This Row],[PDF_initial fee]]</f>
        <v>1</v>
      </c>
      <c r="T2591" s="89"/>
      <c r="U2591" s="26"/>
    </row>
    <row r="2592" spans="1:27" hidden="1" x14ac:dyDescent="0.25">
      <c r="A2592">
        <v>525915</v>
      </c>
      <c r="B2592" t="s">
        <v>2956</v>
      </c>
      <c r="C2592" t="s">
        <v>9098</v>
      </c>
      <c r="D2592">
        <v>4</v>
      </c>
      <c r="E2592" t="s">
        <v>2956</v>
      </c>
      <c r="G2592" s="3"/>
      <c r="H2592" s="21">
        <v>0</v>
      </c>
      <c r="I2592" s="21">
        <v>0</v>
      </c>
      <c r="J2592" s="21">
        <v>0</v>
      </c>
      <c r="K2592" s="21">
        <v>0</v>
      </c>
      <c r="L2592" s="3">
        <f t="shared" si="116"/>
        <v>0</v>
      </c>
      <c r="M2592" s="3"/>
      <c r="N2592" s="3">
        <f t="shared" si="117"/>
        <v>0</v>
      </c>
      <c r="R2592" s="89"/>
      <c r="S2592" s="89">
        <f>100%-Table34[[#This Row],[PDF_initial fee]]</f>
        <v>1</v>
      </c>
      <c r="T2592" s="89"/>
      <c r="U2592" s="26"/>
    </row>
    <row r="2593" spans="1:27" hidden="1" x14ac:dyDescent="0.25">
      <c r="A2593">
        <v>525929</v>
      </c>
      <c r="B2593" t="s">
        <v>2957</v>
      </c>
      <c r="C2593" t="s">
        <v>6958</v>
      </c>
      <c r="D2593">
        <v>1</v>
      </c>
      <c r="E2593" t="s">
        <v>2957</v>
      </c>
      <c r="F2593" t="s">
        <v>6958</v>
      </c>
      <c r="G2593" s="3"/>
      <c r="H2593" s="21">
        <v>0</v>
      </c>
      <c r="I2593" s="21">
        <v>0</v>
      </c>
      <c r="J2593" s="21">
        <v>0</v>
      </c>
      <c r="K2593" s="21">
        <v>0</v>
      </c>
      <c r="L2593" s="3">
        <f t="shared" si="116"/>
        <v>0</v>
      </c>
      <c r="M2593" s="3"/>
      <c r="N2593" s="3">
        <f t="shared" si="117"/>
        <v>0</v>
      </c>
      <c r="R2593" s="89"/>
      <c r="S2593" s="89">
        <f>100%-Table34[[#This Row],[PDF_initial fee]]</f>
        <v>1</v>
      </c>
      <c r="T2593" s="89"/>
      <c r="U2593" s="26"/>
    </row>
    <row r="2594" spans="1:27" hidden="1" x14ac:dyDescent="0.25">
      <c r="A2594">
        <v>525971</v>
      </c>
      <c r="B2594" t="s">
        <v>2958</v>
      </c>
      <c r="C2594" t="s">
        <v>30333</v>
      </c>
      <c r="D2594">
        <v>2</v>
      </c>
      <c r="E2594" t="s">
        <v>2958</v>
      </c>
      <c r="G2594" s="3"/>
      <c r="H2594" s="3">
        <v>0</v>
      </c>
      <c r="I2594" s="3">
        <v>0</v>
      </c>
      <c r="J2594" s="3">
        <v>0</v>
      </c>
      <c r="K2594" s="3">
        <v>0</v>
      </c>
      <c r="L2594" s="3">
        <f t="shared" si="116"/>
        <v>0</v>
      </c>
      <c r="M2594" s="3"/>
      <c r="N2594" s="3">
        <f t="shared" si="117"/>
        <v>0</v>
      </c>
      <c r="R2594" s="89"/>
      <c r="S2594" s="89">
        <f>100%-Table34[[#This Row],[PDF_initial fee]]</f>
        <v>1</v>
      </c>
      <c r="T2594" s="89"/>
      <c r="U2594" s="26"/>
    </row>
    <row r="2595" spans="1:27" hidden="1" x14ac:dyDescent="0.25">
      <c r="A2595">
        <v>525989</v>
      </c>
      <c r="B2595" t="s">
        <v>2959</v>
      </c>
      <c r="C2595" t="s">
        <v>30334</v>
      </c>
      <c r="D2595">
        <v>3</v>
      </c>
      <c r="E2595" t="s">
        <v>2959</v>
      </c>
      <c r="G2595" s="3"/>
      <c r="H2595" s="3">
        <v>0</v>
      </c>
      <c r="I2595" s="3">
        <v>0</v>
      </c>
      <c r="J2595" s="3">
        <v>0</v>
      </c>
      <c r="K2595" s="3">
        <v>0</v>
      </c>
      <c r="L2595" s="3">
        <f t="shared" si="116"/>
        <v>0</v>
      </c>
      <c r="M2595" s="3"/>
      <c r="N2595" s="3">
        <f t="shared" si="117"/>
        <v>0</v>
      </c>
      <c r="R2595" s="89"/>
      <c r="S2595" s="89">
        <f>100%-Table34[[#This Row],[PDF_initial fee]]</f>
        <v>1</v>
      </c>
      <c r="T2595" s="89"/>
      <c r="U2595" s="26"/>
    </row>
    <row r="2596" spans="1:27" hidden="1" x14ac:dyDescent="0.25">
      <c r="A2596">
        <v>526015</v>
      </c>
      <c r="B2596" t="s">
        <v>2960</v>
      </c>
      <c r="C2596" t="s">
        <v>30335</v>
      </c>
      <c r="D2596">
        <v>1</v>
      </c>
      <c r="E2596" t="s">
        <v>2960</v>
      </c>
      <c r="G2596" s="3"/>
      <c r="H2596" s="21">
        <v>0</v>
      </c>
      <c r="I2596" s="21">
        <v>0</v>
      </c>
      <c r="J2596" s="21">
        <v>0</v>
      </c>
      <c r="K2596" s="21">
        <v>0</v>
      </c>
      <c r="L2596" s="3">
        <f t="shared" si="116"/>
        <v>0</v>
      </c>
      <c r="M2596" s="3"/>
      <c r="N2596" s="3">
        <f t="shared" si="117"/>
        <v>0</v>
      </c>
      <c r="O2596" s="21"/>
      <c r="R2596" s="89"/>
      <c r="S2596" s="89">
        <f>100%-Table34[[#This Row],[PDF_initial fee]]</f>
        <v>1</v>
      </c>
      <c r="T2596" s="89"/>
      <c r="U2596" s="26"/>
    </row>
    <row r="2597" spans="1:27" hidden="1" x14ac:dyDescent="0.25">
      <c r="A2597">
        <v>526095</v>
      </c>
      <c r="B2597" t="s">
        <v>2961</v>
      </c>
      <c r="C2597" t="s">
        <v>6958</v>
      </c>
      <c r="D2597">
        <v>3</v>
      </c>
      <c r="E2597" t="s">
        <v>2961</v>
      </c>
      <c r="F2597" t="s">
        <v>6958</v>
      </c>
      <c r="G2597" s="3"/>
      <c r="H2597" s="21">
        <v>0</v>
      </c>
      <c r="I2597" s="21">
        <v>0</v>
      </c>
      <c r="J2597" s="21">
        <v>0</v>
      </c>
      <c r="K2597" s="21">
        <v>0</v>
      </c>
      <c r="L2597" s="3">
        <f t="shared" si="116"/>
        <v>0</v>
      </c>
      <c r="M2597" s="3"/>
      <c r="N2597" s="3">
        <f t="shared" si="117"/>
        <v>0</v>
      </c>
      <c r="R2597" s="89"/>
      <c r="S2597" s="89">
        <f>100%-Table34[[#This Row],[PDF_initial fee]]</f>
        <v>1</v>
      </c>
      <c r="T2597" s="89"/>
      <c r="U2597" s="26"/>
    </row>
    <row r="2598" spans="1:27" hidden="1" x14ac:dyDescent="0.25">
      <c r="A2598">
        <v>526101</v>
      </c>
      <c r="B2598" t="s">
        <v>2962</v>
      </c>
      <c r="C2598" t="s">
        <v>6958</v>
      </c>
      <c r="D2598">
        <v>1</v>
      </c>
      <c r="E2598" t="s">
        <v>2962</v>
      </c>
      <c r="F2598" t="s">
        <v>6958</v>
      </c>
      <c r="G2598" s="3"/>
      <c r="H2598" s="21">
        <v>0</v>
      </c>
      <c r="I2598" s="21">
        <v>0</v>
      </c>
      <c r="J2598" s="21">
        <v>0</v>
      </c>
      <c r="K2598" s="21">
        <v>0</v>
      </c>
      <c r="L2598" s="3">
        <f t="shared" si="116"/>
        <v>0</v>
      </c>
      <c r="M2598" s="3"/>
      <c r="N2598" s="3">
        <f t="shared" si="117"/>
        <v>0</v>
      </c>
      <c r="R2598" s="89"/>
      <c r="S2598" s="89">
        <f>100%-Table34[[#This Row],[PDF_initial fee]]</f>
        <v>1</v>
      </c>
      <c r="T2598" s="89"/>
      <c r="U2598" s="26"/>
    </row>
    <row r="2599" spans="1:27" hidden="1" x14ac:dyDescent="0.25">
      <c r="A2599">
        <v>526121</v>
      </c>
      <c r="B2599" t="s">
        <v>2963</v>
      </c>
      <c r="C2599" t="s">
        <v>6958</v>
      </c>
      <c r="D2599">
        <v>2</v>
      </c>
      <c r="E2599" t="s">
        <v>2963</v>
      </c>
      <c r="F2599" t="s">
        <v>6958</v>
      </c>
      <c r="G2599" s="3"/>
      <c r="H2599" s="21">
        <v>0</v>
      </c>
      <c r="I2599" s="21">
        <v>0</v>
      </c>
      <c r="J2599" s="21">
        <v>0</v>
      </c>
      <c r="K2599" s="21">
        <v>0</v>
      </c>
      <c r="L2599" s="3">
        <f t="shared" si="116"/>
        <v>0</v>
      </c>
      <c r="M2599" s="3"/>
      <c r="N2599" s="3">
        <f t="shared" si="117"/>
        <v>0</v>
      </c>
      <c r="R2599" s="89"/>
      <c r="S2599" s="89">
        <f>100%-Table34[[#This Row],[PDF_initial fee]]</f>
        <v>1</v>
      </c>
      <c r="T2599" s="89"/>
      <c r="U2599" s="26"/>
    </row>
    <row r="2600" spans="1:27" hidden="1" x14ac:dyDescent="0.25">
      <c r="A2600">
        <v>526124</v>
      </c>
      <c r="B2600" t="s">
        <v>2964</v>
      </c>
      <c r="C2600" t="s">
        <v>6958</v>
      </c>
      <c r="D2600">
        <v>1</v>
      </c>
      <c r="E2600" t="s">
        <v>2964</v>
      </c>
      <c r="F2600" t="s">
        <v>6958</v>
      </c>
      <c r="G2600" s="3"/>
      <c r="L2600" s="3">
        <f t="shared" si="116"/>
        <v>0</v>
      </c>
      <c r="M2600" s="3"/>
      <c r="N2600" s="3">
        <f t="shared" si="117"/>
        <v>0</v>
      </c>
      <c r="R2600" s="89"/>
      <c r="S2600" s="89">
        <f>100%-Table34[[#This Row],[PDF_initial fee]]</f>
        <v>1</v>
      </c>
      <c r="T2600" s="89"/>
      <c r="U2600" s="26"/>
    </row>
    <row r="2601" spans="1:27" x14ac:dyDescent="0.25">
      <c r="A2601">
        <v>207297</v>
      </c>
      <c r="B2601" t="s">
        <v>110</v>
      </c>
      <c r="C2601" t="s">
        <v>9690</v>
      </c>
      <c r="D2601">
        <v>5</v>
      </c>
      <c r="E2601" t="s">
        <v>110</v>
      </c>
      <c r="F2601" t="s">
        <v>3</v>
      </c>
      <c r="G2601" s="3">
        <v>1.4E-3</v>
      </c>
      <c r="H2601" s="3">
        <f>(1.5%+0.75%)/2</f>
        <v>1.125E-2</v>
      </c>
      <c r="I2601" s="3">
        <v>5.0000000000000001E-3</v>
      </c>
      <c r="J2601" s="6">
        <v>0</v>
      </c>
      <c r="K2601" s="6">
        <v>0</v>
      </c>
      <c r="L2601" s="3">
        <f t="shared" si="116"/>
        <v>1.6250000000000001E-2</v>
      </c>
      <c r="M2601" s="3"/>
      <c r="N2601" s="3">
        <f t="shared" si="117"/>
        <v>1.7649999999999999E-2</v>
      </c>
      <c r="P2601" s="1" t="s">
        <v>30336</v>
      </c>
      <c r="Q2601" t="s">
        <v>31787</v>
      </c>
      <c r="R2601" s="89">
        <v>0.33333333333333348</v>
      </c>
      <c r="S2601" s="89">
        <f>100%-Table34[[#This Row],[InitialFee]]</f>
        <v>0.98875000000000002</v>
      </c>
      <c r="T2601" s="89">
        <f>(1-Table34[[#This Row],[OngoingFee (plus Platform fee)]])^5</f>
        <v>0.97524875312187509</v>
      </c>
      <c r="U2601" s="26">
        <f>(1+Table34[[#This Row],[Net 5yrs return (mostly up to 28th of Feb 2026)]])*Table34[[#This Row],[Investment after initial charge]]*Table34[[#This Row],[Cummulative 5yrs ongoing advice charge]]-1</f>
        <v>0.28570293953233894</v>
      </c>
      <c r="V2601" s="10">
        <f>173237+173548</f>
        <v>346785</v>
      </c>
      <c r="W2601" t="s">
        <v>29051</v>
      </c>
      <c r="X2601" s="10">
        <v>141117</v>
      </c>
      <c r="Y2601" s="30">
        <f>X2601/V2601</f>
        <v>0.40692936545698344</v>
      </c>
      <c r="AA2601" s="1" t="s">
        <v>30337</v>
      </c>
    </row>
    <row r="2602" spans="1:27" hidden="1" x14ac:dyDescent="0.25">
      <c r="A2602">
        <v>526157</v>
      </c>
      <c r="B2602" t="s">
        <v>2965</v>
      </c>
      <c r="C2602" t="s">
        <v>8629</v>
      </c>
      <c r="D2602">
        <v>1</v>
      </c>
      <c r="E2602" t="s">
        <v>2965</v>
      </c>
      <c r="G2602" s="3"/>
      <c r="H2602" s="21">
        <v>0</v>
      </c>
      <c r="I2602" s="21">
        <v>0</v>
      </c>
      <c r="J2602" s="21">
        <v>0</v>
      </c>
      <c r="K2602" s="21">
        <v>0</v>
      </c>
      <c r="L2602" s="3">
        <f t="shared" si="116"/>
        <v>0</v>
      </c>
      <c r="M2602" s="3"/>
      <c r="N2602" s="3">
        <f t="shared" si="117"/>
        <v>0</v>
      </c>
      <c r="R2602" s="89"/>
      <c r="S2602" s="89">
        <f>100%-Table34[[#This Row],[PDF_initial fee]]</f>
        <v>1</v>
      </c>
      <c r="T2602" s="89"/>
      <c r="U2602" s="26"/>
    </row>
    <row r="2603" spans="1:27" hidden="1" x14ac:dyDescent="0.25">
      <c r="A2603">
        <v>526599</v>
      </c>
      <c r="B2603" t="s">
        <v>2966</v>
      </c>
      <c r="C2603" t="s">
        <v>30338</v>
      </c>
      <c r="D2603">
        <v>6</v>
      </c>
      <c r="E2603" t="s">
        <v>2966</v>
      </c>
      <c r="G2603" s="3"/>
      <c r="H2603" s="3">
        <v>0</v>
      </c>
      <c r="I2603" s="3">
        <v>0</v>
      </c>
      <c r="J2603" s="3">
        <v>0</v>
      </c>
      <c r="K2603" s="3">
        <v>0</v>
      </c>
      <c r="L2603" s="3">
        <f t="shared" si="116"/>
        <v>0</v>
      </c>
      <c r="M2603" s="3"/>
      <c r="N2603" s="3">
        <f t="shared" si="117"/>
        <v>0</v>
      </c>
      <c r="R2603" s="89"/>
      <c r="S2603" s="89">
        <f>100%-Table34[[#This Row],[PDF_initial fee]]</f>
        <v>1</v>
      </c>
      <c r="T2603" s="89"/>
      <c r="U2603" s="26"/>
    </row>
    <row r="2604" spans="1:27" hidden="1" x14ac:dyDescent="0.25">
      <c r="A2604">
        <v>526604</v>
      </c>
      <c r="B2604" t="s">
        <v>2967</v>
      </c>
      <c r="C2604" t="s">
        <v>7437</v>
      </c>
      <c r="D2604">
        <v>2</v>
      </c>
      <c r="E2604" t="s">
        <v>2967</v>
      </c>
      <c r="G2604" s="3"/>
      <c r="H2604" s="21">
        <v>0</v>
      </c>
      <c r="I2604" s="21">
        <v>0</v>
      </c>
      <c r="J2604" s="21">
        <v>0</v>
      </c>
      <c r="K2604" s="21">
        <v>0</v>
      </c>
      <c r="L2604" s="3">
        <f t="shared" ref="L2604:L2648" si="118">SUM(H2604:K2604)</f>
        <v>0</v>
      </c>
      <c r="M2604" s="3"/>
      <c r="N2604" s="3">
        <f t="shared" si="117"/>
        <v>0</v>
      </c>
      <c r="R2604" s="89"/>
      <c r="S2604" s="89">
        <f>100%-Table34[[#This Row],[PDF_initial fee]]</f>
        <v>1</v>
      </c>
      <c r="T2604" s="89"/>
      <c r="U2604" s="26"/>
    </row>
    <row r="2605" spans="1:27" hidden="1" x14ac:dyDescent="0.25">
      <c r="A2605">
        <v>526994</v>
      </c>
      <c r="B2605" t="s">
        <v>2968</v>
      </c>
      <c r="C2605" t="s">
        <v>9539</v>
      </c>
      <c r="D2605">
        <v>1</v>
      </c>
      <c r="E2605" t="s">
        <v>2968</v>
      </c>
      <c r="G2605" s="3"/>
      <c r="H2605" s="21">
        <v>0</v>
      </c>
      <c r="I2605" s="21">
        <v>0</v>
      </c>
      <c r="J2605" s="21">
        <v>0</v>
      </c>
      <c r="K2605" s="21">
        <v>0</v>
      </c>
      <c r="L2605" s="3">
        <f t="shared" si="118"/>
        <v>0</v>
      </c>
      <c r="M2605" s="3"/>
      <c r="N2605" s="3">
        <f t="shared" si="117"/>
        <v>0</v>
      </c>
      <c r="R2605" s="89"/>
      <c r="S2605" s="89">
        <f>100%-Table34[[#This Row],[PDF_initial fee]]</f>
        <v>1</v>
      </c>
      <c r="T2605" s="89"/>
      <c r="U2605" s="26"/>
    </row>
    <row r="2606" spans="1:27" hidden="1" x14ac:dyDescent="0.25">
      <c r="A2606">
        <v>527015</v>
      </c>
      <c r="B2606" t="s">
        <v>2969</v>
      </c>
      <c r="C2606" t="s">
        <v>6958</v>
      </c>
      <c r="D2606">
        <v>1</v>
      </c>
      <c r="E2606" t="s">
        <v>2969</v>
      </c>
      <c r="F2606" t="s">
        <v>6958</v>
      </c>
      <c r="G2606" s="3"/>
      <c r="L2606" s="3">
        <f t="shared" si="118"/>
        <v>0</v>
      </c>
      <c r="M2606" s="3"/>
      <c r="N2606" s="3">
        <f t="shared" si="117"/>
        <v>0</v>
      </c>
      <c r="R2606" s="89"/>
      <c r="S2606" s="89">
        <f>100%-Table34[[#This Row],[PDF_initial fee]]</f>
        <v>1</v>
      </c>
      <c r="T2606" s="89"/>
      <c r="U2606" s="26"/>
    </row>
    <row r="2607" spans="1:27" hidden="1" x14ac:dyDescent="0.25">
      <c r="A2607">
        <v>527161</v>
      </c>
      <c r="B2607" t="s">
        <v>2970</v>
      </c>
      <c r="C2607" t="s">
        <v>12283</v>
      </c>
      <c r="D2607">
        <v>2</v>
      </c>
      <c r="E2607" t="s">
        <v>2970</v>
      </c>
      <c r="G2607" s="3"/>
      <c r="H2607" s="64"/>
      <c r="I2607" s="64"/>
      <c r="J2607" s="64"/>
      <c r="K2607" s="64"/>
      <c r="L2607" s="3">
        <f t="shared" si="118"/>
        <v>0</v>
      </c>
      <c r="M2607" s="3"/>
      <c r="N2607" s="3">
        <f t="shared" si="117"/>
        <v>0</v>
      </c>
      <c r="R2607" s="89"/>
      <c r="S2607" s="89">
        <f>100%-Table34[[#This Row],[PDF_initial fee]]</f>
        <v>1</v>
      </c>
      <c r="T2607" s="89"/>
      <c r="U2607" s="26"/>
    </row>
    <row r="2608" spans="1:27" hidden="1" x14ac:dyDescent="0.25">
      <c r="A2608">
        <v>527248</v>
      </c>
      <c r="B2608" t="s">
        <v>2971</v>
      </c>
      <c r="C2608" t="s">
        <v>6958</v>
      </c>
      <c r="D2608">
        <v>1</v>
      </c>
      <c r="E2608" t="s">
        <v>2971</v>
      </c>
      <c r="F2608" t="s">
        <v>6958</v>
      </c>
      <c r="G2608" s="3"/>
      <c r="H2608" s="21"/>
      <c r="I2608" s="21"/>
      <c r="J2608" s="21"/>
      <c r="K2608" s="21"/>
      <c r="L2608" s="3">
        <f t="shared" si="118"/>
        <v>0</v>
      </c>
      <c r="M2608" s="3"/>
      <c r="N2608" s="3">
        <f t="shared" si="117"/>
        <v>0</v>
      </c>
      <c r="R2608" s="89"/>
      <c r="S2608" s="89">
        <f>100%-Table34[[#This Row],[PDF_initial fee]]</f>
        <v>1</v>
      </c>
      <c r="T2608" s="89"/>
      <c r="U2608" s="26"/>
    </row>
    <row r="2609" spans="1:27" hidden="1" x14ac:dyDescent="0.25">
      <c r="A2609">
        <v>527253</v>
      </c>
      <c r="B2609" t="s">
        <v>2972</v>
      </c>
      <c r="C2609" t="s">
        <v>6958</v>
      </c>
      <c r="D2609">
        <v>4</v>
      </c>
      <c r="E2609" t="s">
        <v>2972</v>
      </c>
      <c r="F2609" t="s">
        <v>6958</v>
      </c>
      <c r="G2609" s="3"/>
      <c r="H2609" s="21">
        <v>0</v>
      </c>
      <c r="I2609" s="21">
        <v>0</v>
      </c>
      <c r="J2609" s="21">
        <v>0</v>
      </c>
      <c r="K2609" s="21">
        <v>0</v>
      </c>
      <c r="L2609" s="3">
        <f t="shared" si="118"/>
        <v>0</v>
      </c>
      <c r="M2609" s="3"/>
      <c r="N2609" s="3">
        <f t="shared" si="117"/>
        <v>0</v>
      </c>
      <c r="R2609" s="89"/>
      <c r="S2609" s="89">
        <f>100%-Table34[[#This Row],[PDF_initial fee]]</f>
        <v>1</v>
      </c>
      <c r="T2609" s="89"/>
      <c r="U2609" s="26"/>
    </row>
    <row r="2610" spans="1:27" hidden="1" x14ac:dyDescent="0.25">
      <c r="A2610">
        <v>527367</v>
      </c>
      <c r="B2610" t="s">
        <v>2973</v>
      </c>
      <c r="C2610" t="s">
        <v>6958</v>
      </c>
      <c r="D2610">
        <v>1</v>
      </c>
      <c r="E2610" t="s">
        <v>2973</v>
      </c>
      <c r="F2610" t="s">
        <v>6958</v>
      </c>
      <c r="G2610" s="3"/>
      <c r="H2610" s="21">
        <v>0</v>
      </c>
      <c r="I2610" s="21">
        <v>0</v>
      </c>
      <c r="J2610" s="21">
        <v>0</v>
      </c>
      <c r="K2610" s="21">
        <v>0</v>
      </c>
      <c r="L2610" s="3">
        <f t="shared" si="118"/>
        <v>0</v>
      </c>
      <c r="M2610" s="3"/>
      <c r="N2610" s="3">
        <f t="shared" si="117"/>
        <v>0</v>
      </c>
      <c r="R2610" s="89"/>
      <c r="S2610" s="89">
        <f>100%-Table34[[#This Row],[PDF_initial fee]]</f>
        <v>1</v>
      </c>
      <c r="T2610" s="89"/>
      <c r="U2610" s="26"/>
    </row>
    <row r="2611" spans="1:27" hidden="1" x14ac:dyDescent="0.25">
      <c r="A2611">
        <v>527402</v>
      </c>
      <c r="B2611" t="s">
        <v>2974</v>
      </c>
      <c r="C2611" t="s">
        <v>6958</v>
      </c>
      <c r="D2611">
        <v>1</v>
      </c>
      <c r="E2611" t="s">
        <v>2974</v>
      </c>
      <c r="F2611" t="s">
        <v>6958</v>
      </c>
      <c r="G2611" s="3"/>
      <c r="H2611" s="21">
        <v>0</v>
      </c>
      <c r="I2611" s="21">
        <v>0</v>
      </c>
      <c r="J2611" s="21">
        <v>0</v>
      </c>
      <c r="K2611" s="21">
        <v>0</v>
      </c>
      <c r="L2611" s="3">
        <f t="shared" si="118"/>
        <v>0</v>
      </c>
      <c r="M2611" s="3"/>
      <c r="N2611" s="3">
        <f t="shared" si="117"/>
        <v>0</v>
      </c>
      <c r="R2611" s="89"/>
      <c r="S2611" s="89">
        <f>100%-Table34[[#This Row],[PDF_initial fee]]</f>
        <v>1</v>
      </c>
      <c r="T2611" s="89"/>
      <c r="U2611" s="26"/>
    </row>
    <row r="2612" spans="1:27" hidden="1" x14ac:dyDescent="0.25">
      <c r="A2612">
        <v>527438</v>
      </c>
      <c r="B2612" t="s">
        <v>2975</v>
      </c>
      <c r="C2612" t="s">
        <v>6958</v>
      </c>
      <c r="D2612">
        <v>1</v>
      </c>
      <c r="E2612" t="s">
        <v>2975</v>
      </c>
      <c r="F2612" t="s">
        <v>6958</v>
      </c>
      <c r="G2612" s="3"/>
      <c r="H2612" s="21">
        <v>0</v>
      </c>
      <c r="I2612" s="21">
        <v>0</v>
      </c>
      <c r="J2612" s="21">
        <v>0</v>
      </c>
      <c r="K2612" s="21">
        <v>0</v>
      </c>
      <c r="L2612" s="3">
        <f t="shared" si="118"/>
        <v>0</v>
      </c>
      <c r="M2612" s="3"/>
      <c r="N2612" s="3">
        <f t="shared" si="117"/>
        <v>0</v>
      </c>
      <c r="R2612" s="89"/>
      <c r="S2612" s="89">
        <f>100%-Table34[[#This Row],[PDF_initial fee]]</f>
        <v>1</v>
      </c>
      <c r="T2612" s="89"/>
      <c r="U2612" s="26"/>
    </row>
    <row r="2613" spans="1:27" hidden="1" x14ac:dyDescent="0.25">
      <c r="A2613">
        <v>527443</v>
      </c>
      <c r="B2613" t="s">
        <v>2976</v>
      </c>
      <c r="C2613" t="s">
        <v>9323</v>
      </c>
      <c r="D2613">
        <v>5</v>
      </c>
      <c r="E2613" t="s">
        <v>2976</v>
      </c>
      <c r="G2613" s="3"/>
      <c r="H2613" s="21">
        <v>0</v>
      </c>
      <c r="I2613" s="21">
        <v>0</v>
      </c>
      <c r="J2613" s="21">
        <v>0</v>
      </c>
      <c r="K2613" s="21">
        <v>0</v>
      </c>
      <c r="L2613" s="3">
        <f t="shared" si="118"/>
        <v>0</v>
      </c>
      <c r="M2613" s="3"/>
      <c r="N2613" s="3">
        <f t="shared" si="117"/>
        <v>0</v>
      </c>
      <c r="R2613" s="89"/>
      <c r="S2613" s="89">
        <f>100%-Table34[[#This Row],[PDF_initial fee]]</f>
        <v>1</v>
      </c>
      <c r="T2613" s="89"/>
      <c r="U2613" s="26"/>
    </row>
    <row r="2614" spans="1:27" x14ac:dyDescent="0.25">
      <c r="A2614">
        <v>509886</v>
      </c>
      <c r="B2614" t="s">
        <v>199</v>
      </c>
      <c r="C2614" t="s">
        <v>9885</v>
      </c>
      <c r="D2614">
        <v>15</v>
      </c>
      <c r="E2614" t="s">
        <v>199</v>
      </c>
      <c r="F2614" t="s">
        <v>3</v>
      </c>
      <c r="G2614" s="3">
        <v>1.4E-3</v>
      </c>
      <c r="H2614" s="21">
        <v>0</v>
      </c>
      <c r="I2614" s="21">
        <v>0</v>
      </c>
      <c r="J2614" s="21">
        <v>0.03</v>
      </c>
      <c r="K2614" s="21">
        <v>0.01</v>
      </c>
      <c r="L2614" s="3">
        <f t="shared" si="118"/>
        <v>0.04</v>
      </c>
      <c r="M2614" s="3"/>
      <c r="N2614" s="3">
        <f t="shared" si="117"/>
        <v>4.1399999999999999E-2</v>
      </c>
      <c r="P2614" s="31" t="s">
        <v>30339</v>
      </c>
      <c r="Q2614" t="s">
        <v>31787</v>
      </c>
      <c r="R2614" s="89">
        <v>0.33333333333333348</v>
      </c>
      <c r="S2614" s="89">
        <f>100%-Table34[[#This Row],[PDF_initial fee]]</f>
        <v>0.97</v>
      </c>
      <c r="T2614" s="89">
        <f>(1-Table34[[#This Row],[PDF ongoing fee]])^5</f>
        <v>0.95099004989999991</v>
      </c>
      <c r="U2614" s="26">
        <f>(1+Table34[[#This Row],[Net 5yrs return (mostly up to 28th of Feb 2026)]])*Table34[[#This Row],[Investment after initial charge]]*Table34[[#This Row],[Cummulative 5yrs ongoing advice charge]]-1</f>
        <v>0.22994713120400001</v>
      </c>
      <c r="V2614" s="10">
        <f>2866652+199257</f>
        <v>3065909</v>
      </c>
      <c r="W2614" t="s">
        <v>29051</v>
      </c>
      <c r="X2614" s="9">
        <v>2575893</v>
      </c>
      <c r="Y2614" s="30">
        <f>X2614/V2614</f>
        <v>0.84017268614300034</v>
      </c>
      <c r="AA2614" s="1" t="s">
        <v>30340</v>
      </c>
    </row>
    <row r="2615" spans="1:27" hidden="1" x14ac:dyDescent="0.25">
      <c r="A2615">
        <v>527515</v>
      </c>
      <c r="B2615" t="s">
        <v>2977</v>
      </c>
      <c r="C2615" t="s">
        <v>30341</v>
      </c>
      <c r="D2615">
        <v>7</v>
      </c>
      <c r="E2615" t="s">
        <v>2977</v>
      </c>
      <c r="G2615" s="3"/>
      <c r="H2615" s="3">
        <v>0</v>
      </c>
      <c r="I2615" s="3">
        <v>0</v>
      </c>
      <c r="J2615" s="3">
        <v>0</v>
      </c>
      <c r="K2615" s="3">
        <v>0</v>
      </c>
      <c r="L2615" s="3">
        <f t="shared" si="118"/>
        <v>0</v>
      </c>
      <c r="M2615" s="3"/>
      <c r="N2615" s="3">
        <f t="shared" si="117"/>
        <v>0</v>
      </c>
      <c r="R2615" s="89"/>
      <c r="S2615" s="89">
        <f>100%-Table34[[#This Row],[PDF_initial fee]]</f>
        <v>1</v>
      </c>
      <c r="T2615" s="89"/>
      <c r="U2615" s="26"/>
    </row>
    <row r="2616" spans="1:27" hidden="1" x14ac:dyDescent="0.25">
      <c r="A2616">
        <v>527557</v>
      </c>
      <c r="B2616" t="s">
        <v>2978</v>
      </c>
      <c r="C2616" t="s">
        <v>6989</v>
      </c>
      <c r="D2616">
        <v>1</v>
      </c>
      <c r="E2616" t="s">
        <v>2978</v>
      </c>
      <c r="G2616" s="3"/>
      <c r="H2616" s="21">
        <v>0</v>
      </c>
      <c r="I2616" s="21">
        <v>0</v>
      </c>
      <c r="J2616" s="21">
        <v>0</v>
      </c>
      <c r="K2616" s="21">
        <v>0</v>
      </c>
      <c r="L2616" s="3">
        <f t="shared" si="118"/>
        <v>0</v>
      </c>
      <c r="M2616" s="3"/>
      <c r="N2616" s="3">
        <f t="shared" si="117"/>
        <v>0</v>
      </c>
      <c r="R2616" s="89"/>
      <c r="S2616" s="89">
        <f>100%-Table34[[#This Row],[PDF_initial fee]]</f>
        <v>1</v>
      </c>
      <c r="T2616" s="89"/>
      <c r="U2616" s="26"/>
    </row>
    <row r="2617" spans="1:27" hidden="1" x14ac:dyDescent="0.25">
      <c r="A2617">
        <v>527839</v>
      </c>
      <c r="B2617" t="s">
        <v>2979</v>
      </c>
      <c r="C2617" t="s">
        <v>30342</v>
      </c>
      <c r="D2617">
        <v>0</v>
      </c>
      <c r="E2617" t="s">
        <v>2979</v>
      </c>
      <c r="F2617" t="s">
        <v>29136</v>
      </c>
      <c r="G2617" s="3"/>
      <c r="L2617" s="3">
        <f t="shared" si="118"/>
        <v>0</v>
      </c>
      <c r="M2617" s="3"/>
      <c r="N2617" s="3">
        <f t="shared" si="117"/>
        <v>0</v>
      </c>
      <c r="R2617" s="89"/>
      <c r="S2617" s="89">
        <f>100%-Table34[[#This Row],[PDF_initial fee]]</f>
        <v>1</v>
      </c>
      <c r="T2617" s="89"/>
      <c r="U2617" s="26"/>
    </row>
    <row r="2618" spans="1:27" hidden="1" x14ac:dyDescent="0.25">
      <c r="A2618">
        <v>527915</v>
      </c>
      <c r="B2618" t="s">
        <v>2980</v>
      </c>
      <c r="C2618" t="s">
        <v>8839</v>
      </c>
      <c r="D2618">
        <v>2</v>
      </c>
      <c r="E2618" t="s">
        <v>2980</v>
      </c>
      <c r="G2618" s="3"/>
      <c r="H2618" s="21">
        <v>0</v>
      </c>
      <c r="I2618" s="21">
        <v>0</v>
      </c>
      <c r="J2618" s="21">
        <v>0</v>
      </c>
      <c r="K2618" s="21">
        <v>0</v>
      </c>
      <c r="L2618" s="3">
        <f t="shared" si="118"/>
        <v>0</v>
      </c>
      <c r="M2618" s="3"/>
      <c r="N2618" s="3">
        <f t="shared" si="117"/>
        <v>0</v>
      </c>
      <c r="R2618" s="89"/>
      <c r="S2618" s="89">
        <f>100%-Table34[[#This Row],[PDF_initial fee]]</f>
        <v>1</v>
      </c>
      <c r="T2618" s="89"/>
      <c r="U2618" s="26"/>
    </row>
    <row r="2619" spans="1:27" hidden="1" x14ac:dyDescent="0.25">
      <c r="A2619">
        <v>527953</v>
      </c>
      <c r="B2619" t="s">
        <v>2981</v>
      </c>
      <c r="C2619" t="s">
        <v>6958</v>
      </c>
      <c r="D2619">
        <v>1</v>
      </c>
      <c r="E2619" t="s">
        <v>2981</v>
      </c>
      <c r="F2619" t="s">
        <v>6958</v>
      </c>
      <c r="G2619" s="3"/>
      <c r="H2619" s="21">
        <v>0</v>
      </c>
      <c r="I2619" s="21">
        <v>0</v>
      </c>
      <c r="J2619" s="21">
        <v>0</v>
      </c>
      <c r="K2619" s="21">
        <v>0</v>
      </c>
      <c r="L2619" s="3">
        <f t="shared" si="118"/>
        <v>0</v>
      </c>
      <c r="M2619" s="3"/>
      <c r="N2619" s="3">
        <f t="shared" si="117"/>
        <v>0</v>
      </c>
      <c r="R2619" s="89"/>
      <c r="S2619" s="89">
        <f>100%-Table34[[#This Row],[PDF_initial fee]]</f>
        <v>1</v>
      </c>
      <c r="T2619" s="89"/>
      <c r="U2619" s="26"/>
    </row>
    <row r="2620" spans="1:27" hidden="1" x14ac:dyDescent="0.25">
      <c r="A2620">
        <v>528010</v>
      </c>
      <c r="B2620" t="s">
        <v>2982</v>
      </c>
      <c r="C2620" t="s">
        <v>6958</v>
      </c>
      <c r="D2620">
        <v>1</v>
      </c>
      <c r="E2620" t="s">
        <v>2982</v>
      </c>
      <c r="F2620" t="s">
        <v>6958</v>
      </c>
      <c r="G2620" s="3"/>
      <c r="H2620" s="21">
        <v>0</v>
      </c>
      <c r="I2620" s="21">
        <v>0</v>
      </c>
      <c r="J2620" s="21">
        <v>0</v>
      </c>
      <c r="K2620" s="21">
        <v>0</v>
      </c>
      <c r="L2620" s="3">
        <f t="shared" si="118"/>
        <v>0</v>
      </c>
      <c r="M2620" s="3"/>
      <c r="N2620" s="3">
        <f t="shared" si="117"/>
        <v>0</v>
      </c>
      <c r="R2620" s="89"/>
      <c r="S2620" s="89">
        <f>100%-Table34[[#This Row],[PDF_initial fee]]</f>
        <v>1</v>
      </c>
      <c r="T2620" s="89"/>
      <c r="U2620" s="26"/>
    </row>
    <row r="2621" spans="1:27" hidden="1" x14ac:dyDescent="0.25">
      <c r="A2621">
        <v>528062</v>
      </c>
      <c r="B2621" t="s">
        <v>2983</v>
      </c>
      <c r="C2621" t="s">
        <v>7105</v>
      </c>
      <c r="D2621">
        <v>2</v>
      </c>
      <c r="E2621" t="s">
        <v>2983</v>
      </c>
      <c r="G2621" s="3"/>
      <c r="L2621" s="3">
        <f t="shared" si="118"/>
        <v>0</v>
      </c>
      <c r="M2621" s="3"/>
      <c r="N2621" s="3">
        <f t="shared" si="117"/>
        <v>0</v>
      </c>
      <c r="R2621" s="89"/>
      <c r="S2621" s="89">
        <f>100%-Table34[[#This Row],[PDF_initial fee]]</f>
        <v>1</v>
      </c>
      <c r="T2621" s="89"/>
      <c r="U2621" s="26"/>
    </row>
    <row r="2622" spans="1:27" hidden="1" x14ac:dyDescent="0.25">
      <c r="A2622">
        <v>528086</v>
      </c>
      <c r="B2622" t="s">
        <v>2984</v>
      </c>
      <c r="C2622" t="s">
        <v>30343</v>
      </c>
      <c r="D2622">
        <v>4</v>
      </c>
      <c r="E2622" t="s">
        <v>2984</v>
      </c>
      <c r="G2622" s="3"/>
      <c r="H2622" s="3">
        <v>0</v>
      </c>
      <c r="I2622" s="3">
        <v>0</v>
      </c>
      <c r="J2622" s="3">
        <v>0</v>
      </c>
      <c r="K2622" s="3">
        <v>0</v>
      </c>
      <c r="L2622" s="3">
        <f t="shared" si="118"/>
        <v>0</v>
      </c>
      <c r="M2622" s="3"/>
      <c r="N2622" s="3">
        <f t="shared" si="117"/>
        <v>0</v>
      </c>
      <c r="R2622" s="89"/>
      <c r="S2622" s="89">
        <f>100%-Table34[[#This Row],[PDF_initial fee]]</f>
        <v>1</v>
      </c>
      <c r="T2622" s="89"/>
      <c r="U2622" s="26"/>
    </row>
    <row r="2623" spans="1:27" hidden="1" x14ac:dyDescent="0.25">
      <c r="A2623">
        <v>528180</v>
      </c>
      <c r="B2623" t="s">
        <v>2985</v>
      </c>
      <c r="C2623" t="s">
        <v>10562</v>
      </c>
      <c r="D2623">
        <v>1</v>
      </c>
      <c r="E2623" t="s">
        <v>2985</v>
      </c>
      <c r="G2623" s="3"/>
      <c r="H2623" s="21">
        <v>0</v>
      </c>
      <c r="I2623" s="21">
        <v>0</v>
      </c>
      <c r="J2623" s="21">
        <v>0</v>
      </c>
      <c r="K2623" s="21">
        <v>0</v>
      </c>
      <c r="L2623" s="3">
        <f t="shared" si="118"/>
        <v>0</v>
      </c>
      <c r="M2623" s="3"/>
      <c r="N2623" s="3">
        <f t="shared" si="117"/>
        <v>0</v>
      </c>
      <c r="R2623" s="89"/>
      <c r="S2623" s="89">
        <f>100%-Table34[[#This Row],[PDF_initial fee]]</f>
        <v>1</v>
      </c>
      <c r="T2623" s="89"/>
      <c r="U2623" s="26"/>
    </row>
    <row r="2624" spans="1:27" hidden="1" x14ac:dyDescent="0.25">
      <c r="A2624">
        <v>528286</v>
      </c>
      <c r="B2624" t="s">
        <v>2986</v>
      </c>
      <c r="C2624" t="s">
        <v>11816</v>
      </c>
      <c r="D2624">
        <v>2</v>
      </c>
      <c r="E2624" t="s">
        <v>2986</v>
      </c>
      <c r="G2624" s="3"/>
      <c r="H2624" s="21">
        <v>0</v>
      </c>
      <c r="I2624" s="21">
        <v>0</v>
      </c>
      <c r="J2624" s="21">
        <v>0</v>
      </c>
      <c r="K2624" s="21">
        <v>0</v>
      </c>
      <c r="L2624" s="3">
        <f t="shared" si="118"/>
        <v>0</v>
      </c>
      <c r="M2624" s="3"/>
      <c r="N2624" s="3">
        <f t="shared" si="117"/>
        <v>0</v>
      </c>
      <c r="R2624" s="89"/>
      <c r="S2624" s="89">
        <f>100%-Table34[[#This Row],[PDF_initial fee]]</f>
        <v>1</v>
      </c>
      <c r="T2624" s="89"/>
      <c r="U2624" s="26"/>
    </row>
    <row r="2625" spans="1:27" x14ac:dyDescent="0.25">
      <c r="A2625">
        <v>136129</v>
      </c>
      <c r="B2625" t="s">
        <v>47</v>
      </c>
      <c r="C2625" t="s">
        <v>9943</v>
      </c>
      <c r="D2625">
        <v>6</v>
      </c>
      <c r="E2625" t="s">
        <v>47</v>
      </c>
      <c r="F2625" t="s">
        <v>3</v>
      </c>
      <c r="G2625" s="3">
        <v>1.4E-3</v>
      </c>
      <c r="H2625" s="3">
        <v>8.9999999999999993E-3</v>
      </c>
      <c r="I2625" s="3">
        <v>5.0000000000000001E-3</v>
      </c>
      <c r="J2625" s="6"/>
      <c r="K2625" s="6"/>
      <c r="L2625" s="3">
        <f t="shared" si="118"/>
        <v>1.3999999999999999E-2</v>
      </c>
      <c r="M2625" s="3"/>
      <c r="N2625" s="3">
        <f t="shared" si="117"/>
        <v>1.5399999999999999E-2</v>
      </c>
      <c r="P2625" s="1" t="s">
        <v>30344</v>
      </c>
      <c r="Q2625" t="s">
        <v>31787</v>
      </c>
      <c r="R2625" s="89">
        <v>0.33333333333333348</v>
      </c>
      <c r="S2625" s="89">
        <f>100%-Table34[[#This Row],[InitialFee]]</f>
        <v>0.99099999999999999</v>
      </c>
      <c r="T2625" s="89">
        <f>(1-Table34[[#This Row],[OngoingFee (plus Platform fee)]])^5</f>
        <v>0.97524875312187509</v>
      </c>
      <c r="U2625" s="26">
        <f>(1+Table34[[#This Row],[Net 5yrs return (mostly up to 28th of Feb 2026)]])*Table34[[#This Row],[Investment after initial charge]]*Table34[[#This Row],[Cummulative 5yrs ongoing advice charge]]-1</f>
        <v>0.28862868579170442</v>
      </c>
      <c r="V2625" s="10">
        <v>686399</v>
      </c>
      <c r="W2625" t="s">
        <v>29051</v>
      </c>
      <c r="X2625" s="10">
        <v>650292</v>
      </c>
      <c r="Y2625" s="30">
        <f>X2625/V2625</f>
        <v>0.9473964851347394</v>
      </c>
      <c r="AA2625" s="1" t="s">
        <v>30345</v>
      </c>
    </row>
    <row r="2626" spans="1:27" hidden="1" x14ac:dyDescent="0.25">
      <c r="A2626">
        <v>528384</v>
      </c>
      <c r="B2626" t="s">
        <v>2987</v>
      </c>
      <c r="C2626" t="s">
        <v>9351</v>
      </c>
      <c r="D2626">
        <v>2</v>
      </c>
      <c r="E2626" t="s">
        <v>2987</v>
      </c>
      <c r="G2626" s="3"/>
      <c r="H2626" s="21">
        <v>0</v>
      </c>
      <c r="I2626" s="21">
        <v>0</v>
      </c>
      <c r="J2626" s="21">
        <v>0</v>
      </c>
      <c r="K2626" s="21">
        <v>0</v>
      </c>
      <c r="L2626" s="3">
        <f t="shared" si="118"/>
        <v>0</v>
      </c>
      <c r="M2626" s="3"/>
      <c r="N2626" s="3">
        <f t="shared" si="117"/>
        <v>0</v>
      </c>
      <c r="R2626" s="89"/>
      <c r="S2626" s="89">
        <f>100%-Table34[[#This Row],[PDF_initial fee]]</f>
        <v>1</v>
      </c>
      <c r="T2626" s="89"/>
      <c r="U2626" s="26"/>
    </row>
    <row r="2627" spans="1:27" hidden="1" x14ac:dyDescent="0.25">
      <c r="A2627">
        <v>528678</v>
      </c>
      <c r="B2627" t="s">
        <v>2988</v>
      </c>
      <c r="C2627" t="s">
        <v>6958</v>
      </c>
      <c r="D2627">
        <v>1</v>
      </c>
      <c r="E2627" t="s">
        <v>2988</v>
      </c>
      <c r="F2627" t="s">
        <v>6958</v>
      </c>
      <c r="G2627" s="3"/>
      <c r="H2627" s="21">
        <v>0</v>
      </c>
      <c r="I2627" s="21">
        <v>0</v>
      </c>
      <c r="J2627" s="21">
        <v>0</v>
      </c>
      <c r="K2627" s="21">
        <v>0</v>
      </c>
      <c r="L2627" s="3">
        <f t="shared" si="118"/>
        <v>0</v>
      </c>
      <c r="M2627" s="3"/>
      <c r="N2627" s="3">
        <f t="shared" si="117"/>
        <v>0</v>
      </c>
      <c r="R2627" s="89"/>
      <c r="S2627" s="89">
        <f>100%-Table34[[#This Row],[PDF_initial fee]]</f>
        <v>1</v>
      </c>
      <c r="T2627" s="89"/>
      <c r="U2627" s="26"/>
    </row>
    <row r="2628" spans="1:27" hidden="1" x14ac:dyDescent="0.25">
      <c r="A2628">
        <v>528681</v>
      </c>
      <c r="B2628" t="s">
        <v>2989</v>
      </c>
      <c r="C2628" t="s">
        <v>12633</v>
      </c>
      <c r="D2628">
        <v>1</v>
      </c>
      <c r="E2628" t="s">
        <v>2989</v>
      </c>
      <c r="G2628" s="3"/>
      <c r="L2628" s="3">
        <f t="shared" si="118"/>
        <v>0</v>
      </c>
      <c r="M2628" s="3"/>
      <c r="N2628" s="3">
        <f t="shared" si="117"/>
        <v>0</v>
      </c>
      <c r="R2628" s="89"/>
      <c r="S2628" s="89">
        <f>100%-Table34[[#This Row],[PDF_initial fee]]</f>
        <v>1</v>
      </c>
      <c r="T2628" s="89"/>
      <c r="U2628" s="26"/>
    </row>
    <row r="2629" spans="1:27" hidden="1" x14ac:dyDescent="0.25">
      <c r="A2629">
        <v>528682</v>
      </c>
      <c r="B2629" t="s">
        <v>2990</v>
      </c>
      <c r="C2629" t="s">
        <v>6958</v>
      </c>
      <c r="D2629">
        <v>2</v>
      </c>
      <c r="E2629" t="s">
        <v>2990</v>
      </c>
      <c r="F2629" t="s">
        <v>6958</v>
      </c>
      <c r="G2629" s="3"/>
      <c r="H2629" s="21">
        <v>0</v>
      </c>
      <c r="I2629" s="21">
        <v>0</v>
      </c>
      <c r="J2629" s="21">
        <v>0</v>
      </c>
      <c r="K2629" s="21">
        <v>0</v>
      </c>
      <c r="L2629" s="3">
        <f t="shared" si="118"/>
        <v>0</v>
      </c>
      <c r="M2629" s="3"/>
      <c r="N2629" s="3">
        <f t="shared" si="117"/>
        <v>0</v>
      </c>
      <c r="R2629" s="89"/>
      <c r="S2629" s="89">
        <f>100%-Table34[[#This Row],[PDF_initial fee]]</f>
        <v>1</v>
      </c>
      <c r="T2629" s="89"/>
      <c r="U2629" s="26"/>
    </row>
    <row r="2630" spans="1:27" hidden="1" x14ac:dyDescent="0.25">
      <c r="A2630">
        <v>528755</v>
      </c>
      <c r="B2630" t="s">
        <v>2991</v>
      </c>
      <c r="C2630" t="s">
        <v>30346</v>
      </c>
      <c r="D2630">
        <v>2</v>
      </c>
      <c r="E2630" t="s">
        <v>2991</v>
      </c>
      <c r="G2630" s="3"/>
      <c r="H2630" s="3">
        <v>0</v>
      </c>
      <c r="I2630" s="3">
        <v>0</v>
      </c>
      <c r="J2630" s="3">
        <v>0</v>
      </c>
      <c r="K2630" s="3">
        <v>0</v>
      </c>
      <c r="L2630" s="3">
        <f t="shared" si="118"/>
        <v>0</v>
      </c>
      <c r="M2630" s="3"/>
      <c r="N2630" s="3">
        <f t="shared" si="117"/>
        <v>0</v>
      </c>
      <c r="R2630" s="89"/>
      <c r="S2630" s="89">
        <f>100%-Table34[[#This Row],[PDF_initial fee]]</f>
        <v>1</v>
      </c>
      <c r="T2630" s="89"/>
      <c r="U2630" s="26"/>
    </row>
    <row r="2631" spans="1:27" hidden="1" x14ac:dyDescent="0.25">
      <c r="A2631">
        <v>528798</v>
      </c>
      <c r="B2631" t="s">
        <v>2992</v>
      </c>
      <c r="C2631" t="s">
        <v>6958</v>
      </c>
      <c r="D2631">
        <v>3</v>
      </c>
      <c r="E2631" t="s">
        <v>2992</v>
      </c>
      <c r="F2631" t="s">
        <v>6958</v>
      </c>
      <c r="G2631" s="3"/>
      <c r="H2631" s="21">
        <v>0</v>
      </c>
      <c r="I2631" s="21">
        <v>0</v>
      </c>
      <c r="J2631" s="21">
        <v>0</v>
      </c>
      <c r="K2631" s="21">
        <v>0</v>
      </c>
      <c r="L2631" s="3">
        <f t="shared" si="118"/>
        <v>0</v>
      </c>
      <c r="M2631" s="3"/>
      <c r="N2631" s="3">
        <f t="shared" si="117"/>
        <v>0</v>
      </c>
      <c r="R2631" s="89"/>
      <c r="S2631" s="89">
        <f>100%-Table34[[#This Row],[PDF_initial fee]]</f>
        <v>1</v>
      </c>
      <c r="T2631" s="89"/>
      <c r="U2631" s="26"/>
    </row>
    <row r="2632" spans="1:27" hidden="1" x14ac:dyDescent="0.25">
      <c r="A2632">
        <v>528810</v>
      </c>
      <c r="B2632" t="s">
        <v>2993</v>
      </c>
      <c r="C2632" t="s">
        <v>6958</v>
      </c>
      <c r="D2632">
        <v>1</v>
      </c>
      <c r="E2632" t="s">
        <v>2993</v>
      </c>
      <c r="F2632" t="s">
        <v>6958</v>
      </c>
      <c r="G2632" s="3"/>
      <c r="H2632" s="21">
        <v>0</v>
      </c>
      <c r="I2632" s="21">
        <v>0</v>
      </c>
      <c r="J2632" s="21">
        <v>0</v>
      </c>
      <c r="K2632" s="21">
        <v>0</v>
      </c>
      <c r="L2632" s="3">
        <f t="shared" si="118"/>
        <v>0</v>
      </c>
      <c r="M2632" s="3"/>
      <c r="N2632" s="3">
        <f t="shared" si="117"/>
        <v>0</v>
      </c>
      <c r="R2632" s="89"/>
      <c r="S2632" s="89">
        <f>100%-Table34[[#This Row],[PDF_initial fee]]</f>
        <v>1</v>
      </c>
      <c r="T2632" s="89"/>
      <c r="U2632" s="26"/>
    </row>
    <row r="2633" spans="1:27" hidden="1" x14ac:dyDescent="0.25">
      <c r="A2633">
        <v>528909</v>
      </c>
      <c r="B2633" t="s">
        <v>2994</v>
      </c>
      <c r="C2633" t="s">
        <v>6958</v>
      </c>
      <c r="D2633">
        <v>1</v>
      </c>
      <c r="E2633" t="s">
        <v>2994</v>
      </c>
      <c r="F2633" t="s">
        <v>6958</v>
      </c>
      <c r="G2633" s="3"/>
      <c r="H2633" s="21">
        <v>0</v>
      </c>
      <c r="I2633" s="21">
        <v>0</v>
      </c>
      <c r="J2633" s="21">
        <v>0</v>
      </c>
      <c r="K2633" s="21">
        <v>0</v>
      </c>
      <c r="L2633" s="3">
        <f t="shared" si="118"/>
        <v>0</v>
      </c>
      <c r="M2633" s="3"/>
      <c r="N2633" s="3">
        <f t="shared" si="117"/>
        <v>0</v>
      </c>
      <c r="R2633" s="89"/>
      <c r="S2633" s="89">
        <f>100%-Table34[[#This Row],[PDF_initial fee]]</f>
        <v>1</v>
      </c>
      <c r="T2633" s="89"/>
      <c r="U2633" s="26"/>
    </row>
    <row r="2634" spans="1:27" hidden="1" x14ac:dyDescent="0.25">
      <c r="A2634">
        <v>528973</v>
      </c>
      <c r="B2634" t="s">
        <v>2995</v>
      </c>
      <c r="C2634" t="s">
        <v>30347</v>
      </c>
      <c r="D2634">
        <v>1</v>
      </c>
      <c r="E2634" t="s">
        <v>2995</v>
      </c>
      <c r="G2634" s="3"/>
      <c r="H2634" s="3">
        <v>0</v>
      </c>
      <c r="I2634" s="3">
        <v>0</v>
      </c>
      <c r="J2634" s="3">
        <v>0</v>
      </c>
      <c r="K2634" s="3">
        <v>0</v>
      </c>
      <c r="L2634" s="3">
        <f t="shared" si="118"/>
        <v>0</v>
      </c>
      <c r="M2634" s="3"/>
      <c r="N2634" s="3">
        <f t="shared" ref="N2634:N2648" si="119">L2634+G2634</f>
        <v>0</v>
      </c>
      <c r="R2634" s="89"/>
      <c r="S2634" s="89">
        <f>100%-Table34[[#This Row],[PDF_initial fee]]</f>
        <v>1</v>
      </c>
      <c r="T2634" s="89"/>
      <c r="U2634" s="26"/>
    </row>
    <row r="2635" spans="1:27" hidden="1" x14ac:dyDescent="0.25">
      <c r="A2635">
        <v>529009</v>
      </c>
      <c r="B2635" t="s">
        <v>2996</v>
      </c>
      <c r="C2635" t="s">
        <v>30348</v>
      </c>
      <c r="D2635">
        <v>3</v>
      </c>
      <c r="E2635" t="s">
        <v>2996</v>
      </c>
      <c r="G2635" s="3"/>
      <c r="H2635" s="3">
        <v>0</v>
      </c>
      <c r="I2635" s="3">
        <v>0</v>
      </c>
      <c r="J2635" s="3">
        <v>0</v>
      </c>
      <c r="K2635" s="3">
        <v>0</v>
      </c>
      <c r="L2635" s="3">
        <f t="shared" si="118"/>
        <v>0</v>
      </c>
      <c r="M2635" s="3"/>
      <c r="N2635" s="3">
        <f t="shared" si="119"/>
        <v>0</v>
      </c>
      <c r="R2635" s="89"/>
      <c r="S2635" s="89">
        <f>100%-Table34[[#This Row],[PDF_initial fee]]</f>
        <v>1</v>
      </c>
      <c r="T2635" s="89"/>
      <c r="U2635" s="26"/>
    </row>
    <row r="2636" spans="1:27" hidden="1" x14ac:dyDescent="0.25">
      <c r="A2636">
        <v>529020</v>
      </c>
      <c r="B2636" t="s">
        <v>2997</v>
      </c>
      <c r="C2636" t="s">
        <v>6958</v>
      </c>
      <c r="D2636">
        <v>1</v>
      </c>
      <c r="E2636" t="s">
        <v>2997</v>
      </c>
      <c r="F2636" t="s">
        <v>6958</v>
      </c>
      <c r="G2636" s="3"/>
      <c r="H2636" s="21">
        <v>0</v>
      </c>
      <c r="I2636" s="21">
        <v>0</v>
      </c>
      <c r="J2636" s="21">
        <v>0</v>
      </c>
      <c r="K2636" s="21">
        <v>0</v>
      </c>
      <c r="L2636" s="3">
        <f t="shared" si="118"/>
        <v>0</v>
      </c>
      <c r="M2636" s="3"/>
      <c r="N2636" s="3">
        <f t="shared" si="119"/>
        <v>0</v>
      </c>
      <c r="R2636" s="89"/>
      <c r="S2636" s="89">
        <f>100%-Table34[[#This Row],[PDF_initial fee]]</f>
        <v>1</v>
      </c>
      <c r="T2636" s="89"/>
      <c r="U2636" s="26"/>
    </row>
    <row r="2637" spans="1:27" hidden="1" x14ac:dyDescent="0.25">
      <c r="A2637">
        <v>529028</v>
      </c>
      <c r="B2637" t="s">
        <v>2998</v>
      </c>
      <c r="C2637" t="s">
        <v>11110</v>
      </c>
      <c r="D2637">
        <v>1</v>
      </c>
      <c r="E2637" t="s">
        <v>2998</v>
      </c>
      <c r="G2637" s="3"/>
      <c r="H2637" s="21">
        <v>0</v>
      </c>
      <c r="I2637" s="21">
        <v>0</v>
      </c>
      <c r="J2637" s="21">
        <v>0</v>
      </c>
      <c r="K2637" s="21">
        <v>0</v>
      </c>
      <c r="L2637" s="3">
        <f t="shared" si="118"/>
        <v>0</v>
      </c>
      <c r="M2637" s="3"/>
      <c r="N2637" s="3">
        <f t="shared" si="119"/>
        <v>0</v>
      </c>
      <c r="R2637" s="89"/>
      <c r="S2637" s="89">
        <f>100%-Table34[[#This Row],[PDF_initial fee]]</f>
        <v>1</v>
      </c>
      <c r="T2637" s="89"/>
      <c r="U2637" s="26"/>
    </row>
    <row r="2638" spans="1:27" hidden="1" x14ac:dyDescent="0.25">
      <c r="A2638">
        <v>529061</v>
      </c>
      <c r="B2638" t="s">
        <v>2999</v>
      </c>
      <c r="C2638" t="s">
        <v>6958</v>
      </c>
      <c r="D2638">
        <v>11</v>
      </c>
      <c r="E2638" t="s">
        <v>2999</v>
      </c>
      <c r="F2638" t="s">
        <v>6958</v>
      </c>
      <c r="G2638" s="3"/>
      <c r="H2638" s="21">
        <v>0</v>
      </c>
      <c r="I2638" s="21">
        <v>0</v>
      </c>
      <c r="J2638" s="21">
        <v>0</v>
      </c>
      <c r="K2638" s="21">
        <v>0</v>
      </c>
      <c r="L2638" s="3">
        <f t="shared" si="118"/>
        <v>0</v>
      </c>
      <c r="M2638" s="3"/>
      <c r="N2638" s="3">
        <f t="shared" si="119"/>
        <v>0</v>
      </c>
      <c r="R2638" s="89"/>
      <c r="S2638" s="89">
        <f>100%-Table34[[#This Row],[PDF_initial fee]]</f>
        <v>1</v>
      </c>
      <c r="T2638" s="89"/>
      <c r="U2638" s="26"/>
    </row>
    <row r="2639" spans="1:27" hidden="1" x14ac:dyDescent="0.25">
      <c r="A2639">
        <v>529125</v>
      </c>
      <c r="B2639" t="s">
        <v>3000</v>
      </c>
      <c r="C2639" t="s">
        <v>6958</v>
      </c>
      <c r="D2639">
        <v>2</v>
      </c>
      <c r="E2639" t="s">
        <v>3000</v>
      </c>
      <c r="F2639" t="s">
        <v>6958</v>
      </c>
      <c r="G2639" s="3"/>
      <c r="H2639" s="21">
        <v>0</v>
      </c>
      <c r="I2639" s="21">
        <v>0</v>
      </c>
      <c r="J2639" s="21">
        <v>0</v>
      </c>
      <c r="K2639" s="21">
        <v>0</v>
      </c>
      <c r="L2639" s="3">
        <f t="shared" si="118"/>
        <v>0</v>
      </c>
      <c r="M2639" s="3"/>
      <c r="N2639" s="3">
        <f t="shared" si="119"/>
        <v>0</v>
      </c>
      <c r="R2639" s="89"/>
      <c r="S2639" s="89">
        <f>100%-Table34[[#This Row],[PDF_initial fee]]</f>
        <v>1</v>
      </c>
      <c r="T2639" s="89"/>
      <c r="U2639" s="26"/>
    </row>
    <row r="2640" spans="1:27" hidden="1" x14ac:dyDescent="0.25">
      <c r="A2640">
        <v>529322</v>
      </c>
      <c r="B2640" t="s">
        <v>3001</v>
      </c>
      <c r="C2640" t="s">
        <v>9039</v>
      </c>
      <c r="D2640">
        <v>1</v>
      </c>
      <c r="E2640" t="s">
        <v>3001</v>
      </c>
      <c r="G2640" s="3"/>
      <c r="L2640" s="3">
        <f t="shared" si="118"/>
        <v>0</v>
      </c>
      <c r="M2640" s="3"/>
      <c r="N2640" s="3">
        <f t="shared" si="119"/>
        <v>0</v>
      </c>
      <c r="R2640" s="89"/>
      <c r="S2640" s="89">
        <f>100%-Table34[[#This Row],[PDF_initial fee]]</f>
        <v>1</v>
      </c>
      <c r="T2640" s="89"/>
      <c r="U2640" s="26"/>
    </row>
    <row r="2641" spans="1:30" x14ac:dyDescent="0.25">
      <c r="A2641">
        <v>116391</v>
      </c>
      <c r="B2641" t="s">
        <v>15</v>
      </c>
      <c r="C2641" s="1" t="s">
        <v>30349</v>
      </c>
      <c r="D2641">
        <v>1</v>
      </c>
      <c r="E2641" t="s">
        <v>15</v>
      </c>
      <c r="F2641" t="s">
        <v>3</v>
      </c>
      <c r="G2641" s="3">
        <v>1.4E-3</v>
      </c>
      <c r="H2641" s="3">
        <v>0.02</v>
      </c>
      <c r="I2641" s="3">
        <v>5.0000000000000001E-3</v>
      </c>
      <c r="J2641" s="6"/>
      <c r="K2641" s="6"/>
      <c r="L2641" s="3">
        <f t="shared" si="118"/>
        <v>2.5000000000000001E-2</v>
      </c>
      <c r="M2641" s="3"/>
      <c r="N2641" s="3">
        <f t="shared" si="119"/>
        <v>2.64E-2</v>
      </c>
      <c r="O2641" t="s">
        <v>30350</v>
      </c>
      <c r="P2641" s="1" t="s">
        <v>30351</v>
      </c>
      <c r="Q2641" t="s">
        <v>31787</v>
      </c>
      <c r="R2641" s="89">
        <v>0.33333333333333348</v>
      </c>
      <c r="S2641" s="89">
        <f>100%-Table34[[#This Row],[InitialFee]]</f>
        <v>0.98</v>
      </c>
      <c r="T2641" s="89">
        <f>(1-Table34[[#This Row],[OngoingFee (plus Platform fee)]])^5</f>
        <v>0.97524875312187509</v>
      </c>
      <c r="U2641" s="26">
        <f>(1+Table34[[#This Row],[Net 5yrs return (mostly up to 28th of Feb 2026)]])*Table34[[#This Row],[Investment after initial charge]]*Table34[[#This Row],[Cummulative 5yrs ongoing advice charge]]-1</f>
        <v>0.27432503741258363</v>
      </c>
      <c r="V2641" s="10">
        <v>763643</v>
      </c>
      <c r="W2641" t="s">
        <v>29051</v>
      </c>
      <c r="X2641" s="10">
        <v>763643</v>
      </c>
      <c r="Y2641" s="30">
        <f>X2641/V2641</f>
        <v>1</v>
      </c>
      <c r="AA2641" s="1" t="s">
        <v>30352</v>
      </c>
    </row>
    <row r="2642" spans="1:30" hidden="1" x14ac:dyDescent="0.25">
      <c r="A2642">
        <v>529416</v>
      </c>
      <c r="B2642" t="s">
        <v>3002</v>
      </c>
      <c r="C2642" s="1" t="s">
        <v>30353</v>
      </c>
      <c r="D2642">
        <v>1</v>
      </c>
      <c r="E2642" t="s">
        <v>3002</v>
      </c>
      <c r="G2642" s="3"/>
      <c r="L2642" s="3">
        <f t="shared" si="118"/>
        <v>0</v>
      </c>
      <c r="M2642" s="3"/>
      <c r="N2642" s="3">
        <f t="shared" si="119"/>
        <v>0</v>
      </c>
      <c r="R2642" s="89"/>
      <c r="S2642" s="89">
        <f>100%-Table34[[#This Row],[PDF_initial fee]]</f>
        <v>1</v>
      </c>
      <c r="T2642" s="89"/>
      <c r="U2642" s="26"/>
    </row>
    <row r="2643" spans="1:30" hidden="1" x14ac:dyDescent="0.25">
      <c r="A2643">
        <v>529492</v>
      </c>
      <c r="B2643" t="s">
        <v>3003</v>
      </c>
      <c r="C2643" t="s">
        <v>30354</v>
      </c>
      <c r="D2643">
        <v>5</v>
      </c>
      <c r="E2643" t="s">
        <v>3003</v>
      </c>
      <c r="G2643" s="3"/>
      <c r="H2643" s="3">
        <v>0</v>
      </c>
      <c r="I2643" s="3">
        <v>0</v>
      </c>
      <c r="J2643" s="3">
        <v>0</v>
      </c>
      <c r="K2643" s="3">
        <v>0</v>
      </c>
      <c r="L2643" s="3">
        <f t="shared" si="118"/>
        <v>0</v>
      </c>
      <c r="M2643" s="3"/>
      <c r="N2643" s="3">
        <f t="shared" si="119"/>
        <v>0</v>
      </c>
      <c r="R2643" s="89"/>
      <c r="S2643" s="89">
        <f>100%-Table34[[#This Row],[PDF_initial fee]]</f>
        <v>1</v>
      </c>
      <c r="T2643" s="89"/>
      <c r="U2643" s="26"/>
    </row>
    <row r="2644" spans="1:30" hidden="1" x14ac:dyDescent="0.25">
      <c r="A2644">
        <v>529609</v>
      </c>
      <c r="B2644" t="s">
        <v>3004</v>
      </c>
      <c r="C2644" t="s">
        <v>9747</v>
      </c>
      <c r="D2644">
        <v>2</v>
      </c>
      <c r="E2644" t="s">
        <v>3004</v>
      </c>
      <c r="G2644" s="3"/>
      <c r="H2644" s="21">
        <v>0</v>
      </c>
      <c r="I2644" s="21">
        <v>0</v>
      </c>
      <c r="J2644" s="21">
        <v>0</v>
      </c>
      <c r="K2644" s="21">
        <v>0</v>
      </c>
      <c r="L2644" s="3">
        <f t="shared" si="118"/>
        <v>0</v>
      </c>
      <c r="M2644" s="3"/>
      <c r="N2644" s="3">
        <f t="shared" si="119"/>
        <v>0</v>
      </c>
      <c r="R2644" s="89"/>
      <c r="S2644" s="89">
        <f>100%-Table34[[#This Row],[PDF_initial fee]]</f>
        <v>1</v>
      </c>
      <c r="T2644" s="89"/>
      <c r="U2644" s="26"/>
    </row>
    <row r="2645" spans="1:30" hidden="1" x14ac:dyDescent="0.25">
      <c r="A2645">
        <v>529665</v>
      </c>
      <c r="B2645" t="s">
        <v>3005</v>
      </c>
      <c r="C2645" t="s">
        <v>8686</v>
      </c>
      <c r="D2645">
        <v>3</v>
      </c>
      <c r="E2645" t="s">
        <v>3005</v>
      </c>
      <c r="G2645" s="3"/>
      <c r="H2645" s="21">
        <v>0</v>
      </c>
      <c r="I2645" s="21">
        <v>0</v>
      </c>
      <c r="J2645" s="21">
        <v>0</v>
      </c>
      <c r="K2645" s="21">
        <v>0</v>
      </c>
      <c r="L2645" s="3">
        <f t="shared" si="118"/>
        <v>0</v>
      </c>
      <c r="M2645" s="3"/>
      <c r="N2645" s="3">
        <f t="shared" si="119"/>
        <v>0</v>
      </c>
      <c r="R2645" s="89"/>
      <c r="S2645" s="89">
        <f>100%-Table34[[#This Row],[PDF_initial fee]]</f>
        <v>1</v>
      </c>
      <c r="T2645" s="89"/>
      <c r="U2645" s="26"/>
    </row>
    <row r="2646" spans="1:30" hidden="1" x14ac:dyDescent="0.25">
      <c r="A2646">
        <v>529775</v>
      </c>
      <c r="B2646" t="s">
        <v>3006</v>
      </c>
      <c r="C2646" t="s">
        <v>7847</v>
      </c>
      <c r="D2646">
        <v>3</v>
      </c>
      <c r="E2646" t="s">
        <v>3006</v>
      </c>
      <c r="G2646" s="3"/>
      <c r="H2646" s="21">
        <v>0</v>
      </c>
      <c r="I2646" s="21">
        <v>0</v>
      </c>
      <c r="J2646" s="21">
        <v>0</v>
      </c>
      <c r="K2646" s="21">
        <v>0</v>
      </c>
      <c r="L2646" s="3">
        <f t="shared" si="118"/>
        <v>0</v>
      </c>
      <c r="M2646" s="3"/>
      <c r="N2646" s="3">
        <f t="shared" si="119"/>
        <v>0</v>
      </c>
      <c r="R2646" s="89"/>
      <c r="S2646" s="89">
        <f>100%-Table34[[#This Row],[PDF_initial fee]]</f>
        <v>1</v>
      </c>
      <c r="T2646" s="89"/>
      <c r="U2646" s="26"/>
    </row>
    <row r="2647" spans="1:30" x14ac:dyDescent="0.25">
      <c r="A2647">
        <v>225099</v>
      </c>
      <c r="B2647" t="s">
        <v>125</v>
      </c>
      <c r="C2647" t="s">
        <v>30355</v>
      </c>
      <c r="D2647">
        <v>1</v>
      </c>
      <c r="E2647" t="s">
        <v>125</v>
      </c>
      <c r="F2647" t="s">
        <v>3</v>
      </c>
      <c r="G2647" s="3">
        <v>1.4E-3</v>
      </c>
      <c r="H2647" s="3">
        <v>0.03</v>
      </c>
      <c r="I2647" s="3">
        <f>((1%*50)+(0.75%*50))/100</f>
        <v>8.7500000000000008E-3</v>
      </c>
      <c r="J2647" s="3">
        <v>0</v>
      </c>
      <c r="K2647" s="3">
        <v>0</v>
      </c>
      <c r="L2647" s="3">
        <f t="shared" si="118"/>
        <v>3.875E-2</v>
      </c>
      <c r="M2647" s="3"/>
      <c r="N2647" s="3">
        <f t="shared" si="119"/>
        <v>4.0149999999999998E-2</v>
      </c>
      <c r="P2647" s="1" t="s">
        <v>30356</v>
      </c>
      <c r="Q2647" t="s">
        <v>31787</v>
      </c>
      <c r="R2647" s="89">
        <v>0.33333333333333348</v>
      </c>
      <c r="S2647" s="89">
        <f>100%-Table34[[#This Row],[InitialFee]]</f>
        <v>0.97</v>
      </c>
      <c r="T2647" s="89">
        <f>(1-Table34[[#This Row],[OngoingFee (plus Platform fee)]])^5</f>
        <v>0.95700895503904093</v>
      </c>
      <c r="U2647" s="26">
        <f>(1+Table34[[#This Row],[Net 5yrs return (mostly up to 28th of Feb 2026)]])*Table34[[#This Row],[Investment after initial charge]]*Table34[[#This Row],[Cummulative 5yrs ongoing advice charge]]-1</f>
        <v>0.23773158185049303</v>
      </c>
      <c r="V2647" s="9">
        <f>39889+1240</f>
        <v>41129</v>
      </c>
      <c r="W2647" t="s">
        <v>29051</v>
      </c>
      <c r="X2647" s="10">
        <v>20491</v>
      </c>
      <c r="Y2647" s="30">
        <f>X2647/V2647</f>
        <v>0.4982129397748547</v>
      </c>
      <c r="AA2647" s="1" t="s">
        <v>30357</v>
      </c>
    </row>
    <row r="2648" spans="1:30" hidden="1" x14ac:dyDescent="0.25">
      <c r="A2648">
        <v>530029</v>
      </c>
      <c r="B2648" t="s">
        <v>3007</v>
      </c>
      <c r="C2648" t="s">
        <v>6958</v>
      </c>
      <c r="D2648">
        <v>1</v>
      </c>
      <c r="E2648" t="s">
        <v>3007</v>
      </c>
      <c r="F2648" t="s">
        <v>6958</v>
      </c>
      <c r="G2648" s="3"/>
      <c r="L2648" s="3">
        <f t="shared" si="118"/>
        <v>0</v>
      </c>
      <c r="M2648" s="3"/>
      <c r="N2648" s="3">
        <f t="shared" si="119"/>
        <v>0</v>
      </c>
      <c r="R2648" s="89"/>
      <c r="S2648" s="89">
        <f>100%-Table34[[#This Row],[PDF_initial fee]]</f>
        <v>1</v>
      </c>
      <c r="T2648" s="89"/>
      <c r="U2648" s="26"/>
    </row>
    <row r="2649" spans="1:30" hidden="1" x14ac:dyDescent="0.25">
      <c r="A2649">
        <v>530155</v>
      </c>
      <c r="B2649" t="s">
        <v>3008</v>
      </c>
      <c r="C2649" t="s">
        <v>7941</v>
      </c>
      <c r="D2649">
        <v>3</v>
      </c>
      <c r="E2649" t="s">
        <v>3008</v>
      </c>
      <c r="G2649" s="3"/>
      <c r="H2649" s="3"/>
      <c r="I2649" s="3"/>
      <c r="J2649" s="6"/>
      <c r="K2649" s="6"/>
      <c r="L2649" s="3"/>
      <c r="M2649" s="3"/>
      <c r="N2649" s="3"/>
      <c r="P2649" s="1"/>
      <c r="R2649" s="89"/>
      <c r="S2649" s="89">
        <f>100%-Table34[[#This Row],[PDF_initial fee]]</f>
        <v>1</v>
      </c>
      <c r="T2649" s="89"/>
      <c r="U2649" s="26"/>
    </row>
    <row r="2650" spans="1:30" hidden="1" x14ac:dyDescent="0.25">
      <c r="A2650">
        <v>530197</v>
      </c>
      <c r="B2650" t="s">
        <v>3009</v>
      </c>
      <c r="C2650" t="s">
        <v>30358</v>
      </c>
      <c r="D2650">
        <v>1</v>
      </c>
      <c r="E2650" t="s">
        <v>3009</v>
      </c>
      <c r="G2650" s="3"/>
      <c r="H2650" s="3">
        <v>0</v>
      </c>
      <c r="I2650" s="3">
        <v>0</v>
      </c>
      <c r="J2650" s="3">
        <v>0</v>
      </c>
      <c r="K2650" s="3">
        <v>0</v>
      </c>
      <c r="L2650" s="3">
        <f t="shared" ref="L2650:L2681" si="120">SUM(H2650:K2650)</f>
        <v>0</v>
      </c>
      <c r="M2650" s="3"/>
      <c r="N2650" s="3">
        <f t="shared" ref="N2650:N2681" si="121">L2650+G2650</f>
        <v>0</v>
      </c>
      <c r="R2650" s="89"/>
      <c r="S2650" s="89">
        <f>100%-Table34[[#This Row],[PDF_initial fee]]</f>
        <v>1</v>
      </c>
      <c r="T2650" s="89"/>
      <c r="U2650" s="26"/>
    </row>
    <row r="2651" spans="1:30" hidden="1" x14ac:dyDescent="0.25">
      <c r="A2651">
        <v>530637</v>
      </c>
      <c r="B2651" t="s">
        <v>3010</v>
      </c>
      <c r="C2651" t="s">
        <v>6958</v>
      </c>
      <c r="D2651">
        <v>1</v>
      </c>
      <c r="E2651" t="s">
        <v>3010</v>
      </c>
      <c r="F2651" t="s">
        <v>6958</v>
      </c>
      <c r="G2651" s="3"/>
      <c r="H2651" s="21">
        <v>0</v>
      </c>
      <c r="I2651" s="21">
        <v>0</v>
      </c>
      <c r="J2651" s="21">
        <v>0</v>
      </c>
      <c r="K2651" s="21">
        <v>0</v>
      </c>
      <c r="L2651" s="3">
        <f t="shared" si="120"/>
        <v>0</v>
      </c>
      <c r="M2651" s="3"/>
      <c r="N2651" s="3">
        <f t="shared" si="121"/>
        <v>0</v>
      </c>
      <c r="R2651" s="89"/>
      <c r="S2651" s="89">
        <f>100%-Table34[[#This Row],[PDF_initial fee]]</f>
        <v>1</v>
      </c>
      <c r="T2651" s="89"/>
      <c r="U2651" s="26"/>
    </row>
    <row r="2652" spans="1:30" hidden="1" x14ac:dyDescent="0.25">
      <c r="A2652">
        <v>530681</v>
      </c>
      <c r="B2652" t="s">
        <v>3011</v>
      </c>
      <c r="C2652" t="s">
        <v>11003</v>
      </c>
      <c r="D2652">
        <v>23</v>
      </c>
      <c r="E2652" t="s">
        <v>3011</v>
      </c>
      <c r="G2652" s="3"/>
      <c r="H2652" s="64"/>
      <c r="I2652" s="64"/>
      <c r="J2652" s="64"/>
      <c r="K2652" s="64"/>
      <c r="L2652" s="3">
        <f t="shared" si="120"/>
        <v>0</v>
      </c>
      <c r="M2652" s="3"/>
      <c r="N2652" s="3">
        <f t="shared" si="121"/>
        <v>0</v>
      </c>
      <c r="R2652" s="89"/>
      <c r="S2652" s="89">
        <f>100%-Table34[[#This Row],[PDF_initial fee]]</f>
        <v>1</v>
      </c>
      <c r="T2652" s="89"/>
      <c r="U2652" s="26"/>
    </row>
    <row r="2653" spans="1:30" ht="30" hidden="1" x14ac:dyDescent="0.25">
      <c r="A2653">
        <v>582104</v>
      </c>
      <c r="B2653" t="s">
        <v>236</v>
      </c>
      <c r="C2653" t="s">
        <v>9698</v>
      </c>
      <c r="D2653">
        <v>1</v>
      </c>
      <c r="E2653" t="s">
        <v>236</v>
      </c>
      <c r="F2653" t="s">
        <v>6</v>
      </c>
      <c r="G2653" s="3">
        <f>0.15%+0.3%</f>
        <v>4.5000000000000005E-3</v>
      </c>
      <c r="H2653" s="3"/>
      <c r="I2653" s="3"/>
      <c r="J2653" s="6">
        <v>1.2500000000000001E-2</v>
      </c>
      <c r="K2653" s="6">
        <f>0.48%</f>
        <v>4.7999999999999996E-3</v>
      </c>
      <c r="L2653" s="3">
        <f t="shared" si="120"/>
        <v>1.7299999999999999E-2</v>
      </c>
      <c r="M2653" s="3"/>
      <c r="N2653" s="3">
        <f t="shared" si="121"/>
        <v>2.18E-2</v>
      </c>
      <c r="O2653" t="s">
        <v>30359</v>
      </c>
      <c r="P2653" s="31" t="s">
        <v>30360</v>
      </c>
      <c r="Q2653" s="87" t="s">
        <v>31767</v>
      </c>
      <c r="R2653" s="89" t="s">
        <v>369</v>
      </c>
      <c r="S2653" s="89">
        <f>100%-Table34[[#This Row],[PDF_initial fee]]</f>
        <v>0.98750000000000004</v>
      </c>
      <c r="T2653" s="89"/>
      <c r="U2653" s="26"/>
      <c r="V2653" s="10">
        <f>210521+30302</f>
        <v>240823</v>
      </c>
      <c r="W2653" t="s">
        <v>29051</v>
      </c>
      <c r="X2653" s="9">
        <v>148606</v>
      </c>
      <c r="Y2653" s="30">
        <f>X2653/V2653</f>
        <v>0.61707561154873081</v>
      </c>
      <c r="AA2653" s="1" t="s">
        <v>30361</v>
      </c>
      <c r="AB2653" t="s">
        <v>29283</v>
      </c>
      <c r="AD2653" s="1" t="s">
        <v>31766</v>
      </c>
    </row>
    <row r="2654" spans="1:30" hidden="1" x14ac:dyDescent="0.25">
      <c r="A2654">
        <v>531018</v>
      </c>
      <c r="B2654" t="s">
        <v>3012</v>
      </c>
      <c r="C2654" t="s">
        <v>6958</v>
      </c>
      <c r="D2654">
        <v>4</v>
      </c>
      <c r="E2654" t="s">
        <v>3012</v>
      </c>
      <c r="F2654" t="s">
        <v>6958</v>
      </c>
      <c r="G2654" s="3"/>
      <c r="H2654" s="21">
        <v>0</v>
      </c>
      <c r="I2654" s="21">
        <v>0</v>
      </c>
      <c r="J2654" s="21">
        <v>0</v>
      </c>
      <c r="K2654" s="21">
        <v>0</v>
      </c>
      <c r="L2654" s="3">
        <f t="shared" si="120"/>
        <v>0</v>
      </c>
      <c r="M2654" s="3"/>
      <c r="N2654" s="3">
        <f t="shared" si="121"/>
        <v>0</v>
      </c>
      <c r="R2654" s="89"/>
      <c r="S2654" s="89">
        <f>100%-Table34[[#This Row],[PDF_initial fee]]</f>
        <v>1</v>
      </c>
      <c r="T2654" s="89"/>
      <c r="U2654" s="26"/>
    </row>
    <row r="2655" spans="1:30" hidden="1" x14ac:dyDescent="0.25">
      <c r="A2655">
        <v>531026</v>
      </c>
      <c r="B2655" t="s">
        <v>3013</v>
      </c>
      <c r="C2655" t="s">
        <v>6958</v>
      </c>
      <c r="D2655">
        <v>1</v>
      </c>
      <c r="E2655" t="s">
        <v>3013</v>
      </c>
      <c r="F2655" t="s">
        <v>6958</v>
      </c>
      <c r="G2655" s="3"/>
      <c r="L2655" s="3">
        <f t="shared" si="120"/>
        <v>0</v>
      </c>
      <c r="M2655" s="3"/>
      <c r="N2655" s="3">
        <f t="shared" si="121"/>
        <v>0</v>
      </c>
      <c r="R2655" s="89"/>
      <c r="S2655" s="89">
        <f>100%-Table34[[#This Row],[PDF_initial fee]]</f>
        <v>1</v>
      </c>
      <c r="T2655" s="89"/>
      <c r="U2655" s="26"/>
    </row>
    <row r="2656" spans="1:30" x14ac:dyDescent="0.25">
      <c r="A2656">
        <v>581304</v>
      </c>
      <c r="B2656" t="s">
        <v>235</v>
      </c>
      <c r="C2656" t="s">
        <v>30362</v>
      </c>
      <c r="D2656">
        <v>166</v>
      </c>
      <c r="E2656" t="s">
        <v>235</v>
      </c>
      <c r="F2656" t="s">
        <v>6</v>
      </c>
      <c r="G2656" s="3">
        <v>1.0999999999999999E-2</v>
      </c>
      <c r="H2656" s="3">
        <v>2.75E-2</v>
      </c>
      <c r="I2656" s="21">
        <v>0</v>
      </c>
      <c r="J2656" s="6">
        <v>0</v>
      </c>
      <c r="K2656" s="6">
        <v>0</v>
      </c>
      <c r="L2656" s="3">
        <f t="shared" si="120"/>
        <v>2.75E-2</v>
      </c>
      <c r="M2656" s="3"/>
      <c r="N2656" s="3">
        <f t="shared" si="121"/>
        <v>3.85E-2</v>
      </c>
      <c r="O2656" s="21" t="s">
        <v>30363</v>
      </c>
      <c r="P2656" s="22" t="s">
        <v>30364</v>
      </c>
      <c r="Q2656" s="101" t="s">
        <v>31782</v>
      </c>
      <c r="R2656" s="89">
        <v>0.23910000000000001</v>
      </c>
      <c r="S2656" s="89">
        <f>100%-Table34[[#This Row],[InitialFee]]</f>
        <v>0.97250000000000003</v>
      </c>
      <c r="T2656" s="89">
        <f>(1-Table34[[#This Row],[PDF ongoing fee]])^5</f>
        <v>1</v>
      </c>
      <c r="U2656" s="26">
        <f>(1+Table34[[#This Row],[Net 5yrs return (mostly up to 28th of Feb 2026)]])*Table34[[#This Row],[Investment after initial charge]]*Table34[[#This Row],[Cummulative 5yrs ongoing advice charge]]-1</f>
        <v>0.2050247500000002</v>
      </c>
      <c r="V2656" s="10">
        <v>6323000</v>
      </c>
      <c r="W2656" s="10" t="s">
        <v>29081</v>
      </c>
      <c r="X2656" s="10">
        <v>6323000</v>
      </c>
      <c r="Y2656" s="30">
        <f>X2656/V2656</f>
        <v>1</v>
      </c>
      <c r="Z2656" s="10"/>
      <c r="AA2656" s="1" t="s">
        <v>30365</v>
      </c>
    </row>
    <row r="2657" spans="1:21" hidden="1" x14ac:dyDescent="0.25">
      <c r="A2657">
        <v>531465</v>
      </c>
      <c r="B2657" t="s">
        <v>3014</v>
      </c>
      <c r="C2657" t="s">
        <v>7299</v>
      </c>
      <c r="D2657">
        <v>20</v>
      </c>
      <c r="E2657" t="s">
        <v>3014</v>
      </c>
      <c r="G2657" s="3"/>
      <c r="H2657" s="21">
        <v>0</v>
      </c>
      <c r="I2657" s="21">
        <v>0</v>
      </c>
      <c r="J2657" s="21">
        <v>0</v>
      </c>
      <c r="K2657" s="21">
        <v>0</v>
      </c>
      <c r="L2657" s="3">
        <f t="shared" si="120"/>
        <v>0</v>
      </c>
      <c r="M2657" s="3"/>
      <c r="N2657" s="3">
        <f t="shared" si="121"/>
        <v>0</v>
      </c>
      <c r="R2657" s="89"/>
      <c r="S2657" s="89">
        <f>100%-Table34[[#This Row],[PDF_initial fee]]</f>
        <v>1</v>
      </c>
      <c r="T2657" s="89"/>
      <c r="U2657" s="26"/>
    </row>
    <row r="2658" spans="1:21" hidden="1" x14ac:dyDescent="0.25">
      <c r="A2658">
        <v>531538</v>
      </c>
      <c r="B2658" t="s">
        <v>3015</v>
      </c>
      <c r="C2658" t="s">
        <v>9987</v>
      </c>
      <c r="D2658">
        <v>5</v>
      </c>
      <c r="E2658" t="s">
        <v>3015</v>
      </c>
      <c r="G2658" s="3"/>
      <c r="L2658" s="3">
        <f t="shared" si="120"/>
        <v>0</v>
      </c>
      <c r="M2658" s="3"/>
      <c r="N2658" s="3">
        <f t="shared" si="121"/>
        <v>0</v>
      </c>
      <c r="R2658" s="89"/>
      <c r="S2658" s="89">
        <f>100%-Table34[[#This Row],[PDF_initial fee]]</f>
        <v>1</v>
      </c>
      <c r="T2658" s="89"/>
      <c r="U2658" s="26"/>
    </row>
    <row r="2659" spans="1:21" hidden="1" x14ac:dyDescent="0.25">
      <c r="A2659">
        <v>531539</v>
      </c>
      <c r="B2659" t="s">
        <v>3016</v>
      </c>
      <c r="C2659" t="s">
        <v>9717</v>
      </c>
      <c r="D2659">
        <v>3</v>
      </c>
      <c r="E2659" t="s">
        <v>3016</v>
      </c>
      <c r="G2659" s="3"/>
      <c r="H2659" s="21">
        <v>0</v>
      </c>
      <c r="I2659" s="21">
        <v>0</v>
      </c>
      <c r="J2659" s="21">
        <v>0</v>
      </c>
      <c r="K2659" s="21">
        <v>0</v>
      </c>
      <c r="L2659" s="3">
        <f t="shared" si="120"/>
        <v>0</v>
      </c>
      <c r="M2659" s="3"/>
      <c r="N2659" s="3">
        <f t="shared" si="121"/>
        <v>0</v>
      </c>
      <c r="R2659" s="89"/>
      <c r="S2659" s="89">
        <f>100%-Table34[[#This Row],[PDF_initial fee]]</f>
        <v>1</v>
      </c>
      <c r="T2659" s="89"/>
      <c r="U2659" s="26"/>
    </row>
    <row r="2660" spans="1:21" hidden="1" x14ac:dyDescent="0.25">
      <c r="A2660">
        <v>531577</v>
      </c>
      <c r="B2660" t="s">
        <v>3017</v>
      </c>
      <c r="C2660" t="s">
        <v>9078</v>
      </c>
      <c r="D2660">
        <v>2</v>
      </c>
      <c r="E2660" t="s">
        <v>3017</v>
      </c>
      <c r="G2660" s="3"/>
      <c r="H2660" s="21">
        <v>0</v>
      </c>
      <c r="I2660" s="21">
        <v>0</v>
      </c>
      <c r="J2660" s="21">
        <v>0</v>
      </c>
      <c r="K2660" s="21">
        <v>0</v>
      </c>
      <c r="L2660" s="3">
        <f t="shared" si="120"/>
        <v>0</v>
      </c>
      <c r="M2660" s="3"/>
      <c r="N2660" s="3">
        <f t="shared" si="121"/>
        <v>0</v>
      </c>
      <c r="R2660" s="89"/>
      <c r="S2660" s="89">
        <f>100%-Table34[[#This Row],[PDF_initial fee]]</f>
        <v>1</v>
      </c>
      <c r="T2660" s="89"/>
      <c r="U2660" s="26"/>
    </row>
    <row r="2661" spans="1:21" hidden="1" x14ac:dyDescent="0.25">
      <c r="A2661">
        <v>531619</v>
      </c>
      <c r="B2661" t="s">
        <v>3018</v>
      </c>
      <c r="C2661" t="s">
        <v>10109</v>
      </c>
      <c r="D2661">
        <v>2</v>
      </c>
      <c r="E2661" t="s">
        <v>3018</v>
      </c>
      <c r="G2661" s="3"/>
      <c r="L2661" s="3">
        <f t="shared" si="120"/>
        <v>0</v>
      </c>
      <c r="M2661" s="3"/>
      <c r="N2661" s="3">
        <f t="shared" si="121"/>
        <v>0</v>
      </c>
      <c r="R2661" s="89"/>
      <c r="S2661" s="89">
        <f>100%-Table34[[#This Row],[PDF_initial fee]]</f>
        <v>1</v>
      </c>
      <c r="T2661" s="89"/>
      <c r="U2661" s="26"/>
    </row>
    <row r="2662" spans="1:21" hidden="1" x14ac:dyDescent="0.25">
      <c r="A2662">
        <v>531632</v>
      </c>
      <c r="B2662" t="s">
        <v>3019</v>
      </c>
      <c r="C2662" t="s">
        <v>8742</v>
      </c>
      <c r="D2662">
        <v>11</v>
      </c>
      <c r="E2662" t="s">
        <v>3019</v>
      </c>
      <c r="G2662" s="3"/>
      <c r="L2662" s="3">
        <f t="shared" si="120"/>
        <v>0</v>
      </c>
      <c r="M2662" s="3"/>
      <c r="N2662" s="3">
        <f t="shared" si="121"/>
        <v>0</v>
      </c>
      <c r="R2662" s="89"/>
      <c r="S2662" s="89">
        <f>100%-Table34[[#This Row],[PDF_initial fee]]</f>
        <v>1</v>
      </c>
      <c r="T2662" s="89"/>
      <c r="U2662" s="26"/>
    </row>
    <row r="2663" spans="1:21" hidden="1" x14ac:dyDescent="0.25">
      <c r="A2663">
        <v>531794</v>
      </c>
      <c r="B2663" t="s">
        <v>3020</v>
      </c>
      <c r="C2663" t="s">
        <v>9055</v>
      </c>
      <c r="D2663">
        <v>1</v>
      </c>
      <c r="E2663" t="s">
        <v>3020</v>
      </c>
      <c r="G2663" s="3"/>
      <c r="H2663" s="21">
        <v>0</v>
      </c>
      <c r="I2663" s="21">
        <v>0</v>
      </c>
      <c r="J2663" s="21">
        <v>0</v>
      </c>
      <c r="K2663" s="21">
        <v>0</v>
      </c>
      <c r="L2663" s="3">
        <f t="shared" si="120"/>
        <v>0</v>
      </c>
      <c r="M2663" s="3"/>
      <c r="N2663" s="3">
        <f t="shared" si="121"/>
        <v>0</v>
      </c>
      <c r="R2663" s="89"/>
      <c r="S2663" s="89">
        <f>100%-Table34[[#This Row],[PDF_initial fee]]</f>
        <v>1</v>
      </c>
      <c r="T2663" s="89"/>
      <c r="U2663" s="26"/>
    </row>
    <row r="2664" spans="1:21" hidden="1" x14ac:dyDescent="0.25">
      <c r="A2664">
        <v>532109</v>
      </c>
      <c r="B2664" t="s">
        <v>3021</v>
      </c>
      <c r="C2664" t="s">
        <v>7345</v>
      </c>
      <c r="D2664">
        <v>3</v>
      </c>
      <c r="E2664" t="s">
        <v>3021</v>
      </c>
      <c r="G2664" s="3"/>
      <c r="H2664" s="21">
        <v>0</v>
      </c>
      <c r="I2664" s="21">
        <v>0</v>
      </c>
      <c r="J2664" s="21">
        <v>0</v>
      </c>
      <c r="K2664" s="21">
        <v>0</v>
      </c>
      <c r="L2664" s="3">
        <f t="shared" si="120"/>
        <v>0</v>
      </c>
      <c r="M2664" s="3"/>
      <c r="N2664" s="3">
        <f t="shared" si="121"/>
        <v>0</v>
      </c>
      <c r="R2664" s="89"/>
      <c r="S2664" s="89">
        <f>100%-Table34[[#This Row],[PDF_initial fee]]</f>
        <v>1</v>
      </c>
      <c r="T2664" s="89"/>
      <c r="U2664" s="26"/>
    </row>
    <row r="2665" spans="1:21" hidden="1" x14ac:dyDescent="0.25">
      <c r="A2665">
        <v>532919</v>
      </c>
      <c r="B2665" t="s">
        <v>3022</v>
      </c>
      <c r="C2665" t="s">
        <v>10081</v>
      </c>
      <c r="D2665">
        <v>5</v>
      </c>
      <c r="E2665" t="s">
        <v>3022</v>
      </c>
      <c r="G2665" s="3"/>
      <c r="H2665" s="21">
        <v>0</v>
      </c>
      <c r="I2665" s="21">
        <v>0</v>
      </c>
      <c r="J2665" s="21">
        <v>0</v>
      </c>
      <c r="K2665" s="21">
        <v>0</v>
      </c>
      <c r="L2665" s="3">
        <f t="shared" si="120"/>
        <v>0</v>
      </c>
      <c r="M2665" s="3"/>
      <c r="N2665" s="3">
        <f t="shared" si="121"/>
        <v>0</v>
      </c>
      <c r="R2665" s="89"/>
      <c r="S2665" s="89">
        <f>100%-Table34[[#This Row],[PDF_initial fee]]</f>
        <v>1</v>
      </c>
      <c r="T2665" s="89"/>
      <c r="U2665" s="26"/>
    </row>
    <row r="2666" spans="1:21" hidden="1" x14ac:dyDescent="0.25">
      <c r="A2666">
        <v>532928</v>
      </c>
      <c r="B2666" t="s">
        <v>3023</v>
      </c>
      <c r="C2666" t="s">
        <v>6958</v>
      </c>
      <c r="D2666">
        <v>2</v>
      </c>
      <c r="E2666" t="s">
        <v>3023</v>
      </c>
      <c r="F2666" t="s">
        <v>6958</v>
      </c>
      <c r="G2666" s="3"/>
      <c r="H2666" s="21">
        <v>0</v>
      </c>
      <c r="I2666" s="21">
        <v>0</v>
      </c>
      <c r="J2666" s="21">
        <v>0</v>
      </c>
      <c r="K2666" s="21">
        <v>0</v>
      </c>
      <c r="L2666" s="3">
        <f t="shared" si="120"/>
        <v>0</v>
      </c>
      <c r="M2666" s="3"/>
      <c r="N2666" s="3">
        <f t="shared" si="121"/>
        <v>0</v>
      </c>
      <c r="R2666" s="89"/>
      <c r="S2666" s="89">
        <f>100%-Table34[[#This Row],[PDF_initial fee]]</f>
        <v>1</v>
      </c>
      <c r="T2666" s="89"/>
      <c r="U2666" s="26"/>
    </row>
    <row r="2667" spans="1:21" hidden="1" x14ac:dyDescent="0.25">
      <c r="A2667">
        <v>533116</v>
      </c>
      <c r="B2667" t="s">
        <v>3025</v>
      </c>
      <c r="C2667" t="s">
        <v>6958</v>
      </c>
      <c r="D2667">
        <v>2</v>
      </c>
      <c r="E2667" t="s">
        <v>3025</v>
      </c>
      <c r="F2667" t="s">
        <v>6958</v>
      </c>
      <c r="G2667" s="3"/>
      <c r="H2667" s="21">
        <v>0</v>
      </c>
      <c r="I2667" s="21">
        <v>0</v>
      </c>
      <c r="J2667" s="21">
        <v>0</v>
      </c>
      <c r="K2667" s="21">
        <v>0</v>
      </c>
      <c r="L2667" s="3">
        <f t="shared" si="120"/>
        <v>0</v>
      </c>
      <c r="M2667" s="3"/>
      <c r="N2667" s="3">
        <f t="shared" si="121"/>
        <v>0</v>
      </c>
      <c r="R2667" s="89"/>
      <c r="S2667" s="89">
        <f>100%-Table34[[#This Row],[PDF_initial fee]]</f>
        <v>1</v>
      </c>
      <c r="T2667" s="89"/>
      <c r="U2667" s="26"/>
    </row>
    <row r="2668" spans="1:21" hidden="1" x14ac:dyDescent="0.25">
      <c r="A2668">
        <v>533119</v>
      </c>
      <c r="B2668" t="s">
        <v>3026</v>
      </c>
      <c r="C2668" t="s">
        <v>6958</v>
      </c>
      <c r="D2668">
        <v>2</v>
      </c>
      <c r="E2668" t="s">
        <v>3026</v>
      </c>
      <c r="F2668" t="s">
        <v>6958</v>
      </c>
      <c r="G2668" s="3"/>
      <c r="H2668" s="21">
        <v>0</v>
      </c>
      <c r="I2668" s="21">
        <v>0</v>
      </c>
      <c r="J2668" s="21">
        <v>0</v>
      </c>
      <c r="K2668" s="21">
        <v>0</v>
      </c>
      <c r="L2668" s="3">
        <f t="shared" si="120"/>
        <v>0</v>
      </c>
      <c r="M2668" s="3"/>
      <c r="N2668" s="3">
        <f t="shared" si="121"/>
        <v>0</v>
      </c>
      <c r="R2668" s="89"/>
      <c r="S2668" s="89">
        <f>100%-Table34[[#This Row],[PDF_initial fee]]</f>
        <v>1</v>
      </c>
      <c r="T2668" s="89"/>
      <c r="U2668" s="26"/>
    </row>
    <row r="2669" spans="1:21" hidden="1" x14ac:dyDescent="0.25">
      <c r="A2669">
        <v>533418</v>
      </c>
      <c r="B2669" t="s">
        <v>3027</v>
      </c>
      <c r="C2669" t="s">
        <v>6958</v>
      </c>
      <c r="D2669">
        <v>7</v>
      </c>
      <c r="E2669" t="s">
        <v>3027</v>
      </c>
      <c r="F2669" t="s">
        <v>6958</v>
      </c>
      <c r="G2669" s="3"/>
      <c r="H2669" s="21">
        <v>0</v>
      </c>
      <c r="I2669" s="21">
        <v>0</v>
      </c>
      <c r="J2669" s="21">
        <v>0</v>
      </c>
      <c r="K2669" s="21">
        <v>0</v>
      </c>
      <c r="L2669" s="3">
        <f t="shared" si="120"/>
        <v>0</v>
      </c>
      <c r="M2669" s="3"/>
      <c r="N2669" s="3">
        <f t="shared" si="121"/>
        <v>0</v>
      </c>
      <c r="R2669" s="89"/>
      <c r="S2669" s="89">
        <f>100%-Table34[[#This Row],[PDF_initial fee]]</f>
        <v>1</v>
      </c>
      <c r="T2669" s="89"/>
      <c r="U2669" s="26"/>
    </row>
    <row r="2670" spans="1:21" hidden="1" x14ac:dyDescent="0.25">
      <c r="A2670">
        <v>533498</v>
      </c>
      <c r="B2670" t="s">
        <v>3028</v>
      </c>
      <c r="C2670" t="s">
        <v>10029</v>
      </c>
      <c r="D2670">
        <v>1</v>
      </c>
      <c r="E2670" t="s">
        <v>3028</v>
      </c>
      <c r="G2670" s="3"/>
      <c r="H2670" s="21">
        <v>0</v>
      </c>
      <c r="I2670" s="21">
        <v>0</v>
      </c>
      <c r="J2670" s="21">
        <v>0</v>
      </c>
      <c r="K2670" s="21">
        <v>0</v>
      </c>
      <c r="L2670" s="3">
        <f t="shared" si="120"/>
        <v>0</v>
      </c>
      <c r="M2670" s="3"/>
      <c r="N2670" s="3">
        <f t="shared" si="121"/>
        <v>0</v>
      </c>
      <c r="R2670" s="89"/>
      <c r="S2670" s="89">
        <f>100%-Table34[[#This Row],[PDF_initial fee]]</f>
        <v>1</v>
      </c>
      <c r="T2670" s="89"/>
      <c r="U2670" s="26"/>
    </row>
    <row r="2671" spans="1:21" hidden="1" x14ac:dyDescent="0.25">
      <c r="A2671">
        <v>533507</v>
      </c>
      <c r="B2671" t="s">
        <v>3029</v>
      </c>
      <c r="C2671" t="s">
        <v>9920</v>
      </c>
      <c r="D2671">
        <v>2</v>
      </c>
      <c r="E2671" t="s">
        <v>3029</v>
      </c>
      <c r="G2671" s="3"/>
      <c r="H2671" s="21">
        <v>0</v>
      </c>
      <c r="I2671" s="21">
        <v>0</v>
      </c>
      <c r="J2671" s="21">
        <v>0</v>
      </c>
      <c r="K2671" s="21">
        <v>0</v>
      </c>
      <c r="L2671" s="3">
        <f t="shared" si="120"/>
        <v>0</v>
      </c>
      <c r="M2671" s="3"/>
      <c r="N2671" s="3">
        <f t="shared" si="121"/>
        <v>0</v>
      </c>
      <c r="R2671" s="89"/>
      <c r="S2671" s="89">
        <f>100%-Table34[[#This Row],[PDF_initial fee]]</f>
        <v>1</v>
      </c>
      <c r="T2671" s="89"/>
      <c r="U2671" s="26"/>
    </row>
    <row r="2672" spans="1:21" hidden="1" x14ac:dyDescent="0.25">
      <c r="A2672">
        <v>533522</v>
      </c>
      <c r="B2672" t="s">
        <v>3030</v>
      </c>
      <c r="C2672" t="s">
        <v>30366</v>
      </c>
      <c r="D2672">
        <v>4</v>
      </c>
      <c r="E2672" t="s">
        <v>3030</v>
      </c>
      <c r="G2672" s="3"/>
      <c r="H2672" s="3">
        <v>0</v>
      </c>
      <c r="I2672" s="3">
        <v>0</v>
      </c>
      <c r="J2672" s="3">
        <v>0</v>
      </c>
      <c r="K2672" s="3">
        <v>0</v>
      </c>
      <c r="L2672" s="3">
        <f t="shared" si="120"/>
        <v>0</v>
      </c>
      <c r="M2672" s="3"/>
      <c r="N2672" s="3">
        <f t="shared" si="121"/>
        <v>0</v>
      </c>
      <c r="R2672" s="89"/>
      <c r="S2672" s="89">
        <f>100%-Table34[[#This Row],[PDF_initial fee]]</f>
        <v>1</v>
      </c>
      <c r="T2672" s="89"/>
      <c r="U2672" s="26"/>
    </row>
    <row r="2673" spans="1:29" hidden="1" x14ac:dyDescent="0.25">
      <c r="A2673">
        <v>533548</v>
      </c>
      <c r="B2673" t="s">
        <v>3031</v>
      </c>
      <c r="C2673" s="1" t="s">
        <v>30367</v>
      </c>
      <c r="D2673">
        <v>1</v>
      </c>
      <c r="E2673" t="s">
        <v>3031</v>
      </c>
      <c r="G2673" s="3"/>
      <c r="H2673" s="3">
        <v>0</v>
      </c>
      <c r="I2673" s="3">
        <v>0</v>
      </c>
      <c r="J2673" s="3">
        <v>0</v>
      </c>
      <c r="K2673" s="3">
        <v>0</v>
      </c>
      <c r="L2673" s="3">
        <f t="shared" si="120"/>
        <v>0</v>
      </c>
      <c r="M2673" s="3"/>
      <c r="N2673" s="3">
        <f t="shared" si="121"/>
        <v>0</v>
      </c>
      <c r="R2673" s="89"/>
      <c r="S2673" s="89">
        <f>100%-Table34[[#This Row],[PDF_initial fee]]</f>
        <v>1</v>
      </c>
      <c r="T2673" s="89"/>
      <c r="U2673" s="26"/>
    </row>
    <row r="2674" spans="1:29" hidden="1" x14ac:dyDescent="0.25">
      <c r="A2674">
        <v>533556</v>
      </c>
      <c r="B2674" t="s">
        <v>3032</v>
      </c>
      <c r="C2674" t="s">
        <v>6958</v>
      </c>
      <c r="D2674">
        <v>1</v>
      </c>
      <c r="E2674" t="s">
        <v>3032</v>
      </c>
      <c r="F2674" t="s">
        <v>6958</v>
      </c>
      <c r="G2674" s="3"/>
      <c r="H2674" s="21">
        <v>0</v>
      </c>
      <c r="I2674" s="21">
        <v>0</v>
      </c>
      <c r="J2674" s="21">
        <v>0</v>
      </c>
      <c r="K2674" s="21">
        <v>0</v>
      </c>
      <c r="L2674" s="3">
        <f t="shared" si="120"/>
        <v>0</v>
      </c>
      <c r="M2674" s="3"/>
      <c r="N2674" s="3">
        <f t="shared" si="121"/>
        <v>0</v>
      </c>
      <c r="R2674" s="89"/>
      <c r="S2674" s="89">
        <f>100%-Table34[[#This Row],[PDF_initial fee]]</f>
        <v>1</v>
      </c>
      <c r="T2674" s="89"/>
      <c r="U2674" s="26"/>
    </row>
    <row r="2675" spans="1:29" x14ac:dyDescent="0.25">
      <c r="A2675">
        <v>584256</v>
      </c>
      <c r="B2675" t="s">
        <v>240</v>
      </c>
      <c r="C2675" t="s">
        <v>30362</v>
      </c>
      <c r="D2675">
        <v>328</v>
      </c>
      <c r="E2675" t="s">
        <v>240</v>
      </c>
      <c r="F2675" t="s">
        <v>6</v>
      </c>
      <c r="G2675" s="3">
        <v>1.0999999999999999E-2</v>
      </c>
      <c r="H2675" s="3">
        <v>2.75E-2</v>
      </c>
      <c r="I2675" s="21">
        <v>0</v>
      </c>
      <c r="J2675" s="6">
        <v>0</v>
      </c>
      <c r="K2675" s="6">
        <v>0</v>
      </c>
      <c r="L2675" s="3">
        <f t="shared" si="120"/>
        <v>2.75E-2</v>
      </c>
      <c r="M2675" s="3"/>
      <c r="N2675" s="3">
        <f t="shared" si="121"/>
        <v>3.85E-2</v>
      </c>
      <c r="O2675" s="21"/>
      <c r="P2675" s="22" t="s">
        <v>30364</v>
      </c>
      <c r="Q2675" s="101" t="s">
        <v>31782</v>
      </c>
      <c r="R2675" s="89">
        <v>0.23910000000000001</v>
      </c>
      <c r="S2675" s="89">
        <f>100%-Table34[[#This Row],[InitialFee]]</f>
        <v>0.97250000000000003</v>
      </c>
      <c r="T2675" s="89">
        <f>(1-Table34[[#This Row],[PDF ongoing fee]])^5</f>
        <v>1</v>
      </c>
      <c r="U2675" s="26">
        <f>(1+Table34[[#This Row],[Net 5yrs return (mostly up to 28th of Feb 2026)]])*Table34[[#This Row],[Investment after initial charge]]*Table34[[#This Row],[Cummulative 5yrs ongoing advice charge]]-1</f>
        <v>0.2050247500000002</v>
      </c>
      <c r="V2675" s="10">
        <v>6323000</v>
      </c>
      <c r="W2675" s="10" t="s">
        <v>29081</v>
      </c>
      <c r="X2675" s="10">
        <v>6323000</v>
      </c>
      <c r="Y2675" s="30">
        <f>X2675/V2675</f>
        <v>1</v>
      </c>
      <c r="Z2675" s="10"/>
      <c r="AA2675" s="1" t="s">
        <v>30365</v>
      </c>
    </row>
    <row r="2676" spans="1:29" hidden="1" x14ac:dyDescent="0.25">
      <c r="A2676">
        <v>533565</v>
      </c>
      <c r="B2676" t="s">
        <v>3033</v>
      </c>
      <c r="C2676" t="s">
        <v>11125</v>
      </c>
      <c r="D2676">
        <v>2</v>
      </c>
      <c r="E2676" t="s">
        <v>3033</v>
      </c>
      <c r="G2676" s="3"/>
      <c r="H2676" s="21">
        <v>0</v>
      </c>
      <c r="I2676" s="21">
        <v>0</v>
      </c>
      <c r="J2676" s="21">
        <v>0</v>
      </c>
      <c r="K2676" s="21">
        <v>0</v>
      </c>
      <c r="L2676" s="3">
        <f t="shared" si="120"/>
        <v>0</v>
      </c>
      <c r="M2676" s="3"/>
      <c r="N2676" s="3">
        <f t="shared" si="121"/>
        <v>0</v>
      </c>
      <c r="R2676" s="89"/>
      <c r="S2676" s="89">
        <f>100%-Table34[[#This Row],[PDF_initial fee]]</f>
        <v>1</v>
      </c>
      <c r="T2676" s="89"/>
      <c r="U2676" s="26"/>
    </row>
    <row r="2677" spans="1:29" hidden="1" x14ac:dyDescent="0.25">
      <c r="A2677">
        <v>533576</v>
      </c>
      <c r="B2677" t="s">
        <v>3034</v>
      </c>
      <c r="C2677" t="s">
        <v>30368</v>
      </c>
      <c r="D2677">
        <v>2</v>
      </c>
      <c r="E2677" t="s">
        <v>3034</v>
      </c>
      <c r="G2677" s="3"/>
      <c r="H2677" s="3">
        <v>0</v>
      </c>
      <c r="I2677" s="3">
        <v>0</v>
      </c>
      <c r="J2677" s="3">
        <v>0</v>
      </c>
      <c r="K2677" s="3">
        <v>0</v>
      </c>
      <c r="L2677" s="3">
        <f t="shared" si="120"/>
        <v>0</v>
      </c>
      <c r="M2677" s="3"/>
      <c r="N2677" s="3">
        <f t="shared" si="121"/>
        <v>0</v>
      </c>
      <c r="R2677" s="89"/>
      <c r="S2677" s="89">
        <f>100%-Table34[[#This Row],[PDF_initial fee]]</f>
        <v>1</v>
      </c>
      <c r="T2677" s="89"/>
      <c r="U2677" s="26"/>
    </row>
    <row r="2678" spans="1:29" hidden="1" x14ac:dyDescent="0.25">
      <c r="A2678">
        <v>533831</v>
      </c>
      <c r="B2678" t="s">
        <v>3035</v>
      </c>
      <c r="C2678" t="s">
        <v>7715</v>
      </c>
      <c r="D2678">
        <v>7</v>
      </c>
      <c r="E2678" t="s">
        <v>3035</v>
      </c>
      <c r="G2678" s="3"/>
      <c r="H2678" s="21">
        <v>0</v>
      </c>
      <c r="I2678" s="21">
        <v>0</v>
      </c>
      <c r="J2678" s="21">
        <v>0</v>
      </c>
      <c r="K2678" s="21">
        <v>0</v>
      </c>
      <c r="L2678" s="3">
        <f t="shared" si="120"/>
        <v>0</v>
      </c>
      <c r="M2678" s="3"/>
      <c r="N2678" s="3">
        <f t="shared" si="121"/>
        <v>0</v>
      </c>
      <c r="R2678" s="89"/>
      <c r="S2678" s="89">
        <f>100%-Table34[[#This Row],[PDF_initial fee]]</f>
        <v>1</v>
      </c>
      <c r="T2678" s="89"/>
      <c r="U2678" s="26"/>
    </row>
    <row r="2679" spans="1:29" hidden="1" x14ac:dyDescent="0.25">
      <c r="A2679">
        <v>533859</v>
      </c>
      <c r="B2679" t="s">
        <v>3036</v>
      </c>
      <c r="C2679" t="s">
        <v>6958</v>
      </c>
      <c r="D2679">
        <v>1</v>
      </c>
      <c r="E2679" t="s">
        <v>3036</v>
      </c>
      <c r="F2679" t="s">
        <v>6958</v>
      </c>
      <c r="G2679" s="3"/>
      <c r="H2679" s="21">
        <v>0</v>
      </c>
      <c r="I2679" s="21">
        <v>0</v>
      </c>
      <c r="J2679" s="21">
        <v>0</v>
      </c>
      <c r="K2679" s="21">
        <v>0</v>
      </c>
      <c r="L2679" s="3">
        <f t="shared" si="120"/>
        <v>0</v>
      </c>
      <c r="M2679" s="3"/>
      <c r="N2679" s="3">
        <f t="shared" si="121"/>
        <v>0</v>
      </c>
      <c r="R2679" s="89"/>
      <c r="S2679" s="89">
        <f>100%-Table34[[#This Row],[PDF_initial fee]]</f>
        <v>1</v>
      </c>
      <c r="T2679" s="89"/>
      <c r="U2679" s="26"/>
    </row>
    <row r="2680" spans="1:29" hidden="1" x14ac:dyDescent="0.25">
      <c r="A2680">
        <v>533908</v>
      </c>
      <c r="B2680" t="s">
        <v>3038</v>
      </c>
      <c r="C2680" t="s">
        <v>11351</v>
      </c>
      <c r="D2680">
        <v>1</v>
      </c>
      <c r="E2680" t="s">
        <v>3038</v>
      </c>
      <c r="G2680" s="3"/>
      <c r="H2680" s="21">
        <v>0</v>
      </c>
      <c r="I2680" s="21">
        <v>0</v>
      </c>
      <c r="J2680" s="21">
        <v>0</v>
      </c>
      <c r="K2680" s="21">
        <v>0</v>
      </c>
      <c r="L2680" s="3">
        <f t="shared" si="120"/>
        <v>0</v>
      </c>
      <c r="M2680" s="3"/>
      <c r="N2680" s="3">
        <f t="shared" si="121"/>
        <v>0</v>
      </c>
      <c r="O2680" s="21"/>
      <c r="R2680" s="89"/>
      <c r="S2680" s="89">
        <f>100%-Table34[[#This Row],[PDF_initial fee]]</f>
        <v>1</v>
      </c>
      <c r="T2680" s="89"/>
      <c r="U2680" s="26"/>
    </row>
    <row r="2681" spans="1:29" hidden="1" x14ac:dyDescent="0.25">
      <c r="A2681">
        <v>533915</v>
      </c>
      <c r="B2681" t="s">
        <v>3039</v>
      </c>
      <c r="C2681" t="s">
        <v>30369</v>
      </c>
      <c r="D2681">
        <v>0</v>
      </c>
      <c r="E2681" t="s">
        <v>3039</v>
      </c>
      <c r="F2681" t="s">
        <v>29136</v>
      </c>
      <c r="G2681" s="3"/>
      <c r="H2681" s="21">
        <v>0</v>
      </c>
      <c r="I2681" s="3">
        <v>0</v>
      </c>
      <c r="J2681" s="3">
        <v>0</v>
      </c>
      <c r="K2681">
        <v>0</v>
      </c>
      <c r="L2681" s="3">
        <f t="shared" si="120"/>
        <v>0</v>
      </c>
      <c r="M2681" s="3"/>
      <c r="N2681" s="3">
        <f t="shared" si="121"/>
        <v>0</v>
      </c>
      <c r="R2681" s="89"/>
      <c r="S2681" s="89">
        <f>100%-Table34[[#This Row],[PDF_initial fee]]</f>
        <v>1</v>
      </c>
      <c r="T2681" s="89"/>
      <c r="U2681" s="26"/>
    </row>
    <row r="2682" spans="1:29" hidden="1" x14ac:dyDescent="0.25">
      <c r="A2682">
        <v>534484</v>
      </c>
      <c r="B2682" t="s">
        <v>3040</v>
      </c>
      <c r="C2682" t="s">
        <v>30370</v>
      </c>
      <c r="D2682">
        <v>0</v>
      </c>
      <c r="E2682" t="s">
        <v>3040</v>
      </c>
      <c r="F2682" t="s">
        <v>29136</v>
      </c>
      <c r="G2682" s="3"/>
      <c r="H2682" s="21">
        <v>0</v>
      </c>
      <c r="I2682" s="21">
        <v>0</v>
      </c>
      <c r="J2682" s="21">
        <v>0</v>
      </c>
      <c r="K2682" s="21">
        <v>0</v>
      </c>
      <c r="L2682" s="3">
        <f t="shared" ref="L2682:L2713" si="122">SUM(H2682:K2682)</f>
        <v>0</v>
      </c>
      <c r="M2682" s="3"/>
      <c r="N2682" s="3">
        <f t="shared" ref="N2682:N2713" si="123">L2682+G2682</f>
        <v>0</v>
      </c>
      <c r="O2682" s="21"/>
      <c r="R2682" s="89"/>
      <c r="S2682" s="89">
        <f>100%-Table34[[#This Row],[PDF_initial fee]]</f>
        <v>1</v>
      </c>
      <c r="T2682" s="89"/>
      <c r="U2682" s="26"/>
    </row>
    <row r="2683" spans="1:29" hidden="1" x14ac:dyDescent="0.25">
      <c r="A2683">
        <v>534520</v>
      </c>
      <c r="B2683" t="s">
        <v>3041</v>
      </c>
      <c r="C2683" t="s">
        <v>11519</v>
      </c>
      <c r="D2683">
        <v>1</v>
      </c>
      <c r="E2683" t="s">
        <v>3041</v>
      </c>
      <c r="G2683" s="3"/>
      <c r="H2683" s="21">
        <v>0</v>
      </c>
      <c r="I2683" s="21">
        <v>0</v>
      </c>
      <c r="J2683" s="21">
        <v>0</v>
      </c>
      <c r="K2683" s="21">
        <v>0</v>
      </c>
      <c r="L2683" s="3">
        <f t="shared" si="122"/>
        <v>0</v>
      </c>
      <c r="M2683" s="3"/>
      <c r="N2683" s="3">
        <f t="shared" si="123"/>
        <v>0</v>
      </c>
      <c r="O2683" s="21"/>
      <c r="R2683" s="89"/>
      <c r="S2683" s="89">
        <f>100%-Table34[[#This Row],[PDF_initial fee]]</f>
        <v>1</v>
      </c>
      <c r="T2683" s="89"/>
      <c r="U2683" s="26"/>
    </row>
    <row r="2684" spans="1:29" hidden="1" x14ac:dyDescent="0.25">
      <c r="A2684">
        <v>534666</v>
      </c>
      <c r="B2684" t="s">
        <v>3043</v>
      </c>
      <c r="C2684" t="s">
        <v>11022</v>
      </c>
      <c r="D2684">
        <v>3</v>
      </c>
      <c r="E2684" t="s">
        <v>3043</v>
      </c>
      <c r="G2684" s="3"/>
      <c r="H2684" s="21">
        <v>0</v>
      </c>
      <c r="I2684" s="21">
        <v>0</v>
      </c>
      <c r="J2684" s="21">
        <v>0</v>
      </c>
      <c r="K2684" s="21">
        <v>0</v>
      </c>
      <c r="L2684" s="3">
        <f t="shared" si="122"/>
        <v>0</v>
      </c>
      <c r="M2684" s="3"/>
      <c r="N2684" s="3">
        <f t="shared" si="123"/>
        <v>0</v>
      </c>
      <c r="R2684" s="89"/>
      <c r="S2684" s="89">
        <f>100%-Table34[[#This Row],[PDF_initial fee]]</f>
        <v>1</v>
      </c>
      <c r="T2684" s="89"/>
      <c r="U2684" s="26"/>
    </row>
    <row r="2685" spans="1:29" hidden="1" x14ac:dyDescent="0.25">
      <c r="A2685">
        <v>534742</v>
      </c>
      <c r="B2685" t="s">
        <v>3044</v>
      </c>
      <c r="C2685" t="s">
        <v>6958</v>
      </c>
      <c r="D2685">
        <v>1</v>
      </c>
      <c r="E2685" t="s">
        <v>3044</v>
      </c>
      <c r="F2685" t="s">
        <v>6958</v>
      </c>
      <c r="G2685" s="3"/>
      <c r="H2685" s="21">
        <v>0</v>
      </c>
      <c r="I2685" s="21">
        <v>0</v>
      </c>
      <c r="J2685" s="21">
        <v>0</v>
      </c>
      <c r="K2685" s="21">
        <v>0</v>
      </c>
      <c r="L2685" s="3">
        <f t="shared" si="122"/>
        <v>0</v>
      </c>
      <c r="M2685" s="3"/>
      <c r="N2685" s="3">
        <f t="shared" si="123"/>
        <v>0</v>
      </c>
      <c r="R2685" s="89"/>
      <c r="S2685" s="89">
        <f>100%-Table34[[#This Row],[PDF_initial fee]]</f>
        <v>1</v>
      </c>
      <c r="T2685" s="89"/>
      <c r="U2685" s="26"/>
    </row>
    <row r="2686" spans="1:29" hidden="1" x14ac:dyDescent="0.25">
      <c r="A2686">
        <v>534831</v>
      </c>
      <c r="B2686" t="s">
        <v>3045</v>
      </c>
      <c r="C2686" t="s">
        <v>6958</v>
      </c>
      <c r="D2686">
        <v>1</v>
      </c>
      <c r="E2686" t="s">
        <v>3045</v>
      </c>
      <c r="F2686" t="s">
        <v>6958</v>
      </c>
      <c r="G2686" s="3"/>
      <c r="H2686" s="21">
        <v>0</v>
      </c>
      <c r="I2686" s="21">
        <v>0</v>
      </c>
      <c r="J2686" s="21">
        <v>0</v>
      </c>
      <c r="K2686" s="21">
        <v>0</v>
      </c>
      <c r="L2686" s="3">
        <f t="shared" si="122"/>
        <v>0</v>
      </c>
      <c r="M2686" s="3"/>
      <c r="N2686" s="3">
        <f t="shared" si="123"/>
        <v>0</v>
      </c>
      <c r="R2686" s="89"/>
      <c r="S2686" s="89">
        <f>100%-Table34[[#This Row],[PDF_initial fee]]</f>
        <v>1</v>
      </c>
      <c r="T2686" s="89"/>
      <c r="U2686" s="26"/>
    </row>
    <row r="2687" spans="1:29" hidden="1" x14ac:dyDescent="0.25">
      <c r="A2687">
        <v>181768</v>
      </c>
      <c r="B2687" t="s">
        <v>83</v>
      </c>
      <c r="C2687" t="s">
        <v>11098</v>
      </c>
      <c r="D2687">
        <v>3</v>
      </c>
      <c r="E2687" t="s">
        <v>83</v>
      </c>
      <c r="F2687" t="s">
        <v>6</v>
      </c>
      <c r="G2687" s="3">
        <f>2.15%</f>
        <v>2.1499999999999998E-2</v>
      </c>
      <c r="H2687" s="3">
        <v>0.02</v>
      </c>
      <c r="I2687" s="3">
        <v>0</v>
      </c>
      <c r="J2687" s="6">
        <v>0</v>
      </c>
      <c r="K2687" s="6">
        <v>0</v>
      </c>
      <c r="L2687" s="3">
        <f t="shared" si="122"/>
        <v>0.02</v>
      </c>
      <c r="M2687" s="3"/>
      <c r="N2687" s="3">
        <f t="shared" si="123"/>
        <v>4.1499999999999995E-2</v>
      </c>
      <c r="O2687" t="s">
        <v>30371</v>
      </c>
      <c r="P2687" s="1" t="s">
        <v>30372</v>
      </c>
      <c r="Q2687" s="1" t="s">
        <v>30373</v>
      </c>
      <c r="R2687" s="89" t="s">
        <v>31780</v>
      </c>
      <c r="S2687" s="89">
        <f>100%-Table34[[#This Row],[PDF_initial fee]]</f>
        <v>1</v>
      </c>
      <c r="T2687" s="89"/>
      <c r="U2687" s="26"/>
      <c r="V2687" s="10">
        <f>6158059+378827</f>
        <v>6536886</v>
      </c>
      <c r="W2687" t="s">
        <v>29051</v>
      </c>
      <c r="X2687" s="10">
        <v>5681582</v>
      </c>
      <c r="Y2687" s="30">
        <f>X2687/V2687</f>
        <v>0.86915727152041511</v>
      </c>
      <c r="AA2687" s="1" t="s">
        <v>30374</v>
      </c>
      <c r="AC2687" t="s">
        <v>30245</v>
      </c>
    </row>
    <row r="2688" spans="1:29" hidden="1" x14ac:dyDescent="0.25">
      <c r="A2688">
        <v>534867</v>
      </c>
      <c r="B2688" t="s">
        <v>3046</v>
      </c>
      <c r="C2688" t="s">
        <v>6958</v>
      </c>
      <c r="D2688">
        <v>1</v>
      </c>
      <c r="E2688" t="s">
        <v>3046</v>
      </c>
      <c r="F2688" t="s">
        <v>6958</v>
      </c>
      <c r="G2688" s="3"/>
      <c r="H2688" s="21">
        <v>0</v>
      </c>
      <c r="I2688" s="21">
        <v>0</v>
      </c>
      <c r="J2688" s="21">
        <v>0</v>
      </c>
      <c r="K2688" s="21">
        <v>0</v>
      </c>
      <c r="L2688" s="3">
        <f t="shared" si="122"/>
        <v>0</v>
      </c>
      <c r="M2688" s="3"/>
      <c r="N2688" s="3">
        <f t="shared" si="123"/>
        <v>0</v>
      </c>
      <c r="O2688" s="21"/>
      <c r="R2688" s="89"/>
      <c r="S2688" s="89">
        <f>100%-Table34[[#This Row],[PDF_initial fee]]</f>
        <v>1</v>
      </c>
      <c r="T2688" s="89"/>
      <c r="U2688" s="26"/>
    </row>
    <row r="2689" spans="1:21" hidden="1" x14ac:dyDescent="0.25">
      <c r="A2689">
        <v>535515</v>
      </c>
      <c r="B2689" t="s">
        <v>3047</v>
      </c>
      <c r="C2689" t="s">
        <v>6958</v>
      </c>
      <c r="D2689">
        <v>27</v>
      </c>
      <c r="E2689" t="s">
        <v>3047</v>
      </c>
      <c r="F2689" t="s">
        <v>6958</v>
      </c>
      <c r="G2689" s="3"/>
      <c r="H2689" s="21">
        <v>0</v>
      </c>
      <c r="I2689" s="21">
        <v>0</v>
      </c>
      <c r="J2689" s="21">
        <v>0</v>
      </c>
      <c r="K2689" s="21">
        <v>0</v>
      </c>
      <c r="L2689" s="3">
        <f t="shared" si="122"/>
        <v>0</v>
      </c>
      <c r="M2689" s="3"/>
      <c r="N2689" s="3">
        <f t="shared" si="123"/>
        <v>0</v>
      </c>
      <c r="R2689" s="89"/>
      <c r="S2689" s="89">
        <f>100%-Table34[[#This Row],[PDF_initial fee]]</f>
        <v>1</v>
      </c>
      <c r="T2689" s="89"/>
      <c r="U2689" s="26"/>
    </row>
    <row r="2690" spans="1:21" hidden="1" x14ac:dyDescent="0.25">
      <c r="A2690">
        <v>535786</v>
      </c>
      <c r="B2690" t="s">
        <v>3048</v>
      </c>
      <c r="C2690" t="s">
        <v>7316</v>
      </c>
      <c r="D2690">
        <v>2</v>
      </c>
      <c r="E2690" t="s">
        <v>3048</v>
      </c>
      <c r="G2690" s="3"/>
      <c r="H2690" s="21">
        <v>0</v>
      </c>
      <c r="I2690" s="21">
        <v>0</v>
      </c>
      <c r="J2690" s="21">
        <v>0</v>
      </c>
      <c r="K2690" s="21">
        <v>0</v>
      </c>
      <c r="L2690" s="3">
        <f t="shared" si="122"/>
        <v>0</v>
      </c>
      <c r="M2690" s="3"/>
      <c r="N2690" s="3">
        <f t="shared" si="123"/>
        <v>0</v>
      </c>
      <c r="R2690" s="89"/>
      <c r="S2690" s="89">
        <f>100%-Table34[[#This Row],[PDF_initial fee]]</f>
        <v>1</v>
      </c>
      <c r="T2690" s="89"/>
      <c r="U2690" s="26"/>
    </row>
    <row r="2691" spans="1:21" hidden="1" x14ac:dyDescent="0.25">
      <c r="A2691">
        <v>535867</v>
      </c>
      <c r="B2691" t="s">
        <v>3049</v>
      </c>
      <c r="C2691" t="s">
        <v>6958</v>
      </c>
      <c r="D2691">
        <v>6</v>
      </c>
      <c r="E2691" t="s">
        <v>3049</v>
      </c>
      <c r="F2691" t="s">
        <v>6958</v>
      </c>
      <c r="G2691" s="3"/>
      <c r="H2691" s="21">
        <v>0</v>
      </c>
      <c r="I2691" s="21">
        <v>0</v>
      </c>
      <c r="J2691" s="21">
        <v>0</v>
      </c>
      <c r="K2691" s="21">
        <v>0</v>
      </c>
      <c r="L2691" s="3">
        <f t="shared" si="122"/>
        <v>0</v>
      </c>
      <c r="M2691" s="3"/>
      <c r="N2691" s="3">
        <f t="shared" si="123"/>
        <v>0</v>
      </c>
      <c r="R2691" s="89"/>
      <c r="S2691" s="89">
        <f>100%-Table34[[#This Row],[PDF_initial fee]]</f>
        <v>1</v>
      </c>
      <c r="T2691" s="89"/>
      <c r="U2691" s="26"/>
    </row>
    <row r="2692" spans="1:21" hidden="1" x14ac:dyDescent="0.25">
      <c r="A2692">
        <v>536087</v>
      </c>
      <c r="B2692" t="s">
        <v>3050</v>
      </c>
      <c r="C2692" t="s">
        <v>30375</v>
      </c>
      <c r="D2692">
        <v>2</v>
      </c>
      <c r="E2692" t="s">
        <v>3050</v>
      </c>
      <c r="G2692" s="3"/>
      <c r="H2692" s="3">
        <v>0</v>
      </c>
      <c r="I2692" s="3">
        <v>0</v>
      </c>
      <c r="J2692" s="3">
        <v>0</v>
      </c>
      <c r="K2692" s="3">
        <v>0</v>
      </c>
      <c r="L2692" s="3">
        <f t="shared" si="122"/>
        <v>0</v>
      </c>
      <c r="M2692" s="3"/>
      <c r="N2692" s="3">
        <f t="shared" si="123"/>
        <v>0</v>
      </c>
      <c r="R2692" s="89"/>
      <c r="S2692" s="89">
        <f>100%-Table34[[#This Row],[PDF_initial fee]]</f>
        <v>1</v>
      </c>
      <c r="T2692" s="89"/>
      <c r="U2692" s="26"/>
    </row>
    <row r="2693" spans="1:21" hidden="1" x14ac:dyDescent="0.25">
      <c r="A2693">
        <v>536470</v>
      </c>
      <c r="B2693" t="s">
        <v>3051</v>
      </c>
      <c r="C2693" t="s">
        <v>10083</v>
      </c>
      <c r="D2693">
        <v>2</v>
      </c>
      <c r="E2693" t="s">
        <v>3051</v>
      </c>
      <c r="G2693" s="3"/>
      <c r="H2693" s="21">
        <v>0</v>
      </c>
      <c r="I2693" s="21">
        <v>0</v>
      </c>
      <c r="J2693" s="21">
        <v>0</v>
      </c>
      <c r="K2693" s="21">
        <v>0</v>
      </c>
      <c r="L2693" s="3">
        <f t="shared" si="122"/>
        <v>0</v>
      </c>
      <c r="M2693" s="3"/>
      <c r="N2693" s="3">
        <f t="shared" si="123"/>
        <v>0</v>
      </c>
      <c r="R2693" s="89"/>
      <c r="S2693" s="89">
        <f>100%-Table34[[#This Row],[PDF_initial fee]]</f>
        <v>1</v>
      </c>
      <c r="T2693" s="89"/>
      <c r="U2693" s="26"/>
    </row>
    <row r="2694" spans="1:21" hidden="1" x14ac:dyDescent="0.25">
      <c r="A2694">
        <v>536575</v>
      </c>
      <c r="B2694" t="s">
        <v>3052</v>
      </c>
      <c r="C2694" t="s">
        <v>30376</v>
      </c>
      <c r="D2694">
        <v>1</v>
      </c>
      <c r="E2694" t="s">
        <v>3052</v>
      </c>
      <c r="G2694" s="3"/>
      <c r="H2694" s="3">
        <v>0</v>
      </c>
      <c r="I2694" s="3">
        <v>0</v>
      </c>
      <c r="J2694" s="3">
        <v>0</v>
      </c>
      <c r="K2694" s="3">
        <v>0</v>
      </c>
      <c r="L2694" s="3">
        <f t="shared" si="122"/>
        <v>0</v>
      </c>
      <c r="M2694" s="3"/>
      <c r="N2694" s="3">
        <f t="shared" si="123"/>
        <v>0</v>
      </c>
      <c r="R2694" s="89"/>
      <c r="S2694" s="89">
        <f>100%-Table34[[#This Row],[PDF_initial fee]]</f>
        <v>1</v>
      </c>
      <c r="T2694" s="89"/>
      <c r="U2694" s="26"/>
    </row>
    <row r="2695" spans="1:21" hidden="1" x14ac:dyDescent="0.25">
      <c r="A2695">
        <v>536899</v>
      </c>
      <c r="B2695" t="s">
        <v>3053</v>
      </c>
      <c r="C2695" t="s">
        <v>8052</v>
      </c>
      <c r="D2695">
        <v>6</v>
      </c>
      <c r="E2695" t="s">
        <v>3053</v>
      </c>
      <c r="G2695" s="3"/>
      <c r="L2695" s="3">
        <f t="shared" si="122"/>
        <v>0</v>
      </c>
      <c r="M2695" s="3"/>
      <c r="N2695" s="3">
        <f t="shared" si="123"/>
        <v>0</v>
      </c>
      <c r="R2695" s="89"/>
      <c r="S2695" s="89">
        <f>100%-Table34[[#This Row],[PDF_initial fee]]</f>
        <v>1</v>
      </c>
      <c r="T2695" s="89"/>
      <c r="U2695" s="26"/>
    </row>
    <row r="2696" spans="1:21" hidden="1" x14ac:dyDescent="0.25">
      <c r="A2696">
        <v>536900</v>
      </c>
      <c r="B2696" t="s">
        <v>3054</v>
      </c>
      <c r="C2696" t="s">
        <v>7849</v>
      </c>
      <c r="D2696">
        <v>16</v>
      </c>
      <c r="E2696" t="s">
        <v>3054</v>
      </c>
      <c r="G2696" s="3"/>
      <c r="L2696" s="3">
        <f t="shared" si="122"/>
        <v>0</v>
      </c>
      <c r="M2696" s="3"/>
      <c r="N2696" s="3">
        <f t="shared" si="123"/>
        <v>0</v>
      </c>
      <c r="R2696" s="89"/>
      <c r="S2696" s="89">
        <f>100%-Table34[[#This Row],[PDF_initial fee]]</f>
        <v>1</v>
      </c>
      <c r="T2696" s="89"/>
      <c r="U2696" s="26"/>
    </row>
    <row r="2697" spans="1:21" hidden="1" x14ac:dyDescent="0.25">
      <c r="A2697">
        <v>536929</v>
      </c>
      <c r="B2697" t="s">
        <v>3055</v>
      </c>
      <c r="C2697" t="s">
        <v>6958</v>
      </c>
      <c r="D2697">
        <v>1</v>
      </c>
      <c r="E2697" t="s">
        <v>3055</v>
      </c>
      <c r="F2697" t="s">
        <v>6958</v>
      </c>
      <c r="G2697" s="3"/>
      <c r="H2697" s="21">
        <v>0</v>
      </c>
      <c r="I2697" s="21">
        <v>0</v>
      </c>
      <c r="J2697" s="21">
        <v>0</v>
      </c>
      <c r="K2697" s="21">
        <v>0</v>
      </c>
      <c r="L2697" s="3">
        <f t="shared" si="122"/>
        <v>0</v>
      </c>
      <c r="M2697" s="3"/>
      <c r="N2697" s="3">
        <f t="shared" si="123"/>
        <v>0</v>
      </c>
      <c r="R2697" s="89"/>
      <c r="S2697" s="89">
        <f>100%-Table34[[#This Row],[PDF_initial fee]]</f>
        <v>1</v>
      </c>
      <c r="T2697" s="89"/>
      <c r="U2697" s="26"/>
    </row>
    <row r="2698" spans="1:21" hidden="1" x14ac:dyDescent="0.25">
      <c r="A2698">
        <v>536994</v>
      </c>
      <c r="B2698" t="s">
        <v>3056</v>
      </c>
      <c r="C2698" t="s">
        <v>8791</v>
      </c>
      <c r="D2698">
        <v>5</v>
      </c>
      <c r="E2698" t="s">
        <v>3056</v>
      </c>
      <c r="G2698" s="3"/>
      <c r="H2698" s="21">
        <v>0</v>
      </c>
      <c r="I2698" s="21">
        <v>0</v>
      </c>
      <c r="J2698" s="21">
        <v>0</v>
      </c>
      <c r="K2698" s="21">
        <v>0</v>
      </c>
      <c r="L2698" s="3">
        <f t="shared" si="122"/>
        <v>0</v>
      </c>
      <c r="M2698" s="3"/>
      <c r="N2698" s="3">
        <f t="shared" si="123"/>
        <v>0</v>
      </c>
      <c r="R2698" s="89"/>
      <c r="S2698" s="89">
        <f>100%-Table34[[#This Row],[PDF_initial fee]]</f>
        <v>1</v>
      </c>
      <c r="T2698" s="89"/>
      <c r="U2698" s="26"/>
    </row>
    <row r="2699" spans="1:21" hidden="1" x14ac:dyDescent="0.25">
      <c r="A2699">
        <v>537080</v>
      </c>
      <c r="B2699" t="s">
        <v>3057</v>
      </c>
      <c r="C2699" t="s">
        <v>30377</v>
      </c>
      <c r="D2699">
        <v>0</v>
      </c>
      <c r="E2699" t="s">
        <v>3057</v>
      </c>
      <c r="F2699" t="s">
        <v>29136</v>
      </c>
      <c r="G2699" s="3"/>
      <c r="H2699" s="21">
        <v>0</v>
      </c>
      <c r="I2699" s="21">
        <v>0</v>
      </c>
      <c r="J2699" s="21">
        <v>0</v>
      </c>
      <c r="K2699" s="21">
        <v>0</v>
      </c>
      <c r="L2699" s="3">
        <f t="shared" si="122"/>
        <v>0</v>
      </c>
      <c r="M2699" s="3"/>
      <c r="N2699" s="3">
        <f t="shared" si="123"/>
        <v>0</v>
      </c>
      <c r="O2699" s="21"/>
      <c r="R2699" s="89"/>
      <c r="S2699" s="89">
        <f>100%-Table34[[#This Row],[PDF_initial fee]]</f>
        <v>1</v>
      </c>
      <c r="T2699" s="89"/>
      <c r="U2699" s="26"/>
    </row>
    <row r="2700" spans="1:21" hidden="1" x14ac:dyDescent="0.25">
      <c r="A2700">
        <v>537104</v>
      </c>
      <c r="B2700" t="s">
        <v>3058</v>
      </c>
      <c r="C2700" t="s">
        <v>30378</v>
      </c>
      <c r="D2700">
        <v>1</v>
      </c>
      <c r="E2700" t="s">
        <v>3058</v>
      </c>
      <c r="G2700" s="3"/>
      <c r="H2700" s="3">
        <v>0</v>
      </c>
      <c r="I2700" s="3">
        <v>0</v>
      </c>
      <c r="J2700" s="3">
        <v>0</v>
      </c>
      <c r="K2700" s="3">
        <v>0</v>
      </c>
      <c r="L2700" s="3">
        <f t="shared" si="122"/>
        <v>0</v>
      </c>
      <c r="M2700" s="3"/>
      <c r="N2700" s="3">
        <f t="shared" si="123"/>
        <v>0</v>
      </c>
      <c r="R2700" s="89"/>
      <c r="S2700" s="89">
        <f>100%-Table34[[#This Row],[PDF_initial fee]]</f>
        <v>1</v>
      </c>
      <c r="T2700" s="89"/>
      <c r="U2700" s="26"/>
    </row>
    <row r="2701" spans="1:21" hidden="1" x14ac:dyDescent="0.25">
      <c r="A2701">
        <v>537187</v>
      </c>
      <c r="B2701" t="s">
        <v>3059</v>
      </c>
      <c r="C2701" t="s">
        <v>30379</v>
      </c>
      <c r="D2701">
        <v>2</v>
      </c>
      <c r="E2701" t="s">
        <v>3059</v>
      </c>
      <c r="G2701" s="3"/>
      <c r="H2701" s="3">
        <v>0</v>
      </c>
      <c r="I2701" s="3">
        <v>0</v>
      </c>
      <c r="J2701" s="3">
        <v>0</v>
      </c>
      <c r="K2701" s="3">
        <v>0</v>
      </c>
      <c r="L2701" s="3">
        <f t="shared" si="122"/>
        <v>0</v>
      </c>
      <c r="M2701" s="3"/>
      <c r="N2701" s="3">
        <f t="shared" si="123"/>
        <v>0</v>
      </c>
      <c r="R2701" s="89"/>
      <c r="S2701" s="89">
        <f>100%-Table34[[#This Row],[PDF_initial fee]]</f>
        <v>1</v>
      </c>
      <c r="T2701" s="89"/>
      <c r="U2701" s="26"/>
    </row>
    <row r="2702" spans="1:21" hidden="1" x14ac:dyDescent="0.25">
      <c r="A2702">
        <v>537435</v>
      </c>
      <c r="B2702" t="s">
        <v>3060</v>
      </c>
      <c r="C2702" t="s">
        <v>6958</v>
      </c>
      <c r="D2702">
        <v>6</v>
      </c>
      <c r="E2702" t="s">
        <v>3060</v>
      </c>
      <c r="F2702" t="s">
        <v>6958</v>
      </c>
      <c r="G2702" s="3"/>
      <c r="H2702" s="21">
        <v>0</v>
      </c>
      <c r="I2702" s="21">
        <v>0</v>
      </c>
      <c r="J2702" s="21">
        <v>0</v>
      </c>
      <c r="K2702" s="21">
        <v>0</v>
      </c>
      <c r="L2702" s="3">
        <f t="shared" si="122"/>
        <v>0</v>
      </c>
      <c r="M2702" s="3"/>
      <c r="N2702" s="3">
        <f t="shared" si="123"/>
        <v>0</v>
      </c>
      <c r="R2702" s="89"/>
      <c r="S2702" s="89">
        <f>100%-Table34[[#This Row],[PDF_initial fee]]</f>
        <v>1</v>
      </c>
      <c r="T2702" s="89"/>
      <c r="U2702" s="26"/>
    </row>
    <row r="2703" spans="1:21" hidden="1" x14ac:dyDescent="0.25">
      <c r="A2703">
        <v>537582</v>
      </c>
      <c r="B2703" t="s">
        <v>3061</v>
      </c>
      <c r="C2703" t="s">
        <v>30380</v>
      </c>
      <c r="D2703">
        <v>1</v>
      </c>
      <c r="E2703" t="s">
        <v>3061</v>
      </c>
      <c r="G2703" s="3"/>
      <c r="H2703" s="21">
        <v>0</v>
      </c>
      <c r="I2703" s="21">
        <v>0</v>
      </c>
      <c r="J2703" s="21">
        <v>0</v>
      </c>
      <c r="K2703" s="21">
        <v>0</v>
      </c>
      <c r="L2703" s="3">
        <f t="shared" si="122"/>
        <v>0</v>
      </c>
      <c r="M2703" s="3"/>
      <c r="N2703" s="3">
        <f t="shared" si="123"/>
        <v>0</v>
      </c>
      <c r="O2703" s="21"/>
      <c r="R2703" s="89"/>
      <c r="S2703" s="89">
        <f>100%-Table34[[#This Row],[PDF_initial fee]]</f>
        <v>1</v>
      </c>
      <c r="T2703" s="89"/>
      <c r="U2703" s="26"/>
    </row>
    <row r="2704" spans="1:21" hidden="1" x14ac:dyDescent="0.25">
      <c r="A2704">
        <v>537673</v>
      </c>
      <c r="B2704" t="s">
        <v>3062</v>
      </c>
      <c r="C2704" t="s">
        <v>30381</v>
      </c>
      <c r="D2704">
        <v>6</v>
      </c>
      <c r="E2704" t="s">
        <v>3062</v>
      </c>
      <c r="G2704" s="3"/>
      <c r="H2704" s="3">
        <v>0</v>
      </c>
      <c r="I2704" s="3">
        <v>0</v>
      </c>
      <c r="J2704" s="3">
        <v>0</v>
      </c>
      <c r="K2704" s="3">
        <v>0</v>
      </c>
      <c r="L2704" s="3">
        <f t="shared" si="122"/>
        <v>0</v>
      </c>
      <c r="M2704" s="3"/>
      <c r="N2704" s="3">
        <f t="shared" si="123"/>
        <v>0</v>
      </c>
      <c r="R2704" s="89"/>
      <c r="S2704" s="89">
        <f>100%-Table34[[#This Row],[PDF_initial fee]]</f>
        <v>1</v>
      </c>
      <c r="T2704" s="89"/>
      <c r="U2704" s="26"/>
    </row>
    <row r="2705" spans="1:30" hidden="1" x14ac:dyDescent="0.25">
      <c r="A2705">
        <v>537809</v>
      </c>
      <c r="B2705" t="s">
        <v>3063</v>
      </c>
      <c r="C2705" t="s">
        <v>10550</v>
      </c>
      <c r="D2705">
        <v>3</v>
      </c>
      <c r="E2705" t="s">
        <v>3063</v>
      </c>
      <c r="G2705" s="3"/>
      <c r="K2705" s="3"/>
      <c r="L2705" s="3">
        <f t="shared" si="122"/>
        <v>0</v>
      </c>
      <c r="M2705" s="3"/>
      <c r="N2705" s="3">
        <f t="shared" si="123"/>
        <v>0</v>
      </c>
      <c r="P2705" s="22" t="s">
        <v>30382</v>
      </c>
      <c r="R2705" s="89"/>
      <c r="S2705" s="89">
        <f>100%-Table34[[#This Row],[PDF_initial fee]]</f>
        <v>1</v>
      </c>
      <c r="T2705" s="89"/>
      <c r="U2705" s="26"/>
      <c r="Y2705" s="30"/>
      <c r="AD2705" t="s">
        <v>30382</v>
      </c>
    </row>
    <row r="2706" spans="1:30" hidden="1" x14ac:dyDescent="0.25">
      <c r="A2706">
        <v>537904</v>
      </c>
      <c r="B2706" t="s">
        <v>3065</v>
      </c>
      <c r="C2706" t="s">
        <v>11887</v>
      </c>
      <c r="D2706">
        <v>0</v>
      </c>
      <c r="E2706" t="s">
        <v>3065</v>
      </c>
      <c r="F2706" t="s">
        <v>29136</v>
      </c>
      <c r="G2706" s="3"/>
      <c r="L2706" s="3">
        <f t="shared" si="122"/>
        <v>0</v>
      </c>
      <c r="M2706" s="3"/>
      <c r="N2706" s="3">
        <f t="shared" si="123"/>
        <v>0</v>
      </c>
      <c r="R2706" s="89"/>
      <c r="S2706" s="89">
        <f>100%-Table34[[#This Row],[PDF_initial fee]]</f>
        <v>1</v>
      </c>
      <c r="T2706" s="89"/>
      <c r="U2706" s="26"/>
    </row>
    <row r="2707" spans="1:30" hidden="1" x14ac:dyDescent="0.25">
      <c r="A2707">
        <v>538166</v>
      </c>
      <c r="B2707" t="s">
        <v>3066</v>
      </c>
      <c r="C2707" t="s">
        <v>6958</v>
      </c>
      <c r="D2707">
        <v>1</v>
      </c>
      <c r="E2707" t="s">
        <v>3066</v>
      </c>
      <c r="F2707" t="s">
        <v>6958</v>
      </c>
      <c r="G2707" s="3"/>
      <c r="H2707" s="21">
        <v>0</v>
      </c>
      <c r="I2707" s="21">
        <v>0</v>
      </c>
      <c r="J2707" s="21">
        <v>0</v>
      </c>
      <c r="K2707" s="21">
        <v>0</v>
      </c>
      <c r="L2707" s="3">
        <f t="shared" si="122"/>
        <v>0</v>
      </c>
      <c r="M2707" s="3"/>
      <c r="N2707" s="3">
        <f t="shared" si="123"/>
        <v>0</v>
      </c>
      <c r="R2707" s="89"/>
      <c r="S2707" s="89">
        <f>100%-Table34[[#This Row],[PDF_initial fee]]</f>
        <v>1</v>
      </c>
      <c r="T2707" s="89"/>
      <c r="U2707" s="26"/>
    </row>
    <row r="2708" spans="1:30" hidden="1" x14ac:dyDescent="0.25">
      <c r="A2708">
        <v>538662</v>
      </c>
      <c r="B2708" t="s">
        <v>3067</v>
      </c>
      <c r="C2708" t="s">
        <v>6958</v>
      </c>
      <c r="D2708">
        <v>1</v>
      </c>
      <c r="E2708" t="s">
        <v>3067</v>
      </c>
      <c r="F2708" t="s">
        <v>6958</v>
      </c>
      <c r="G2708" s="3"/>
      <c r="L2708" s="3">
        <f t="shared" si="122"/>
        <v>0</v>
      </c>
      <c r="M2708" s="3"/>
      <c r="N2708" s="3">
        <f t="shared" si="123"/>
        <v>0</v>
      </c>
      <c r="R2708" s="89"/>
      <c r="S2708" s="89">
        <f>100%-Table34[[#This Row],[PDF_initial fee]]</f>
        <v>1</v>
      </c>
      <c r="T2708" s="89"/>
      <c r="U2708" s="26"/>
    </row>
    <row r="2709" spans="1:30" hidden="1" x14ac:dyDescent="0.25">
      <c r="A2709">
        <v>538762</v>
      </c>
      <c r="B2709" t="s">
        <v>3068</v>
      </c>
      <c r="C2709" t="s">
        <v>30383</v>
      </c>
      <c r="D2709">
        <v>16</v>
      </c>
      <c r="E2709" t="s">
        <v>3068</v>
      </c>
      <c r="G2709" s="3"/>
      <c r="H2709" s="3">
        <v>0</v>
      </c>
      <c r="I2709" s="3">
        <v>0</v>
      </c>
      <c r="J2709" s="3">
        <v>0</v>
      </c>
      <c r="K2709" s="3">
        <v>0</v>
      </c>
      <c r="L2709" s="3">
        <f t="shared" si="122"/>
        <v>0</v>
      </c>
      <c r="M2709" s="3"/>
      <c r="N2709" s="3">
        <f t="shared" si="123"/>
        <v>0</v>
      </c>
      <c r="R2709" s="89"/>
      <c r="S2709" s="89">
        <f>100%-Table34[[#This Row],[PDF_initial fee]]</f>
        <v>1</v>
      </c>
      <c r="T2709" s="89"/>
      <c r="U2709" s="26"/>
    </row>
    <row r="2710" spans="1:30" hidden="1" x14ac:dyDescent="0.25">
      <c r="A2710">
        <v>538806</v>
      </c>
      <c r="B2710" t="s">
        <v>3069</v>
      </c>
      <c r="C2710" t="s">
        <v>30384</v>
      </c>
      <c r="D2710">
        <v>0</v>
      </c>
      <c r="E2710" t="s">
        <v>3069</v>
      </c>
      <c r="F2710" t="s">
        <v>29136</v>
      </c>
      <c r="G2710" s="3"/>
      <c r="H2710" s="3">
        <v>0</v>
      </c>
      <c r="I2710" s="3">
        <v>0</v>
      </c>
      <c r="J2710" s="3">
        <v>0</v>
      </c>
      <c r="K2710" s="3">
        <v>0</v>
      </c>
      <c r="L2710" s="3">
        <f t="shared" si="122"/>
        <v>0</v>
      </c>
      <c r="M2710" s="3"/>
      <c r="N2710" s="3">
        <f t="shared" si="123"/>
        <v>0</v>
      </c>
      <c r="R2710" s="89"/>
      <c r="S2710" s="89">
        <f>100%-Table34[[#This Row],[PDF_initial fee]]</f>
        <v>1</v>
      </c>
      <c r="T2710" s="89"/>
      <c r="U2710" s="26"/>
    </row>
    <row r="2711" spans="1:30" hidden="1" x14ac:dyDescent="0.25">
      <c r="A2711">
        <v>539422</v>
      </c>
      <c r="B2711" t="s">
        <v>3070</v>
      </c>
      <c r="C2711" t="s">
        <v>30385</v>
      </c>
      <c r="D2711">
        <v>20</v>
      </c>
      <c r="E2711" t="s">
        <v>3070</v>
      </c>
      <c r="G2711" s="3"/>
      <c r="H2711" s="21">
        <v>0</v>
      </c>
      <c r="I2711" s="21">
        <v>0</v>
      </c>
      <c r="J2711" s="21">
        <v>0</v>
      </c>
      <c r="K2711" s="21">
        <v>0</v>
      </c>
      <c r="L2711" s="3">
        <f t="shared" si="122"/>
        <v>0</v>
      </c>
      <c r="M2711" s="3"/>
      <c r="N2711" s="3">
        <f t="shared" si="123"/>
        <v>0</v>
      </c>
      <c r="O2711" s="21"/>
      <c r="R2711" s="89"/>
      <c r="S2711" s="89">
        <f>100%-Table34[[#This Row],[PDF_initial fee]]</f>
        <v>1</v>
      </c>
      <c r="T2711" s="89"/>
      <c r="U2711" s="26"/>
    </row>
    <row r="2712" spans="1:30" hidden="1" x14ac:dyDescent="0.25">
      <c r="A2712">
        <v>539452</v>
      </c>
      <c r="B2712" t="s">
        <v>3071</v>
      </c>
      <c r="C2712" t="s">
        <v>30386</v>
      </c>
      <c r="D2712">
        <v>1</v>
      </c>
      <c r="E2712" t="s">
        <v>3071</v>
      </c>
      <c r="G2712" s="3"/>
      <c r="H2712" s="21">
        <v>0</v>
      </c>
      <c r="I2712" s="21">
        <v>0</v>
      </c>
      <c r="J2712" s="21">
        <v>0</v>
      </c>
      <c r="K2712" s="21">
        <v>0</v>
      </c>
      <c r="L2712" s="3">
        <f t="shared" si="122"/>
        <v>0</v>
      </c>
      <c r="M2712" s="3"/>
      <c r="N2712" s="3">
        <f t="shared" si="123"/>
        <v>0</v>
      </c>
      <c r="O2712" s="21"/>
      <c r="R2712" s="89"/>
      <c r="S2712" s="89">
        <f>100%-Table34[[#This Row],[PDF_initial fee]]</f>
        <v>1</v>
      </c>
      <c r="T2712" s="89"/>
      <c r="U2712" s="26"/>
    </row>
    <row r="2713" spans="1:30" hidden="1" x14ac:dyDescent="0.25">
      <c r="A2713">
        <v>539464</v>
      </c>
      <c r="B2713" t="s">
        <v>3072</v>
      </c>
      <c r="C2713" t="s">
        <v>10645</v>
      </c>
      <c r="D2713">
        <v>1</v>
      </c>
      <c r="E2713" t="s">
        <v>3072</v>
      </c>
      <c r="G2713" s="3"/>
      <c r="H2713" s="21">
        <v>0</v>
      </c>
      <c r="I2713" s="21">
        <v>0</v>
      </c>
      <c r="J2713" s="21">
        <v>0</v>
      </c>
      <c r="K2713" s="21">
        <v>0</v>
      </c>
      <c r="L2713" s="3">
        <f t="shared" si="122"/>
        <v>0</v>
      </c>
      <c r="M2713" s="3"/>
      <c r="N2713" s="3">
        <f t="shared" si="123"/>
        <v>0</v>
      </c>
      <c r="R2713" s="89"/>
      <c r="S2713" s="89">
        <f>100%-Table34[[#This Row],[PDF_initial fee]]</f>
        <v>1</v>
      </c>
      <c r="T2713" s="89"/>
      <c r="U2713" s="26"/>
    </row>
    <row r="2714" spans="1:30" hidden="1" x14ac:dyDescent="0.25">
      <c r="A2714">
        <v>539921</v>
      </c>
      <c r="B2714" t="s">
        <v>3073</v>
      </c>
      <c r="C2714" t="s">
        <v>30387</v>
      </c>
      <c r="D2714">
        <v>10</v>
      </c>
      <c r="E2714" t="s">
        <v>3073</v>
      </c>
      <c r="G2714" s="3"/>
      <c r="H2714" s="3">
        <v>0</v>
      </c>
      <c r="I2714" s="3">
        <v>0</v>
      </c>
      <c r="J2714" s="3">
        <v>0</v>
      </c>
      <c r="K2714" s="3">
        <v>0</v>
      </c>
      <c r="L2714" s="3">
        <f t="shared" ref="L2714:L2745" si="124">SUM(H2714:K2714)</f>
        <v>0</v>
      </c>
      <c r="M2714" s="3"/>
      <c r="N2714" s="3">
        <f t="shared" ref="N2714:N2745" si="125">L2714+G2714</f>
        <v>0</v>
      </c>
      <c r="R2714" s="89"/>
      <c r="S2714" s="89">
        <f>100%-Table34[[#This Row],[PDF_initial fee]]</f>
        <v>1</v>
      </c>
      <c r="T2714" s="89"/>
      <c r="U2714" s="26"/>
    </row>
    <row r="2715" spans="1:30" hidden="1" x14ac:dyDescent="0.25">
      <c r="A2715">
        <v>539931</v>
      </c>
      <c r="B2715" t="s">
        <v>3074</v>
      </c>
      <c r="C2715" t="s">
        <v>9308</v>
      </c>
      <c r="D2715">
        <v>1</v>
      </c>
      <c r="E2715" t="s">
        <v>3074</v>
      </c>
      <c r="G2715" s="3"/>
      <c r="H2715" s="21">
        <v>0</v>
      </c>
      <c r="I2715" s="21">
        <v>0</v>
      </c>
      <c r="J2715" s="21">
        <v>0</v>
      </c>
      <c r="K2715" s="21">
        <v>0</v>
      </c>
      <c r="L2715" s="3">
        <f t="shared" si="124"/>
        <v>0</v>
      </c>
      <c r="M2715" s="3"/>
      <c r="N2715" s="3">
        <f t="shared" si="125"/>
        <v>0</v>
      </c>
      <c r="R2715" s="89"/>
      <c r="S2715" s="89">
        <f>100%-Table34[[#This Row],[PDF_initial fee]]</f>
        <v>1</v>
      </c>
      <c r="T2715" s="89"/>
      <c r="U2715" s="26"/>
    </row>
    <row r="2716" spans="1:30" hidden="1" x14ac:dyDescent="0.25">
      <c r="A2716">
        <v>540034</v>
      </c>
      <c r="B2716" t="s">
        <v>3075</v>
      </c>
      <c r="C2716" t="s">
        <v>11578</v>
      </c>
      <c r="D2716">
        <v>2</v>
      </c>
      <c r="E2716" t="s">
        <v>3075</v>
      </c>
      <c r="G2716" s="3"/>
      <c r="H2716" s="21">
        <v>0</v>
      </c>
      <c r="I2716" s="21">
        <v>0</v>
      </c>
      <c r="J2716" s="21">
        <v>0</v>
      </c>
      <c r="K2716" s="21">
        <v>0</v>
      </c>
      <c r="L2716" s="3">
        <f t="shared" si="124"/>
        <v>0</v>
      </c>
      <c r="M2716" s="3"/>
      <c r="N2716" s="3">
        <f t="shared" si="125"/>
        <v>0</v>
      </c>
      <c r="R2716" s="89"/>
      <c r="S2716" s="89">
        <f>100%-Table34[[#This Row],[PDF_initial fee]]</f>
        <v>1</v>
      </c>
      <c r="T2716" s="89"/>
      <c r="U2716" s="26"/>
    </row>
    <row r="2717" spans="1:30" hidden="1" x14ac:dyDescent="0.25">
      <c r="A2717">
        <v>540286</v>
      </c>
      <c r="B2717" t="s">
        <v>3076</v>
      </c>
      <c r="C2717" t="s">
        <v>8077</v>
      </c>
      <c r="D2717">
        <v>7</v>
      </c>
      <c r="E2717" t="s">
        <v>3076</v>
      </c>
      <c r="G2717" s="3"/>
      <c r="L2717" s="3">
        <f t="shared" si="124"/>
        <v>0</v>
      </c>
      <c r="M2717" s="3"/>
      <c r="N2717" s="3">
        <f t="shared" si="125"/>
        <v>0</v>
      </c>
      <c r="R2717" s="89"/>
      <c r="S2717" s="89">
        <f>100%-Table34[[#This Row],[PDF_initial fee]]</f>
        <v>1</v>
      </c>
      <c r="T2717" s="89"/>
      <c r="U2717" s="26"/>
    </row>
    <row r="2718" spans="1:30" hidden="1" x14ac:dyDescent="0.25">
      <c r="A2718">
        <v>540335</v>
      </c>
      <c r="B2718" t="s">
        <v>3077</v>
      </c>
      <c r="C2718" t="s">
        <v>11247</v>
      </c>
      <c r="D2718">
        <v>1</v>
      </c>
      <c r="E2718" t="s">
        <v>3077</v>
      </c>
      <c r="G2718" s="3"/>
      <c r="H2718" s="21">
        <v>0</v>
      </c>
      <c r="I2718" s="21">
        <v>0</v>
      </c>
      <c r="J2718" s="21">
        <v>0</v>
      </c>
      <c r="K2718" s="21">
        <v>0</v>
      </c>
      <c r="L2718" s="3">
        <f t="shared" si="124"/>
        <v>0</v>
      </c>
      <c r="M2718" s="3"/>
      <c r="N2718" s="3">
        <f t="shared" si="125"/>
        <v>0</v>
      </c>
      <c r="R2718" s="89"/>
      <c r="S2718" s="89">
        <f>100%-Table34[[#This Row],[PDF_initial fee]]</f>
        <v>1</v>
      </c>
      <c r="T2718" s="89"/>
      <c r="U2718" s="26"/>
    </row>
    <row r="2719" spans="1:30" hidden="1" x14ac:dyDescent="0.25">
      <c r="A2719">
        <v>540721</v>
      </c>
      <c r="B2719" t="s">
        <v>3078</v>
      </c>
      <c r="C2719" t="s">
        <v>7667</v>
      </c>
      <c r="D2719">
        <v>6</v>
      </c>
      <c r="E2719" t="s">
        <v>3078</v>
      </c>
      <c r="G2719" s="3"/>
      <c r="H2719" s="21">
        <v>0</v>
      </c>
      <c r="I2719" s="21">
        <v>0</v>
      </c>
      <c r="J2719" s="21">
        <v>0</v>
      </c>
      <c r="K2719" s="21">
        <v>0</v>
      </c>
      <c r="L2719" s="3">
        <f t="shared" si="124"/>
        <v>0</v>
      </c>
      <c r="M2719" s="3"/>
      <c r="N2719" s="3">
        <f t="shared" si="125"/>
        <v>0</v>
      </c>
      <c r="R2719" s="89"/>
      <c r="S2719" s="89">
        <f>100%-Table34[[#This Row],[PDF_initial fee]]</f>
        <v>1</v>
      </c>
      <c r="T2719" s="89"/>
      <c r="U2719" s="26"/>
    </row>
    <row r="2720" spans="1:30" hidden="1" x14ac:dyDescent="0.25">
      <c r="A2720">
        <v>540867</v>
      </c>
      <c r="B2720" t="s">
        <v>3079</v>
      </c>
      <c r="C2720" t="s">
        <v>6958</v>
      </c>
      <c r="D2720">
        <v>3</v>
      </c>
      <c r="E2720" t="s">
        <v>3079</v>
      </c>
      <c r="F2720" t="s">
        <v>6958</v>
      </c>
      <c r="G2720" s="3"/>
      <c r="L2720" s="3">
        <f t="shared" si="124"/>
        <v>0</v>
      </c>
      <c r="M2720" s="3"/>
      <c r="N2720" s="3">
        <f t="shared" si="125"/>
        <v>0</v>
      </c>
      <c r="R2720" s="89"/>
      <c r="S2720" s="89">
        <f>100%-Table34[[#This Row],[PDF_initial fee]]</f>
        <v>1</v>
      </c>
      <c r="T2720" s="89"/>
      <c r="U2720" s="26"/>
    </row>
    <row r="2721" spans="1:21" hidden="1" x14ac:dyDescent="0.25">
      <c r="A2721">
        <v>540892</v>
      </c>
      <c r="B2721" t="s">
        <v>3080</v>
      </c>
      <c r="C2721" t="s">
        <v>30388</v>
      </c>
      <c r="D2721">
        <v>0</v>
      </c>
      <c r="E2721" t="s">
        <v>3080</v>
      </c>
      <c r="F2721" t="s">
        <v>29136</v>
      </c>
      <c r="G2721" s="3"/>
      <c r="H2721" s="21">
        <v>0</v>
      </c>
      <c r="I2721" s="21">
        <v>0</v>
      </c>
      <c r="J2721" s="21">
        <v>0</v>
      </c>
      <c r="K2721" s="21">
        <v>0</v>
      </c>
      <c r="L2721" s="3">
        <f t="shared" si="124"/>
        <v>0</v>
      </c>
      <c r="M2721" s="3"/>
      <c r="N2721" s="3">
        <f t="shared" si="125"/>
        <v>0</v>
      </c>
      <c r="O2721" s="21"/>
      <c r="R2721" s="89"/>
      <c r="S2721" s="89">
        <f>100%-Table34[[#This Row],[PDF_initial fee]]</f>
        <v>1</v>
      </c>
      <c r="T2721" s="89"/>
      <c r="U2721" s="26"/>
    </row>
    <row r="2722" spans="1:21" hidden="1" x14ac:dyDescent="0.25">
      <c r="A2722">
        <v>541273</v>
      </c>
      <c r="B2722" t="s">
        <v>3081</v>
      </c>
      <c r="C2722" t="s">
        <v>30389</v>
      </c>
      <c r="D2722">
        <v>14</v>
      </c>
      <c r="E2722" t="s">
        <v>3081</v>
      </c>
      <c r="G2722" s="3"/>
      <c r="H2722" s="3">
        <v>0</v>
      </c>
      <c r="I2722" s="3">
        <v>0</v>
      </c>
      <c r="J2722" s="3">
        <v>0</v>
      </c>
      <c r="K2722" s="3">
        <v>0</v>
      </c>
      <c r="L2722" s="3">
        <f t="shared" si="124"/>
        <v>0</v>
      </c>
      <c r="M2722" s="3"/>
      <c r="N2722" s="3">
        <f t="shared" si="125"/>
        <v>0</v>
      </c>
      <c r="R2722" s="89"/>
      <c r="S2722" s="89">
        <f>100%-Table34[[#This Row],[PDF_initial fee]]</f>
        <v>1</v>
      </c>
      <c r="T2722" s="89"/>
      <c r="U2722" s="26"/>
    </row>
    <row r="2723" spans="1:21" hidden="1" x14ac:dyDescent="0.25">
      <c r="A2723">
        <v>541312</v>
      </c>
      <c r="B2723" t="s">
        <v>3082</v>
      </c>
      <c r="C2723" t="s">
        <v>30390</v>
      </c>
      <c r="D2723">
        <v>4</v>
      </c>
      <c r="E2723" t="s">
        <v>3082</v>
      </c>
      <c r="G2723" s="3"/>
      <c r="H2723" s="3">
        <v>0</v>
      </c>
      <c r="I2723" s="3">
        <v>0</v>
      </c>
      <c r="J2723" s="3">
        <v>0</v>
      </c>
      <c r="K2723" s="3">
        <v>0</v>
      </c>
      <c r="L2723" s="3">
        <f t="shared" si="124"/>
        <v>0</v>
      </c>
      <c r="M2723" s="3"/>
      <c r="N2723" s="3">
        <f t="shared" si="125"/>
        <v>0</v>
      </c>
      <c r="R2723" s="89"/>
      <c r="S2723" s="89">
        <f>100%-Table34[[#This Row],[PDF_initial fee]]</f>
        <v>1</v>
      </c>
      <c r="T2723" s="89"/>
      <c r="U2723" s="26"/>
    </row>
    <row r="2724" spans="1:21" hidden="1" x14ac:dyDescent="0.25">
      <c r="A2724">
        <v>541341</v>
      </c>
      <c r="B2724" t="s">
        <v>3083</v>
      </c>
      <c r="C2724" t="s">
        <v>30391</v>
      </c>
      <c r="D2724">
        <v>3</v>
      </c>
      <c r="E2724" t="s">
        <v>3083</v>
      </c>
      <c r="G2724" s="3"/>
      <c r="H2724" s="21">
        <v>0</v>
      </c>
      <c r="I2724" s="21">
        <v>0</v>
      </c>
      <c r="J2724" s="21">
        <v>0</v>
      </c>
      <c r="K2724" s="21">
        <v>0</v>
      </c>
      <c r="L2724" s="3">
        <f t="shared" si="124"/>
        <v>0</v>
      </c>
      <c r="M2724" s="3"/>
      <c r="N2724" s="3">
        <f t="shared" si="125"/>
        <v>0</v>
      </c>
      <c r="O2724" s="21"/>
      <c r="R2724" s="89"/>
      <c r="S2724" s="89">
        <f>100%-Table34[[#This Row],[PDF_initial fee]]</f>
        <v>1</v>
      </c>
      <c r="T2724" s="89"/>
      <c r="U2724" s="26"/>
    </row>
    <row r="2725" spans="1:21" hidden="1" x14ac:dyDescent="0.25">
      <c r="A2725">
        <v>541499</v>
      </c>
      <c r="B2725" t="s">
        <v>3084</v>
      </c>
      <c r="C2725" t="s">
        <v>30392</v>
      </c>
      <c r="D2725">
        <v>6</v>
      </c>
      <c r="E2725" t="s">
        <v>3084</v>
      </c>
      <c r="G2725" s="3"/>
      <c r="H2725" s="21">
        <v>0</v>
      </c>
      <c r="I2725" s="21">
        <v>0</v>
      </c>
      <c r="J2725" s="21">
        <v>0</v>
      </c>
      <c r="K2725" s="21">
        <v>0</v>
      </c>
      <c r="L2725" s="3">
        <f t="shared" si="124"/>
        <v>0</v>
      </c>
      <c r="M2725" s="3"/>
      <c r="N2725" s="3">
        <f t="shared" si="125"/>
        <v>0</v>
      </c>
      <c r="O2725" s="21"/>
      <c r="R2725" s="89"/>
      <c r="S2725" s="89">
        <f>100%-Table34[[#This Row],[PDF_initial fee]]</f>
        <v>1</v>
      </c>
      <c r="T2725" s="89"/>
      <c r="U2725" s="26"/>
    </row>
    <row r="2726" spans="1:21" hidden="1" x14ac:dyDescent="0.25">
      <c r="A2726">
        <v>541529</v>
      </c>
      <c r="B2726" t="s">
        <v>3085</v>
      </c>
      <c r="C2726" t="s">
        <v>6958</v>
      </c>
      <c r="D2726">
        <v>1</v>
      </c>
      <c r="E2726" t="s">
        <v>3085</v>
      </c>
      <c r="F2726" t="s">
        <v>6958</v>
      </c>
      <c r="G2726" s="3"/>
      <c r="H2726" s="21">
        <v>0</v>
      </c>
      <c r="I2726" s="21">
        <v>0</v>
      </c>
      <c r="J2726" s="21">
        <v>0</v>
      </c>
      <c r="K2726" s="21">
        <v>0</v>
      </c>
      <c r="L2726" s="3">
        <f t="shared" si="124"/>
        <v>0</v>
      </c>
      <c r="M2726" s="3"/>
      <c r="N2726" s="3">
        <f t="shared" si="125"/>
        <v>0</v>
      </c>
      <c r="R2726" s="89"/>
      <c r="S2726" s="89">
        <f>100%-Table34[[#This Row],[PDF_initial fee]]</f>
        <v>1</v>
      </c>
      <c r="T2726" s="89"/>
      <c r="U2726" s="26"/>
    </row>
    <row r="2727" spans="1:21" hidden="1" x14ac:dyDescent="0.25">
      <c r="A2727">
        <v>541587</v>
      </c>
      <c r="B2727" t="s">
        <v>3086</v>
      </c>
      <c r="C2727" t="s">
        <v>8740</v>
      </c>
      <c r="D2727">
        <v>1</v>
      </c>
      <c r="E2727" t="s">
        <v>3086</v>
      </c>
      <c r="G2727" s="3"/>
      <c r="H2727" s="39"/>
      <c r="I2727" s="39"/>
      <c r="J2727" s="39"/>
      <c r="K2727" s="39"/>
      <c r="L2727" s="3">
        <f t="shared" si="124"/>
        <v>0</v>
      </c>
      <c r="M2727" s="3"/>
      <c r="N2727" s="3">
        <f t="shared" si="125"/>
        <v>0</v>
      </c>
      <c r="R2727" s="89"/>
      <c r="S2727" s="89">
        <f>100%-Table34[[#This Row],[PDF_initial fee]]</f>
        <v>1</v>
      </c>
      <c r="T2727" s="89"/>
      <c r="U2727" s="26"/>
    </row>
    <row r="2728" spans="1:21" hidden="1" x14ac:dyDescent="0.25">
      <c r="A2728">
        <v>541659</v>
      </c>
      <c r="B2728" t="s">
        <v>3087</v>
      </c>
      <c r="C2728" t="s">
        <v>6958</v>
      </c>
      <c r="D2728">
        <v>1</v>
      </c>
      <c r="E2728" t="s">
        <v>3087</v>
      </c>
      <c r="F2728" t="s">
        <v>6958</v>
      </c>
      <c r="G2728" s="3"/>
      <c r="H2728" s="21">
        <v>0</v>
      </c>
      <c r="I2728" s="21">
        <v>0</v>
      </c>
      <c r="J2728" s="21">
        <v>0</v>
      </c>
      <c r="K2728" s="21">
        <v>0</v>
      </c>
      <c r="L2728" s="3">
        <f t="shared" si="124"/>
        <v>0</v>
      </c>
      <c r="M2728" s="3"/>
      <c r="N2728" s="3">
        <f t="shared" si="125"/>
        <v>0</v>
      </c>
      <c r="R2728" s="89"/>
      <c r="S2728" s="89">
        <f>100%-Table34[[#This Row],[PDF_initial fee]]</f>
        <v>1</v>
      </c>
      <c r="T2728" s="89"/>
      <c r="U2728" s="26"/>
    </row>
    <row r="2729" spans="1:21" hidden="1" x14ac:dyDescent="0.25">
      <c r="A2729">
        <v>541703</v>
      </c>
      <c r="B2729" t="s">
        <v>3088</v>
      </c>
      <c r="C2729" t="s">
        <v>30393</v>
      </c>
      <c r="D2729">
        <v>1</v>
      </c>
      <c r="E2729" t="s">
        <v>3088</v>
      </c>
      <c r="G2729" s="3"/>
      <c r="H2729" s="3">
        <v>0</v>
      </c>
      <c r="I2729" s="3">
        <v>0</v>
      </c>
      <c r="J2729" s="3">
        <v>0</v>
      </c>
      <c r="K2729" s="3">
        <v>0</v>
      </c>
      <c r="L2729" s="3">
        <f t="shared" si="124"/>
        <v>0</v>
      </c>
      <c r="M2729" s="3"/>
      <c r="N2729" s="3">
        <f t="shared" si="125"/>
        <v>0</v>
      </c>
      <c r="R2729" s="89"/>
      <c r="S2729" s="89">
        <f>100%-Table34[[#This Row],[PDF_initial fee]]</f>
        <v>1</v>
      </c>
      <c r="T2729" s="89"/>
      <c r="U2729" s="26"/>
    </row>
    <row r="2730" spans="1:21" hidden="1" x14ac:dyDescent="0.25">
      <c r="A2730">
        <v>541713</v>
      </c>
      <c r="B2730" t="s">
        <v>3089</v>
      </c>
      <c r="C2730" t="s">
        <v>30394</v>
      </c>
      <c r="D2730">
        <v>5</v>
      </c>
      <c r="E2730" t="s">
        <v>3089</v>
      </c>
      <c r="G2730" s="3"/>
      <c r="H2730" s="21">
        <v>0</v>
      </c>
      <c r="I2730" s="21">
        <v>0</v>
      </c>
      <c r="J2730" s="21">
        <v>0</v>
      </c>
      <c r="K2730" s="21">
        <v>0</v>
      </c>
      <c r="L2730" s="3">
        <f t="shared" si="124"/>
        <v>0</v>
      </c>
      <c r="M2730" s="3"/>
      <c r="N2730" s="3">
        <f t="shared" si="125"/>
        <v>0</v>
      </c>
      <c r="O2730" s="21"/>
      <c r="R2730" s="89"/>
      <c r="S2730" s="89">
        <f>100%-Table34[[#This Row],[PDF_initial fee]]</f>
        <v>1</v>
      </c>
      <c r="T2730" s="89"/>
      <c r="U2730" s="26"/>
    </row>
    <row r="2731" spans="1:21" hidden="1" x14ac:dyDescent="0.25">
      <c r="A2731">
        <v>541818</v>
      </c>
      <c r="B2731" t="s">
        <v>3090</v>
      </c>
      <c r="C2731" t="s">
        <v>8571</v>
      </c>
      <c r="D2731">
        <v>2</v>
      </c>
      <c r="E2731" t="s">
        <v>3090</v>
      </c>
      <c r="G2731" s="3"/>
      <c r="H2731" s="21">
        <v>0</v>
      </c>
      <c r="I2731" s="21">
        <v>0</v>
      </c>
      <c r="J2731" s="21">
        <v>0</v>
      </c>
      <c r="K2731" s="21">
        <v>0</v>
      </c>
      <c r="L2731" s="3">
        <f t="shared" si="124"/>
        <v>0</v>
      </c>
      <c r="M2731" s="3"/>
      <c r="N2731" s="3">
        <f t="shared" si="125"/>
        <v>0</v>
      </c>
      <c r="R2731" s="89"/>
      <c r="S2731" s="89">
        <f>100%-Table34[[#This Row],[PDF_initial fee]]</f>
        <v>1</v>
      </c>
      <c r="T2731" s="89"/>
      <c r="U2731" s="26"/>
    </row>
    <row r="2732" spans="1:21" hidden="1" x14ac:dyDescent="0.25">
      <c r="A2732">
        <v>542122</v>
      </c>
      <c r="B2732" t="s">
        <v>3091</v>
      </c>
      <c r="C2732" t="s">
        <v>7240</v>
      </c>
      <c r="D2732">
        <v>25</v>
      </c>
      <c r="E2732" t="s">
        <v>3091</v>
      </c>
      <c r="G2732" s="3"/>
      <c r="L2732" s="3">
        <f t="shared" si="124"/>
        <v>0</v>
      </c>
      <c r="M2732" s="3"/>
      <c r="N2732" s="3">
        <f t="shared" si="125"/>
        <v>0</v>
      </c>
      <c r="R2732" s="89"/>
      <c r="S2732" s="89">
        <f>100%-Table34[[#This Row],[PDF_initial fee]]</f>
        <v>1</v>
      </c>
      <c r="T2732" s="89"/>
      <c r="U2732" s="26"/>
    </row>
    <row r="2733" spans="1:21" hidden="1" x14ac:dyDescent="0.25">
      <c r="A2733">
        <v>542145</v>
      </c>
      <c r="B2733" t="s">
        <v>3093</v>
      </c>
      <c r="C2733" t="s">
        <v>6958</v>
      </c>
      <c r="D2733">
        <v>1</v>
      </c>
      <c r="E2733" t="s">
        <v>3093</v>
      </c>
      <c r="F2733" t="s">
        <v>6958</v>
      </c>
      <c r="G2733" s="3"/>
      <c r="H2733" s="21">
        <v>0</v>
      </c>
      <c r="I2733" s="21">
        <v>0</v>
      </c>
      <c r="J2733" s="21">
        <v>0</v>
      </c>
      <c r="K2733" s="21">
        <v>0</v>
      </c>
      <c r="L2733" s="3">
        <f t="shared" si="124"/>
        <v>0</v>
      </c>
      <c r="M2733" s="3"/>
      <c r="N2733" s="3">
        <f t="shared" si="125"/>
        <v>0</v>
      </c>
      <c r="R2733" s="89"/>
      <c r="S2733" s="89">
        <f>100%-Table34[[#This Row],[PDF_initial fee]]</f>
        <v>1</v>
      </c>
      <c r="T2733" s="89"/>
      <c r="U2733" s="26"/>
    </row>
    <row r="2734" spans="1:21" hidden="1" x14ac:dyDescent="0.25">
      <c r="A2734">
        <v>542186</v>
      </c>
      <c r="B2734" t="s">
        <v>3094</v>
      </c>
      <c r="C2734" t="s">
        <v>9652</v>
      </c>
      <c r="D2734">
        <v>3</v>
      </c>
      <c r="E2734" t="s">
        <v>3094</v>
      </c>
      <c r="G2734" s="3"/>
      <c r="H2734" s="21">
        <v>0</v>
      </c>
      <c r="I2734" s="21">
        <v>0</v>
      </c>
      <c r="J2734" s="21">
        <v>0</v>
      </c>
      <c r="K2734" s="21">
        <v>0</v>
      </c>
      <c r="L2734" s="3">
        <f t="shared" si="124"/>
        <v>0</v>
      </c>
      <c r="M2734" s="3"/>
      <c r="N2734" s="3">
        <f t="shared" si="125"/>
        <v>0</v>
      </c>
      <c r="R2734" s="89"/>
      <c r="S2734" s="89">
        <f>100%-Table34[[#This Row],[PDF_initial fee]]</f>
        <v>1</v>
      </c>
      <c r="T2734" s="89"/>
      <c r="U2734" s="26"/>
    </row>
    <row r="2735" spans="1:21" hidden="1" x14ac:dyDescent="0.25">
      <c r="A2735">
        <v>542220</v>
      </c>
      <c r="B2735" t="s">
        <v>3095</v>
      </c>
      <c r="C2735" t="s">
        <v>8786</v>
      </c>
      <c r="D2735">
        <v>1</v>
      </c>
      <c r="E2735" t="s">
        <v>3095</v>
      </c>
      <c r="G2735" s="3"/>
      <c r="H2735" s="21">
        <v>0</v>
      </c>
      <c r="I2735" s="21">
        <v>0</v>
      </c>
      <c r="J2735" s="21">
        <v>0</v>
      </c>
      <c r="K2735" s="21">
        <v>0</v>
      </c>
      <c r="L2735" s="3">
        <f t="shared" si="124"/>
        <v>0</v>
      </c>
      <c r="M2735" s="3"/>
      <c r="N2735" s="3">
        <f t="shared" si="125"/>
        <v>0</v>
      </c>
      <c r="R2735" s="89"/>
      <c r="S2735" s="89">
        <f>100%-Table34[[#This Row],[PDF_initial fee]]</f>
        <v>1</v>
      </c>
      <c r="T2735" s="89"/>
      <c r="U2735" s="26"/>
    </row>
    <row r="2736" spans="1:21" hidden="1" x14ac:dyDescent="0.25">
      <c r="A2736">
        <v>542264</v>
      </c>
      <c r="B2736" t="s">
        <v>3096</v>
      </c>
      <c r="C2736" t="s">
        <v>30395</v>
      </c>
      <c r="D2736">
        <v>3</v>
      </c>
      <c r="E2736" t="s">
        <v>3096</v>
      </c>
      <c r="G2736" s="3"/>
      <c r="H2736" s="3">
        <v>0</v>
      </c>
      <c r="I2736" s="3">
        <v>0</v>
      </c>
      <c r="J2736" s="3">
        <v>0</v>
      </c>
      <c r="K2736" s="3">
        <v>0</v>
      </c>
      <c r="L2736" s="3">
        <f t="shared" si="124"/>
        <v>0</v>
      </c>
      <c r="M2736" s="3"/>
      <c r="N2736" s="3">
        <f t="shared" si="125"/>
        <v>0</v>
      </c>
      <c r="R2736" s="89"/>
      <c r="S2736" s="89">
        <f>100%-Table34[[#This Row],[PDF_initial fee]]</f>
        <v>1</v>
      </c>
      <c r="T2736" s="89"/>
      <c r="U2736" s="26"/>
    </row>
    <row r="2737" spans="1:21" hidden="1" x14ac:dyDescent="0.25">
      <c r="A2737">
        <v>542556</v>
      </c>
      <c r="B2737" t="s">
        <v>3097</v>
      </c>
      <c r="C2737" t="s">
        <v>6958</v>
      </c>
      <c r="D2737">
        <v>4</v>
      </c>
      <c r="E2737" t="s">
        <v>3097</v>
      </c>
      <c r="F2737" t="s">
        <v>6958</v>
      </c>
      <c r="G2737" s="3"/>
      <c r="H2737" s="21">
        <v>0</v>
      </c>
      <c r="I2737" s="21">
        <v>0</v>
      </c>
      <c r="J2737" s="21">
        <v>0</v>
      </c>
      <c r="K2737" s="21">
        <v>0</v>
      </c>
      <c r="L2737" s="3">
        <f t="shared" si="124"/>
        <v>0</v>
      </c>
      <c r="M2737" s="3"/>
      <c r="N2737" s="3">
        <f t="shared" si="125"/>
        <v>0</v>
      </c>
      <c r="R2737" s="89"/>
      <c r="S2737" s="89">
        <f>100%-Table34[[#This Row],[PDF_initial fee]]</f>
        <v>1</v>
      </c>
      <c r="T2737" s="89"/>
      <c r="U2737" s="26"/>
    </row>
    <row r="2738" spans="1:21" hidden="1" x14ac:dyDescent="0.25">
      <c r="A2738">
        <v>542574</v>
      </c>
      <c r="B2738" t="s">
        <v>3098</v>
      </c>
      <c r="C2738" t="s">
        <v>30396</v>
      </c>
      <c r="D2738">
        <v>0</v>
      </c>
      <c r="E2738" t="s">
        <v>3098</v>
      </c>
      <c r="F2738" t="s">
        <v>29136</v>
      </c>
      <c r="G2738" s="3"/>
      <c r="H2738" s="21">
        <v>0</v>
      </c>
      <c r="I2738" s="21">
        <v>0</v>
      </c>
      <c r="J2738" s="21">
        <v>0</v>
      </c>
      <c r="K2738" s="21">
        <v>0</v>
      </c>
      <c r="L2738" s="3">
        <f t="shared" si="124"/>
        <v>0</v>
      </c>
      <c r="M2738" s="3"/>
      <c r="N2738" s="3">
        <f t="shared" si="125"/>
        <v>0</v>
      </c>
      <c r="O2738" s="21"/>
      <c r="R2738" s="89"/>
      <c r="S2738" s="89">
        <f>100%-Table34[[#This Row],[PDF_initial fee]]</f>
        <v>1</v>
      </c>
      <c r="T2738" s="89"/>
      <c r="U2738" s="26"/>
    </row>
    <row r="2739" spans="1:21" hidden="1" x14ac:dyDescent="0.25">
      <c r="A2739">
        <v>542680</v>
      </c>
      <c r="B2739" t="s">
        <v>3099</v>
      </c>
      <c r="C2739" t="s">
        <v>30397</v>
      </c>
      <c r="D2739">
        <v>4</v>
      </c>
      <c r="E2739" t="s">
        <v>3099</v>
      </c>
      <c r="G2739" s="3"/>
      <c r="H2739" s="21">
        <v>0</v>
      </c>
      <c r="I2739" s="21">
        <v>0</v>
      </c>
      <c r="J2739" s="21">
        <v>0</v>
      </c>
      <c r="K2739" s="21">
        <v>0</v>
      </c>
      <c r="L2739" s="3">
        <f t="shared" si="124"/>
        <v>0</v>
      </c>
      <c r="M2739" s="3"/>
      <c r="N2739" s="3">
        <f t="shared" si="125"/>
        <v>0</v>
      </c>
      <c r="O2739" s="21"/>
      <c r="R2739" s="89"/>
      <c r="S2739" s="89">
        <f>100%-Table34[[#This Row],[PDF_initial fee]]</f>
        <v>1</v>
      </c>
      <c r="T2739" s="89"/>
      <c r="U2739" s="26"/>
    </row>
    <row r="2740" spans="1:21" hidden="1" x14ac:dyDescent="0.25">
      <c r="A2740">
        <v>542700</v>
      </c>
      <c r="B2740" t="s">
        <v>3100</v>
      </c>
      <c r="C2740" t="s">
        <v>8243</v>
      </c>
      <c r="D2740">
        <v>4</v>
      </c>
      <c r="E2740" t="s">
        <v>3100</v>
      </c>
      <c r="G2740" s="3"/>
      <c r="H2740" s="21">
        <v>0</v>
      </c>
      <c r="I2740" s="21">
        <v>0</v>
      </c>
      <c r="J2740" s="21">
        <v>0</v>
      </c>
      <c r="K2740" s="21">
        <v>0</v>
      </c>
      <c r="L2740" s="3">
        <f t="shared" si="124"/>
        <v>0</v>
      </c>
      <c r="M2740" s="3"/>
      <c r="N2740" s="3">
        <f t="shared" si="125"/>
        <v>0</v>
      </c>
      <c r="R2740" s="89"/>
      <c r="S2740" s="89">
        <f>100%-Table34[[#This Row],[PDF_initial fee]]</f>
        <v>1</v>
      </c>
      <c r="T2740" s="89"/>
      <c r="U2740" s="26"/>
    </row>
    <row r="2741" spans="1:21" hidden="1" x14ac:dyDescent="0.25">
      <c r="A2741">
        <v>542909</v>
      </c>
      <c r="B2741" t="s">
        <v>3101</v>
      </c>
      <c r="C2741" t="s">
        <v>6986</v>
      </c>
      <c r="D2741">
        <v>1</v>
      </c>
      <c r="E2741" t="s">
        <v>3101</v>
      </c>
      <c r="G2741" s="3"/>
      <c r="H2741" s="21">
        <v>0</v>
      </c>
      <c r="I2741" s="21">
        <v>0</v>
      </c>
      <c r="J2741" s="21">
        <v>0</v>
      </c>
      <c r="K2741" s="21">
        <v>0</v>
      </c>
      <c r="L2741" s="3">
        <f t="shared" si="124"/>
        <v>0</v>
      </c>
      <c r="M2741" s="3"/>
      <c r="N2741" s="3">
        <f t="shared" si="125"/>
        <v>0</v>
      </c>
      <c r="R2741" s="89"/>
      <c r="S2741" s="89">
        <f>100%-Table34[[#This Row],[PDF_initial fee]]</f>
        <v>1</v>
      </c>
      <c r="T2741" s="89"/>
      <c r="U2741" s="26"/>
    </row>
    <row r="2742" spans="1:21" hidden="1" x14ac:dyDescent="0.25">
      <c r="A2742">
        <v>542984</v>
      </c>
      <c r="B2742" t="s">
        <v>3102</v>
      </c>
      <c r="C2742" t="s">
        <v>8619</v>
      </c>
      <c r="D2742">
        <v>1</v>
      </c>
      <c r="E2742" t="s">
        <v>3102</v>
      </c>
      <c r="G2742" s="3"/>
      <c r="L2742" s="3">
        <f t="shared" si="124"/>
        <v>0</v>
      </c>
      <c r="M2742" s="3"/>
      <c r="N2742" s="3">
        <f t="shared" si="125"/>
        <v>0</v>
      </c>
      <c r="R2742" s="89"/>
      <c r="S2742" s="89">
        <f>100%-Table34[[#This Row],[PDF_initial fee]]</f>
        <v>1</v>
      </c>
      <c r="T2742" s="89"/>
      <c r="U2742" s="26"/>
    </row>
    <row r="2743" spans="1:21" hidden="1" x14ac:dyDescent="0.25">
      <c r="A2743">
        <v>543022</v>
      </c>
      <c r="B2743" t="s">
        <v>3103</v>
      </c>
      <c r="C2743" t="s">
        <v>7202</v>
      </c>
      <c r="D2743">
        <v>1</v>
      </c>
      <c r="E2743" t="s">
        <v>3103</v>
      </c>
      <c r="G2743" s="3"/>
      <c r="H2743" s="39"/>
      <c r="I2743" s="39"/>
      <c r="J2743" s="39"/>
      <c r="K2743" s="39"/>
      <c r="L2743" s="3">
        <f t="shared" si="124"/>
        <v>0</v>
      </c>
      <c r="M2743" s="3"/>
      <c r="N2743" s="3">
        <f t="shared" si="125"/>
        <v>0</v>
      </c>
      <c r="R2743" s="89"/>
      <c r="S2743" s="89">
        <f>100%-Table34[[#This Row],[PDF_initial fee]]</f>
        <v>1</v>
      </c>
      <c r="T2743" s="89"/>
      <c r="U2743" s="26"/>
    </row>
    <row r="2744" spans="1:21" hidden="1" x14ac:dyDescent="0.25">
      <c r="A2744">
        <v>543311</v>
      </c>
      <c r="B2744" t="s">
        <v>3105</v>
      </c>
      <c r="C2744" t="s">
        <v>10627</v>
      </c>
      <c r="D2744">
        <v>2</v>
      </c>
      <c r="E2744" t="s">
        <v>3105</v>
      </c>
      <c r="G2744" s="3"/>
      <c r="H2744" s="21">
        <v>0</v>
      </c>
      <c r="I2744" s="21">
        <v>0</v>
      </c>
      <c r="J2744" s="21">
        <v>0</v>
      </c>
      <c r="K2744" s="21">
        <v>0</v>
      </c>
      <c r="L2744" s="3">
        <f t="shared" si="124"/>
        <v>0</v>
      </c>
      <c r="M2744" s="3"/>
      <c r="N2744" s="3">
        <f t="shared" si="125"/>
        <v>0</v>
      </c>
      <c r="R2744" s="89"/>
      <c r="S2744" s="89">
        <f>100%-Table34[[#This Row],[PDF_initial fee]]</f>
        <v>1</v>
      </c>
      <c r="T2744" s="89"/>
      <c r="U2744" s="26"/>
    </row>
    <row r="2745" spans="1:21" hidden="1" x14ac:dyDescent="0.25">
      <c r="A2745">
        <v>543459</v>
      </c>
      <c r="B2745" t="s">
        <v>3106</v>
      </c>
      <c r="C2745" t="s">
        <v>30398</v>
      </c>
      <c r="D2745">
        <v>0</v>
      </c>
      <c r="E2745" t="s">
        <v>3106</v>
      </c>
      <c r="F2745" t="s">
        <v>29136</v>
      </c>
      <c r="G2745" s="3"/>
      <c r="H2745" s="21">
        <v>0</v>
      </c>
      <c r="I2745" s="21">
        <v>0</v>
      </c>
      <c r="J2745" s="21">
        <v>0</v>
      </c>
      <c r="K2745" s="21">
        <v>0</v>
      </c>
      <c r="L2745" s="3">
        <f t="shared" si="124"/>
        <v>0</v>
      </c>
      <c r="M2745" s="3"/>
      <c r="N2745" s="3">
        <f t="shared" si="125"/>
        <v>0</v>
      </c>
      <c r="O2745" s="21"/>
      <c r="R2745" s="89"/>
      <c r="S2745" s="89">
        <f>100%-Table34[[#This Row],[PDF_initial fee]]</f>
        <v>1</v>
      </c>
      <c r="T2745" s="89"/>
      <c r="U2745" s="26"/>
    </row>
    <row r="2746" spans="1:21" hidden="1" x14ac:dyDescent="0.25">
      <c r="A2746">
        <v>544108</v>
      </c>
      <c r="B2746" t="s">
        <v>3107</v>
      </c>
      <c r="C2746" t="s">
        <v>30399</v>
      </c>
      <c r="D2746">
        <v>2</v>
      </c>
      <c r="E2746" t="s">
        <v>3107</v>
      </c>
      <c r="G2746" s="3"/>
      <c r="H2746" s="3">
        <v>0</v>
      </c>
      <c r="I2746" s="3">
        <v>0</v>
      </c>
      <c r="J2746" s="3">
        <v>0</v>
      </c>
      <c r="K2746" s="3">
        <v>0</v>
      </c>
      <c r="L2746" s="3">
        <f t="shared" ref="L2746:L2777" si="126">SUM(H2746:K2746)</f>
        <v>0</v>
      </c>
      <c r="M2746" s="3"/>
      <c r="N2746" s="3">
        <f t="shared" ref="N2746:N2777" si="127">L2746+G2746</f>
        <v>0</v>
      </c>
      <c r="R2746" s="89"/>
      <c r="S2746" s="89">
        <f>100%-Table34[[#This Row],[PDF_initial fee]]</f>
        <v>1</v>
      </c>
      <c r="T2746" s="89"/>
      <c r="U2746" s="26"/>
    </row>
    <row r="2747" spans="1:21" hidden="1" x14ac:dyDescent="0.25">
      <c r="A2747">
        <v>544291</v>
      </c>
      <c r="B2747" t="s">
        <v>3108</v>
      </c>
      <c r="C2747" t="s">
        <v>30400</v>
      </c>
      <c r="D2747">
        <v>0</v>
      </c>
      <c r="E2747" t="s">
        <v>3108</v>
      </c>
      <c r="F2747" t="s">
        <v>29136</v>
      </c>
      <c r="G2747" s="3"/>
      <c r="H2747" s="21">
        <v>0</v>
      </c>
      <c r="I2747" s="21">
        <v>0</v>
      </c>
      <c r="J2747" s="21">
        <v>0</v>
      </c>
      <c r="K2747" s="21">
        <v>0</v>
      </c>
      <c r="L2747" s="3">
        <f t="shared" si="126"/>
        <v>0</v>
      </c>
      <c r="M2747" s="3"/>
      <c r="N2747" s="3">
        <f t="shared" si="127"/>
        <v>0</v>
      </c>
      <c r="O2747" s="21"/>
      <c r="R2747" s="89"/>
      <c r="S2747" s="89">
        <f>100%-Table34[[#This Row],[PDF_initial fee]]</f>
        <v>1</v>
      </c>
      <c r="T2747" s="89"/>
      <c r="U2747" s="26"/>
    </row>
    <row r="2748" spans="1:21" hidden="1" x14ac:dyDescent="0.25">
      <c r="A2748">
        <v>544532</v>
      </c>
      <c r="B2748" t="s">
        <v>3110</v>
      </c>
      <c r="C2748" t="s">
        <v>7234</v>
      </c>
      <c r="D2748">
        <v>2</v>
      </c>
      <c r="E2748" t="s">
        <v>3110</v>
      </c>
      <c r="G2748" s="3"/>
      <c r="H2748" s="21">
        <v>0</v>
      </c>
      <c r="I2748" s="21">
        <v>0</v>
      </c>
      <c r="J2748" s="21">
        <v>0</v>
      </c>
      <c r="K2748" s="21">
        <v>0</v>
      </c>
      <c r="L2748" s="3">
        <f t="shared" si="126"/>
        <v>0</v>
      </c>
      <c r="M2748" s="3"/>
      <c r="N2748" s="3">
        <f t="shared" si="127"/>
        <v>0</v>
      </c>
      <c r="R2748" s="89"/>
      <c r="S2748" s="89">
        <f>100%-Table34[[#This Row],[PDF_initial fee]]</f>
        <v>1</v>
      </c>
      <c r="T2748" s="89"/>
      <c r="U2748" s="26"/>
    </row>
    <row r="2749" spans="1:21" hidden="1" x14ac:dyDescent="0.25">
      <c r="A2749">
        <v>544537</v>
      </c>
      <c r="B2749" t="s">
        <v>3111</v>
      </c>
      <c r="C2749" t="s">
        <v>6958</v>
      </c>
      <c r="D2749">
        <v>3</v>
      </c>
      <c r="E2749" t="s">
        <v>3111</v>
      </c>
      <c r="F2749" t="s">
        <v>6958</v>
      </c>
      <c r="G2749" s="3"/>
      <c r="L2749" s="3">
        <f t="shared" si="126"/>
        <v>0</v>
      </c>
      <c r="M2749" s="3"/>
      <c r="N2749" s="3">
        <f t="shared" si="127"/>
        <v>0</v>
      </c>
      <c r="R2749" s="89"/>
      <c r="S2749" s="89">
        <f>100%-Table34[[#This Row],[PDF_initial fee]]</f>
        <v>1</v>
      </c>
      <c r="T2749" s="89"/>
      <c r="U2749" s="26"/>
    </row>
    <row r="2750" spans="1:21" hidden="1" x14ac:dyDescent="0.25">
      <c r="A2750">
        <v>544914</v>
      </c>
      <c r="B2750" t="s">
        <v>3112</v>
      </c>
      <c r="C2750" t="s">
        <v>30401</v>
      </c>
      <c r="D2750">
        <v>1</v>
      </c>
      <c r="E2750" t="s">
        <v>3112</v>
      </c>
      <c r="G2750" s="3"/>
      <c r="H2750" s="3">
        <v>0</v>
      </c>
      <c r="I2750" s="3">
        <v>0</v>
      </c>
      <c r="J2750" s="3">
        <v>0</v>
      </c>
      <c r="K2750" s="3">
        <v>0</v>
      </c>
      <c r="L2750" s="3">
        <f t="shared" si="126"/>
        <v>0</v>
      </c>
      <c r="M2750" s="3"/>
      <c r="N2750" s="3">
        <f t="shared" si="127"/>
        <v>0</v>
      </c>
      <c r="R2750" s="89"/>
      <c r="S2750" s="89">
        <f>100%-Table34[[#This Row],[PDF_initial fee]]</f>
        <v>1</v>
      </c>
      <c r="T2750" s="89"/>
      <c r="U2750" s="26"/>
    </row>
    <row r="2751" spans="1:21" hidden="1" x14ac:dyDescent="0.25">
      <c r="A2751">
        <v>544995</v>
      </c>
      <c r="B2751" t="s">
        <v>3113</v>
      </c>
      <c r="C2751" t="s">
        <v>7188</v>
      </c>
      <c r="D2751">
        <v>2</v>
      </c>
      <c r="E2751" t="s">
        <v>3113</v>
      </c>
      <c r="G2751" s="3"/>
      <c r="L2751" s="3">
        <f t="shared" si="126"/>
        <v>0</v>
      </c>
      <c r="M2751" s="3"/>
      <c r="N2751" s="3">
        <f t="shared" si="127"/>
        <v>0</v>
      </c>
      <c r="R2751" s="89"/>
      <c r="S2751" s="89">
        <f>100%-Table34[[#This Row],[PDF_initial fee]]</f>
        <v>1</v>
      </c>
      <c r="T2751" s="89"/>
      <c r="U2751" s="26"/>
    </row>
    <row r="2752" spans="1:21" hidden="1" x14ac:dyDescent="0.25">
      <c r="A2752">
        <v>545025</v>
      </c>
      <c r="B2752" t="s">
        <v>3114</v>
      </c>
      <c r="C2752" t="s">
        <v>30402</v>
      </c>
      <c r="D2752">
        <v>0</v>
      </c>
      <c r="E2752" t="s">
        <v>3114</v>
      </c>
      <c r="F2752" t="s">
        <v>29136</v>
      </c>
      <c r="G2752" s="3"/>
      <c r="H2752" s="21">
        <v>0</v>
      </c>
      <c r="I2752" s="21">
        <v>0</v>
      </c>
      <c r="J2752" s="21">
        <v>0</v>
      </c>
      <c r="K2752" s="21">
        <v>0</v>
      </c>
      <c r="L2752" s="3">
        <f t="shared" si="126"/>
        <v>0</v>
      </c>
      <c r="M2752" s="3"/>
      <c r="N2752" s="3">
        <f t="shared" si="127"/>
        <v>0</v>
      </c>
      <c r="O2752" s="21"/>
      <c r="R2752" s="89"/>
      <c r="S2752" s="89">
        <f>100%-Table34[[#This Row],[PDF_initial fee]]</f>
        <v>1</v>
      </c>
      <c r="T2752" s="89"/>
      <c r="U2752" s="26"/>
    </row>
    <row r="2753" spans="1:30" hidden="1" x14ac:dyDescent="0.25">
      <c r="A2753">
        <v>546072</v>
      </c>
      <c r="B2753" t="s">
        <v>3115</v>
      </c>
      <c r="C2753" t="s">
        <v>6958</v>
      </c>
      <c r="D2753">
        <v>2</v>
      </c>
      <c r="E2753" t="s">
        <v>3115</v>
      </c>
      <c r="F2753" t="s">
        <v>6958</v>
      </c>
      <c r="G2753" s="3"/>
      <c r="H2753" s="21">
        <v>0</v>
      </c>
      <c r="I2753" s="21">
        <v>0</v>
      </c>
      <c r="J2753" s="21">
        <v>0</v>
      </c>
      <c r="K2753" s="21">
        <v>0</v>
      </c>
      <c r="L2753" s="3">
        <f t="shared" si="126"/>
        <v>0</v>
      </c>
      <c r="M2753" s="3"/>
      <c r="N2753" s="3">
        <f t="shared" si="127"/>
        <v>0</v>
      </c>
      <c r="R2753" s="89"/>
      <c r="S2753" s="89">
        <f>100%-Table34[[#This Row],[PDF_initial fee]]</f>
        <v>1</v>
      </c>
      <c r="T2753" s="89"/>
      <c r="U2753" s="26"/>
    </row>
    <row r="2754" spans="1:30" hidden="1" x14ac:dyDescent="0.25">
      <c r="A2754">
        <v>546170</v>
      </c>
      <c r="B2754" t="s">
        <v>3116</v>
      </c>
      <c r="C2754" t="s">
        <v>10643</v>
      </c>
      <c r="D2754">
        <v>1</v>
      </c>
      <c r="E2754" t="s">
        <v>3116</v>
      </c>
      <c r="G2754" s="3"/>
      <c r="H2754" s="21">
        <v>0</v>
      </c>
      <c r="I2754" s="21">
        <v>0</v>
      </c>
      <c r="J2754" s="21">
        <v>0</v>
      </c>
      <c r="K2754" s="21">
        <v>0</v>
      </c>
      <c r="L2754" s="3">
        <f t="shared" si="126"/>
        <v>0</v>
      </c>
      <c r="M2754" s="3"/>
      <c r="N2754" s="3">
        <f t="shared" si="127"/>
        <v>0</v>
      </c>
      <c r="R2754" s="89"/>
      <c r="S2754" s="89">
        <f>100%-Table34[[#This Row],[PDF_initial fee]]</f>
        <v>1</v>
      </c>
      <c r="T2754" s="89"/>
      <c r="U2754" s="26"/>
    </row>
    <row r="2755" spans="1:30" hidden="1" x14ac:dyDescent="0.25">
      <c r="A2755">
        <v>546200</v>
      </c>
      <c r="B2755" t="s">
        <v>3117</v>
      </c>
      <c r="C2755" t="s">
        <v>6958</v>
      </c>
      <c r="D2755">
        <v>1</v>
      </c>
      <c r="E2755" t="s">
        <v>3117</v>
      </c>
      <c r="F2755" t="s">
        <v>6958</v>
      </c>
      <c r="G2755" s="3"/>
      <c r="H2755" s="21">
        <v>0</v>
      </c>
      <c r="I2755" s="21">
        <v>0</v>
      </c>
      <c r="J2755" s="21">
        <v>0</v>
      </c>
      <c r="K2755" s="21">
        <v>0</v>
      </c>
      <c r="L2755" s="3">
        <f t="shared" si="126"/>
        <v>0</v>
      </c>
      <c r="M2755" s="3"/>
      <c r="N2755" s="3">
        <f t="shared" si="127"/>
        <v>0</v>
      </c>
      <c r="R2755" s="89"/>
      <c r="S2755" s="89">
        <f>100%-Table34[[#This Row],[PDF_initial fee]]</f>
        <v>1</v>
      </c>
      <c r="T2755" s="89"/>
      <c r="U2755" s="26"/>
    </row>
    <row r="2756" spans="1:30" hidden="1" x14ac:dyDescent="0.25">
      <c r="A2756">
        <v>546263</v>
      </c>
      <c r="B2756" t="s">
        <v>3118</v>
      </c>
      <c r="C2756" t="s">
        <v>6958</v>
      </c>
      <c r="D2756">
        <v>1</v>
      </c>
      <c r="E2756" t="s">
        <v>3118</v>
      </c>
      <c r="F2756" t="s">
        <v>6958</v>
      </c>
      <c r="G2756" s="3"/>
      <c r="H2756" s="21">
        <v>0</v>
      </c>
      <c r="I2756" s="21">
        <v>0</v>
      </c>
      <c r="J2756" s="21">
        <v>0</v>
      </c>
      <c r="K2756" s="21">
        <v>0</v>
      </c>
      <c r="L2756" s="3">
        <f t="shared" si="126"/>
        <v>0</v>
      </c>
      <c r="M2756" s="3"/>
      <c r="N2756" s="3">
        <f t="shared" si="127"/>
        <v>0</v>
      </c>
      <c r="R2756" s="89"/>
      <c r="S2756" s="89">
        <f>100%-Table34[[#This Row],[PDF_initial fee]]</f>
        <v>1</v>
      </c>
      <c r="T2756" s="89"/>
      <c r="U2756" s="26"/>
    </row>
    <row r="2757" spans="1:30" hidden="1" x14ac:dyDescent="0.25">
      <c r="A2757">
        <v>547641</v>
      </c>
      <c r="B2757" t="s">
        <v>3119</v>
      </c>
      <c r="C2757" t="s">
        <v>9601</v>
      </c>
      <c r="D2757">
        <v>1</v>
      </c>
      <c r="E2757" t="s">
        <v>3119</v>
      </c>
      <c r="G2757" s="3"/>
      <c r="H2757" s="21">
        <v>0</v>
      </c>
      <c r="I2757" s="21">
        <v>0</v>
      </c>
      <c r="J2757" s="21">
        <v>0</v>
      </c>
      <c r="K2757" s="21">
        <v>0</v>
      </c>
      <c r="L2757" s="3">
        <f t="shared" si="126"/>
        <v>0</v>
      </c>
      <c r="M2757" s="3"/>
      <c r="N2757" s="3">
        <f t="shared" si="127"/>
        <v>0</v>
      </c>
      <c r="R2757" s="89"/>
      <c r="S2757" s="89">
        <f>100%-Table34[[#This Row],[PDF_initial fee]]</f>
        <v>1</v>
      </c>
      <c r="T2757" s="89"/>
      <c r="U2757" s="26"/>
    </row>
    <row r="2758" spans="1:30" hidden="1" x14ac:dyDescent="0.25">
      <c r="A2758">
        <v>547717</v>
      </c>
      <c r="B2758" t="s">
        <v>3120</v>
      </c>
      <c r="C2758" t="s">
        <v>30403</v>
      </c>
      <c r="D2758">
        <v>10</v>
      </c>
      <c r="E2758" t="s">
        <v>3120</v>
      </c>
      <c r="G2758" s="3"/>
      <c r="H2758" s="3">
        <v>0</v>
      </c>
      <c r="I2758" s="3">
        <v>0</v>
      </c>
      <c r="J2758" s="3">
        <v>0</v>
      </c>
      <c r="K2758" s="3">
        <v>0</v>
      </c>
      <c r="L2758" s="3">
        <f t="shared" si="126"/>
        <v>0</v>
      </c>
      <c r="M2758" s="3"/>
      <c r="N2758" s="3">
        <f t="shared" si="127"/>
        <v>0</v>
      </c>
      <c r="R2758" s="89"/>
      <c r="S2758" s="89">
        <f>100%-Table34[[#This Row],[PDF_initial fee]]</f>
        <v>1</v>
      </c>
      <c r="T2758" s="89"/>
      <c r="U2758" s="26"/>
    </row>
    <row r="2759" spans="1:30" hidden="1" x14ac:dyDescent="0.25">
      <c r="A2759">
        <v>547997</v>
      </c>
      <c r="B2759" t="s">
        <v>3121</v>
      </c>
      <c r="C2759" t="s">
        <v>30404</v>
      </c>
      <c r="D2759">
        <v>3</v>
      </c>
      <c r="E2759" t="s">
        <v>3121</v>
      </c>
      <c r="G2759" s="3"/>
      <c r="H2759" s="3">
        <v>0</v>
      </c>
      <c r="I2759" s="3">
        <v>0</v>
      </c>
      <c r="J2759" s="3">
        <v>0</v>
      </c>
      <c r="K2759" s="3">
        <v>0</v>
      </c>
      <c r="L2759" s="3">
        <f t="shared" si="126"/>
        <v>0</v>
      </c>
      <c r="M2759" s="3"/>
      <c r="N2759" s="3">
        <f t="shared" si="127"/>
        <v>0</v>
      </c>
      <c r="R2759" s="89"/>
      <c r="S2759" s="89">
        <f>100%-Table34[[#This Row],[PDF_initial fee]]</f>
        <v>1</v>
      </c>
      <c r="T2759" s="89"/>
      <c r="U2759" s="26"/>
    </row>
    <row r="2760" spans="1:30" hidden="1" x14ac:dyDescent="0.25">
      <c r="A2760">
        <v>548024</v>
      </c>
      <c r="B2760" t="s">
        <v>3122</v>
      </c>
      <c r="C2760" t="s">
        <v>6958</v>
      </c>
      <c r="D2760">
        <v>1</v>
      </c>
      <c r="E2760" t="s">
        <v>3122</v>
      </c>
      <c r="F2760" t="s">
        <v>6958</v>
      </c>
      <c r="G2760" s="3"/>
      <c r="H2760" s="21">
        <v>0</v>
      </c>
      <c r="I2760" s="21">
        <v>0</v>
      </c>
      <c r="J2760" s="21">
        <v>0</v>
      </c>
      <c r="K2760" s="21">
        <v>0</v>
      </c>
      <c r="L2760" s="3">
        <f t="shared" si="126"/>
        <v>0</v>
      </c>
      <c r="M2760" s="3"/>
      <c r="N2760" s="3">
        <f t="shared" si="127"/>
        <v>0</v>
      </c>
      <c r="R2760" s="89"/>
      <c r="S2760" s="89">
        <f>100%-Table34[[#This Row],[PDF_initial fee]]</f>
        <v>1</v>
      </c>
      <c r="T2760" s="89"/>
      <c r="U2760" s="26"/>
    </row>
    <row r="2761" spans="1:30" hidden="1" x14ac:dyDescent="0.25">
      <c r="A2761">
        <v>548051</v>
      </c>
      <c r="B2761" t="s">
        <v>3123</v>
      </c>
      <c r="C2761" t="s">
        <v>9766</v>
      </c>
      <c r="D2761">
        <v>1</v>
      </c>
      <c r="E2761" t="s">
        <v>3123</v>
      </c>
      <c r="G2761" s="3"/>
      <c r="H2761" s="21">
        <v>0</v>
      </c>
      <c r="I2761" s="21">
        <v>0</v>
      </c>
      <c r="J2761" s="21">
        <v>0</v>
      </c>
      <c r="K2761" s="21">
        <v>0</v>
      </c>
      <c r="L2761" s="3">
        <f t="shared" si="126"/>
        <v>0</v>
      </c>
      <c r="M2761" s="3"/>
      <c r="N2761" s="3">
        <f t="shared" si="127"/>
        <v>0</v>
      </c>
      <c r="R2761" s="89"/>
      <c r="S2761" s="89">
        <f>100%-Table34[[#This Row],[PDF_initial fee]]</f>
        <v>1</v>
      </c>
      <c r="T2761" s="89"/>
      <c r="U2761" s="26"/>
    </row>
    <row r="2762" spans="1:30" hidden="1" x14ac:dyDescent="0.25">
      <c r="A2762">
        <v>548056</v>
      </c>
      <c r="B2762" t="s">
        <v>3124</v>
      </c>
      <c r="C2762" t="s">
        <v>6958</v>
      </c>
      <c r="D2762">
        <v>1</v>
      </c>
      <c r="E2762" t="s">
        <v>3124</v>
      </c>
      <c r="F2762" t="s">
        <v>6958</v>
      </c>
      <c r="G2762" s="3"/>
      <c r="H2762" s="21">
        <v>0</v>
      </c>
      <c r="I2762" s="21">
        <v>0</v>
      </c>
      <c r="J2762" s="21">
        <v>0</v>
      </c>
      <c r="K2762" s="21">
        <v>0</v>
      </c>
      <c r="L2762" s="3">
        <f t="shared" si="126"/>
        <v>0</v>
      </c>
      <c r="M2762" s="3"/>
      <c r="N2762" s="3">
        <f t="shared" si="127"/>
        <v>0</v>
      </c>
      <c r="R2762" s="89"/>
      <c r="S2762" s="89">
        <f>100%-Table34[[#This Row],[PDF_initial fee]]</f>
        <v>1</v>
      </c>
      <c r="T2762" s="89"/>
      <c r="U2762" s="26"/>
    </row>
    <row r="2763" spans="1:30" hidden="1" x14ac:dyDescent="0.25">
      <c r="A2763">
        <v>121878</v>
      </c>
      <c r="B2763" t="s">
        <v>23</v>
      </c>
      <c r="C2763" t="s">
        <v>29171</v>
      </c>
      <c r="D2763">
        <v>81</v>
      </c>
      <c r="E2763" t="s">
        <v>23</v>
      </c>
      <c r="F2763" t="s">
        <v>6</v>
      </c>
      <c r="G2763" s="3">
        <v>5.4999999999999997E-3</v>
      </c>
      <c r="H2763" s="3">
        <v>0.03</v>
      </c>
      <c r="I2763" s="21">
        <v>0</v>
      </c>
      <c r="J2763" s="6">
        <v>0</v>
      </c>
      <c r="K2763" s="6">
        <v>0</v>
      </c>
      <c r="L2763" s="3">
        <f t="shared" si="126"/>
        <v>0.03</v>
      </c>
      <c r="M2763" s="3"/>
      <c r="N2763" s="3">
        <f t="shared" si="127"/>
        <v>3.5499999999999997E-2</v>
      </c>
      <c r="O2763" s="21" t="s">
        <v>30405</v>
      </c>
      <c r="P2763" s="1" t="s">
        <v>30406</v>
      </c>
      <c r="Q2763" s="1" t="s">
        <v>30407</v>
      </c>
      <c r="R2763" s="89"/>
      <c r="S2763" s="89">
        <f>100%-Table34[[#This Row],[InitialFee]]</f>
        <v>0.97</v>
      </c>
      <c r="T2763" s="89"/>
      <c r="U2763" s="26"/>
      <c r="V2763" s="10">
        <v>424309000000</v>
      </c>
      <c r="W2763" s="10" t="s">
        <v>29081</v>
      </c>
      <c r="X2763" s="10">
        <v>23118000000</v>
      </c>
      <c r="Y2763" s="30">
        <f>X2763/V2763</f>
        <v>5.4483878494210589E-2</v>
      </c>
      <c r="Z2763" s="10"/>
      <c r="AA2763" s="1" t="s">
        <v>30408</v>
      </c>
      <c r="AD2763" s="1" t="s">
        <v>30409</v>
      </c>
    </row>
    <row r="2764" spans="1:30" hidden="1" x14ac:dyDescent="0.25">
      <c r="A2764">
        <v>548625</v>
      </c>
      <c r="B2764" t="s">
        <v>3125</v>
      </c>
      <c r="C2764" t="s">
        <v>10158</v>
      </c>
      <c r="D2764">
        <v>6</v>
      </c>
      <c r="E2764" t="s">
        <v>3125</v>
      </c>
      <c r="G2764" s="3"/>
      <c r="H2764" s="21">
        <v>0</v>
      </c>
      <c r="I2764" s="21">
        <v>0</v>
      </c>
      <c r="J2764" s="21">
        <v>0</v>
      </c>
      <c r="K2764" s="21">
        <v>0</v>
      </c>
      <c r="L2764" s="3">
        <f t="shared" si="126"/>
        <v>0</v>
      </c>
      <c r="M2764" s="3"/>
      <c r="N2764" s="3">
        <f t="shared" si="127"/>
        <v>0</v>
      </c>
      <c r="R2764" s="89"/>
      <c r="S2764" s="89">
        <f>100%-Table34[[#This Row],[PDF_initial fee]]</f>
        <v>1</v>
      </c>
      <c r="T2764" s="89"/>
      <c r="U2764" s="26"/>
    </row>
    <row r="2765" spans="1:30" hidden="1" x14ac:dyDescent="0.25">
      <c r="A2765">
        <v>549836</v>
      </c>
      <c r="B2765" t="s">
        <v>3126</v>
      </c>
      <c r="C2765" t="s">
        <v>11615</v>
      </c>
      <c r="D2765">
        <v>2</v>
      </c>
      <c r="E2765" t="s">
        <v>3126</v>
      </c>
      <c r="G2765" s="3"/>
      <c r="H2765" s="21">
        <v>0</v>
      </c>
      <c r="I2765" s="21">
        <v>0</v>
      </c>
      <c r="J2765" s="21">
        <v>0</v>
      </c>
      <c r="K2765" s="21">
        <v>0</v>
      </c>
      <c r="L2765" s="3">
        <f t="shared" si="126"/>
        <v>0</v>
      </c>
      <c r="M2765" s="3"/>
      <c r="N2765" s="3">
        <f t="shared" si="127"/>
        <v>0</v>
      </c>
      <c r="R2765" s="89"/>
      <c r="S2765" s="89">
        <f>100%-Table34[[#This Row],[PDF_initial fee]]</f>
        <v>1</v>
      </c>
      <c r="T2765" s="89"/>
      <c r="U2765" s="26"/>
    </row>
    <row r="2766" spans="1:30" hidden="1" x14ac:dyDescent="0.25">
      <c r="A2766">
        <v>549935</v>
      </c>
      <c r="B2766" t="s">
        <v>3127</v>
      </c>
      <c r="C2766" t="s">
        <v>6958</v>
      </c>
      <c r="D2766">
        <v>5</v>
      </c>
      <c r="E2766" t="s">
        <v>3127</v>
      </c>
      <c r="F2766" t="s">
        <v>6958</v>
      </c>
      <c r="G2766" s="3"/>
      <c r="H2766" s="21">
        <v>0</v>
      </c>
      <c r="I2766" s="21">
        <v>0</v>
      </c>
      <c r="J2766" s="21">
        <v>0</v>
      </c>
      <c r="K2766" s="21">
        <v>0</v>
      </c>
      <c r="L2766" s="3">
        <f t="shared" si="126"/>
        <v>0</v>
      </c>
      <c r="M2766" s="3"/>
      <c r="N2766" s="3">
        <f t="shared" si="127"/>
        <v>0</v>
      </c>
      <c r="R2766" s="89"/>
      <c r="S2766" s="89">
        <f>100%-Table34[[#This Row],[PDF_initial fee]]</f>
        <v>1</v>
      </c>
      <c r="T2766" s="89"/>
      <c r="U2766" s="26"/>
    </row>
    <row r="2767" spans="1:30" hidden="1" x14ac:dyDescent="0.25">
      <c r="A2767">
        <v>549963</v>
      </c>
      <c r="B2767" t="s">
        <v>3128</v>
      </c>
      <c r="C2767" t="s">
        <v>9519</v>
      </c>
      <c r="D2767">
        <v>1</v>
      </c>
      <c r="E2767" t="s">
        <v>3128</v>
      </c>
      <c r="G2767" s="3"/>
      <c r="H2767" s="21">
        <v>0</v>
      </c>
      <c r="I2767" s="21">
        <v>0</v>
      </c>
      <c r="J2767" s="21">
        <v>0</v>
      </c>
      <c r="K2767" s="21">
        <v>0</v>
      </c>
      <c r="L2767" s="3">
        <f t="shared" si="126"/>
        <v>0</v>
      </c>
      <c r="M2767" s="3"/>
      <c r="N2767" s="3">
        <f t="shared" si="127"/>
        <v>0</v>
      </c>
      <c r="R2767" s="89"/>
      <c r="S2767" s="89">
        <f>100%-Table34[[#This Row],[PDF_initial fee]]</f>
        <v>1</v>
      </c>
      <c r="T2767" s="89"/>
      <c r="U2767" s="26"/>
    </row>
    <row r="2768" spans="1:30" hidden="1" x14ac:dyDescent="0.25">
      <c r="A2768">
        <v>550013</v>
      </c>
      <c r="B2768" t="s">
        <v>3129</v>
      </c>
      <c r="C2768" t="s">
        <v>12087</v>
      </c>
      <c r="D2768">
        <v>2</v>
      </c>
      <c r="E2768" t="s">
        <v>3129</v>
      </c>
      <c r="G2768" s="3"/>
      <c r="H2768" s="21">
        <v>0</v>
      </c>
      <c r="I2768" s="21">
        <v>0</v>
      </c>
      <c r="J2768" s="21">
        <v>0</v>
      </c>
      <c r="K2768" s="21">
        <v>0</v>
      </c>
      <c r="L2768" s="3">
        <f t="shared" si="126"/>
        <v>0</v>
      </c>
      <c r="M2768" s="3"/>
      <c r="N2768" s="3">
        <f t="shared" si="127"/>
        <v>0</v>
      </c>
      <c r="R2768" s="89"/>
      <c r="S2768" s="89">
        <f>100%-Table34[[#This Row],[PDF_initial fee]]</f>
        <v>1</v>
      </c>
      <c r="T2768" s="89"/>
      <c r="U2768" s="26"/>
    </row>
    <row r="2769" spans="1:30" hidden="1" x14ac:dyDescent="0.25">
      <c r="A2769">
        <v>550103</v>
      </c>
      <c r="B2769" t="s">
        <v>3130</v>
      </c>
      <c r="C2769" t="s">
        <v>30410</v>
      </c>
      <c r="D2769">
        <v>0</v>
      </c>
      <c r="E2769" t="s">
        <v>3130</v>
      </c>
      <c r="F2769" t="s">
        <v>29136</v>
      </c>
      <c r="G2769" s="3"/>
      <c r="H2769" s="21">
        <v>0</v>
      </c>
      <c r="I2769" s="21">
        <v>0</v>
      </c>
      <c r="J2769" s="21">
        <v>0</v>
      </c>
      <c r="K2769" s="21">
        <v>0</v>
      </c>
      <c r="L2769" s="3">
        <f t="shared" si="126"/>
        <v>0</v>
      </c>
      <c r="M2769" s="3"/>
      <c r="N2769" s="3">
        <f t="shared" si="127"/>
        <v>0</v>
      </c>
      <c r="O2769" s="21"/>
      <c r="R2769" s="89"/>
      <c r="S2769" s="89">
        <f>100%-Table34[[#This Row],[PDF_initial fee]]</f>
        <v>1</v>
      </c>
      <c r="T2769" s="89"/>
      <c r="U2769" s="26"/>
    </row>
    <row r="2770" spans="1:30" hidden="1" x14ac:dyDescent="0.25">
      <c r="A2770">
        <v>550126</v>
      </c>
      <c r="B2770" t="s">
        <v>3131</v>
      </c>
      <c r="C2770" t="s">
        <v>7911</v>
      </c>
      <c r="D2770">
        <v>5</v>
      </c>
      <c r="E2770" t="s">
        <v>3131</v>
      </c>
      <c r="G2770" s="3"/>
      <c r="L2770" s="3">
        <f t="shared" si="126"/>
        <v>0</v>
      </c>
      <c r="M2770" s="3"/>
      <c r="N2770" s="3">
        <f t="shared" si="127"/>
        <v>0</v>
      </c>
      <c r="R2770" s="89"/>
      <c r="S2770" s="89">
        <f>100%-Table34[[#This Row],[PDF_initial fee]]</f>
        <v>1</v>
      </c>
      <c r="T2770" s="89"/>
      <c r="U2770" s="26"/>
    </row>
    <row r="2771" spans="1:30" hidden="1" x14ac:dyDescent="0.25">
      <c r="A2771">
        <v>550350</v>
      </c>
      <c r="B2771" t="s">
        <v>3132</v>
      </c>
      <c r="C2771" t="s">
        <v>9906</v>
      </c>
      <c r="D2771">
        <v>1</v>
      </c>
      <c r="E2771" t="s">
        <v>3132</v>
      </c>
      <c r="G2771" s="3"/>
      <c r="H2771" s="21">
        <v>0</v>
      </c>
      <c r="I2771" s="21">
        <v>0</v>
      </c>
      <c r="J2771" s="21">
        <v>0</v>
      </c>
      <c r="K2771" s="21">
        <v>0</v>
      </c>
      <c r="L2771" s="3">
        <f t="shared" si="126"/>
        <v>0</v>
      </c>
      <c r="M2771" s="3"/>
      <c r="N2771" s="3">
        <f t="shared" si="127"/>
        <v>0</v>
      </c>
      <c r="R2771" s="89"/>
      <c r="S2771" s="89">
        <f>100%-Table34[[#This Row],[PDF_initial fee]]</f>
        <v>1</v>
      </c>
      <c r="T2771" s="89"/>
      <c r="U2771" s="26"/>
    </row>
    <row r="2772" spans="1:30" hidden="1" x14ac:dyDescent="0.25">
      <c r="A2772">
        <v>550716</v>
      </c>
      <c r="B2772" t="s">
        <v>3133</v>
      </c>
      <c r="C2772" t="s">
        <v>6958</v>
      </c>
      <c r="D2772">
        <v>1</v>
      </c>
      <c r="E2772" t="s">
        <v>3133</v>
      </c>
      <c r="F2772" t="s">
        <v>6958</v>
      </c>
      <c r="G2772" s="3"/>
      <c r="H2772" s="21">
        <v>0</v>
      </c>
      <c r="I2772" s="21">
        <v>0</v>
      </c>
      <c r="J2772" s="21">
        <v>0</v>
      </c>
      <c r="K2772" s="21">
        <v>0</v>
      </c>
      <c r="L2772" s="3">
        <f t="shared" si="126"/>
        <v>0</v>
      </c>
      <c r="M2772" s="3"/>
      <c r="N2772" s="3">
        <f t="shared" si="127"/>
        <v>0</v>
      </c>
      <c r="R2772" s="89"/>
      <c r="S2772" s="89">
        <f>100%-Table34[[#This Row],[PDF_initial fee]]</f>
        <v>1</v>
      </c>
      <c r="T2772" s="89"/>
      <c r="U2772" s="26"/>
    </row>
    <row r="2773" spans="1:30" hidden="1" x14ac:dyDescent="0.25">
      <c r="A2773">
        <v>551169</v>
      </c>
      <c r="B2773" t="s">
        <v>3134</v>
      </c>
      <c r="C2773" t="s">
        <v>12406</v>
      </c>
      <c r="D2773">
        <v>3</v>
      </c>
      <c r="E2773" t="s">
        <v>3134</v>
      </c>
      <c r="G2773" s="3"/>
      <c r="H2773" s="21">
        <v>0</v>
      </c>
      <c r="I2773" s="21">
        <v>0</v>
      </c>
      <c r="J2773" s="21">
        <v>0</v>
      </c>
      <c r="K2773" s="21">
        <v>0</v>
      </c>
      <c r="L2773" s="3">
        <f t="shared" si="126"/>
        <v>0</v>
      </c>
      <c r="M2773" s="3"/>
      <c r="N2773" s="3">
        <f t="shared" si="127"/>
        <v>0</v>
      </c>
      <c r="R2773" s="89"/>
      <c r="S2773" s="89">
        <f>100%-Table34[[#This Row],[PDF_initial fee]]</f>
        <v>1</v>
      </c>
      <c r="T2773" s="89"/>
      <c r="U2773" s="26"/>
    </row>
    <row r="2774" spans="1:30" hidden="1" x14ac:dyDescent="0.25">
      <c r="A2774">
        <v>551177</v>
      </c>
      <c r="B2774" t="s">
        <v>3135</v>
      </c>
      <c r="C2774" t="s">
        <v>30411</v>
      </c>
      <c r="D2774">
        <v>11</v>
      </c>
      <c r="E2774" t="s">
        <v>3135</v>
      </c>
      <c r="G2774" s="3"/>
      <c r="H2774" s="3">
        <v>0</v>
      </c>
      <c r="I2774" s="3">
        <v>0</v>
      </c>
      <c r="J2774" s="3">
        <v>0</v>
      </c>
      <c r="K2774" s="3">
        <v>0</v>
      </c>
      <c r="L2774" s="3">
        <f t="shared" si="126"/>
        <v>0</v>
      </c>
      <c r="M2774" s="3"/>
      <c r="N2774" s="3">
        <f t="shared" si="127"/>
        <v>0</v>
      </c>
      <c r="R2774" s="89"/>
      <c r="S2774" s="89">
        <f>100%-Table34[[#This Row],[PDF_initial fee]]</f>
        <v>1</v>
      </c>
      <c r="T2774" s="89"/>
      <c r="U2774" s="26"/>
    </row>
    <row r="2775" spans="1:30" hidden="1" x14ac:dyDescent="0.25">
      <c r="A2775">
        <v>551184</v>
      </c>
      <c r="B2775" t="s">
        <v>3136</v>
      </c>
      <c r="C2775" t="s">
        <v>6958</v>
      </c>
      <c r="D2775">
        <v>1</v>
      </c>
      <c r="E2775" t="s">
        <v>3136</v>
      </c>
      <c r="F2775" t="s">
        <v>6958</v>
      </c>
      <c r="G2775" s="3"/>
      <c r="H2775" s="21">
        <v>0</v>
      </c>
      <c r="I2775" s="21">
        <v>0</v>
      </c>
      <c r="J2775" s="21">
        <v>0</v>
      </c>
      <c r="K2775" s="21">
        <v>0</v>
      </c>
      <c r="L2775" s="3">
        <f t="shared" si="126"/>
        <v>0</v>
      </c>
      <c r="M2775" s="3"/>
      <c r="N2775" s="3">
        <f t="shared" si="127"/>
        <v>0</v>
      </c>
      <c r="R2775" s="89"/>
      <c r="S2775" s="89">
        <f>100%-Table34[[#This Row],[PDF_initial fee]]</f>
        <v>1</v>
      </c>
      <c r="T2775" s="89"/>
      <c r="U2775" s="26"/>
    </row>
    <row r="2776" spans="1:30" hidden="1" x14ac:dyDescent="0.25">
      <c r="A2776">
        <v>551202</v>
      </c>
      <c r="B2776" t="s">
        <v>3137</v>
      </c>
      <c r="C2776" t="s">
        <v>6958</v>
      </c>
      <c r="D2776">
        <v>1</v>
      </c>
      <c r="E2776" t="s">
        <v>3137</v>
      </c>
      <c r="F2776" t="s">
        <v>6958</v>
      </c>
      <c r="G2776" s="3"/>
      <c r="H2776" s="21">
        <v>0</v>
      </c>
      <c r="I2776" s="21">
        <v>0</v>
      </c>
      <c r="J2776" s="21">
        <v>0</v>
      </c>
      <c r="K2776" s="21">
        <v>0</v>
      </c>
      <c r="L2776" s="3">
        <f t="shared" si="126"/>
        <v>0</v>
      </c>
      <c r="M2776" s="3"/>
      <c r="N2776" s="3">
        <f t="shared" si="127"/>
        <v>0</v>
      </c>
      <c r="R2776" s="89"/>
      <c r="S2776" s="89">
        <f>100%-Table34[[#This Row],[PDF_initial fee]]</f>
        <v>1</v>
      </c>
      <c r="T2776" s="89"/>
      <c r="U2776" s="26"/>
    </row>
    <row r="2777" spans="1:30" hidden="1" x14ac:dyDescent="0.25">
      <c r="A2777">
        <v>551275</v>
      </c>
      <c r="B2777" t="s">
        <v>3138</v>
      </c>
      <c r="C2777" t="s">
        <v>10975</v>
      </c>
      <c r="D2777">
        <v>1</v>
      </c>
      <c r="E2777" t="s">
        <v>3138</v>
      </c>
      <c r="G2777" s="3"/>
      <c r="H2777" s="21">
        <v>0</v>
      </c>
      <c r="I2777" s="21">
        <v>0</v>
      </c>
      <c r="J2777" s="21">
        <v>0</v>
      </c>
      <c r="K2777" s="21">
        <v>0</v>
      </c>
      <c r="L2777" s="3">
        <f t="shared" si="126"/>
        <v>0</v>
      </c>
      <c r="M2777" s="3"/>
      <c r="N2777" s="3">
        <f t="shared" si="127"/>
        <v>0</v>
      </c>
      <c r="R2777" s="89"/>
      <c r="S2777" s="89">
        <f>100%-Table34[[#This Row],[PDF_initial fee]]</f>
        <v>1</v>
      </c>
      <c r="T2777" s="89"/>
      <c r="U2777" s="26"/>
    </row>
    <row r="2778" spans="1:30" hidden="1" x14ac:dyDescent="0.25">
      <c r="A2778">
        <v>551393</v>
      </c>
      <c r="B2778" t="s">
        <v>3139</v>
      </c>
      <c r="C2778" t="s">
        <v>6958</v>
      </c>
      <c r="D2778">
        <v>1</v>
      </c>
      <c r="E2778" t="s">
        <v>3139</v>
      </c>
      <c r="F2778" t="s">
        <v>6958</v>
      </c>
      <c r="G2778" s="3"/>
      <c r="H2778" s="21">
        <v>0</v>
      </c>
      <c r="I2778" s="21">
        <v>0</v>
      </c>
      <c r="J2778" s="21">
        <v>0</v>
      </c>
      <c r="K2778" s="21">
        <v>0</v>
      </c>
      <c r="L2778" s="3">
        <f t="shared" ref="L2778:L2784" si="128">SUM(H2778:K2778)</f>
        <v>0</v>
      </c>
      <c r="M2778" s="3"/>
      <c r="N2778" s="3">
        <f t="shared" ref="N2778:N2784" si="129">L2778+G2778</f>
        <v>0</v>
      </c>
      <c r="R2778" s="89"/>
      <c r="S2778" s="89">
        <f>100%-Table34[[#This Row],[PDF_initial fee]]</f>
        <v>1</v>
      </c>
      <c r="T2778" s="89"/>
      <c r="U2778" s="26"/>
    </row>
    <row r="2779" spans="1:30" hidden="1" x14ac:dyDescent="0.25">
      <c r="A2779">
        <v>551407</v>
      </c>
      <c r="B2779" t="s">
        <v>3140</v>
      </c>
      <c r="C2779" t="s">
        <v>10583</v>
      </c>
      <c r="D2779">
        <v>1</v>
      </c>
      <c r="E2779" t="s">
        <v>3140</v>
      </c>
      <c r="G2779" s="3"/>
      <c r="H2779" s="21">
        <v>0</v>
      </c>
      <c r="I2779" s="21">
        <v>0</v>
      </c>
      <c r="J2779" s="21">
        <v>0</v>
      </c>
      <c r="K2779" s="21">
        <v>0</v>
      </c>
      <c r="L2779" s="3">
        <f t="shared" si="128"/>
        <v>0</v>
      </c>
      <c r="M2779" s="3"/>
      <c r="N2779" s="3">
        <f t="shared" si="129"/>
        <v>0</v>
      </c>
      <c r="R2779" s="89"/>
      <c r="S2779" s="89">
        <f>100%-Table34[[#This Row],[PDF_initial fee]]</f>
        <v>1</v>
      </c>
      <c r="T2779" s="89"/>
      <c r="U2779" s="26"/>
    </row>
    <row r="2780" spans="1:30" hidden="1" x14ac:dyDescent="0.25">
      <c r="A2780">
        <v>551422</v>
      </c>
      <c r="B2780" t="s">
        <v>3141</v>
      </c>
      <c r="C2780" t="s">
        <v>30412</v>
      </c>
      <c r="D2780">
        <v>1</v>
      </c>
      <c r="E2780" t="s">
        <v>3141</v>
      </c>
      <c r="G2780" s="3"/>
      <c r="H2780" s="21">
        <v>0</v>
      </c>
      <c r="I2780" s="21">
        <v>0</v>
      </c>
      <c r="J2780" s="21">
        <v>0</v>
      </c>
      <c r="K2780" s="21">
        <v>0</v>
      </c>
      <c r="L2780" s="3">
        <f t="shared" si="128"/>
        <v>0</v>
      </c>
      <c r="M2780" s="3"/>
      <c r="N2780" s="3">
        <f t="shared" si="129"/>
        <v>0</v>
      </c>
      <c r="O2780" s="21"/>
      <c r="R2780" s="89"/>
      <c r="S2780" s="89">
        <f>100%-Table34[[#This Row],[PDF_initial fee]]</f>
        <v>1</v>
      </c>
      <c r="T2780" s="89"/>
      <c r="U2780" s="26"/>
    </row>
    <row r="2781" spans="1:30" hidden="1" x14ac:dyDescent="0.25">
      <c r="A2781">
        <v>551734</v>
      </c>
      <c r="B2781" t="s">
        <v>3142</v>
      </c>
      <c r="C2781" t="s">
        <v>6958</v>
      </c>
      <c r="D2781">
        <v>1</v>
      </c>
      <c r="E2781" t="s">
        <v>3142</v>
      </c>
      <c r="F2781" t="s">
        <v>6958</v>
      </c>
      <c r="G2781" s="3"/>
      <c r="H2781" s="21">
        <v>0</v>
      </c>
      <c r="I2781" s="21">
        <v>0</v>
      </c>
      <c r="J2781" s="21">
        <v>0</v>
      </c>
      <c r="K2781" s="21">
        <v>0</v>
      </c>
      <c r="L2781" s="3">
        <f t="shared" si="128"/>
        <v>0</v>
      </c>
      <c r="M2781" s="3"/>
      <c r="N2781" s="3">
        <f t="shared" si="129"/>
        <v>0</v>
      </c>
      <c r="R2781" s="89"/>
      <c r="S2781" s="89">
        <f>100%-Table34[[#This Row],[PDF_initial fee]]</f>
        <v>1</v>
      </c>
      <c r="T2781" s="89"/>
      <c r="U2781" s="26"/>
    </row>
    <row r="2782" spans="1:30" hidden="1" x14ac:dyDescent="0.25">
      <c r="A2782">
        <v>551744</v>
      </c>
      <c r="B2782" t="s">
        <v>3143</v>
      </c>
      <c r="C2782" t="s">
        <v>7254</v>
      </c>
      <c r="D2782">
        <v>4</v>
      </c>
      <c r="E2782" t="s">
        <v>3143</v>
      </c>
      <c r="G2782" s="3"/>
      <c r="H2782" s="21">
        <v>0</v>
      </c>
      <c r="I2782" s="21">
        <v>0</v>
      </c>
      <c r="J2782" s="21">
        <v>0</v>
      </c>
      <c r="K2782" s="21">
        <v>0</v>
      </c>
      <c r="L2782" s="3">
        <f t="shared" si="128"/>
        <v>0</v>
      </c>
      <c r="M2782" s="3"/>
      <c r="N2782" s="3">
        <f t="shared" si="129"/>
        <v>0</v>
      </c>
      <c r="R2782" s="89"/>
      <c r="S2782" s="89">
        <f>100%-Table34[[#This Row],[PDF_initial fee]]</f>
        <v>1</v>
      </c>
      <c r="T2782" s="89"/>
      <c r="U2782" s="26"/>
    </row>
    <row r="2783" spans="1:30" x14ac:dyDescent="0.25">
      <c r="A2783">
        <v>122287</v>
      </c>
      <c r="B2783" t="s">
        <v>25</v>
      </c>
      <c r="C2783" t="s">
        <v>30413</v>
      </c>
      <c r="D2783">
        <v>217</v>
      </c>
      <c r="E2783" t="s">
        <v>25</v>
      </c>
      <c r="F2783" t="s">
        <v>6</v>
      </c>
      <c r="G2783" s="3">
        <v>5.4999999999999997E-3</v>
      </c>
      <c r="H2783" s="3">
        <v>0.03</v>
      </c>
      <c r="I2783" s="3">
        <v>0</v>
      </c>
      <c r="J2783" s="6"/>
      <c r="K2783" s="6">
        <v>0</v>
      </c>
      <c r="L2783" s="3">
        <f t="shared" si="128"/>
        <v>0.03</v>
      </c>
      <c r="M2783" s="3"/>
      <c r="N2783" s="3">
        <f t="shared" si="129"/>
        <v>3.5499999999999997E-2</v>
      </c>
      <c r="O2783" t="s">
        <v>30414</v>
      </c>
      <c r="P2783" s="1" t="s">
        <v>30406</v>
      </c>
      <c r="Q2783" s="1" t="s">
        <v>30406</v>
      </c>
      <c r="R2783" s="89">
        <v>0.312</v>
      </c>
      <c r="S2783" s="89">
        <f>100%-Table34[[#This Row],[InitialFee]]</f>
        <v>0.97</v>
      </c>
      <c r="T2783" s="89">
        <f>(1-Table34[[#This Row],[OngoingFee (plus Platform fee)]])^5</f>
        <v>1</v>
      </c>
      <c r="U2783" s="26">
        <f>(1+Table34[[#This Row],[Net 5yrs return (mostly up to 28th of Feb 2026)]])*Table34[[#This Row],[Investment after initial charge]]*Table34[[#This Row],[Cummulative 5yrs ongoing advice charge]]-1</f>
        <v>0.27263999999999999</v>
      </c>
      <c r="V2783" s="10">
        <v>62860000000</v>
      </c>
      <c r="W2783" s="10" t="s">
        <v>29081</v>
      </c>
      <c r="X2783" s="10">
        <v>1497000000</v>
      </c>
      <c r="Y2783" s="30">
        <f>X2783/V2783</f>
        <v>2.3814826598790965E-2</v>
      </c>
      <c r="Z2783" s="10"/>
      <c r="AA2783" s="1" t="s">
        <v>30415</v>
      </c>
      <c r="AD2783" s="1" t="s">
        <v>30409</v>
      </c>
    </row>
    <row r="2784" spans="1:30" hidden="1" x14ac:dyDescent="0.25">
      <c r="A2784">
        <v>552440</v>
      </c>
      <c r="B2784" t="s">
        <v>3144</v>
      </c>
      <c r="C2784" t="s">
        <v>10313</v>
      </c>
      <c r="D2784">
        <v>1</v>
      </c>
      <c r="E2784" t="s">
        <v>3144</v>
      </c>
      <c r="G2784" s="3"/>
      <c r="H2784" s="21">
        <v>0</v>
      </c>
      <c r="I2784" s="21">
        <v>0</v>
      </c>
      <c r="J2784" s="21">
        <v>0</v>
      </c>
      <c r="K2784" s="21">
        <v>0</v>
      </c>
      <c r="L2784" s="3">
        <f t="shared" si="128"/>
        <v>0</v>
      </c>
      <c r="M2784" s="3"/>
      <c r="N2784" s="3">
        <f t="shared" si="129"/>
        <v>0</v>
      </c>
      <c r="R2784" s="89"/>
      <c r="S2784" s="89">
        <f>100%-Table34[[#This Row],[PDF_initial fee]]</f>
        <v>1</v>
      </c>
      <c r="T2784" s="89"/>
      <c r="U2784" s="26"/>
    </row>
    <row r="2785" spans="1:21" hidden="1" x14ac:dyDescent="0.25">
      <c r="A2785">
        <v>552510</v>
      </c>
      <c r="B2785" t="s">
        <v>3145</v>
      </c>
      <c r="C2785" t="s">
        <v>11725</v>
      </c>
      <c r="D2785">
        <v>1</v>
      </c>
      <c r="E2785" t="s">
        <v>3145</v>
      </c>
      <c r="F2785" t="s">
        <v>3</v>
      </c>
      <c r="G2785" s="3">
        <v>0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3"/>
      <c r="N2785" s="3">
        <v>0</v>
      </c>
      <c r="R2785" s="89"/>
      <c r="S2785" s="89">
        <f>100%-Table34[[#This Row],[PDF_initial fee]]</f>
        <v>1</v>
      </c>
      <c r="T2785" s="89"/>
      <c r="U2785" s="26"/>
    </row>
    <row r="2786" spans="1:21" hidden="1" x14ac:dyDescent="0.25">
      <c r="A2786">
        <v>552583</v>
      </c>
      <c r="B2786" t="s">
        <v>3146</v>
      </c>
      <c r="C2786" t="s">
        <v>8668</v>
      </c>
      <c r="D2786">
        <v>3</v>
      </c>
      <c r="E2786" t="s">
        <v>3146</v>
      </c>
      <c r="G2786" s="3"/>
      <c r="H2786" s="21">
        <v>0</v>
      </c>
      <c r="I2786" s="21">
        <v>0</v>
      </c>
      <c r="J2786" s="21">
        <v>0</v>
      </c>
      <c r="K2786" s="21">
        <v>0</v>
      </c>
      <c r="L2786" s="3">
        <f t="shared" ref="L2786:L2849" si="130">SUM(H2786:K2786)</f>
        <v>0</v>
      </c>
      <c r="M2786" s="3"/>
      <c r="N2786" s="3">
        <f t="shared" ref="N2786:N2849" si="131">L2786+G2786</f>
        <v>0</v>
      </c>
      <c r="R2786" s="89"/>
      <c r="S2786" s="89">
        <f>100%-Table34[[#This Row],[PDF_initial fee]]</f>
        <v>1</v>
      </c>
      <c r="T2786" s="89"/>
      <c r="U2786" s="26"/>
    </row>
    <row r="2787" spans="1:21" hidden="1" x14ac:dyDescent="0.25">
      <c r="A2787">
        <v>552630</v>
      </c>
      <c r="B2787" t="s">
        <v>3147</v>
      </c>
      <c r="C2787" t="s">
        <v>10750</v>
      </c>
      <c r="D2787">
        <v>2</v>
      </c>
      <c r="E2787" t="s">
        <v>3147</v>
      </c>
      <c r="G2787" s="3"/>
      <c r="H2787" s="21">
        <v>0</v>
      </c>
      <c r="I2787" s="21">
        <v>0</v>
      </c>
      <c r="J2787" s="21">
        <v>0</v>
      </c>
      <c r="K2787" s="21">
        <v>0</v>
      </c>
      <c r="L2787" s="3">
        <f t="shared" si="130"/>
        <v>0</v>
      </c>
      <c r="M2787" s="3"/>
      <c r="N2787" s="3">
        <f t="shared" si="131"/>
        <v>0</v>
      </c>
      <c r="R2787" s="89"/>
      <c r="S2787" s="89">
        <f>100%-Table34[[#This Row],[PDF_initial fee]]</f>
        <v>1</v>
      </c>
      <c r="T2787" s="89"/>
      <c r="U2787" s="26"/>
    </row>
    <row r="2788" spans="1:21" hidden="1" x14ac:dyDescent="0.25">
      <c r="A2788">
        <v>552875</v>
      </c>
      <c r="B2788" t="s">
        <v>3148</v>
      </c>
      <c r="C2788" t="s">
        <v>9383</v>
      </c>
      <c r="D2788">
        <v>3</v>
      </c>
      <c r="E2788" t="s">
        <v>3148</v>
      </c>
      <c r="G2788" s="3"/>
      <c r="H2788" s="21">
        <v>0</v>
      </c>
      <c r="I2788" s="21">
        <v>0</v>
      </c>
      <c r="J2788" s="21">
        <v>0</v>
      </c>
      <c r="K2788" s="21">
        <v>0</v>
      </c>
      <c r="L2788" s="3">
        <f t="shared" si="130"/>
        <v>0</v>
      </c>
      <c r="M2788" s="3"/>
      <c r="N2788" s="3">
        <f t="shared" si="131"/>
        <v>0</v>
      </c>
      <c r="R2788" s="89"/>
      <c r="S2788" s="89">
        <f>100%-Table34[[#This Row],[PDF_initial fee]]</f>
        <v>1</v>
      </c>
      <c r="T2788" s="89"/>
      <c r="U2788" s="26"/>
    </row>
    <row r="2789" spans="1:21" hidden="1" x14ac:dyDescent="0.25">
      <c r="A2789">
        <v>552894</v>
      </c>
      <c r="B2789" t="s">
        <v>3149</v>
      </c>
      <c r="C2789" t="s">
        <v>6958</v>
      </c>
      <c r="D2789">
        <v>0</v>
      </c>
      <c r="E2789" t="s">
        <v>3149</v>
      </c>
      <c r="F2789" t="s">
        <v>6958</v>
      </c>
      <c r="G2789" s="3"/>
      <c r="H2789" s="21">
        <v>0</v>
      </c>
      <c r="I2789" s="21">
        <v>0</v>
      </c>
      <c r="J2789" s="21">
        <v>0</v>
      </c>
      <c r="K2789" s="21">
        <v>0</v>
      </c>
      <c r="L2789" s="3">
        <f t="shared" si="130"/>
        <v>0</v>
      </c>
      <c r="M2789" s="3"/>
      <c r="N2789" s="3">
        <f t="shared" si="131"/>
        <v>0</v>
      </c>
      <c r="O2789" s="21"/>
      <c r="R2789" s="89"/>
      <c r="S2789" s="89">
        <f>100%-Table34[[#This Row],[PDF_initial fee]]</f>
        <v>1</v>
      </c>
      <c r="T2789" s="89"/>
      <c r="U2789" s="26"/>
    </row>
    <row r="2790" spans="1:21" hidden="1" x14ac:dyDescent="0.25">
      <c r="A2790">
        <v>552922</v>
      </c>
      <c r="B2790" t="s">
        <v>3150</v>
      </c>
      <c r="C2790" t="s">
        <v>30416</v>
      </c>
      <c r="D2790">
        <v>5</v>
      </c>
      <c r="E2790" t="s">
        <v>3150</v>
      </c>
      <c r="G2790" s="3"/>
      <c r="H2790" s="3">
        <v>0</v>
      </c>
      <c r="I2790" s="3">
        <v>0</v>
      </c>
      <c r="J2790" s="3">
        <v>0</v>
      </c>
      <c r="K2790" s="3">
        <v>0</v>
      </c>
      <c r="L2790" s="3">
        <f t="shared" si="130"/>
        <v>0</v>
      </c>
      <c r="M2790" s="3"/>
      <c r="N2790" s="3">
        <f t="shared" si="131"/>
        <v>0</v>
      </c>
      <c r="R2790" s="89"/>
      <c r="S2790" s="89">
        <f>100%-Table34[[#This Row],[PDF_initial fee]]</f>
        <v>1</v>
      </c>
      <c r="T2790" s="89"/>
      <c r="U2790" s="26"/>
    </row>
    <row r="2791" spans="1:21" hidden="1" x14ac:dyDescent="0.25">
      <c r="A2791">
        <v>552925</v>
      </c>
      <c r="B2791" t="s">
        <v>3151</v>
      </c>
      <c r="C2791" t="s">
        <v>7140</v>
      </c>
      <c r="D2791">
        <v>6</v>
      </c>
      <c r="E2791" t="s">
        <v>3151</v>
      </c>
      <c r="G2791" s="3"/>
      <c r="H2791" s="21">
        <v>0</v>
      </c>
      <c r="I2791" s="21">
        <v>0</v>
      </c>
      <c r="J2791" s="21">
        <v>0</v>
      </c>
      <c r="K2791" s="21">
        <v>0</v>
      </c>
      <c r="L2791" s="3">
        <f t="shared" si="130"/>
        <v>0</v>
      </c>
      <c r="M2791" s="3"/>
      <c r="N2791" s="3">
        <f t="shared" si="131"/>
        <v>0</v>
      </c>
      <c r="R2791" s="89"/>
      <c r="S2791" s="89">
        <f>100%-Table34[[#This Row],[PDF_initial fee]]</f>
        <v>1</v>
      </c>
      <c r="T2791" s="89"/>
      <c r="U2791" s="26"/>
    </row>
    <row r="2792" spans="1:21" hidden="1" x14ac:dyDescent="0.25">
      <c r="A2792">
        <v>552957</v>
      </c>
      <c r="B2792" t="s">
        <v>3152</v>
      </c>
      <c r="C2792" t="s">
        <v>30417</v>
      </c>
      <c r="D2792">
        <v>1</v>
      </c>
      <c r="E2792" t="s">
        <v>3152</v>
      </c>
      <c r="G2792" s="3"/>
      <c r="H2792" s="21">
        <v>0</v>
      </c>
      <c r="I2792" s="21">
        <v>0</v>
      </c>
      <c r="J2792" s="21">
        <v>0</v>
      </c>
      <c r="K2792" s="21">
        <v>0</v>
      </c>
      <c r="L2792" s="3">
        <f t="shared" si="130"/>
        <v>0</v>
      </c>
      <c r="M2792" s="3"/>
      <c r="N2792" s="3">
        <f t="shared" si="131"/>
        <v>0</v>
      </c>
      <c r="O2792" s="21"/>
      <c r="R2792" s="89"/>
      <c r="S2792" s="89">
        <f>100%-Table34[[#This Row],[PDF_initial fee]]</f>
        <v>1</v>
      </c>
      <c r="T2792" s="89"/>
      <c r="U2792" s="26"/>
    </row>
    <row r="2793" spans="1:21" hidden="1" x14ac:dyDescent="0.25">
      <c r="A2793">
        <v>553200</v>
      </c>
      <c r="B2793" t="s">
        <v>3153</v>
      </c>
      <c r="C2793" t="s">
        <v>7617</v>
      </c>
      <c r="D2793">
        <v>4</v>
      </c>
      <c r="E2793" t="s">
        <v>3153</v>
      </c>
      <c r="G2793" s="3"/>
      <c r="H2793" s="21">
        <v>0</v>
      </c>
      <c r="I2793" s="21">
        <v>0</v>
      </c>
      <c r="J2793" s="21">
        <v>0</v>
      </c>
      <c r="K2793" s="21">
        <v>0</v>
      </c>
      <c r="L2793" s="3">
        <f t="shared" si="130"/>
        <v>0</v>
      </c>
      <c r="M2793" s="3"/>
      <c r="N2793" s="3">
        <f t="shared" si="131"/>
        <v>0</v>
      </c>
      <c r="R2793" s="89"/>
      <c r="S2793" s="89">
        <f>100%-Table34[[#This Row],[PDF_initial fee]]</f>
        <v>1</v>
      </c>
      <c r="T2793" s="89"/>
      <c r="U2793" s="26"/>
    </row>
    <row r="2794" spans="1:21" hidden="1" x14ac:dyDescent="0.25">
      <c r="A2794">
        <v>553307</v>
      </c>
      <c r="B2794" t="s">
        <v>3154</v>
      </c>
      <c r="C2794" t="s">
        <v>9501</v>
      </c>
      <c r="D2794">
        <v>3</v>
      </c>
      <c r="E2794" t="s">
        <v>3154</v>
      </c>
      <c r="G2794" s="3"/>
      <c r="H2794" s="21">
        <v>0</v>
      </c>
      <c r="I2794" s="21">
        <v>0</v>
      </c>
      <c r="J2794" s="21">
        <v>0</v>
      </c>
      <c r="K2794" s="21">
        <v>0</v>
      </c>
      <c r="L2794" s="3">
        <f t="shared" si="130"/>
        <v>0</v>
      </c>
      <c r="M2794" s="3"/>
      <c r="N2794" s="3">
        <f t="shared" si="131"/>
        <v>0</v>
      </c>
      <c r="R2794" s="89"/>
      <c r="S2794" s="89">
        <f>100%-Table34[[#This Row],[PDF_initial fee]]</f>
        <v>1</v>
      </c>
      <c r="T2794" s="89"/>
      <c r="U2794" s="26"/>
    </row>
    <row r="2795" spans="1:21" hidden="1" x14ac:dyDescent="0.25">
      <c r="A2795">
        <v>553377</v>
      </c>
      <c r="B2795" t="s">
        <v>3155</v>
      </c>
      <c r="C2795" t="s">
        <v>30418</v>
      </c>
      <c r="D2795">
        <v>1</v>
      </c>
      <c r="E2795" t="s">
        <v>3155</v>
      </c>
      <c r="G2795" s="3"/>
      <c r="L2795" s="3">
        <f t="shared" si="130"/>
        <v>0</v>
      </c>
      <c r="M2795" s="3"/>
      <c r="N2795" s="3">
        <f t="shared" si="131"/>
        <v>0</v>
      </c>
      <c r="R2795" s="89"/>
      <c r="S2795" s="89">
        <f>100%-Table34[[#This Row],[PDF_initial fee]]</f>
        <v>1</v>
      </c>
      <c r="T2795" s="89"/>
      <c r="U2795" s="26"/>
    </row>
    <row r="2796" spans="1:21" hidden="1" x14ac:dyDescent="0.25">
      <c r="A2796">
        <v>553610</v>
      </c>
      <c r="B2796" t="s">
        <v>3156</v>
      </c>
      <c r="C2796" t="s">
        <v>11316</v>
      </c>
      <c r="D2796">
        <v>2</v>
      </c>
      <c r="E2796" t="s">
        <v>3156</v>
      </c>
      <c r="G2796" s="3"/>
      <c r="L2796" s="3">
        <f t="shared" si="130"/>
        <v>0</v>
      </c>
      <c r="M2796" s="3"/>
      <c r="N2796" s="3">
        <f t="shared" si="131"/>
        <v>0</v>
      </c>
      <c r="R2796" s="89"/>
      <c r="S2796" s="89">
        <f>100%-Table34[[#This Row],[PDF_initial fee]]</f>
        <v>1</v>
      </c>
      <c r="T2796" s="89"/>
      <c r="U2796" s="26"/>
    </row>
    <row r="2797" spans="1:21" hidden="1" x14ac:dyDescent="0.25">
      <c r="A2797">
        <v>553929</v>
      </c>
      <c r="B2797" t="s">
        <v>3157</v>
      </c>
      <c r="C2797" t="s">
        <v>7478</v>
      </c>
      <c r="D2797">
        <v>1</v>
      </c>
      <c r="E2797" t="s">
        <v>3157</v>
      </c>
      <c r="G2797" s="3"/>
      <c r="H2797" s="21">
        <v>0</v>
      </c>
      <c r="I2797" s="21">
        <v>0</v>
      </c>
      <c r="J2797" s="21">
        <v>0</v>
      </c>
      <c r="K2797" s="21">
        <v>0</v>
      </c>
      <c r="L2797" s="3">
        <f t="shared" si="130"/>
        <v>0</v>
      </c>
      <c r="M2797" s="3"/>
      <c r="N2797" s="3">
        <f t="shared" si="131"/>
        <v>0</v>
      </c>
      <c r="R2797" s="89"/>
      <c r="S2797" s="89">
        <f>100%-Table34[[#This Row],[PDF_initial fee]]</f>
        <v>1</v>
      </c>
      <c r="T2797" s="89"/>
      <c r="U2797" s="26"/>
    </row>
    <row r="2798" spans="1:21" hidden="1" x14ac:dyDescent="0.25">
      <c r="A2798">
        <v>554090</v>
      </c>
      <c r="B2798" t="s">
        <v>3159</v>
      </c>
      <c r="C2798" t="s">
        <v>30419</v>
      </c>
      <c r="D2798">
        <v>9</v>
      </c>
      <c r="E2798" t="s">
        <v>3159</v>
      </c>
      <c r="G2798" s="3"/>
      <c r="H2798" s="3">
        <v>0</v>
      </c>
      <c r="I2798" s="3">
        <v>0</v>
      </c>
      <c r="J2798" s="3">
        <v>0</v>
      </c>
      <c r="K2798" s="3">
        <v>0</v>
      </c>
      <c r="L2798" s="3">
        <f t="shared" si="130"/>
        <v>0</v>
      </c>
      <c r="M2798" s="3"/>
      <c r="N2798" s="3">
        <f t="shared" si="131"/>
        <v>0</v>
      </c>
      <c r="R2798" s="89"/>
      <c r="S2798" s="89">
        <f>100%-Table34[[#This Row],[PDF_initial fee]]</f>
        <v>1</v>
      </c>
      <c r="T2798" s="89"/>
      <c r="U2798" s="26"/>
    </row>
    <row r="2799" spans="1:21" hidden="1" x14ac:dyDescent="0.25">
      <c r="A2799">
        <v>554442</v>
      </c>
      <c r="B2799" t="s">
        <v>3161</v>
      </c>
      <c r="C2799" t="s">
        <v>6958</v>
      </c>
      <c r="D2799">
        <v>1</v>
      </c>
      <c r="E2799" t="s">
        <v>3161</v>
      </c>
      <c r="F2799" t="s">
        <v>6958</v>
      </c>
      <c r="G2799" s="3"/>
      <c r="H2799" s="21">
        <v>0</v>
      </c>
      <c r="I2799" s="21">
        <v>0</v>
      </c>
      <c r="J2799" s="21">
        <v>0</v>
      </c>
      <c r="K2799" s="21">
        <v>0</v>
      </c>
      <c r="L2799" s="3">
        <f t="shared" si="130"/>
        <v>0</v>
      </c>
      <c r="M2799" s="3"/>
      <c r="N2799" s="3">
        <f t="shared" si="131"/>
        <v>0</v>
      </c>
      <c r="R2799" s="89"/>
      <c r="S2799" s="89">
        <f>100%-Table34[[#This Row],[PDF_initial fee]]</f>
        <v>1</v>
      </c>
      <c r="T2799" s="89"/>
      <c r="U2799" s="26"/>
    </row>
    <row r="2800" spans="1:21" hidden="1" x14ac:dyDescent="0.25">
      <c r="A2800">
        <v>554450</v>
      </c>
      <c r="B2800" t="s">
        <v>3162</v>
      </c>
      <c r="C2800" t="s">
        <v>30420</v>
      </c>
      <c r="D2800">
        <v>1</v>
      </c>
      <c r="E2800" t="s">
        <v>3162</v>
      </c>
      <c r="G2800" s="3"/>
      <c r="H2800" s="3">
        <v>0</v>
      </c>
      <c r="I2800" s="3">
        <v>0</v>
      </c>
      <c r="J2800" s="3">
        <v>0</v>
      </c>
      <c r="K2800" s="3">
        <v>0</v>
      </c>
      <c r="L2800" s="3">
        <f t="shared" si="130"/>
        <v>0</v>
      </c>
      <c r="M2800" s="3"/>
      <c r="N2800" s="3">
        <f t="shared" si="131"/>
        <v>0</v>
      </c>
      <c r="R2800" s="89"/>
      <c r="S2800" s="89">
        <f>100%-Table34[[#This Row],[PDF_initial fee]]</f>
        <v>1</v>
      </c>
      <c r="T2800" s="89"/>
      <c r="U2800" s="26"/>
    </row>
    <row r="2801" spans="1:30" hidden="1" x14ac:dyDescent="0.25">
      <c r="A2801">
        <v>554459</v>
      </c>
      <c r="B2801" t="s">
        <v>3163</v>
      </c>
      <c r="C2801" t="s">
        <v>30421</v>
      </c>
      <c r="D2801">
        <v>0</v>
      </c>
      <c r="E2801" t="s">
        <v>3163</v>
      </c>
      <c r="F2801" t="s">
        <v>3</v>
      </c>
      <c r="G2801" s="3"/>
      <c r="H2801" s="3">
        <v>0</v>
      </c>
      <c r="I2801" s="3">
        <v>0</v>
      </c>
      <c r="J2801" s="3">
        <v>0</v>
      </c>
      <c r="K2801" s="3">
        <v>0</v>
      </c>
      <c r="L2801" s="3">
        <f t="shared" si="130"/>
        <v>0</v>
      </c>
      <c r="M2801" s="3"/>
      <c r="N2801" s="3">
        <f t="shared" si="131"/>
        <v>0</v>
      </c>
      <c r="R2801" s="89"/>
      <c r="S2801" s="89">
        <f>100%-Table34[[#This Row],[PDF_initial fee]]</f>
        <v>1</v>
      </c>
      <c r="T2801" s="89"/>
      <c r="U2801" s="26"/>
    </row>
    <row r="2802" spans="1:30" hidden="1" x14ac:dyDescent="0.25">
      <c r="A2802">
        <v>554912</v>
      </c>
      <c r="B2802" t="s">
        <v>3164</v>
      </c>
      <c r="C2802" t="s">
        <v>8809</v>
      </c>
      <c r="D2802">
        <v>1</v>
      </c>
      <c r="E2802" t="s">
        <v>3164</v>
      </c>
      <c r="G2802" s="3"/>
      <c r="H2802" s="21">
        <v>0</v>
      </c>
      <c r="I2802" s="21">
        <v>0</v>
      </c>
      <c r="J2802" s="21">
        <v>0</v>
      </c>
      <c r="K2802" s="21">
        <v>0</v>
      </c>
      <c r="L2802" s="3">
        <f t="shared" si="130"/>
        <v>0</v>
      </c>
      <c r="M2802" s="3"/>
      <c r="N2802" s="3">
        <f t="shared" si="131"/>
        <v>0</v>
      </c>
      <c r="R2802" s="89"/>
      <c r="S2802" s="89">
        <f>100%-Table34[[#This Row],[PDF_initial fee]]</f>
        <v>1</v>
      </c>
      <c r="T2802" s="89"/>
      <c r="U2802" s="26"/>
    </row>
    <row r="2803" spans="1:30" x14ac:dyDescent="0.25">
      <c r="A2803">
        <v>114724</v>
      </c>
      <c r="B2803" t="s">
        <v>10</v>
      </c>
      <c r="C2803" s="1" t="s">
        <v>12180</v>
      </c>
      <c r="D2803">
        <v>78</v>
      </c>
      <c r="E2803" t="s">
        <v>10</v>
      </c>
      <c r="F2803" t="s">
        <v>6</v>
      </c>
      <c r="G2803" s="3">
        <f>0.4%+0.15%</f>
        <v>5.4999999999999997E-3</v>
      </c>
      <c r="H2803" s="3">
        <v>0.03</v>
      </c>
      <c r="I2803" s="3">
        <v>0</v>
      </c>
      <c r="J2803" s="6"/>
      <c r="K2803" s="6">
        <v>0</v>
      </c>
      <c r="L2803" s="3">
        <f t="shared" si="130"/>
        <v>0.03</v>
      </c>
      <c r="M2803" s="3"/>
      <c r="N2803" s="3">
        <f t="shared" si="131"/>
        <v>3.5499999999999997E-2</v>
      </c>
      <c r="O2803" t="s">
        <v>30422</v>
      </c>
      <c r="P2803" s="1" t="s">
        <v>30423</v>
      </c>
      <c r="Q2803" s="1" t="s">
        <v>30406</v>
      </c>
      <c r="R2803" s="89">
        <v>0.312</v>
      </c>
      <c r="S2803" s="89">
        <f>100%-Table34[[#This Row],[InitialFee]]</f>
        <v>0.97</v>
      </c>
      <c r="T2803" s="89">
        <f>(1-Table34[[#This Row],[OngoingFee (plus Platform fee)]])^5</f>
        <v>1</v>
      </c>
      <c r="U2803" s="26">
        <f>(1+Table34[[#This Row],[Net 5yrs return (mostly up to 28th of Feb 2026)]])*Table34[[#This Row],[Investment after initial charge]]*Table34[[#This Row],[Cummulative 5yrs ongoing advice charge]]-1</f>
        <v>0.27263999999999999</v>
      </c>
      <c r="V2803" s="10">
        <v>90476000000</v>
      </c>
      <c r="W2803" s="10" t="s">
        <v>29081</v>
      </c>
      <c r="X2803" s="10">
        <v>3249000000</v>
      </c>
      <c r="Y2803" s="30">
        <f>X2803/V2803</f>
        <v>3.5910075600159158E-2</v>
      </c>
      <c r="Z2803" s="10"/>
      <c r="AA2803" s="1" t="s">
        <v>30424</v>
      </c>
      <c r="AD2803" t="s">
        <v>30406</v>
      </c>
    </row>
    <row r="2804" spans="1:30" hidden="1" x14ac:dyDescent="0.25">
      <c r="A2804">
        <v>555567</v>
      </c>
      <c r="B2804" t="s">
        <v>3165</v>
      </c>
      <c r="C2804" t="s">
        <v>12543</v>
      </c>
      <c r="D2804">
        <v>1</v>
      </c>
      <c r="E2804" t="s">
        <v>3165</v>
      </c>
      <c r="G2804" s="3"/>
      <c r="H2804" s="21">
        <v>0</v>
      </c>
      <c r="I2804" s="21">
        <v>0</v>
      </c>
      <c r="J2804" s="21">
        <v>0</v>
      </c>
      <c r="K2804" s="21">
        <v>0</v>
      </c>
      <c r="L2804" s="3">
        <f t="shared" si="130"/>
        <v>0</v>
      </c>
      <c r="M2804" s="3"/>
      <c r="N2804" s="3">
        <f t="shared" si="131"/>
        <v>0</v>
      </c>
      <c r="R2804" s="89"/>
      <c r="S2804" s="89">
        <f>100%-Table34[[#This Row],[PDF_initial fee]]</f>
        <v>1</v>
      </c>
      <c r="T2804" s="89"/>
      <c r="U2804" s="26"/>
    </row>
    <row r="2805" spans="1:30" hidden="1" x14ac:dyDescent="0.25">
      <c r="A2805">
        <v>555895</v>
      </c>
      <c r="B2805" t="s">
        <v>3166</v>
      </c>
      <c r="C2805" s="1" t="s">
        <v>30425</v>
      </c>
      <c r="D2805">
        <v>0</v>
      </c>
      <c r="E2805" t="s">
        <v>3166</v>
      </c>
      <c r="F2805" t="s">
        <v>29136</v>
      </c>
      <c r="G2805" s="3"/>
      <c r="H2805" s="3">
        <v>0</v>
      </c>
      <c r="I2805" s="3">
        <v>0</v>
      </c>
      <c r="J2805" s="3">
        <v>0</v>
      </c>
      <c r="K2805" s="3">
        <v>0</v>
      </c>
      <c r="L2805" s="3">
        <f t="shared" si="130"/>
        <v>0</v>
      </c>
      <c r="M2805" s="3"/>
      <c r="N2805" s="3">
        <f t="shared" si="131"/>
        <v>0</v>
      </c>
      <c r="R2805" s="89"/>
      <c r="S2805" s="89">
        <f>100%-Table34[[#This Row],[PDF_initial fee]]</f>
        <v>1</v>
      </c>
      <c r="T2805" s="89"/>
      <c r="U2805" s="26"/>
    </row>
    <row r="2806" spans="1:30" hidden="1" x14ac:dyDescent="0.25">
      <c r="A2806">
        <v>555911</v>
      </c>
      <c r="B2806" t="s">
        <v>3167</v>
      </c>
      <c r="C2806" t="s">
        <v>9270</v>
      </c>
      <c r="D2806">
        <v>8</v>
      </c>
      <c r="E2806" t="s">
        <v>3167</v>
      </c>
      <c r="G2806" s="3"/>
      <c r="H2806" s="21">
        <v>0</v>
      </c>
      <c r="I2806" s="21">
        <v>0</v>
      </c>
      <c r="J2806" s="21">
        <v>0</v>
      </c>
      <c r="K2806" s="21">
        <v>0</v>
      </c>
      <c r="L2806" s="3">
        <f t="shared" si="130"/>
        <v>0</v>
      </c>
      <c r="M2806" s="3"/>
      <c r="N2806" s="3">
        <f t="shared" si="131"/>
        <v>0</v>
      </c>
      <c r="R2806" s="89"/>
      <c r="S2806" s="89">
        <f>100%-Table34[[#This Row],[PDF_initial fee]]</f>
        <v>1</v>
      </c>
      <c r="T2806" s="89"/>
      <c r="U2806" s="26"/>
    </row>
    <row r="2807" spans="1:30" hidden="1" x14ac:dyDescent="0.25">
      <c r="A2807">
        <v>556365</v>
      </c>
      <c r="B2807" t="s">
        <v>3168</v>
      </c>
      <c r="C2807" t="s">
        <v>6958</v>
      </c>
      <c r="D2807">
        <v>1</v>
      </c>
      <c r="E2807" t="s">
        <v>3168</v>
      </c>
      <c r="F2807" t="s">
        <v>6958</v>
      </c>
      <c r="G2807" s="3"/>
      <c r="H2807" s="21">
        <v>0</v>
      </c>
      <c r="I2807" s="21">
        <v>0</v>
      </c>
      <c r="J2807" s="21">
        <v>0</v>
      </c>
      <c r="K2807" s="21">
        <v>0</v>
      </c>
      <c r="L2807" s="3">
        <f t="shared" si="130"/>
        <v>0</v>
      </c>
      <c r="M2807" s="3"/>
      <c r="N2807" s="3">
        <f t="shared" si="131"/>
        <v>0</v>
      </c>
      <c r="R2807" s="89"/>
      <c r="S2807" s="89">
        <f>100%-Table34[[#This Row],[PDF_initial fee]]</f>
        <v>1</v>
      </c>
      <c r="T2807" s="89"/>
      <c r="U2807" s="26"/>
    </row>
    <row r="2808" spans="1:30" hidden="1" x14ac:dyDescent="0.25">
      <c r="A2808">
        <v>556371</v>
      </c>
      <c r="B2808" t="s">
        <v>3169</v>
      </c>
      <c r="C2808" t="s">
        <v>30426</v>
      </c>
      <c r="D2808">
        <v>1</v>
      </c>
      <c r="E2808" t="s">
        <v>3169</v>
      </c>
      <c r="G2808" s="3"/>
      <c r="H2808" s="21">
        <v>0</v>
      </c>
      <c r="I2808" s="21">
        <v>0</v>
      </c>
      <c r="J2808" s="21">
        <v>0</v>
      </c>
      <c r="K2808" s="21">
        <v>0</v>
      </c>
      <c r="L2808" s="3">
        <f t="shared" si="130"/>
        <v>0</v>
      </c>
      <c r="M2808" s="3"/>
      <c r="N2808" s="3">
        <f t="shared" si="131"/>
        <v>0</v>
      </c>
      <c r="O2808" s="21"/>
      <c r="R2808" s="89"/>
      <c r="S2808" s="89">
        <f>100%-Table34[[#This Row],[PDF_initial fee]]</f>
        <v>1</v>
      </c>
      <c r="T2808" s="89"/>
      <c r="U2808" s="26"/>
    </row>
    <row r="2809" spans="1:30" hidden="1" x14ac:dyDescent="0.25">
      <c r="A2809">
        <v>556964</v>
      </c>
      <c r="B2809" t="s">
        <v>3170</v>
      </c>
      <c r="C2809" t="s">
        <v>9638</v>
      </c>
      <c r="D2809">
        <v>1</v>
      </c>
      <c r="E2809" t="s">
        <v>3170</v>
      </c>
      <c r="G2809" s="3"/>
      <c r="H2809" s="21">
        <v>0</v>
      </c>
      <c r="I2809" s="21">
        <v>0</v>
      </c>
      <c r="J2809" s="21">
        <v>0</v>
      </c>
      <c r="K2809" s="21">
        <v>0</v>
      </c>
      <c r="L2809" s="3">
        <f t="shared" si="130"/>
        <v>0</v>
      </c>
      <c r="M2809" s="3"/>
      <c r="N2809" s="3">
        <f t="shared" si="131"/>
        <v>0</v>
      </c>
      <c r="R2809" s="89"/>
      <c r="S2809" s="89">
        <f>100%-Table34[[#This Row],[PDF_initial fee]]</f>
        <v>1</v>
      </c>
      <c r="T2809" s="89"/>
      <c r="U2809" s="26"/>
    </row>
    <row r="2810" spans="1:30" hidden="1" x14ac:dyDescent="0.25">
      <c r="A2810">
        <v>557959</v>
      </c>
      <c r="B2810" t="s">
        <v>3171</v>
      </c>
      <c r="C2810" t="s">
        <v>6956</v>
      </c>
      <c r="D2810">
        <v>3</v>
      </c>
      <c r="E2810" t="s">
        <v>3171</v>
      </c>
      <c r="G2810" s="3"/>
      <c r="H2810" s="39"/>
      <c r="I2810" s="39"/>
      <c r="J2810" s="39"/>
      <c r="K2810" s="39"/>
      <c r="L2810" s="3">
        <f t="shared" si="130"/>
        <v>0</v>
      </c>
      <c r="M2810" s="3"/>
      <c r="N2810" s="3">
        <f t="shared" si="131"/>
        <v>0</v>
      </c>
      <c r="R2810" s="89"/>
      <c r="S2810" s="89">
        <f>100%-Table34[[#This Row],[PDF_initial fee]]</f>
        <v>1</v>
      </c>
      <c r="T2810" s="89"/>
      <c r="U2810" s="26"/>
    </row>
    <row r="2811" spans="1:30" hidden="1" x14ac:dyDescent="0.25">
      <c r="A2811">
        <v>559364</v>
      </c>
      <c r="B2811" t="s">
        <v>3172</v>
      </c>
      <c r="C2811" t="s">
        <v>6958</v>
      </c>
      <c r="D2811">
        <v>1</v>
      </c>
      <c r="E2811" t="s">
        <v>3172</v>
      </c>
      <c r="F2811" t="s">
        <v>6958</v>
      </c>
      <c r="G2811" s="3"/>
      <c r="H2811" s="21">
        <v>0</v>
      </c>
      <c r="I2811" s="21">
        <v>0</v>
      </c>
      <c r="J2811" s="21">
        <v>0</v>
      </c>
      <c r="K2811" s="21">
        <v>0</v>
      </c>
      <c r="L2811" s="3">
        <f t="shared" si="130"/>
        <v>0</v>
      </c>
      <c r="M2811" s="3"/>
      <c r="N2811" s="3">
        <f t="shared" si="131"/>
        <v>0</v>
      </c>
      <c r="R2811" s="89"/>
      <c r="S2811" s="89">
        <f>100%-Table34[[#This Row],[PDF_initial fee]]</f>
        <v>1</v>
      </c>
      <c r="T2811" s="89"/>
      <c r="U2811" s="26"/>
    </row>
    <row r="2812" spans="1:30" hidden="1" x14ac:dyDescent="0.25">
      <c r="A2812">
        <v>559393</v>
      </c>
      <c r="B2812" t="s">
        <v>3173</v>
      </c>
      <c r="C2812" t="s">
        <v>6958</v>
      </c>
      <c r="D2812">
        <v>1</v>
      </c>
      <c r="E2812" t="s">
        <v>3173</v>
      </c>
      <c r="F2812" t="s">
        <v>6958</v>
      </c>
      <c r="G2812" s="3"/>
      <c r="H2812" s="21">
        <v>0</v>
      </c>
      <c r="I2812" s="21">
        <v>0</v>
      </c>
      <c r="J2812" s="21">
        <v>0</v>
      </c>
      <c r="K2812" s="21">
        <v>0</v>
      </c>
      <c r="L2812" s="3">
        <f t="shared" si="130"/>
        <v>0</v>
      </c>
      <c r="M2812" s="3"/>
      <c r="N2812" s="3">
        <f t="shared" si="131"/>
        <v>0</v>
      </c>
      <c r="R2812" s="89"/>
      <c r="S2812" s="89">
        <f>100%-Table34[[#This Row],[PDF_initial fee]]</f>
        <v>1</v>
      </c>
      <c r="T2812" s="89"/>
      <c r="U2812" s="26"/>
    </row>
    <row r="2813" spans="1:30" hidden="1" x14ac:dyDescent="0.25">
      <c r="A2813">
        <v>560722</v>
      </c>
      <c r="B2813" t="s">
        <v>3175</v>
      </c>
      <c r="C2813" t="s">
        <v>10482</v>
      </c>
      <c r="D2813">
        <v>1</v>
      </c>
      <c r="E2813" t="s">
        <v>3175</v>
      </c>
      <c r="G2813" s="3"/>
      <c r="H2813" s="21">
        <v>0</v>
      </c>
      <c r="I2813" s="21">
        <v>0</v>
      </c>
      <c r="J2813" s="21">
        <v>0</v>
      </c>
      <c r="K2813" s="21">
        <v>0</v>
      </c>
      <c r="L2813" s="3">
        <f t="shared" si="130"/>
        <v>0</v>
      </c>
      <c r="M2813" s="3"/>
      <c r="N2813" s="3">
        <f t="shared" si="131"/>
        <v>0</v>
      </c>
      <c r="R2813" s="89"/>
      <c r="S2813" s="89">
        <f>100%-Table34[[#This Row],[PDF_initial fee]]</f>
        <v>1</v>
      </c>
      <c r="T2813" s="89"/>
      <c r="U2813" s="26"/>
    </row>
    <row r="2814" spans="1:30" hidden="1" x14ac:dyDescent="0.25">
      <c r="A2814">
        <v>561193</v>
      </c>
      <c r="B2814" t="s">
        <v>3176</v>
      </c>
      <c r="C2814" t="s">
        <v>6958</v>
      </c>
      <c r="D2814">
        <v>1</v>
      </c>
      <c r="E2814" t="s">
        <v>3176</v>
      </c>
      <c r="F2814" t="s">
        <v>6958</v>
      </c>
      <c r="G2814" s="3"/>
      <c r="L2814" s="3">
        <f t="shared" si="130"/>
        <v>0</v>
      </c>
      <c r="M2814" s="3"/>
      <c r="N2814" s="3">
        <f t="shared" si="131"/>
        <v>0</v>
      </c>
      <c r="R2814" s="89"/>
      <c r="S2814" s="89">
        <f>100%-Table34[[#This Row],[PDF_initial fee]]</f>
        <v>1</v>
      </c>
      <c r="T2814" s="89"/>
      <c r="U2814" s="26"/>
    </row>
    <row r="2815" spans="1:30" hidden="1" x14ac:dyDescent="0.25">
      <c r="A2815">
        <v>561927</v>
      </c>
      <c r="B2815" t="s">
        <v>3177</v>
      </c>
      <c r="C2815" t="s">
        <v>8115</v>
      </c>
      <c r="D2815">
        <v>1</v>
      </c>
      <c r="E2815" t="s">
        <v>3177</v>
      </c>
      <c r="G2815" s="3"/>
      <c r="H2815" s="21">
        <v>0</v>
      </c>
      <c r="I2815" s="21">
        <v>0</v>
      </c>
      <c r="J2815" s="21">
        <v>0</v>
      </c>
      <c r="K2815" s="21">
        <v>0</v>
      </c>
      <c r="L2815" s="3">
        <f t="shared" si="130"/>
        <v>0</v>
      </c>
      <c r="M2815" s="3"/>
      <c r="N2815" s="3">
        <f t="shared" si="131"/>
        <v>0</v>
      </c>
      <c r="R2815" s="89"/>
      <c r="S2815" s="89">
        <f>100%-Table34[[#This Row],[PDF_initial fee]]</f>
        <v>1</v>
      </c>
      <c r="T2815" s="89"/>
      <c r="U2815" s="26"/>
    </row>
    <row r="2816" spans="1:30" x14ac:dyDescent="0.25">
      <c r="A2816">
        <v>912906</v>
      </c>
      <c r="B2816" t="s">
        <v>323</v>
      </c>
      <c r="C2816" t="s">
        <v>10727</v>
      </c>
      <c r="D2816">
        <v>10</v>
      </c>
      <c r="E2816" t="s">
        <v>323</v>
      </c>
      <c r="F2816" t="s">
        <v>3</v>
      </c>
      <c r="G2816" s="3">
        <v>1.4E-3</v>
      </c>
      <c r="H2816" s="3">
        <v>3.2000000000000001E-2</v>
      </c>
      <c r="I2816" s="3">
        <v>5.0000000000000001E-3</v>
      </c>
      <c r="J2816" s="6"/>
      <c r="K2816" s="6"/>
      <c r="L2816" s="3">
        <f t="shared" si="130"/>
        <v>3.6999999999999998E-2</v>
      </c>
      <c r="M2816" s="3"/>
      <c r="N2816" s="3">
        <f t="shared" si="131"/>
        <v>3.8399999999999997E-2</v>
      </c>
      <c r="O2816" t="s">
        <v>30427</v>
      </c>
      <c r="P2816" s="31" t="s">
        <v>30428</v>
      </c>
      <c r="Q2816" t="s">
        <v>31787</v>
      </c>
      <c r="R2816" s="89">
        <v>0.33333333333333348</v>
      </c>
      <c r="S2816" s="89">
        <f>100%-Table34[[#This Row],[InitialFee]]</f>
        <v>0.96799999999999997</v>
      </c>
      <c r="T2816" s="89">
        <f>(1-Table34[[#This Row],[OngoingFee (plus Platform fee)]])^5</f>
        <v>0.97524875312187509</v>
      </c>
      <c r="U2816" s="26">
        <f>(1+Table34[[#This Row],[Net 5yrs return (mostly up to 28th of Feb 2026)]])*Table34[[#This Row],[Investment after initial charge]]*Table34[[#This Row],[Cummulative 5yrs ongoing advice charge]]-1</f>
        <v>0.25872105736263373</v>
      </c>
      <c r="V2816">
        <f>364972+133687</f>
        <v>498659</v>
      </c>
      <c r="W2816" t="s">
        <v>29051</v>
      </c>
      <c r="X2816" s="9">
        <v>363806</v>
      </c>
      <c r="Y2816" s="30">
        <f>X2816/V2816</f>
        <v>0.72956870326214907</v>
      </c>
      <c r="AA2816" s="1" t="s">
        <v>30429</v>
      </c>
    </row>
    <row r="2817" spans="1:21" hidden="1" x14ac:dyDescent="0.25">
      <c r="A2817">
        <v>562057</v>
      </c>
      <c r="B2817" t="s">
        <v>3178</v>
      </c>
      <c r="C2817" t="s">
        <v>30430</v>
      </c>
      <c r="D2817">
        <v>1</v>
      </c>
      <c r="E2817" t="s">
        <v>3178</v>
      </c>
      <c r="G2817" s="3"/>
      <c r="H2817" s="3">
        <v>0</v>
      </c>
      <c r="I2817" s="3">
        <v>0</v>
      </c>
      <c r="J2817" s="3">
        <v>0</v>
      </c>
      <c r="K2817" s="3">
        <v>0</v>
      </c>
      <c r="L2817" s="3">
        <f t="shared" si="130"/>
        <v>0</v>
      </c>
      <c r="M2817" s="3"/>
      <c r="N2817" s="3">
        <f t="shared" si="131"/>
        <v>0</v>
      </c>
      <c r="R2817" s="89"/>
      <c r="S2817" s="89">
        <f>100%-Table34[[#This Row],[PDF_initial fee]]</f>
        <v>1</v>
      </c>
      <c r="T2817" s="89"/>
      <c r="U2817" s="26"/>
    </row>
    <row r="2818" spans="1:21" hidden="1" x14ac:dyDescent="0.25">
      <c r="A2818">
        <v>562111</v>
      </c>
      <c r="B2818" t="s">
        <v>3179</v>
      </c>
      <c r="C2818" t="s">
        <v>30431</v>
      </c>
      <c r="D2818">
        <v>1</v>
      </c>
      <c r="E2818" t="s">
        <v>3179</v>
      </c>
      <c r="G2818" s="3"/>
      <c r="H2818" s="21">
        <v>0</v>
      </c>
      <c r="I2818" s="21">
        <v>0</v>
      </c>
      <c r="J2818" s="21">
        <v>0</v>
      </c>
      <c r="K2818" s="21">
        <v>0</v>
      </c>
      <c r="L2818" s="3">
        <f t="shared" si="130"/>
        <v>0</v>
      </c>
      <c r="M2818" s="3"/>
      <c r="N2818" s="3">
        <f t="shared" si="131"/>
        <v>0</v>
      </c>
      <c r="O2818" s="21"/>
      <c r="R2818" s="89"/>
      <c r="S2818" s="89">
        <f>100%-Table34[[#This Row],[PDF_initial fee]]</f>
        <v>1</v>
      </c>
      <c r="T2818" s="89"/>
      <c r="U2818" s="26"/>
    </row>
    <row r="2819" spans="1:21" hidden="1" x14ac:dyDescent="0.25">
      <c r="A2819">
        <v>562191</v>
      </c>
      <c r="B2819" t="s">
        <v>3180</v>
      </c>
      <c r="C2819" t="s">
        <v>30432</v>
      </c>
      <c r="D2819">
        <v>1</v>
      </c>
      <c r="E2819" t="s">
        <v>3180</v>
      </c>
      <c r="G2819" s="3"/>
      <c r="H2819" s="3">
        <v>0</v>
      </c>
      <c r="I2819" s="3">
        <v>0</v>
      </c>
      <c r="J2819" s="3">
        <v>0</v>
      </c>
      <c r="K2819" s="3">
        <v>0</v>
      </c>
      <c r="L2819" s="3">
        <f t="shared" si="130"/>
        <v>0</v>
      </c>
      <c r="M2819" s="3"/>
      <c r="N2819" s="3">
        <f t="shared" si="131"/>
        <v>0</v>
      </c>
      <c r="R2819" s="89"/>
      <c r="S2819" s="89">
        <f>100%-Table34[[#This Row],[PDF_initial fee]]</f>
        <v>1</v>
      </c>
      <c r="T2819" s="89"/>
      <c r="U2819" s="26"/>
    </row>
    <row r="2820" spans="1:21" hidden="1" x14ac:dyDescent="0.25">
      <c r="A2820">
        <v>562235</v>
      </c>
      <c r="B2820" t="s">
        <v>3181</v>
      </c>
      <c r="C2820" t="s">
        <v>29614</v>
      </c>
      <c r="D2820">
        <v>9</v>
      </c>
      <c r="E2820" t="s">
        <v>3181</v>
      </c>
      <c r="G2820" s="3"/>
      <c r="H2820" s="21">
        <v>0</v>
      </c>
      <c r="I2820" s="3">
        <v>0</v>
      </c>
      <c r="J2820" s="3">
        <v>0</v>
      </c>
      <c r="K2820">
        <v>0</v>
      </c>
      <c r="L2820" s="3">
        <f t="shared" si="130"/>
        <v>0</v>
      </c>
      <c r="M2820" s="3"/>
      <c r="N2820" s="3">
        <f t="shared" si="131"/>
        <v>0</v>
      </c>
      <c r="R2820" s="89"/>
      <c r="S2820" s="89">
        <f>100%-Table34[[#This Row],[PDF_initial fee]]</f>
        <v>1</v>
      </c>
      <c r="T2820" s="89"/>
      <c r="U2820" s="26"/>
    </row>
    <row r="2821" spans="1:21" hidden="1" x14ac:dyDescent="0.25">
      <c r="A2821">
        <v>562252</v>
      </c>
      <c r="B2821" t="s">
        <v>3182</v>
      </c>
      <c r="C2821" t="s">
        <v>9594</v>
      </c>
      <c r="D2821">
        <v>2</v>
      </c>
      <c r="E2821" t="s">
        <v>3182</v>
      </c>
      <c r="G2821" s="3"/>
      <c r="H2821" s="21">
        <v>0</v>
      </c>
      <c r="I2821" s="21">
        <v>0</v>
      </c>
      <c r="J2821" s="21">
        <v>0</v>
      </c>
      <c r="K2821" s="21">
        <v>0</v>
      </c>
      <c r="L2821" s="3">
        <f t="shared" si="130"/>
        <v>0</v>
      </c>
      <c r="M2821" s="3"/>
      <c r="N2821" s="3">
        <f t="shared" si="131"/>
        <v>0</v>
      </c>
      <c r="R2821" s="89"/>
      <c r="S2821" s="89">
        <f>100%-Table34[[#This Row],[PDF_initial fee]]</f>
        <v>1</v>
      </c>
      <c r="T2821" s="89"/>
      <c r="U2821" s="26"/>
    </row>
    <row r="2822" spans="1:21" hidden="1" x14ac:dyDescent="0.25">
      <c r="A2822">
        <v>562360</v>
      </c>
      <c r="B2822" t="s">
        <v>3183</v>
      </c>
      <c r="C2822" t="s">
        <v>11646</v>
      </c>
      <c r="D2822">
        <v>1</v>
      </c>
      <c r="E2822" t="s">
        <v>3183</v>
      </c>
      <c r="G2822" s="3"/>
      <c r="H2822" s="21">
        <v>0</v>
      </c>
      <c r="I2822" s="21">
        <v>0</v>
      </c>
      <c r="J2822" s="21">
        <v>0</v>
      </c>
      <c r="K2822" s="21">
        <v>0</v>
      </c>
      <c r="L2822" s="3">
        <f t="shared" si="130"/>
        <v>0</v>
      </c>
      <c r="M2822" s="3"/>
      <c r="N2822" s="3">
        <f t="shared" si="131"/>
        <v>0</v>
      </c>
      <c r="R2822" s="89"/>
      <c r="S2822" s="89">
        <f>100%-Table34[[#This Row],[PDF_initial fee]]</f>
        <v>1</v>
      </c>
      <c r="T2822" s="89"/>
      <c r="U2822" s="26"/>
    </row>
    <row r="2823" spans="1:21" hidden="1" x14ac:dyDescent="0.25">
      <c r="A2823">
        <v>562377</v>
      </c>
      <c r="B2823" t="s">
        <v>3184</v>
      </c>
      <c r="C2823" t="s">
        <v>6958</v>
      </c>
      <c r="D2823">
        <v>1</v>
      </c>
      <c r="E2823" t="s">
        <v>3184</v>
      </c>
      <c r="F2823" t="s">
        <v>6958</v>
      </c>
      <c r="G2823" s="3"/>
      <c r="H2823" s="21">
        <v>0</v>
      </c>
      <c r="I2823" s="21">
        <v>0</v>
      </c>
      <c r="J2823" s="21">
        <v>0</v>
      </c>
      <c r="K2823" s="21">
        <v>0</v>
      </c>
      <c r="L2823" s="3">
        <f t="shared" si="130"/>
        <v>0</v>
      </c>
      <c r="M2823" s="3"/>
      <c r="N2823" s="3">
        <f t="shared" si="131"/>
        <v>0</v>
      </c>
      <c r="R2823" s="89"/>
      <c r="S2823" s="89">
        <f>100%-Table34[[#This Row],[PDF_initial fee]]</f>
        <v>1</v>
      </c>
      <c r="T2823" s="89"/>
      <c r="U2823" s="26"/>
    </row>
    <row r="2824" spans="1:21" hidden="1" x14ac:dyDescent="0.25">
      <c r="A2824">
        <v>562475</v>
      </c>
      <c r="B2824" t="s">
        <v>3185</v>
      </c>
      <c r="C2824" t="s">
        <v>9964</v>
      </c>
      <c r="D2824">
        <v>3</v>
      </c>
      <c r="E2824" t="s">
        <v>3185</v>
      </c>
      <c r="G2824" s="3"/>
      <c r="L2824" s="3">
        <f t="shared" si="130"/>
        <v>0</v>
      </c>
      <c r="M2824" s="3"/>
      <c r="N2824" s="3">
        <f t="shared" si="131"/>
        <v>0</v>
      </c>
      <c r="R2824" s="89"/>
      <c r="S2824" s="89">
        <f>100%-Table34[[#This Row],[PDF_initial fee]]</f>
        <v>1</v>
      </c>
      <c r="T2824" s="89"/>
      <c r="U2824" s="26"/>
    </row>
    <row r="2825" spans="1:21" hidden="1" x14ac:dyDescent="0.25">
      <c r="A2825">
        <v>562516</v>
      </c>
      <c r="B2825" t="s">
        <v>3186</v>
      </c>
      <c r="C2825" t="s">
        <v>6958</v>
      </c>
      <c r="D2825">
        <v>2</v>
      </c>
      <c r="E2825" t="s">
        <v>3186</v>
      </c>
      <c r="F2825" t="s">
        <v>6958</v>
      </c>
      <c r="G2825" s="3"/>
      <c r="H2825" s="21">
        <v>0</v>
      </c>
      <c r="I2825" s="21">
        <v>0</v>
      </c>
      <c r="J2825" s="21">
        <v>0</v>
      </c>
      <c r="K2825" s="21">
        <v>0</v>
      </c>
      <c r="L2825" s="3">
        <f t="shared" si="130"/>
        <v>0</v>
      </c>
      <c r="M2825" s="3"/>
      <c r="N2825" s="3">
        <f t="shared" si="131"/>
        <v>0</v>
      </c>
      <c r="R2825" s="89"/>
      <c r="S2825" s="89">
        <f>100%-Table34[[#This Row],[PDF_initial fee]]</f>
        <v>1</v>
      </c>
      <c r="T2825" s="89"/>
      <c r="U2825" s="26"/>
    </row>
    <row r="2826" spans="1:21" hidden="1" x14ac:dyDescent="0.25">
      <c r="A2826">
        <v>562574</v>
      </c>
      <c r="B2826" t="s">
        <v>3187</v>
      </c>
      <c r="C2826" t="s">
        <v>11305</v>
      </c>
      <c r="D2826">
        <v>2</v>
      </c>
      <c r="E2826" t="s">
        <v>3187</v>
      </c>
      <c r="G2826" s="3"/>
      <c r="H2826" s="21">
        <v>0</v>
      </c>
      <c r="I2826" s="21">
        <v>0</v>
      </c>
      <c r="J2826" s="21">
        <v>0</v>
      </c>
      <c r="K2826" s="21">
        <v>0</v>
      </c>
      <c r="L2826" s="3">
        <f t="shared" si="130"/>
        <v>0</v>
      </c>
      <c r="M2826" s="3"/>
      <c r="N2826" s="3">
        <f t="shared" si="131"/>
        <v>0</v>
      </c>
      <c r="R2826" s="89"/>
      <c r="S2826" s="89">
        <f>100%-Table34[[#This Row],[PDF_initial fee]]</f>
        <v>1</v>
      </c>
      <c r="T2826" s="89"/>
      <c r="U2826" s="26"/>
    </row>
    <row r="2827" spans="1:21" hidden="1" x14ac:dyDescent="0.25">
      <c r="A2827">
        <v>562607</v>
      </c>
      <c r="B2827" t="s">
        <v>3188</v>
      </c>
      <c r="C2827" t="s">
        <v>30433</v>
      </c>
      <c r="D2827">
        <v>1</v>
      </c>
      <c r="E2827" t="s">
        <v>3188</v>
      </c>
      <c r="G2827" s="3"/>
      <c r="H2827" s="3">
        <v>0</v>
      </c>
      <c r="I2827" s="3">
        <v>0</v>
      </c>
      <c r="J2827" s="3">
        <v>0</v>
      </c>
      <c r="K2827" s="3">
        <v>0</v>
      </c>
      <c r="L2827" s="3">
        <f t="shared" si="130"/>
        <v>0</v>
      </c>
      <c r="M2827" s="3"/>
      <c r="N2827" s="3">
        <f t="shared" si="131"/>
        <v>0</v>
      </c>
      <c r="R2827" s="89"/>
      <c r="S2827" s="89">
        <f>100%-Table34[[#This Row],[PDF_initial fee]]</f>
        <v>1</v>
      </c>
      <c r="T2827" s="89"/>
      <c r="U2827" s="26"/>
    </row>
    <row r="2828" spans="1:21" hidden="1" x14ac:dyDescent="0.25">
      <c r="A2828">
        <v>563192</v>
      </c>
      <c r="B2828" t="s">
        <v>3191</v>
      </c>
      <c r="C2828" t="s">
        <v>30434</v>
      </c>
      <c r="D2828">
        <v>2</v>
      </c>
      <c r="E2828" t="s">
        <v>3191</v>
      </c>
      <c r="G2828" s="3"/>
      <c r="H2828" s="21">
        <v>0</v>
      </c>
      <c r="I2828" s="21">
        <v>0</v>
      </c>
      <c r="J2828" s="21">
        <v>0</v>
      </c>
      <c r="K2828" s="21">
        <v>0</v>
      </c>
      <c r="L2828" s="3">
        <f t="shared" si="130"/>
        <v>0</v>
      </c>
      <c r="M2828" s="3"/>
      <c r="N2828" s="3">
        <f t="shared" si="131"/>
        <v>0</v>
      </c>
      <c r="O2828" s="21"/>
      <c r="P2828" s="22" t="s">
        <v>30435</v>
      </c>
      <c r="R2828" s="89"/>
      <c r="S2828" s="89">
        <f>100%-Table34[[#This Row],[PDF_initial fee]]</f>
        <v>1</v>
      </c>
      <c r="T2828" s="89"/>
      <c r="U2828" s="26"/>
    </row>
    <row r="2829" spans="1:21" hidden="1" x14ac:dyDescent="0.25">
      <c r="A2829">
        <v>563214</v>
      </c>
      <c r="B2829" t="s">
        <v>3192</v>
      </c>
      <c r="C2829" t="s">
        <v>30436</v>
      </c>
      <c r="D2829">
        <v>1</v>
      </c>
      <c r="E2829" t="s">
        <v>3192</v>
      </c>
      <c r="G2829" s="3"/>
      <c r="H2829" s="3">
        <v>0</v>
      </c>
      <c r="I2829" s="3">
        <v>0</v>
      </c>
      <c r="J2829" s="3">
        <v>0</v>
      </c>
      <c r="K2829" s="3">
        <v>0</v>
      </c>
      <c r="L2829" s="3">
        <f t="shared" si="130"/>
        <v>0</v>
      </c>
      <c r="M2829" s="3"/>
      <c r="N2829" s="3">
        <f t="shared" si="131"/>
        <v>0</v>
      </c>
      <c r="R2829" s="89"/>
      <c r="S2829" s="89">
        <f>100%-Table34[[#This Row],[PDF_initial fee]]</f>
        <v>1</v>
      </c>
      <c r="T2829" s="89"/>
      <c r="U2829" s="26"/>
    </row>
    <row r="2830" spans="1:21" hidden="1" x14ac:dyDescent="0.25">
      <c r="A2830">
        <v>563294</v>
      </c>
      <c r="B2830" t="s">
        <v>3193</v>
      </c>
      <c r="C2830" t="s">
        <v>6958</v>
      </c>
      <c r="D2830">
        <v>1</v>
      </c>
      <c r="E2830" t="s">
        <v>3193</v>
      </c>
      <c r="F2830" t="s">
        <v>6958</v>
      </c>
      <c r="G2830" s="3"/>
      <c r="H2830" s="21">
        <v>0</v>
      </c>
      <c r="I2830" s="21">
        <v>0</v>
      </c>
      <c r="J2830" s="21">
        <v>0</v>
      </c>
      <c r="K2830" s="21">
        <v>0</v>
      </c>
      <c r="L2830" s="3">
        <f t="shared" si="130"/>
        <v>0</v>
      </c>
      <c r="M2830" s="3"/>
      <c r="N2830" s="3">
        <f t="shared" si="131"/>
        <v>0</v>
      </c>
      <c r="R2830" s="89"/>
      <c r="S2830" s="89">
        <f>100%-Table34[[#This Row],[PDF_initial fee]]</f>
        <v>1</v>
      </c>
      <c r="T2830" s="89"/>
      <c r="U2830" s="26"/>
    </row>
    <row r="2831" spans="1:21" hidden="1" x14ac:dyDescent="0.25">
      <c r="A2831">
        <v>563343</v>
      </c>
      <c r="B2831" t="s">
        <v>3194</v>
      </c>
      <c r="C2831" t="s">
        <v>12339</v>
      </c>
      <c r="D2831">
        <v>3</v>
      </c>
      <c r="E2831" t="s">
        <v>3194</v>
      </c>
      <c r="G2831" s="3"/>
      <c r="H2831" s="21">
        <v>0</v>
      </c>
      <c r="I2831" s="21">
        <v>0</v>
      </c>
      <c r="J2831" s="21">
        <v>0</v>
      </c>
      <c r="K2831" s="21">
        <v>0</v>
      </c>
      <c r="L2831" s="3">
        <f t="shared" si="130"/>
        <v>0</v>
      </c>
      <c r="M2831" s="3"/>
      <c r="N2831" s="3">
        <f t="shared" si="131"/>
        <v>0</v>
      </c>
      <c r="R2831" s="89"/>
      <c r="S2831" s="89">
        <f>100%-Table34[[#This Row],[PDF_initial fee]]</f>
        <v>1</v>
      </c>
      <c r="T2831" s="89"/>
      <c r="U2831" s="26"/>
    </row>
    <row r="2832" spans="1:21" hidden="1" x14ac:dyDescent="0.25">
      <c r="A2832">
        <v>563379</v>
      </c>
      <c r="B2832" t="s">
        <v>3195</v>
      </c>
      <c r="C2832" t="s">
        <v>7242</v>
      </c>
      <c r="D2832">
        <v>1</v>
      </c>
      <c r="E2832" t="s">
        <v>3195</v>
      </c>
      <c r="G2832" s="3"/>
      <c r="H2832" s="21">
        <v>0</v>
      </c>
      <c r="I2832" s="21">
        <v>0</v>
      </c>
      <c r="J2832" s="21">
        <v>0</v>
      </c>
      <c r="K2832" s="21">
        <v>0</v>
      </c>
      <c r="L2832" s="3">
        <f t="shared" si="130"/>
        <v>0</v>
      </c>
      <c r="M2832" s="3"/>
      <c r="N2832" s="3">
        <f t="shared" si="131"/>
        <v>0</v>
      </c>
      <c r="R2832" s="89"/>
      <c r="S2832" s="89">
        <f>100%-Table34[[#This Row],[PDF_initial fee]]</f>
        <v>1</v>
      </c>
      <c r="T2832" s="89"/>
      <c r="U2832" s="26"/>
    </row>
    <row r="2833" spans="1:21" hidden="1" x14ac:dyDescent="0.25">
      <c r="A2833">
        <v>563449</v>
      </c>
      <c r="B2833" t="s">
        <v>3196</v>
      </c>
      <c r="C2833" t="s">
        <v>30437</v>
      </c>
      <c r="D2833">
        <v>11</v>
      </c>
      <c r="E2833" t="s">
        <v>3196</v>
      </c>
      <c r="G2833" s="3"/>
      <c r="H2833" s="21">
        <v>0</v>
      </c>
      <c r="I2833" s="21">
        <v>0</v>
      </c>
      <c r="J2833" s="21">
        <v>0</v>
      </c>
      <c r="K2833" s="21">
        <v>0</v>
      </c>
      <c r="L2833" s="3">
        <f t="shared" si="130"/>
        <v>0</v>
      </c>
      <c r="M2833" s="3"/>
      <c r="N2833" s="3">
        <f t="shared" si="131"/>
        <v>0</v>
      </c>
      <c r="O2833" s="21"/>
      <c r="R2833" s="89"/>
      <c r="S2833" s="89">
        <f>100%-Table34[[#This Row],[PDF_initial fee]]</f>
        <v>1</v>
      </c>
      <c r="T2833" s="89"/>
      <c r="U2833" s="26"/>
    </row>
    <row r="2834" spans="1:21" hidden="1" x14ac:dyDescent="0.25">
      <c r="A2834">
        <v>563705</v>
      </c>
      <c r="B2834" t="s">
        <v>3197</v>
      </c>
      <c r="C2834" t="s">
        <v>9619</v>
      </c>
      <c r="D2834">
        <v>1</v>
      </c>
      <c r="E2834" t="s">
        <v>3197</v>
      </c>
      <c r="G2834" s="3"/>
      <c r="H2834" s="21">
        <v>0</v>
      </c>
      <c r="I2834" s="21">
        <v>0</v>
      </c>
      <c r="J2834" s="21">
        <v>0</v>
      </c>
      <c r="K2834" s="21">
        <v>0</v>
      </c>
      <c r="L2834" s="3">
        <f t="shared" si="130"/>
        <v>0</v>
      </c>
      <c r="M2834" s="3"/>
      <c r="N2834" s="3">
        <f t="shared" si="131"/>
        <v>0</v>
      </c>
      <c r="R2834" s="89"/>
      <c r="S2834" s="89">
        <f>100%-Table34[[#This Row],[PDF_initial fee]]</f>
        <v>1</v>
      </c>
      <c r="T2834" s="89"/>
      <c r="U2834" s="26"/>
    </row>
    <row r="2835" spans="1:21" hidden="1" x14ac:dyDescent="0.25">
      <c r="A2835">
        <v>563812</v>
      </c>
      <c r="B2835" t="s">
        <v>3198</v>
      </c>
      <c r="C2835" t="s">
        <v>30438</v>
      </c>
      <c r="D2835">
        <v>4</v>
      </c>
      <c r="E2835" t="s">
        <v>3198</v>
      </c>
      <c r="G2835" s="3"/>
      <c r="H2835" s="3">
        <v>0</v>
      </c>
      <c r="I2835" s="3">
        <v>0</v>
      </c>
      <c r="J2835" s="3">
        <v>0</v>
      </c>
      <c r="K2835" s="3">
        <v>0</v>
      </c>
      <c r="L2835" s="3">
        <f t="shared" si="130"/>
        <v>0</v>
      </c>
      <c r="M2835" s="3"/>
      <c r="N2835" s="3">
        <f t="shared" si="131"/>
        <v>0</v>
      </c>
      <c r="R2835" s="89"/>
      <c r="S2835" s="89">
        <f>100%-Table34[[#This Row],[PDF_initial fee]]</f>
        <v>1</v>
      </c>
      <c r="T2835" s="89"/>
      <c r="U2835" s="26"/>
    </row>
    <row r="2836" spans="1:21" hidden="1" x14ac:dyDescent="0.25">
      <c r="A2836">
        <v>563896</v>
      </c>
      <c r="B2836" t="s">
        <v>3199</v>
      </c>
      <c r="C2836" t="s">
        <v>6958</v>
      </c>
      <c r="D2836">
        <v>3</v>
      </c>
      <c r="E2836" t="s">
        <v>3199</v>
      </c>
      <c r="F2836" t="s">
        <v>6958</v>
      </c>
      <c r="G2836" s="3"/>
      <c r="H2836" s="21">
        <v>0</v>
      </c>
      <c r="I2836" s="21">
        <v>0</v>
      </c>
      <c r="J2836" s="21">
        <v>0</v>
      </c>
      <c r="K2836" s="21">
        <v>0</v>
      </c>
      <c r="L2836" s="3">
        <f t="shared" si="130"/>
        <v>0</v>
      </c>
      <c r="M2836" s="3"/>
      <c r="N2836" s="3">
        <f t="shared" si="131"/>
        <v>0</v>
      </c>
      <c r="R2836" s="89"/>
      <c r="S2836" s="89">
        <f>100%-Table34[[#This Row],[PDF_initial fee]]</f>
        <v>1</v>
      </c>
      <c r="T2836" s="89"/>
      <c r="U2836" s="26"/>
    </row>
    <row r="2837" spans="1:21" hidden="1" x14ac:dyDescent="0.25">
      <c r="A2837">
        <v>563900</v>
      </c>
      <c r="B2837" t="s">
        <v>3200</v>
      </c>
      <c r="C2837" t="s">
        <v>6958</v>
      </c>
      <c r="D2837">
        <v>1</v>
      </c>
      <c r="E2837" t="s">
        <v>3200</v>
      </c>
      <c r="F2837" t="s">
        <v>6958</v>
      </c>
      <c r="G2837" s="3"/>
      <c r="H2837" s="21">
        <v>0</v>
      </c>
      <c r="I2837" s="21">
        <v>0</v>
      </c>
      <c r="J2837" s="21">
        <v>0</v>
      </c>
      <c r="K2837" s="21">
        <v>0</v>
      </c>
      <c r="L2837" s="3">
        <f t="shared" si="130"/>
        <v>0</v>
      </c>
      <c r="M2837" s="3"/>
      <c r="N2837" s="3">
        <f t="shared" si="131"/>
        <v>0</v>
      </c>
      <c r="R2837" s="89"/>
      <c r="S2837" s="89">
        <f>100%-Table34[[#This Row],[PDF_initial fee]]</f>
        <v>1</v>
      </c>
      <c r="T2837" s="89"/>
      <c r="U2837" s="26"/>
    </row>
    <row r="2838" spans="1:21" hidden="1" x14ac:dyDescent="0.25">
      <c r="A2838">
        <v>563905</v>
      </c>
      <c r="B2838" t="s">
        <v>3201</v>
      </c>
      <c r="C2838" t="s">
        <v>30439</v>
      </c>
      <c r="D2838">
        <v>2</v>
      </c>
      <c r="E2838" t="s">
        <v>3201</v>
      </c>
      <c r="G2838" s="3"/>
      <c r="H2838" s="21">
        <v>0</v>
      </c>
      <c r="I2838" s="21">
        <v>0</v>
      </c>
      <c r="J2838" s="21">
        <v>0</v>
      </c>
      <c r="K2838" s="21">
        <v>0</v>
      </c>
      <c r="L2838" s="3">
        <f t="shared" si="130"/>
        <v>0</v>
      </c>
      <c r="M2838" s="3"/>
      <c r="N2838" s="3">
        <f t="shared" si="131"/>
        <v>0</v>
      </c>
      <c r="R2838" s="89"/>
      <c r="S2838" s="89">
        <f>100%-Table34[[#This Row],[PDF_initial fee]]</f>
        <v>1</v>
      </c>
      <c r="T2838" s="89"/>
      <c r="U2838" s="26"/>
    </row>
    <row r="2839" spans="1:21" hidden="1" x14ac:dyDescent="0.25">
      <c r="A2839">
        <v>563908</v>
      </c>
      <c r="B2839" t="s">
        <v>3202</v>
      </c>
      <c r="C2839" t="s">
        <v>10767</v>
      </c>
      <c r="D2839">
        <v>1</v>
      </c>
      <c r="E2839" t="s">
        <v>3202</v>
      </c>
      <c r="G2839" s="3"/>
      <c r="H2839" s="21">
        <v>0</v>
      </c>
      <c r="I2839" s="21">
        <v>0</v>
      </c>
      <c r="J2839" s="21">
        <v>0</v>
      </c>
      <c r="K2839" s="21">
        <v>0</v>
      </c>
      <c r="L2839" s="3">
        <f t="shared" si="130"/>
        <v>0</v>
      </c>
      <c r="M2839" s="3"/>
      <c r="N2839" s="3">
        <f t="shared" si="131"/>
        <v>0</v>
      </c>
      <c r="R2839" s="89"/>
      <c r="S2839" s="89">
        <f>100%-Table34[[#This Row],[PDF_initial fee]]</f>
        <v>1</v>
      </c>
      <c r="T2839" s="89"/>
      <c r="U2839" s="26"/>
    </row>
    <row r="2840" spans="1:21" hidden="1" x14ac:dyDescent="0.25">
      <c r="A2840">
        <v>563909</v>
      </c>
      <c r="B2840" t="s">
        <v>3203</v>
      </c>
      <c r="C2840" t="s">
        <v>12485</v>
      </c>
      <c r="D2840">
        <v>4</v>
      </c>
      <c r="E2840" t="s">
        <v>3203</v>
      </c>
      <c r="G2840" s="3"/>
      <c r="H2840" s="21">
        <v>0</v>
      </c>
      <c r="I2840" s="21">
        <v>0</v>
      </c>
      <c r="J2840" s="21">
        <v>0</v>
      </c>
      <c r="K2840" s="21">
        <v>0</v>
      </c>
      <c r="L2840" s="3">
        <f t="shared" si="130"/>
        <v>0</v>
      </c>
      <c r="M2840" s="3"/>
      <c r="N2840" s="3">
        <f t="shared" si="131"/>
        <v>0</v>
      </c>
      <c r="R2840" s="89"/>
      <c r="S2840" s="89">
        <f>100%-Table34[[#This Row],[PDF_initial fee]]</f>
        <v>1</v>
      </c>
      <c r="T2840" s="89"/>
      <c r="U2840" s="26"/>
    </row>
    <row r="2841" spans="1:21" hidden="1" x14ac:dyDescent="0.25">
      <c r="A2841">
        <v>563973</v>
      </c>
      <c r="B2841" t="s">
        <v>3205</v>
      </c>
      <c r="C2841" t="s">
        <v>11818</v>
      </c>
      <c r="D2841">
        <v>1</v>
      </c>
      <c r="E2841" t="s">
        <v>3205</v>
      </c>
      <c r="G2841" s="3"/>
      <c r="H2841" s="21">
        <v>0</v>
      </c>
      <c r="I2841" s="21">
        <v>0</v>
      </c>
      <c r="J2841" s="21">
        <v>0</v>
      </c>
      <c r="K2841" s="21">
        <v>0</v>
      </c>
      <c r="L2841" s="3">
        <f t="shared" si="130"/>
        <v>0</v>
      </c>
      <c r="M2841" s="3"/>
      <c r="N2841" s="3">
        <f t="shared" si="131"/>
        <v>0</v>
      </c>
      <c r="R2841" s="89"/>
      <c r="S2841" s="89">
        <f>100%-Table34[[#This Row],[PDF_initial fee]]</f>
        <v>1</v>
      </c>
      <c r="T2841" s="89"/>
      <c r="U2841" s="26"/>
    </row>
    <row r="2842" spans="1:21" hidden="1" x14ac:dyDescent="0.25">
      <c r="A2842">
        <v>563997</v>
      </c>
      <c r="B2842" t="s">
        <v>3206</v>
      </c>
      <c r="C2842" t="s">
        <v>30440</v>
      </c>
      <c r="D2842">
        <v>3</v>
      </c>
      <c r="E2842" t="s">
        <v>3206</v>
      </c>
      <c r="G2842" s="3"/>
      <c r="H2842" s="3">
        <v>0</v>
      </c>
      <c r="I2842" s="3">
        <v>0</v>
      </c>
      <c r="J2842" s="3">
        <v>0</v>
      </c>
      <c r="K2842" s="3">
        <v>0</v>
      </c>
      <c r="L2842" s="3">
        <f t="shared" si="130"/>
        <v>0</v>
      </c>
      <c r="M2842" s="3"/>
      <c r="N2842" s="3">
        <f t="shared" si="131"/>
        <v>0</v>
      </c>
      <c r="R2842" s="89"/>
      <c r="S2842" s="89">
        <f>100%-Table34[[#This Row],[PDF_initial fee]]</f>
        <v>1</v>
      </c>
      <c r="T2842" s="89"/>
      <c r="U2842" s="26"/>
    </row>
    <row r="2843" spans="1:21" hidden="1" x14ac:dyDescent="0.25">
      <c r="A2843">
        <v>564038</v>
      </c>
      <c r="B2843" t="s">
        <v>3207</v>
      </c>
      <c r="C2843" t="s">
        <v>8853</v>
      </c>
      <c r="D2843">
        <v>10</v>
      </c>
      <c r="E2843" t="s">
        <v>3207</v>
      </c>
      <c r="G2843" s="3"/>
      <c r="H2843" s="21">
        <v>0</v>
      </c>
      <c r="I2843" s="21">
        <v>0</v>
      </c>
      <c r="J2843" s="21">
        <v>0</v>
      </c>
      <c r="K2843" s="21">
        <v>0</v>
      </c>
      <c r="L2843" s="3">
        <f t="shared" si="130"/>
        <v>0</v>
      </c>
      <c r="M2843" s="3"/>
      <c r="N2843" s="3">
        <f t="shared" si="131"/>
        <v>0</v>
      </c>
      <c r="R2843" s="89"/>
      <c r="S2843" s="89">
        <f>100%-Table34[[#This Row],[PDF_initial fee]]</f>
        <v>1</v>
      </c>
      <c r="T2843" s="89"/>
      <c r="U2843" s="26"/>
    </row>
    <row r="2844" spans="1:21" hidden="1" x14ac:dyDescent="0.25">
      <c r="A2844">
        <v>564043</v>
      </c>
      <c r="B2844" t="s">
        <v>3208</v>
      </c>
      <c r="C2844" t="s">
        <v>7408</v>
      </c>
      <c r="D2844">
        <v>2</v>
      </c>
      <c r="E2844" t="s">
        <v>3208</v>
      </c>
      <c r="G2844" s="3"/>
      <c r="H2844" s="21">
        <v>0</v>
      </c>
      <c r="I2844" s="21">
        <v>0</v>
      </c>
      <c r="J2844" s="21">
        <v>0</v>
      </c>
      <c r="K2844" s="21">
        <v>0</v>
      </c>
      <c r="L2844" s="3">
        <f t="shared" si="130"/>
        <v>0</v>
      </c>
      <c r="M2844" s="3"/>
      <c r="N2844" s="3">
        <f t="shared" si="131"/>
        <v>0</v>
      </c>
      <c r="R2844" s="89"/>
      <c r="S2844" s="89">
        <f>100%-Table34[[#This Row],[PDF_initial fee]]</f>
        <v>1</v>
      </c>
      <c r="T2844" s="89"/>
      <c r="U2844" s="26"/>
    </row>
    <row r="2845" spans="1:21" hidden="1" x14ac:dyDescent="0.25">
      <c r="A2845">
        <v>564126</v>
      </c>
      <c r="B2845" t="s">
        <v>3209</v>
      </c>
      <c r="C2845" t="s">
        <v>30441</v>
      </c>
      <c r="D2845">
        <v>4</v>
      </c>
      <c r="E2845" t="s">
        <v>3209</v>
      </c>
      <c r="G2845" s="3"/>
      <c r="H2845" s="3">
        <v>0</v>
      </c>
      <c r="I2845" s="3">
        <v>0</v>
      </c>
      <c r="J2845" s="3">
        <v>0</v>
      </c>
      <c r="K2845" s="3">
        <v>0</v>
      </c>
      <c r="L2845" s="3">
        <f t="shared" si="130"/>
        <v>0</v>
      </c>
      <c r="M2845" s="3"/>
      <c r="N2845" s="3">
        <f t="shared" si="131"/>
        <v>0</v>
      </c>
      <c r="R2845" s="89"/>
      <c r="S2845" s="89">
        <f>100%-Table34[[#This Row],[PDF_initial fee]]</f>
        <v>1</v>
      </c>
      <c r="T2845" s="89"/>
      <c r="U2845" s="26"/>
    </row>
    <row r="2846" spans="1:21" hidden="1" x14ac:dyDescent="0.25">
      <c r="A2846">
        <v>564185</v>
      </c>
      <c r="B2846" t="s">
        <v>3210</v>
      </c>
      <c r="C2846" t="s">
        <v>7040</v>
      </c>
      <c r="D2846">
        <v>0</v>
      </c>
      <c r="E2846" t="s">
        <v>3210</v>
      </c>
      <c r="F2846" t="s">
        <v>3</v>
      </c>
      <c r="G2846" s="3"/>
      <c r="L2846" s="3">
        <f t="shared" si="130"/>
        <v>0</v>
      </c>
      <c r="M2846" s="3"/>
      <c r="N2846" s="3">
        <f t="shared" si="131"/>
        <v>0</v>
      </c>
      <c r="R2846" s="89"/>
      <c r="S2846" s="89">
        <f>100%-Table34[[#This Row],[PDF_initial fee]]</f>
        <v>1</v>
      </c>
      <c r="T2846" s="89"/>
      <c r="U2846" s="26"/>
    </row>
    <row r="2847" spans="1:21" hidden="1" x14ac:dyDescent="0.25">
      <c r="A2847">
        <v>564221</v>
      </c>
      <c r="B2847" t="s">
        <v>3211</v>
      </c>
      <c r="C2847" t="s">
        <v>30442</v>
      </c>
      <c r="D2847">
        <v>0</v>
      </c>
      <c r="E2847" t="s">
        <v>3211</v>
      </c>
      <c r="F2847" t="s">
        <v>29409</v>
      </c>
      <c r="G2847" s="3"/>
      <c r="H2847" s="3">
        <v>0</v>
      </c>
      <c r="I2847" s="3">
        <v>0</v>
      </c>
      <c r="J2847" s="3">
        <v>0</v>
      </c>
      <c r="K2847" s="3">
        <v>0</v>
      </c>
      <c r="L2847" s="3">
        <f t="shared" si="130"/>
        <v>0</v>
      </c>
      <c r="M2847" s="3"/>
      <c r="N2847" s="3">
        <f t="shared" si="131"/>
        <v>0</v>
      </c>
      <c r="R2847" s="89"/>
      <c r="S2847" s="89">
        <f>100%-Table34[[#This Row],[PDF_initial fee]]</f>
        <v>1</v>
      </c>
      <c r="T2847" s="89"/>
      <c r="U2847" s="26"/>
    </row>
    <row r="2848" spans="1:21" hidden="1" x14ac:dyDescent="0.25">
      <c r="A2848">
        <v>564504</v>
      </c>
      <c r="B2848" t="s">
        <v>3212</v>
      </c>
      <c r="C2848" t="s">
        <v>10464</v>
      </c>
      <c r="D2848">
        <v>1</v>
      </c>
      <c r="E2848" t="s">
        <v>3212</v>
      </c>
      <c r="G2848" s="3"/>
      <c r="H2848" s="21">
        <v>0</v>
      </c>
      <c r="I2848" s="21">
        <v>0</v>
      </c>
      <c r="J2848" s="21">
        <v>0</v>
      </c>
      <c r="K2848" s="21">
        <v>0</v>
      </c>
      <c r="L2848" s="3">
        <f t="shared" si="130"/>
        <v>0</v>
      </c>
      <c r="M2848" s="3"/>
      <c r="N2848" s="3">
        <f t="shared" si="131"/>
        <v>0</v>
      </c>
      <c r="R2848" s="89"/>
      <c r="S2848" s="89">
        <f>100%-Table34[[#This Row],[PDF_initial fee]]</f>
        <v>1</v>
      </c>
      <c r="T2848" s="89"/>
      <c r="U2848" s="26"/>
    </row>
    <row r="2849" spans="1:21" hidden="1" x14ac:dyDescent="0.25">
      <c r="A2849">
        <v>564525</v>
      </c>
      <c r="B2849" t="s">
        <v>3213</v>
      </c>
      <c r="C2849" t="s">
        <v>6958</v>
      </c>
      <c r="D2849">
        <v>0</v>
      </c>
      <c r="E2849" t="s">
        <v>3213</v>
      </c>
      <c r="F2849" t="s">
        <v>6958</v>
      </c>
      <c r="G2849" s="3"/>
      <c r="H2849" s="21">
        <v>0</v>
      </c>
      <c r="I2849" s="21">
        <v>0</v>
      </c>
      <c r="J2849" s="21">
        <v>0</v>
      </c>
      <c r="K2849" s="21">
        <v>0</v>
      </c>
      <c r="L2849" s="3">
        <f t="shared" si="130"/>
        <v>0</v>
      </c>
      <c r="M2849" s="3"/>
      <c r="N2849" s="3">
        <f t="shared" si="131"/>
        <v>0</v>
      </c>
      <c r="R2849" s="89"/>
      <c r="S2849" s="89">
        <f>100%-Table34[[#This Row],[PDF_initial fee]]</f>
        <v>1</v>
      </c>
      <c r="T2849" s="89"/>
      <c r="U2849" s="26"/>
    </row>
    <row r="2850" spans="1:21" hidden="1" x14ac:dyDescent="0.25">
      <c r="A2850">
        <v>564603</v>
      </c>
      <c r="B2850" t="s">
        <v>3214</v>
      </c>
      <c r="C2850" t="s">
        <v>6958</v>
      </c>
      <c r="D2850">
        <v>1</v>
      </c>
      <c r="E2850" t="s">
        <v>3214</v>
      </c>
      <c r="F2850" t="s">
        <v>6958</v>
      </c>
      <c r="G2850" s="3"/>
      <c r="H2850" s="21">
        <v>0</v>
      </c>
      <c r="I2850" s="21">
        <v>0</v>
      </c>
      <c r="J2850" s="21">
        <v>0</v>
      </c>
      <c r="K2850" s="21">
        <v>0</v>
      </c>
      <c r="L2850" s="3">
        <f t="shared" ref="L2850:L2913" si="132">SUM(H2850:K2850)</f>
        <v>0</v>
      </c>
      <c r="M2850" s="3"/>
      <c r="N2850" s="3">
        <f t="shared" ref="N2850:N2913" si="133">L2850+G2850</f>
        <v>0</v>
      </c>
      <c r="R2850" s="89"/>
      <c r="S2850" s="89">
        <f>100%-Table34[[#This Row],[PDF_initial fee]]</f>
        <v>1</v>
      </c>
      <c r="T2850" s="89"/>
      <c r="U2850" s="26"/>
    </row>
    <row r="2851" spans="1:21" hidden="1" x14ac:dyDescent="0.25">
      <c r="A2851">
        <v>564741</v>
      </c>
      <c r="B2851" t="s">
        <v>3215</v>
      </c>
      <c r="C2851" t="s">
        <v>30443</v>
      </c>
      <c r="D2851">
        <v>0</v>
      </c>
      <c r="E2851" t="s">
        <v>3215</v>
      </c>
      <c r="F2851" t="s">
        <v>29136</v>
      </c>
      <c r="G2851" s="3"/>
      <c r="H2851" s="21">
        <v>0</v>
      </c>
      <c r="I2851" s="21">
        <v>0</v>
      </c>
      <c r="J2851" s="21">
        <v>0</v>
      </c>
      <c r="K2851" s="21">
        <v>0</v>
      </c>
      <c r="L2851" s="3">
        <f t="shared" si="132"/>
        <v>0</v>
      </c>
      <c r="M2851" s="3"/>
      <c r="N2851" s="3">
        <f t="shared" si="133"/>
        <v>0</v>
      </c>
      <c r="O2851" s="21"/>
      <c r="R2851" s="89"/>
      <c r="S2851" s="89">
        <f>100%-Table34[[#This Row],[PDF_initial fee]]</f>
        <v>1</v>
      </c>
      <c r="T2851" s="89"/>
      <c r="U2851" s="26"/>
    </row>
    <row r="2852" spans="1:21" hidden="1" x14ac:dyDescent="0.25">
      <c r="A2852">
        <v>564770</v>
      </c>
      <c r="B2852" t="s">
        <v>3216</v>
      </c>
      <c r="C2852" t="s">
        <v>12549</v>
      </c>
      <c r="D2852">
        <v>3</v>
      </c>
      <c r="E2852" t="s">
        <v>3216</v>
      </c>
      <c r="G2852" s="3"/>
      <c r="H2852" s="21">
        <v>0</v>
      </c>
      <c r="I2852" s="21">
        <v>0</v>
      </c>
      <c r="J2852" s="21">
        <v>0</v>
      </c>
      <c r="K2852" s="21">
        <v>0</v>
      </c>
      <c r="L2852" s="3">
        <f t="shared" si="132"/>
        <v>0</v>
      </c>
      <c r="M2852" s="3"/>
      <c r="N2852" s="3">
        <f t="shared" si="133"/>
        <v>0</v>
      </c>
      <c r="R2852" s="89"/>
      <c r="S2852" s="89">
        <f>100%-Table34[[#This Row],[PDF_initial fee]]</f>
        <v>1</v>
      </c>
      <c r="T2852" s="89"/>
      <c r="U2852" s="26"/>
    </row>
    <row r="2853" spans="1:21" hidden="1" x14ac:dyDescent="0.25">
      <c r="A2853">
        <v>564876</v>
      </c>
      <c r="B2853" t="s">
        <v>3217</v>
      </c>
      <c r="C2853" t="s">
        <v>30444</v>
      </c>
      <c r="D2853">
        <v>0</v>
      </c>
      <c r="E2853" t="s">
        <v>3217</v>
      </c>
      <c r="F2853" t="s">
        <v>29136</v>
      </c>
      <c r="G2853" s="3"/>
      <c r="H2853" s="21">
        <v>0</v>
      </c>
      <c r="I2853" s="21">
        <v>0</v>
      </c>
      <c r="J2853" s="21">
        <v>0</v>
      </c>
      <c r="K2853" s="21">
        <v>0</v>
      </c>
      <c r="L2853" s="3">
        <f t="shared" si="132"/>
        <v>0</v>
      </c>
      <c r="M2853" s="3"/>
      <c r="N2853" s="3">
        <f t="shared" si="133"/>
        <v>0</v>
      </c>
      <c r="O2853" s="21"/>
      <c r="R2853" s="89"/>
      <c r="S2853" s="89">
        <f>100%-Table34[[#This Row],[PDF_initial fee]]</f>
        <v>1</v>
      </c>
      <c r="T2853" s="89"/>
      <c r="U2853" s="26"/>
    </row>
    <row r="2854" spans="1:21" hidden="1" x14ac:dyDescent="0.25">
      <c r="A2854">
        <v>564990</v>
      </c>
      <c r="B2854" t="s">
        <v>3218</v>
      </c>
      <c r="C2854" t="s">
        <v>10888</v>
      </c>
      <c r="D2854">
        <v>1</v>
      </c>
      <c r="E2854" t="s">
        <v>3218</v>
      </c>
      <c r="G2854" s="3"/>
      <c r="H2854" s="21">
        <v>0</v>
      </c>
      <c r="I2854" s="21">
        <v>0</v>
      </c>
      <c r="J2854" s="21">
        <v>0</v>
      </c>
      <c r="K2854" s="21">
        <v>0</v>
      </c>
      <c r="L2854" s="3">
        <f t="shared" si="132"/>
        <v>0</v>
      </c>
      <c r="M2854" s="3"/>
      <c r="N2854" s="3">
        <f t="shared" si="133"/>
        <v>0</v>
      </c>
      <c r="R2854" s="89"/>
      <c r="S2854" s="89">
        <f>100%-Table34[[#This Row],[PDF_initial fee]]</f>
        <v>1</v>
      </c>
      <c r="T2854" s="89"/>
      <c r="U2854" s="26"/>
    </row>
    <row r="2855" spans="1:21" hidden="1" x14ac:dyDescent="0.25">
      <c r="A2855">
        <v>565076</v>
      </c>
      <c r="B2855" t="s">
        <v>3219</v>
      </c>
      <c r="C2855" t="s">
        <v>11877</v>
      </c>
      <c r="D2855">
        <v>2</v>
      </c>
      <c r="E2855" t="s">
        <v>3219</v>
      </c>
      <c r="G2855" s="3"/>
      <c r="H2855" s="21">
        <v>0</v>
      </c>
      <c r="I2855" s="21">
        <v>0</v>
      </c>
      <c r="J2855" s="21">
        <v>0</v>
      </c>
      <c r="K2855" s="21">
        <v>0</v>
      </c>
      <c r="L2855" s="3">
        <f t="shared" si="132"/>
        <v>0</v>
      </c>
      <c r="M2855" s="3"/>
      <c r="N2855" s="3">
        <f t="shared" si="133"/>
        <v>0</v>
      </c>
      <c r="R2855" s="89"/>
      <c r="S2855" s="89">
        <f>100%-Table34[[#This Row],[PDF_initial fee]]</f>
        <v>1</v>
      </c>
      <c r="T2855" s="89"/>
      <c r="U2855" s="26"/>
    </row>
    <row r="2856" spans="1:21" hidden="1" x14ac:dyDescent="0.25">
      <c r="A2856">
        <v>565523</v>
      </c>
      <c r="B2856" t="s">
        <v>3221</v>
      </c>
      <c r="C2856" t="s">
        <v>30445</v>
      </c>
      <c r="D2856">
        <v>2</v>
      </c>
      <c r="E2856" t="s">
        <v>3221</v>
      </c>
      <c r="G2856" s="3"/>
      <c r="H2856" s="3">
        <v>0</v>
      </c>
      <c r="I2856" s="3">
        <v>0</v>
      </c>
      <c r="J2856" s="3">
        <v>0</v>
      </c>
      <c r="K2856" s="3">
        <v>0</v>
      </c>
      <c r="L2856" s="3">
        <f t="shared" si="132"/>
        <v>0</v>
      </c>
      <c r="M2856" s="3"/>
      <c r="N2856" s="3">
        <f t="shared" si="133"/>
        <v>0</v>
      </c>
      <c r="R2856" s="89"/>
      <c r="S2856" s="89">
        <f>100%-Table34[[#This Row],[PDF_initial fee]]</f>
        <v>1</v>
      </c>
      <c r="T2856" s="89"/>
      <c r="U2856" s="26"/>
    </row>
    <row r="2857" spans="1:21" hidden="1" x14ac:dyDescent="0.25">
      <c r="A2857">
        <v>565554</v>
      </c>
      <c r="B2857" t="s">
        <v>3222</v>
      </c>
      <c r="C2857" t="s">
        <v>8661</v>
      </c>
      <c r="D2857">
        <v>2</v>
      </c>
      <c r="E2857" t="s">
        <v>3222</v>
      </c>
      <c r="G2857" s="3"/>
      <c r="L2857" s="3">
        <f t="shared" si="132"/>
        <v>0</v>
      </c>
      <c r="M2857" s="3"/>
      <c r="N2857" s="3">
        <f t="shared" si="133"/>
        <v>0</v>
      </c>
      <c r="R2857" s="89"/>
      <c r="S2857" s="89">
        <f>100%-Table34[[#This Row],[PDF_initial fee]]</f>
        <v>1</v>
      </c>
      <c r="T2857" s="89"/>
      <c r="U2857" s="26"/>
    </row>
    <row r="2858" spans="1:21" hidden="1" x14ac:dyDescent="0.25">
      <c r="A2858">
        <v>565732</v>
      </c>
      <c r="B2858" t="s">
        <v>3223</v>
      </c>
      <c r="C2858" t="s">
        <v>9019</v>
      </c>
      <c r="D2858">
        <v>4</v>
      </c>
      <c r="E2858" t="s">
        <v>3223</v>
      </c>
      <c r="G2858" s="3"/>
      <c r="L2858" s="3">
        <f t="shared" si="132"/>
        <v>0</v>
      </c>
      <c r="M2858" s="3"/>
      <c r="N2858" s="3">
        <f t="shared" si="133"/>
        <v>0</v>
      </c>
      <c r="R2858" s="89"/>
      <c r="S2858" s="89">
        <f>100%-Table34[[#This Row],[PDF_initial fee]]</f>
        <v>1</v>
      </c>
      <c r="T2858" s="89"/>
      <c r="U2858" s="26"/>
    </row>
    <row r="2859" spans="1:21" hidden="1" x14ac:dyDescent="0.25">
      <c r="A2859">
        <v>565876</v>
      </c>
      <c r="B2859" t="s">
        <v>3224</v>
      </c>
      <c r="C2859" t="s">
        <v>6952</v>
      </c>
      <c r="D2859">
        <v>4</v>
      </c>
      <c r="E2859" t="s">
        <v>3224</v>
      </c>
      <c r="G2859" s="3"/>
      <c r="H2859" s="21">
        <v>0</v>
      </c>
      <c r="I2859" s="21">
        <v>0</v>
      </c>
      <c r="J2859" s="21">
        <v>0</v>
      </c>
      <c r="K2859" s="21">
        <v>0</v>
      </c>
      <c r="L2859" s="3">
        <f t="shared" si="132"/>
        <v>0</v>
      </c>
      <c r="M2859" s="3"/>
      <c r="N2859" s="3">
        <f t="shared" si="133"/>
        <v>0</v>
      </c>
      <c r="R2859" s="89"/>
      <c r="S2859" s="89">
        <f>100%-Table34[[#This Row],[PDF_initial fee]]</f>
        <v>1</v>
      </c>
      <c r="T2859" s="89"/>
      <c r="U2859" s="26"/>
    </row>
    <row r="2860" spans="1:21" hidden="1" x14ac:dyDescent="0.25">
      <c r="A2860">
        <v>566225</v>
      </c>
      <c r="B2860" t="s">
        <v>3225</v>
      </c>
      <c r="C2860" t="s">
        <v>30446</v>
      </c>
      <c r="D2860">
        <v>1</v>
      </c>
      <c r="E2860" t="s">
        <v>3225</v>
      </c>
      <c r="G2860" s="3"/>
      <c r="H2860" s="3">
        <v>0</v>
      </c>
      <c r="I2860" s="3">
        <v>0</v>
      </c>
      <c r="J2860" s="3">
        <v>0</v>
      </c>
      <c r="K2860" s="3">
        <v>0</v>
      </c>
      <c r="L2860" s="3">
        <f t="shared" si="132"/>
        <v>0</v>
      </c>
      <c r="M2860" s="3"/>
      <c r="N2860" s="3">
        <f t="shared" si="133"/>
        <v>0</v>
      </c>
      <c r="R2860" s="89"/>
      <c r="S2860" s="89">
        <f>100%-Table34[[#This Row],[PDF_initial fee]]</f>
        <v>1</v>
      </c>
      <c r="T2860" s="89"/>
      <c r="U2860" s="26"/>
    </row>
    <row r="2861" spans="1:21" hidden="1" x14ac:dyDescent="0.25">
      <c r="A2861">
        <v>566257</v>
      </c>
      <c r="B2861" t="s">
        <v>3226</v>
      </c>
      <c r="C2861" t="s">
        <v>6958</v>
      </c>
      <c r="D2861">
        <v>0</v>
      </c>
      <c r="E2861" t="s">
        <v>3226</v>
      </c>
      <c r="F2861" t="s">
        <v>6958</v>
      </c>
      <c r="G2861" s="3"/>
      <c r="H2861" s="21">
        <v>0</v>
      </c>
      <c r="I2861" s="21">
        <v>0</v>
      </c>
      <c r="J2861" s="21">
        <v>0</v>
      </c>
      <c r="K2861" s="21">
        <v>0</v>
      </c>
      <c r="L2861" s="3">
        <f t="shared" si="132"/>
        <v>0</v>
      </c>
      <c r="M2861" s="3"/>
      <c r="N2861" s="3">
        <f t="shared" si="133"/>
        <v>0</v>
      </c>
      <c r="R2861" s="89"/>
      <c r="S2861" s="89">
        <f>100%-Table34[[#This Row],[PDF_initial fee]]</f>
        <v>1</v>
      </c>
      <c r="T2861" s="89"/>
      <c r="U2861" s="26"/>
    </row>
    <row r="2862" spans="1:21" hidden="1" x14ac:dyDescent="0.25">
      <c r="A2862">
        <v>566865</v>
      </c>
      <c r="B2862" t="s">
        <v>3228</v>
      </c>
      <c r="C2862" t="s">
        <v>30447</v>
      </c>
      <c r="D2862">
        <v>6</v>
      </c>
      <c r="E2862" t="s">
        <v>3228</v>
      </c>
      <c r="G2862" s="3"/>
      <c r="H2862" s="21">
        <v>0</v>
      </c>
      <c r="I2862" s="21">
        <v>0</v>
      </c>
      <c r="J2862" s="21">
        <v>0</v>
      </c>
      <c r="K2862" s="21">
        <v>0</v>
      </c>
      <c r="L2862" s="3">
        <f t="shared" si="132"/>
        <v>0</v>
      </c>
      <c r="M2862" s="3"/>
      <c r="N2862" s="3">
        <f t="shared" si="133"/>
        <v>0</v>
      </c>
      <c r="O2862" s="21"/>
      <c r="R2862" s="89"/>
      <c r="S2862" s="89">
        <f>100%-Table34[[#This Row],[PDF_initial fee]]</f>
        <v>1</v>
      </c>
      <c r="T2862" s="89"/>
      <c r="U2862" s="26"/>
    </row>
    <row r="2863" spans="1:21" hidden="1" x14ac:dyDescent="0.25">
      <c r="A2863">
        <v>566890</v>
      </c>
      <c r="B2863" t="s">
        <v>3229</v>
      </c>
      <c r="C2863" t="s">
        <v>7439</v>
      </c>
      <c r="D2863">
        <v>12</v>
      </c>
      <c r="E2863" t="s">
        <v>3229</v>
      </c>
      <c r="G2863" s="3"/>
      <c r="H2863" s="40"/>
      <c r="I2863" s="39"/>
      <c r="J2863" s="39"/>
      <c r="K2863" s="39"/>
      <c r="L2863" s="3">
        <f t="shared" si="132"/>
        <v>0</v>
      </c>
      <c r="M2863" s="3"/>
      <c r="N2863" s="3">
        <f t="shared" si="133"/>
        <v>0</v>
      </c>
      <c r="R2863" s="89"/>
      <c r="S2863" s="89">
        <f>100%-Table34[[#This Row],[PDF_initial fee]]</f>
        <v>1</v>
      </c>
      <c r="T2863" s="89"/>
      <c r="U2863" s="26"/>
    </row>
    <row r="2864" spans="1:21" hidden="1" x14ac:dyDescent="0.25">
      <c r="A2864">
        <v>566936</v>
      </c>
      <c r="B2864" t="s">
        <v>3230</v>
      </c>
      <c r="C2864" t="s">
        <v>11223</v>
      </c>
      <c r="D2864">
        <v>1</v>
      </c>
      <c r="E2864" t="s">
        <v>3230</v>
      </c>
      <c r="G2864" s="3"/>
      <c r="H2864" s="21">
        <v>0</v>
      </c>
      <c r="I2864" s="21">
        <v>0</v>
      </c>
      <c r="J2864" s="21">
        <v>0</v>
      </c>
      <c r="K2864" s="21">
        <v>0</v>
      </c>
      <c r="L2864" s="3">
        <f t="shared" si="132"/>
        <v>0</v>
      </c>
      <c r="M2864" s="3"/>
      <c r="N2864" s="3">
        <f t="shared" si="133"/>
        <v>0</v>
      </c>
      <c r="R2864" s="89"/>
      <c r="S2864" s="89">
        <f>100%-Table34[[#This Row],[PDF_initial fee]]</f>
        <v>1</v>
      </c>
      <c r="T2864" s="89"/>
      <c r="U2864" s="26"/>
    </row>
    <row r="2865" spans="1:30" hidden="1" x14ac:dyDescent="0.25">
      <c r="A2865">
        <v>566946</v>
      </c>
      <c r="B2865" t="s">
        <v>3231</v>
      </c>
      <c r="C2865" t="s">
        <v>30448</v>
      </c>
      <c r="D2865">
        <v>5</v>
      </c>
      <c r="E2865" t="s">
        <v>3231</v>
      </c>
      <c r="G2865" s="3"/>
      <c r="H2865" s="3">
        <v>0</v>
      </c>
      <c r="I2865" s="3">
        <v>0</v>
      </c>
      <c r="J2865" s="3">
        <v>0</v>
      </c>
      <c r="K2865" s="3">
        <v>0</v>
      </c>
      <c r="L2865" s="3">
        <f t="shared" si="132"/>
        <v>0</v>
      </c>
      <c r="M2865" s="3"/>
      <c r="N2865" s="3">
        <f t="shared" si="133"/>
        <v>0</v>
      </c>
      <c r="R2865" s="89"/>
      <c r="S2865" s="89">
        <f>100%-Table34[[#This Row],[PDF_initial fee]]</f>
        <v>1</v>
      </c>
      <c r="T2865" s="89"/>
      <c r="U2865" s="26"/>
    </row>
    <row r="2866" spans="1:30" hidden="1" x14ac:dyDescent="0.25">
      <c r="A2866">
        <v>567443</v>
      </c>
      <c r="B2866" t="s">
        <v>3233</v>
      </c>
      <c r="C2866" t="s">
        <v>30449</v>
      </c>
      <c r="D2866">
        <v>2</v>
      </c>
      <c r="E2866" t="s">
        <v>3233</v>
      </c>
      <c r="G2866" s="3"/>
      <c r="H2866" s="3">
        <v>0</v>
      </c>
      <c r="I2866" s="3">
        <v>0</v>
      </c>
      <c r="J2866" s="3">
        <v>0</v>
      </c>
      <c r="K2866" s="3">
        <v>0</v>
      </c>
      <c r="L2866" s="3">
        <f t="shared" si="132"/>
        <v>0</v>
      </c>
      <c r="M2866" s="3"/>
      <c r="N2866" s="3">
        <f t="shared" si="133"/>
        <v>0</v>
      </c>
      <c r="R2866" s="89"/>
      <c r="S2866" s="89">
        <f>100%-Table34[[#This Row],[PDF_initial fee]]</f>
        <v>1</v>
      </c>
      <c r="T2866" s="89"/>
      <c r="U2866" s="26"/>
    </row>
    <row r="2867" spans="1:30" hidden="1" x14ac:dyDescent="0.25">
      <c r="A2867">
        <v>567504</v>
      </c>
      <c r="B2867" t="s">
        <v>3234</v>
      </c>
      <c r="C2867" t="s">
        <v>12138</v>
      </c>
      <c r="D2867">
        <v>3</v>
      </c>
      <c r="E2867" t="s">
        <v>3234</v>
      </c>
      <c r="G2867" s="3"/>
      <c r="H2867" s="21">
        <v>0</v>
      </c>
      <c r="I2867" s="21">
        <v>0</v>
      </c>
      <c r="J2867" s="21">
        <v>0</v>
      </c>
      <c r="K2867" s="21">
        <v>0</v>
      </c>
      <c r="L2867" s="3">
        <f t="shared" si="132"/>
        <v>0</v>
      </c>
      <c r="M2867" s="3"/>
      <c r="N2867" s="3">
        <f t="shared" si="133"/>
        <v>0</v>
      </c>
      <c r="R2867" s="89"/>
      <c r="S2867" s="89">
        <f>100%-Table34[[#This Row],[PDF_initial fee]]</f>
        <v>1</v>
      </c>
      <c r="T2867" s="89"/>
      <c r="U2867" s="26"/>
    </row>
    <row r="2868" spans="1:30" hidden="1" x14ac:dyDescent="0.25">
      <c r="A2868">
        <v>567842</v>
      </c>
      <c r="B2868" t="s">
        <v>3235</v>
      </c>
      <c r="C2868" t="s">
        <v>8898</v>
      </c>
      <c r="D2868">
        <v>5</v>
      </c>
      <c r="E2868" t="s">
        <v>3235</v>
      </c>
      <c r="G2868" s="3"/>
      <c r="H2868" s="21">
        <v>0</v>
      </c>
      <c r="I2868" s="21">
        <v>0</v>
      </c>
      <c r="J2868" s="21">
        <v>0</v>
      </c>
      <c r="K2868" s="21">
        <v>0</v>
      </c>
      <c r="L2868" s="3">
        <f t="shared" si="132"/>
        <v>0</v>
      </c>
      <c r="M2868" s="3"/>
      <c r="N2868" s="3">
        <f t="shared" si="133"/>
        <v>0</v>
      </c>
      <c r="R2868" s="89"/>
      <c r="S2868" s="89">
        <f>100%-Table34[[#This Row],[PDF_initial fee]]</f>
        <v>1</v>
      </c>
      <c r="T2868" s="89"/>
      <c r="U2868" s="26"/>
    </row>
    <row r="2869" spans="1:30" hidden="1" x14ac:dyDescent="0.25">
      <c r="A2869">
        <v>567851</v>
      </c>
      <c r="B2869" t="s">
        <v>3236</v>
      </c>
      <c r="C2869" t="s">
        <v>8533</v>
      </c>
      <c r="D2869">
        <v>4</v>
      </c>
      <c r="E2869" t="s">
        <v>3236</v>
      </c>
      <c r="G2869" s="3"/>
      <c r="H2869" s="21">
        <v>0</v>
      </c>
      <c r="I2869" s="21">
        <v>0</v>
      </c>
      <c r="J2869" s="21">
        <v>0</v>
      </c>
      <c r="K2869" s="21">
        <v>0</v>
      </c>
      <c r="L2869" s="3">
        <f t="shared" si="132"/>
        <v>0</v>
      </c>
      <c r="M2869" s="3"/>
      <c r="N2869" s="3">
        <f t="shared" si="133"/>
        <v>0</v>
      </c>
      <c r="R2869" s="89"/>
      <c r="S2869" s="89">
        <f>100%-Table34[[#This Row],[PDF_initial fee]]</f>
        <v>1</v>
      </c>
      <c r="T2869" s="89"/>
      <c r="U2869" s="26"/>
    </row>
    <row r="2870" spans="1:30" hidden="1" x14ac:dyDescent="0.25">
      <c r="A2870">
        <v>567852</v>
      </c>
      <c r="B2870" t="s">
        <v>3237</v>
      </c>
      <c r="C2870" t="s">
        <v>12394</v>
      </c>
      <c r="D2870">
        <v>10</v>
      </c>
      <c r="E2870" t="s">
        <v>3237</v>
      </c>
      <c r="G2870" s="3"/>
      <c r="H2870" s="21">
        <v>0</v>
      </c>
      <c r="I2870" s="21">
        <v>0</v>
      </c>
      <c r="J2870" s="21">
        <v>0</v>
      </c>
      <c r="K2870" s="21">
        <v>0</v>
      </c>
      <c r="L2870" s="3">
        <f t="shared" si="132"/>
        <v>0</v>
      </c>
      <c r="M2870" s="3"/>
      <c r="N2870" s="3">
        <f t="shared" si="133"/>
        <v>0</v>
      </c>
      <c r="R2870" s="89"/>
      <c r="S2870" s="89">
        <f>100%-Table34[[#This Row],[PDF_initial fee]]</f>
        <v>1</v>
      </c>
      <c r="T2870" s="89"/>
      <c r="U2870" s="26"/>
    </row>
    <row r="2871" spans="1:30" x14ac:dyDescent="0.25">
      <c r="A2871">
        <v>582519</v>
      </c>
      <c r="B2871" t="s">
        <v>237</v>
      </c>
      <c r="C2871" t="s">
        <v>30450</v>
      </c>
      <c r="D2871">
        <v>87</v>
      </c>
      <c r="E2871" t="s">
        <v>237</v>
      </c>
      <c r="F2871" t="s">
        <v>6</v>
      </c>
      <c r="G2871" s="3">
        <v>0.01</v>
      </c>
      <c r="H2871" s="3">
        <v>0</v>
      </c>
      <c r="J2871" s="3">
        <v>3.5000000000000003E-2</v>
      </c>
      <c r="K2871" s="21">
        <v>0</v>
      </c>
      <c r="L2871" s="3">
        <f t="shared" si="132"/>
        <v>3.5000000000000003E-2</v>
      </c>
      <c r="M2871" s="3"/>
      <c r="N2871" s="3">
        <f t="shared" si="133"/>
        <v>4.5000000000000005E-2</v>
      </c>
      <c r="O2871" t="s">
        <v>29390</v>
      </c>
      <c r="P2871" s="22" t="s">
        <v>30450</v>
      </c>
      <c r="Q2871" s="1" t="s">
        <v>29529</v>
      </c>
      <c r="R2871" s="89">
        <v>0.21840000000000001</v>
      </c>
      <c r="S2871" s="89">
        <f>100%-Table34[[#This Row],[PDF_initial fee]]</f>
        <v>0.96499999999999997</v>
      </c>
      <c r="T2871" s="89">
        <f>(1-Table34[[#This Row],[PDF ongoing fee]])^5</f>
        <v>1</v>
      </c>
      <c r="U2871" s="26">
        <f>(1+Table34[[#This Row],[Net 5yrs return (mostly up to 28th of Feb 2026)]])*Table34[[#This Row],[Investment after initial charge]]*Table34[[#This Row],[Cummulative 5yrs ongoing advice charge]]-1</f>
        <v>0.1757559999999998</v>
      </c>
      <c r="V2871" s="10">
        <v>29758790</v>
      </c>
      <c r="W2871" s="10" t="s">
        <v>29051</v>
      </c>
      <c r="X2871" s="10">
        <v>18783993</v>
      </c>
      <c r="Y2871" s="30">
        <f>X2871/V2871</f>
        <v>0.63120822452794623</v>
      </c>
      <c r="Z2871" s="10"/>
      <c r="AA2871" s="1" t="s">
        <v>30451</v>
      </c>
      <c r="AD2871" s="1" t="s">
        <v>29529</v>
      </c>
    </row>
    <row r="2872" spans="1:30" hidden="1" x14ac:dyDescent="0.25">
      <c r="A2872">
        <v>568273</v>
      </c>
      <c r="B2872" t="s">
        <v>3238</v>
      </c>
      <c r="C2872" t="s">
        <v>6958</v>
      </c>
      <c r="D2872">
        <v>2</v>
      </c>
      <c r="E2872" t="s">
        <v>3238</v>
      </c>
      <c r="F2872" t="s">
        <v>6958</v>
      </c>
      <c r="G2872" s="3"/>
      <c r="H2872" s="21">
        <v>0</v>
      </c>
      <c r="I2872" s="21">
        <v>0</v>
      </c>
      <c r="J2872" s="21">
        <v>0</v>
      </c>
      <c r="K2872" s="21">
        <v>0</v>
      </c>
      <c r="L2872" s="3">
        <f t="shared" si="132"/>
        <v>0</v>
      </c>
      <c r="M2872" s="3"/>
      <c r="N2872" s="3">
        <f t="shared" si="133"/>
        <v>0</v>
      </c>
      <c r="R2872" s="89"/>
      <c r="S2872" s="89">
        <f>100%-Table34[[#This Row],[PDF_initial fee]]</f>
        <v>1</v>
      </c>
      <c r="T2872" s="89"/>
      <c r="U2872" s="26"/>
    </row>
    <row r="2873" spans="1:30" hidden="1" x14ac:dyDescent="0.25">
      <c r="A2873">
        <v>568281</v>
      </c>
      <c r="B2873" t="s">
        <v>3239</v>
      </c>
      <c r="C2873" t="s">
        <v>11763</v>
      </c>
      <c r="D2873">
        <v>1</v>
      </c>
      <c r="E2873" t="s">
        <v>3239</v>
      </c>
      <c r="G2873" s="3"/>
      <c r="H2873" s="21">
        <v>0</v>
      </c>
      <c r="I2873" s="21">
        <v>0</v>
      </c>
      <c r="J2873" s="21">
        <v>0</v>
      </c>
      <c r="K2873" s="21">
        <v>0</v>
      </c>
      <c r="L2873" s="3">
        <f t="shared" si="132"/>
        <v>0</v>
      </c>
      <c r="M2873" s="3"/>
      <c r="N2873" s="3">
        <f t="shared" si="133"/>
        <v>0</v>
      </c>
      <c r="R2873" s="89"/>
      <c r="S2873" s="89">
        <f>100%-Table34[[#This Row],[PDF_initial fee]]</f>
        <v>1</v>
      </c>
      <c r="T2873" s="89"/>
      <c r="U2873" s="26"/>
    </row>
    <row r="2874" spans="1:30" hidden="1" x14ac:dyDescent="0.25">
      <c r="A2874">
        <v>568323</v>
      </c>
      <c r="B2874" t="s">
        <v>3240</v>
      </c>
      <c r="C2874" t="s">
        <v>30452</v>
      </c>
      <c r="D2874">
        <v>0</v>
      </c>
      <c r="E2874" t="s">
        <v>3240</v>
      </c>
      <c r="F2874" t="s">
        <v>29136</v>
      </c>
      <c r="G2874" s="3"/>
      <c r="H2874" s="21">
        <v>0</v>
      </c>
      <c r="I2874" s="3">
        <v>0</v>
      </c>
      <c r="J2874" s="3">
        <v>0</v>
      </c>
      <c r="K2874">
        <v>0</v>
      </c>
      <c r="L2874" s="3">
        <f t="shared" si="132"/>
        <v>0</v>
      </c>
      <c r="M2874" s="3"/>
      <c r="N2874" s="3">
        <f t="shared" si="133"/>
        <v>0</v>
      </c>
      <c r="R2874" s="89"/>
      <c r="S2874" s="89">
        <f>100%-Table34[[#This Row],[PDF_initial fee]]</f>
        <v>1</v>
      </c>
      <c r="T2874" s="89"/>
      <c r="U2874" s="26"/>
    </row>
    <row r="2875" spans="1:30" hidden="1" x14ac:dyDescent="0.25">
      <c r="A2875">
        <v>568521</v>
      </c>
      <c r="B2875" t="s">
        <v>3242</v>
      </c>
      <c r="C2875" t="s">
        <v>6958</v>
      </c>
      <c r="D2875">
        <v>1</v>
      </c>
      <c r="E2875" t="s">
        <v>3242</v>
      </c>
      <c r="F2875" t="s">
        <v>6958</v>
      </c>
      <c r="G2875" s="3"/>
      <c r="H2875" s="21">
        <v>0</v>
      </c>
      <c r="I2875" s="21">
        <v>0</v>
      </c>
      <c r="J2875" s="21">
        <v>0</v>
      </c>
      <c r="K2875" s="21">
        <v>0</v>
      </c>
      <c r="L2875" s="3">
        <f t="shared" si="132"/>
        <v>0</v>
      </c>
      <c r="M2875" s="3"/>
      <c r="N2875" s="3">
        <f t="shared" si="133"/>
        <v>0</v>
      </c>
      <c r="R2875" s="89"/>
      <c r="S2875" s="89">
        <f>100%-Table34[[#This Row],[PDF_initial fee]]</f>
        <v>1</v>
      </c>
      <c r="T2875" s="89"/>
      <c r="U2875" s="26"/>
    </row>
    <row r="2876" spans="1:30" hidden="1" x14ac:dyDescent="0.25">
      <c r="A2876">
        <v>569043</v>
      </c>
      <c r="B2876" t="s">
        <v>3243</v>
      </c>
      <c r="C2876" t="s">
        <v>30453</v>
      </c>
      <c r="D2876">
        <v>1</v>
      </c>
      <c r="E2876" t="s">
        <v>3243</v>
      </c>
      <c r="G2876" s="3"/>
      <c r="H2876" s="3">
        <v>0</v>
      </c>
      <c r="I2876" s="3">
        <v>0</v>
      </c>
      <c r="J2876" s="3">
        <v>0</v>
      </c>
      <c r="K2876" s="3">
        <v>0</v>
      </c>
      <c r="L2876" s="3">
        <f t="shared" si="132"/>
        <v>0</v>
      </c>
      <c r="M2876" s="3"/>
      <c r="N2876" s="3">
        <f t="shared" si="133"/>
        <v>0</v>
      </c>
      <c r="R2876" s="89"/>
      <c r="S2876" s="89">
        <f>100%-Table34[[#This Row],[PDF_initial fee]]</f>
        <v>1</v>
      </c>
      <c r="T2876" s="89"/>
      <c r="U2876" s="26"/>
    </row>
    <row r="2877" spans="1:30" hidden="1" x14ac:dyDescent="0.25">
      <c r="A2877">
        <v>569226</v>
      </c>
      <c r="B2877" t="s">
        <v>3244</v>
      </c>
      <c r="C2877" t="s">
        <v>10774</v>
      </c>
      <c r="D2877">
        <v>2</v>
      </c>
      <c r="E2877" t="s">
        <v>3244</v>
      </c>
      <c r="G2877" s="3"/>
      <c r="H2877" s="21">
        <v>0</v>
      </c>
      <c r="I2877" s="21">
        <v>0</v>
      </c>
      <c r="J2877" s="21">
        <v>0</v>
      </c>
      <c r="K2877" s="21">
        <v>0</v>
      </c>
      <c r="L2877" s="3">
        <f t="shared" si="132"/>
        <v>0</v>
      </c>
      <c r="M2877" s="3"/>
      <c r="N2877" s="3">
        <f t="shared" si="133"/>
        <v>0</v>
      </c>
      <c r="R2877" s="89"/>
      <c r="S2877" s="89">
        <f>100%-Table34[[#This Row],[PDF_initial fee]]</f>
        <v>1</v>
      </c>
      <c r="T2877" s="89"/>
      <c r="U2877" s="26"/>
    </row>
    <row r="2878" spans="1:30" hidden="1" x14ac:dyDescent="0.25">
      <c r="A2878">
        <v>569612</v>
      </c>
      <c r="B2878" t="s">
        <v>3245</v>
      </c>
      <c r="C2878" t="s">
        <v>6958</v>
      </c>
      <c r="D2878">
        <v>2</v>
      </c>
      <c r="E2878" t="s">
        <v>3245</v>
      </c>
      <c r="F2878" t="s">
        <v>6958</v>
      </c>
      <c r="G2878" s="3"/>
      <c r="H2878" s="21">
        <v>0</v>
      </c>
      <c r="I2878" s="21">
        <v>0</v>
      </c>
      <c r="J2878" s="21">
        <v>0</v>
      </c>
      <c r="K2878" s="21">
        <v>0</v>
      </c>
      <c r="L2878" s="3">
        <f t="shared" si="132"/>
        <v>0</v>
      </c>
      <c r="M2878" s="3"/>
      <c r="N2878" s="3">
        <f t="shared" si="133"/>
        <v>0</v>
      </c>
      <c r="R2878" s="89"/>
      <c r="S2878" s="89">
        <f>100%-Table34[[#This Row],[PDF_initial fee]]</f>
        <v>1</v>
      </c>
      <c r="T2878" s="89"/>
      <c r="U2878" s="26"/>
    </row>
    <row r="2879" spans="1:30" hidden="1" x14ac:dyDescent="0.25">
      <c r="A2879">
        <v>569713</v>
      </c>
      <c r="B2879" t="s">
        <v>3246</v>
      </c>
      <c r="C2879" t="s">
        <v>8458</v>
      </c>
      <c r="D2879">
        <v>8</v>
      </c>
      <c r="E2879" t="s">
        <v>3246</v>
      </c>
      <c r="G2879" s="3"/>
      <c r="L2879" s="3">
        <f t="shared" si="132"/>
        <v>0</v>
      </c>
      <c r="M2879" s="3"/>
      <c r="N2879" s="3">
        <f t="shared" si="133"/>
        <v>0</v>
      </c>
      <c r="R2879" s="89"/>
      <c r="S2879" s="89">
        <f>100%-Table34[[#This Row],[PDF_initial fee]]</f>
        <v>1</v>
      </c>
      <c r="T2879" s="89"/>
      <c r="U2879" s="26"/>
    </row>
    <row r="2880" spans="1:30" hidden="1" x14ac:dyDescent="0.25">
      <c r="A2880">
        <v>569723</v>
      </c>
      <c r="B2880" t="s">
        <v>3247</v>
      </c>
      <c r="C2880" t="s">
        <v>30454</v>
      </c>
      <c r="D2880">
        <v>1</v>
      </c>
      <c r="E2880" t="s">
        <v>3247</v>
      </c>
      <c r="G2880" s="3"/>
      <c r="H2880" s="3">
        <v>0</v>
      </c>
      <c r="I2880" s="3">
        <v>0</v>
      </c>
      <c r="J2880" s="3">
        <v>0</v>
      </c>
      <c r="K2880" s="3">
        <v>0</v>
      </c>
      <c r="L2880" s="3">
        <f t="shared" si="132"/>
        <v>0</v>
      </c>
      <c r="M2880" s="3"/>
      <c r="N2880" s="3">
        <f t="shared" si="133"/>
        <v>0</v>
      </c>
      <c r="R2880" s="89"/>
      <c r="S2880" s="89">
        <f>100%-Table34[[#This Row],[PDF_initial fee]]</f>
        <v>1</v>
      </c>
      <c r="T2880" s="89"/>
      <c r="U2880" s="26"/>
    </row>
    <row r="2881" spans="1:21" hidden="1" x14ac:dyDescent="0.25">
      <c r="A2881">
        <v>569871</v>
      </c>
      <c r="B2881" t="s">
        <v>3248</v>
      </c>
      <c r="C2881" t="s">
        <v>7021</v>
      </c>
      <c r="D2881">
        <v>2</v>
      </c>
      <c r="E2881" t="s">
        <v>3248</v>
      </c>
      <c r="G2881" s="3"/>
      <c r="L2881" s="3">
        <f t="shared" si="132"/>
        <v>0</v>
      </c>
      <c r="M2881" s="3"/>
      <c r="N2881" s="3">
        <f t="shared" si="133"/>
        <v>0</v>
      </c>
      <c r="R2881" s="89"/>
      <c r="S2881" s="89">
        <f>100%-Table34[[#This Row],[PDF_initial fee]]</f>
        <v>1</v>
      </c>
      <c r="T2881" s="89"/>
      <c r="U2881" s="26"/>
    </row>
    <row r="2882" spans="1:21" hidden="1" x14ac:dyDescent="0.25">
      <c r="A2882">
        <v>569888</v>
      </c>
      <c r="B2882" t="s">
        <v>3249</v>
      </c>
      <c r="C2882" t="s">
        <v>7244</v>
      </c>
      <c r="D2882">
        <v>3</v>
      </c>
      <c r="E2882" t="s">
        <v>3249</v>
      </c>
      <c r="G2882" s="3"/>
      <c r="H2882" s="21">
        <v>0</v>
      </c>
      <c r="I2882" s="21">
        <v>0</v>
      </c>
      <c r="J2882" s="21">
        <v>0</v>
      </c>
      <c r="K2882" s="21">
        <v>0</v>
      </c>
      <c r="L2882" s="3">
        <f t="shared" si="132"/>
        <v>0</v>
      </c>
      <c r="M2882" s="3"/>
      <c r="N2882" s="3">
        <f t="shared" si="133"/>
        <v>0</v>
      </c>
      <c r="R2882" s="89"/>
      <c r="S2882" s="89">
        <f>100%-Table34[[#This Row],[PDF_initial fee]]</f>
        <v>1</v>
      </c>
      <c r="T2882" s="89"/>
      <c r="U2882" s="26"/>
    </row>
    <row r="2883" spans="1:21" hidden="1" x14ac:dyDescent="0.25">
      <c r="A2883">
        <v>570102</v>
      </c>
      <c r="B2883" t="s">
        <v>3250</v>
      </c>
      <c r="C2883" t="s">
        <v>10946</v>
      </c>
      <c r="D2883">
        <v>2</v>
      </c>
      <c r="E2883" t="s">
        <v>3250</v>
      </c>
      <c r="G2883" s="3"/>
      <c r="L2883" s="3">
        <f t="shared" si="132"/>
        <v>0</v>
      </c>
      <c r="M2883" s="3"/>
      <c r="N2883" s="3">
        <f t="shared" si="133"/>
        <v>0</v>
      </c>
      <c r="R2883" s="89"/>
      <c r="S2883" s="89">
        <f>100%-Table34[[#This Row],[PDF_initial fee]]</f>
        <v>1</v>
      </c>
      <c r="T2883" s="89"/>
      <c r="U2883" s="26"/>
    </row>
    <row r="2884" spans="1:21" hidden="1" x14ac:dyDescent="0.25">
      <c r="A2884">
        <v>570863</v>
      </c>
      <c r="B2884" t="s">
        <v>3252</v>
      </c>
      <c r="C2884" t="s">
        <v>12515</v>
      </c>
      <c r="D2884">
        <v>2</v>
      </c>
      <c r="E2884" t="s">
        <v>3252</v>
      </c>
      <c r="G2884" s="3"/>
      <c r="H2884" s="21">
        <v>0</v>
      </c>
      <c r="I2884" s="21">
        <v>0</v>
      </c>
      <c r="J2884" s="21">
        <v>0</v>
      </c>
      <c r="K2884" s="21">
        <v>0</v>
      </c>
      <c r="L2884" s="3">
        <f t="shared" si="132"/>
        <v>0</v>
      </c>
      <c r="M2884" s="3"/>
      <c r="N2884" s="3">
        <f t="shared" si="133"/>
        <v>0</v>
      </c>
      <c r="R2884" s="89"/>
      <c r="S2884" s="89">
        <f>100%-Table34[[#This Row],[PDF_initial fee]]</f>
        <v>1</v>
      </c>
      <c r="T2884" s="89"/>
      <c r="U2884" s="26"/>
    </row>
    <row r="2885" spans="1:21" hidden="1" x14ac:dyDescent="0.25">
      <c r="A2885">
        <v>571252</v>
      </c>
      <c r="B2885" t="s">
        <v>3253</v>
      </c>
      <c r="C2885" t="s">
        <v>7229</v>
      </c>
      <c r="D2885">
        <v>1</v>
      </c>
      <c r="E2885" t="s">
        <v>3253</v>
      </c>
      <c r="G2885" s="3"/>
      <c r="H2885" s="21">
        <v>0</v>
      </c>
      <c r="I2885" s="21">
        <v>0</v>
      </c>
      <c r="J2885" s="21">
        <v>0</v>
      </c>
      <c r="K2885" s="21">
        <v>0</v>
      </c>
      <c r="L2885" s="3">
        <f t="shared" si="132"/>
        <v>0</v>
      </c>
      <c r="M2885" s="3"/>
      <c r="N2885" s="3">
        <f t="shared" si="133"/>
        <v>0</v>
      </c>
      <c r="R2885" s="89"/>
      <c r="S2885" s="89">
        <f>100%-Table34[[#This Row],[PDF_initial fee]]</f>
        <v>1</v>
      </c>
      <c r="T2885" s="89"/>
      <c r="U2885" s="26"/>
    </row>
    <row r="2886" spans="1:21" hidden="1" x14ac:dyDescent="0.25">
      <c r="A2886">
        <v>571299</v>
      </c>
      <c r="B2886" t="s">
        <v>3254</v>
      </c>
      <c r="C2886" t="s">
        <v>10263</v>
      </c>
      <c r="D2886">
        <v>1</v>
      </c>
      <c r="E2886" t="s">
        <v>3254</v>
      </c>
      <c r="G2886" s="3"/>
      <c r="H2886" s="21">
        <v>0</v>
      </c>
      <c r="I2886" s="21">
        <v>0</v>
      </c>
      <c r="J2886" s="21">
        <v>0</v>
      </c>
      <c r="K2886" s="21">
        <v>0</v>
      </c>
      <c r="L2886" s="3">
        <f t="shared" si="132"/>
        <v>0</v>
      </c>
      <c r="M2886" s="3"/>
      <c r="N2886" s="3">
        <f t="shared" si="133"/>
        <v>0</v>
      </c>
      <c r="R2886" s="89"/>
      <c r="S2886" s="89">
        <f>100%-Table34[[#This Row],[PDF_initial fee]]</f>
        <v>1</v>
      </c>
      <c r="T2886" s="89"/>
      <c r="U2886" s="26"/>
    </row>
    <row r="2887" spans="1:21" hidden="1" x14ac:dyDescent="0.25">
      <c r="A2887">
        <v>571405</v>
      </c>
      <c r="B2887" t="s">
        <v>3255</v>
      </c>
      <c r="C2887" t="s">
        <v>9937</v>
      </c>
      <c r="D2887">
        <v>2</v>
      </c>
      <c r="E2887" t="s">
        <v>3255</v>
      </c>
      <c r="G2887" s="3"/>
      <c r="H2887" s="21">
        <v>0</v>
      </c>
      <c r="I2887" s="21">
        <v>0</v>
      </c>
      <c r="J2887" s="21">
        <v>0</v>
      </c>
      <c r="K2887" s="21">
        <v>0</v>
      </c>
      <c r="L2887" s="3">
        <f t="shared" si="132"/>
        <v>0</v>
      </c>
      <c r="M2887" s="3"/>
      <c r="N2887" s="3">
        <f t="shared" si="133"/>
        <v>0</v>
      </c>
      <c r="R2887" s="89"/>
      <c r="S2887" s="89">
        <f>100%-Table34[[#This Row],[PDF_initial fee]]</f>
        <v>1</v>
      </c>
      <c r="T2887" s="89"/>
      <c r="U2887" s="26"/>
    </row>
    <row r="2888" spans="1:21" hidden="1" x14ac:dyDescent="0.25">
      <c r="A2888">
        <v>571590</v>
      </c>
      <c r="B2888" t="s">
        <v>3256</v>
      </c>
      <c r="C2888" t="s">
        <v>30455</v>
      </c>
      <c r="D2888">
        <v>2</v>
      </c>
      <c r="E2888" t="s">
        <v>3256</v>
      </c>
      <c r="G2888" s="3"/>
      <c r="H2888" s="3">
        <v>0</v>
      </c>
      <c r="I2888" s="3">
        <v>0</v>
      </c>
      <c r="J2888" s="3">
        <v>0</v>
      </c>
      <c r="K2888" s="3">
        <v>0</v>
      </c>
      <c r="L2888" s="3">
        <f t="shared" si="132"/>
        <v>0</v>
      </c>
      <c r="M2888" s="3"/>
      <c r="N2888" s="3">
        <f t="shared" si="133"/>
        <v>0</v>
      </c>
      <c r="R2888" s="89"/>
      <c r="S2888" s="89">
        <f>100%-Table34[[#This Row],[PDF_initial fee]]</f>
        <v>1</v>
      </c>
      <c r="T2888" s="89"/>
      <c r="U2888" s="26"/>
    </row>
    <row r="2889" spans="1:21" hidden="1" x14ac:dyDescent="0.25">
      <c r="A2889">
        <v>571653</v>
      </c>
      <c r="B2889" t="s">
        <v>3257</v>
      </c>
      <c r="C2889" t="s">
        <v>30456</v>
      </c>
      <c r="D2889">
        <v>2</v>
      </c>
      <c r="E2889" t="s">
        <v>3257</v>
      </c>
      <c r="G2889" s="3"/>
      <c r="H2889" s="3">
        <v>0</v>
      </c>
      <c r="I2889" s="3">
        <v>0</v>
      </c>
      <c r="J2889" s="3">
        <v>0</v>
      </c>
      <c r="K2889" s="3">
        <v>0</v>
      </c>
      <c r="L2889" s="3">
        <f t="shared" si="132"/>
        <v>0</v>
      </c>
      <c r="M2889" s="3"/>
      <c r="N2889" s="3">
        <f t="shared" si="133"/>
        <v>0</v>
      </c>
      <c r="R2889" s="89"/>
      <c r="S2889" s="89">
        <f>100%-Table34[[#This Row],[PDF_initial fee]]</f>
        <v>1</v>
      </c>
      <c r="T2889" s="89"/>
      <c r="U2889" s="26"/>
    </row>
    <row r="2890" spans="1:21" hidden="1" x14ac:dyDescent="0.25">
      <c r="A2890">
        <v>571695</v>
      </c>
      <c r="B2890" t="s">
        <v>3258</v>
      </c>
      <c r="C2890" t="s">
        <v>7931</v>
      </c>
      <c r="D2890">
        <v>0</v>
      </c>
      <c r="E2890" t="s">
        <v>3258</v>
      </c>
      <c r="F2890" t="s">
        <v>3</v>
      </c>
      <c r="G2890" s="3"/>
      <c r="H2890" s="21">
        <v>0</v>
      </c>
      <c r="I2890" s="21">
        <v>0</v>
      </c>
      <c r="J2890" s="21">
        <v>0</v>
      </c>
      <c r="K2890" s="21">
        <v>0</v>
      </c>
      <c r="L2890" s="3">
        <f t="shared" si="132"/>
        <v>0</v>
      </c>
      <c r="M2890" s="3"/>
      <c r="N2890" s="3">
        <f t="shared" si="133"/>
        <v>0</v>
      </c>
      <c r="R2890" s="89"/>
      <c r="S2890" s="89">
        <f>100%-Table34[[#This Row],[PDF_initial fee]]</f>
        <v>1</v>
      </c>
      <c r="T2890" s="89"/>
      <c r="U2890" s="26"/>
    </row>
    <row r="2891" spans="1:21" hidden="1" x14ac:dyDescent="0.25">
      <c r="A2891">
        <v>571728</v>
      </c>
      <c r="B2891" t="s">
        <v>3259</v>
      </c>
      <c r="C2891" t="s">
        <v>30457</v>
      </c>
      <c r="D2891">
        <v>2</v>
      </c>
      <c r="E2891" t="s">
        <v>3259</v>
      </c>
      <c r="G2891" s="3"/>
      <c r="H2891" s="3">
        <v>0</v>
      </c>
      <c r="I2891" s="3">
        <v>0</v>
      </c>
      <c r="J2891" s="3">
        <v>0</v>
      </c>
      <c r="K2891" s="3">
        <v>0</v>
      </c>
      <c r="L2891" s="3">
        <f t="shared" si="132"/>
        <v>0</v>
      </c>
      <c r="M2891" s="3"/>
      <c r="N2891" s="3">
        <f t="shared" si="133"/>
        <v>0</v>
      </c>
      <c r="R2891" s="89"/>
      <c r="S2891" s="89">
        <f>100%-Table34[[#This Row],[PDF_initial fee]]</f>
        <v>1</v>
      </c>
      <c r="T2891" s="89"/>
      <c r="U2891" s="26"/>
    </row>
    <row r="2892" spans="1:21" hidden="1" x14ac:dyDescent="0.25">
      <c r="A2892">
        <v>572096</v>
      </c>
      <c r="B2892" t="s">
        <v>3260</v>
      </c>
      <c r="C2892" t="s">
        <v>30458</v>
      </c>
      <c r="D2892">
        <v>8</v>
      </c>
      <c r="E2892" t="s">
        <v>3260</v>
      </c>
      <c r="G2892" s="3"/>
      <c r="H2892" s="21">
        <v>0</v>
      </c>
      <c r="I2892" s="21">
        <v>0</v>
      </c>
      <c r="J2892" s="21">
        <v>0</v>
      </c>
      <c r="K2892" s="21">
        <v>0</v>
      </c>
      <c r="L2892" s="3">
        <f t="shared" si="132"/>
        <v>0</v>
      </c>
      <c r="M2892" s="3"/>
      <c r="N2892" s="3">
        <f t="shared" si="133"/>
        <v>0</v>
      </c>
      <c r="O2892" s="21"/>
      <c r="R2892" s="89"/>
      <c r="S2892" s="89">
        <f>100%-Table34[[#This Row],[PDF_initial fee]]</f>
        <v>1</v>
      </c>
      <c r="T2892" s="89"/>
      <c r="U2892" s="26"/>
    </row>
    <row r="2893" spans="1:21" hidden="1" x14ac:dyDescent="0.25">
      <c r="A2893">
        <v>572119</v>
      </c>
      <c r="B2893" t="s">
        <v>3261</v>
      </c>
      <c r="C2893" t="s">
        <v>6958</v>
      </c>
      <c r="D2893">
        <v>1</v>
      </c>
      <c r="E2893" t="s">
        <v>3261</v>
      </c>
      <c r="F2893" t="s">
        <v>6958</v>
      </c>
      <c r="G2893" s="3"/>
      <c r="H2893" s="21">
        <v>0</v>
      </c>
      <c r="I2893" s="21">
        <v>0</v>
      </c>
      <c r="J2893" s="21">
        <v>0</v>
      </c>
      <c r="K2893" s="21">
        <v>0</v>
      </c>
      <c r="L2893" s="3">
        <f t="shared" si="132"/>
        <v>0</v>
      </c>
      <c r="M2893" s="3"/>
      <c r="N2893" s="3">
        <f t="shared" si="133"/>
        <v>0</v>
      </c>
      <c r="R2893" s="89"/>
      <c r="S2893" s="89">
        <f>100%-Table34[[#This Row],[PDF_initial fee]]</f>
        <v>1</v>
      </c>
      <c r="T2893" s="89"/>
      <c r="U2893" s="26"/>
    </row>
    <row r="2894" spans="1:21" hidden="1" x14ac:dyDescent="0.25">
      <c r="A2894">
        <v>572159</v>
      </c>
      <c r="B2894" t="s">
        <v>3263</v>
      </c>
      <c r="C2894" t="s">
        <v>6958</v>
      </c>
      <c r="D2894">
        <v>1</v>
      </c>
      <c r="E2894" t="s">
        <v>3263</v>
      </c>
      <c r="F2894" t="s">
        <v>6958</v>
      </c>
      <c r="G2894" s="3"/>
      <c r="H2894" s="21">
        <v>0</v>
      </c>
      <c r="I2894" s="21">
        <v>0</v>
      </c>
      <c r="J2894" s="21">
        <v>0</v>
      </c>
      <c r="K2894" s="21">
        <v>0</v>
      </c>
      <c r="L2894" s="3">
        <f t="shared" si="132"/>
        <v>0</v>
      </c>
      <c r="M2894" s="3"/>
      <c r="N2894" s="3">
        <f t="shared" si="133"/>
        <v>0</v>
      </c>
      <c r="R2894" s="89"/>
      <c r="S2894" s="89">
        <f>100%-Table34[[#This Row],[PDF_initial fee]]</f>
        <v>1</v>
      </c>
      <c r="T2894" s="89"/>
      <c r="U2894" s="26"/>
    </row>
    <row r="2895" spans="1:21" hidden="1" x14ac:dyDescent="0.25">
      <c r="A2895">
        <v>572300</v>
      </c>
      <c r="B2895" t="s">
        <v>3264</v>
      </c>
      <c r="C2895" t="s">
        <v>30459</v>
      </c>
      <c r="D2895">
        <v>0</v>
      </c>
      <c r="E2895" t="s">
        <v>3264</v>
      </c>
      <c r="F2895" t="s">
        <v>29136</v>
      </c>
      <c r="G2895" s="3"/>
      <c r="H2895" s="21">
        <v>0</v>
      </c>
      <c r="I2895" s="21">
        <v>0</v>
      </c>
      <c r="J2895" s="21">
        <v>0</v>
      </c>
      <c r="K2895" s="21">
        <v>0</v>
      </c>
      <c r="L2895" s="3">
        <f t="shared" si="132"/>
        <v>0</v>
      </c>
      <c r="M2895" s="3"/>
      <c r="N2895" s="3">
        <f t="shared" si="133"/>
        <v>0</v>
      </c>
      <c r="O2895" s="21"/>
      <c r="R2895" s="89"/>
      <c r="S2895" s="89">
        <f>100%-Table34[[#This Row],[PDF_initial fee]]</f>
        <v>1</v>
      </c>
      <c r="T2895" s="89"/>
      <c r="U2895" s="26"/>
    </row>
    <row r="2896" spans="1:21" hidden="1" x14ac:dyDescent="0.25">
      <c r="A2896">
        <v>572308</v>
      </c>
      <c r="B2896" t="s">
        <v>3265</v>
      </c>
      <c r="C2896" t="s">
        <v>9985</v>
      </c>
      <c r="D2896">
        <v>2</v>
      </c>
      <c r="E2896" t="s">
        <v>3265</v>
      </c>
      <c r="G2896" s="3"/>
      <c r="H2896" s="21">
        <v>0</v>
      </c>
      <c r="I2896" s="21">
        <v>0</v>
      </c>
      <c r="J2896" s="21">
        <v>0</v>
      </c>
      <c r="K2896" s="21">
        <v>0</v>
      </c>
      <c r="L2896" s="3">
        <f t="shared" si="132"/>
        <v>0</v>
      </c>
      <c r="M2896" s="3"/>
      <c r="N2896" s="3">
        <f t="shared" si="133"/>
        <v>0</v>
      </c>
      <c r="R2896" s="89"/>
      <c r="S2896" s="89">
        <f>100%-Table34[[#This Row],[PDF_initial fee]]</f>
        <v>1</v>
      </c>
      <c r="T2896" s="89"/>
      <c r="U2896" s="26"/>
    </row>
    <row r="2897" spans="1:30" hidden="1" x14ac:dyDescent="0.25">
      <c r="A2897">
        <v>572461</v>
      </c>
      <c r="B2897" t="s">
        <v>3267</v>
      </c>
      <c r="C2897" t="s">
        <v>30460</v>
      </c>
      <c r="D2897">
        <v>1</v>
      </c>
      <c r="E2897" t="s">
        <v>3267</v>
      </c>
      <c r="G2897" s="3"/>
      <c r="H2897" s="3">
        <v>0</v>
      </c>
      <c r="I2897" s="3">
        <v>0</v>
      </c>
      <c r="J2897" s="3">
        <v>0</v>
      </c>
      <c r="K2897" s="3">
        <v>0</v>
      </c>
      <c r="L2897" s="3">
        <f t="shared" si="132"/>
        <v>0</v>
      </c>
      <c r="M2897" s="3"/>
      <c r="N2897" s="3">
        <f t="shared" si="133"/>
        <v>0</v>
      </c>
      <c r="R2897" s="89"/>
      <c r="S2897" s="89">
        <f>100%-Table34[[#This Row],[PDF_initial fee]]</f>
        <v>1</v>
      </c>
      <c r="T2897" s="89"/>
      <c r="U2897" s="26"/>
    </row>
    <row r="2898" spans="1:30" hidden="1" x14ac:dyDescent="0.25">
      <c r="A2898">
        <v>572521</v>
      </c>
      <c r="B2898" t="s">
        <v>3268</v>
      </c>
      <c r="C2898" t="s">
        <v>10599</v>
      </c>
      <c r="D2898">
        <v>2</v>
      </c>
      <c r="E2898" t="s">
        <v>3268</v>
      </c>
      <c r="G2898" s="3"/>
      <c r="H2898" s="21">
        <v>0</v>
      </c>
      <c r="I2898" s="21">
        <v>0</v>
      </c>
      <c r="J2898" s="21">
        <v>0</v>
      </c>
      <c r="K2898" s="21">
        <v>0</v>
      </c>
      <c r="L2898" s="3">
        <f t="shared" si="132"/>
        <v>0</v>
      </c>
      <c r="M2898" s="3"/>
      <c r="N2898" s="3">
        <f t="shared" si="133"/>
        <v>0</v>
      </c>
      <c r="R2898" s="89"/>
      <c r="S2898" s="89">
        <f>100%-Table34[[#This Row],[PDF_initial fee]]</f>
        <v>1</v>
      </c>
      <c r="T2898" s="89"/>
      <c r="U2898" s="26"/>
    </row>
    <row r="2899" spans="1:30" hidden="1" x14ac:dyDescent="0.25">
      <c r="A2899">
        <v>572605</v>
      </c>
      <c r="B2899" t="s">
        <v>3269</v>
      </c>
      <c r="C2899" t="s">
        <v>6958</v>
      </c>
      <c r="D2899">
        <v>2</v>
      </c>
      <c r="E2899" t="s">
        <v>3269</v>
      </c>
      <c r="F2899" t="s">
        <v>6958</v>
      </c>
      <c r="G2899" s="3"/>
      <c r="H2899" s="21">
        <v>0</v>
      </c>
      <c r="I2899" s="21">
        <v>0</v>
      </c>
      <c r="J2899" s="21">
        <v>0</v>
      </c>
      <c r="K2899" s="21">
        <v>0</v>
      </c>
      <c r="L2899" s="3">
        <f t="shared" si="132"/>
        <v>0</v>
      </c>
      <c r="M2899" s="3"/>
      <c r="N2899" s="3">
        <f t="shared" si="133"/>
        <v>0</v>
      </c>
      <c r="R2899" s="89"/>
      <c r="S2899" s="89">
        <f>100%-Table34[[#This Row],[PDF_initial fee]]</f>
        <v>1</v>
      </c>
      <c r="T2899" s="89"/>
      <c r="U2899" s="26"/>
    </row>
    <row r="2900" spans="1:30" hidden="1" x14ac:dyDescent="0.25">
      <c r="A2900">
        <v>572611</v>
      </c>
      <c r="B2900" t="s">
        <v>3270</v>
      </c>
      <c r="C2900" t="s">
        <v>8048</v>
      </c>
      <c r="D2900">
        <v>4</v>
      </c>
      <c r="E2900" t="s">
        <v>3270</v>
      </c>
      <c r="G2900" s="3"/>
      <c r="H2900" s="21">
        <v>0</v>
      </c>
      <c r="I2900" s="21">
        <v>0</v>
      </c>
      <c r="J2900" s="21">
        <v>0</v>
      </c>
      <c r="K2900" s="21">
        <v>0</v>
      </c>
      <c r="L2900" s="3">
        <f t="shared" si="132"/>
        <v>0</v>
      </c>
      <c r="M2900" s="3"/>
      <c r="N2900" s="3">
        <f t="shared" si="133"/>
        <v>0</v>
      </c>
      <c r="R2900" s="89"/>
      <c r="S2900" s="89">
        <f>100%-Table34[[#This Row],[PDF_initial fee]]</f>
        <v>1</v>
      </c>
      <c r="T2900" s="89"/>
      <c r="U2900" s="26"/>
    </row>
    <row r="2901" spans="1:30" hidden="1" x14ac:dyDescent="0.25">
      <c r="A2901">
        <v>572655</v>
      </c>
      <c r="B2901" t="s">
        <v>3271</v>
      </c>
      <c r="C2901" t="s">
        <v>11333</v>
      </c>
      <c r="D2901">
        <v>1</v>
      </c>
      <c r="E2901" t="s">
        <v>3271</v>
      </c>
      <c r="G2901" s="3"/>
      <c r="H2901" s="21">
        <v>0</v>
      </c>
      <c r="I2901" s="21">
        <v>0</v>
      </c>
      <c r="J2901" s="21">
        <v>0</v>
      </c>
      <c r="K2901" s="21">
        <v>0</v>
      </c>
      <c r="L2901" s="3">
        <f t="shared" si="132"/>
        <v>0</v>
      </c>
      <c r="M2901" s="3"/>
      <c r="N2901" s="3">
        <f t="shared" si="133"/>
        <v>0</v>
      </c>
      <c r="R2901" s="89"/>
      <c r="S2901" s="89">
        <f>100%-Table34[[#This Row],[PDF_initial fee]]</f>
        <v>1</v>
      </c>
      <c r="T2901" s="89"/>
      <c r="U2901" s="26"/>
    </row>
    <row r="2902" spans="1:30" hidden="1" x14ac:dyDescent="0.25">
      <c r="A2902">
        <v>572691</v>
      </c>
      <c r="B2902" t="s">
        <v>3272</v>
      </c>
      <c r="C2902" t="s">
        <v>30461</v>
      </c>
      <c r="D2902">
        <v>4</v>
      </c>
      <c r="E2902" t="s">
        <v>3272</v>
      </c>
      <c r="G2902" s="3"/>
      <c r="H2902" s="21">
        <v>0</v>
      </c>
      <c r="I2902" s="3">
        <v>0</v>
      </c>
      <c r="J2902" s="3">
        <v>0</v>
      </c>
      <c r="K2902">
        <v>0</v>
      </c>
      <c r="L2902" s="3">
        <f t="shared" si="132"/>
        <v>0</v>
      </c>
      <c r="M2902" s="3"/>
      <c r="N2902" s="3">
        <f t="shared" si="133"/>
        <v>0</v>
      </c>
      <c r="R2902" s="89"/>
      <c r="S2902" s="89">
        <f>100%-Table34[[#This Row],[PDF_initial fee]]</f>
        <v>1</v>
      </c>
      <c r="T2902" s="89"/>
      <c r="U2902" s="26"/>
    </row>
    <row r="2903" spans="1:30" hidden="1" x14ac:dyDescent="0.25">
      <c r="A2903">
        <v>572891</v>
      </c>
      <c r="B2903" t="s">
        <v>3273</v>
      </c>
      <c r="C2903" t="s">
        <v>8928</v>
      </c>
      <c r="D2903">
        <v>2</v>
      </c>
      <c r="E2903" t="s">
        <v>3273</v>
      </c>
      <c r="G2903" s="3"/>
      <c r="L2903" s="3">
        <f t="shared" si="132"/>
        <v>0</v>
      </c>
      <c r="M2903" s="3"/>
      <c r="N2903" s="3">
        <f t="shared" si="133"/>
        <v>0</v>
      </c>
      <c r="R2903" s="89"/>
      <c r="S2903" s="89">
        <f>100%-Table34[[#This Row],[PDF_initial fee]]</f>
        <v>1</v>
      </c>
      <c r="T2903" s="89"/>
      <c r="U2903" s="26"/>
    </row>
    <row r="2904" spans="1:30" hidden="1" x14ac:dyDescent="0.25">
      <c r="A2904">
        <v>572917</v>
      </c>
      <c r="B2904" t="s">
        <v>3274</v>
      </c>
      <c r="C2904" t="s">
        <v>6958</v>
      </c>
      <c r="D2904">
        <v>1</v>
      </c>
      <c r="E2904" t="s">
        <v>3274</v>
      </c>
      <c r="F2904" t="s">
        <v>6958</v>
      </c>
      <c r="G2904" s="3"/>
      <c r="H2904" s="21">
        <v>0</v>
      </c>
      <c r="I2904" s="21">
        <v>0</v>
      </c>
      <c r="J2904" s="21">
        <v>0</v>
      </c>
      <c r="K2904" s="21">
        <v>0</v>
      </c>
      <c r="L2904" s="3">
        <f t="shared" si="132"/>
        <v>0</v>
      </c>
      <c r="M2904" s="3"/>
      <c r="N2904" s="3">
        <f t="shared" si="133"/>
        <v>0</v>
      </c>
      <c r="O2904" s="21"/>
      <c r="R2904" s="89"/>
      <c r="S2904" s="89">
        <f>100%-Table34[[#This Row],[PDF_initial fee]]</f>
        <v>1</v>
      </c>
      <c r="T2904" s="89"/>
      <c r="U2904" s="26"/>
    </row>
    <row r="2905" spans="1:30" hidden="1" x14ac:dyDescent="0.25">
      <c r="A2905">
        <v>572955</v>
      </c>
      <c r="B2905" t="s">
        <v>3275</v>
      </c>
      <c r="C2905" t="s">
        <v>6958</v>
      </c>
      <c r="D2905">
        <v>4</v>
      </c>
      <c r="E2905" t="s">
        <v>3275</v>
      </c>
      <c r="F2905" t="s">
        <v>6958</v>
      </c>
      <c r="G2905" s="3"/>
      <c r="H2905" s="21">
        <v>0</v>
      </c>
      <c r="I2905" s="21">
        <v>0</v>
      </c>
      <c r="J2905" s="21">
        <v>0</v>
      </c>
      <c r="K2905" s="21">
        <v>0</v>
      </c>
      <c r="L2905" s="3">
        <f t="shared" si="132"/>
        <v>0</v>
      </c>
      <c r="M2905" s="3"/>
      <c r="N2905" s="3">
        <f t="shared" si="133"/>
        <v>0</v>
      </c>
      <c r="R2905" s="89"/>
      <c r="S2905" s="89">
        <f>100%-Table34[[#This Row],[PDF_initial fee]]</f>
        <v>1</v>
      </c>
      <c r="T2905" s="89"/>
      <c r="U2905" s="26"/>
    </row>
    <row r="2906" spans="1:30" x14ac:dyDescent="0.25">
      <c r="A2906">
        <v>453251</v>
      </c>
      <c r="B2906" s="105" t="s">
        <v>171</v>
      </c>
      <c r="C2906" t="s">
        <v>9845</v>
      </c>
      <c r="D2906">
        <v>2</v>
      </c>
      <c r="E2906" t="s">
        <v>171</v>
      </c>
      <c r="F2906" t="s">
        <v>6</v>
      </c>
      <c r="G2906" s="3">
        <v>5.4000000000000003E-3</v>
      </c>
      <c r="H2906" s="3">
        <v>8.9999999999999993E-3</v>
      </c>
      <c r="I2906" s="6">
        <v>4.4999999999999997E-3</v>
      </c>
      <c r="J2906" s="6">
        <v>0</v>
      </c>
      <c r="K2906" s="6">
        <v>0</v>
      </c>
      <c r="L2906" s="3">
        <f t="shared" si="132"/>
        <v>1.3499999999999998E-2</v>
      </c>
      <c r="M2906" s="3"/>
      <c r="N2906" s="3">
        <f t="shared" si="133"/>
        <v>1.89E-2</v>
      </c>
      <c r="P2906" s="1" t="s">
        <v>30462</v>
      </c>
      <c r="Q2906" s="1" t="s">
        <v>30463</v>
      </c>
      <c r="R2906" s="89">
        <v>0.1547</v>
      </c>
      <c r="S2906" s="89">
        <f>100%-Table34[[#This Row],[InitialFee]]</f>
        <v>0.99099999999999999</v>
      </c>
      <c r="T2906" s="89">
        <f>(1-Table34[[#This Row],[OngoingFee (plus Platform fee)]])^5</f>
        <v>0.97770159079846752</v>
      </c>
      <c r="U2906" s="26">
        <f>(1+Table34[[#This Row],[Net 5yrs return (mostly up to 28th of Feb 2026)]])*Table34[[#This Row],[Investment after initial charge]]*Table34[[#This Row],[Cummulative 5yrs ongoing advice charge]]-1</f>
        <v>0.11879145865293572</v>
      </c>
      <c r="V2906" s="10">
        <v>161118851</v>
      </c>
      <c r="W2906" s="10" t="s">
        <v>29081</v>
      </c>
      <c r="X2906" s="10">
        <v>142135576</v>
      </c>
      <c r="Y2906" s="30">
        <f>X2906/V2906</f>
        <v>0.88217843609125535</v>
      </c>
      <c r="Z2906" s="10"/>
      <c r="AA2906" t="s">
        <v>30464</v>
      </c>
    </row>
    <row r="2907" spans="1:30" hidden="1" x14ac:dyDescent="0.25">
      <c r="A2907">
        <v>573420</v>
      </c>
      <c r="B2907" t="s">
        <v>3276</v>
      </c>
      <c r="C2907" t="s">
        <v>6958</v>
      </c>
      <c r="D2907">
        <v>4</v>
      </c>
      <c r="E2907" t="s">
        <v>3276</v>
      </c>
      <c r="F2907" t="s">
        <v>6958</v>
      </c>
      <c r="G2907" s="3"/>
      <c r="H2907" s="21">
        <v>0</v>
      </c>
      <c r="I2907" s="21">
        <v>0</v>
      </c>
      <c r="J2907" s="21">
        <v>0</v>
      </c>
      <c r="K2907" s="21">
        <v>0</v>
      </c>
      <c r="L2907" s="3">
        <f t="shared" si="132"/>
        <v>0</v>
      </c>
      <c r="M2907" s="3"/>
      <c r="N2907" s="3">
        <f t="shared" si="133"/>
        <v>0</v>
      </c>
      <c r="R2907" s="89"/>
      <c r="S2907" s="89">
        <f>100%-Table34[[#This Row],[PDF_initial fee]]</f>
        <v>1</v>
      </c>
      <c r="T2907" s="89"/>
      <c r="U2907" s="26"/>
    </row>
    <row r="2908" spans="1:30" hidden="1" x14ac:dyDescent="0.25">
      <c r="A2908">
        <v>573661</v>
      </c>
      <c r="B2908" t="s">
        <v>3277</v>
      </c>
      <c r="C2908" t="s">
        <v>8614</v>
      </c>
      <c r="D2908">
        <v>1</v>
      </c>
      <c r="E2908" t="s">
        <v>3277</v>
      </c>
      <c r="G2908" s="3"/>
      <c r="H2908" s="21">
        <v>0</v>
      </c>
      <c r="I2908" s="21">
        <v>0</v>
      </c>
      <c r="J2908" s="21">
        <v>0</v>
      </c>
      <c r="K2908" s="21">
        <v>0</v>
      </c>
      <c r="L2908" s="3">
        <f t="shared" si="132"/>
        <v>0</v>
      </c>
      <c r="M2908" s="3"/>
      <c r="N2908" s="3">
        <f t="shared" si="133"/>
        <v>0</v>
      </c>
      <c r="R2908" s="89"/>
      <c r="S2908" s="89">
        <f>100%-Table34[[#This Row],[PDF_initial fee]]</f>
        <v>1</v>
      </c>
      <c r="T2908" s="89"/>
      <c r="U2908" s="26"/>
    </row>
    <row r="2909" spans="1:30" x14ac:dyDescent="0.25">
      <c r="A2909">
        <v>552016</v>
      </c>
      <c r="B2909" s="105" t="s">
        <v>221</v>
      </c>
      <c r="C2909" t="s">
        <v>30465</v>
      </c>
      <c r="D2909">
        <v>7</v>
      </c>
      <c r="E2909" t="s">
        <v>221</v>
      </c>
      <c r="F2909" t="s">
        <v>6</v>
      </c>
      <c r="G2909" s="3">
        <v>5.4000000000000003E-3</v>
      </c>
      <c r="H2909" s="3">
        <v>8.9999999999999993E-3</v>
      </c>
      <c r="I2909" s="6">
        <v>4.4999999999999997E-3</v>
      </c>
      <c r="J2909" s="6">
        <v>0</v>
      </c>
      <c r="K2909" s="6">
        <v>0</v>
      </c>
      <c r="L2909" s="3">
        <f t="shared" si="132"/>
        <v>1.3499999999999998E-2</v>
      </c>
      <c r="M2909" s="3"/>
      <c r="N2909" s="3">
        <f t="shared" si="133"/>
        <v>1.89E-2</v>
      </c>
      <c r="O2909" t="s">
        <v>30466</v>
      </c>
      <c r="P2909" s="101" t="s">
        <v>30462</v>
      </c>
      <c r="Q2909" s="1" t="s">
        <v>30463</v>
      </c>
      <c r="R2909" s="89">
        <v>0.1547</v>
      </c>
      <c r="S2909" s="89">
        <f>100%-Table34[[#This Row],[InitialFee]]</f>
        <v>0.99099999999999999</v>
      </c>
      <c r="T2909" s="89">
        <f>(1-Table34[[#This Row],[OngoingFee (plus Platform fee)]])^5</f>
        <v>0.97770159079846752</v>
      </c>
      <c r="U2909" s="26">
        <f>(1+Table34[[#This Row],[Net 5yrs return (mostly up to 28th of Feb 2026)]])*Table34[[#This Row],[Investment after initial charge]]*Table34[[#This Row],[Cummulative 5yrs ongoing advice charge]]-1</f>
        <v>0.11879145865293572</v>
      </c>
      <c r="V2909" s="10">
        <v>161118851</v>
      </c>
      <c r="W2909" s="10" t="s">
        <v>29081</v>
      </c>
      <c r="X2909" s="10">
        <v>142135576</v>
      </c>
      <c r="Y2909" s="30">
        <f>X2909/V2909</f>
        <v>0.88217843609125535</v>
      </c>
      <c r="Z2909" s="10"/>
      <c r="AA2909" t="s">
        <v>30464</v>
      </c>
      <c r="AB2909" t="s">
        <v>29118</v>
      </c>
      <c r="AD2909" s="1" t="s">
        <v>30463</v>
      </c>
    </row>
    <row r="2910" spans="1:30" hidden="1" x14ac:dyDescent="0.25">
      <c r="A2910">
        <v>574676</v>
      </c>
      <c r="B2910" t="s">
        <v>3278</v>
      </c>
      <c r="C2910" t="s">
        <v>6958</v>
      </c>
      <c r="D2910">
        <v>1</v>
      </c>
      <c r="E2910" t="s">
        <v>3278</v>
      </c>
      <c r="F2910" t="s">
        <v>6958</v>
      </c>
      <c r="G2910" s="3"/>
      <c r="H2910" s="21">
        <v>0</v>
      </c>
      <c r="I2910" s="21">
        <v>0</v>
      </c>
      <c r="J2910" s="21">
        <v>0</v>
      </c>
      <c r="K2910" s="21">
        <v>0</v>
      </c>
      <c r="L2910" s="3">
        <f t="shared" si="132"/>
        <v>0</v>
      </c>
      <c r="M2910" s="3"/>
      <c r="N2910" s="3">
        <f t="shared" si="133"/>
        <v>0</v>
      </c>
      <c r="R2910" s="89"/>
      <c r="S2910" s="89">
        <f>100%-Table34[[#This Row],[PDF_initial fee]]</f>
        <v>1</v>
      </c>
      <c r="T2910" s="89"/>
      <c r="U2910" s="26"/>
    </row>
    <row r="2911" spans="1:30" hidden="1" x14ac:dyDescent="0.25">
      <c r="A2911">
        <v>574686</v>
      </c>
      <c r="B2911" t="s">
        <v>3279</v>
      </c>
      <c r="C2911" t="s">
        <v>10509</v>
      </c>
      <c r="D2911">
        <v>2</v>
      </c>
      <c r="E2911" t="s">
        <v>3279</v>
      </c>
      <c r="G2911" s="3"/>
      <c r="H2911" s="21">
        <v>0</v>
      </c>
      <c r="I2911" s="21">
        <v>0</v>
      </c>
      <c r="J2911" s="21">
        <v>0</v>
      </c>
      <c r="K2911" s="21">
        <v>0</v>
      </c>
      <c r="L2911" s="3">
        <f t="shared" si="132"/>
        <v>0</v>
      </c>
      <c r="M2911" s="3"/>
      <c r="N2911" s="3">
        <f t="shared" si="133"/>
        <v>0</v>
      </c>
      <c r="R2911" s="89"/>
      <c r="S2911" s="89">
        <f>100%-Table34[[#This Row],[PDF_initial fee]]</f>
        <v>1</v>
      </c>
      <c r="T2911" s="89"/>
      <c r="U2911" s="26"/>
    </row>
    <row r="2912" spans="1:30" hidden="1" x14ac:dyDescent="0.25">
      <c r="A2912">
        <v>574786</v>
      </c>
      <c r="B2912" t="s">
        <v>3280</v>
      </c>
      <c r="C2912" t="s">
        <v>30467</v>
      </c>
      <c r="D2912">
        <v>4</v>
      </c>
      <c r="E2912" t="s">
        <v>3280</v>
      </c>
      <c r="G2912" s="3"/>
      <c r="L2912" s="3">
        <f t="shared" si="132"/>
        <v>0</v>
      </c>
      <c r="M2912" s="3"/>
      <c r="N2912" s="3">
        <f t="shared" si="133"/>
        <v>0</v>
      </c>
      <c r="R2912" s="89"/>
      <c r="S2912" s="89">
        <f>100%-Table34[[#This Row],[PDF_initial fee]]</f>
        <v>1</v>
      </c>
      <c r="T2912" s="89"/>
      <c r="U2912" s="26"/>
    </row>
    <row r="2913" spans="1:30" x14ac:dyDescent="0.25">
      <c r="A2913">
        <v>755066</v>
      </c>
      <c r="B2913" s="105" t="s">
        <v>283</v>
      </c>
      <c r="C2913" t="s">
        <v>30465</v>
      </c>
      <c r="D2913">
        <v>71</v>
      </c>
      <c r="E2913" t="s">
        <v>283</v>
      </c>
      <c r="F2913" t="s">
        <v>6</v>
      </c>
      <c r="G2913" s="3">
        <v>5.4000000000000003E-3</v>
      </c>
      <c r="H2913" s="3">
        <v>8.9999999999999993E-3</v>
      </c>
      <c r="I2913" s="6">
        <v>4.4999999999999997E-3</v>
      </c>
      <c r="J2913" s="6">
        <v>0</v>
      </c>
      <c r="K2913" s="6">
        <v>0</v>
      </c>
      <c r="L2913" s="3">
        <f t="shared" si="132"/>
        <v>1.3499999999999998E-2</v>
      </c>
      <c r="M2913" s="3"/>
      <c r="N2913" s="3">
        <f t="shared" si="133"/>
        <v>1.89E-2</v>
      </c>
      <c r="O2913" s="21"/>
      <c r="P2913" s="101" t="s">
        <v>30462</v>
      </c>
      <c r="Q2913" s="1" t="s">
        <v>30463</v>
      </c>
      <c r="R2913" s="89">
        <v>0.1547</v>
      </c>
      <c r="S2913" s="89">
        <f>100%-Table34[[#This Row],[InitialFee]]</f>
        <v>0.99099999999999999</v>
      </c>
      <c r="T2913" s="89">
        <f>(1-Table34[[#This Row],[OngoingFee (plus Platform fee)]])^5</f>
        <v>0.97770159079846752</v>
      </c>
      <c r="U2913" s="26">
        <f>(1+Table34[[#This Row],[Net 5yrs return (mostly up to 28th of Feb 2026)]])*Table34[[#This Row],[Investment after initial charge]]*Table34[[#This Row],[Cummulative 5yrs ongoing advice charge]]-1</f>
        <v>0.11879145865293572</v>
      </c>
      <c r="V2913" s="10">
        <v>161118851</v>
      </c>
      <c r="W2913" s="10" t="s">
        <v>29081</v>
      </c>
      <c r="X2913" s="10">
        <v>142135576</v>
      </c>
      <c r="Y2913" s="30">
        <f>X2913/V2913</f>
        <v>0.88217843609125535</v>
      </c>
      <c r="Z2913" s="10"/>
      <c r="AA2913" t="s">
        <v>30464</v>
      </c>
      <c r="AB2913" t="s">
        <v>29118</v>
      </c>
      <c r="AD2913" s="1" t="s">
        <v>30463</v>
      </c>
    </row>
    <row r="2914" spans="1:30" hidden="1" x14ac:dyDescent="0.25">
      <c r="A2914">
        <v>575237</v>
      </c>
      <c r="B2914" t="s">
        <v>3281</v>
      </c>
      <c r="C2914" t="s">
        <v>6958</v>
      </c>
      <c r="D2914">
        <v>0</v>
      </c>
      <c r="E2914" t="s">
        <v>3281</v>
      </c>
      <c r="F2914" t="s">
        <v>6958</v>
      </c>
      <c r="G2914" s="3"/>
      <c r="L2914" s="3">
        <f t="shared" ref="L2914:L2977" si="134">SUM(H2914:K2914)</f>
        <v>0</v>
      </c>
      <c r="M2914" s="3"/>
      <c r="N2914" s="3">
        <f t="shared" ref="N2914:N2977" si="135">L2914+G2914</f>
        <v>0</v>
      </c>
      <c r="R2914" s="89"/>
      <c r="S2914" s="89">
        <f>100%-Table34[[#This Row],[PDF_initial fee]]</f>
        <v>1</v>
      </c>
      <c r="T2914" s="89"/>
      <c r="U2914" s="26"/>
    </row>
    <row r="2915" spans="1:30" hidden="1" x14ac:dyDescent="0.25">
      <c r="A2915">
        <v>575242</v>
      </c>
      <c r="B2915" t="s">
        <v>3282</v>
      </c>
      <c r="C2915" t="s">
        <v>7710</v>
      </c>
      <c r="D2915">
        <v>0</v>
      </c>
      <c r="E2915" t="s">
        <v>3282</v>
      </c>
      <c r="F2915" t="s">
        <v>3</v>
      </c>
      <c r="G2915" s="3"/>
      <c r="L2915" s="3">
        <f t="shared" si="134"/>
        <v>0</v>
      </c>
      <c r="M2915" s="3"/>
      <c r="N2915" s="3">
        <f t="shared" si="135"/>
        <v>0</v>
      </c>
      <c r="R2915" s="89"/>
      <c r="S2915" s="89">
        <f>100%-Table34[[#This Row],[PDF_initial fee]]</f>
        <v>1</v>
      </c>
      <c r="T2915" s="89"/>
      <c r="U2915" s="26"/>
    </row>
    <row r="2916" spans="1:30" hidden="1" x14ac:dyDescent="0.25">
      <c r="A2916">
        <v>575246</v>
      </c>
      <c r="B2916" t="s">
        <v>3283</v>
      </c>
      <c r="C2916" t="s">
        <v>12360</v>
      </c>
      <c r="D2916">
        <v>1</v>
      </c>
      <c r="E2916" t="s">
        <v>3283</v>
      </c>
      <c r="G2916" s="3"/>
      <c r="H2916" s="21">
        <v>0</v>
      </c>
      <c r="I2916" s="21">
        <v>0</v>
      </c>
      <c r="J2916" s="21">
        <v>0</v>
      </c>
      <c r="K2916" s="21">
        <v>0</v>
      </c>
      <c r="L2916" s="3">
        <f t="shared" si="134"/>
        <v>0</v>
      </c>
      <c r="M2916" s="3"/>
      <c r="N2916" s="3">
        <f t="shared" si="135"/>
        <v>0</v>
      </c>
      <c r="R2916" s="89"/>
      <c r="S2916" s="89">
        <f>100%-Table34[[#This Row],[PDF_initial fee]]</f>
        <v>1</v>
      </c>
      <c r="T2916" s="89"/>
      <c r="U2916" s="26"/>
    </row>
    <row r="2917" spans="1:30" hidden="1" x14ac:dyDescent="0.25">
      <c r="A2917">
        <v>575247</v>
      </c>
      <c r="B2917" t="s">
        <v>3284</v>
      </c>
      <c r="C2917" t="s">
        <v>6958</v>
      </c>
      <c r="D2917">
        <v>1</v>
      </c>
      <c r="E2917" t="s">
        <v>3284</v>
      </c>
      <c r="F2917" t="s">
        <v>6958</v>
      </c>
      <c r="G2917" s="3"/>
      <c r="H2917" s="21">
        <v>0</v>
      </c>
      <c r="I2917" s="21">
        <v>0</v>
      </c>
      <c r="J2917" s="21">
        <v>0</v>
      </c>
      <c r="K2917" s="21">
        <v>0</v>
      </c>
      <c r="L2917" s="3">
        <f t="shared" si="134"/>
        <v>0</v>
      </c>
      <c r="M2917" s="3"/>
      <c r="N2917" s="3">
        <f t="shared" si="135"/>
        <v>0</v>
      </c>
      <c r="R2917" s="89"/>
      <c r="S2917" s="89">
        <f>100%-Table34[[#This Row],[PDF_initial fee]]</f>
        <v>1</v>
      </c>
      <c r="T2917" s="89"/>
      <c r="U2917" s="26"/>
    </row>
    <row r="2918" spans="1:30" hidden="1" x14ac:dyDescent="0.25">
      <c r="A2918">
        <v>575251</v>
      </c>
      <c r="B2918" t="s">
        <v>3285</v>
      </c>
      <c r="C2918" t="s">
        <v>30468</v>
      </c>
      <c r="D2918">
        <v>1</v>
      </c>
      <c r="E2918" t="s">
        <v>3285</v>
      </c>
      <c r="G2918" s="3"/>
      <c r="H2918" s="21">
        <v>0</v>
      </c>
      <c r="I2918" s="21">
        <v>0</v>
      </c>
      <c r="J2918" s="21">
        <v>0</v>
      </c>
      <c r="K2918" s="21">
        <v>0</v>
      </c>
      <c r="L2918" s="3">
        <f t="shared" si="134"/>
        <v>0</v>
      </c>
      <c r="M2918" s="3"/>
      <c r="N2918" s="3">
        <f t="shared" si="135"/>
        <v>0</v>
      </c>
      <c r="O2918" s="21"/>
      <c r="R2918" s="89"/>
      <c r="S2918" s="89">
        <f>100%-Table34[[#This Row],[PDF_initial fee]]</f>
        <v>1</v>
      </c>
      <c r="T2918" s="89"/>
      <c r="U2918" s="26"/>
    </row>
    <row r="2919" spans="1:30" hidden="1" x14ac:dyDescent="0.25">
      <c r="A2919">
        <v>575252</v>
      </c>
      <c r="B2919" t="s">
        <v>3286</v>
      </c>
      <c r="C2919" t="s">
        <v>8090</v>
      </c>
      <c r="D2919">
        <v>45</v>
      </c>
      <c r="E2919" t="s">
        <v>3286</v>
      </c>
      <c r="G2919" s="3"/>
      <c r="H2919" s="21">
        <v>0</v>
      </c>
      <c r="I2919" s="21">
        <v>0</v>
      </c>
      <c r="J2919" s="21">
        <v>0</v>
      </c>
      <c r="K2919" s="21">
        <v>0</v>
      </c>
      <c r="L2919" s="3">
        <f t="shared" si="134"/>
        <v>0</v>
      </c>
      <c r="M2919" s="3"/>
      <c r="N2919" s="3">
        <f t="shared" si="135"/>
        <v>0</v>
      </c>
      <c r="R2919" s="89"/>
      <c r="S2919" s="89">
        <f>100%-Table34[[#This Row],[PDF_initial fee]]</f>
        <v>1</v>
      </c>
      <c r="T2919" s="89"/>
      <c r="U2919" s="26"/>
    </row>
    <row r="2920" spans="1:30" hidden="1" x14ac:dyDescent="0.25">
      <c r="A2920">
        <v>575394</v>
      </c>
      <c r="B2920" t="s">
        <v>3287</v>
      </c>
      <c r="C2920" t="s">
        <v>11717</v>
      </c>
      <c r="D2920">
        <v>1</v>
      </c>
      <c r="E2920" t="s">
        <v>3287</v>
      </c>
      <c r="G2920" s="3"/>
      <c r="H2920" s="21">
        <v>0</v>
      </c>
      <c r="I2920" s="21">
        <v>0</v>
      </c>
      <c r="J2920" s="21">
        <v>0</v>
      </c>
      <c r="K2920" s="21">
        <v>0</v>
      </c>
      <c r="L2920" s="3">
        <f t="shared" si="134"/>
        <v>0</v>
      </c>
      <c r="M2920" s="3"/>
      <c r="N2920" s="3">
        <f t="shared" si="135"/>
        <v>0</v>
      </c>
      <c r="R2920" s="89"/>
      <c r="S2920" s="89">
        <f>100%-Table34[[#This Row],[PDF_initial fee]]</f>
        <v>1</v>
      </c>
      <c r="T2920" s="89"/>
      <c r="U2920" s="26"/>
    </row>
    <row r="2921" spans="1:30" hidden="1" x14ac:dyDescent="0.25">
      <c r="A2921">
        <v>575549</v>
      </c>
      <c r="B2921" t="s">
        <v>3289</v>
      </c>
      <c r="C2921" t="s">
        <v>30469</v>
      </c>
      <c r="D2921">
        <v>7</v>
      </c>
      <c r="E2921" t="s">
        <v>3289</v>
      </c>
      <c r="G2921" s="3"/>
      <c r="H2921" s="3">
        <v>0</v>
      </c>
      <c r="I2921" s="3">
        <v>0</v>
      </c>
      <c r="J2921" s="3">
        <v>0</v>
      </c>
      <c r="K2921" s="3">
        <v>0</v>
      </c>
      <c r="L2921" s="3">
        <f t="shared" si="134"/>
        <v>0</v>
      </c>
      <c r="M2921" s="3"/>
      <c r="N2921" s="3">
        <f t="shared" si="135"/>
        <v>0</v>
      </c>
      <c r="R2921" s="89"/>
      <c r="S2921" s="89">
        <f>100%-Table34[[#This Row],[PDF_initial fee]]</f>
        <v>1</v>
      </c>
      <c r="T2921" s="89"/>
      <c r="U2921" s="26"/>
    </row>
    <row r="2922" spans="1:30" hidden="1" x14ac:dyDescent="0.25">
      <c r="A2922">
        <v>576159</v>
      </c>
      <c r="B2922" t="s">
        <v>3290</v>
      </c>
      <c r="C2922" t="s">
        <v>6958</v>
      </c>
      <c r="D2922">
        <v>3</v>
      </c>
      <c r="E2922" t="s">
        <v>3290</v>
      </c>
      <c r="F2922" t="s">
        <v>6958</v>
      </c>
      <c r="G2922" s="3"/>
      <c r="L2922" s="3">
        <f t="shared" si="134"/>
        <v>0</v>
      </c>
      <c r="M2922" s="3"/>
      <c r="N2922" s="3">
        <f t="shared" si="135"/>
        <v>0</v>
      </c>
      <c r="R2922" s="89"/>
      <c r="S2922" s="89">
        <f>100%-Table34[[#This Row],[PDF_initial fee]]</f>
        <v>1</v>
      </c>
      <c r="T2922" s="89"/>
      <c r="U2922" s="26"/>
    </row>
    <row r="2923" spans="1:30" x14ac:dyDescent="0.25">
      <c r="A2923">
        <v>481182</v>
      </c>
      <c r="B2923" t="s">
        <v>191</v>
      </c>
      <c r="C2923" t="s">
        <v>11196</v>
      </c>
      <c r="D2923">
        <v>2</v>
      </c>
      <c r="E2923" t="s">
        <v>191</v>
      </c>
      <c r="F2923" t="s">
        <v>3</v>
      </c>
      <c r="G2923" s="3">
        <v>1.4E-3</v>
      </c>
      <c r="H2923" s="3">
        <v>1.4999999999999999E-2</v>
      </c>
      <c r="I2923" s="3">
        <v>5.0000000000000001E-3</v>
      </c>
      <c r="J2923" s="6"/>
      <c r="K2923" s="6"/>
      <c r="L2923" s="3">
        <f t="shared" si="134"/>
        <v>0.02</v>
      </c>
      <c r="M2923" s="3"/>
      <c r="N2923" s="3">
        <f t="shared" si="135"/>
        <v>2.1399999999999999E-2</v>
      </c>
      <c r="O2923" t="str">
        <f>Q2923</f>
        <v>https://www.blackrock.com/uk/individual/products/308802/</v>
      </c>
      <c r="P2923" s="31" t="s">
        <v>30470</v>
      </c>
      <c r="Q2923" t="s">
        <v>31787</v>
      </c>
      <c r="R2923" s="89">
        <v>0.33333333333333348</v>
      </c>
      <c r="S2923" s="89">
        <f>100%-Table34[[#This Row],[InitialFee]]</f>
        <v>0.98499999999999999</v>
      </c>
      <c r="T2923" s="89">
        <f>(1-Table34[[#This Row],[OngoingFee (plus Platform fee)]])^5</f>
        <v>0.97524875312187509</v>
      </c>
      <c r="U2923" s="26">
        <f>(1+Table34[[#This Row],[Net 5yrs return (mostly up to 28th of Feb 2026)]])*Table34[[#This Row],[Investment after initial charge]]*Table34[[#This Row],[Cummulative 5yrs ongoing advice charge]]-1</f>
        <v>0.28082669576672936</v>
      </c>
      <c r="V2923" s="10">
        <f>674883+36271</f>
        <v>711154</v>
      </c>
      <c r="W2923" t="s">
        <v>29051</v>
      </c>
      <c r="X2923" s="9">
        <v>674883</v>
      </c>
      <c r="Y2923" s="30">
        <f>X2923/V2923</f>
        <v>0.94899698236950081</v>
      </c>
      <c r="AA2923" s="1" t="s">
        <v>30471</v>
      </c>
    </row>
    <row r="2924" spans="1:30" hidden="1" x14ac:dyDescent="0.25">
      <c r="A2924">
        <v>576184</v>
      </c>
      <c r="B2924" t="s">
        <v>3291</v>
      </c>
      <c r="C2924" t="s">
        <v>12389</v>
      </c>
      <c r="D2924">
        <v>1</v>
      </c>
      <c r="E2924" t="s">
        <v>3291</v>
      </c>
      <c r="G2924" s="3"/>
      <c r="H2924" s="21">
        <v>0</v>
      </c>
      <c r="I2924" s="21">
        <v>0</v>
      </c>
      <c r="J2924" s="21">
        <v>0</v>
      </c>
      <c r="K2924" s="21">
        <v>0</v>
      </c>
      <c r="L2924" s="3">
        <f t="shared" si="134"/>
        <v>0</v>
      </c>
      <c r="M2924" s="3"/>
      <c r="N2924" s="3">
        <f t="shared" si="135"/>
        <v>0</v>
      </c>
      <c r="R2924" s="89"/>
      <c r="S2924" s="89">
        <f>100%-Table34[[#This Row],[PDF_initial fee]]</f>
        <v>1</v>
      </c>
      <c r="T2924" s="89"/>
      <c r="U2924" s="26"/>
    </row>
    <row r="2925" spans="1:30" hidden="1" x14ac:dyDescent="0.25">
      <c r="A2925">
        <v>576353</v>
      </c>
      <c r="B2925" t="s">
        <v>3292</v>
      </c>
      <c r="C2925" t="s">
        <v>30472</v>
      </c>
      <c r="D2925">
        <v>1</v>
      </c>
      <c r="E2925" t="s">
        <v>3292</v>
      </c>
      <c r="G2925" s="3"/>
      <c r="H2925" s="3">
        <v>0</v>
      </c>
      <c r="I2925" s="3">
        <v>0</v>
      </c>
      <c r="J2925" s="3">
        <v>0</v>
      </c>
      <c r="K2925" s="3">
        <v>0</v>
      </c>
      <c r="L2925" s="3">
        <f t="shared" si="134"/>
        <v>0</v>
      </c>
      <c r="M2925" s="3"/>
      <c r="N2925" s="3">
        <f t="shared" si="135"/>
        <v>0</v>
      </c>
      <c r="R2925" s="89"/>
      <c r="S2925" s="89">
        <f>100%-Table34[[#This Row],[PDF_initial fee]]</f>
        <v>1</v>
      </c>
      <c r="T2925" s="89"/>
      <c r="U2925" s="26"/>
    </row>
    <row r="2926" spans="1:30" hidden="1" x14ac:dyDescent="0.25">
      <c r="A2926">
        <v>576731</v>
      </c>
      <c r="B2926" t="s">
        <v>3293</v>
      </c>
      <c r="C2926" t="s">
        <v>6958</v>
      </c>
      <c r="D2926">
        <v>1</v>
      </c>
      <c r="E2926" t="s">
        <v>3293</v>
      </c>
      <c r="F2926" t="s">
        <v>6958</v>
      </c>
      <c r="G2926" s="3"/>
      <c r="H2926" s="21">
        <v>0</v>
      </c>
      <c r="I2926" s="21">
        <v>0</v>
      </c>
      <c r="J2926" s="21">
        <v>0</v>
      </c>
      <c r="K2926" s="21">
        <v>0</v>
      </c>
      <c r="L2926" s="3">
        <f t="shared" si="134"/>
        <v>0</v>
      </c>
      <c r="M2926" s="3"/>
      <c r="N2926" s="3">
        <f t="shared" si="135"/>
        <v>0</v>
      </c>
      <c r="R2926" s="89"/>
      <c r="S2926" s="89">
        <f>100%-Table34[[#This Row],[PDF_initial fee]]</f>
        <v>1</v>
      </c>
      <c r="T2926" s="89"/>
      <c r="U2926" s="26"/>
    </row>
    <row r="2927" spans="1:30" hidden="1" x14ac:dyDescent="0.25">
      <c r="A2927">
        <v>576749</v>
      </c>
      <c r="B2927" t="s">
        <v>3294</v>
      </c>
      <c r="C2927" t="s">
        <v>10134</v>
      </c>
      <c r="D2927">
        <v>2</v>
      </c>
      <c r="E2927" t="s">
        <v>3294</v>
      </c>
      <c r="G2927" s="3"/>
      <c r="H2927" s="21">
        <v>0</v>
      </c>
      <c r="I2927" s="21">
        <v>0</v>
      </c>
      <c r="J2927" s="21">
        <v>0</v>
      </c>
      <c r="K2927" s="21">
        <v>0</v>
      </c>
      <c r="L2927" s="3">
        <f t="shared" si="134"/>
        <v>0</v>
      </c>
      <c r="M2927" s="3"/>
      <c r="N2927" s="3">
        <f t="shared" si="135"/>
        <v>0</v>
      </c>
      <c r="R2927" s="89"/>
      <c r="S2927" s="89">
        <f>100%-Table34[[#This Row],[PDF_initial fee]]</f>
        <v>1</v>
      </c>
      <c r="T2927" s="89"/>
      <c r="U2927" s="26"/>
    </row>
    <row r="2928" spans="1:30" hidden="1" x14ac:dyDescent="0.25">
      <c r="A2928">
        <v>576846</v>
      </c>
      <c r="B2928" t="s">
        <v>3295</v>
      </c>
      <c r="C2928" t="s">
        <v>6958</v>
      </c>
      <c r="D2928">
        <v>1</v>
      </c>
      <c r="E2928" t="s">
        <v>3295</v>
      </c>
      <c r="F2928" t="s">
        <v>6958</v>
      </c>
      <c r="G2928" s="3"/>
      <c r="H2928" s="21">
        <v>0</v>
      </c>
      <c r="I2928" s="21">
        <v>0</v>
      </c>
      <c r="J2928" s="21">
        <v>0</v>
      </c>
      <c r="K2928" s="21">
        <v>0</v>
      </c>
      <c r="L2928" s="3">
        <f t="shared" si="134"/>
        <v>0</v>
      </c>
      <c r="M2928" s="3"/>
      <c r="N2928" s="3">
        <f t="shared" si="135"/>
        <v>0</v>
      </c>
      <c r="R2928" s="89"/>
      <c r="S2928" s="89">
        <f>100%-Table34[[#This Row],[PDF_initial fee]]</f>
        <v>1</v>
      </c>
      <c r="T2928" s="89"/>
      <c r="U2928" s="26"/>
    </row>
    <row r="2929" spans="1:27" hidden="1" x14ac:dyDescent="0.25">
      <c r="A2929">
        <v>577082</v>
      </c>
      <c r="B2929" t="s">
        <v>3297</v>
      </c>
      <c r="C2929" t="s">
        <v>30473</v>
      </c>
      <c r="D2929">
        <v>5</v>
      </c>
      <c r="E2929" t="s">
        <v>3297</v>
      </c>
      <c r="G2929" s="3"/>
      <c r="H2929" s="21">
        <v>0</v>
      </c>
      <c r="I2929" s="21">
        <v>0</v>
      </c>
      <c r="J2929" s="21">
        <v>0</v>
      </c>
      <c r="K2929" s="21">
        <v>0</v>
      </c>
      <c r="L2929" s="3">
        <f t="shared" si="134"/>
        <v>0</v>
      </c>
      <c r="M2929" s="3"/>
      <c r="N2929" s="3">
        <f t="shared" si="135"/>
        <v>0</v>
      </c>
      <c r="O2929" s="21"/>
      <c r="R2929" s="89"/>
      <c r="S2929" s="89">
        <f>100%-Table34[[#This Row],[PDF_initial fee]]</f>
        <v>1</v>
      </c>
      <c r="T2929" s="89"/>
      <c r="U2929" s="26"/>
    </row>
    <row r="2930" spans="1:27" hidden="1" x14ac:dyDescent="0.25">
      <c r="A2930">
        <v>577169</v>
      </c>
      <c r="B2930" t="s">
        <v>3298</v>
      </c>
      <c r="C2930" t="s">
        <v>30474</v>
      </c>
      <c r="D2930">
        <v>1</v>
      </c>
      <c r="E2930" t="s">
        <v>3298</v>
      </c>
      <c r="G2930" s="3"/>
      <c r="H2930" s="3">
        <v>0</v>
      </c>
      <c r="I2930" s="3">
        <v>0</v>
      </c>
      <c r="J2930" s="3">
        <v>0</v>
      </c>
      <c r="K2930" s="3">
        <v>0</v>
      </c>
      <c r="L2930" s="3">
        <f t="shared" si="134"/>
        <v>0</v>
      </c>
      <c r="M2930" s="3"/>
      <c r="N2930" s="3">
        <f t="shared" si="135"/>
        <v>0</v>
      </c>
      <c r="R2930" s="89"/>
      <c r="S2930" s="89">
        <f>100%-Table34[[#This Row],[PDF_initial fee]]</f>
        <v>1</v>
      </c>
      <c r="T2930" s="89"/>
      <c r="U2930" s="26"/>
    </row>
    <row r="2931" spans="1:27" hidden="1" x14ac:dyDescent="0.25">
      <c r="A2931">
        <v>577269</v>
      </c>
      <c r="B2931" t="s">
        <v>3299</v>
      </c>
      <c r="C2931" t="s">
        <v>10558</v>
      </c>
      <c r="D2931">
        <v>1</v>
      </c>
      <c r="E2931" t="s">
        <v>3299</v>
      </c>
      <c r="G2931" s="3"/>
      <c r="H2931" s="21">
        <v>0</v>
      </c>
      <c r="I2931" s="21">
        <v>0</v>
      </c>
      <c r="J2931" s="21">
        <v>0</v>
      </c>
      <c r="K2931" s="21">
        <v>0</v>
      </c>
      <c r="L2931" s="3">
        <f t="shared" si="134"/>
        <v>0</v>
      </c>
      <c r="M2931" s="3"/>
      <c r="N2931" s="3">
        <f t="shared" si="135"/>
        <v>0</v>
      </c>
      <c r="R2931" s="89"/>
      <c r="S2931" s="89">
        <f>100%-Table34[[#This Row],[PDF_initial fee]]</f>
        <v>1</v>
      </c>
      <c r="T2931" s="89"/>
      <c r="U2931" s="26"/>
    </row>
    <row r="2932" spans="1:27" hidden="1" x14ac:dyDescent="0.25">
      <c r="A2932">
        <v>577323</v>
      </c>
      <c r="B2932" t="s">
        <v>3300</v>
      </c>
      <c r="C2932" t="s">
        <v>8990</v>
      </c>
      <c r="D2932">
        <v>1</v>
      </c>
      <c r="E2932" t="s">
        <v>3300</v>
      </c>
      <c r="G2932" s="3"/>
      <c r="H2932" s="21">
        <v>0</v>
      </c>
      <c r="I2932" s="21">
        <v>0</v>
      </c>
      <c r="J2932" s="21">
        <v>0</v>
      </c>
      <c r="K2932" s="21">
        <v>0</v>
      </c>
      <c r="L2932" s="3">
        <f t="shared" si="134"/>
        <v>0</v>
      </c>
      <c r="M2932" s="3"/>
      <c r="N2932" s="3">
        <f t="shared" si="135"/>
        <v>0</v>
      </c>
      <c r="R2932" s="89"/>
      <c r="S2932" s="89">
        <f>100%-Table34[[#This Row],[PDF_initial fee]]</f>
        <v>1</v>
      </c>
      <c r="T2932" s="89"/>
      <c r="U2932" s="26"/>
    </row>
    <row r="2933" spans="1:27" x14ac:dyDescent="0.25">
      <c r="A2933">
        <v>184591</v>
      </c>
      <c r="B2933" t="s">
        <v>86</v>
      </c>
      <c r="C2933" t="s">
        <v>30475</v>
      </c>
      <c r="D2933">
        <v>148</v>
      </c>
      <c r="E2933" t="s">
        <v>86</v>
      </c>
      <c r="F2933" t="s">
        <v>6</v>
      </c>
      <c r="G2933" s="3">
        <v>3.7000000000000002E-3</v>
      </c>
      <c r="H2933" s="21">
        <v>0.02</v>
      </c>
      <c r="I2933" s="3">
        <f>0.95%</f>
        <v>9.4999999999999998E-3</v>
      </c>
      <c r="J2933" s="6">
        <v>0</v>
      </c>
      <c r="K2933" s="6">
        <v>0</v>
      </c>
      <c r="L2933" s="3">
        <f t="shared" si="134"/>
        <v>2.9499999999999998E-2</v>
      </c>
      <c r="M2933" s="3"/>
      <c r="N2933" s="3">
        <f t="shared" si="135"/>
        <v>3.32E-2</v>
      </c>
      <c r="O2933" s="21"/>
      <c r="P2933" s="101" t="s">
        <v>29190</v>
      </c>
      <c r="Q2933" s="101" t="s">
        <v>31796</v>
      </c>
      <c r="R2933" s="89">
        <v>0.28499999999999998</v>
      </c>
      <c r="S2933" s="99">
        <f>100%-Table34[[#This Row],[InitialFee]]</f>
        <v>0.98</v>
      </c>
      <c r="T2933" s="89">
        <f>(1-Table34[[#This Row],[OngoingFee (plus Platform fee)]])^5</f>
        <v>0.95339396689793454</v>
      </c>
      <c r="U2933" s="26">
        <f>(1+Table34[[#This Row],[Net 5yrs return (mostly up to 28th of Feb 2026)]])*Table34[[#This Row],[Investment after initial charge]]*Table34[[#This Row],[Cummulative 5yrs ongoing advice charge]]-1</f>
        <v>0.20060902251456891</v>
      </c>
      <c r="V2933" s="10">
        <v>43457000</v>
      </c>
      <c r="W2933" s="10" t="s">
        <v>29081</v>
      </c>
      <c r="X2933" s="10">
        <v>26935000</v>
      </c>
      <c r="Y2933" s="30">
        <f>X2933/V2933</f>
        <v>0.61980808615412941</v>
      </c>
      <c r="Z2933" s="10"/>
      <c r="AA2933" s="1" t="s">
        <v>30476</v>
      </c>
    </row>
    <row r="2934" spans="1:27" hidden="1" x14ac:dyDescent="0.25">
      <c r="A2934">
        <v>577471</v>
      </c>
      <c r="B2934" t="s">
        <v>3302</v>
      </c>
      <c r="C2934" t="s">
        <v>6958</v>
      </c>
      <c r="D2934">
        <v>1</v>
      </c>
      <c r="E2934" t="s">
        <v>3302</v>
      </c>
      <c r="F2934" t="s">
        <v>6958</v>
      </c>
      <c r="G2934" s="3"/>
      <c r="L2934" s="3">
        <f t="shared" si="134"/>
        <v>0</v>
      </c>
      <c r="M2934" s="3"/>
      <c r="N2934" s="3">
        <f t="shared" si="135"/>
        <v>0</v>
      </c>
      <c r="R2934" s="89"/>
      <c r="S2934" s="89">
        <f>100%-Table34[[#This Row],[PDF_initial fee]]</f>
        <v>1</v>
      </c>
      <c r="T2934" s="89"/>
      <c r="U2934" s="26"/>
    </row>
    <row r="2935" spans="1:27" x14ac:dyDescent="0.25">
      <c r="A2935">
        <v>195199</v>
      </c>
      <c r="B2935" t="s">
        <v>104</v>
      </c>
      <c r="C2935" s="1" t="s">
        <v>10138</v>
      </c>
      <c r="D2935">
        <v>70</v>
      </c>
      <c r="E2935" t="s">
        <v>104</v>
      </c>
      <c r="F2935" t="s">
        <v>6</v>
      </c>
      <c r="G2935" s="3">
        <f>0.38%+0.3%</f>
        <v>6.8000000000000005E-3</v>
      </c>
      <c r="H2935" s="21">
        <v>0.02</v>
      </c>
      <c r="I2935" s="3">
        <f>0.95%</f>
        <v>9.4999999999999998E-3</v>
      </c>
      <c r="J2935" s="6">
        <v>0</v>
      </c>
      <c r="K2935" s="6">
        <v>0</v>
      </c>
      <c r="L2935" s="3">
        <f t="shared" si="134"/>
        <v>2.9499999999999998E-2</v>
      </c>
      <c r="M2935" s="3"/>
      <c r="N2935" s="3">
        <f t="shared" si="135"/>
        <v>3.6299999999999999E-2</v>
      </c>
      <c r="O2935" s="1" t="s">
        <v>30477</v>
      </c>
      <c r="P2935" t="s">
        <v>29190</v>
      </c>
      <c r="R2935" s="89">
        <v>0.28499999999999998</v>
      </c>
      <c r="S2935" s="89">
        <f>100%-Table34[[#This Row],[InitialFee]]</f>
        <v>0.98</v>
      </c>
      <c r="T2935" s="89">
        <f>(1-Table34[[#This Row],[OngoingFee (plus Platform fee)]])^5</f>
        <v>0.95339396689793454</v>
      </c>
      <c r="U2935" s="26">
        <f>(1+Table34[[#This Row],[Net 5yrs return (mostly up to 28th of Feb 2026)]])*Table34[[#This Row],[Investment after initial charge]]*Table34[[#This Row],[Cummulative 5yrs ongoing advice charge]]-1</f>
        <v>0.20060902251456891</v>
      </c>
      <c r="V2935" s="10">
        <v>87370000</v>
      </c>
      <c r="W2935" s="10" t="s">
        <v>29081</v>
      </c>
      <c r="X2935" s="10">
        <v>17752000</v>
      </c>
      <c r="Y2935" s="30">
        <f>X2935/V2935</f>
        <v>0.20318187020716494</v>
      </c>
      <c r="Z2935" s="10"/>
      <c r="AA2935" t="s">
        <v>30478</v>
      </c>
    </row>
    <row r="2936" spans="1:27" hidden="1" x14ac:dyDescent="0.25">
      <c r="A2936">
        <v>577595</v>
      </c>
      <c r="B2936" t="s">
        <v>3303</v>
      </c>
      <c r="C2936" t="s">
        <v>8526</v>
      </c>
      <c r="D2936">
        <v>1</v>
      </c>
      <c r="E2936" t="s">
        <v>3303</v>
      </c>
      <c r="G2936" s="3"/>
      <c r="L2936" s="3">
        <f t="shared" si="134"/>
        <v>0</v>
      </c>
      <c r="M2936" s="3"/>
      <c r="N2936" s="3">
        <f t="shared" si="135"/>
        <v>0</v>
      </c>
      <c r="R2936" s="89"/>
      <c r="S2936" s="89">
        <f>100%-Table34[[#This Row],[PDF_initial fee]]</f>
        <v>1</v>
      </c>
      <c r="T2936" s="89"/>
      <c r="U2936" s="26"/>
    </row>
    <row r="2937" spans="1:27" hidden="1" x14ac:dyDescent="0.25">
      <c r="A2937">
        <v>577611</v>
      </c>
      <c r="B2937" t="s">
        <v>3304</v>
      </c>
      <c r="C2937" t="s">
        <v>30479</v>
      </c>
      <c r="D2937">
        <v>0</v>
      </c>
      <c r="E2937" t="s">
        <v>3304</v>
      </c>
      <c r="F2937" t="s">
        <v>29136</v>
      </c>
      <c r="G2937" s="3"/>
      <c r="L2937" s="3">
        <f t="shared" si="134"/>
        <v>0</v>
      </c>
      <c r="M2937" s="3"/>
      <c r="N2937" s="3">
        <f t="shared" si="135"/>
        <v>0</v>
      </c>
      <c r="R2937" s="89"/>
      <c r="S2937" s="89">
        <f>100%-Table34[[#This Row],[PDF_initial fee]]</f>
        <v>1</v>
      </c>
      <c r="T2937" s="89"/>
      <c r="U2937" s="26"/>
    </row>
    <row r="2938" spans="1:27" hidden="1" x14ac:dyDescent="0.25">
      <c r="A2938">
        <v>577935</v>
      </c>
      <c r="B2938" t="s">
        <v>3305</v>
      </c>
      <c r="C2938" t="s">
        <v>6958</v>
      </c>
      <c r="D2938">
        <v>1</v>
      </c>
      <c r="E2938" t="s">
        <v>3305</v>
      </c>
      <c r="F2938" t="s">
        <v>6958</v>
      </c>
      <c r="G2938" s="3"/>
      <c r="H2938" s="21">
        <v>0</v>
      </c>
      <c r="I2938" s="21">
        <v>0</v>
      </c>
      <c r="J2938" s="21">
        <v>0</v>
      </c>
      <c r="K2938" s="21">
        <v>0</v>
      </c>
      <c r="L2938" s="3">
        <f t="shared" si="134"/>
        <v>0</v>
      </c>
      <c r="M2938" s="3"/>
      <c r="N2938" s="3">
        <f t="shared" si="135"/>
        <v>0</v>
      </c>
      <c r="R2938" s="89"/>
      <c r="S2938" s="89">
        <f>100%-Table34[[#This Row],[PDF_initial fee]]</f>
        <v>1</v>
      </c>
      <c r="T2938" s="89"/>
      <c r="U2938" s="26"/>
    </row>
    <row r="2939" spans="1:27" hidden="1" x14ac:dyDescent="0.25">
      <c r="A2939">
        <v>578031</v>
      </c>
      <c r="B2939" t="s">
        <v>3306</v>
      </c>
      <c r="C2939" t="s">
        <v>6958</v>
      </c>
      <c r="D2939">
        <v>1</v>
      </c>
      <c r="E2939" t="s">
        <v>3306</v>
      </c>
      <c r="F2939" t="s">
        <v>6958</v>
      </c>
      <c r="G2939" s="3"/>
      <c r="H2939" s="21">
        <v>0</v>
      </c>
      <c r="I2939" s="21">
        <v>0</v>
      </c>
      <c r="J2939" s="21">
        <v>0</v>
      </c>
      <c r="K2939" s="21">
        <v>0</v>
      </c>
      <c r="L2939" s="3">
        <f t="shared" si="134"/>
        <v>0</v>
      </c>
      <c r="M2939" s="3"/>
      <c r="N2939" s="3">
        <f t="shared" si="135"/>
        <v>0</v>
      </c>
      <c r="R2939" s="89"/>
      <c r="S2939" s="89">
        <f>100%-Table34[[#This Row],[PDF_initial fee]]</f>
        <v>1</v>
      </c>
      <c r="T2939" s="89"/>
      <c r="U2939" s="26"/>
    </row>
    <row r="2940" spans="1:27" hidden="1" x14ac:dyDescent="0.25">
      <c r="A2940">
        <v>578037</v>
      </c>
      <c r="B2940" t="s">
        <v>3307</v>
      </c>
      <c r="C2940" t="s">
        <v>30480</v>
      </c>
      <c r="D2940">
        <v>1</v>
      </c>
      <c r="E2940" t="s">
        <v>3307</v>
      </c>
      <c r="G2940" s="3"/>
      <c r="H2940" s="3">
        <v>0</v>
      </c>
      <c r="I2940" s="3">
        <v>0</v>
      </c>
      <c r="J2940" s="3">
        <v>0</v>
      </c>
      <c r="K2940" s="3">
        <v>0</v>
      </c>
      <c r="L2940" s="3">
        <f t="shared" si="134"/>
        <v>0</v>
      </c>
      <c r="M2940" s="3"/>
      <c r="N2940" s="3">
        <f t="shared" si="135"/>
        <v>0</v>
      </c>
      <c r="R2940" s="89"/>
      <c r="S2940" s="89">
        <f>100%-Table34[[#This Row],[PDF_initial fee]]</f>
        <v>1</v>
      </c>
      <c r="T2940" s="89"/>
      <c r="U2940" s="26"/>
    </row>
    <row r="2941" spans="1:27" hidden="1" x14ac:dyDescent="0.25">
      <c r="A2941">
        <v>578320</v>
      </c>
      <c r="B2941" t="s">
        <v>3308</v>
      </c>
      <c r="C2941" t="s">
        <v>9227</v>
      </c>
      <c r="D2941">
        <v>1</v>
      </c>
      <c r="E2941" t="s">
        <v>3308</v>
      </c>
      <c r="G2941" s="3"/>
      <c r="H2941" s="21">
        <v>0</v>
      </c>
      <c r="I2941" s="21">
        <v>0</v>
      </c>
      <c r="J2941" s="21">
        <v>0</v>
      </c>
      <c r="K2941" s="21">
        <v>0</v>
      </c>
      <c r="L2941" s="3">
        <f t="shared" si="134"/>
        <v>0</v>
      </c>
      <c r="M2941" s="3"/>
      <c r="N2941" s="3">
        <f t="shared" si="135"/>
        <v>0</v>
      </c>
      <c r="R2941" s="89"/>
      <c r="S2941" s="89">
        <f>100%-Table34[[#This Row],[PDF_initial fee]]</f>
        <v>1</v>
      </c>
      <c r="T2941" s="89"/>
      <c r="U2941" s="26"/>
    </row>
    <row r="2942" spans="1:27" hidden="1" x14ac:dyDescent="0.25">
      <c r="A2942">
        <v>578323</v>
      </c>
      <c r="B2942" t="s">
        <v>3309</v>
      </c>
      <c r="C2942" t="s">
        <v>9925</v>
      </c>
      <c r="D2942">
        <v>1</v>
      </c>
      <c r="E2942" t="s">
        <v>3309</v>
      </c>
      <c r="G2942" s="3"/>
      <c r="H2942" s="21">
        <v>0</v>
      </c>
      <c r="I2942" s="21">
        <v>0</v>
      </c>
      <c r="J2942" s="21">
        <v>0</v>
      </c>
      <c r="K2942" s="21">
        <v>0</v>
      </c>
      <c r="L2942" s="3">
        <f t="shared" si="134"/>
        <v>0</v>
      </c>
      <c r="M2942" s="3"/>
      <c r="N2942" s="3">
        <f t="shared" si="135"/>
        <v>0</v>
      </c>
      <c r="R2942" s="89"/>
      <c r="S2942" s="89">
        <f>100%-Table34[[#This Row],[PDF_initial fee]]</f>
        <v>1</v>
      </c>
      <c r="T2942" s="89"/>
      <c r="U2942" s="26"/>
    </row>
    <row r="2943" spans="1:27" hidden="1" x14ac:dyDescent="0.25">
      <c r="A2943">
        <v>578337</v>
      </c>
      <c r="B2943" t="s">
        <v>3310</v>
      </c>
      <c r="C2943" t="s">
        <v>11526</v>
      </c>
      <c r="D2943">
        <v>1</v>
      </c>
      <c r="E2943" t="s">
        <v>3310</v>
      </c>
      <c r="G2943" s="3"/>
      <c r="H2943" s="21">
        <v>0</v>
      </c>
      <c r="I2943" s="21">
        <v>0</v>
      </c>
      <c r="J2943" s="21">
        <v>0</v>
      </c>
      <c r="K2943" s="21">
        <v>0</v>
      </c>
      <c r="L2943" s="3">
        <f t="shared" si="134"/>
        <v>0</v>
      </c>
      <c r="M2943" s="3"/>
      <c r="N2943" s="3">
        <f t="shared" si="135"/>
        <v>0</v>
      </c>
      <c r="R2943" s="89"/>
      <c r="S2943" s="89">
        <f>100%-Table34[[#This Row],[PDF_initial fee]]</f>
        <v>1</v>
      </c>
      <c r="T2943" s="89"/>
      <c r="U2943" s="26"/>
    </row>
    <row r="2944" spans="1:27" hidden="1" x14ac:dyDescent="0.25">
      <c r="A2944">
        <v>578609</v>
      </c>
      <c r="B2944" t="s">
        <v>3311</v>
      </c>
      <c r="C2944" t="s">
        <v>6958</v>
      </c>
      <c r="D2944">
        <v>8</v>
      </c>
      <c r="E2944" t="s">
        <v>3311</v>
      </c>
      <c r="F2944" t="s">
        <v>6958</v>
      </c>
      <c r="G2944" s="3"/>
      <c r="H2944" s="21">
        <v>0</v>
      </c>
      <c r="I2944" s="21">
        <v>0</v>
      </c>
      <c r="J2944" s="21">
        <v>0</v>
      </c>
      <c r="K2944" s="21">
        <v>0</v>
      </c>
      <c r="L2944" s="3">
        <f t="shared" si="134"/>
        <v>0</v>
      </c>
      <c r="M2944" s="3"/>
      <c r="N2944" s="3">
        <f t="shared" si="135"/>
        <v>0</v>
      </c>
      <c r="R2944" s="89"/>
      <c r="S2944" s="89">
        <f>100%-Table34[[#This Row],[PDF_initial fee]]</f>
        <v>1</v>
      </c>
      <c r="T2944" s="89"/>
      <c r="U2944" s="26"/>
    </row>
    <row r="2945" spans="1:27" x14ac:dyDescent="0.25">
      <c r="A2945">
        <v>217742</v>
      </c>
      <c r="B2945" t="s">
        <v>117</v>
      </c>
      <c r="C2945" s="1" t="s">
        <v>30475</v>
      </c>
      <c r="D2945">
        <v>86</v>
      </c>
      <c r="E2945" t="s">
        <v>117</v>
      </c>
      <c r="F2945" t="s">
        <v>6</v>
      </c>
      <c r="G2945" s="3">
        <v>3.7000000000000002E-3</v>
      </c>
      <c r="H2945" s="21">
        <v>0.02</v>
      </c>
      <c r="I2945" s="3">
        <f>0.95%</f>
        <v>9.4999999999999998E-3</v>
      </c>
      <c r="J2945" s="6">
        <v>0</v>
      </c>
      <c r="K2945" s="6">
        <v>0</v>
      </c>
      <c r="L2945" s="3">
        <f t="shared" si="134"/>
        <v>2.9499999999999998E-2</v>
      </c>
      <c r="M2945" s="3"/>
      <c r="N2945" s="3">
        <f t="shared" si="135"/>
        <v>3.32E-2</v>
      </c>
      <c r="O2945" s="21"/>
      <c r="P2945" s="1" t="s">
        <v>29190</v>
      </c>
      <c r="Q2945" s="101" t="s">
        <v>31775</v>
      </c>
      <c r="R2945" s="89">
        <v>0.28499999999999998</v>
      </c>
      <c r="S2945" s="99">
        <f>100%-Table34[[#This Row],[InitialFee]]</f>
        <v>0.98</v>
      </c>
      <c r="T2945" s="89">
        <f>(1-Table34[[#This Row],[OngoingFee (plus Platform fee)]])^5</f>
        <v>0.95339396689793454</v>
      </c>
      <c r="U2945" s="26">
        <f>(1+Table34[[#This Row],[Net 5yrs return (mostly up to 28th of Feb 2026)]])*Table34[[#This Row],[Investment after initial charge]]*Table34[[#This Row],[Cummulative 5yrs ongoing advice charge]]-1</f>
        <v>0.20060902251456891</v>
      </c>
      <c r="V2945" s="10">
        <f>(18568+4)*1000</f>
        <v>18572000</v>
      </c>
      <c r="W2945" s="10" t="s">
        <v>29081</v>
      </c>
      <c r="X2945" s="10">
        <v>8615000</v>
      </c>
      <c r="Y2945" s="30">
        <f>X2945/V2945</f>
        <v>0.4638703424510015</v>
      </c>
      <c r="Z2945" s="10"/>
      <c r="AA2945" s="1" t="s">
        <v>30481</v>
      </c>
    </row>
    <row r="2946" spans="1:27" hidden="1" x14ac:dyDescent="0.25">
      <c r="A2946">
        <v>578635</v>
      </c>
      <c r="B2946" t="s">
        <v>3314</v>
      </c>
      <c r="C2946" t="s">
        <v>6958</v>
      </c>
      <c r="D2946">
        <v>5</v>
      </c>
      <c r="E2946" t="s">
        <v>3314</v>
      </c>
      <c r="F2946" t="s">
        <v>6958</v>
      </c>
      <c r="G2946" s="3"/>
      <c r="H2946" s="21">
        <v>0</v>
      </c>
      <c r="I2946" s="21">
        <v>0</v>
      </c>
      <c r="J2946" s="21">
        <v>0</v>
      </c>
      <c r="K2946" s="21">
        <v>0</v>
      </c>
      <c r="L2946" s="3">
        <f t="shared" si="134"/>
        <v>0</v>
      </c>
      <c r="M2946" s="3"/>
      <c r="N2946" s="3">
        <f t="shared" si="135"/>
        <v>0</v>
      </c>
      <c r="R2946" s="89"/>
      <c r="S2946" s="89">
        <f>100%-Table34[[#This Row],[PDF_initial fee]]</f>
        <v>1</v>
      </c>
      <c r="T2946" s="89"/>
      <c r="U2946" s="26"/>
    </row>
    <row r="2947" spans="1:27" hidden="1" x14ac:dyDescent="0.25">
      <c r="A2947">
        <v>578647</v>
      </c>
      <c r="B2947" t="s">
        <v>3315</v>
      </c>
      <c r="C2947" t="s">
        <v>30482</v>
      </c>
      <c r="D2947">
        <v>2</v>
      </c>
      <c r="E2947" t="s">
        <v>3315</v>
      </c>
      <c r="G2947" s="3"/>
      <c r="H2947" s="3">
        <v>0</v>
      </c>
      <c r="I2947" s="3">
        <v>0</v>
      </c>
      <c r="J2947" s="3">
        <v>0</v>
      </c>
      <c r="K2947" s="3">
        <v>0</v>
      </c>
      <c r="L2947" s="3">
        <f t="shared" si="134"/>
        <v>0</v>
      </c>
      <c r="M2947" s="3"/>
      <c r="N2947" s="3">
        <f t="shared" si="135"/>
        <v>0</v>
      </c>
      <c r="R2947" s="89"/>
      <c r="S2947" s="89">
        <f>100%-Table34[[#This Row],[PDF_initial fee]]</f>
        <v>1</v>
      </c>
      <c r="T2947" s="89"/>
      <c r="U2947" s="26"/>
    </row>
    <row r="2948" spans="1:27" hidden="1" x14ac:dyDescent="0.25">
      <c r="A2948">
        <v>579244</v>
      </c>
      <c r="B2948" t="s">
        <v>3316</v>
      </c>
      <c r="C2948" t="s">
        <v>30483</v>
      </c>
      <c r="D2948">
        <v>0</v>
      </c>
      <c r="E2948" t="s">
        <v>3316</v>
      </c>
      <c r="F2948" t="s">
        <v>29136</v>
      </c>
      <c r="G2948" s="3"/>
      <c r="H2948" s="21">
        <v>0</v>
      </c>
      <c r="I2948" s="21">
        <v>0</v>
      </c>
      <c r="J2948" s="21">
        <v>0</v>
      </c>
      <c r="K2948" s="21">
        <v>0</v>
      </c>
      <c r="L2948" s="3">
        <f t="shared" si="134"/>
        <v>0</v>
      </c>
      <c r="M2948" s="3"/>
      <c r="N2948" s="3">
        <f t="shared" si="135"/>
        <v>0</v>
      </c>
      <c r="O2948" s="21"/>
      <c r="R2948" s="89"/>
      <c r="S2948" s="89">
        <f>100%-Table34[[#This Row],[PDF_initial fee]]</f>
        <v>1</v>
      </c>
      <c r="T2948" s="89"/>
      <c r="U2948" s="26"/>
    </row>
    <row r="2949" spans="1:27" hidden="1" x14ac:dyDescent="0.25">
      <c r="A2949">
        <v>579302</v>
      </c>
      <c r="B2949" t="s">
        <v>3317</v>
      </c>
      <c r="C2949" t="s">
        <v>6958</v>
      </c>
      <c r="D2949">
        <v>1</v>
      </c>
      <c r="E2949" t="s">
        <v>3317</v>
      </c>
      <c r="F2949" t="s">
        <v>6958</v>
      </c>
      <c r="G2949" s="3"/>
      <c r="H2949" s="21">
        <v>0</v>
      </c>
      <c r="I2949" s="21">
        <v>0</v>
      </c>
      <c r="J2949" s="21">
        <v>0</v>
      </c>
      <c r="K2949" s="21">
        <v>0</v>
      </c>
      <c r="L2949" s="3">
        <f t="shared" si="134"/>
        <v>0</v>
      </c>
      <c r="M2949" s="3"/>
      <c r="N2949" s="3">
        <f t="shared" si="135"/>
        <v>0</v>
      </c>
      <c r="R2949" s="89"/>
      <c r="S2949" s="89">
        <f>100%-Table34[[#This Row],[PDF_initial fee]]</f>
        <v>1</v>
      </c>
      <c r="T2949" s="89"/>
      <c r="U2949" s="26"/>
    </row>
    <row r="2950" spans="1:27" hidden="1" x14ac:dyDescent="0.25">
      <c r="A2950">
        <v>579310</v>
      </c>
      <c r="B2950" t="s">
        <v>3318</v>
      </c>
      <c r="C2950" t="s">
        <v>6958</v>
      </c>
      <c r="D2950">
        <v>0</v>
      </c>
      <c r="E2950" t="s">
        <v>3318</v>
      </c>
      <c r="F2950" t="s">
        <v>6958</v>
      </c>
      <c r="G2950" s="3"/>
      <c r="H2950" s="21">
        <v>0</v>
      </c>
      <c r="I2950" s="21">
        <v>0</v>
      </c>
      <c r="J2950" s="21">
        <v>0</v>
      </c>
      <c r="K2950" s="21">
        <v>0</v>
      </c>
      <c r="L2950" s="3">
        <f t="shared" si="134"/>
        <v>0</v>
      </c>
      <c r="M2950" s="3"/>
      <c r="N2950" s="3">
        <f t="shared" si="135"/>
        <v>0</v>
      </c>
      <c r="O2950" s="21"/>
      <c r="R2950" s="89"/>
      <c r="S2950" s="89">
        <f>100%-Table34[[#This Row],[PDF_initial fee]]</f>
        <v>1</v>
      </c>
      <c r="T2950" s="89"/>
      <c r="U2950" s="26"/>
    </row>
    <row r="2951" spans="1:27" hidden="1" x14ac:dyDescent="0.25">
      <c r="A2951">
        <v>579324</v>
      </c>
      <c r="B2951" t="s">
        <v>3319</v>
      </c>
      <c r="C2951" t="s">
        <v>30484</v>
      </c>
      <c r="D2951">
        <v>5</v>
      </c>
      <c r="E2951" t="s">
        <v>3319</v>
      </c>
      <c r="G2951" s="3"/>
      <c r="H2951" s="21">
        <v>0</v>
      </c>
      <c r="I2951" s="21">
        <v>0</v>
      </c>
      <c r="J2951" s="21">
        <v>0</v>
      </c>
      <c r="K2951" s="21">
        <v>0</v>
      </c>
      <c r="L2951" s="3">
        <f t="shared" si="134"/>
        <v>0</v>
      </c>
      <c r="M2951" s="3"/>
      <c r="N2951" s="3">
        <f t="shared" si="135"/>
        <v>0</v>
      </c>
      <c r="O2951" s="21"/>
      <c r="R2951" s="89"/>
      <c r="S2951" s="89">
        <f>100%-Table34[[#This Row],[PDF_initial fee]]</f>
        <v>1</v>
      </c>
      <c r="T2951" s="89"/>
      <c r="U2951" s="26"/>
    </row>
    <row r="2952" spans="1:27" hidden="1" x14ac:dyDescent="0.25">
      <c r="A2952">
        <v>579330</v>
      </c>
      <c r="B2952" t="s">
        <v>3320</v>
      </c>
      <c r="C2952" t="s">
        <v>9206</v>
      </c>
      <c r="D2952">
        <v>1</v>
      </c>
      <c r="E2952" t="s">
        <v>3320</v>
      </c>
      <c r="G2952" s="3"/>
      <c r="L2952" s="3">
        <f t="shared" si="134"/>
        <v>0</v>
      </c>
      <c r="M2952" s="3"/>
      <c r="N2952" s="3">
        <f t="shared" si="135"/>
        <v>0</v>
      </c>
      <c r="R2952" s="89"/>
      <c r="S2952" s="89">
        <f>100%-Table34[[#This Row],[PDF_initial fee]]</f>
        <v>1</v>
      </c>
      <c r="T2952" s="89"/>
      <c r="U2952" s="26"/>
    </row>
    <row r="2953" spans="1:27" hidden="1" x14ac:dyDescent="0.25">
      <c r="A2953">
        <v>579397</v>
      </c>
      <c r="B2953" t="s">
        <v>3321</v>
      </c>
      <c r="C2953" t="s">
        <v>6958</v>
      </c>
      <c r="D2953">
        <v>1</v>
      </c>
      <c r="E2953" t="s">
        <v>3321</v>
      </c>
      <c r="F2953" t="s">
        <v>6958</v>
      </c>
      <c r="G2953" s="3"/>
      <c r="H2953" s="21">
        <v>0</v>
      </c>
      <c r="I2953" s="21">
        <v>0</v>
      </c>
      <c r="J2953" s="21">
        <v>0</v>
      </c>
      <c r="K2953" s="21">
        <v>0</v>
      </c>
      <c r="L2953" s="3">
        <f t="shared" si="134"/>
        <v>0</v>
      </c>
      <c r="M2953" s="3"/>
      <c r="N2953" s="3">
        <f t="shared" si="135"/>
        <v>0</v>
      </c>
      <c r="R2953" s="89"/>
      <c r="S2953" s="89">
        <f>100%-Table34[[#This Row],[PDF_initial fee]]</f>
        <v>1</v>
      </c>
      <c r="T2953" s="89"/>
      <c r="U2953" s="26"/>
    </row>
    <row r="2954" spans="1:27" hidden="1" x14ac:dyDescent="0.25">
      <c r="A2954">
        <v>579414</v>
      </c>
      <c r="B2954" t="s">
        <v>3322</v>
      </c>
      <c r="C2954" t="s">
        <v>9873</v>
      </c>
      <c r="D2954">
        <v>0</v>
      </c>
      <c r="E2954" t="s">
        <v>3322</v>
      </c>
      <c r="F2954" t="s">
        <v>29136</v>
      </c>
      <c r="G2954" s="3"/>
      <c r="L2954" s="3">
        <f t="shared" si="134"/>
        <v>0</v>
      </c>
      <c r="M2954" s="3"/>
      <c r="N2954" s="3">
        <f t="shared" si="135"/>
        <v>0</v>
      </c>
      <c r="R2954" s="89"/>
      <c r="S2954" s="89">
        <f>100%-Table34[[#This Row],[PDF_initial fee]]</f>
        <v>1</v>
      </c>
      <c r="T2954" s="89"/>
      <c r="U2954" s="26"/>
    </row>
    <row r="2955" spans="1:27" hidden="1" x14ac:dyDescent="0.25">
      <c r="A2955">
        <v>579506</v>
      </c>
      <c r="B2955" t="s">
        <v>3323</v>
      </c>
      <c r="C2955" t="s">
        <v>8258</v>
      </c>
      <c r="D2955">
        <v>13</v>
      </c>
      <c r="E2955" t="s">
        <v>3323</v>
      </c>
      <c r="G2955" s="3"/>
      <c r="L2955" s="3">
        <f t="shared" si="134"/>
        <v>0</v>
      </c>
      <c r="M2955" s="3"/>
      <c r="N2955" s="3">
        <f t="shared" si="135"/>
        <v>0</v>
      </c>
      <c r="R2955" s="89"/>
      <c r="S2955" s="89">
        <f>100%-Table34[[#This Row],[PDF_initial fee]]</f>
        <v>1</v>
      </c>
      <c r="T2955" s="89"/>
      <c r="U2955" s="26"/>
    </row>
    <row r="2956" spans="1:27" hidden="1" x14ac:dyDescent="0.25">
      <c r="A2956">
        <v>579842</v>
      </c>
      <c r="B2956" t="s">
        <v>3324</v>
      </c>
      <c r="C2956" t="s">
        <v>30485</v>
      </c>
      <c r="D2956">
        <v>1</v>
      </c>
      <c r="E2956" t="s">
        <v>3324</v>
      </c>
      <c r="G2956" s="3"/>
      <c r="H2956" s="3">
        <v>0</v>
      </c>
      <c r="I2956" s="3">
        <v>0</v>
      </c>
      <c r="J2956" s="3">
        <v>0</v>
      </c>
      <c r="K2956" s="3">
        <v>0</v>
      </c>
      <c r="L2956" s="3">
        <f t="shared" si="134"/>
        <v>0</v>
      </c>
      <c r="M2956" s="3"/>
      <c r="N2956" s="3">
        <f t="shared" si="135"/>
        <v>0</v>
      </c>
      <c r="R2956" s="89"/>
      <c r="S2956" s="89">
        <f>100%-Table34[[#This Row],[PDF_initial fee]]</f>
        <v>1</v>
      </c>
      <c r="T2956" s="89"/>
      <c r="U2956" s="26"/>
    </row>
    <row r="2957" spans="1:27" hidden="1" x14ac:dyDescent="0.25">
      <c r="A2957">
        <v>579899</v>
      </c>
      <c r="B2957" t="s">
        <v>3325</v>
      </c>
      <c r="C2957" t="s">
        <v>30486</v>
      </c>
      <c r="D2957">
        <v>2</v>
      </c>
      <c r="E2957" t="s">
        <v>3325</v>
      </c>
      <c r="G2957" s="3"/>
      <c r="H2957" s="3">
        <v>0</v>
      </c>
      <c r="I2957" s="3">
        <v>0</v>
      </c>
      <c r="J2957" s="3">
        <v>0</v>
      </c>
      <c r="K2957" s="3">
        <v>0</v>
      </c>
      <c r="L2957" s="3">
        <f t="shared" si="134"/>
        <v>0</v>
      </c>
      <c r="M2957" s="3"/>
      <c r="N2957" s="3">
        <f t="shared" si="135"/>
        <v>0</v>
      </c>
      <c r="R2957" s="89"/>
      <c r="S2957" s="89">
        <f>100%-Table34[[#This Row],[PDF_initial fee]]</f>
        <v>1</v>
      </c>
      <c r="T2957" s="89"/>
      <c r="U2957" s="26"/>
    </row>
    <row r="2958" spans="1:27" hidden="1" x14ac:dyDescent="0.25">
      <c r="A2958">
        <v>579963</v>
      </c>
      <c r="B2958" t="s">
        <v>3326</v>
      </c>
      <c r="C2958" t="s">
        <v>6958</v>
      </c>
      <c r="D2958">
        <v>1</v>
      </c>
      <c r="E2958" t="s">
        <v>3326</v>
      </c>
      <c r="F2958" t="s">
        <v>6958</v>
      </c>
      <c r="G2958" s="3"/>
      <c r="H2958" s="21">
        <v>0</v>
      </c>
      <c r="I2958" s="21">
        <v>0</v>
      </c>
      <c r="J2958" s="21">
        <v>0</v>
      </c>
      <c r="K2958" s="21">
        <v>0</v>
      </c>
      <c r="L2958" s="3">
        <f t="shared" si="134"/>
        <v>0</v>
      </c>
      <c r="M2958" s="3"/>
      <c r="N2958" s="3">
        <f t="shared" si="135"/>
        <v>0</v>
      </c>
      <c r="R2958" s="89"/>
      <c r="S2958" s="89">
        <f>100%-Table34[[#This Row],[PDF_initial fee]]</f>
        <v>1</v>
      </c>
      <c r="T2958" s="89"/>
      <c r="U2958" s="26"/>
    </row>
    <row r="2959" spans="1:27" hidden="1" x14ac:dyDescent="0.25">
      <c r="A2959">
        <v>579999</v>
      </c>
      <c r="B2959" t="s">
        <v>3327</v>
      </c>
      <c r="C2959" t="s">
        <v>10679</v>
      </c>
      <c r="D2959">
        <v>10</v>
      </c>
      <c r="E2959" t="s">
        <v>3327</v>
      </c>
      <c r="G2959" s="3"/>
      <c r="L2959" s="3">
        <f t="shared" si="134"/>
        <v>0</v>
      </c>
      <c r="M2959" s="3"/>
      <c r="N2959" s="3">
        <f t="shared" si="135"/>
        <v>0</v>
      </c>
      <c r="R2959" s="89"/>
      <c r="S2959" s="89">
        <f>100%-Table34[[#This Row],[PDF_initial fee]]</f>
        <v>1</v>
      </c>
      <c r="T2959" s="89"/>
      <c r="U2959" s="26"/>
    </row>
    <row r="2960" spans="1:27" x14ac:dyDescent="0.25">
      <c r="A2960">
        <v>440703</v>
      </c>
      <c r="B2960" t="s">
        <v>162</v>
      </c>
      <c r="C2960" s="1" t="s">
        <v>30475</v>
      </c>
      <c r="D2960">
        <v>1034</v>
      </c>
      <c r="E2960" t="s">
        <v>162</v>
      </c>
      <c r="F2960" t="s">
        <v>6</v>
      </c>
      <c r="G2960" s="3">
        <v>3.7000000000000002E-3</v>
      </c>
      <c r="H2960" s="21">
        <v>0.02</v>
      </c>
      <c r="I2960" s="3">
        <f>0.95%</f>
        <v>9.4999999999999998E-3</v>
      </c>
      <c r="J2960" s="6">
        <v>0</v>
      </c>
      <c r="K2960" s="6">
        <v>0</v>
      </c>
      <c r="L2960" s="3">
        <f t="shared" si="134"/>
        <v>2.9499999999999998E-2</v>
      </c>
      <c r="M2960" s="3"/>
      <c r="N2960" s="3">
        <f t="shared" si="135"/>
        <v>3.32E-2</v>
      </c>
      <c r="O2960" s="21"/>
      <c r="P2960" s="1" t="s">
        <v>29190</v>
      </c>
      <c r="Q2960" s="101" t="s">
        <v>31775</v>
      </c>
      <c r="R2960" s="89">
        <v>0.28499999999999998</v>
      </c>
      <c r="S2960" s="99">
        <f>100%-Table34[[#This Row],[InitialFee]]</f>
        <v>0.98</v>
      </c>
      <c r="T2960" s="89">
        <f>(1-Table34[[#This Row],[OngoingFee (plus Platform fee)]])^5</f>
        <v>0.95339396689793454</v>
      </c>
      <c r="U2960" s="26">
        <f>(1+Table34[[#This Row],[Net 5yrs return (mostly up to 28th of Feb 2026)]])*Table34[[#This Row],[Investment after initial charge]]*Table34[[#This Row],[Cummulative 5yrs ongoing advice charge]]-1</f>
        <v>0.20060902251456891</v>
      </c>
      <c r="V2960" s="10">
        <f>(75+81089)*1000</f>
        <v>81164000</v>
      </c>
      <c r="W2960" s="10" t="s">
        <v>29081</v>
      </c>
      <c r="X2960" s="10">
        <v>36511000</v>
      </c>
      <c r="Y2960" s="30">
        <f>X2960/V2960</f>
        <v>0.44984229461337538</v>
      </c>
      <c r="Z2960" s="10"/>
      <c r="AA2960" s="1" t="s">
        <v>30487</v>
      </c>
    </row>
    <row r="2961" spans="1:27" hidden="1" x14ac:dyDescent="0.25">
      <c r="A2961">
        <v>580514</v>
      </c>
      <c r="B2961" t="s">
        <v>3328</v>
      </c>
      <c r="C2961" t="s">
        <v>30488</v>
      </c>
      <c r="D2961">
        <v>4</v>
      </c>
      <c r="E2961" t="s">
        <v>3328</v>
      </c>
      <c r="G2961" s="3"/>
      <c r="H2961" s="3">
        <v>0</v>
      </c>
      <c r="I2961" s="3">
        <v>0</v>
      </c>
      <c r="J2961" s="3">
        <v>0</v>
      </c>
      <c r="K2961" s="3">
        <v>0</v>
      </c>
      <c r="L2961" s="3">
        <f t="shared" si="134"/>
        <v>0</v>
      </c>
      <c r="M2961" s="3"/>
      <c r="N2961" s="3">
        <f t="shared" si="135"/>
        <v>0</v>
      </c>
      <c r="R2961" s="89"/>
      <c r="S2961" s="89">
        <f>100%-Table34[[#This Row],[PDF_initial fee]]</f>
        <v>1</v>
      </c>
      <c r="T2961" s="89"/>
      <c r="U2961" s="26"/>
    </row>
    <row r="2962" spans="1:27" hidden="1" x14ac:dyDescent="0.25">
      <c r="A2962">
        <v>580520</v>
      </c>
      <c r="B2962" t="s">
        <v>3329</v>
      </c>
      <c r="C2962" t="s">
        <v>6958</v>
      </c>
      <c r="D2962">
        <v>1</v>
      </c>
      <c r="E2962" t="s">
        <v>3329</v>
      </c>
      <c r="F2962" t="s">
        <v>6958</v>
      </c>
      <c r="G2962" s="3"/>
      <c r="H2962" s="21">
        <v>0</v>
      </c>
      <c r="I2962" s="21">
        <v>0</v>
      </c>
      <c r="J2962" s="21">
        <v>0</v>
      </c>
      <c r="K2962" s="21">
        <v>0</v>
      </c>
      <c r="L2962" s="3">
        <f t="shared" si="134"/>
        <v>0</v>
      </c>
      <c r="M2962" s="3"/>
      <c r="N2962" s="3">
        <f t="shared" si="135"/>
        <v>0</v>
      </c>
      <c r="R2962" s="89"/>
      <c r="S2962" s="89">
        <f>100%-Table34[[#This Row],[PDF_initial fee]]</f>
        <v>1</v>
      </c>
      <c r="T2962" s="89"/>
      <c r="U2962" s="26"/>
    </row>
    <row r="2963" spans="1:27" x14ac:dyDescent="0.25">
      <c r="A2963">
        <v>497604</v>
      </c>
      <c r="B2963" t="s">
        <v>196</v>
      </c>
      <c r="C2963" t="s">
        <v>30475</v>
      </c>
      <c r="D2963">
        <v>143</v>
      </c>
      <c r="E2963" t="s">
        <v>196</v>
      </c>
      <c r="F2963" t="s">
        <v>6</v>
      </c>
      <c r="G2963" s="3">
        <v>3.7000000000000002E-3</v>
      </c>
      <c r="H2963" s="21">
        <v>0.02</v>
      </c>
      <c r="I2963" s="3">
        <f>0.95%</f>
        <v>9.4999999999999998E-3</v>
      </c>
      <c r="J2963" s="6">
        <v>0</v>
      </c>
      <c r="K2963" s="6">
        <v>0</v>
      </c>
      <c r="L2963" s="3">
        <f t="shared" si="134"/>
        <v>2.9499999999999998E-2</v>
      </c>
      <c r="M2963" s="3"/>
      <c r="N2963" s="3">
        <f t="shared" si="135"/>
        <v>3.32E-2</v>
      </c>
      <c r="O2963" t="s">
        <v>30489</v>
      </c>
      <c r="P2963" s="22" t="s">
        <v>29190</v>
      </c>
      <c r="Q2963" s="101" t="s">
        <v>31775</v>
      </c>
      <c r="R2963" s="89">
        <v>0.28499999999999998</v>
      </c>
      <c r="S2963" s="99">
        <f>100%-Table34[[#This Row],[InitialFee]]</f>
        <v>0.98</v>
      </c>
      <c r="T2963" s="89">
        <f>(1-Table34[[#This Row],[OngoingFee (plus Platform fee)]])^5</f>
        <v>0.95339396689793454</v>
      </c>
      <c r="U2963" s="26">
        <f>(1+Table34[[#This Row],[Net 5yrs return (mostly up to 28th of Feb 2026)]])*Table34[[#This Row],[Investment after initial charge]]*Table34[[#This Row],[Cummulative 5yrs ongoing advice charge]]-1</f>
        <v>0.20060902251456891</v>
      </c>
      <c r="V2963" s="10">
        <f>(24665+5)*1000</f>
        <v>24670000</v>
      </c>
      <c r="W2963" s="10" t="s">
        <v>29081</v>
      </c>
      <c r="X2963" s="10">
        <v>12392000</v>
      </c>
      <c r="Y2963" s="30">
        <f>X2963/V2963</f>
        <v>0.50231049858127275</v>
      </c>
      <c r="Z2963" s="10"/>
      <c r="AA2963" s="1" t="s">
        <v>30490</v>
      </c>
    </row>
    <row r="2964" spans="1:27" hidden="1" x14ac:dyDescent="0.25">
      <c r="A2964">
        <v>580832</v>
      </c>
      <c r="B2964" t="s">
        <v>3330</v>
      </c>
      <c r="C2964" t="s">
        <v>6958</v>
      </c>
      <c r="D2964">
        <v>1</v>
      </c>
      <c r="E2964" t="s">
        <v>3330</v>
      </c>
      <c r="F2964" t="s">
        <v>6958</v>
      </c>
      <c r="G2964" s="3"/>
      <c r="H2964" s="21">
        <v>0</v>
      </c>
      <c r="I2964" s="21">
        <v>0</v>
      </c>
      <c r="J2964" s="21">
        <v>0</v>
      </c>
      <c r="K2964" s="21">
        <v>0</v>
      </c>
      <c r="L2964" s="3">
        <f t="shared" si="134"/>
        <v>0</v>
      </c>
      <c r="M2964" s="3"/>
      <c r="N2964" s="3">
        <f t="shared" si="135"/>
        <v>0</v>
      </c>
      <c r="R2964" s="89"/>
      <c r="S2964" s="89">
        <f>100%-Table34[[#This Row],[PDF_initial fee]]</f>
        <v>1</v>
      </c>
      <c r="T2964" s="89"/>
      <c r="U2964" s="26"/>
    </row>
    <row r="2965" spans="1:27" x14ac:dyDescent="0.25">
      <c r="A2965">
        <v>590726</v>
      </c>
      <c r="B2965" t="s">
        <v>245</v>
      </c>
      <c r="C2965" t="s">
        <v>30491</v>
      </c>
      <c r="D2965">
        <v>1</v>
      </c>
      <c r="E2965" t="s">
        <v>245</v>
      </c>
      <c r="F2965" t="s">
        <v>3</v>
      </c>
      <c r="G2965" s="3">
        <v>1.4E-3</v>
      </c>
      <c r="H2965" s="3">
        <v>0</v>
      </c>
      <c r="I2965" s="3">
        <v>0</v>
      </c>
      <c r="J2965" s="6">
        <v>0.01</v>
      </c>
      <c r="K2965" s="6">
        <v>0.01</v>
      </c>
      <c r="L2965" s="3">
        <f t="shared" si="134"/>
        <v>0.02</v>
      </c>
      <c r="M2965" s="3"/>
      <c r="N2965" s="3">
        <f t="shared" si="135"/>
        <v>2.1399999999999999E-2</v>
      </c>
      <c r="P2965" s="31" t="s">
        <v>30492</v>
      </c>
      <c r="Q2965" t="s">
        <v>31787</v>
      </c>
      <c r="R2965" s="89">
        <v>0.33333333333333348</v>
      </c>
      <c r="S2965" s="89">
        <f>100%-Table34[[#This Row],[PDF_initial fee]]</f>
        <v>0.99</v>
      </c>
      <c r="T2965" s="89">
        <f>(1-Table34[[#This Row],[PDF ongoing fee]])^5</f>
        <v>0.95099004989999991</v>
      </c>
      <c r="U2965" s="26">
        <f>(1+Table34[[#This Row],[Net 5yrs return (mostly up to 28th of Feb 2026)]])*Table34[[#This Row],[Investment after initial charge]]*Table34[[#This Row],[Cummulative 5yrs ongoing advice charge]]-1</f>
        <v>0.255306865868</v>
      </c>
      <c r="V2965" s="10">
        <f>57153+6933</f>
        <v>64086</v>
      </c>
      <c r="W2965" t="s">
        <v>29051</v>
      </c>
      <c r="X2965" s="9">
        <v>25312</v>
      </c>
      <c r="Y2965" s="30">
        <f>X2965/V2965</f>
        <v>0.39496926005679867</v>
      </c>
      <c r="AA2965" s="1" t="s">
        <v>30493</v>
      </c>
    </row>
    <row r="2966" spans="1:27" hidden="1" x14ac:dyDescent="0.25">
      <c r="A2966">
        <v>581082</v>
      </c>
      <c r="B2966" t="s">
        <v>3331</v>
      </c>
      <c r="C2966" t="s">
        <v>6958</v>
      </c>
      <c r="D2966">
        <v>1</v>
      </c>
      <c r="E2966" t="s">
        <v>3331</v>
      </c>
      <c r="F2966" t="s">
        <v>6958</v>
      </c>
      <c r="G2966" s="3"/>
      <c r="H2966" s="21">
        <v>0</v>
      </c>
      <c r="I2966" s="21">
        <v>0</v>
      </c>
      <c r="J2966" s="21">
        <v>0</v>
      </c>
      <c r="K2966" s="21">
        <v>0</v>
      </c>
      <c r="L2966" s="3">
        <f t="shared" si="134"/>
        <v>0</v>
      </c>
      <c r="M2966" s="3"/>
      <c r="N2966" s="3">
        <f t="shared" si="135"/>
        <v>0</v>
      </c>
      <c r="R2966" s="89"/>
      <c r="S2966" s="89">
        <f>100%-Table34[[#This Row],[PDF_initial fee]]</f>
        <v>1</v>
      </c>
      <c r="T2966" s="89"/>
      <c r="U2966" s="26"/>
    </row>
    <row r="2967" spans="1:27" x14ac:dyDescent="0.25">
      <c r="A2967">
        <v>164691</v>
      </c>
      <c r="B2967" t="s">
        <v>75</v>
      </c>
      <c r="C2967" t="s">
        <v>11409</v>
      </c>
      <c r="D2967">
        <v>2</v>
      </c>
      <c r="E2967" t="s">
        <v>75</v>
      </c>
      <c r="F2967" t="s">
        <v>3</v>
      </c>
      <c r="G2967" s="3">
        <v>1.4E-3</v>
      </c>
      <c r="H2967" s="21">
        <v>0</v>
      </c>
      <c r="I2967" s="21">
        <v>0</v>
      </c>
      <c r="J2967" s="6">
        <v>0.03</v>
      </c>
      <c r="K2967" s="6">
        <v>5.0000000000000001E-3</v>
      </c>
      <c r="L2967" s="3">
        <f t="shared" si="134"/>
        <v>3.4999999999999996E-2</v>
      </c>
      <c r="M2967" s="3"/>
      <c r="N2967" s="3">
        <f t="shared" si="135"/>
        <v>3.6399999999999995E-2</v>
      </c>
      <c r="P2967" s="1" t="s">
        <v>30494</v>
      </c>
      <c r="Q2967" t="s">
        <v>31787</v>
      </c>
      <c r="R2967" s="89">
        <v>0.33333333333333348</v>
      </c>
      <c r="S2967" s="89">
        <f>100%-Table34[[#This Row],[PDF_initial fee]]</f>
        <v>0.97</v>
      </c>
      <c r="T2967" s="89">
        <f>(1-Table34[[#This Row],[PDF ongoing fee]])^5</f>
        <v>0.97524875312187509</v>
      </c>
      <c r="U2967" s="26">
        <f>(1+Table34[[#This Row],[Net 5yrs return (mostly up to 28th of Feb 2026)]])*Table34[[#This Row],[Investment after initial charge]]*Table34[[#This Row],[Cummulative 5yrs ongoing advice charge]]-1</f>
        <v>0.26132172070429194</v>
      </c>
      <c r="V2967" s="10">
        <f>453221+14342</f>
        <v>467563</v>
      </c>
      <c r="W2967" t="s">
        <v>29051</v>
      </c>
      <c r="X2967" s="10">
        <v>459745</v>
      </c>
      <c r="Y2967" s="30">
        <f>X2967/V2967</f>
        <v>0.98327925862397147</v>
      </c>
      <c r="AA2967" s="1" t="s">
        <v>30495</v>
      </c>
    </row>
    <row r="2968" spans="1:27" hidden="1" x14ac:dyDescent="0.25">
      <c r="A2968">
        <v>581393</v>
      </c>
      <c r="B2968" t="s">
        <v>3332</v>
      </c>
      <c r="C2968" t="s">
        <v>11325</v>
      </c>
      <c r="D2968">
        <v>3</v>
      </c>
      <c r="E2968" t="s">
        <v>3332</v>
      </c>
      <c r="G2968" s="3"/>
      <c r="H2968" s="21">
        <v>0</v>
      </c>
      <c r="I2968" s="21">
        <v>0</v>
      </c>
      <c r="J2968" s="21">
        <v>0</v>
      </c>
      <c r="K2968" s="21">
        <v>0</v>
      </c>
      <c r="L2968" s="3">
        <f t="shared" si="134"/>
        <v>0</v>
      </c>
      <c r="M2968" s="3"/>
      <c r="N2968" s="3">
        <f t="shared" si="135"/>
        <v>0</v>
      </c>
      <c r="R2968" s="89"/>
      <c r="S2968" s="89">
        <f>100%-Table34[[#This Row],[PDF_initial fee]]</f>
        <v>1</v>
      </c>
      <c r="T2968" s="89"/>
      <c r="U2968" s="26"/>
    </row>
    <row r="2969" spans="1:27" hidden="1" x14ac:dyDescent="0.25">
      <c r="A2969">
        <v>581642</v>
      </c>
      <c r="B2969" t="s">
        <v>3333</v>
      </c>
      <c r="C2969" t="s">
        <v>6958</v>
      </c>
      <c r="D2969">
        <v>1</v>
      </c>
      <c r="E2969" t="s">
        <v>3333</v>
      </c>
      <c r="F2969" t="s">
        <v>6958</v>
      </c>
      <c r="G2969" s="3"/>
      <c r="H2969" s="21">
        <v>0</v>
      </c>
      <c r="I2969" s="21">
        <v>0</v>
      </c>
      <c r="J2969" s="21">
        <v>0</v>
      </c>
      <c r="K2969" s="21">
        <v>0</v>
      </c>
      <c r="L2969" s="3">
        <f t="shared" si="134"/>
        <v>0</v>
      </c>
      <c r="M2969" s="3"/>
      <c r="N2969" s="3">
        <f t="shared" si="135"/>
        <v>0</v>
      </c>
      <c r="R2969" s="89"/>
      <c r="S2969" s="89">
        <f>100%-Table34[[#This Row],[PDF_initial fee]]</f>
        <v>1</v>
      </c>
      <c r="T2969" s="89"/>
      <c r="U2969" s="26"/>
    </row>
    <row r="2970" spans="1:27" hidden="1" x14ac:dyDescent="0.25">
      <c r="A2970">
        <v>581738</v>
      </c>
      <c r="B2970" t="s">
        <v>3334</v>
      </c>
      <c r="C2970" t="s">
        <v>30496</v>
      </c>
      <c r="D2970">
        <v>5</v>
      </c>
      <c r="E2970" t="s">
        <v>3334</v>
      </c>
      <c r="G2970" s="3"/>
      <c r="H2970" s="3">
        <v>0</v>
      </c>
      <c r="I2970" s="3">
        <v>0</v>
      </c>
      <c r="J2970" s="3">
        <v>0</v>
      </c>
      <c r="K2970" s="3">
        <v>0</v>
      </c>
      <c r="L2970" s="3">
        <f t="shared" si="134"/>
        <v>0</v>
      </c>
      <c r="M2970" s="3"/>
      <c r="N2970" s="3">
        <f t="shared" si="135"/>
        <v>0</v>
      </c>
      <c r="R2970" s="89"/>
      <c r="S2970" s="89">
        <f>100%-Table34[[#This Row],[PDF_initial fee]]</f>
        <v>1</v>
      </c>
      <c r="T2970" s="89"/>
      <c r="U2970" s="26"/>
    </row>
    <row r="2971" spans="1:27" x14ac:dyDescent="0.25">
      <c r="A2971">
        <v>141816</v>
      </c>
      <c r="B2971" t="s">
        <v>56</v>
      </c>
      <c r="C2971" t="s">
        <v>11488</v>
      </c>
      <c r="D2971">
        <v>3</v>
      </c>
      <c r="E2971" t="s">
        <v>56</v>
      </c>
      <c r="F2971" t="s">
        <v>3</v>
      </c>
      <c r="G2971" s="3">
        <v>1.4E-3</v>
      </c>
      <c r="H2971" s="21">
        <v>0</v>
      </c>
      <c r="I2971" s="21">
        <v>0</v>
      </c>
      <c r="J2971" s="6">
        <v>2.5999999999999999E-2</v>
      </c>
      <c r="K2971" s="6">
        <v>7.4999999999999997E-3</v>
      </c>
      <c r="L2971" s="3">
        <f t="shared" si="134"/>
        <v>3.3500000000000002E-2</v>
      </c>
      <c r="M2971" s="3"/>
      <c r="N2971" s="3">
        <f t="shared" si="135"/>
        <v>3.49E-2</v>
      </c>
      <c r="O2971" t="s">
        <v>30497</v>
      </c>
      <c r="P2971" s="1" t="s">
        <v>30498</v>
      </c>
      <c r="Q2971" t="s">
        <v>31787</v>
      </c>
      <c r="R2971" s="89">
        <v>0.33333333333333348</v>
      </c>
      <c r="S2971" s="89">
        <f>100%-Table34[[#This Row],[PDF_initial fee]]</f>
        <v>0.97399999999999998</v>
      </c>
      <c r="T2971" s="89">
        <f>(1-Table34[[#This Row],[PDF ongoing fee]])^5</f>
        <v>0.9630582970465823</v>
      </c>
      <c r="U2971" s="26">
        <f>(1+Table34[[#This Row],[Net 5yrs return (mostly up to 28th of Feb 2026)]])*Table34[[#This Row],[Investment after initial charge]]*Table34[[#This Row],[Cummulative 5yrs ongoing advice charge]]-1</f>
        <v>0.25069170843116173</v>
      </c>
      <c r="V2971" s="10">
        <v>163688</v>
      </c>
      <c r="W2971" t="s">
        <v>29051</v>
      </c>
      <c r="X2971" s="10">
        <v>91491</v>
      </c>
      <c r="Y2971" s="30">
        <f>X2971/V2971</f>
        <v>0.55893529153022825</v>
      </c>
      <c r="AA2971" s="1" t="s">
        <v>30499</v>
      </c>
    </row>
    <row r="2972" spans="1:27" hidden="1" x14ac:dyDescent="0.25">
      <c r="A2972">
        <v>582149</v>
      </c>
      <c r="B2972" t="s">
        <v>3336</v>
      </c>
      <c r="C2972" t="s">
        <v>11184</v>
      </c>
      <c r="D2972">
        <v>1</v>
      </c>
      <c r="E2972" t="s">
        <v>3336</v>
      </c>
      <c r="G2972" s="3"/>
      <c r="H2972" s="21">
        <v>0</v>
      </c>
      <c r="I2972" s="21">
        <v>0</v>
      </c>
      <c r="J2972" s="21">
        <v>0</v>
      </c>
      <c r="K2972" s="21">
        <v>0</v>
      </c>
      <c r="L2972" s="3">
        <f t="shared" si="134"/>
        <v>0</v>
      </c>
      <c r="M2972" s="3"/>
      <c r="N2972" s="3">
        <f t="shared" si="135"/>
        <v>0</v>
      </c>
      <c r="R2972" s="89"/>
      <c r="S2972" s="89">
        <f>100%-Table34[[#This Row],[PDF_initial fee]]</f>
        <v>1</v>
      </c>
      <c r="T2972" s="89"/>
      <c r="U2972" s="26"/>
    </row>
    <row r="2973" spans="1:27" hidden="1" x14ac:dyDescent="0.25">
      <c r="A2973">
        <v>582336</v>
      </c>
      <c r="B2973" t="s">
        <v>3337</v>
      </c>
      <c r="C2973" t="s">
        <v>11172</v>
      </c>
      <c r="D2973">
        <v>0</v>
      </c>
      <c r="E2973" t="s">
        <v>3337</v>
      </c>
      <c r="F2973" t="s">
        <v>3</v>
      </c>
      <c r="G2973" s="3"/>
      <c r="H2973" s="21">
        <v>0</v>
      </c>
      <c r="I2973" s="21">
        <v>0</v>
      </c>
      <c r="J2973" s="21">
        <v>0</v>
      </c>
      <c r="K2973" s="21">
        <v>0</v>
      </c>
      <c r="L2973" s="3">
        <f t="shared" si="134"/>
        <v>0</v>
      </c>
      <c r="M2973" s="3"/>
      <c r="N2973" s="3">
        <f t="shared" si="135"/>
        <v>0</v>
      </c>
      <c r="R2973" s="89"/>
      <c r="S2973" s="89">
        <f>100%-Table34[[#This Row],[PDF_initial fee]]</f>
        <v>1</v>
      </c>
      <c r="T2973" s="89"/>
      <c r="U2973" s="26"/>
    </row>
    <row r="2974" spans="1:27" hidden="1" x14ac:dyDescent="0.25">
      <c r="A2974">
        <v>582380</v>
      </c>
      <c r="B2974" t="s">
        <v>3338</v>
      </c>
      <c r="C2974" t="s">
        <v>6958</v>
      </c>
      <c r="D2974">
        <v>1</v>
      </c>
      <c r="E2974" t="s">
        <v>3338</v>
      </c>
      <c r="F2974" t="s">
        <v>6958</v>
      </c>
      <c r="G2974" s="3"/>
      <c r="H2974" s="21">
        <v>0</v>
      </c>
      <c r="I2974" s="21">
        <v>0</v>
      </c>
      <c r="J2974" s="21">
        <v>0</v>
      </c>
      <c r="K2974" s="21">
        <v>0</v>
      </c>
      <c r="L2974" s="3">
        <f t="shared" si="134"/>
        <v>0</v>
      </c>
      <c r="M2974" s="3"/>
      <c r="N2974" s="3">
        <f t="shared" si="135"/>
        <v>0</v>
      </c>
      <c r="R2974" s="89"/>
      <c r="S2974" s="89">
        <f>100%-Table34[[#This Row],[PDF_initial fee]]</f>
        <v>1</v>
      </c>
      <c r="T2974" s="89"/>
      <c r="U2974" s="26"/>
    </row>
    <row r="2975" spans="1:27" x14ac:dyDescent="0.25">
      <c r="A2975">
        <v>196269</v>
      </c>
      <c r="B2975" t="s">
        <v>107</v>
      </c>
      <c r="C2975" t="s">
        <v>11572</v>
      </c>
      <c r="D2975">
        <v>2</v>
      </c>
      <c r="E2975" t="s">
        <v>107</v>
      </c>
      <c r="F2975" t="s">
        <v>3</v>
      </c>
      <c r="G2975" s="3">
        <v>1.4E-3</v>
      </c>
      <c r="H2975" s="21">
        <v>0</v>
      </c>
      <c r="I2975" s="21">
        <v>0</v>
      </c>
      <c r="J2975" s="6">
        <v>0.03</v>
      </c>
      <c r="K2975" s="6">
        <v>7.4999999999999997E-3</v>
      </c>
      <c r="L2975" s="3">
        <f t="shared" si="134"/>
        <v>3.7499999999999999E-2</v>
      </c>
      <c r="M2975" s="3"/>
      <c r="N2975" s="3">
        <f t="shared" si="135"/>
        <v>3.8899999999999997E-2</v>
      </c>
      <c r="P2975" s="1" t="s">
        <v>30500</v>
      </c>
      <c r="Q2975" t="s">
        <v>31787</v>
      </c>
      <c r="R2975" s="89">
        <v>0.33333333333333348</v>
      </c>
      <c r="S2975" s="89">
        <f>100%-Table34[[#This Row],[PDF_initial fee]]</f>
        <v>0.97</v>
      </c>
      <c r="T2975" s="89">
        <f>(1-Table34[[#This Row],[PDF ongoing fee]])^5</f>
        <v>0.9630582970465823</v>
      </c>
      <c r="U2975" s="26">
        <f>(1+Table34[[#This Row],[Net 5yrs return (mostly up to 28th of Feb 2026)]])*Table34[[#This Row],[Investment after initial charge]]*Table34[[#This Row],[Cummulative 5yrs ongoing advice charge]]-1</f>
        <v>0.2455553975135798</v>
      </c>
      <c r="V2975" s="10">
        <f>113374+102511</f>
        <v>215885</v>
      </c>
      <c r="W2975" t="s">
        <v>29051</v>
      </c>
      <c r="X2975" s="10">
        <v>100458</v>
      </c>
      <c r="Y2975" s="30">
        <f>X2975/V2975</f>
        <v>0.46533107904671467</v>
      </c>
      <c r="AA2975" s="1" t="s">
        <v>30501</v>
      </c>
    </row>
    <row r="2976" spans="1:27" hidden="1" x14ac:dyDescent="0.25">
      <c r="A2976">
        <v>582541</v>
      </c>
      <c r="B2976" t="s">
        <v>3339</v>
      </c>
      <c r="C2976" t="s">
        <v>6958</v>
      </c>
      <c r="D2976">
        <v>2</v>
      </c>
      <c r="E2976" t="s">
        <v>3339</v>
      </c>
      <c r="F2976" t="s">
        <v>6958</v>
      </c>
      <c r="G2976" s="3"/>
      <c r="H2976" s="21">
        <v>0</v>
      </c>
      <c r="I2976" s="21">
        <v>0</v>
      </c>
      <c r="J2976" s="21">
        <v>0</v>
      </c>
      <c r="K2976" s="21">
        <v>0</v>
      </c>
      <c r="L2976" s="3">
        <f t="shared" si="134"/>
        <v>0</v>
      </c>
      <c r="M2976" s="3"/>
      <c r="N2976" s="3">
        <f t="shared" si="135"/>
        <v>0</v>
      </c>
      <c r="R2976" s="89"/>
      <c r="S2976" s="89">
        <f>100%-Table34[[#This Row],[PDF_initial fee]]</f>
        <v>1</v>
      </c>
      <c r="T2976" s="89"/>
      <c r="U2976" s="26"/>
    </row>
    <row r="2977" spans="1:28" hidden="1" x14ac:dyDescent="0.25">
      <c r="A2977">
        <v>582903</v>
      </c>
      <c r="B2977" t="s">
        <v>3340</v>
      </c>
      <c r="C2977" t="s">
        <v>6958</v>
      </c>
      <c r="D2977">
        <v>0</v>
      </c>
      <c r="E2977" t="s">
        <v>3340</v>
      </c>
      <c r="F2977" t="s">
        <v>6958</v>
      </c>
      <c r="G2977" s="3"/>
      <c r="H2977" s="21">
        <v>0</v>
      </c>
      <c r="I2977" s="21">
        <v>0</v>
      </c>
      <c r="J2977" s="21">
        <v>0</v>
      </c>
      <c r="K2977" s="21">
        <v>0</v>
      </c>
      <c r="L2977" s="3">
        <f t="shared" si="134"/>
        <v>0</v>
      </c>
      <c r="M2977" s="3"/>
      <c r="N2977" s="3">
        <f t="shared" si="135"/>
        <v>0</v>
      </c>
      <c r="O2977" s="21"/>
      <c r="R2977" s="89"/>
      <c r="S2977" s="89">
        <f>100%-Table34[[#This Row],[PDF_initial fee]]</f>
        <v>1</v>
      </c>
      <c r="T2977" s="89"/>
      <c r="U2977" s="26"/>
    </row>
    <row r="2978" spans="1:28" hidden="1" x14ac:dyDescent="0.25">
      <c r="A2978">
        <v>582919</v>
      </c>
      <c r="B2978" t="s">
        <v>3341</v>
      </c>
      <c r="C2978" t="s">
        <v>7638</v>
      </c>
      <c r="D2978">
        <v>1</v>
      </c>
      <c r="E2978" t="s">
        <v>3341</v>
      </c>
      <c r="G2978" s="3"/>
      <c r="H2978" s="21">
        <v>0</v>
      </c>
      <c r="I2978" s="21">
        <v>0</v>
      </c>
      <c r="J2978" s="21">
        <v>0</v>
      </c>
      <c r="K2978" s="21">
        <v>0</v>
      </c>
      <c r="L2978" s="3">
        <f t="shared" ref="L2978:L3041" si="136">SUM(H2978:K2978)</f>
        <v>0</v>
      </c>
      <c r="M2978" s="3"/>
      <c r="N2978" s="3">
        <f t="shared" ref="N2978:N3041" si="137">L2978+G2978</f>
        <v>0</v>
      </c>
      <c r="R2978" s="89"/>
      <c r="S2978" s="89">
        <f>100%-Table34[[#This Row],[PDF_initial fee]]</f>
        <v>1</v>
      </c>
      <c r="T2978" s="89"/>
      <c r="U2978" s="26"/>
    </row>
    <row r="2979" spans="1:28" hidden="1" x14ac:dyDescent="0.25">
      <c r="A2979">
        <v>583019</v>
      </c>
      <c r="B2979" t="s">
        <v>3342</v>
      </c>
      <c r="C2979" t="s">
        <v>11528</v>
      </c>
      <c r="D2979">
        <v>1</v>
      </c>
      <c r="E2979" t="s">
        <v>3342</v>
      </c>
      <c r="G2979" s="3"/>
      <c r="H2979" s="21">
        <v>0</v>
      </c>
      <c r="I2979" s="21">
        <v>0</v>
      </c>
      <c r="J2979" s="21">
        <v>0</v>
      </c>
      <c r="K2979" s="21">
        <v>0</v>
      </c>
      <c r="L2979" s="3">
        <f t="shared" si="136"/>
        <v>0</v>
      </c>
      <c r="M2979" s="3"/>
      <c r="N2979" s="3">
        <f t="shared" si="137"/>
        <v>0</v>
      </c>
      <c r="R2979" s="89"/>
      <c r="S2979" s="89">
        <f>100%-Table34[[#This Row],[PDF_initial fee]]</f>
        <v>1</v>
      </c>
      <c r="T2979" s="89"/>
      <c r="U2979" s="26"/>
    </row>
    <row r="2980" spans="1:28" hidden="1" x14ac:dyDescent="0.25">
      <c r="A2980">
        <v>583021</v>
      </c>
      <c r="B2980" t="s">
        <v>3343</v>
      </c>
      <c r="C2980" t="s">
        <v>30502</v>
      </c>
      <c r="D2980">
        <v>2</v>
      </c>
      <c r="E2980" t="s">
        <v>3343</v>
      </c>
      <c r="G2980" s="3"/>
      <c r="H2980" s="3">
        <v>0</v>
      </c>
      <c r="I2980" s="3">
        <v>0</v>
      </c>
      <c r="J2980" s="3">
        <v>0</v>
      </c>
      <c r="K2980" s="3">
        <v>0</v>
      </c>
      <c r="L2980" s="3">
        <f t="shared" si="136"/>
        <v>0</v>
      </c>
      <c r="M2980" s="3"/>
      <c r="N2980" s="3">
        <f t="shared" si="137"/>
        <v>0</v>
      </c>
      <c r="R2980" s="89"/>
      <c r="S2980" s="89">
        <f>100%-Table34[[#This Row],[PDF_initial fee]]</f>
        <v>1</v>
      </c>
      <c r="T2980" s="89"/>
      <c r="U2980" s="26"/>
    </row>
    <row r="2981" spans="1:28" hidden="1" x14ac:dyDescent="0.25">
      <c r="A2981">
        <v>583082</v>
      </c>
      <c r="B2981" t="s">
        <v>3345</v>
      </c>
      <c r="C2981" t="s">
        <v>6958</v>
      </c>
      <c r="D2981">
        <v>1</v>
      </c>
      <c r="E2981" t="s">
        <v>3345</v>
      </c>
      <c r="F2981" t="s">
        <v>6958</v>
      </c>
      <c r="G2981" s="3"/>
      <c r="L2981" s="3">
        <f t="shared" si="136"/>
        <v>0</v>
      </c>
      <c r="M2981" s="3"/>
      <c r="N2981" s="3">
        <f t="shared" si="137"/>
        <v>0</v>
      </c>
      <c r="R2981" s="89"/>
      <c r="S2981" s="89">
        <f>100%-Table34[[#This Row],[PDF_initial fee]]</f>
        <v>1</v>
      </c>
      <c r="T2981" s="89"/>
      <c r="U2981" s="26"/>
    </row>
    <row r="2982" spans="1:28" hidden="1" x14ac:dyDescent="0.25">
      <c r="A2982">
        <v>583115</v>
      </c>
      <c r="B2982" t="s">
        <v>3346</v>
      </c>
      <c r="C2982" t="s">
        <v>6958</v>
      </c>
      <c r="D2982">
        <v>1</v>
      </c>
      <c r="E2982" t="s">
        <v>3346</v>
      </c>
      <c r="F2982" t="s">
        <v>6958</v>
      </c>
      <c r="G2982" s="3"/>
      <c r="H2982" s="21">
        <v>0</v>
      </c>
      <c r="I2982" s="21">
        <v>0</v>
      </c>
      <c r="J2982" s="21">
        <v>0</v>
      </c>
      <c r="K2982" s="21">
        <v>0</v>
      </c>
      <c r="L2982" s="3">
        <f t="shared" si="136"/>
        <v>0</v>
      </c>
      <c r="M2982" s="3"/>
      <c r="N2982" s="3">
        <f t="shared" si="137"/>
        <v>0</v>
      </c>
      <c r="R2982" s="89"/>
      <c r="S2982" s="89">
        <f>100%-Table34[[#This Row],[PDF_initial fee]]</f>
        <v>1</v>
      </c>
      <c r="T2982" s="89"/>
      <c r="U2982" s="26"/>
    </row>
    <row r="2983" spans="1:28" hidden="1" x14ac:dyDescent="0.25">
      <c r="A2983">
        <v>583142</v>
      </c>
      <c r="B2983" t="s">
        <v>3347</v>
      </c>
      <c r="C2983" t="s">
        <v>30503</v>
      </c>
      <c r="D2983">
        <v>3</v>
      </c>
      <c r="E2983" t="s">
        <v>3347</v>
      </c>
      <c r="G2983" s="3"/>
      <c r="H2983" s="21">
        <v>0</v>
      </c>
      <c r="I2983" s="3">
        <v>0</v>
      </c>
      <c r="J2983" s="3">
        <v>0</v>
      </c>
      <c r="K2983">
        <v>0</v>
      </c>
      <c r="L2983" s="3">
        <f t="shared" si="136"/>
        <v>0</v>
      </c>
      <c r="M2983" s="3"/>
      <c r="N2983" s="3">
        <f t="shared" si="137"/>
        <v>0</v>
      </c>
      <c r="R2983" s="89"/>
      <c r="S2983" s="89">
        <f>100%-Table34[[#This Row],[PDF_initial fee]]</f>
        <v>1</v>
      </c>
      <c r="T2983" s="89"/>
      <c r="U2983" s="26"/>
    </row>
    <row r="2984" spans="1:28" hidden="1" x14ac:dyDescent="0.25">
      <c r="A2984">
        <v>583147</v>
      </c>
      <c r="B2984" t="s">
        <v>3348</v>
      </c>
      <c r="C2984" t="s">
        <v>30504</v>
      </c>
      <c r="D2984">
        <v>6</v>
      </c>
      <c r="E2984" t="s">
        <v>3348</v>
      </c>
      <c r="G2984" s="3"/>
      <c r="H2984" s="21">
        <v>0</v>
      </c>
      <c r="I2984" s="21">
        <v>0</v>
      </c>
      <c r="J2984" s="21">
        <v>0</v>
      </c>
      <c r="K2984" s="21">
        <v>0</v>
      </c>
      <c r="L2984" s="3">
        <f t="shared" si="136"/>
        <v>0</v>
      </c>
      <c r="M2984" s="3"/>
      <c r="N2984" s="3">
        <f t="shared" si="137"/>
        <v>0</v>
      </c>
      <c r="O2984" s="21"/>
      <c r="R2984" s="89"/>
      <c r="S2984" s="89">
        <f>100%-Table34[[#This Row],[PDF_initial fee]]</f>
        <v>1</v>
      </c>
      <c r="T2984" s="89"/>
      <c r="U2984" s="26"/>
    </row>
    <row r="2985" spans="1:28" x14ac:dyDescent="0.25">
      <c r="A2985">
        <v>116461</v>
      </c>
      <c r="B2985" t="s">
        <v>16</v>
      </c>
      <c r="C2985" s="1" t="s">
        <v>11628</v>
      </c>
      <c r="D2985">
        <v>3</v>
      </c>
      <c r="E2985" t="s">
        <v>16</v>
      </c>
      <c r="F2985" t="s">
        <v>3</v>
      </c>
      <c r="G2985" s="3">
        <v>1.4E-3</v>
      </c>
      <c r="H2985" s="3">
        <f>3.172%+0.5%</f>
        <v>3.6719999999999996E-2</v>
      </c>
      <c r="I2985" s="3">
        <v>8.0000000000000002E-3</v>
      </c>
      <c r="J2985" s="6"/>
      <c r="K2985" s="6"/>
      <c r="L2985" s="3">
        <f t="shared" si="136"/>
        <v>4.4719999999999996E-2</v>
      </c>
      <c r="M2985" s="3"/>
      <c r="N2985" s="3">
        <f t="shared" si="137"/>
        <v>4.6119999999999994E-2</v>
      </c>
      <c r="O2985" t="s">
        <v>30505</v>
      </c>
      <c r="P2985" s="1" t="s">
        <v>30506</v>
      </c>
      <c r="Q2985" t="s">
        <v>31787</v>
      </c>
      <c r="R2985" s="89">
        <v>0.33333333333333348</v>
      </c>
      <c r="S2985" s="89">
        <f>100%-Table34[[#This Row],[InitialFee]]</f>
        <v>0.96328000000000003</v>
      </c>
      <c r="T2985" s="89">
        <f>(1-Table34[[#This Row],[OngoingFee (plus Platform fee)]])^5</f>
        <v>0.96063490044723188</v>
      </c>
      <c r="U2985" s="26">
        <f>(1+Table34[[#This Row],[Net 5yrs return (mostly up to 28th of Feb 2026)]])*Table34[[#This Row],[Investment after initial charge]]*Table34[[#This Row],[Cummulative 5yrs ongoing advice charge]]-1</f>
        <v>0.23381384920374626</v>
      </c>
      <c r="V2985" s="10">
        <v>1409481</v>
      </c>
      <c r="W2985" t="s">
        <v>29051</v>
      </c>
      <c r="X2985" s="10">
        <v>1379522</v>
      </c>
      <c r="Y2985" s="30">
        <f>X2985/V2985</f>
        <v>0.97874465849486447</v>
      </c>
      <c r="AA2985" s="1" t="s">
        <v>30507</v>
      </c>
      <c r="AB2985" t="s">
        <v>29302</v>
      </c>
    </row>
    <row r="2986" spans="1:28" hidden="1" x14ac:dyDescent="0.25">
      <c r="A2986">
        <v>583233</v>
      </c>
      <c r="B2986" t="s">
        <v>3350</v>
      </c>
      <c r="C2986" t="s">
        <v>7443</v>
      </c>
      <c r="D2986">
        <v>35</v>
      </c>
      <c r="E2986" t="s">
        <v>3350</v>
      </c>
      <c r="G2986" s="3"/>
      <c r="H2986" s="21">
        <v>0</v>
      </c>
      <c r="I2986" s="21">
        <v>0</v>
      </c>
      <c r="J2986" s="21">
        <v>0</v>
      </c>
      <c r="K2986" s="21">
        <v>0</v>
      </c>
      <c r="L2986" s="3">
        <f t="shared" si="136"/>
        <v>0</v>
      </c>
      <c r="M2986" s="3"/>
      <c r="N2986" s="3">
        <f t="shared" si="137"/>
        <v>0</v>
      </c>
      <c r="R2986" s="89"/>
      <c r="S2986" s="89">
        <f>100%-Table34[[#This Row],[PDF_initial fee]]</f>
        <v>1</v>
      </c>
      <c r="T2986" s="89"/>
      <c r="U2986" s="26"/>
    </row>
    <row r="2987" spans="1:28" hidden="1" x14ac:dyDescent="0.25">
      <c r="A2987">
        <v>583300</v>
      </c>
      <c r="B2987" t="s">
        <v>3351</v>
      </c>
      <c r="C2987" t="s">
        <v>12085</v>
      </c>
      <c r="D2987">
        <v>4</v>
      </c>
      <c r="E2987" t="s">
        <v>3351</v>
      </c>
      <c r="G2987" s="3"/>
      <c r="H2987" s="21">
        <v>0</v>
      </c>
      <c r="I2987" s="21">
        <v>0</v>
      </c>
      <c r="J2987" s="21">
        <v>0</v>
      </c>
      <c r="K2987" s="21">
        <v>0</v>
      </c>
      <c r="L2987" s="3">
        <f t="shared" si="136"/>
        <v>0</v>
      </c>
      <c r="M2987" s="3"/>
      <c r="N2987" s="3">
        <f t="shared" si="137"/>
        <v>0</v>
      </c>
      <c r="R2987" s="89"/>
      <c r="S2987" s="89">
        <f>100%-Table34[[#This Row],[PDF_initial fee]]</f>
        <v>1</v>
      </c>
      <c r="T2987" s="89"/>
      <c r="U2987" s="26"/>
    </row>
    <row r="2988" spans="1:28" hidden="1" x14ac:dyDescent="0.25">
      <c r="A2988">
        <v>583343</v>
      </c>
      <c r="B2988" t="s">
        <v>3352</v>
      </c>
      <c r="C2988" t="s">
        <v>7678</v>
      </c>
      <c r="D2988">
        <v>1</v>
      </c>
      <c r="E2988" t="s">
        <v>3352</v>
      </c>
      <c r="G2988" s="3"/>
      <c r="H2988" s="39"/>
      <c r="I2988" s="39"/>
      <c r="J2988" s="39"/>
      <c r="K2988" s="39"/>
      <c r="L2988" s="3">
        <f t="shared" si="136"/>
        <v>0</v>
      </c>
      <c r="M2988" s="3"/>
      <c r="N2988" s="3">
        <f t="shared" si="137"/>
        <v>0</v>
      </c>
      <c r="R2988" s="89"/>
      <c r="S2988" s="89">
        <f>100%-Table34[[#This Row],[PDF_initial fee]]</f>
        <v>1</v>
      </c>
      <c r="T2988" s="89"/>
      <c r="U2988" s="26"/>
    </row>
    <row r="2989" spans="1:28" hidden="1" x14ac:dyDescent="0.25">
      <c r="A2989">
        <v>583348</v>
      </c>
      <c r="B2989" t="s">
        <v>3353</v>
      </c>
      <c r="C2989" t="s">
        <v>6958</v>
      </c>
      <c r="D2989">
        <v>2</v>
      </c>
      <c r="E2989" t="s">
        <v>3353</v>
      </c>
      <c r="F2989" t="s">
        <v>6958</v>
      </c>
      <c r="G2989" s="3"/>
      <c r="H2989" s="21">
        <v>0</v>
      </c>
      <c r="I2989" s="21">
        <v>0</v>
      </c>
      <c r="J2989" s="21">
        <v>0</v>
      </c>
      <c r="K2989" s="21">
        <v>0</v>
      </c>
      <c r="L2989" s="3">
        <f t="shared" si="136"/>
        <v>0</v>
      </c>
      <c r="M2989" s="3"/>
      <c r="N2989" s="3">
        <f t="shared" si="137"/>
        <v>0</v>
      </c>
      <c r="R2989" s="89"/>
      <c r="S2989" s="89">
        <f>100%-Table34[[#This Row],[PDF_initial fee]]</f>
        <v>1</v>
      </c>
      <c r="T2989" s="89"/>
      <c r="U2989" s="26"/>
    </row>
    <row r="2990" spans="1:28" x14ac:dyDescent="0.25">
      <c r="A2990">
        <v>106054</v>
      </c>
      <c r="B2990" t="s">
        <v>5</v>
      </c>
      <c r="C2990" t="s">
        <v>30508</v>
      </c>
      <c r="D2990">
        <v>172</v>
      </c>
      <c r="E2990" t="s">
        <v>5</v>
      </c>
      <c r="F2990" t="s">
        <v>6</v>
      </c>
      <c r="G2990" s="3">
        <v>4.7000000000000002E-3</v>
      </c>
      <c r="H2990" s="3">
        <v>2.5000000000000001E-2</v>
      </c>
      <c r="I2990" s="3">
        <v>2.7499999999999998E-3</v>
      </c>
      <c r="J2990" s="6">
        <v>0</v>
      </c>
      <c r="K2990" s="6">
        <v>0</v>
      </c>
      <c r="L2990" s="3">
        <f t="shared" si="136"/>
        <v>2.775E-2</v>
      </c>
      <c r="M2990" s="3"/>
      <c r="N2990" s="3">
        <f t="shared" si="137"/>
        <v>3.245E-2</v>
      </c>
      <c r="O2990" s="21" t="s">
        <v>30509</v>
      </c>
      <c r="P2990" s="1" t="s">
        <v>30510</v>
      </c>
      <c r="Q2990" s="1" t="s">
        <v>30511</v>
      </c>
      <c r="R2990" s="89">
        <v>0.25430000000000003</v>
      </c>
      <c r="S2990" s="89">
        <f>100%-Table34[[#This Row],[InitialFee]]</f>
        <v>0.97499999999999998</v>
      </c>
      <c r="T2990" s="89">
        <f>(1-Table34[[#This Row],[OngoingFee (plus Platform fee)]])^5</f>
        <v>0.98632541731704959</v>
      </c>
      <c r="U2990" s="26">
        <f>(1+Table34[[#This Row],[Net 5yrs return (mostly up to 28th of Feb 2026)]])*Table34[[#This Row],[Investment after initial charge]]*Table34[[#This Row],[Cummulative 5yrs ongoing advice charge]]-1</f>
        <v>0.20621927166725595</v>
      </c>
      <c r="V2990" s="10">
        <v>259944000000</v>
      </c>
      <c r="W2990" s="91" t="s">
        <v>29081</v>
      </c>
      <c r="X2990" s="10">
        <v>13773000000</v>
      </c>
      <c r="Y2990" s="30">
        <f>X2990/V2990</f>
        <v>5.2984488966854398E-2</v>
      </c>
      <c r="Z2990" s="91"/>
      <c r="AA2990" s="1" t="s">
        <v>30512</v>
      </c>
    </row>
    <row r="2991" spans="1:28" hidden="1" x14ac:dyDescent="0.25">
      <c r="A2991">
        <v>583354</v>
      </c>
      <c r="B2991" t="s">
        <v>3354</v>
      </c>
      <c r="C2991" t="s">
        <v>30513</v>
      </c>
      <c r="D2991">
        <v>7</v>
      </c>
      <c r="E2991" t="s">
        <v>3354</v>
      </c>
      <c r="G2991" s="3"/>
      <c r="H2991" s="21">
        <v>0</v>
      </c>
      <c r="I2991" s="21">
        <v>0</v>
      </c>
      <c r="J2991" s="21">
        <v>0</v>
      </c>
      <c r="K2991" s="21">
        <v>0</v>
      </c>
      <c r="L2991" s="3">
        <f t="shared" si="136"/>
        <v>0</v>
      </c>
      <c r="M2991" s="3"/>
      <c r="N2991" s="3">
        <f t="shared" si="137"/>
        <v>0</v>
      </c>
      <c r="O2991" s="21"/>
      <c r="R2991" s="89"/>
      <c r="S2991" s="89">
        <f>100%-Table34[[#This Row],[PDF_initial fee]]</f>
        <v>1</v>
      </c>
      <c r="T2991" s="89"/>
      <c r="U2991" s="26"/>
    </row>
    <row r="2992" spans="1:28" hidden="1" x14ac:dyDescent="0.25">
      <c r="A2992">
        <v>583361</v>
      </c>
      <c r="B2992" t="s">
        <v>3355</v>
      </c>
      <c r="C2992" t="s">
        <v>11697</v>
      </c>
      <c r="D2992">
        <v>0</v>
      </c>
      <c r="E2992" t="s">
        <v>3355</v>
      </c>
      <c r="F2992" t="s">
        <v>29136</v>
      </c>
      <c r="G2992" s="3"/>
      <c r="H2992" s="21">
        <v>0</v>
      </c>
      <c r="I2992" s="21">
        <v>0</v>
      </c>
      <c r="J2992" s="21">
        <v>0</v>
      </c>
      <c r="K2992" s="21">
        <v>0</v>
      </c>
      <c r="L2992" s="3">
        <f t="shared" si="136"/>
        <v>0</v>
      </c>
      <c r="M2992" s="3"/>
      <c r="N2992" s="3">
        <f t="shared" si="137"/>
        <v>0</v>
      </c>
      <c r="R2992" s="89"/>
      <c r="S2992" s="89">
        <f>100%-Table34[[#This Row],[PDF_initial fee]]</f>
        <v>1</v>
      </c>
      <c r="T2992" s="89"/>
      <c r="U2992" s="26"/>
    </row>
    <row r="2993" spans="1:27" hidden="1" x14ac:dyDescent="0.25">
      <c r="A2993">
        <v>583406</v>
      </c>
      <c r="B2993" t="s">
        <v>3356</v>
      </c>
      <c r="C2993" t="s">
        <v>30514</v>
      </c>
      <c r="D2993">
        <v>2</v>
      </c>
      <c r="E2993" t="s">
        <v>3356</v>
      </c>
      <c r="G2993" s="3"/>
      <c r="H2993" s="3">
        <v>0</v>
      </c>
      <c r="I2993" s="3">
        <v>0</v>
      </c>
      <c r="J2993" s="3">
        <v>0</v>
      </c>
      <c r="K2993" s="3">
        <v>0</v>
      </c>
      <c r="L2993" s="3">
        <f t="shared" si="136"/>
        <v>0</v>
      </c>
      <c r="M2993" s="3"/>
      <c r="N2993" s="3">
        <f t="shared" si="137"/>
        <v>0</v>
      </c>
      <c r="R2993" s="89"/>
      <c r="S2993" s="89">
        <f>100%-Table34[[#This Row],[PDF_initial fee]]</f>
        <v>1</v>
      </c>
      <c r="T2993" s="89"/>
      <c r="U2993" s="26"/>
    </row>
    <row r="2994" spans="1:27" hidden="1" x14ac:dyDescent="0.25">
      <c r="A2994">
        <v>583599</v>
      </c>
      <c r="B2994" t="s">
        <v>3358</v>
      </c>
      <c r="C2994" t="s">
        <v>8490</v>
      </c>
      <c r="D2994">
        <v>1</v>
      </c>
      <c r="E2994" t="s">
        <v>3358</v>
      </c>
      <c r="G2994" s="3"/>
      <c r="H2994" s="21">
        <v>0</v>
      </c>
      <c r="I2994" s="21">
        <v>0</v>
      </c>
      <c r="J2994" s="21">
        <v>0</v>
      </c>
      <c r="K2994" s="21">
        <v>0</v>
      </c>
      <c r="L2994" s="3">
        <f t="shared" si="136"/>
        <v>0</v>
      </c>
      <c r="M2994" s="3"/>
      <c r="N2994" s="3">
        <f t="shared" si="137"/>
        <v>0</v>
      </c>
      <c r="R2994" s="89"/>
      <c r="S2994" s="89">
        <f>100%-Table34[[#This Row],[PDF_initial fee]]</f>
        <v>1</v>
      </c>
      <c r="T2994" s="89"/>
      <c r="U2994" s="26"/>
    </row>
    <row r="2995" spans="1:27" hidden="1" x14ac:dyDescent="0.25">
      <c r="A2995">
        <v>584076</v>
      </c>
      <c r="B2995" t="s">
        <v>3359</v>
      </c>
      <c r="C2995" t="s">
        <v>6958</v>
      </c>
      <c r="D2995">
        <v>1</v>
      </c>
      <c r="E2995" t="s">
        <v>3359</v>
      </c>
      <c r="F2995" t="s">
        <v>6958</v>
      </c>
      <c r="G2995" s="3"/>
      <c r="H2995" s="21">
        <v>0</v>
      </c>
      <c r="I2995" s="21">
        <v>0</v>
      </c>
      <c r="J2995" s="21">
        <v>0</v>
      </c>
      <c r="K2995" s="21">
        <v>0</v>
      </c>
      <c r="L2995" s="3">
        <f t="shared" si="136"/>
        <v>0</v>
      </c>
      <c r="M2995" s="3"/>
      <c r="N2995" s="3">
        <f t="shared" si="137"/>
        <v>0</v>
      </c>
      <c r="R2995" s="89"/>
      <c r="S2995" s="89">
        <f>100%-Table34[[#This Row],[PDF_initial fee]]</f>
        <v>1</v>
      </c>
      <c r="T2995" s="89"/>
      <c r="U2995" s="26"/>
    </row>
    <row r="2996" spans="1:27" hidden="1" x14ac:dyDescent="0.25">
      <c r="A2996">
        <v>584106</v>
      </c>
      <c r="B2996" t="s">
        <v>3360</v>
      </c>
      <c r="C2996" t="s">
        <v>11738</v>
      </c>
      <c r="D2996">
        <v>1</v>
      </c>
      <c r="E2996" t="s">
        <v>3360</v>
      </c>
      <c r="G2996" s="3"/>
      <c r="H2996" s="21">
        <v>0</v>
      </c>
      <c r="I2996" s="21">
        <v>0</v>
      </c>
      <c r="J2996" s="21">
        <v>0</v>
      </c>
      <c r="K2996" s="21">
        <v>0</v>
      </c>
      <c r="L2996" s="3">
        <f t="shared" si="136"/>
        <v>0</v>
      </c>
      <c r="M2996" s="3"/>
      <c r="N2996" s="3">
        <f t="shared" si="137"/>
        <v>0</v>
      </c>
      <c r="R2996" s="89"/>
      <c r="S2996" s="89">
        <f>100%-Table34[[#This Row],[PDF_initial fee]]</f>
        <v>1</v>
      </c>
      <c r="T2996" s="89"/>
      <c r="U2996" s="26"/>
    </row>
    <row r="2997" spans="1:27" hidden="1" x14ac:dyDescent="0.25">
      <c r="A2997">
        <v>584237</v>
      </c>
      <c r="B2997" t="s">
        <v>3361</v>
      </c>
      <c r="C2997" t="s">
        <v>9527</v>
      </c>
      <c r="D2997">
        <v>7</v>
      </c>
      <c r="E2997" t="s">
        <v>3361</v>
      </c>
      <c r="G2997" s="3"/>
      <c r="L2997" s="3">
        <f t="shared" si="136"/>
        <v>0</v>
      </c>
      <c r="M2997" s="3"/>
      <c r="N2997" s="3">
        <f t="shared" si="137"/>
        <v>0</v>
      </c>
      <c r="R2997" s="89"/>
      <c r="S2997" s="89">
        <f>100%-Table34[[#This Row],[PDF_initial fee]]</f>
        <v>1</v>
      </c>
      <c r="T2997" s="89"/>
      <c r="U2997" s="26"/>
    </row>
    <row r="2998" spans="1:27" x14ac:dyDescent="0.25">
      <c r="A2998">
        <v>916873</v>
      </c>
      <c r="B2998" t="s">
        <v>328</v>
      </c>
      <c r="C2998" t="s">
        <v>11690</v>
      </c>
      <c r="D2998">
        <v>3</v>
      </c>
      <c r="E2998" t="s">
        <v>328</v>
      </c>
      <c r="F2998" t="s">
        <v>3</v>
      </c>
      <c r="G2998" s="3">
        <v>1.4E-3</v>
      </c>
      <c r="H2998" s="3">
        <v>0.01</v>
      </c>
      <c r="I2998" s="3">
        <v>0.01</v>
      </c>
      <c r="J2998" s="6"/>
      <c r="K2998" s="6"/>
      <c r="L2998" s="3">
        <f t="shared" si="136"/>
        <v>0.02</v>
      </c>
      <c r="M2998" s="3"/>
      <c r="N2998" s="3">
        <f t="shared" si="137"/>
        <v>2.1399999999999999E-2</v>
      </c>
      <c r="P2998" s="31" t="s">
        <v>11690</v>
      </c>
      <c r="Q2998" t="s">
        <v>31787</v>
      </c>
      <c r="R2998" s="89">
        <v>0.33333333333333348</v>
      </c>
      <c r="S2998" s="89">
        <f>100%-Table34[[#This Row],[InitialFee]]</f>
        <v>0.99</v>
      </c>
      <c r="T2998" s="89">
        <f>(1-Table34[[#This Row],[OngoingFee (plus Platform fee)]])^5</f>
        <v>0.95099004989999991</v>
      </c>
      <c r="U2998" s="26">
        <f>(1+Table34[[#This Row],[Net 5yrs return (mostly up to 28th of Feb 2026)]])*Table34[[#This Row],[Investment after initial charge]]*Table34[[#This Row],[Cummulative 5yrs ongoing advice charge]]-1</f>
        <v>0.255306865868</v>
      </c>
      <c r="V2998">
        <f>83027+27413</f>
        <v>110440</v>
      </c>
      <c r="W2998" t="s">
        <v>29051</v>
      </c>
      <c r="X2998" s="9">
        <v>53028</v>
      </c>
      <c r="Y2998" s="30">
        <f>X2998/V2998</f>
        <v>0.48015211879753711</v>
      </c>
      <c r="AA2998" s="1" t="s">
        <v>30515</v>
      </c>
    </row>
    <row r="2999" spans="1:27" hidden="1" x14ac:dyDescent="0.25">
      <c r="A2999">
        <v>584493</v>
      </c>
      <c r="B2999" t="s">
        <v>3362</v>
      </c>
      <c r="C2999" t="s">
        <v>6958</v>
      </c>
      <c r="D2999">
        <v>0</v>
      </c>
      <c r="E2999" t="s">
        <v>3362</v>
      </c>
      <c r="F2999" t="s">
        <v>6958</v>
      </c>
      <c r="G2999" s="3"/>
      <c r="H2999" s="21">
        <v>0</v>
      </c>
      <c r="I2999" s="21">
        <v>0</v>
      </c>
      <c r="J2999" s="21">
        <v>0</v>
      </c>
      <c r="K2999" s="21">
        <v>0</v>
      </c>
      <c r="L2999" s="3">
        <f t="shared" si="136"/>
        <v>0</v>
      </c>
      <c r="M2999" s="3"/>
      <c r="N2999" s="3">
        <f t="shared" si="137"/>
        <v>0</v>
      </c>
      <c r="R2999" s="89"/>
      <c r="S2999" s="89">
        <f>100%-Table34[[#This Row],[PDF_initial fee]]</f>
        <v>1</v>
      </c>
      <c r="T2999" s="89"/>
      <c r="U2999" s="26"/>
    </row>
    <row r="3000" spans="1:27" hidden="1" x14ac:dyDescent="0.25">
      <c r="A3000">
        <v>584606</v>
      </c>
      <c r="B3000" t="s">
        <v>3364</v>
      </c>
      <c r="C3000" t="s">
        <v>6967</v>
      </c>
      <c r="D3000">
        <v>1</v>
      </c>
      <c r="E3000" t="s">
        <v>3364</v>
      </c>
      <c r="G3000" s="3"/>
      <c r="H3000" s="21">
        <v>0</v>
      </c>
      <c r="I3000" s="21">
        <v>0</v>
      </c>
      <c r="J3000" s="21">
        <v>0</v>
      </c>
      <c r="K3000" s="21">
        <v>0</v>
      </c>
      <c r="L3000" s="3">
        <f t="shared" si="136"/>
        <v>0</v>
      </c>
      <c r="M3000" s="3"/>
      <c r="N3000" s="3">
        <f t="shared" si="137"/>
        <v>0</v>
      </c>
      <c r="R3000" s="89"/>
      <c r="S3000" s="89">
        <f>100%-Table34[[#This Row],[PDF_initial fee]]</f>
        <v>1</v>
      </c>
      <c r="T3000" s="89"/>
      <c r="U3000" s="26"/>
    </row>
    <row r="3001" spans="1:27" hidden="1" x14ac:dyDescent="0.25">
      <c r="A3001">
        <v>584985</v>
      </c>
      <c r="B3001" t="s">
        <v>3365</v>
      </c>
      <c r="C3001" t="s">
        <v>11349</v>
      </c>
      <c r="D3001">
        <v>1</v>
      </c>
      <c r="E3001" t="s">
        <v>3365</v>
      </c>
      <c r="G3001" s="3"/>
      <c r="H3001" s="21">
        <v>0</v>
      </c>
      <c r="I3001" s="21">
        <v>0</v>
      </c>
      <c r="J3001" s="21">
        <v>0</v>
      </c>
      <c r="K3001" s="21">
        <v>0</v>
      </c>
      <c r="L3001" s="3">
        <f t="shared" si="136"/>
        <v>0</v>
      </c>
      <c r="M3001" s="3"/>
      <c r="N3001" s="3">
        <f t="shared" si="137"/>
        <v>0</v>
      </c>
      <c r="R3001" s="89"/>
      <c r="S3001" s="89">
        <f>100%-Table34[[#This Row],[PDF_initial fee]]</f>
        <v>1</v>
      </c>
      <c r="T3001" s="89"/>
      <c r="U3001" s="26"/>
    </row>
    <row r="3002" spans="1:27" hidden="1" x14ac:dyDescent="0.25">
      <c r="A3002">
        <v>584991</v>
      </c>
      <c r="B3002" t="s">
        <v>3366</v>
      </c>
      <c r="C3002" t="s">
        <v>6958</v>
      </c>
      <c r="D3002">
        <v>1</v>
      </c>
      <c r="E3002" t="s">
        <v>3366</v>
      </c>
      <c r="F3002" t="s">
        <v>6958</v>
      </c>
      <c r="G3002" s="3"/>
      <c r="L3002" s="3">
        <f t="shared" si="136"/>
        <v>0</v>
      </c>
      <c r="M3002" s="3"/>
      <c r="N3002" s="3">
        <f t="shared" si="137"/>
        <v>0</v>
      </c>
      <c r="R3002" s="89"/>
      <c r="S3002" s="89">
        <f>100%-Table34[[#This Row],[PDF_initial fee]]</f>
        <v>1</v>
      </c>
      <c r="T3002" s="89"/>
      <c r="U3002" s="26"/>
    </row>
    <row r="3003" spans="1:27" hidden="1" x14ac:dyDescent="0.25">
      <c r="A3003">
        <v>585145</v>
      </c>
      <c r="B3003" t="s">
        <v>3367</v>
      </c>
      <c r="C3003" t="s">
        <v>11656</v>
      </c>
      <c r="D3003">
        <v>1</v>
      </c>
      <c r="E3003" t="s">
        <v>3367</v>
      </c>
      <c r="G3003" s="3"/>
      <c r="L3003" s="3">
        <f t="shared" si="136"/>
        <v>0</v>
      </c>
      <c r="M3003" s="3"/>
      <c r="N3003" s="3">
        <f t="shared" si="137"/>
        <v>0</v>
      </c>
      <c r="R3003" s="89"/>
      <c r="S3003" s="89">
        <f>100%-Table34[[#This Row],[PDF_initial fee]]</f>
        <v>1</v>
      </c>
      <c r="T3003" s="89"/>
      <c r="U3003" s="26"/>
    </row>
    <row r="3004" spans="1:27" hidden="1" x14ac:dyDescent="0.25">
      <c r="A3004">
        <v>585160</v>
      </c>
      <c r="B3004" t="s">
        <v>3368</v>
      </c>
      <c r="C3004" t="s">
        <v>30516</v>
      </c>
      <c r="D3004">
        <v>1</v>
      </c>
      <c r="E3004" t="s">
        <v>3368</v>
      </c>
      <c r="G3004" s="3"/>
      <c r="H3004" s="21">
        <v>0</v>
      </c>
      <c r="I3004" s="3">
        <v>0</v>
      </c>
      <c r="J3004" s="3">
        <v>0</v>
      </c>
      <c r="K3004">
        <v>0</v>
      </c>
      <c r="L3004" s="3">
        <f t="shared" si="136"/>
        <v>0</v>
      </c>
      <c r="M3004" s="3"/>
      <c r="N3004" s="3">
        <f t="shared" si="137"/>
        <v>0</v>
      </c>
      <c r="R3004" s="89"/>
      <c r="S3004" s="89">
        <f>100%-Table34[[#This Row],[PDF_initial fee]]</f>
        <v>1</v>
      </c>
      <c r="T3004" s="89"/>
      <c r="U3004" s="26"/>
    </row>
    <row r="3005" spans="1:27" hidden="1" x14ac:dyDescent="0.25">
      <c r="A3005">
        <v>585390</v>
      </c>
      <c r="B3005" t="s">
        <v>3369</v>
      </c>
      <c r="C3005" t="s">
        <v>8857</v>
      </c>
      <c r="D3005">
        <v>1</v>
      </c>
      <c r="E3005" t="s">
        <v>3369</v>
      </c>
      <c r="G3005" s="3"/>
      <c r="H3005" s="21">
        <v>0</v>
      </c>
      <c r="I3005" s="21">
        <v>0</v>
      </c>
      <c r="J3005" s="21">
        <v>0</v>
      </c>
      <c r="K3005" s="21">
        <v>0</v>
      </c>
      <c r="L3005" s="3">
        <f t="shared" si="136"/>
        <v>0</v>
      </c>
      <c r="M3005" s="3"/>
      <c r="N3005" s="3">
        <f t="shared" si="137"/>
        <v>0</v>
      </c>
      <c r="R3005" s="89"/>
      <c r="S3005" s="89">
        <f>100%-Table34[[#This Row],[PDF_initial fee]]</f>
        <v>1</v>
      </c>
      <c r="T3005" s="89"/>
      <c r="U3005" s="26"/>
    </row>
    <row r="3006" spans="1:27" hidden="1" x14ac:dyDescent="0.25">
      <c r="A3006">
        <v>585547</v>
      </c>
      <c r="B3006" t="s">
        <v>3370</v>
      </c>
      <c r="C3006" t="s">
        <v>30517</v>
      </c>
      <c r="D3006">
        <v>14</v>
      </c>
      <c r="E3006" t="s">
        <v>3370</v>
      </c>
      <c r="G3006" s="3"/>
      <c r="H3006" s="21">
        <v>0</v>
      </c>
      <c r="I3006" s="21">
        <v>0</v>
      </c>
      <c r="J3006" s="21">
        <v>0</v>
      </c>
      <c r="K3006" s="21">
        <v>0</v>
      </c>
      <c r="L3006" s="3">
        <f t="shared" si="136"/>
        <v>0</v>
      </c>
      <c r="M3006" s="3"/>
      <c r="N3006" s="3">
        <f t="shared" si="137"/>
        <v>0</v>
      </c>
      <c r="O3006" s="21"/>
      <c r="R3006" s="89"/>
      <c r="S3006" s="89">
        <f>100%-Table34[[#This Row],[PDF_initial fee]]</f>
        <v>1</v>
      </c>
      <c r="T3006" s="89"/>
      <c r="U3006" s="26"/>
    </row>
    <row r="3007" spans="1:27" hidden="1" x14ac:dyDescent="0.25">
      <c r="A3007">
        <v>585549</v>
      </c>
      <c r="B3007" t="s">
        <v>3371</v>
      </c>
      <c r="C3007" t="s">
        <v>11838</v>
      </c>
      <c r="D3007">
        <v>4</v>
      </c>
      <c r="E3007" t="s">
        <v>3371</v>
      </c>
      <c r="G3007" s="3"/>
      <c r="H3007" s="21">
        <v>0</v>
      </c>
      <c r="I3007" s="21">
        <v>0</v>
      </c>
      <c r="J3007" s="21">
        <v>0</v>
      </c>
      <c r="K3007" s="21">
        <v>0</v>
      </c>
      <c r="L3007" s="3">
        <f t="shared" si="136"/>
        <v>0</v>
      </c>
      <c r="M3007" s="3"/>
      <c r="N3007" s="3">
        <f t="shared" si="137"/>
        <v>0</v>
      </c>
      <c r="R3007" s="89"/>
      <c r="S3007" s="89">
        <f>100%-Table34[[#This Row],[PDF_initial fee]]</f>
        <v>1</v>
      </c>
      <c r="T3007" s="89"/>
      <c r="U3007" s="26"/>
    </row>
    <row r="3008" spans="1:27" hidden="1" x14ac:dyDescent="0.25">
      <c r="A3008">
        <v>585601</v>
      </c>
      <c r="B3008" t="s">
        <v>3372</v>
      </c>
      <c r="C3008" s="1" t="s">
        <v>30518</v>
      </c>
      <c r="D3008">
        <v>0</v>
      </c>
      <c r="E3008" t="s">
        <v>3372</v>
      </c>
      <c r="F3008" t="s">
        <v>29136</v>
      </c>
      <c r="G3008" s="3"/>
      <c r="H3008" s="3">
        <v>0</v>
      </c>
      <c r="I3008" s="3">
        <v>0</v>
      </c>
      <c r="J3008" s="3">
        <v>0</v>
      </c>
      <c r="K3008" s="3">
        <v>0</v>
      </c>
      <c r="L3008" s="3">
        <f t="shared" si="136"/>
        <v>0</v>
      </c>
      <c r="M3008" s="3"/>
      <c r="N3008" s="3">
        <f t="shared" si="137"/>
        <v>0</v>
      </c>
      <c r="R3008" s="89"/>
      <c r="S3008" s="89">
        <f>100%-Table34[[#This Row],[PDF_initial fee]]</f>
        <v>1</v>
      </c>
      <c r="T3008" s="89"/>
      <c r="U3008" s="26"/>
    </row>
    <row r="3009" spans="1:30" hidden="1" x14ac:dyDescent="0.25">
      <c r="A3009">
        <v>585700</v>
      </c>
      <c r="B3009" t="s">
        <v>3373</v>
      </c>
      <c r="C3009" t="s">
        <v>6958</v>
      </c>
      <c r="D3009">
        <v>2</v>
      </c>
      <c r="E3009" t="s">
        <v>3373</v>
      </c>
      <c r="F3009" t="s">
        <v>6958</v>
      </c>
      <c r="G3009" s="3"/>
      <c r="H3009" s="21">
        <v>0</v>
      </c>
      <c r="I3009" s="21">
        <v>0</v>
      </c>
      <c r="J3009" s="21">
        <v>0</v>
      </c>
      <c r="K3009" s="21">
        <v>0</v>
      </c>
      <c r="L3009" s="3">
        <f t="shared" si="136"/>
        <v>0</v>
      </c>
      <c r="M3009" s="3"/>
      <c r="N3009" s="3">
        <f t="shared" si="137"/>
        <v>0</v>
      </c>
      <c r="R3009" s="89"/>
      <c r="S3009" s="89">
        <f>100%-Table34[[#This Row],[PDF_initial fee]]</f>
        <v>1</v>
      </c>
      <c r="T3009" s="89"/>
      <c r="U3009" s="26"/>
    </row>
    <row r="3010" spans="1:30" hidden="1" x14ac:dyDescent="0.25">
      <c r="A3010">
        <v>585728</v>
      </c>
      <c r="B3010" t="s">
        <v>3374</v>
      </c>
      <c r="C3010" t="s">
        <v>9755</v>
      </c>
      <c r="D3010">
        <v>6</v>
      </c>
      <c r="E3010" t="s">
        <v>3374</v>
      </c>
      <c r="G3010" s="3"/>
      <c r="H3010" s="21">
        <v>0</v>
      </c>
      <c r="I3010" s="21">
        <v>0</v>
      </c>
      <c r="J3010" s="21">
        <v>0</v>
      </c>
      <c r="K3010" s="21">
        <v>0</v>
      </c>
      <c r="L3010" s="3">
        <f t="shared" si="136"/>
        <v>0</v>
      </c>
      <c r="M3010" s="3"/>
      <c r="N3010" s="3">
        <f t="shared" si="137"/>
        <v>0</v>
      </c>
      <c r="R3010" s="89"/>
      <c r="S3010" s="89">
        <f>100%-Table34[[#This Row],[PDF_initial fee]]</f>
        <v>1</v>
      </c>
      <c r="T3010" s="89"/>
      <c r="U3010" s="26"/>
    </row>
    <row r="3011" spans="1:30" hidden="1" x14ac:dyDescent="0.25">
      <c r="A3011">
        <v>586043</v>
      </c>
      <c r="B3011" t="s">
        <v>3375</v>
      </c>
      <c r="C3011" t="s">
        <v>6958</v>
      </c>
      <c r="D3011">
        <v>0</v>
      </c>
      <c r="E3011" t="s">
        <v>3375</v>
      </c>
      <c r="F3011" t="s">
        <v>6958</v>
      </c>
      <c r="G3011" s="3"/>
      <c r="L3011" s="3">
        <f t="shared" si="136"/>
        <v>0</v>
      </c>
      <c r="M3011" s="3"/>
      <c r="N3011" s="3">
        <f t="shared" si="137"/>
        <v>0</v>
      </c>
      <c r="R3011" s="89"/>
      <c r="S3011" s="89">
        <f>100%-Table34[[#This Row],[PDF_initial fee]]</f>
        <v>1</v>
      </c>
      <c r="T3011" s="89"/>
      <c r="U3011" s="26"/>
    </row>
    <row r="3012" spans="1:30" hidden="1" x14ac:dyDescent="0.25">
      <c r="A3012">
        <v>586056</v>
      </c>
      <c r="B3012" t="s">
        <v>3376</v>
      </c>
      <c r="C3012" t="s">
        <v>30519</v>
      </c>
      <c r="D3012">
        <v>4</v>
      </c>
      <c r="E3012" t="s">
        <v>3376</v>
      </c>
      <c r="G3012" s="3"/>
      <c r="H3012" s="3">
        <v>0</v>
      </c>
      <c r="I3012" s="3">
        <v>0</v>
      </c>
      <c r="J3012" s="3">
        <v>0</v>
      </c>
      <c r="K3012" s="3">
        <v>0</v>
      </c>
      <c r="L3012" s="3">
        <f t="shared" si="136"/>
        <v>0</v>
      </c>
      <c r="M3012" s="3"/>
      <c r="N3012" s="3">
        <f t="shared" si="137"/>
        <v>0</v>
      </c>
      <c r="R3012" s="89"/>
      <c r="S3012" s="89">
        <f>100%-Table34[[#This Row],[PDF_initial fee]]</f>
        <v>1</v>
      </c>
      <c r="T3012" s="89"/>
      <c r="U3012" s="26"/>
    </row>
    <row r="3013" spans="1:30" hidden="1" x14ac:dyDescent="0.25">
      <c r="A3013">
        <v>586071</v>
      </c>
      <c r="B3013" t="s">
        <v>3377</v>
      </c>
      <c r="C3013" t="s">
        <v>6958</v>
      </c>
      <c r="D3013">
        <v>6</v>
      </c>
      <c r="E3013" t="s">
        <v>3377</v>
      </c>
      <c r="F3013" t="s">
        <v>6958</v>
      </c>
      <c r="G3013" s="3"/>
      <c r="H3013" s="21">
        <v>0</v>
      </c>
      <c r="I3013" s="21">
        <v>0</v>
      </c>
      <c r="J3013" s="21">
        <v>0</v>
      </c>
      <c r="K3013" s="21">
        <v>0</v>
      </c>
      <c r="L3013" s="3">
        <f t="shared" si="136"/>
        <v>0</v>
      </c>
      <c r="M3013" s="3"/>
      <c r="N3013" s="3">
        <f t="shared" si="137"/>
        <v>0</v>
      </c>
      <c r="R3013" s="89"/>
      <c r="S3013" s="89">
        <f>100%-Table34[[#This Row],[PDF_initial fee]]</f>
        <v>1</v>
      </c>
      <c r="T3013" s="89"/>
      <c r="U3013" s="26"/>
    </row>
    <row r="3014" spans="1:30" hidden="1" x14ac:dyDescent="0.25">
      <c r="A3014">
        <v>586078</v>
      </c>
      <c r="B3014" t="s">
        <v>3378</v>
      </c>
      <c r="C3014" t="s">
        <v>9675</v>
      </c>
      <c r="D3014">
        <v>3</v>
      </c>
      <c r="E3014" t="s">
        <v>3378</v>
      </c>
      <c r="G3014" s="3"/>
      <c r="L3014" s="3">
        <f t="shared" si="136"/>
        <v>0</v>
      </c>
      <c r="M3014" s="3"/>
      <c r="N3014" s="3">
        <f t="shared" si="137"/>
        <v>0</v>
      </c>
      <c r="R3014" s="89"/>
      <c r="S3014" s="89">
        <f>100%-Table34[[#This Row],[PDF_initial fee]]</f>
        <v>1</v>
      </c>
      <c r="T3014" s="89"/>
      <c r="U3014" s="26"/>
      <c r="Y3014" s="30"/>
      <c r="AD3014" t="s">
        <v>30520</v>
      </c>
    </row>
    <row r="3015" spans="1:30" hidden="1" x14ac:dyDescent="0.25">
      <c r="A3015">
        <v>586130</v>
      </c>
      <c r="B3015" t="s">
        <v>3379</v>
      </c>
      <c r="C3015" t="s">
        <v>6958</v>
      </c>
      <c r="D3015">
        <v>6</v>
      </c>
      <c r="E3015" t="s">
        <v>3379</v>
      </c>
      <c r="F3015" t="s">
        <v>6958</v>
      </c>
      <c r="G3015" s="3"/>
      <c r="H3015" s="21">
        <v>0</v>
      </c>
      <c r="I3015" s="21">
        <v>0</v>
      </c>
      <c r="J3015" s="21">
        <v>0</v>
      </c>
      <c r="K3015" s="21">
        <v>0</v>
      </c>
      <c r="L3015" s="3">
        <f t="shared" si="136"/>
        <v>0</v>
      </c>
      <c r="M3015" s="3"/>
      <c r="N3015" s="3">
        <f t="shared" si="137"/>
        <v>0</v>
      </c>
      <c r="R3015" s="89"/>
      <c r="S3015" s="89">
        <f>100%-Table34[[#This Row],[PDF_initial fee]]</f>
        <v>1</v>
      </c>
      <c r="T3015" s="89"/>
      <c r="U3015" s="26"/>
    </row>
    <row r="3016" spans="1:30" hidden="1" x14ac:dyDescent="0.25">
      <c r="A3016">
        <v>586271</v>
      </c>
      <c r="B3016" t="s">
        <v>3380</v>
      </c>
      <c r="C3016" t="s">
        <v>10693</v>
      </c>
      <c r="D3016">
        <v>1</v>
      </c>
      <c r="E3016" t="s">
        <v>3380</v>
      </c>
      <c r="G3016" s="3"/>
      <c r="H3016" s="21">
        <v>0</v>
      </c>
      <c r="I3016" s="21">
        <v>0</v>
      </c>
      <c r="J3016" s="21">
        <v>0</v>
      </c>
      <c r="K3016" s="21">
        <v>0</v>
      </c>
      <c r="L3016" s="3">
        <f t="shared" si="136"/>
        <v>0</v>
      </c>
      <c r="M3016" s="3"/>
      <c r="N3016" s="3">
        <f t="shared" si="137"/>
        <v>0</v>
      </c>
      <c r="R3016" s="89"/>
      <c r="S3016" s="89">
        <f>100%-Table34[[#This Row],[PDF_initial fee]]</f>
        <v>1</v>
      </c>
      <c r="T3016" s="89"/>
      <c r="U3016" s="26"/>
    </row>
    <row r="3017" spans="1:30" hidden="1" x14ac:dyDescent="0.25">
      <c r="A3017">
        <v>586375</v>
      </c>
      <c r="B3017" t="s">
        <v>3381</v>
      </c>
      <c r="C3017" t="s">
        <v>6958</v>
      </c>
      <c r="D3017">
        <v>2</v>
      </c>
      <c r="E3017" t="s">
        <v>3381</v>
      </c>
      <c r="F3017" t="s">
        <v>6958</v>
      </c>
      <c r="G3017" s="3"/>
      <c r="H3017" s="21">
        <v>0</v>
      </c>
      <c r="I3017" s="21">
        <v>0</v>
      </c>
      <c r="J3017" s="21">
        <v>0</v>
      </c>
      <c r="K3017" s="21">
        <v>0</v>
      </c>
      <c r="L3017" s="3">
        <f t="shared" si="136"/>
        <v>0</v>
      </c>
      <c r="M3017" s="3"/>
      <c r="N3017" s="3">
        <f t="shared" si="137"/>
        <v>0</v>
      </c>
      <c r="R3017" s="89"/>
      <c r="S3017" s="89">
        <f>100%-Table34[[#This Row],[PDF_initial fee]]</f>
        <v>1</v>
      </c>
      <c r="T3017" s="89"/>
      <c r="U3017" s="26"/>
    </row>
    <row r="3018" spans="1:30" hidden="1" x14ac:dyDescent="0.25">
      <c r="A3018">
        <v>586392</v>
      </c>
      <c r="B3018" t="s">
        <v>3382</v>
      </c>
      <c r="C3018" t="s">
        <v>10595</v>
      </c>
      <c r="D3018">
        <v>4</v>
      </c>
      <c r="E3018" t="s">
        <v>3382</v>
      </c>
      <c r="G3018" s="3"/>
      <c r="H3018" s="21">
        <v>0</v>
      </c>
      <c r="I3018" s="21">
        <v>0</v>
      </c>
      <c r="J3018" s="21">
        <v>0</v>
      </c>
      <c r="K3018" s="21">
        <v>0</v>
      </c>
      <c r="L3018" s="3">
        <f t="shared" si="136"/>
        <v>0</v>
      </c>
      <c r="M3018" s="3"/>
      <c r="N3018" s="3">
        <f t="shared" si="137"/>
        <v>0</v>
      </c>
      <c r="R3018" s="89"/>
      <c r="S3018" s="89">
        <f>100%-Table34[[#This Row],[PDF_initial fee]]</f>
        <v>1</v>
      </c>
      <c r="T3018" s="89"/>
      <c r="U3018" s="26"/>
    </row>
    <row r="3019" spans="1:30" hidden="1" x14ac:dyDescent="0.25">
      <c r="A3019">
        <v>586453</v>
      </c>
      <c r="B3019" t="s">
        <v>3383</v>
      </c>
      <c r="C3019" s="1" t="s">
        <v>30521</v>
      </c>
      <c r="D3019">
        <v>2</v>
      </c>
      <c r="E3019" t="s">
        <v>3383</v>
      </c>
      <c r="G3019" s="3"/>
      <c r="H3019" s="3">
        <v>0</v>
      </c>
      <c r="I3019" s="3">
        <v>0</v>
      </c>
      <c r="J3019" s="3">
        <v>0</v>
      </c>
      <c r="K3019" s="3">
        <v>0</v>
      </c>
      <c r="L3019" s="3">
        <f t="shared" si="136"/>
        <v>0</v>
      </c>
      <c r="M3019" s="3"/>
      <c r="N3019" s="3">
        <f t="shared" si="137"/>
        <v>0</v>
      </c>
      <c r="R3019" s="89"/>
      <c r="S3019" s="89">
        <f>100%-Table34[[#This Row],[PDF_initial fee]]</f>
        <v>1</v>
      </c>
      <c r="T3019" s="89"/>
      <c r="U3019" s="26"/>
    </row>
    <row r="3020" spans="1:30" hidden="1" x14ac:dyDescent="0.25">
      <c r="A3020">
        <v>586466</v>
      </c>
      <c r="B3020" t="s">
        <v>3384</v>
      </c>
      <c r="C3020" t="s">
        <v>30522</v>
      </c>
      <c r="D3020">
        <v>2</v>
      </c>
      <c r="E3020" t="s">
        <v>3384</v>
      </c>
      <c r="G3020" s="3"/>
      <c r="H3020" s="21">
        <v>0</v>
      </c>
      <c r="I3020" s="21">
        <v>0</v>
      </c>
      <c r="J3020" s="21">
        <v>0</v>
      </c>
      <c r="K3020" s="21">
        <v>0</v>
      </c>
      <c r="L3020" s="3">
        <f t="shared" si="136"/>
        <v>0</v>
      </c>
      <c r="M3020" s="3"/>
      <c r="N3020" s="3">
        <f t="shared" si="137"/>
        <v>0</v>
      </c>
      <c r="O3020" s="21"/>
      <c r="R3020" s="89"/>
      <c r="S3020" s="89">
        <f>100%-Table34[[#This Row],[PDF_initial fee]]</f>
        <v>1</v>
      </c>
      <c r="T3020" s="89"/>
      <c r="U3020" s="26"/>
    </row>
    <row r="3021" spans="1:30" hidden="1" x14ac:dyDescent="0.25">
      <c r="A3021">
        <v>586519</v>
      </c>
      <c r="B3021" t="s">
        <v>3385</v>
      </c>
      <c r="C3021" t="s">
        <v>8347</v>
      </c>
      <c r="D3021">
        <v>2</v>
      </c>
      <c r="E3021" t="s">
        <v>3385</v>
      </c>
      <c r="G3021" s="3"/>
      <c r="H3021" s="21">
        <v>0</v>
      </c>
      <c r="I3021" s="21">
        <v>0</v>
      </c>
      <c r="J3021" s="21">
        <v>0</v>
      </c>
      <c r="K3021" s="21">
        <v>0</v>
      </c>
      <c r="L3021" s="3">
        <f t="shared" si="136"/>
        <v>0</v>
      </c>
      <c r="M3021" s="3"/>
      <c r="N3021" s="3">
        <f t="shared" si="137"/>
        <v>0</v>
      </c>
      <c r="R3021" s="89"/>
      <c r="S3021" s="89">
        <f>100%-Table34[[#This Row],[PDF_initial fee]]</f>
        <v>1</v>
      </c>
      <c r="T3021" s="89"/>
      <c r="U3021" s="26"/>
    </row>
    <row r="3022" spans="1:30" hidden="1" x14ac:dyDescent="0.25">
      <c r="A3022">
        <v>586670</v>
      </c>
      <c r="B3022" t="s">
        <v>3386</v>
      </c>
      <c r="C3022" s="1" t="s">
        <v>30523</v>
      </c>
      <c r="D3022">
        <v>2</v>
      </c>
      <c r="E3022" t="s">
        <v>3386</v>
      </c>
      <c r="G3022" s="3"/>
      <c r="H3022" s="3">
        <v>0</v>
      </c>
      <c r="I3022" s="3">
        <v>0</v>
      </c>
      <c r="J3022" s="3">
        <v>0</v>
      </c>
      <c r="K3022" s="3">
        <v>0</v>
      </c>
      <c r="L3022" s="3">
        <f t="shared" si="136"/>
        <v>0</v>
      </c>
      <c r="M3022" s="3"/>
      <c r="N3022" s="3">
        <f t="shared" si="137"/>
        <v>0</v>
      </c>
      <c r="R3022" s="89"/>
      <c r="S3022" s="89">
        <f>100%-Table34[[#This Row],[PDF_initial fee]]</f>
        <v>1</v>
      </c>
      <c r="T3022" s="89"/>
      <c r="U3022" s="26"/>
    </row>
    <row r="3023" spans="1:30" hidden="1" x14ac:dyDescent="0.25">
      <c r="A3023">
        <v>586696</v>
      </c>
      <c r="B3023" t="s">
        <v>3387</v>
      </c>
      <c r="C3023" s="1" t="s">
        <v>30524</v>
      </c>
      <c r="D3023">
        <v>4</v>
      </c>
      <c r="E3023" t="s">
        <v>3387</v>
      </c>
      <c r="G3023" s="3"/>
      <c r="H3023" s="3">
        <v>0</v>
      </c>
      <c r="I3023" s="3">
        <v>0</v>
      </c>
      <c r="J3023" s="3">
        <v>0</v>
      </c>
      <c r="K3023" s="3">
        <v>0</v>
      </c>
      <c r="L3023" s="3">
        <f t="shared" si="136"/>
        <v>0</v>
      </c>
      <c r="M3023" s="3"/>
      <c r="N3023" s="3">
        <f t="shared" si="137"/>
        <v>0</v>
      </c>
      <c r="R3023" s="89"/>
      <c r="S3023" s="89">
        <f>100%-Table34[[#This Row],[PDF_initial fee]]</f>
        <v>1</v>
      </c>
      <c r="T3023" s="89"/>
      <c r="U3023" s="26"/>
    </row>
    <row r="3024" spans="1:30" hidden="1" x14ac:dyDescent="0.25">
      <c r="A3024">
        <v>586744</v>
      </c>
      <c r="B3024" t="s">
        <v>3388</v>
      </c>
      <c r="C3024" t="s">
        <v>8848</v>
      </c>
      <c r="D3024">
        <v>12</v>
      </c>
      <c r="E3024" t="s">
        <v>3388</v>
      </c>
      <c r="G3024" s="3"/>
      <c r="H3024" s="21">
        <v>0</v>
      </c>
      <c r="I3024" s="21">
        <v>0</v>
      </c>
      <c r="J3024" s="21">
        <v>0</v>
      </c>
      <c r="K3024" s="21">
        <v>0</v>
      </c>
      <c r="L3024" s="3">
        <f t="shared" si="136"/>
        <v>0</v>
      </c>
      <c r="M3024" s="3"/>
      <c r="N3024" s="3">
        <f t="shared" si="137"/>
        <v>0</v>
      </c>
      <c r="R3024" s="89"/>
      <c r="S3024" s="89">
        <f>100%-Table34[[#This Row],[PDF_initial fee]]</f>
        <v>1</v>
      </c>
      <c r="T3024" s="89"/>
      <c r="U3024" s="26"/>
    </row>
    <row r="3025" spans="1:21" hidden="1" x14ac:dyDescent="0.25">
      <c r="A3025">
        <v>586775</v>
      </c>
      <c r="B3025" t="s">
        <v>3389</v>
      </c>
      <c r="C3025" t="s">
        <v>6953</v>
      </c>
      <c r="D3025">
        <v>1</v>
      </c>
      <c r="E3025" t="s">
        <v>3389</v>
      </c>
      <c r="G3025" s="3"/>
      <c r="H3025" s="21">
        <v>0</v>
      </c>
      <c r="I3025" s="21">
        <v>0</v>
      </c>
      <c r="J3025" s="21">
        <v>0</v>
      </c>
      <c r="K3025" s="21">
        <v>0</v>
      </c>
      <c r="L3025" s="3">
        <f t="shared" si="136"/>
        <v>0</v>
      </c>
      <c r="M3025" s="3"/>
      <c r="N3025" s="3">
        <f t="shared" si="137"/>
        <v>0</v>
      </c>
      <c r="R3025" s="89"/>
      <c r="S3025" s="89">
        <f>100%-Table34[[#This Row],[PDF_initial fee]]</f>
        <v>1</v>
      </c>
      <c r="T3025" s="89"/>
      <c r="U3025" s="26"/>
    </row>
    <row r="3026" spans="1:21" hidden="1" x14ac:dyDescent="0.25">
      <c r="A3026">
        <v>586846</v>
      </c>
      <c r="B3026" t="s">
        <v>3390</v>
      </c>
      <c r="C3026" t="s">
        <v>9663</v>
      </c>
      <c r="D3026">
        <v>1</v>
      </c>
      <c r="E3026" t="s">
        <v>3390</v>
      </c>
      <c r="G3026" s="3"/>
      <c r="H3026" s="21">
        <v>0</v>
      </c>
      <c r="I3026" s="21">
        <v>0</v>
      </c>
      <c r="J3026" s="21">
        <v>0</v>
      </c>
      <c r="K3026" s="21">
        <v>0</v>
      </c>
      <c r="L3026" s="3">
        <f t="shared" si="136"/>
        <v>0</v>
      </c>
      <c r="M3026" s="3"/>
      <c r="N3026" s="3">
        <f t="shared" si="137"/>
        <v>0</v>
      </c>
      <c r="R3026" s="89"/>
      <c r="S3026" s="89">
        <f>100%-Table34[[#This Row],[PDF_initial fee]]</f>
        <v>1</v>
      </c>
      <c r="T3026" s="89"/>
      <c r="U3026" s="26"/>
    </row>
    <row r="3027" spans="1:21" hidden="1" x14ac:dyDescent="0.25">
      <c r="A3027">
        <v>586862</v>
      </c>
      <c r="B3027" t="s">
        <v>3391</v>
      </c>
      <c r="C3027" t="s">
        <v>30525</v>
      </c>
      <c r="D3027">
        <v>10</v>
      </c>
      <c r="E3027" t="s">
        <v>3391</v>
      </c>
      <c r="G3027" s="3"/>
      <c r="H3027" s="3">
        <v>0</v>
      </c>
      <c r="I3027" s="3">
        <v>0</v>
      </c>
      <c r="J3027" s="3">
        <v>0</v>
      </c>
      <c r="K3027" s="3">
        <v>0</v>
      </c>
      <c r="L3027" s="3">
        <f t="shared" si="136"/>
        <v>0</v>
      </c>
      <c r="M3027" s="3"/>
      <c r="N3027" s="3">
        <f t="shared" si="137"/>
        <v>0</v>
      </c>
      <c r="R3027" s="89"/>
      <c r="S3027" s="89">
        <f>100%-Table34[[#This Row],[PDF_initial fee]]</f>
        <v>1</v>
      </c>
      <c r="T3027" s="89"/>
      <c r="U3027" s="26"/>
    </row>
    <row r="3028" spans="1:21" hidden="1" x14ac:dyDescent="0.25">
      <c r="A3028">
        <v>587094</v>
      </c>
      <c r="B3028" t="s">
        <v>3392</v>
      </c>
      <c r="C3028" t="s">
        <v>7170</v>
      </c>
      <c r="D3028">
        <v>4</v>
      </c>
      <c r="E3028" t="s">
        <v>3392</v>
      </c>
      <c r="G3028" s="3"/>
      <c r="H3028" s="21">
        <v>0</v>
      </c>
      <c r="I3028" s="21">
        <v>0</v>
      </c>
      <c r="J3028" s="21">
        <v>0</v>
      </c>
      <c r="K3028" s="21">
        <v>0</v>
      </c>
      <c r="L3028" s="3">
        <f t="shared" si="136"/>
        <v>0</v>
      </c>
      <c r="M3028" s="3"/>
      <c r="N3028" s="3">
        <f t="shared" si="137"/>
        <v>0</v>
      </c>
      <c r="R3028" s="89"/>
      <c r="S3028" s="89">
        <f>100%-Table34[[#This Row],[PDF_initial fee]]</f>
        <v>1</v>
      </c>
      <c r="T3028" s="89"/>
      <c r="U3028" s="26"/>
    </row>
    <row r="3029" spans="1:21" hidden="1" x14ac:dyDescent="0.25">
      <c r="A3029">
        <v>587095</v>
      </c>
      <c r="B3029" t="s">
        <v>3393</v>
      </c>
      <c r="C3029" t="s">
        <v>9665</v>
      </c>
      <c r="D3029">
        <v>5</v>
      </c>
      <c r="E3029" t="s">
        <v>3393</v>
      </c>
      <c r="G3029" s="3"/>
      <c r="H3029" s="21">
        <v>0</v>
      </c>
      <c r="I3029" s="21">
        <v>0</v>
      </c>
      <c r="J3029" s="21">
        <v>0</v>
      </c>
      <c r="K3029" s="21">
        <v>0</v>
      </c>
      <c r="L3029" s="3">
        <f t="shared" si="136"/>
        <v>0</v>
      </c>
      <c r="M3029" s="3"/>
      <c r="N3029" s="3">
        <f t="shared" si="137"/>
        <v>0</v>
      </c>
      <c r="R3029" s="89"/>
      <c r="S3029" s="89">
        <f>100%-Table34[[#This Row],[PDF_initial fee]]</f>
        <v>1</v>
      </c>
      <c r="T3029" s="89"/>
      <c r="U3029" s="26"/>
    </row>
    <row r="3030" spans="1:21" hidden="1" x14ac:dyDescent="0.25">
      <c r="A3030">
        <v>587216</v>
      </c>
      <c r="B3030" t="s">
        <v>3394</v>
      </c>
      <c r="C3030" t="s">
        <v>30526</v>
      </c>
      <c r="D3030">
        <v>5</v>
      </c>
      <c r="E3030" t="s">
        <v>3394</v>
      </c>
      <c r="G3030" s="3"/>
      <c r="H3030" s="3">
        <v>0</v>
      </c>
      <c r="I3030" s="3">
        <v>0</v>
      </c>
      <c r="J3030" s="3">
        <v>0</v>
      </c>
      <c r="K3030" s="3">
        <v>0</v>
      </c>
      <c r="L3030" s="3">
        <f t="shared" si="136"/>
        <v>0</v>
      </c>
      <c r="M3030" s="3"/>
      <c r="N3030" s="3">
        <f t="shared" si="137"/>
        <v>0</v>
      </c>
      <c r="R3030" s="89"/>
      <c r="S3030" s="89">
        <f>100%-Table34[[#This Row],[PDF_initial fee]]</f>
        <v>1</v>
      </c>
      <c r="T3030" s="89"/>
      <c r="U3030" s="26"/>
    </row>
    <row r="3031" spans="1:21" hidden="1" x14ac:dyDescent="0.25">
      <c r="A3031">
        <v>587218</v>
      </c>
      <c r="B3031" t="s">
        <v>3395</v>
      </c>
      <c r="C3031" t="s">
        <v>30527</v>
      </c>
      <c r="D3031">
        <v>1</v>
      </c>
      <c r="E3031" t="s">
        <v>3395</v>
      </c>
      <c r="G3031" s="3"/>
      <c r="H3031" s="3">
        <v>0</v>
      </c>
      <c r="I3031" s="3">
        <v>0</v>
      </c>
      <c r="J3031" s="3">
        <v>0</v>
      </c>
      <c r="K3031" s="3">
        <v>0</v>
      </c>
      <c r="L3031" s="3">
        <f t="shared" si="136"/>
        <v>0</v>
      </c>
      <c r="M3031" s="3"/>
      <c r="N3031" s="3">
        <f t="shared" si="137"/>
        <v>0</v>
      </c>
      <c r="R3031" s="89"/>
      <c r="S3031" s="89">
        <f>100%-Table34[[#This Row],[PDF_initial fee]]</f>
        <v>1</v>
      </c>
      <c r="T3031" s="89"/>
      <c r="U3031" s="26"/>
    </row>
    <row r="3032" spans="1:21" hidden="1" x14ac:dyDescent="0.25">
      <c r="A3032">
        <v>587231</v>
      </c>
      <c r="B3032" t="s">
        <v>3396</v>
      </c>
      <c r="C3032" t="s">
        <v>6958</v>
      </c>
      <c r="D3032">
        <v>2</v>
      </c>
      <c r="E3032" t="s">
        <v>3396</v>
      </c>
      <c r="F3032" t="s">
        <v>6958</v>
      </c>
      <c r="G3032" s="3"/>
      <c r="H3032" s="21">
        <v>0</v>
      </c>
      <c r="I3032" s="21">
        <v>0</v>
      </c>
      <c r="J3032" s="21">
        <v>0</v>
      </c>
      <c r="K3032" s="21">
        <v>0</v>
      </c>
      <c r="L3032" s="3">
        <f t="shared" si="136"/>
        <v>0</v>
      </c>
      <c r="M3032" s="3"/>
      <c r="N3032" s="3">
        <f t="shared" si="137"/>
        <v>0</v>
      </c>
      <c r="O3032" s="21"/>
      <c r="R3032" s="89"/>
      <c r="S3032" s="89">
        <f>100%-Table34[[#This Row],[PDF_initial fee]]</f>
        <v>1</v>
      </c>
      <c r="T3032" s="89"/>
      <c r="U3032" s="26"/>
    </row>
    <row r="3033" spans="1:21" hidden="1" x14ac:dyDescent="0.25">
      <c r="A3033">
        <v>587233</v>
      </c>
      <c r="B3033" t="s">
        <v>3397</v>
      </c>
      <c r="C3033" t="s">
        <v>6958</v>
      </c>
      <c r="D3033">
        <v>1</v>
      </c>
      <c r="E3033" t="s">
        <v>3397</v>
      </c>
      <c r="F3033" t="s">
        <v>6958</v>
      </c>
      <c r="G3033" s="3"/>
      <c r="H3033" s="21">
        <v>0</v>
      </c>
      <c r="I3033" s="21">
        <v>0</v>
      </c>
      <c r="J3033" s="21">
        <v>0</v>
      </c>
      <c r="K3033" s="21">
        <v>0</v>
      </c>
      <c r="L3033" s="3">
        <f t="shared" si="136"/>
        <v>0</v>
      </c>
      <c r="M3033" s="3"/>
      <c r="N3033" s="3">
        <f t="shared" si="137"/>
        <v>0</v>
      </c>
      <c r="R3033" s="89"/>
      <c r="S3033" s="89">
        <f>100%-Table34[[#This Row],[PDF_initial fee]]</f>
        <v>1</v>
      </c>
      <c r="T3033" s="89"/>
      <c r="U3033" s="26"/>
    </row>
    <row r="3034" spans="1:21" hidden="1" x14ac:dyDescent="0.25">
      <c r="A3034">
        <v>587242</v>
      </c>
      <c r="B3034" t="s">
        <v>3398</v>
      </c>
      <c r="C3034" t="s">
        <v>8652</v>
      </c>
      <c r="D3034">
        <v>1</v>
      </c>
      <c r="E3034" t="s">
        <v>3398</v>
      </c>
      <c r="G3034" s="3"/>
      <c r="H3034" s="21">
        <v>0</v>
      </c>
      <c r="I3034" s="21">
        <v>0</v>
      </c>
      <c r="J3034" s="21">
        <v>0</v>
      </c>
      <c r="K3034" s="21">
        <v>0</v>
      </c>
      <c r="L3034" s="3">
        <f t="shared" si="136"/>
        <v>0</v>
      </c>
      <c r="M3034" s="3"/>
      <c r="N3034" s="3">
        <f t="shared" si="137"/>
        <v>0</v>
      </c>
      <c r="R3034" s="89"/>
      <c r="S3034" s="89">
        <f>100%-Table34[[#This Row],[PDF_initial fee]]</f>
        <v>1</v>
      </c>
      <c r="T3034" s="89"/>
      <c r="U3034" s="26"/>
    </row>
    <row r="3035" spans="1:21" hidden="1" x14ac:dyDescent="0.25">
      <c r="A3035">
        <v>587243</v>
      </c>
      <c r="B3035" t="s">
        <v>3399</v>
      </c>
      <c r="C3035" t="s">
        <v>10523</v>
      </c>
      <c r="D3035">
        <v>1</v>
      </c>
      <c r="E3035" t="s">
        <v>3399</v>
      </c>
      <c r="G3035" s="3"/>
      <c r="H3035" s="21">
        <v>0</v>
      </c>
      <c r="I3035" s="21">
        <v>0</v>
      </c>
      <c r="J3035" s="21">
        <v>0</v>
      </c>
      <c r="K3035" s="21">
        <v>0</v>
      </c>
      <c r="L3035" s="3">
        <f t="shared" si="136"/>
        <v>0</v>
      </c>
      <c r="M3035" s="3"/>
      <c r="N3035" s="3">
        <f t="shared" si="137"/>
        <v>0</v>
      </c>
      <c r="R3035" s="89"/>
      <c r="S3035" s="89">
        <f>100%-Table34[[#This Row],[PDF_initial fee]]</f>
        <v>1</v>
      </c>
      <c r="T3035" s="89"/>
      <c r="U3035" s="26"/>
    </row>
    <row r="3036" spans="1:21" hidden="1" x14ac:dyDescent="0.25">
      <c r="A3036">
        <v>587254</v>
      </c>
      <c r="B3036" t="s">
        <v>3400</v>
      </c>
      <c r="C3036" t="s">
        <v>9841</v>
      </c>
      <c r="D3036">
        <v>9</v>
      </c>
      <c r="E3036" t="s">
        <v>3400</v>
      </c>
      <c r="G3036" s="3"/>
      <c r="L3036" s="3">
        <f t="shared" si="136"/>
        <v>0</v>
      </c>
      <c r="M3036" s="3"/>
      <c r="N3036" s="3">
        <f t="shared" si="137"/>
        <v>0</v>
      </c>
      <c r="R3036" s="89"/>
      <c r="S3036" s="89">
        <f>100%-Table34[[#This Row],[PDF_initial fee]]</f>
        <v>1</v>
      </c>
      <c r="T3036" s="89"/>
      <c r="U3036" s="26"/>
    </row>
    <row r="3037" spans="1:21" hidden="1" x14ac:dyDescent="0.25">
      <c r="A3037">
        <v>587569</v>
      </c>
      <c r="B3037" t="s">
        <v>3401</v>
      </c>
      <c r="C3037" t="s">
        <v>8964</v>
      </c>
      <c r="D3037">
        <v>2</v>
      </c>
      <c r="E3037" t="s">
        <v>3401</v>
      </c>
      <c r="G3037" s="3"/>
      <c r="H3037" s="21">
        <v>0</v>
      </c>
      <c r="I3037" s="21">
        <v>0</v>
      </c>
      <c r="J3037" s="21">
        <v>0</v>
      </c>
      <c r="K3037" s="21">
        <v>0</v>
      </c>
      <c r="L3037" s="3">
        <f t="shared" si="136"/>
        <v>0</v>
      </c>
      <c r="M3037" s="3"/>
      <c r="N3037" s="3">
        <f t="shared" si="137"/>
        <v>0</v>
      </c>
      <c r="R3037" s="89"/>
      <c r="S3037" s="89">
        <f>100%-Table34[[#This Row],[PDF_initial fee]]</f>
        <v>1</v>
      </c>
      <c r="T3037" s="89"/>
      <c r="U3037" s="26"/>
    </row>
    <row r="3038" spans="1:21" hidden="1" x14ac:dyDescent="0.25">
      <c r="A3038">
        <v>587577</v>
      </c>
      <c r="B3038" t="s">
        <v>3402</v>
      </c>
      <c r="C3038" t="s">
        <v>6958</v>
      </c>
      <c r="D3038">
        <v>1</v>
      </c>
      <c r="E3038" t="s">
        <v>3402</v>
      </c>
      <c r="F3038" t="s">
        <v>6958</v>
      </c>
      <c r="G3038" s="3"/>
      <c r="H3038" s="21">
        <v>0</v>
      </c>
      <c r="I3038" s="21">
        <v>0</v>
      </c>
      <c r="J3038" s="21">
        <v>0</v>
      </c>
      <c r="K3038" s="21">
        <v>0</v>
      </c>
      <c r="L3038" s="3">
        <f t="shared" si="136"/>
        <v>0</v>
      </c>
      <c r="M3038" s="3"/>
      <c r="N3038" s="3">
        <f t="shared" si="137"/>
        <v>0</v>
      </c>
      <c r="R3038" s="89"/>
      <c r="S3038" s="89">
        <f>100%-Table34[[#This Row],[PDF_initial fee]]</f>
        <v>1</v>
      </c>
      <c r="T3038" s="89"/>
      <c r="U3038" s="26"/>
    </row>
    <row r="3039" spans="1:21" hidden="1" x14ac:dyDescent="0.25">
      <c r="A3039">
        <v>587613</v>
      </c>
      <c r="B3039" t="s">
        <v>3403</v>
      </c>
      <c r="C3039" t="s">
        <v>7771</v>
      </c>
      <c r="D3039">
        <v>2</v>
      </c>
      <c r="E3039" t="s">
        <v>3403</v>
      </c>
      <c r="G3039" s="3"/>
      <c r="H3039" s="21">
        <v>0</v>
      </c>
      <c r="I3039" s="21">
        <v>0</v>
      </c>
      <c r="J3039" s="21">
        <v>0</v>
      </c>
      <c r="K3039" s="21">
        <v>0</v>
      </c>
      <c r="L3039" s="3">
        <f t="shared" si="136"/>
        <v>0</v>
      </c>
      <c r="M3039" s="3"/>
      <c r="N3039" s="3">
        <f t="shared" si="137"/>
        <v>0</v>
      </c>
      <c r="R3039" s="89"/>
      <c r="S3039" s="89">
        <f>100%-Table34[[#This Row],[PDF_initial fee]]</f>
        <v>1</v>
      </c>
      <c r="T3039" s="89"/>
      <c r="U3039" s="26"/>
    </row>
    <row r="3040" spans="1:21" hidden="1" x14ac:dyDescent="0.25">
      <c r="A3040">
        <v>587620</v>
      </c>
      <c r="B3040" t="s">
        <v>3404</v>
      </c>
      <c r="C3040" t="s">
        <v>9960</v>
      </c>
      <c r="D3040">
        <v>11</v>
      </c>
      <c r="E3040" t="s">
        <v>3404</v>
      </c>
      <c r="G3040" s="3"/>
      <c r="H3040" s="21">
        <v>0</v>
      </c>
      <c r="I3040" s="21">
        <v>0</v>
      </c>
      <c r="J3040" s="21">
        <v>0</v>
      </c>
      <c r="K3040" s="21">
        <v>0</v>
      </c>
      <c r="L3040" s="3">
        <f t="shared" si="136"/>
        <v>0</v>
      </c>
      <c r="M3040" s="3"/>
      <c r="N3040" s="3">
        <f t="shared" si="137"/>
        <v>0</v>
      </c>
      <c r="R3040" s="89"/>
      <c r="S3040" s="89">
        <f>100%-Table34[[#This Row],[PDF_initial fee]]</f>
        <v>1</v>
      </c>
      <c r="T3040" s="89"/>
      <c r="U3040" s="26"/>
    </row>
    <row r="3041" spans="1:27" hidden="1" x14ac:dyDescent="0.25">
      <c r="A3041">
        <v>587640</v>
      </c>
      <c r="B3041" t="s">
        <v>3405</v>
      </c>
      <c r="C3041" t="s">
        <v>6958</v>
      </c>
      <c r="D3041">
        <v>1</v>
      </c>
      <c r="E3041" t="s">
        <v>3405</v>
      </c>
      <c r="F3041" t="s">
        <v>6958</v>
      </c>
      <c r="G3041" s="3"/>
      <c r="H3041" s="21">
        <v>0</v>
      </c>
      <c r="I3041" s="21">
        <v>0</v>
      </c>
      <c r="J3041" s="21">
        <v>0</v>
      </c>
      <c r="K3041" s="21">
        <v>0</v>
      </c>
      <c r="L3041" s="3">
        <f t="shared" si="136"/>
        <v>0</v>
      </c>
      <c r="M3041" s="3"/>
      <c r="N3041" s="3">
        <f t="shared" si="137"/>
        <v>0</v>
      </c>
      <c r="R3041" s="89"/>
      <c r="S3041" s="89">
        <f>100%-Table34[[#This Row],[PDF_initial fee]]</f>
        <v>1</v>
      </c>
      <c r="T3041" s="89"/>
      <c r="U3041" s="26"/>
    </row>
    <row r="3042" spans="1:27" hidden="1" x14ac:dyDescent="0.25">
      <c r="A3042">
        <v>587643</v>
      </c>
      <c r="B3042" t="s">
        <v>3406</v>
      </c>
      <c r="C3042" t="s">
        <v>8970</v>
      </c>
      <c r="D3042">
        <v>5</v>
      </c>
      <c r="E3042" t="s">
        <v>3406</v>
      </c>
      <c r="G3042" s="3"/>
      <c r="H3042" s="21">
        <v>0</v>
      </c>
      <c r="I3042" s="21">
        <v>0</v>
      </c>
      <c r="J3042" s="21">
        <v>0</v>
      </c>
      <c r="K3042" s="21">
        <v>0</v>
      </c>
      <c r="L3042" s="3">
        <f t="shared" ref="L3042:L3105" si="138">SUM(H3042:K3042)</f>
        <v>0</v>
      </c>
      <c r="M3042" s="3"/>
      <c r="N3042" s="3">
        <f t="shared" ref="N3042:N3105" si="139">L3042+G3042</f>
        <v>0</v>
      </c>
      <c r="R3042" s="89"/>
      <c r="S3042" s="89">
        <f>100%-Table34[[#This Row],[PDF_initial fee]]</f>
        <v>1</v>
      </c>
      <c r="T3042" s="89"/>
      <c r="U3042" s="26"/>
    </row>
    <row r="3043" spans="1:27" hidden="1" x14ac:dyDescent="0.25">
      <c r="A3043">
        <v>587645</v>
      </c>
      <c r="B3043" t="s">
        <v>3407</v>
      </c>
      <c r="C3043" t="s">
        <v>8896</v>
      </c>
      <c r="D3043">
        <v>1</v>
      </c>
      <c r="E3043" t="s">
        <v>3407</v>
      </c>
      <c r="G3043" s="3"/>
      <c r="H3043" s="21">
        <v>0</v>
      </c>
      <c r="I3043" s="21">
        <v>0</v>
      </c>
      <c r="J3043" s="21">
        <v>0</v>
      </c>
      <c r="K3043" s="21">
        <v>0</v>
      </c>
      <c r="L3043" s="3">
        <f t="shared" si="138"/>
        <v>0</v>
      </c>
      <c r="M3043" s="3"/>
      <c r="N3043" s="3">
        <f t="shared" si="139"/>
        <v>0</v>
      </c>
      <c r="R3043" s="89"/>
      <c r="S3043" s="89">
        <f>100%-Table34[[#This Row],[PDF_initial fee]]</f>
        <v>1</v>
      </c>
      <c r="T3043" s="89"/>
      <c r="U3043" s="26"/>
    </row>
    <row r="3044" spans="1:27" hidden="1" x14ac:dyDescent="0.25">
      <c r="A3044">
        <v>587646</v>
      </c>
      <c r="B3044" t="s">
        <v>3408</v>
      </c>
      <c r="C3044" t="s">
        <v>6958</v>
      </c>
      <c r="D3044">
        <v>1</v>
      </c>
      <c r="E3044" t="s">
        <v>3408</v>
      </c>
      <c r="F3044" t="s">
        <v>6958</v>
      </c>
      <c r="G3044" s="3"/>
      <c r="L3044" s="3">
        <f t="shared" si="138"/>
        <v>0</v>
      </c>
      <c r="M3044" s="3"/>
      <c r="N3044" s="3">
        <f t="shared" si="139"/>
        <v>0</v>
      </c>
      <c r="R3044" s="89"/>
      <c r="S3044" s="89">
        <f>100%-Table34[[#This Row],[PDF_initial fee]]</f>
        <v>1</v>
      </c>
      <c r="T3044" s="89"/>
      <c r="U3044" s="26"/>
    </row>
    <row r="3045" spans="1:27" hidden="1" x14ac:dyDescent="0.25">
      <c r="A3045">
        <v>587647</v>
      </c>
      <c r="B3045" t="s">
        <v>3409</v>
      </c>
      <c r="C3045" t="s">
        <v>11217</v>
      </c>
      <c r="D3045">
        <v>1</v>
      </c>
      <c r="E3045" t="s">
        <v>3409</v>
      </c>
      <c r="G3045" s="3"/>
      <c r="H3045" s="21">
        <v>0</v>
      </c>
      <c r="I3045" s="21">
        <v>0</v>
      </c>
      <c r="J3045" s="21">
        <v>0</v>
      </c>
      <c r="K3045" s="21">
        <v>0</v>
      </c>
      <c r="L3045" s="3">
        <f t="shared" si="138"/>
        <v>0</v>
      </c>
      <c r="M3045" s="3"/>
      <c r="N3045" s="3">
        <f t="shared" si="139"/>
        <v>0</v>
      </c>
      <c r="R3045" s="89"/>
      <c r="S3045" s="89">
        <f>100%-Table34[[#This Row],[PDF_initial fee]]</f>
        <v>1</v>
      </c>
      <c r="T3045" s="89"/>
      <c r="U3045" s="26"/>
    </row>
    <row r="3046" spans="1:27" hidden="1" x14ac:dyDescent="0.25">
      <c r="A3046">
        <v>587653</v>
      </c>
      <c r="B3046" t="s">
        <v>3410</v>
      </c>
      <c r="C3046" t="s">
        <v>11290</v>
      </c>
      <c r="D3046">
        <v>2</v>
      </c>
      <c r="E3046" t="s">
        <v>3410</v>
      </c>
      <c r="G3046" s="3"/>
      <c r="H3046" s="21">
        <v>0</v>
      </c>
      <c r="I3046" s="21">
        <v>0</v>
      </c>
      <c r="J3046" s="21">
        <v>0</v>
      </c>
      <c r="K3046" s="21">
        <v>0</v>
      </c>
      <c r="L3046" s="3">
        <f t="shared" si="138"/>
        <v>0</v>
      </c>
      <c r="M3046" s="3"/>
      <c r="N3046" s="3">
        <f t="shared" si="139"/>
        <v>0</v>
      </c>
      <c r="R3046" s="89"/>
      <c r="S3046" s="89">
        <f>100%-Table34[[#This Row],[PDF_initial fee]]</f>
        <v>1</v>
      </c>
      <c r="T3046" s="89"/>
      <c r="U3046" s="26"/>
    </row>
    <row r="3047" spans="1:27" hidden="1" x14ac:dyDescent="0.25">
      <c r="A3047">
        <v>587655</v>
      </c>
      <c r="B3047" t="s">
        <v>3411</v>
      </c>
      <c r="C3047" t="s">
        <v>6958</v>
      </c>
      <c r="D3047">
        <v>2</v>
      </c>
      <c r="E3047" t="s">
        <v>3411</v>
      </c>
      <c r="F3047" t="s">
        <v>6958</v>
      </c>
      <c r="G3047" s="3"/>
      <c r="H3047" s="21">
        <v>0</v>
      </c>
      <c r="I3047" s="21">
        <v>0</v>
      </c>
      <c r="J3047" s="21">
        <v>0</v>
      </c>
      <c r="K3047" s="21">
        <v>0</v>
      </c>
      <c r="L3047" s="3">
        <f t="shared" si="138"/>
        <v>0</v>
      </c>
      <c r="M3047" s="3"/>
      <c r="N3047" s="3">
        <f t="shared" si="139"/>
        <v>0</v>
      </c>
      <c r="R3047" s="89"/>
      <c r="S3047" s="89">
        <f>100%-Table34[[#This Row],[PDF_initial fee]]</f>
        <v>1</v>
      </c>
      <c r="T3047" s="89"/>
      <c r="U3047" s="26"/>
    </row>
    <row r="3048" spans="1:27" hidden="1" x14ac:dyDescent="0.25">
      <c r="A3048">
        <v>587699</v>
      </c>
      <c r="B3048" t="s">
        <v>3412</v>
      </c>
      <c r="C3048" t="s">
        <v>29273</v>
      </c>
      <c r="D3048">
        <v>2</v>
      </c>
      <c r="E3048" t="s">
        <v>3412</v>
      </c>
      <c r="G3048" s="3"/>
      <c r="L3048" s="3">
        <f t="shared" si="138"/>
        <v>0</v>
      </c>
      <c r="M3048" s="3"/>
      <c r="N3048" s="3">
        <f t="shared" si="139"/>
        <v>0</v>
      </c>
      <c r="R3048" s="89"/>
      <c r="S3048" s="89">
        <f>100%-Table34[[#This Row],[PDF_initial fee]]</f>
        <v>1</v>
      </c>
      <c r="T3048" s="89"/>
      <c r="U3048" s="26"/>
    </row>
    <row r="3049" spans="1:27" x14ac:dyDescent="0.25">
      <c r="A3049">
        <v>153706</v>
      </c>
      <c r="B3049" t="s">
        <v>71</v>
      </c>
      <c r="C3049" t="s">
        <v>11805</v>
      </c>
      <c r="D3049">
        <v>65</v>
      </c>
      <c r="E3049" t="s">
        <v>71</v>
      </c>
      <c r="F3049" t="s">
        <v>3</v>
      </c>
      <c r="G3049" s="3">
        <v>1.4E-3</v>
      </c>
      <c r="H3049" s="3">
        <v>0.02</v>
      </c>
      <c r="I3049" s="3">
        <v>0</v>
      </c>
      <c r="J3049" s="6">
        <v>0</v>
      </c>
      <c r="K3049" s="6">
        <v>0</v>
      </c>
      <c r="L3049" s="3">
        <f t="shared" si="138"/>
        <v>0.02</v>
      </c>
      <c r="M3049" s="3"/>
      <c r="N3049" s="3">
        <f t="shared" si="139"/>
        <v>2.1399999999999999E-2</v>
      </c>
      <c r="P3049" s="1" t="s">
        <v>30528</v>
      </c>
      <c r="Q3049" t="s">
        <v>31787</v>
      </c>
      <c r="R3049" s="89">
        <v>0.33333333333333348</v>
      </c>
      <c r="S3049" s="89">
        <f>100%-Table34[[#This Row],[InitialFee]]</f>
        <v>0.98</v>
      </c>
      <c r="T3049" s="89">
        <f>(1-Table34[[#This Row],[PDF ongoing fee]])^5</f>
        <v>1</v>
      </c>
      <c r="U3049" s="26">
        <f>(1+Table34[[#This Row],[Net 5yrs return (mostly up to 28th of Feb 2026)]])*Table34[[#This Row],[Investment after initial charge]]*Table34[[#This Row],[Cummulative 5yrs ongoing advice charge]]-1</f>
        <v>0.30666666666666687</v>
      </c>
      <c r="V3049" s="94">
        <v>40744.199999999997</v>
      </c>
      <c r="W3049" t="s">
        <v>29081</v>
      </c>
      <c r="X3049" s="10">
        <v>2864.6</v>
      </c>
      <c r="Y3049" s="30">
        <f>X3049/V3049</f>
        <v>7.0306939392600673E-2</v>
      </c>
      <c r="AA3049" s="1" t="s">
        <v>30529</v>
      </c>
    </row>
    <row r="3050" spans="1:27" hidden="1" x14ac:dyDescent="0.25">
      <c r="A3050">
        <v>587707</v>
      </c>
      <c r="B3050" t="s">
        <v>3413</v>
      </c>
      <c r="C3050" t="s">
        <v>12043</v>
      </c>
      <c r="D3050">
        <v>1</v>
      </c>
      <c r="E3050" t="s">
        <v>3413</v>
      </c>
      <c r="G3050" s="3"/>
      <c r="H3050" s="21">
        <v>0</v>
      </c>
      <c r="I3050" s="21">
        <v>0</v>
      </c>
      <c r="J3050" s="21">
        <v>0</v>
      </c>
      <c r="K3050" s="21">
        <v>0</v>
      </c>
      <c r="L3050" s="3">
        <f t="shared" si="138"/>
        <v>0</v>
      </c>
      <c r="M3050" s="3"/>
      <c r="N3050" s="3">
        <f t="shared" si="139"/>
        <v>0</v>
      </c>
      <c r="R3050" s="89"/>
      <c r="S3050" s="89">
        <f>100%-Table34[[#This Row],[PDF_initial fee]]</f>
        <v>1</v>
      </c>
      <c r="T3050" s="89"/>
      <c r="U3050" s="26"/>
    </row>
    <row r="3051" spans="1:27" hidden="1" x14ac:dyDescent="0.25">
      <c r="A3051">
        <v>587712</v>
      </c>
      <c r="B3051" t="s">
        <v>3414</v>
      </c>
      <c r="C3051" t="s">
        <v>11688</v>
      </c>
      <c r="D3051">
        <v>11</v>
      </c>
      <c r="E3051" t="s">
        <v>3414</v>
      </c>
      <c r="G3051" s="3"/>
      <c r="H3051" s="21">
        <v>0</v>
      </c>
      <c r="I3051" s="21">
        <v>0</v>
      </c>
      <c r="J3051" s="21">
        <v>0</v>
      </c>
      <c r="K3051" s="21">
        <v>0</v>
      </c>
      <c r="L3051" s="3">
        <f t="shared" si="138"/>
        <v>0</v>
      </c>
      <c r="M3051" s="3"/>
      <c r="N3051" s="3">
        <f t="shared" si="139"/>
        <v>0</v>
      </c>
      <c r="R3051" s="89"/>
      <c r="S3051" s="89">
        <f>100%-Table34[[#This Row],[PDF_initial fee]]</f>
        <v>1</v>
      </c>
      <c r="T3051" s="89"/>
      <c r="U3051" s="26"/>
    </row>
    <row r="3052" spans="1:27" hidden="1" x14ac:dyDescent="0.25">
      <c r="A3052">
        <v>587792</v>
      </c>
      <c r="B3052" t="s">
        <v>3415</v>
      </c>
      <c r="C3052" t="s">
        <v>6958</v>
      </c>
      <c r="D3052">
        <v>2</v>
      </c>
      <c r="E3052" t="s">
        <v>3415</v>
      </c>
      <c r="F3052" t="s">
        <v>6958</v>
      </c>
      <c r="G3052" s="3"/>
      <c r="L3052" s="3">
        <f t="shared" si="138"/>
        <v>0</v>
      </c>
      <c r="M3052" s="3"/>
      <c r="N3052" s="3">
        <f t="shared" si="139"/>
        <v>0</v>
      </c>
      <c r="R3052" s="89"/>
      <c r="S3052" s="89">
        <f>100%-Table34[[#This Row],[PDF_initial fee]]</f>
        <v>1</v>
      </c>
      <c r="T3052" s="89"/>
      <c r="U3052" s="26"/>
    </row>
    <row r="3053" spans="1:27" hidden="1" x14ac:dyDescent="0.25">
      <c r="A3053">
        <v>587827</v>
      </c>
      <c r="B3053" t="s">
        <v>3416</v>
      </c>
      <c r="C3053" t="s">
        <v>6958</v>
      </c>
      <c r="D3053">
        <v>1</v>
      </c>
      <c r="E3053" t="s">
        <v>3416</v>
      </c>
      <c r="F3053" t="s">
        <v>6958</v>
      </c>
      <c r="G3053" s="3"/>
      <c r="H3053" s="21">
        <v>0</v>
      </c>
      <c r="I3053" s="21">
        <v>0</v>
      </c>
      <c r="J3053" s="21">
        <v>0</v>
      </c>
      <c r="K3053" s="21">
        <v>0</v>
      </c>
      <c r="L3053" s="3">
        <f t="shared" si="138"/>
        <v>0</v>
      </c>
      <c r="M3053" s="3"/>
      <c r="N3053" s="3">
        <f t="shared" si="139"/>
        <v>0</v>
      </c>
      <c r="R3053" s="89"/>
      <c r="S3053" s="89">
        <f>100%-Table34[[#This Row],[PDF_initial fee]]</f>
        <v>1</v>
      </c>
      <c r="T3053" s="89"/>
      <c r="U3053" s="26"/>
    </row>
    <row r="3054" spans="1:27" hidden="1" x14ac:dyDescent="0.25">
      <c r="A3054">
        <v>588153</v>
      </c>
      <c r="B3054" t="s">
        <v>3417</v>
      </c>
      <c r="C3054" t="s">
        <v>10128</v>
      </c>
      <c r="D3054">
        <v>1</v>
      </c>
      <c r="E3054" t="s">
        <v>3417</v>
      </c>
      <c r="G3054" s="3"/>
      <c r="H3054" s="21">
        <v>0</v>
      </c>
      <c r="I3054" s="21">
        <v>0</v>
      </c>
      <c r="J3054" s="21">
        <v>0</v>
      </c>
      <c r="K3054" s="21">
        <v>0</v>
      </c>
      <c r="L3054" s="3">
        <f t="shared" si="138"/>
        <v>0</v>
      </c>
      <c r="M3054" s="3"/>
      <c r="N3054" s="3">
        <f t="shared" si="139"/>
        <v>0</v>
      </c>
      <c r="R3054" s="89"/>
      <c r="S3054" s="89">
        <f>100%-Table34[[#This Row],[PDF_initial fee]]</f>
        <v>1</v>
      </c>
      <c r="T3054" s="89"/>
      <c r="U3054" s="26"/>
    </row>
    <row r="3055" spans="1:27" hidden="1" x14ac:dyDescent="0.25">
      <c r="A3055">
        <v>588163</v>
      </c>
      <c r="B3055" t="s">
        <v>3418</v>
      </c>
      <c r="C3055" t="s">
        <v>7018</v>
      </c>
      <c r="D3055">
        <v>6</v>
      </c>
      <c r="E3055" t="s">
        <v>3418</v>
      </c>
      <c r="G3055" s="3"/>
      <c r="H3055" s="21">
        <v>0</v>
      </c>
      <c r="I3055" s="21">
        <v>0</v>
      </c>
      <c r="J3055" s="21">
        <v>0</v>
      </c>
      <c r="K3055" s="21">
        <v>0</v>
      </c>
      <c r="L3055" s="3">
        <f t="shared" si="138"/>
        <v>0</v>
      </c>
      <c r="M3055" s="3"/>
      <c r="N3055" s="3">
        <f t="shared" si="139"/>
        <v>0</v>
      </c>
      <c r="R3055" s="89"/>
      <c r="S3055" s="89">
        <f>100%-Table34[[#This Row],[PDF_initial fee]]</f>
        <v>1</v>
      </c>
      <c r="T3055" s="89"/>
      <c r="U3055" s="26"/>
    </row>
    <row r="3056" spans="1:27" hidden="1" x14ac:dyDescent="0.25">
      <c r="A3056">
        <v>588166</v>
      </c>
      <c r="B3056" t="s">
        <v>3419</v>
      </c>
      <c r="C3056" t="s">
        <v>30530</v>
      </c>
      <c r="D3056">
        <v>2</v>
      </c>
      <c r="E3056" t="s">
        <v>3419</v>
      </c>
      <c r="G3056" s="3"/>
      <c r="H3056" s="3">
        <v>0</v>
      </c>
      <c r="I3056" s="3">
        <v>0</v>
      </c>
      <c r="J3056" s="3">
        <v>0</v>
      </c>
      <c r="K3056" s="3">
        <v>0</v>
      </c>
      <c r="L3056" s="3">
        <f t="shared" si="138"/>
        <v>0</v>
      </c>
      <c r="M3056" s="3"/>
      <c r="N3056" s="3">
        <f t="shared" si="139"/>
        <v>0</v>
      </c>
      <c r="R3056" s="89"/>
      <c r="S3056" s="89">
        <f>100%-Table34[[#This Row],[PDF_initial fee]]</f>
        <v>1</v>
      </c>
      <c r="T3056" s="89"/>
      <c r="U3056" s="26"/>
    </row>
    <row r="3057" spans="1:27" x14ac:dyDescent="0.25">
      <c r="A3057">
        <v>217994</v>
      </c>
      <c r="B3057" t="s">
        <v>118</v>
      </c>
      <c r="C3057" t="s">
        <v>30531</v>
      </c>
      <c r="D3057">
        <v>7</v>
      </c>
      <c r="E3057" t="s">
        <v>118</v>
      </c>
      <c r="F3057" t="s">
        <v>3</v>
      </c>
      <c r="G3057" s="3">
        <v>1.4E-3</v>
      </c>
      <c r="H3057" s="3">
        <f>1030/100000</f>
        <v>1.03E-2</v>
      </c>
      <c r="I3057" s="3">
        <v>5.0000000000000001E-3</v>
      </c>
      <c r="J3057" s="6">
        <v>0</v>
      </c>
      <c r="K3057" s="6">
        <v>0</v>
      </c>
      <c r="L3057" s="3">
        <f t="shared" si="138"/>
        <v>1.5300000000000001E-2</v>
      </c>
      <c r="M3057" s="3"/>
      <c r="N3057" s="3">
        <f t="shared" si="139"/>
        <v>1.67E-2</v>
      </c>
      <c r="P3057" s="1" t="s">
        <v>30532</v>
      </c>
      <c r="Q3057" t="s">
        <v>31787</v>
      </c>
      <c r="R3057" s="89">
        <v>0.33333333333333348</v>
      </c>
      <c r="S3057" s="89">
        <f>100%-Table34[[#This Row],[InitialFee]]</f>
        <v>0.98970000000000002</v>
      </c>
      <c r="T3057" s="89">
        <f>(1-Table34[[#This Row],[OngoingFee (plus Platform fee)]])^5</f>
        <v>0.97524875312187509</v>
      </c>
      <c r="U3057" s="26">
        <f>(1+Table34[[#This Row],[Net 5yrs return (mostly up to 28th of Feb 2026)]])*Table34[[#This Row],[Investment after initial charge]]*Table34[[#This Row],[Cummulative 5yrs ongoing advice charge]]-1</f>
        <v>0.28693825461962641</v>
      </c>
      <c r="V3057" s="10">
        <f>1320491+3359</f>
        <v>1323850</v>
      </c>
      <c r="W3057" t="s">
        <v>29051</v>
      </c>
      <c r="X3057" s="10">
        <v>65037</v>
      </c>
      <c r="Y3057" s="30">
        <f>X3057/V3057</f>
        <v>4.9127166975110471E-2</v>
      </c>
      <c r="AA3057" s="1" t="s">
        <v>30533</v>
      </c>
    </row>
    <row r="3058" spans="1:27" hidden="1" x14ac:dyDescent="0.25">
      <c r="A3058">
        <v>588419</v>
      </c>
      <c r="B3058" t="s">
        <v>3422</v>
      </c>
      <c r="C3058" t="s">
        <v>6958</v>
      </c>
      <c r="D3058">
        <v>1</v>
      </c>
      <c r="E3058" t="s">
        <v>3422</v>
      </c>
      <c r="F3058" t="s">
        <v>6958</v>
      </c>
      <c r="G3058" s="3"/>
      <c r="H3058" s="21">
        <v>0</v>
      </c>
      <c r="I3058" s="21">
        <v>0</v>
      </c>
      <c r="J3058" s="21">
        <v>0</v>
      </c>
      <c r="K3058" s="21">
        <v>0</v>
      </c>
      <c r="L3058" s="3">
        <f t="shared" si="138"/>
        <v>0</v>
      </c>
      <c r="M3058" s="3"/>
      <c r="N3058" s="3">
        <f t="shared" si="139"/>
        <v>0</v>
      </c>
      <c r="R3058" s="89"/>
      <c r="S3058" s="89">
        <f>100%-Table34[[#This Row],[PDF_initial fee]]</f>
        <v>1</v>
      </c>
      <c r="T3058" s="89"/>
      <c r="U3058" s="26"/>
    </row>
    <row r="3059" spans="1:27" hidden="1" x14ac:dyDescent="0.25">
      <c r="A3059">
        <v>588420</v>
      </c>
      <c r="B3059" t="s">
        <v>3423</v>
      </c>
      <c r="C3059" t="s">
        <v>7684</v>
      </c>
      <c r="D3059">
        <v>2</v>
      </c>
      <c r="E3059" t="s">
        <v>3423</v>
      </c>
      <c r="G3059" s="3"/>
      <c r="H3059" s="52" t="s">
        <v>30534</v>
      </c>
      <c r="I3059" s="52" t="s">
        <v>30535</v>
      </c>
      <c r="J3059" s="52"/>
      <c r="K3059" s="52"/>
      <c r="L3059" s="3">
        <f t="shared" si="138"/>
        <v>0</v>
      </c>
      <c r="M3059" s="3"/>
      <c r="N3059" s="3">
        <f t="shared" si="139"/>
        <v>0</v>
      </c>
      <c r="R3059" s="89"/>
      <c r="S3059" s="89">
        <f>100%-Table34[[#This Row],[PDF_initial fee]]</f>
        <v>1</v>
      </c>
      <c r="T3059" s="89"/>
      <c r="U3059" s="26"/>
    </row>
    <row r="3060" spans="1:27" hidden="1" x14ac:dyDescent="0.25">
      <c r="A3060">
        <v>588428</v>
      </c>
      <c r="B3060" t="s">
        <v>3424</v>
      </c>
      <c r="C3060" t="s">
        <v>8175</v>
      </c>
      <c r="D3060">
        <v>2</v>
      </c>
      <c r="E3060" t="s">
        <v>3424</v>
      </c>
      <c r="G3060" s="3"/>
      <c r="L3060" s="3">
        <f t="shared" si="138"/>
        <v>0</v>
      </c>
      <c r="M3060" s="3"/>
      <c r="N3060" s="3">
        <f t="shared" si="139"/>
        <v>0</v>
      </c>
      <c r="R3060" s="89"/>
      <c r="S3060" s="89">
        <f>100%-Table34[[#This Row],[PDF_initial fee]]</f>
        <v>1</v>
      </c>
      <c r="T3060" s="89"/>
      <c r="U3060" s="26"/>
    </row>
    <row r="3061" spans="1:27" hidden="1" x14ac:dyDescent="0.25">
      <c r="A3061">
        <v>588431</v>
      </c>
      <c r="B3061" t="s">
        <v>3425</v>
      </c>
      <c r="C3061" t="s">
        <v>6958</v>
      </c>
      <c r="D3061">
        <v>2</v>
      </c>
      <c r="E3061" t="s">
        <v>3425</v>
      </c>
      <c r="F3061" t="s">
        <v>6958</v>
      </c>
      <c r="G3061" s="3"/>
      <c r="H3061" s="21">
        <v>0</v>
      </c>
      <c r="I3061" s="21">
        <v>0</v>
      </c>
      <c r="J3061" s="21">
        <v>0</v>
      </c>
      <c r="K3061" s="21">
        <v>0</v>
      </c>
      <c r="L3061" s="3">
        <f t="shared" si="138"/>
        <v>0</v>
      </c>
      <c r="M3061" s="3"/>
      <c r="N3061" s="3">
        <f t="shared" si="139"/>
        <v>0</v>
      </c>
      <c r="R3061" s="89"/>
      <c r="S3061" s="89">
        <f>100%-Table34[[#This Row],[PDF_initial fee]]</f>
        <v>1</v>
      </c>
      <c r="T3061" s="89"/>
      <c r="U3061" s="26"/>
    </row>
    <row r="3062" spans="1:27" hidden="1" x14ac:dyDescent="0.25">
      <c r="A3062">
        <v>588466</v>
      </c>
      <c r="B3062" t="s">
        <v>3426</v>
      </c>
      <c r="C3062" t="s">
        <v>11846</v>
      </c>
      <c r="D3062">
        <v>1</v>
      </c>
      <c r="E3062" t="s">
        <v>3426</v>
      </c>
      <c r="G3062" s="3"/>
      <c r="H3062" s="21">
        <v>0</v>
      </c>
      <c r="I3062" s="21">
        <v>0</v>
      </c>
      <c r="J3062" s="21">
        <v>0</v>
      </c>
      <c r="K3062" s="21">
        <v>0</v>
      </c>
      <c r="L3062" s="3">
        <f t="shared" si="138"/>
        <v>0</v>
      </c>
      <c r="M3062" s="3"/>
      <c r="N3062" s="3">
        <f t="shared" si="139"/>
        <v>0</v>
      </c>
      <c r="R3062" s="89"/>
      <c r="S3062" s="89">
        <f>100%-Table34[[#This Row],[PDF_initial fee]]</f>
        <v>1</v>
      </c>
      <c r="T3062" s="89"/>
      <c r="U3062" s="26"/>
    </row>
    <row r="3063" spans="1:27" hidden="1" x14ac:dyDescent="0.25">
      <c r="A3063">
        <v>588625</v>
      </c>
      <c r="B3063" t="s">
        <v>3427</v>
      </c>
      <c r="C3063" t="s">
        <v>6958</v>
      </c>
      <c r="D3063">
        <v>3</v>
      </c>
      <c r="E3063" t="s">
        <v>3427</v>
      </c>
      <c r="F3063" t="s">
        <v>6958</v>
      </c>
      <c r="G3063" s="3"/>
      <c r="H3063" s="21">
        <v>0</v>
      </c>
      <c r="I3063" s="21">
        <v>0</v>
      </c>
      <c r="J3063" s="21">
        <v>0</v>
      </c>
      <c r="K3063" s="21">
        <v>0</v>
      </c>
      <c r="L3063" s="3">
        <f t="shared" si="138"/>
        <v>0</v>
      </c>
      <c r="M3063" s="3"/>
      <c r="N3063" s="3">
        <f t="shared" si="139"/>
        <v>0</v>
      </c>
      <c r="R3063" s="89"/>
      <c r="S3063" s="89">
        <f>100%-Table34[[#This Row],[PDF_initial fee]]</f>
        <v>1</v>
      </c>
      <c r="T3063" s="89"/>
      <c r="U3063" s="26"/>
    </row>
    <row r="3064" spans="1:27" hidden="1" x14ac:dyDescent="0.25">
      <c r="A3064">
        <v>588626</v>
      </c>
      <c r="B3064" t="s">
        <v>3428</v>
      </c>
      <c r="C3064" t="s">
        <v>7418</v>
      </c>
      <c r="D3064">
        <v>2</v>
      </c>
      <c r="E3064" t="s">
        <v>3428</v>
      </c>
      <c r="G3064" s="3"/>
      <c r="L3064" s="3">
        <f t="shared" si="138"/>
        <v>0</v>
      </c>
      <c r="M3064" s="3"/>
      <c r="N3064" s="3">
        <f t="shared" si="139"/>
        <v>0</v>
      </c>
      <c r="R3064" s="89"/>
      <c r="S3064" s="89">
        <f>100%-Table34[[#This Row],[PDF_initial fee]]</f>
        <v>1</v>
      </c>
      <c r="T3064" s="89"/>
      <c r="U3064" s="26"/>
    </row>
    <row r="3065" spans="1:27" hidden="1" x14ac:dyDescent="0.25">
      <c r="A3065">
        <v>588633</v>
      </c>
      <c r="B3065" t="s">
        <v>3429</v>
      </c>
      <c r="C3065" t="s">
        <v>30502</v>
      </c>
      <c r="D3065">
        <v>4</v>
      </c>
      <c r="E3065" t="s">
        <v>3429</v>
      </c>
      <c r="G3065" s="3"/>
      <c r="H3065" s="3">
        <v>0</v>
      </c>
      <c r="I3065" s="3">
        <v>0</v>
      </c>
      <c r="J3065" s="3">
        <v>0</v>
      </c>
      <c r="K3065" s="3">
        <v>0</v>
      </c>
      <c r="L3065" s="3">
        <f t="shared" si="138"/>
        <v>0</v>
      </c>
      <c r="M3065" s="3"/>
      <c r="N3065" s="3">
        <f t="shared" si="139"/>
        <v>0</v>
      </c>
      <c r="R3065" s="89"/>
      <c r="S3065" s="89">
        <f>100%-Table34[[#This Row],[PDF_initial fee]]</f>
        <v>1</v>
      </c>
      <c r="T3065" s="89"/>
      <c r="U3065" s="26"/>
    </row>
    <row r="3066" spans="1:27" hidden="1" x14ac:dyDescent="0.25">
      <c r="A3066">
        <v>588666</v>
      </c>
      <c r="B3066" t="s">
        <v>3430</v>
      </c>
      <c r="C3066" t="s">
        <v>30536</v>
      </c>
      <c r="D3066">
        <v>2</v>
      </c>
      <c r="E3066" t="s">
        <v>3430</v>
      </c>
      <c r="G3066" s="3"/>
      <c r="H3066" s="3">
        <v>0</v>
      </c>
      <c r="I3066" s="3">
        <v>0</v>
      </c>
      <c r="J3066" s="3">
        <v>0</v>
      </c>
      <c r="K3066" s="3">
        <v>0</v>
      </c>
      <c r="L3066" s="3">
        <f t="shared" si="138"/>
        <v>0</v>
      </c>
      <c r="M3066" s="3"/>
      <c r="N3066" s="3">
        <f t="shared" si="139"/>
        <v>0</v>
      </c>
      <c r="R3066" s="89"/>
      <c r="S3066" s="89">
        <f>100%-Table34[[#This Row],[PDF_initial fee]]</f>
        <v>1</v>
      </c>
      <c r="T3066" s="89"/>
      <c r="U3066" s="26"/>
    </row>
    <row r="3067" spans="1:27" hidden="1" x14ac:dyDescent="0.25">
      <c r="A3067">
        <v>588673</v>
      </c>
      <c r="B3067" t="s">
        <v>3431</v>
      </c>
      <c r="C3067" t="s">
        <v>30537</v>
      </c>
      <c r="D3067">
        <v>0</v>
      </c>
      <c r="E3067" t="s">
        <v>3431</v>
      </c>
      <c r="F3067" t="s">
        <v>29136</v>
      </c>
      <c r="G3067" s="3"/>
      <c r="H3067" s="21">
        <v>0</v>
      </c>
      <c r="I3067" s="21">
        <v>0</v>
      </c>
      <c r="J3067" s="21">
        <v>0</v>
      </c>
      <c r="K3067" s="21">
        <v>0</v>
      </c>
      <c r="L3067" s="3">
        <f t="shared" si="138"/>
        <v>0</v>
      </c>
      <c r="M3067" s="3"/>
      <c r="N3067" s="3">
        <f t="shared" si="139"/>
        <v>0</v>
      </c>
      <c r="O3067" s="21"/>
      <c r="R3067" s="89"/>
      <c r="S3067" s="89">
        <f>100%-Table34[[#This Row],[PDF_initial fee]]</f>
        <v>1</v>
      </c>
      <c r="T3067" s="89"/>
      <c r="U3067" s="26"/>
    </row>
    <row r="3068" spans="1:27" hidden="1" x14ac:dyDescent="0.25">
      <c r="A3068">
        <v>588778</v>
      </c>
      <c r="B3068" t="s">
        <v>3432</v>
      </c>
      <c r="C3068" t="s">
        <v>30538</v>
      </c>
      <c r="D3068">
        <v>7</v>
      </c>
      <c r="E3068" t="s">
        <v>3432</v>
      </c>
      <c r="G3068" s="3"/>
      <c r="H3068" s="3">
        <v>0</v>
      </c>
      <c r="I3068" s="3">
        <v>0</v>
      </c>
      <c r="J3068" s="3">
        <v>0</v>
      </c>
      <c r="K3068" s="3">
        <v>0</v>
      </c>
      <c r="L3068" s="3">
        <f t="shared" si="138"/>
        <v>0</v>
      </c>
      <c r="M3068" s="3"/>
      <c r="N3068" s="3">
        <f t="shared" si="139"/>
        <v>0</v>
      </c>
      <c r="R3068" s="89"/>
      <c r="S3068" s="89">
        <f>100%-Table34[[#This Row],[PDF_initial fee]]</f>
        <v>1</v>
      </c>
      <c r="T3068" s="89"/>
      <c r="U3068" s="26"/>
    </row>
    <row r="3069" spans="1:27" hidden="1" x14ac:dyDescent="0.25">
      <c r="A3069">
        <v>589048</v>
      </c>
      <c r="B3069" t="s">
        <v>3433</v>
      </c>
      <c r="C3069" t="s">
        <v>6958</v>
      </c>
      <c r="D3069">
        <v>2</v>
      </c>
      <c r="E3069" t="s">
        <v>3433</v>
      </c>
      <c r="F3069" t="s">
        <v>6958</v>
      </c>
      <c r="G3069" s="3"/>
      <c r="H3069" s="21">
        <v>0</v>
      </c>
      <c r="I3069" s="21">
        <v>0</v>
      </c>
      <c r="J3069" s="21">
        <v>0</v>
      </c>
      <c r="K3069" s="21">
        <v>0</v>
      </c>
      <c r="L3069" s="3">
        <f t="shared" si="138"/>
        <v>0</v>
      </c>
      <c r="M3069" s="3"/>
      <c r="N3069" s="3">
        <f t="shared" si="139"/>
        <v>0</v>
      </c>
      <c r="R3069" s="89"/>
      <c r="S3069" s="89">
        <f>100%-Table34[[#This Row],[PDF_initial fee]]</f>
        <v>1</v>
      </c>
      <c r="T3069" s="89"/>
      <c r="U3069" s="26"/>
    </row>
    <row r="3070" spans="1:27" hidden="1" x14ac:dyDescent="0.25">
      <c r="A3070">
        <v>589099</v>
      </c>
      <c r="B3070" t="s">
        <v>3434</v>
      </c>
      <c r="C3070" t="s">
        <v>11230</v>
      </c>
      <c r="D3070">
        <v>1</v>
      </c>
      <c r="E3070" t="s">
        <v>3434</v>
      </c>
      <c r="G3070" s="3"/>
      <c r="H3070" s="21">
        <v>0</v>
      </c>
      <c r="I3070" s="21">
        <v>0</v>
      </c>
      <c r="J3070" s="21">
        <v>0</v>
      </c>
      <c r="K3070" s="21">
        <v>0</v>
      </c>
      <c r="L3070" s="3">
        <f t="shared" si="138"/>
        <v>0</v>
      </c>
      <c r="M3070" s="3"/>
      <c r="N3070" s="3">
        <f t="shared" si="139"/>
        <v>0</v>
      </c>
      <c r="R3070" s="89"/>
      <c r="S3070" s="89">
        <f>100%-Table34[[#This Row],[PDF_initial fee]]</f>
        <v>1</v>
      </c>
      <c r="T3070" s="89"/>
      <c r="U3070" s="26"/>
    </row>
    <row r="3071" spans="1:27" x14ac:dyDescent="0.25">
      <c r="A3071">
        <v>767863</v>
      </c>
      <c r="B3071" t="s">
        <v>288</v>
      </c>
      <c r="C3071" t="s">
        <v>9007</v>
      </c>
      <c r="D3071">
        <v>1</v>
      </c>
      <c r="E3071" t="s">
        <v>288</v>
      </c>
      <c r="F3071" t="s">
        <v>3</v>
      </c>
      <c r="G3071" s="3">
        <v>1.4E-3</v>
      </c>
      <c r="H3071" s="3">
        <v>2.6499999999999999E-2</v>
      </c>
      <c r="I3071" s="3">
        <v>0.01</v>
      </c>
      <c r="J3071" s="6"/>
      <c r="K3071" s="6"/>
      <c r="L3071" s="3">
        <f t="shared" si="138"/>
        <v>3.6499999999999998E-2</v>
      </c>
      <c r="M3071" s="3"/>
      <c r="N3071" s="3">
        <f t="shared" si="139"/>
        <v>3.7899999999999996E-2</v>
      </c>
      <c r="P3071" s="31" t="s">
        <v>9007</v>
      </c>
      <c r="Q3071" t="s">
        <v>31787</v>
      </c>
      <c r="R3071" s="89">
        <v>0.33333333333333348</v>
      </c>
      <c r="S3071" s="89">
        <f>100%-Table34[[#This Row],[InitialFee]]</f>
        <v>0.97350000000000003</v>
      </c>
      <c r="T3071" s="89">
        <f>(1-Table34[[#This Row],[OngoingFee (plus Platform fee)]])^5</f>
        <v>0.95099004989999991</v>
      </c>
      <c r="U3071" s="26">
        <f>(1+Table34[[#This Row],[Net 5yrs return (mostly up to 28th of Feb 2026)]])*Table34[[#This Row],[Investment after initial charge]]*Table34[[#This Row],[Cummulative 5yrs ongoing advice charge]]-1</f>
        <v>0.23438508477020004</v>
      </c>
      <c r="V3071">
        <f>7078+5646</f>
        <v>12724</v>
      </c>
      <c r="W3071" t="s">
        <v>29051</v>
      </c>
      <c r="X3071" s="9">
        <v>-9091</v>
      </c>
      <c r="Y3071" s="30">
        <f>X3071/V3071</f>
        <v>-0.7144765796919208</v>
      </c>
      <c r="AA3071" s="1" t="s">
        <v>30539</v>
      </c>
    </row>
    <row r="3072" spans="1:27" hidden="1" x14ac:dyDescent="0.25">
      <c r="A3072">
        <v>589130</v>
      </c>
      <c r="B3072" t="s">
        <v>3435</v>
      </c>
      <c r="C3072" s="1" t="s">
        <v>30540</v>
      </c>
      <c r="D3072">
        <v>2</v>
      </c>
      <c r="E3072" t="s">
        <v>3435</v>
      </c>
      <c r="G3072" s="3"/>
      <c r="H3072" s="3">
        <v>0</v>
      </c>
      <c r="I3072" s="3">
        <v>0</v>
      </c>
      <c r="J3072" s="3">
        <v>0</v>
      </c>
      <c r="K3072" s="3">
        <v>0</v>
      </c>
      <c r="L3072" s="3">
        <f t="shared" si="138"/>
        <v>0</v>
      </c>
      <c r="M3072" s="3"/>
      <c r="N3072" s="3">
        <f t="shared" si="139"/>
        <v>0</v>
      </c>
      <c r="R3072" s="89"/>
      <c r="S3072" s="89">
        <f>100%-Table34[[#This Row],[PDF_initial fee]]</f>
        <v>1</v>
      </c>
      <c r="T3072" s="89"/>
      <c r="U3072" s="26"/>
    </row>
    <row r="3073" spans="1:21" hidden="1" x14ac:dyDescent="0.25">
      <c r="A3073">
        <v>589566</v>
      </c>
      <c r="B3073" t="s">
        <v>3436</v>
      </c>
      <c r="C3073" t="s">
        <v>9581</v>
      </c>
      <c r="D3073">
        <v>2</v>
      </c>
      <c r="E3073" t="s">
        <v>3436</v>
      </c>
      <c r="G3073" s="3"/>
      <c r="H3073" s="21">
        <v>0</v>
      </c>
      <c r="I3073" s="21">
        <v>0</v>
      </c>
      <c r="J3073" s="21">
        <v>0</v>
      </c>
      <c r="K3073" s="21">
        <v>0</v>
      </c>
      <c r="L3073" s="3">
        <f t="shared" si="138"/>
        <v>0</v>
      </c>
      <c r="M3073" s="3"/>
      <c r="N3073" s="3">
        <f t="shared" si="139"/>
        <v>0</v>
      </c>
      <c r="R3073" s="89"/>
      <c r="S3073" s="89">
        <f>100%-Table34[[#This Row],[PDF_initial fee]]</f>
        <v>1</v>
      </c>
      <c r="T3073" s="89"/>
      <c r="U3073" s="26"/>
    </row>
    <row r="3074" spans="1:21" hidden="1" x14ac:dyDescent="0.25">
      <c r="A3074">
        <v>589715</v>
      </c>
      <c r="B3074" t="s">
        <v>3437</v>
      </c>
      <c r="C3074" t="s">
        <v>30541</v>
      </c>
      <c r="D3074">
        <v>3</v>
      </c>
      <c r="E3074" t="s">
        <v>3437</v>
      </c>
      <c r="G3074" s="3"/>
      <c r="H3074" s="3">
        <v>0</v>
      </c>
      <c r="I3074" s="3">
        <v>0</v>
      </c>
      <c r="J3074" s="3">
        <v>0</v>
      </c>
      <c r="K3074" s="3">
        <v>0</v>
      </c>
      <c r="L3074" s="3">
        <f t="shared" si="138"/>
        <v>0</v>
      </c>
      <c r="M3074" s="3"/>
      <c r="N3074" s="3">
        <f t="shared" si="139"/>
        <v>0</v>
      </c>
      <c r="R3074" s="89"/>
      <c r="S3074" s="89">
        <f>100%-Table34[[#This Row],[PDF_initial fee]]</f>
        <v>1</v>
      </c>
      <c r="T3074" s="89"/>
      <c r="U3074" s="26"/>
    </row>
    <row r="3075" spans="1:21" hidden="1" x14ac:dyDescent="0.25">
      <c r="A3075">
        <v>589721</v>
      </c>
      <c r="B3075" t="s">
        <v>3438</v>
      </c>
      <c r="C3075" t="s">
        <v>7220</v>
      </c>
      <c r="D3075">
        <v>2</v>
      </c>
      <c r="E3075" t="s">
        <v>3438</v>
      </c>
      <c r="G3075" s="3"/>
      <c r="H3075" s="21">
        <v>0</v>
      </c>
      <c r="I3075" s="21">
        <v>0</v>
      </c>
      <c r="J3075" s="21">
        <v>0</v>
      </c>
      <c r="K3075" s="21">
        <v>0</v>
      </c>
      <c r="L3075" s="3">
        <f t="shared" si="138"/>
        <v>0</v>
      </c>
      <c r="M3075" s="3"/>
      <c r="N3075" s="3">
        <f t="shared" si="139"/>
        <v>0</v>
      </c>
      <c r="R3075" s="89"/>
      <c r="S3075" s="89">
        <f>100%-Table34[[#This Row],[PDF_initial fee]]</f>
        <v>1</v>
      </c>
      <c r="T3075" s="89"/>
      <c r="U3075" s="26"/>
    </row>
    <row r="3076" spans="1:21" hidden="1" x14ac:dyDescent="0.25">
      <c r="A3076">
        <v>590038</v>
      </c>
      <c r="B3076" t="s">
        <v>3439</v>
      </c>
      <c r="C3076" t="s">
        <v>9057</v>
      </c>
      <c r="D3076">
        <v>3</v>
      </c>
      <c r="E3076" t="s">
        <v>3439</v>
      </c>
      <c r="G3076" s="3"/>
      <c r="H3076" s="21">
        <v>0</v>
      </c>
      <c r="I3076" s="21">
        <v>0</v>
      </c>
      <c r="J3076" s="21">
        <v>0</v>
      </c>
      <c r="K3076" s="21">
        <v>0</v>
      </c>
      <c r="L3076" s="3">
        <f t="shared" si="138"/>
        <v>0</v>
      </c>
      <c r="M3076" s="3"/>
      <c r="N3076" s="3">
        <f t="shared" si="139"/>
        <v>0</v>
      </c>
      <c r="R3076" s="89"/>
      <c r="S3076" s="89">
        <f>100%-Table34[[#This Row],[PDF_initial fee]]</f>
        <v>1</v>
      </c>
      <c r="T3076" s="89"/>
      <c r="U3076" s="26"/>
    </row>
    <row r="3077" spans="1:21" hidden="1" x14ac:dyDescent="0.25">
      <c r="A3077">
        <v>590071</v>
      </c>
      <c r="B3077" t="s">
        <v>3440</v>
      </c>
      <c r="C3077" t="s">
        <v>11438</v>
      </c>
      <c r="D3077">
        <v>2</v>
      </c>
      <c r="E3077" t="s">
        <v>3440</v>
      </c>
      <c r="G3077" s="3"/>
      <c r="H3077" s="21">
        <v>0</v>
      </c>
      <c r="I3077" s="21">
        <v>0</v>
      </c>
      <c r="J3077" s="21">
        <v>0</v>
      </c>
      <c r="K3077" s="21">
        <v>0</v>
      </c>
      <c r="L3077" s="3">
        <f t="shared" si="138"/>
        <v>0</v>
      </c>
      <c r="M3077" s="3"/>
      <c r="N3077" s="3">
        <f t="shared" si="139"/>
        <v>0</v>
      </c>
      <c r="R3077" s="89"/>
      <c r="S3077" s="89">
        <f>100%-Table34[[#This Row],[PDF_initial fee]]</f>
        <v>1</v>
      </c>
      <c r="T3077" s="89"/>
      <c r="U3077" s="26"/>
    </row>
    <row r="3078" spans="1:21" hidden="1" x14ac:dyDescent="0.25">
      <c r="A3078">
        <v>590083</v>
      </c>
      <c r="B3078" t="s">
        <v>3441</v>
      </c>
      <c r="C3078" t="s">
        <v>6958</v>
      </c>
      <c r="D3078">
        <v>1</v>
      </c>
      <c r="E3078" t="s">
        <v>3441</v>
      </c>
      <c r="F3078" t="s">
        <v>6958</v>
      </c>
      <c r="G3078" s="3"/>
      <c r="H3078" s="21">
        <v>0</v>
      </c>
      <c r="I3078" s="21">
        <v>0</v>
      </c>
      <c r="J3078" s="21">
        <v>0</v>
      </c>
      <c r="K3078" s="21">
        <v>0</v>
      </c>
      <c r="L3078" s="3">
        <f t="shared" si="138"/>
        <v>0</v>
      </c>
      <c r="M3078" s="3"/>
      <c r="N3078" s="3">
        <f t="shared" si="139"/>
        <v>0</v>
      </c>
      <c r="R3078" s="89"/>
      <c r="S3078" s="89">
        <f>100%-Table34[[#This Row],[PDF_initial fee]]</f>
        <v>1</v>
      </c>
      <c r="T3078" s="89"/>
      <c r="U3078" s="26"/>
    </row>
    <row r="3079" spans="1:21" hidden="1" x14ac:dyDescent="0.25">
      <c r="A3079">
        <v>590144</v>
      </c>
      <c r="B3079" t="s">
        <v>3442</v>
      </c>
      <c r="C3079" t="s">
        <v>30542</v>
      </c>
      <c r="D3079">
        <v>4</v>
      </c>
      <c r="E3079" t="s">
        <v>3442</v>
      </c>
      <c r="G3079" s="3"/>
      <c r="H3079" s="3">
        <v>0</v>
      </c>
      <c r="I3079" s="3">
        <v>0</v>
      </c>
      <c r="J3079" s="3">
        <v>0</v>
      </c>
      <c r="K3079" s="3">
        <v>0</v>
      </c>
      <c r="L3079" s="3">
        <f t="shared" si="138"/>
        <v>0</v>
      </c>
      <c r="M3079" s="3"/>
      <c r="N3079" s="3">
        <f t="shared" si="139"/>
        <v>0</v>
      </c>
      <c r="R3079" s="89"/>
      <c r="S3079" s="89">
        <f>100%-Table34[[#This Row],[PDF_initial fee]]</f>
        <v>1</v>
      </c>
      <c r="T3079" s="89"/>
      <c r="U3079" s="26"/>
    </row>
    <row r="3080" spans="1:21" hidden="1" x14ac:dyDescent="0.25">
      <c r="A3080">
        <v>590157</v>
      </c>
      <c r="B3080" t="s">
        <v>3443</v>
      </c>
      <c r="C3080" t="s">
        <v>8400</v>
      </c>
      <c r="D3080">
        <v>1</v>
      </c>
      <c r="E3080" t="s">
        <v>3443</v>
      </c>
      <c r="G3080" s="3"/>
      <c r="H3080" s="21">
        <v>0</v>
      </c>
      <c r="I3080" s="21">
        <v>0</v>
      </c>
      <c r="J3080" s="21">
        <v>0</v>
      </c>
      <c r="K3080" s="21">
        <v>0</v>
      </c>
      <c r="L3080" s="3">
        <f t="shared" si="138"/>
        <v>0</v>
      </c>
      <c r="M3080" s="3"/>
      <c r="N3080" s="3">
        <f t="shared" si="139"/>
        <v>0</v>
      </c>
      <c r="R3080" s="89"/>
      <c r="S3080" s="89">
        <f>100%-Table34[[#This Row],[PDF_initial fee]]</f>
        <v>1</v>
      </c>
      <c r="T3080" s="89"/>
      <c r="U3080" s="26"/>
    </row>
    <row r="3081" spans="1:21" hidden="1" x14ac:dyDescent="0.25">
      <c r="A3081">
        <v>590162</v>
      </c>
      <c r="B3081" t="s">
        <v>3444</v>
      </c>
      <c r="C3081" t="s">
        <v>6958</v>
      </c>
      <c r="D3081">
        <v>1</v>
      </c>
      <c r="E3081" t="s">
        <v>3444</v>
      </c>
      <c r="F3081" t="s">
        <v>6958</v>
      </c>
      <c r="G3081" s="3"/>
      <c r="H3081" s="21">
        <v>0</v>
      </c>
      <c r="I3081" s="21">
        <v>0</v>
      </c>
      <c r="J3081" s="21">
        <v>0</v>
      </c>
      <c r="K3081" s="21">
        <v>0</v>
      </c>
      <c r="L3081" s="3">
        <f t="shared" si="138"/>
        <v>0</v>
      </c>
      <c r="M3081" s="3"/>
      <c r="N3081" s="3">
        <f t="shared" si="139"/>
        <v>0</v>
      </c>
      <c r="R3081" s="89"/>
      <c r="S3081" s="89">
        <f>100%-Table34[[#This Row],[PDF_initial fee]]</f>
        <v>1</v>
      </c>
      <c r="T3081" s="89"/>
      <c r="U3081" s="26"/>
    </row>
    <row r="3082" spans="1:21" hidden="1" x14ac:dyDescent="0.25">
      <c r="A3082">
        <v>590172</v>
      </c>
      <c r="B3082" t="s">
        <v>3445</v>
      </c>
      <c r="C3082" t="s">
        <v>6958</v>
      </c>
      <c r="D3082">
        <v>2</v>
      </c>
      <c r="E3082" t="s">
        <v>3445</v>
      </c>
      <c r="F3082" t="s">
        <v>6958</v>
      </c>
      <c r="G3082" s="3"/>
      <c r="H3082" s="21">
        <v>0</v>
      </c>
      <c r="I3082" s="21">
        <v>0</v>
      </c>
      <c r="J3082" s="21">
        <v>0</v>
      </c>
      <c r="K3082" s="21">
        <v>0</v>
      </c>
      <c r="L3082" s="3">
        <f t="shared" si="138"/>
        <v>0</v>
      </c>
      <c r="M3082" s="3"/>
      <c r="N3082" s="3">
        <f t="shared" si="139"/>
        <v>0</v>
      </c>
      <c r="O3082" s="21"/>
      <c r="R3082" s="89"/>
      <c r="S3082" s="89">
        <f>100%-Table34[[#This Row],[PDF_initial fee]]</f>
        <v>1</v>
      </c>
      <c r="T3082" s="89"/>
      <c r="U3082" s="26"/>
    </row>
    <row r="3083" spans="1:21" hidden="1" x14ac:dyDescent="0.25">
      <c r="A3083">
        <v>590250</v>
      </c>
      <c r="B3083" t="s">
        <v>3446</v>
      </c>
      <c r="C3083" t="s">
        <v>12597</v>
      </c>
      <c r="D3083">
        <v>1</v>
      </c>
      <c r="E3083" t="s">
        <v>3446</v>
      </c>
      <c r="G3083" s="3"/>
      <c r="H3083" s="21">
        <v>0</v>
      </c>
      <c r="I3083" s="21">
        <v>0</v>
      </c>
      <c r="J3083" s="21">
        <v>0</v>
      </c>
      <c r="K3083" s="21">
        <v>0</v>
      </c>
      <c r="L3083" s="3">
        <f t="shared" si="138"/>
        <v>0</v>
      </c>
      <c r="M3083" s="3"/>
      <c r="N3083" s="3">
        <f t="shared" si="139"/>
        <v>0</v>
      </c>
      <c r="R3083" s="89"/>
      <c r="S3083" s="89">
        <f>100%-Table34[[#This Row],[PDF_initial fee]]</f>
        <v>1</v>
      </c>
      <c r="T3083" s="89"/>
      <c r="U3083" s="26"/>
    </row>
    <row r="3084" spans="1:21" hidden="1" x14ac:dyDescent="0.25">
      <c r="A3084">
        <v>590261</v>
      </c>
      <c r="B3084" t="s">
        <v>3447</v>
      </c>
      <c r="C3084" t="s">
        <v>11621</v>
      </c>
      <c r="D3084">
        <v>2</v>
      </c>
      <c r="E3084" t="s">
        <v>3447</v>
      </c>
      <c r="G3084" s="3"/>
      <c r="H3084" s="21">
        <v>0</v>
      </c>
      <c r="I3084" s="21">
        <v>0</v>
      </c>
      <c r="J3084" s="21">
        <v>0</v>
      </c>
      <c r="K3084" s="21">
        <v>0</v>
      </c>
      <c r="L3084" s="3">
        <f t="shared" si="138"/>
        <v>0</v>
      </c>
      <c r="M3084" s="3"/>
      <c r="N3084" s="3">
        <f t="shared" si="139"/>
        <v>0</v>
      </c>
      <c r="R3084" s="89"/>
      <c r="S3084" s="89">
        <f>100%-Table34[[#This Row],[PDF_initial fee]]</f>
        <v>1</v>
      </c>
      <c r="T3084" s="89"/>
      <c r="U3084" s="26"/>
    </row>
    <row r="3085" spans="1:21" hidden="1" x14ac:dyDescent="0.25">
      <c r="A3085">
        <v>590290</v>
      </c>
      <c r="B3085" t="s">
        <v>3448</v>
      </c>
      <c r="C3085" t="s">
        <v>8279</v>
      </c>
      <c r="D3085">
        <v>1</v>
      </c>
      <c r="E3085" t="s">
        <v>3448</v>
      </c>
      <c r="G3085" s="3"/>
      <c r="H3085" s="21">
        <v>0</v>
      </c>
      <c r="I3085" s="21">
        <v>0</v>
      </c>
      <c r="J3085" s="21">
        <v>0</v>
      </c>
      <c r="K3085" s="21">
        <v>0</v>
      </c>
      <c r="L3085" s="3">
        <f t="shared" si="138"/>
        <v>0</v>
      </c>
      <c r="M3085" s="3"/>
      <c r="N3085" s="3">
        <f t="shared" si="139"/>
        <v>0</v>
      </c>
      <c r="R3085" s="89"/>
      <c r="S3085" s="89">
        <f>100%-Table34[[#This Row],[PDF_initial fee]]</f>
        <v>1</v>
      </c>
      <c r="T3085" s="89"/>
      <c r="U3085" s="26"/>
    </row>
    <row r="3086" spans="1:21" hidden="1" x14ac:dyDescent="0.25">
      <c r="A3086">
        <v>590335</v>
      </c>
      <c r="B3086" t="s">
        <v>3449</v>
      </c>
      <c r="C3086" t="s">
        <v>10570</v>
      </c>
      <c r="D3086">
        <v>2</v>
      </c>
      <c r="E3086" t="s">
        <v>3449</v>
      </c>
      <c r="G3086" s="3"/>
      <c r="L3086" s="3">
        <f t="shared" si="138"/>
        <v>0</v>
      </c>
      <c r="M3086" s="3"/>
      <c r="N3086" s="3">
        <f t="shared" si="139"/>
        <v>0</v>
      </c>
      <c r="R3086" s="89"/>
      <c r="S3086" s="89">
        <f>100%-Table34[[#This Row],[PDF_initial fee]]</f>
        <v>1</v>
      </c>
      <c r="T3086" s="89"/>
      <c r="U3086" s="26"/>
    </row>
    <row r="3087" spans="1:21" hidden="1" x14ac:dyDescent="0.25">
      <c r="A3087">
        <v>590340</v>
      </c>
      <c r="B3087" t="s">
        <v>3450</v>
      </c>
      <c r="C3087" t="s">
        <v>7033</v>
      </c>
      <c r="D3087">
        <v>2</v>
      </c>
      <c r="E3087" t="s">
        <v>3450</v>
      </c>
      <c r="G3087" s="3"/>
      <c r="H3087" s="21">
        <v>0</v>
      </c>
      <c r="I3087" s="21">
        <v>0</v>
      </c>
      <c r="J3087" s="21">
        <v>0</v>
      </c>
      <c r="K3087" s="21">
        <v>0</v>
      </c>
      <c r="L3087" s="3">
        <f t="shared" si="138"/>
        <v>0</v>
      </c>
      <c r="M3087" s="3"/>
      <c r="N3087" s="3">
        <f t="shared" si="139"/>
        <v>0</v>
      </c>
      <c r="R3087" s="89"/>
      <c r="S3087" s="89">
        <f>100%-Table34[[#This Row],[PDF_initial fee]]</f>
        <v>1</v>
      </c>
      <c r="T3087" s="89"/>
      <c r="U3087" s="26"/>
    </row>
    <row r="3088" spans="1:21" hidden="1" x14ac:dyDescent="0.25">
      <c r="A3088">
        <v>590386</v>
      </c>
      <c r="B3088" t="s">
        <v>3451</v>
      </c>
      <c r="C3088" t="s">
        <v>6961</v>
      </c>
      <c r="D3088">
        <v>3</v>
      </c>
      <c r="E3088" t="s">
        <v>3451</v>
      </c>
      <c r="G3088" s="3"/>
      <c r="H3088" s="21">
        <v>0</v>
      </c>
      <c r="I3088" s="21">
        <v>0</v>
      </c>
      <c r="J3088" s="21">
        <v>0</v>
      </c>
      <c r="K3088" s="21">
        <v>0</v>
      </c>
      <c r="L3088" s="3">
        <f t="shared" si="138"/>
        <v>0</v>
      </c>
      <c r="M3088" s="3"/>
      <c r="N3088" s="3">
        <f t="shared" si="139"/>
        <v>0</v>
      </c>
      <c r="R3088" s="89"/>
      <c r="S3088" s="89">
        <f>100%-Table34[[#This Row],[PDF_initial fee]]</f>
        <v>1</v>
      </c>
      <c r="T3088" s="89"/>
      <c r="U3088" s="26"/>
    </row>
    <row r="3089" spans="1:30" x14ac:dyDescent="0.25">
      <c r="A3089">
        <v>144206</v>
      </c>
      <c r="B3089" t="s">
        <v>59</v>
      </c>
      <c r="C3089" t="s">
        <v>30543</v>
      </c>
      <c r="D3089">
        <v>183</v>
      </c>
      <c r="E3089" t="s">
        <v>59</v>
      </c>
      <c r="F3089" t="s">
        <v>6</v>
      </c>
      <c r="G3089" s="3">
        <v>1.0200000000000001E-2</v>
      </c>
      <c r="H3089" s="3">
        <v>1.7500000000000002E-2</v>
      </c>
      <c r="I3089" s="3">
        <v>6.4999999999999997E-3</v>
      </c>
      <c r="J3089" s="6"/>
      <c r="K3089" s="6"/>
      <c r="L3089" s="3">
        <f t="shared" si="138"/>
        <v>2.4E-2</v>
      </c>
      <c r="M3089" s="3"/>
      <c r="N3089" s="3">
        <f t="shared" si="139"/>
        <v>3.4200000000000001E-2</v>
      </c>
      <c r="O3089" s="8" t="s">
        <v>30544</v>
      </c>
      <c r="P3089" s="1" t="s">
        <v>30545</v>
      </c>
      <c r="Q3089" s="1" t="s">
        <v>30546</v>
      </c>
      <c r="R3089" s="89">
        <v>0.30599999999999999</v>
      </c>
      <c r="S3089" s="89">
        <f>100%-Table34[[#This Row],[InitialFee]]</f>
        <v>0.98250000000000004</v>
      </c>
      <c r="T3089" s="89">
        <f>(1-Table34[[#This Row],[OngoingFee (plus Platform fee)]])^5</f>
        <v>0.96791976266370983</v>
      </c>
      <c r="U3089" s="26">
        <f>(1+Table34[[#This Row],[Net 5yrs return (mostly up to 28th of Feb 2026)]])*Table34[[#This Row],[Investment after initial charge]]*Table34[[#This Row],[Cummulative 5yrs ongoing advice charge]]-1</f>
        <v>0.24198140386312605</v>
      </c>
      <c r="V3089" s="10">
        <v>4115080000</v>
      </c>
      <c r="W3089" s="10" t="s">
        <v>29081</v>
      </c>
      <c r="X3089" s="10">
        <v>367015000</v>
      </c>
      <c r="Y3089" s="30">
        <f>X3089/V3089</f>
        <v>8.9187816518755403E-2</v>
      </c>
      <c r="Z3089" s="10"/>
      <c r="AA3089" s="1" t="s">
        <v>30547</v>
      </c>
    </row>
    <row r="3090" spans="1:30" hidden="1" x14ac:dyDescent="0.25">
      <c r="A3090">
        <v>590518</v>
      </c>
      <c r="B3090" t="s">
        <v>3452</v>
      </c>
      <c r="C3090" t="s">
        <v>11281</v>
      </c>
      <c r="D3090">
        <v>1</v>
      </c>
      <c r="E3090" t="s">
        <v>3452</v>
      </c>
      <c r="G3090" s="3"/>
      <c r="H3090" s="21">
        <v>0</v>
      </c>
      <c r="I3090" s="21">
        <v>0</v>
      </c>
      <c r="J3090" s="21">
        <v>0</v>
      </c>
      <c r="K3090" s="21">
        <v>0</v>
      </c>
      <c r="L3090" s="3">
        <f t="shared" si="138"/>
        <v>0</v>
      </c>
      <c r="M3090" s="3"/>
      <c r="N3090" s="3">
        <f t="shared" si="139"/>
        <v>0</v>
      </c>
      <c r="R3090" s="89"/>
      <c r="S3090" s="89">
        <f>100%-Table34[[#This Row],[PDF_initial fee]]</f>
        <v>1</v>
      </c>
      <c r="T3090" s="89"/>
      <c r="U3090" s="26"/>
    </row>
    <row r="3091" spans="1:30" x14ac:dyDescent="0.25">
      <c r="A3091">
        <v>230690</v>
      </c>
      <c r="B3091" t="s">
        <v>134</v>
      </c>
      <c r="C3091" t="s">
        <v>30548</v>
      </c>
      <c r="D3091">
        <v>8</v>
      </c>
      <c r="E3091" t="s">
        <v>134</v>
      </c>
      <c r="F3091" t="s">
        <v>6</v>
      </c>
      <c r="G3091" s="3">
        <v>1.0200000000000001E-2</v>
      </c>
      <c r="H3091" s="3">
        <v>1.7500000000000002E-2</v>
      </c>
      <c r="I3091" s="6">
        <v>6.4999999999999997E-3</v>
      </c>
      <c r="J3091" s="6"/>
      <c r="K3091" s="6"/>
      <c r="L3091" s="3">
        <f t="shared" si="138"/>
        <v>2.4E-2</v>
      </c>
      <c r="M3091" s="3"/>
      <c r="N3091" s="3">
        <f t="shared" si="139"/>
        <v>3.4200000000000001E-2</v>
      </c>
      <c r="O3091" t="s">
        <v>30549</v>
      </c>
      <c r="P3091" s="1" t="s">
        <v>30545</v>
      </c>
      <c r="Q3091" s="1" t="s">
        <v>30546</v>
      </c>
      <c r="R3091" s="89">
        <v>0.30599999999999999</v>
      </c>
      <c r="S3091" s="89">
        <f>100%-Table34[[#This Row],[InitialFee]]</f>
        <v>0.98250000000000004</v>
      </c>
      <c r="T3091" s="89">
        <f>(1-Table34[[#This Row],[OngoingFee (plus Platform fee)]])^5</f>
        <v>0.96791976266370983</v>
      </c>
      <c r="U3091" s="26">
        <f>(1+Table34[[#This Row],[Net 5yrs return (mostly up to 28th of Feb 2026)]])*Table34[[#This Row],[Investment after initial charge]]*Table34[[#This Row],[Cummulative 5yrs ongoing advice charge]]-1</f>
        <v>0.24198140386312605</v>
      </c>
      <c r="V3091" s="10">
        <v>103002000</v>
      </c>
      <c r="W3091" t="s">
        <v>29081</v>
      </c>
      <c r="X3091" s="10">
        <v>63667000</v>
      </c>
      <c r="Y3091" s="30">
        <f>X3091/V3091</f>
        <v>0.61811421137453637</v>
      </c>
      <c r="Z3091" s="30"/>
      <c r="AA3091" s="1" t="s">
        <v>30550</v>
      </c>
    </row>
    <row r="3092" spans="1:30" hidden="1" x14ac:dyDescent="0.25">
      <c r="A3092">
        <v>590737</v>
      </c>
      <c r="B3092" t="s">
        <v>3453</v>
      </c>
      <c r="C3092" t="s">
        <v>6958</v>
      </c>
      <c r="D3092">
        <v>1</v>
      </c>
      <c r="E3092" t="s">
        <v>3453</v>
      </c>
      <c r="F3092" t="s">
        <v>6958</v>
      </c>
      <c r="G3092" s="3"/>
      <c r="L3092" s="3">
        <f t="shared" si="138"/>
        <v>0</v>
      </c>
      <c r="M3092" s="3"/>
      <c r="N3092" s="3">
        <f t="shared" si="139"/>
        <v>0</v>
      </c>
      <c r="R3092" s="89"/>
      <c r="S3092" s="89">
        <f>100%-Table34[[#This Row],[PDF_initial fee]]</f>
        <v>1</v>
      </c>
      <c r="T3092" s="89"/>
      <c r="U3092" s="26"/>
    </row>
    <row r="3093" spans="1:30" hidden="1" x14ac:dyDescent="0.25">
      <c r="A3093">
        <v>590752</v>
      </c>
      <c r="B3093" t="s">
        <v>3454</v>
      </c>
      <c r="C3093" t="s">
        <v>6958</v>
      </c>
      <c r="D3093">
        <v>1</v>
      </c>
      <c r="E3093" t="s">
        <v>3454</v>
      </c>
      <c r="F3093" t="s">
        <v>6958</v>
      </c>
      <c r="G3093" s="3"/>
      <c r="H3093" s="21">
        <v>0</v>
      </c>
      <c r="I3093" s="21">
        <v>0</v>
      </c>
      <c r="J3093" s="21">
        <v>0</v>
      </c>
      <c r="K3093" s="21">
        <v>0</v>
      </c>
      <c r="L3093" s="3">
        <f t="shared" si="138"/>
        <v>0</v>
      </c>
      <c r="M3093" s="3"/>
      <c r="N3093" s="3">
        <f t="shared" si="139"/>
        <v>0</v>
      </c>
      <c r="R3093" s="89"/>
      <c r="S3093" s="89">
        <f>100%-Table34[[#This Row],[PDF_initial fee]]</f>
        <v>1</v>
      </c>
      <c r="T3093" s="89"/>
      <c r="U3093" s="26"/>
    </row>
    <row r="3094" spans="1:30" hidden="1" x14ac:dyDescent="0.25">
      <c r="A3094">
        <v>590782</v>
      </c>
      <c r="B3094" t="s">
        <v>3455</v>
      </c>
      <c r="C3094" t="s">
        <v>6958</v>
      </c>
      <c r="D3094">
        <v>3</v>
      </c>
      <c r="E3094" t="s">
        <v>3455</v>
      </c>
      <c r="F3094" t="s">
        <v>6958</v>
      </c>
      <c r="G3094" s="3"/>
      <c r="H3094" s="21">
        <v>0</v>
      </c>
      <c r="I3094" s="21">
        <v>0</v>
      </c>
      <c r="J3094" s="21">
        <v>0</v>
      </c>
      <c r="K3094" s="21">
        <v>0</v>
      </c>
      <c r="L3094" s="3">
        <f t="shared" si="138"/>
        <v>0</v>
      </c>
      <c r="M3094" s="3"/>
      <c r="N3094" s="3">
        <f t="shared" si="139"/>
        <v>0</v>
      </c>
      <c r="R3094" s="89"/>
      <c r="S3094" s="89">
        <f>100%-Table34[[#This Row],[PDF_initial fee]]</f>
        <v>1</v>
      </c>
      <c r="T3094" s="89"/>
      <c r="U3094" s="26"/>
    </row>
    <row r="3095" spans="1:30" hidden="1" x14ac:dyDescent="0.25">
      <c r="A3095">
        <v>590919</v>
      </c>
      <c r="B3095" t="s">
        <v>3456</v>
      </c>
      <c r="C3095" t="s">
        <v>30551</v>
      </c>
      <c r="D3095">
        <v>0</v>
      </c>
      <c r="E3095" t="s">
        <v>3456</v>
      </c>
      <c r="F3095" t="s">
        <v>29136</v>
      </c>
      <c r="G3095" s="3"/>
      <c r="L3095" s="3">
        <f t="shared" si="138"/>
        <v>0</v>
      </c>
      <c r="M3095" s="3"/>
      <c r="N3095" s="3">
        <f t="shared" si="139"/>
        <v>0</v>
      </c>
      <c r="R3095" s="89"/>
      <c r="S3095" s="89">
        <f>100%-Table34[[#This Row],[PDF_initial fee]]</f>
        <v>1</v>
      </c>
      <c r="T3095" s="89"/>
      <c r="U3095" s="26"/>
    </row>
    <row r="3096" spans="1:30" hidden="1" x14ac:dyDescent="0.25">
      <c r="A3096">
        <v>590933</v>
      </c>
      <c r="B3096" t="s">
        <v>3457</v>
      </c>
      <c r="C3096" t="s">
        <v>6958</v>
      </c>
      <c r="D3096">
        <v>1</v>
      </c>
      <c r="E3096" t="s">
        <v>3457</v>
      </c>
      <c r="F3096" t="s">
        <v>6958</v>
      </c>
      <c r="G3096" s="3"/>
      <c r="H3096" s="21">
        <v>0</v>
      </c>
      <c r="I3096" s="21">
        <v>0</v>
      </c>
      <c r="J3096" s="21">
        <v>0</v>
      </c>
      <c r="K3096" s="21">
        <v>0</v>
      </c>
      <c r="L3096" s="3">
        <f t="shared" si="138"/>
        <v>0</v>
      </c>
      <c r="M3096" s="3"/>
      <c r="N3096" s="3">
        <f t="shared" si="139"/>
        <v>0</v>
      </c>
      <c r="R3096" s="89"/>
      <c r="S3096" s="89">
        <f>100%-Table34[[#This Row],[PDF_initial fee]]</f>
        <v>1</v>
      </c>
      <c r="T3096" s="89"/>
      <c r="U3096" s="26"/>
    </row>
    <row r="3097" spans="1:30" hidden="1" x14ac:dyDescent="0.25">
      <c r="A3097">
        <v>590965</v>
      </c>
      <c r="B3097" t="s">
        <v>3458</v>
      </c>
      <c r="C3097" t="s">
        <v>8046</v>
      </c>
      <c r="D3097">
        <v>1</v>
      </c>
      <c r="E3097" t="s">
        <v>3458</v>
      </c>
      <c r="G3097" s="3"/>
      <c r="H3097" s="21">
        <v>0</v>
      </c>
      <c r="I3097" s="21">
        <v>0</v>
      </c>
      <c r="J3097" s="21">
        <v>0</v>
      </c>
      <c r="K3097" s="21">
        <v>0</v>
      </c>
      <c r="L3097" s="3">
        <f t="shared" si="138"/>
        <v>0</v>
      </c>
      <c r="M3097" s="3"/>
      <c r="N3097" s="3">
        <f t="shared" si="139"/>
        <v>0</v>
      </c>
      <c r="R3097" s="89"/>
      <c r="S3097" s="89">
        <f>100%-Table34[[#This Row],[PDF_initial fee]]</f>
        <v>1</v>
      </c>
      <c r="T3097" s="89"/>
      <c r="U3097" s="26"/>
    </row>
    <row r="3098" spans="1:30" hidden="1" x14ac:dyDescent="0.25">
      <c r="A3098">
        <v>591030</v>
      </c>
      <c r="B3098" t="s">
        <v>3459</v>
      </c>
      <c r="C3098" t="s">
        <v>30552</v>
      </c>
      <c r="D3098">
        <v>1</v>
      </c>
      <c r="E3098" t="s">
        <v>3459</v>
      </c>
      <c r="G3098" s="3"/>
      <c r="H3098" s="21">
        <v>0</v>
      </c>
      <c r="I3098" s="21">
        <v>0</v>
      </c>
      <c r="J3098" s="21">
        <v>0</v>
      </c>
      <c r="K3098" s="21">
        <v>0</v>
      </c>
      <c r="L3098" s="3">
        <f t="shared" si="138"/>
        <v>0</v>
      </c>
      <c r="M3098" s="3"/>
      <c r="N3098" s="3">
        <f t="shared" si="139"/>
        <v>0</v>
      </c>
      <c r="O3098" s="21"/>
      <c r="P3098" s="22" t="s">
        <v>29765</v>
      </c>
      <c r="R3098" s="89"/>
      <c r="S3098" s="89">
        <f>100%-Table34[[#This Row],[PDF_initial fee]]</f>
        <v>1</v>
      </c>
      <c r="T3098" s="89"/>
      <c r="U3098" s="26"/>
    </row>
    <row r="3099" spans="1:30" x14ac:dyDescent="0.25">
      <c r="A3099">
        <v>781869</v>
      </c>
      <c r="B3099" t="s">
        <v>297</v>
      </c>
      <c r="C3099" s="1" t="s">
        <v>30553</v>
      </c>
      <c r="D3099">
        <v>4</v>
      </c>
      <c r="E3099" t="s">
        <v>297</v>
      </c>
      <c r="F3099" t="s">
        <v>6</v>
      </c>
      <c r="G3099" s="3">
        <v>1.0200000000000001E-2</v>
      </c>
      <c r="H3099" s="3">
        <v>1.7500000000000002E-2</v>
      </c>
      <c r="I3099" s="3">
        <v>6.4999999999999997E-3</v>
      </c>
      <c r="J3099" s="6"/>
      <c r="K3099" s="6"/>
      <c r="L3099" s="3">
        <f t="shared" si="138"/>
        <v>2.4E-2</v>
      </c>
      <c r="M3099" s="3"/>
      <c r="N3099" s="3">
        <f t="shared" si="139"/>
        <v>3.4200000000000001E-2</v>
      </c>
      <c r="O3099" t="s">
        <v>30554</v>
      </c>
      <c r="P3099" s="1" t="s">
        <v>30545</v>
      </c>
      <c r="Q3099" s="1" t="s">
        <v>30546</v>
      </c>
      <c r="R3099" s="89">
        <v>0.30599999999999999</v>
      </c>
      <c r="S3099" s="89">
        <f>100%-Table34[[#This Row],[InitialFee]]</f>
        <v>0.98250000000000004</v>
      </c>
      <c r="T3099" s="89">
        <f>(1-Table34[[#This Row],[OngoingFee (plus Platform fee)]])^5</f>
        <v>0.96791976266370983</v>
      </c>
      <c r="U3099" s="26">
        <f>(1+Table34[[#This Row],[Net 5yrs return (mostly up to 28th of Feb 2026)]])*Table34[[#This Row],[Investment after initial charge]]*Table34[[#This Row],[Cummulative 5yrs ongoing advice charge]]-1</f>
        <v>0.24198140386312605</v>
      </c>
      <c r="V3099" s="10">
        <v>103002000</v>
      </c>
      <c r="W3099" t="s">
        <v>29081</v>
      </c>
      <c r="X3099" s="10">
        <v>63667000</v>
      </c>
      <c r="Y3099" s="30">
        <f>X3099/V3099</f>
        <v>0.61811421137453637</v>
      </c>
      <c r="AA3099" s="1" t="s">
        <v>30555</v>
      </c>
      <c r="AD3099" s="1" t="s">
        <v>30546</v>
      </c>
    </row>
    <row r="3100" spans="1:30" hidden="1" x14ac:dyDescent="0.25">
      <c r="A3100">
        <v>591356</v>
      </c>
      <c r="B3100" t="s">
        <v>3460</v>
      </c>
      <c r="C3100" t="s">
        <v>6958</v>
      </c>
      <c r="D3100">
        <v>2</v>
      </c>
      <c r="E3100" t="s">
        <v>3460</v>
      </c>
      <c r="F3100" t="s">
        <v>6958</v>
      </c>
      <c r="G3100" s="3"/>
      <c r="L3100" s="3">
        <f t="shared" si="138"/>
        <v>0</v>
      </c>
      <c r="M3100" s="3"/>
      <c r="N3100" s="3">
        <f t="shared" si="139"/>
        <v>0</v>
      </c>
      <c r="R3100" s="89"/>
      <c r="S3100" s="89">
        <f>100%-Table34[[#This Row],[PDF_initial fee]]</f>
        <v>1</v>
      </c>
      <c r="T3100" s="89"/>
      <c r="U3100" s="26"/>
    </row>
    <row r="3101" spans="1:30" hidden="1" x14ac:dyDescent="0.25">
      <c r="A3101">
        <v>591449</v>
      </c>
      <c r="B3101" t="s">
        <v>3461</v>
      </c>
      <c r="C3101" t="s">
        <v>10296</v>
      </c>
      <c r="D3101">
        <v>2</v>
      </c>
      <c r="E3101" t="s">
        <v>3461</v>
      </c>
      <c r="G3101" s="3"/>
      <c r="H3101" s="21">
        <v>0</v>
      </c>
      <c r="I3101" s="21">
        <v>0</v>
      </c>
      <c r="J3101" s="21">
        <v>0</v>
      </c>
      <c r="K3101" s="21">
        <v>0</v>
      </c>
      <c r="L3101" s="3">
        <f t="shared" si="138"/>
        <v>0</v>
      </c>
      <c r="M3101" s="3"/>
      <c r="N3101" s="3">
        <f t="shared" si="139"/>
        <v>0</v>
      </c>
      <c r="R3101" s="89"/>
      <c r="S3101" s="89">
        <f>100%-Table34[[#This Row],[PDF_initial fee]]</f>
        <v>1</v>
      </c>
      <c r="T3101" s="89"/>
      <c r="U3101" s="26"/>
    </row>
    <row r="3102" spans="1:30" hidden="1" x14ac:dyDescent="0.25">
      <c r="A3102">
        <v>592052</v>
      </c>
      <c r="B3102" t="s">
        <v>3463</v>
      </c>
      <c r="C3102" t="s">
        <v>7530</v>
      </c>
      <c r="D3102">
        <v>3</v>
      </c>
      <c r="E3102" t="s">
        <v>3463</v>
      </c>
      <c r="G3102" s="3"/>
      <c r="L3102" s="3">
        <f t="shared" si="138"/>
        <v>0</v>
      </c>
      <c r="M3102" s="3"/>
      <c r="N3102" s="3">
        <f t="shared" si="139"/>
        <v>0</v>
      </c>
      <c r="R3102" s="89"/>
      <c r="S3102" s="89">
        <f>100%-Table34[[#This Row],[PDF_initial fee]]</f>
        <v>1</v>
      </c>
      <c r="T3102" s="89"/>
      <c r="U3102" s="26"/>
    </row>
    <row r="3103" spans="1:30" hidden="1" x14ac:dyDescent="0.25">
      <c r="A3103">
        <v>592094</v>
      </c>
      <c r="B3103" t="s">
        <v>3464</v>
      </c>
      <c r="C3103" t="s">
        <v>6958</v>
      </c>
      <c r="D3103">
        <v>2</v>
      </c>
      <c r="E3103" t="s">
        <v>3464</v>
      </c>
      <c r="F3103" t="s">
        <v>6958</v>
      </c>
      <c r="G3103" s="3"/>
      <c r="H3103" s="21">
        <v>0</v>
      </c>
      <c r="I3103" s="21">
        <v>0</v>
      </c>
      <c r="J3103" s="21">
        <v>0</v>
      </c>
      <c r="K3103" s="21">
        <v>0</v>
      </c>
      <c r="L3103" s="3">
        <f t="shared" si="138"/>
        <v>0</v>
      </c>
      <c r="M3103" s="3"/>
      <c r="N3103" s="3">
        <f t="shared" si="139"/>
        <v>0</v>
      </c>
      <c r="R3103" s="89"/>
      <c r="S3103" s="89">
        <f>100%-Table34[[#This Row],[PDF_initial fee]]</f>
        <v>1</v>
      </c>
      <c r="T3103" s="89"/>
      <c r="U3103" s="26"/>
    </row>
    <row r="3104" spans="1:30" hidden="1" x14ac:dyDescent="0.25">
      <c r="A3104">
        <v>592550</v>
      </c>
      <c r="B3104" t="s">
        <v>3465</v>
      </c>
      <c r="C3104" t="s">
        <v>6958</v>
      </c>
      <c r="D3104">
        <v>0</v>
      </c>
      <c r="E3104" t="s">
        <v>3465</v>
      </c>
      <c r="F3104" t="s">
        <v>6958</v>
      </c>
      <c r="G3104" s="3"/>
      <c r="H3104" s="21">
        <v>0</v>
      </c>
      <c r="I3104" s="21">
        <v>0</v>
      </c>
      <c r="J3104" s="21">
        <v>0</v>
      </c>
      <c r="K3104" s="21">
        <v>0</v>
      </c>
      <c r="L3104" s="3">
        <f t="shared" si="138"/>
        <v>0</v>
      </c>
      <c r="M3104" s="3"/>
      <c r="N3104" s="3">
        <f t="shared" si="139"/>
        <v>0</v>
      </c>
      <c r="R3104" s="89"/>
      <c r="S3104" s="89">
        <f>100%-Table34[[#This Row],[PDF_initial fee]]</f>
        <v>1</v>
      </c>
      <c r="T3104" s="89"/>
      <c r="U3104" s="26"/>
    </row>
    <row r="3105" spans="1:21" hidden="1" x14ac:dyDescent="0.25">
      <c r="A3105">
        <v>592631</v>
      </c>
      <c r="B3105" t="s">
        <v>3466</v>
      </c>
      <c r="C3105" t="s">
        <v>6958</v>
      </c>
      <c r="D3105">
        <v>1</v>
      </c>
      <c r="E3105" t="s">
        <v>3466</v>
      </c>
      <c r="F3105" t="s">
        <v>6958</v>
      </c>
      <c r="G3105" s="3"/>
      <c r="H3105" s="21">
        <v>0</v>
      </c>
      <c r="I3105" s="21">
        <v>0</v>
      </c>
      <c r="J3105" s="21">
        <v>0</v>
      </c>
      <c r="K3105" s="21">
        <v>0</v>
      </c>
      <c r="L3105" s="3">
        <f t="shared" si="138"/>
        <v>0</v>
      </c>
      <c r="M3105" s="3"/>
      <c r="N3105" s="3">
        <f t="shared" si="139"/>
        <v>0</v>
      </c>
      <c r="R3105" s="89"/>
      <c r="S3105" s="89">
        <f>100%-Table34[[#This Row],[PDF_initial fee]]</f>
        <v>1</v>
      </c>
      <c r="T3105" s="89"/>
      <c r="U3105" s="26"/>
    </row>
    <row r="3106" spans="1:21" hidden="1" x14ac:dyDescent="0.25">
      <c r="A3106">
        <v>592645</v>
      </c>
      <c r="B3106" t="s">
        <v>3467</v>
      </c>
      <c r="C3106" t="s">
        <v>30556</v>
      </c>
      <c r="D3106">
        <v>1</v>
      </c>
      <c r="E3106" t="s">
        <v>3467</v>
      </c>
      <c r="G3106" s="3"/>
      <c r="H3106" s="3">
        <v>0</v>
      </c>
      <c r="I3106" s="3">
        <v>0</v>
      </c>
      <c r="J3106" s="3">
        <v>0</v>
      </c>
      <c r="K3106" s="3">
        <v>0</v>
      </c>
      <c r="L3106" s="3">
        <f t="shared" ref="L3106:L3169" si="140">SUM(H3106:K3106)</f>
        <v>0</v>
      </c>
      <c r="M3106" s="3"/>
      <c r="N3106" s="3">
        <f t="shared" ref="N3106:N3169" si="141">L3106+G3106</f>
        <v>0</v>
      </c>
      <c r="R3106" s="89"/>
      <c r="S3106" s="89">
        <f>100%-Table34[[#This Row],[PDF_initial fee]]</f>
        <v>1</v>
      </c>
      <c r="T3106" s="89"/>
      <c r="U3106" s="26"/>
    </row>
    <row r="3107" spans="1:21" hidden="1" x14ac:dyDescent="0.25">
      <c r="A3107">
        <v>592690</v>
      </c>
      <c r="B3107" t="s">
        <v>3468</v>
      </c>
      <c r="C3107" t="s">
        <v>9474</v>
      </c>
      <c r="D3107">
        <v>1</v>
      </c>
      <c r="E3107" t="s">
        <v>3468</v>
      </c>
      <c r="G3107" s="3"/>
      <c r="H3107" s="21">
        <v>0</v>
      </c>
      <c r="I3107" s="21">
        <v>0</v>
      </c>
      <c r="J3107" s="21">
        <v>0</v>
      </c>
      <c r="K3107" s="21">
        <v>0</v>
      </c>
      <c r="L3107" s="3">
        <f t="shared" si="140"/>
        <v>0</v>
      </c>
      <c r="M3107" s="3"/>
      <c r="N3107" s="3">
        <f t="shared" si="141"/>
        <v>0</v>
      </c>
      <c r="R3107" s="89"/>
      <c r="S3107" s="89">
        <f>100%-Table34[[#This Row],[PDF_initial fee]]</f>
        <v>1</v>
      </c>
      <c r="T3107" s="89"/>
      <c r="U3107" s="26"/>
    </row>
    <row r="3108" spans="1:21" hidden="1" x14ac:dyDescent="0.25">
      <c r="A3108">
        <v>592756</v>
      </c>
      <c r="B3108" t="s">
        <v>3469</v>
      </c>
      <c r="C3108" t="s">
        <v>9318</v>
      </c>
      <c r="D3108">
        <v>3</v>
      </c>
      <c r="E3108" t="s">
        <v>3469</v>
      </c>
      <c r="G3108" s="3"/>
      <c r="H3108" s="21">
        <v>0</v>
      </c>
      <c r="I3108" s="21">
        <v>0</v>
      </c>
      <c r="J3108" s="21">
        <v>0</v>
      </c>
      <c r="K3108" s="21">
        <v>0</v>
      </c>
      <c r="L3108" s="3">
        <f t="shared" si="140"/>
        <v>0</v>
      </c>
      <c r="M3108" s="3"/>
      <c r="N3108" s="3">
        <f t="shared" si="141"/>
        <v>0</v>
      </c>
      <c r="R3108" s="89"/>
      <c r="S3108" s="89">
        <f>100%-Table34[[#This Row],[PDF_initial fee]]</f>
        <v>1</v>
      </c>
      <c r="T3108" s="89"/>
      <c r="U3108" s="26"/>
    </row>
    <row r="3109" spans="1:21" hidden="1" x14ac:dyDescent="0.25">
      <c r="A3109">
        <v>592783</v>
      </c>
      <c r="B3109" t="s">
        <v>3470</v>
      </c>
      <c r="C3109" t="s">
        <v>10708</v>
      </c>
      <c r="D3109">
        <v>0</v>
      </c>
      <c r="E3109" t="s">
        <v>3470</v>
      </c>
      <c r="F3109" t="s">
        <v>3</v>
      </c>
      <c r="G3109" s="3"/>
      <c r="L3109" s="3">
        <f t="shared" si="140"/>
        <v>0</v>
      </c>
      <c r="M3109" s="3"/>
      <c r="N3109" s="3">
        <f t="shared" si="141"/>
        <v>0</v>
      </c>
      <c r="R3109" s="89"/>
      <c r="S3109" s="89">
        <f>100%-Table34[[#This Row],[PDF_initial fee]]</f>
        <v>1</v>
      </c>
      <c r="T3109" s="89"/>
      <c r="U3109" s="26"/>
    </row>
    <row r="3110" spans="1:21" hidden="1" x14ac:dyDescent="0.25">
      <c r="A3110">
        <v>592856</v>
      </c>
      <c r="B3110" t="s">
        <v>3471</v>
      </c>
      <c r="C3110" t="s">
        <v>6958</v>
      </c>
      <c r="D3110">
        <v>2</v>
      </c>
      <c r="E3110" t="s">
        <v>3471</v>
      </c>
      <c r="F3110" t="s">
        <v>6958</v>
      </c>
      <c r="G3110" s="3"/>
      <c r="H3110" s="21">
        <v>0</v>
      </c>
      <c r="I3110" s="21">
        <v>0</v>
      </c>
      <c r="J3110" s="21">
        <v>0</v>
      </c>
      <c r="K3110" s="21">
        <v>0</v>
      </c>
      <c r="L3110" s="3">
        <f t="shared" si="140"/>
        <v>0</v>
      </c>
      <c r="M3110" s="3"/>
      <c r="N3110" s="3">
        <f t="shared" si="141"/>
        <v>0</v>
      </c>
      <c r="R3110" s="89"/>
      <c r="S3110" s="89">
        <f>100%-Table34[[#This Row],[PDF_initial fee]]</f>
        <v>1</v>
      </c>
      <c r="T3110" s="89"/>
      <c r="U3110" s="26"/>
    </row>
    <row r="3111" spans="1:21" hidden="1" x14ac:dyDescent="0.25">
      <c r="A3111">
        <v>592931</v>
      </c>
      <c r="B3111" t="s">
        <v>3472</v>
      </c>
      <c r="C3111" t="s">
        <v>10415</v>
      </c>
      <c r="D3111">
        <v>2</v>
      </c>
      <c r="E3111" t="s">
        <v>3472</v>
      </c>
      <c r="G3111" s="3"/>
      <c r="H3111" s="21">
        <v>0</v>
      </c>
      <c r="I3111" s="21">
        <v>0</v>
      </c>
      <c r="J3111" s="21">
        <v>0</v>
      </c>
      <c r="K3111" s="21">
        <v>0</v>
      </c>
      <c r="L3111" s="3">
        <f t="shared" si="140"/>
        <v>0</v>
      </c>
      <c r="M3111" s="3"/>
      <c r="N3111" s="3">
        <f t="shared" si="141"/>
        <v>0</v>
      </c>
      <c r="R3111" s="89"/>
      <c r="S3111" s="89">
        <f>100%-Table34[[#This Row],[PDF_initial fee]]</f>
        <v>1</v>
      </c>
      <c r="T3111" s="89"/>
      <c r="U3111" s="26"/>
    </row>
    <row r="3112" spans="1:21" hidden="1" x14ac:dyDescent="0.25">
      <c r="A3112">
        <v>592993</v>
      </c>
      <c r="B3112" t="s">
        <v>3473</v>
      </c>
      <c r="C3112" t="s">
        <v>30557</v>
      </c>
      <c r="D3112">
        <v>2</v>
      </c>
      <c r="E3112" t="s">
        <v>3473</v>
      </c>
      <c r="G3112" s="3"/>
      <c r="H3112" s="3">
        <v>0</v>
      </c>
      <c r="I3112" s="3">
        <v>0</v>
      </c>
      <c r="J3112" s="3">
        <v>0</v>
      </c>
      <c r="K3112" s="3">
        <v>0</v>
      </c>
      <c r="L3112" s="3">
        <f t="shared" si="140"/>
        <v>0</v>
      </c>
      <c r="M3112" s="3"/>
      <c r="N3112" s="3">
        <f t="shared" si="141"/>
        <v>0</v>
      </c>
      <c r="R3112" s="89"/>
      <c r="S3112" s="89">
        <f>100%-Table34[[#This Row],[PDF_initial fee]]</f>
        <v>1</v>
      </c>
      <c r="T3112" s="89"/>
      <c r="U3112" s="26"/>
    </row>
    <row r="3113" spans="1:21" hidden="1" x14ac:dyDescent="0.25">
      <c r="A3113">
        <v>593186</v>
      </c>
      <c r="B3113" t="s">
        <v>3474</v>
      </c>
      <c r="C3113" t="s">
        <v>30558</v>
      </c>
      <c r="D3113">
        <v>5</v>
      </c>
      <c r="E3113" t="s">
        <v>3474</v>
      </c>
      <c r="G3113" s="3"/>
      <c r="H3113" s="21">
        <v>0</v>
      </c>
      <c r="I3113" s="21">
        <v>0</v>
      </c>
      <c r="J3113" s="21">
        <v>0</v>
      </c>
      <c r="K3113" s="21">
        <v>0</v>
      </c>
      <c r="L3113" s="3">
        <f t="shared" si="140"/>
        <v>0</v>
      </c>
      <c r="M3113" s="3"/>
      <c r="N3113" s="3">
        <f t="shared" si="141"/>
        <v>0</v>
      </c>
      <c r="O3113" s="21"/>
      <c r="R3113" s="89"/>
      <c r="S3113" s="89">
        <f>100%-Table34[[#This Row],[PDF_initial fee]]</f>
        <v>1</v>
      </c>
      <c r="T3113" s="89"/>
      <c r="U3113" s="26"/>
    </row>
    <row r="3114" spans="1:21" hidden="1" x14ac:dyDescent="0.25">
      <c r="A3114">
        <v>593265</v>
      </c>
      <c r="B3114" t="s">
        <v>3475</v>
      </c>
      <c r="C3114" t="s">
        <v>9017</v>
      </c>
      <c r="D3114">
        <v>11</v>
      </c>
      <c r="E3114" t="s">
        <v>3475</v>
      </c>
      <c r="G3114" s="3"/>
      <c r="L3114" s="3">
        <f t="shared" si="140"/>
        <v>0</v>
      </c>
      <c r="M3114" s="3"/>
      <c r="N3114" s="3">
        <f t="shared" si="141"/>
        <v>0</v>
      </c>
      <c r="R3114" s="89"/>
      <c r="S3114" s="89">
        <f>100%-Table34[[#This Row],[PDF_initial fee]]</f>
        <v>1</v>
      </c>
      <c r="T3114" s="89"/>
      <c r="U3114" s="26"/>
    </row>
    <row r="3115" spans="1:21" hidden="1" x14ac:dyDescent="0.25">
      <c r="A3115">
        <v>593291</v>
      </c>
      <c r="B3115" t="s">
        <v>3476</v>
      </c>
      <c r="C3115" t="s">
        <v>10683</v>
      </c>
      <c r="D3115">
        <v>1</v>
      </c>
      <c r="E3115" t="s">
        <v>3476</v>
      </c>
      <c r="G3115" s="3"/>
      <c r="H3115" s="21">
        <v>0</v>
      </c>
      <c r="I3115" s="21">
        <v>0</v>
      </c>
      <c r="J3115" s="21">
        <v>0</v>
      </c>
      <c r="K3115" s="21">
        <v>0</v>
      </c>
      <c r="L3115" s="3">
        <f t="shared" si="140"/>
        <v>0</v>
      </c>
      <c r="M3115" s="3"/>
      <c r="N3115" s="3">
        <f t="shared" si="141"/>
        <v>0</v>
      </c>
      <c r="R3115" s="89"/>
      <c r="S3115" s="89">
        <f>100%-Table34[[#This Row],[PDF_initial fee]]</f>
        <v>1</v>
      </c>
      <c r="T3115" s="89"/>
      <c r="U3115" s="26"/>
    </row>
    <row r="3116" spans="1:21" hidden="1" x14ac:dyDescent="0.25">
      <c r="A3116">
        <v>593299</v>
      </c>
      <c r="B3116" t="s">
        <v>3477</v>
      </c>
      <c r="C3116" t="s">
        <v>30559</v>
      </c>
      <c r="D3116">
        <v>3</v>
      </c>
      <c r="E3116" t="s">
        <v>3477</v>
      </c>
      <c r="G3116" s="3"/>
      <c r="H3116" s="3"/>
      <c r="I3116" s="3"/>
      <c r="J3116" s="3"/>
      <c r="K3116" s="3"/>
      <c r="L3116" s="3">
        <f t="shared" si="140"/>
        <v>0</v>
      </c>
      <c r="M3116" s="3"/>
      <c r="N3116" s="3">
        <f t="shared" si="141"/>
        <v>0</v>
      </c>
      <c r="R3116" s="89"/>
      <c r="S3116" s="89">
        <f>100%-Table34[[#This Row],[PDF_initial fee]]</f>
        <v>1</v>
      </c>
      <c r="T3116" s="89"/>
      <c r="U3116" s="26"/>
    </row>
    <row r="3117" spans="1:21" hidden="1" x14ac:dyDescent="0.25">
      <c r="A3117">
        <v>593301</v>
      </c>
      <c r="B3117" t="s">
        <v>3478</v>
      </c>
      <c r="C3117" t="s">
        <v>10035</v>
      </c>
      <c r="D3117">
        <v>3</v>
      </c>
      <c r="E3117" t="s">
        <v>3478</v>
      </c>
      <c r="G3117" s="3"/>
      <c r="L3117" s="3">
        <f t="shared" si="140"/>
        <v>0</v>
      </c>
      <c r="M3117" s="3"/>
      <c r="N3117" s="3">
        <f t="shared" si="141"/>
        <v>0</v>
      </c>
      <c r="R3117" s="89"/>
      <c r="S3117" s="89">
        <f>100%-Table34[[#This Row],[PDF_initial fee]]</f>
        <v>1</v>
      </c>
      <c r="T3117" s="89"/>
      <c r="U3117" s="26"/>
    </row>
    <row r="3118" spans="1:21" hidden="1" x14ac:dyDescent="0.25">
      <c r="A3118">
        <v>593380</v>
      </c>
      <c r="B3118" t="s">
        <v>3479</v>
      </c>
      <c r="C3118" t="s">
        <v>30560</v>
      </c>
      <c r="D3118">
        <v>26</v>
      </c>
      <c r="E3118" t="s">
        <v>3479</v>
      </c>
      <c r="G3118" s="3"/>
      <c r="H3118" s="21">
        <v>0</v>
      </c>
      <c r="I3118" s="21">
        <v>0</v>
      </c>
      <c r="J3118" s="21">
        <v>0</v>
      </c>
      <c r="K3118" s="21">
        <v>0</v>
      </c>
      <c r="L3118" s="3">
        <f t="shared" si="140"/>
        <v>0</v>
      </c>
      <c r="M3118" s="3"/>
      <c r="N3118" s="3">
        <f t="shared" si="141"/>
        <v>0</v>
      </c>
      <c r="O3118" s="21"/>
      <c r="R3118" s="89"/>
      <c r="S3118" s="89">
        <f>100%-Table34[[#This Row],[PDF_initial fee]]</f>
        <v>1</v>
      </c>
      <c r="T3118" s="89"/>
      <c r="U3118" s="26"/>
    </row>
    <row r="3119" spans="1:21" hidden="1" x14ac:dyDescent="0.25">
      <c r="A3119">
        <v>593401</v>
      </c>
      <c r="B3119" t="s">
        <v>3480</v>
      </c>
      <c r="C3119" t="s">
        <v>6958</v>
      </c>
      <c r="D3119">
        <v>1</v>
      </c>
      <c r="E3119" t="s">
        <v>3480</v>
      </c>
      <c r="F3119" t="s">
        <v>6958</v>
      </c>
      <c r="G3119" s="3"/>
      <c r="L3119" s="3">
        <f t="shared" si="140"/>
        <v>0</v>
      </c>
      <c r="M3119" s="3"/>
      <c r="N3119" s="3">
        <f t="shared" si="141"/>
        <v>0</v>
      </c>
      <c r="R3119" s="89"/>
      <c r="S3119" s="89">
        <f>100%-Table34[[#This Row],[PDF_initial fee]]</f>
        <v>1</v>
      </c>
      <c r="T3119" s="89"/>
      <c r="U3119" s="26"/>
    </row>
    <row r="3120" spans="1:21" hidden="1" x14ac:dyDescent="0.25">
      <c r="A3120">
        <v>593433</v>
      </c>
      <c r="B3120" t="s">
        <v>3481</v>
      </c>
      <c r="C3120" t="s">
        <v>8210</v>
      </c>
      <c r="D3120">
        <v>6</v>
      </c>
      <c r="E3120" t="s">
        <v>3481</v>
      </c>
      <c r="G3120" s="3"/>
      <c r="H3120" s="21">
        <v>0</v>
      </c>
      <c r="I3120" s="21">
        <v>0</v>
      </c>
      <c r="J3120" s="21">
        <v>0</v>
      </c>
      <c r="K3120" s="21">
        <v>0</v>
      </c>
      <c r="L3120" s="3">
        <f t="shared" si="140"/>
        <v>0</v>
      </c>
      <c r="M3120" s="3"/>
      <c r="N3120" s="3">
        <f t="shared" si="141"/>
        <v>0</v>
      </c>
      <c r="R3120" s="89"/>
      <c r="S3120" s="89">
        <f>100%-Table34[[#This Row],[PDF_initial fee]]</f>
        <v>1</v>
      </c>
      <c r="T3120" s="89"/>
      <c r="U3120" s="26"/>
    </row>
    <row r="3121" spans="1:21" hidden="1" x14ac:dyDescent="0.25">
      <c r="A3121">
        <v>593550</v>
      </c>
      <c r="B3121" t="s">
        <v>3483</v>
      </c>
      <c r="C3121" t="s">
        <v>8226</v>
      </c>
      <c r="D3121">
        <v>1</v>
      </c>
      <c r="E3121" t="s">
        <v>3483</v>
      </c>
      <c r="G3121" s="3"/>
      <c r="H3121" s="21">
        <v>0</v>
      </c>
      <c r="I3121" s="21">
        <v>0</v>
      </c>
      <c r="J3121" s="21">
        <v>0</v>
      </c>
      <c r="K3121" s="21">
        <v>0</v>
      </c>
      <c r="L3121" s="3">
        <f t="shared" si="140"/>
        <v>0</v>
      </c>
      <c r="M3121" s="3"/>
      <c r="N3121" s="3">
        <f t="shared" si="141"/>
        <v>0</v>
      </c>
      <c r="R3121" s="89"/>
      <c r="S3121" s="89">
        <f>100%-Table34[[#This Row],[PDF_initial fee]]</f>
        <v>1</v>
      </c>
      <c r="T3121" s="89"/>
      <c r="U3121" s="26"/>
    </row>
    <row r="3122" spans="1:21" hidden="1" x14ac:dyDescent="0.25">
      <c r="A3122">
        <v>593688</v>
      </c>
      <c r="B3122" t="s">
        <v>3484</v>
      </c>
      <c r="C3122" t="s">
        <v>30561</v>
      </c>
      <c r="D3122">
        <v>2</v>
      </c>
      <c r="E3122" t="s">
        <v>3484</v>
      </c>
      <c r="G3122" s="3"/>
      <c r="L3122" s="3">
        <f t="shared" si="140"/>
        <v>0</v>
      </c>
      <c r="M3122" s="3"/>
      <c r="N3122" s="3">
        <f t="shared" si="141"/>
        <v>0</v>
      </c>
      <c r="R3122" s="89"/>
      <c r="S3122" s="89">
        <f>100%-Table34[[#This Row],[PDF_initial fee]]</f>
        <v>1</v>
      </c>
      <c r="T3122" s="89"/>
      <c r="U3122" s="26"/>
    </row>
    <row r="3123" spans="1:21" hidden="1" x14ac:dyDescent="0.25">
      <c r="A3123">
        <v>593699</v>
      </c>
      <c r="B3123" t="s">
        <v>3485</v>
      </c>
      <c r="C3123" t="s">
        <v>10882</v>
      </c>
      <c r="D3123">
        <v>1</v>
      </c>
      <c r="E3123" t="s">
        <v>3485</v>
      </c>
      <c r="G3123" s="3"/>
      <c r="H3123" s="21">
        <v>0</v>
      </c>
      <c r="I3123" s="21">
        <v>0</v>
      </c>
      <c r="J3123" s="21">
        <v>0</v>
      </c>
      <c r="K3123" s="21">
        <v>0</v>
      </c>
      <c r="L3123" s="3">
        <f t="shared" si="140"/>
        <v>0</v>
      </c>
      <c r="M3123" s="3"/>
      <c r="N3123" s="3">
        <f t="shared" si="141"/>
        <v>0</v>
      </c>
      <c r="R3123" s="89"/>
      <c r="S3123" s="89">
        <f>100%-Table34[[#This Row],[PDF_initial fee]]</f>
        <v>1</v>
      </c>
      <c r="T3123" s="89"/>
      <c r="U3123" s="26"/>
    </row>
    <row r="3124" spans="1:21" hidden="1" x14ac:dyDescent="0.25">
      <c r="A3124">
        <v>593725</v>
      </c>
      <c r="B3124" t="s">
        <v>3486</v>
      </c>
      <c r="C3124" t="s">
        <v>30562</v>
      </c>
      <c r="D3124">
        <v>2</v>
      </c>
      <c r="E3124" t="s">
        <v>3486</v>
      </c>
      <c r="G3124" s="3"/>
      <c r="H3124" s="3">
        <v>0</v>
      </c>
      <c r="I3124" s="3">
        <v>0</v>
      </c>
      <c r="J3124" s="3">
        <v>0</v>
      </c>
      <c r="K3124" s="3">
        <v>0</v>
      </c>
      <c r="L3124" s="3">
        <f t="shared" si="140"/>
        <v>0</v>
      </c>
      <c r="M3124" s="3"/>
      <c r="N3124" s="3">
        <f t="shared" si="141"/>
        <v>0</v>
      </c>
      <c r="R3124" s="89"/>
      <c r="S3124" s="89">
        <f>100%-Table34[[#This Row],[PDF_initial fee]]</f>
        <v>1</v>
      </c>
      <c r="T3124" s="89"/>
      <c r="U3124" s="26"/>
    </row>
    <row r="3125" spans="1:21" hidden="1" x14ac:dyDescent="0.25">
      <c r="A3125">
        <v>593740</v>
      </c>
      <c r="B3125" t="s">
        <v>3487</v>
      </c>
      <c r="C3125" t="s">
        <v>9288</v>
      </c>
      <c r="D3125">
        <v>2</v>
      </c>
      <c r="E3125" t="s">
        <v>3487</v>
      </c>
      <c r="G3125" s="3"/>
      <c r="H3125" s="21">
        <v>0</v>
      </c>
      <c r="I3125" s="21">
        <v>0</v>
      </c>
      <c r="J3125" s="21">
        <v>0</v>
      </c>
      <c r="K3125" s="21">
        <v>0</v>
      </c>
      <c r="L3125" s="3">
        <f t="shared" si="140"/>
        <v>0</v>
      </c>
      <c r="M3125" s="3"/>
      <c r="N3125" s="3">
        <f t="shared" si="141"/>
        <v>0</v>
      </c>
      <c r="R3125" s="89"/>
      <c r="S3125" s="89">
        <f>100%-Table34[[#This Row],[PDF_initial fee]]</f>
        <v>1</v>
      </c>
      <c r="T3125" s="89"/>
      <c r="U3125" s="26"/>
    </row>
    <row r="3126" spans="1:21" hidden="1" x14ac:dyDescent="0.25">
      <c r="A3126">
        <v>593747</v>
      </c>
      <c r="B3126" t="s">
        <v>3488</v>
      </c>
      <c r="C3126" t="s">
        <v>6958</v>
      </c>
      <c r="D3126">
        <v>2</v>
      </c>
      <c r="E3126" t="s">
        <v>3488</v>
      </c>
      <c r="F3126" t="s">
        <v>6958</v>
      </c>
      <c r="G3126" s="3"/>
      <c r="H3126" s="21">
        <v>0</v>
      </c>
      <c r="I3126" s="21">
        <v>0</v>
      </c>
      <c r="J3126" s="21">
        <v>0</v>
      </c>
      <c r="K3126" s="21">
        <v>0</v>
      </c>
      <c r="L3126" s="3">
        <f t="shared" si="140"/>
        <v>0</v>
      </c>
      <c r="M3126" s="3"/>
      <c r="N3126" s="3">
        <f t="shared" si="141"/>
        <v>0</v>
      </c>
      <c r="R3126" s="89"/>
      <c r="S3126" s="89">
        <f>100%-Table34[[#This Row],[PDF_initial fee]]</f>
        <v>1</v>
      </c>
      <c r="T3126" s="89"/>
      <c r="U3126" s="26"/>
    </row>
    <row r="3127" spans="1:21" hidden="1" x14ac:dyDescent="0.25">
      <c r="A3127">
        <v>593766</v>
      </c>
      <c r="B3127" t="s">
        <v>3489</v>
      </c>
      <c r="C3127" t="s">
        <v>11562</v>
      </c>
      <c r="D3127">
        <v>1</v>
      </c>
      <c r="E3127" t="s">
        <v>3489</v>
      </c>
      <c r="G3127" s="3"/>
      <c r="H3127" s="21">
        <v>0</v>
      </c>
      <c r="I3127" s="21">
        <v>0</v>
      </c>
      <c r="J3127" s="21">
        <v>0</v>
      </c>
      <c r="K3127" s="21">
        <v>0</v>
      </c>
      <c r="L3127" s="3">
        <f t="shared" si="140"/>
        <v>0</v>
      </c>
      <c r="M3127" s="3"/>
      <c r="N3127" s="3">
        <f t="shared" si="141"/>
        <v>0</v>
      </c>
      <c r="R3127" s="89"/>
      <c r="S3127" s="89">
        <f>100%-Table34[[#This Row],[PDF_initial fee]]</f>
        <v>1</v>
      </c>
      <c r="T3127" s="89"/>
      <c r="U3127" s="26"/>
    </row>
    <row r="3128" spans="1:21" hidden="1" x14ac:dyDescent="0.25">
      <c r="A3128">
        <v>593803</v>
      </c>
      <c r="B3128" t="s">
        <v>3491</v>
      </c>
      <c r="C3128" t="s">
        <v>12606</v>
      </c>
      <c r="D3128">
        <v>3</v>
      </c>
      <c r="E3128" t="s">
        <v>3491</v>
      </c>
      <c r="G3128" s="3"/>
      <c r="H3128" s="21">
        <v>0</v>
      </c>
      <c r="I3128" s="21">
        <v>0</v>
      </c>
      <c r="J3128" s="21">
        <v>0</v>
      </c>
      <c r="K3128" s="21">
        <v>0</v>
      </c>
      <c r="L3128" s="3">
        <f t="shared" si="140"/>
        <v>0</v>
      </c>
      <c r="M3128" s="3"/>
      <c r="N3128" s="3">
        <f t="shared" si="141"/>
        <v>0</v>
      </c>
      <c r="R3128" s="89"/>
      <c r="S3128" s="89">
        <f>100%-Table34[[#This Row],[PDF_initial fee]]</f>
        <v>1</v>
      </c>
      <c r="T3128" s="89"/>
      <c r="U3128" s="26"/>
    </row>
    <row r="3129" spans="1:21" hidden="1" x14ac:dyDescent="0.25">
      <c r="A3129">
        <v>593858</v>
      </c>
      <c r="B3129" t="s">
        <v>3492</v>
      </c>
      <c r="C3129" t="s">
        <v>6958</v>
      </c>
      <c r="D3129">
        <v>3</v>
      </c>
      <c r="E3129" t="s">
        <v>3492</v>
      </c>
      <c r="F3129" t="s">
        <v>6958</v>
      </c>
      <c r="G3129" s="3"/>
      <c r="H3129" s="21">
        <v>0</v>
      </c>
      <c r="I3129" s="21">
        <v>0</v>
      </c>
      <c r="J3129" s="21">
        <v>0</v>
      </c>
      <c r="K3129" s="21">
        <v>0</v>
      </c>
      <c r="L3129" s="3">
        <f t="shared" si="140"/>
        <v>0</v>
      </c>
      <c r="M3129" s="3"/>
      <c r="N3129" s="3">
        <f t="shared" si="141"/>
        <v>0</v>
      </c>
      <c r="R3129" s="89"/>
      <c r="S3129" s="89">
        <f>100%-Table34[[#This Row],[PDF_initial fee]]</f>
        <v>1</v>
      </c>
      <c r="T3129" s="89"/>
      <c r="U3129" s="26"/>
    </row>
    <row r="3130" spans="1:21" hidden="1" x14ac:dyDescent="0.25">
      <c r="A3130">
        <v>594003</v>
      </c>
      <c r="B3130" t="s">
        <v>3493</v>
      </c>
      <c r="C3130" t="s">
        <v>7476</v>
      </c>
      <c r="D3130">
        <v>3</v>
      </c>
      <c r="E3130" t="s">
        <v>3493</v>
      </c>
      <c r="G3130" s="3"/>
      <c r="L3130" s="3">
        <f t="shared" si="140"/>
        <v>0</v>
      </c>
      <c r="M3130" s="3"/>
      <c r="N3130" s="3">
        <f t="shared" si="141"/>
        <v>0</v>
      </c>
      <c r="R3130" s="89"/>
      <c r="S3130" s="89">
        <f>100%-Table34[[#This Row],[PDF_initial fee]]</f>
        <v>1</v>
      </c>
      <c r="T3130" s="89"/>
      <c r="U3130" s="26"/>
    </row>
    <row r="3131" spans="1:21" hidden="1" x14ac:dyDescent="0.25">
      <c r="A3131">
        <v>594155</v>
      </c>
      <c r="B3131" t="s">
        <v>3494</v>
      </c>
      <c r="C3131" t="s">
        <v>29620</v>
      </c>
      <c r="D3131">
        <v>47</v>
      </c>
      <c r="E3131" t="s">
        <v>3494</v>
      </c>
      <c r="G3131" s="3"/>
      <c r="H3131" s="21">
        <v>0</v>
      </c>
      <c r="I3131" s="21">
        <v>0</v>
      </c>
      <c r="J3131" s="21">
        <v>0</v>
      </c>
      <c r="K3131" s="21">
        <v>0</v>
      </c>
      <c r="L3131" s="3">
        <f t="shared" si="140"/>
        <v>0</v>
      </c>
      <c r="M3131" s="3"/>
      <c r="N3131" s="3">
        <f t="shared" si="141"/>
        <v>0</v>
      </c>
      <c r="O3131" s="21"/>
      <c r="R3131" s="89"/>
      <c r="S3131" s="89">
        <f>100%-Table34[[#This Row],[PDF_initial fee]]</f>
        <v>1</v>
      </c>
      <c r="T3131" s="89"/>
      <c r="U3131" s="26"/>
    </row>
    <row r="3132" spans="1:21" hidden="1" x14ac:dyDescent="0.25">
      <c r="A3132">
        <v>594431</v>
      </c>
      <c r="B3132" t="s">
        <v>3496</v>
      </c>
      <c r="C3132" t="s">
        <v>6958</v>
      </c>
      <c r="D3132">
        <v>4</v>
      </c>
      <c r="E3132" t="s">
        <v>3496</v>
      </c>
      <c r="F3132" t="s">
        <v>6958</v>
      </c>
      <c r="G3132" s="3"/>
      <c r="H3132" s="21">
        <v>0</v>
      </c>
      <c r="I3132" s="21">
        <v>0</v>
      </c>
      <c r="J3132" s="21">
        <v>0</v>
      </c>
      <c r="K3132" s="21">
        <v>0</v>
      </c>
      <c r="L3132" s="3">
        <f t="shared" si="140"/>
        <v>0</v>
      </c>
      <c r="M3132" s="3"/>
      <c r="N3132" s="3">
        <f t="shared" si="141"/>
        <v>0</v>
      </c>
      <c r="R3132" s="89"/>
      <c r="S3132" s="89">
        <f>100%-Table34[[#This Row],[PDF_initial fee]]</f>
        <v>1</v>
      </c>
      <c r="T3132" s="89"/>
      <c r="U3132" s="26"/>
    </row>
    <row r="3133" spans="1:21" hidden="1" x14ac:dyDescent="0.25">
      <c r="A3133">
        <v>594440</v>
      </c>
      <c r="B3133" t="s">
        <v>3497</v>
      </c>
      <c r="C3133" t="s">
        <v>12349</v>
      </c>
      <c r="D3133">
        <v>2</v>
      </c>
      <c r="E3133" t="s">
        <v>3497</v>
      </c>
      <c r="G3133" s="3"/>
      <c r="H3133" s="21">
        <v>0</v>
      </c>
      <c r="I3133" s="21">
        <v>0</v>
      </c>
      <c r="J3133" s="21">
        <v>0</v>
      </c>
      <c r="K3133" s="21">
        <v>0</v>
      </c>
      <c r="L3133" s="3">
        <f t="shared" si="140"/>
        <v>0</v>
      </c>
      <c r="M3133" s="3"/>
      <c r="N3133" s="3">
        <f t="shared" si="141"/>
        <v>0</v>
      </c>
      <c r="R3133" s="89"/>
      <c r="S3133" s="89">
        <f>100%-Table34[[#This Row],[PDF_initial fee]]</f>
        <v>1</v>
      </c>
      <c r="T3133" s="89"/>
      <c r="U3133" s="26"/>
    </row>
    <row r="3134" spans="1:21" hidden="1" x14ac:dyDescent="0.25">
      <c r="A3134">
        <v>595005</v>
      </c>
      <c r="B3134" t="s">
        <v>3498</v>
      </c>
      <c r="C3134" t="s">
        <v>6958</v>
      </c>
      <c r="D3134">
        <v>2</v>
      </c>
      <c r="E3134" t="s">
        <v>3498</v>
      </c>
      <c r="F3134" t="s">
        <v>6958</v>
      </c>
      <c r="G3134" s="3"/>
      <c r="H3134" s="21">
        <v>0</v>
      </c>
      <c r="I3134" s="21">
        <v>0</v>
      </c>
      <c r="J3134" s="21">
        <v>0</v>
      </c>
      <c r="K3134" s="21">
        <v>0</v>
      </c>
      <c r="L3134" s="3">
        <f t="shared" si="140"/>
        <v>0</v>
      </c>
      <c r="M3134" s="3"/>
      <c r="N3134" s="3">
        <f t="shared" si="141"/>
        <v>0</v>
      </c>
      <c r="R3134" s="89"/>
      <c r="S3134" s="89">
        <f>100%-Table34[[#This Row],[PDF_initial fee]]</f>
        <v>1</v>
      </c>
      <c r="T3134" s="89"/>
      <c r="U3134" s="26"/>
    </row>
    <row r="3135" spans="1:21" hidden="1" x14ac:dyDescent="0.25">
      <c r="A3135">
        <v>595509</v>
      </c>
      <c r="B3135" t="s">
        <v>3499</v>
      </c>
      <c r="C3135" t="s">
        <v>6958</v>
      </c>
      <c r="D3135">
        <v>1</v>
      </c>
      <c r="E3135" t="s">
        <v>3499</v>
      </c>
      <c r="F3135" t="s">
        <v>6958</v>
      </c>
      <c r="G3135" s="3"/>
      <c r="H3135" s="21">
        <v>0</v>
      </c>
      <c r="I3135" s="21">
        <v>0</v>
      </c>
      <c r="J3135" s="21">
        <v>0</v>
      </c>
      <c r="K3135" s="21">
        <v>0</v>
      </c>
      <c r="L3135" s="3">
        <f t="shared" si="140"/>
        <v>0</v>
      </c>
      <c r="M3135" s="3"/>
      <c r="N3135" s="3">
        <f t="shared" si="141"/>
        <v>0</v>
      </c>
      <c r="R3135" s="89"/>
      <c r="S3135" s="89">
        <f>100%-Table34[[#This Row],[PDF_initial fee]]</f>
        <v>1</v>
      </c>
      <c r="T3135" s="89"/>
      <c r="U3135" s="26"/>
    </row>
    <row r="3136" spans="1:21" hidden="1" x14ac:dyDescent="0.25">
      <c r="A3136">
        <v>595861</v>
      </c>
      <c r="B3136" t="s">
        <v>3500</v>
      </c>
      <c r="C3136" t="s">
        <v>6958</v>
      </c>
      <c r="D3136">
        <v>0</v>
      </c>
      <c r="E3136" t="s">
        <v>3500</v>
      </c>
      <c r="F3136" t="s">
        <v>6958</v>
      </c>
      <c r="G3136" s="3"/>
      <c r="H3136" s="21">
        <v>0</v>
      </c>
      <c r="I3136" s="21">
        <v>0</v>
      </c>
      <c r="J3136" s="21">
        <v>0</v>
      </c>
      <c r="K3136" s="21">
        <v>0</v>
      </c>
      <c r="L3136" s="3">
        <f t="shared" si="140"/>
        <v>0</v>
      </c>
      <c r="M3136" s="3"/>
      <c r="N3136" s="3">
        <f t="shared" si="141"/>
        <v>0</v>
      </c>
      <c r="O3136" s="21"/>
      <c r="R3136" s="89"/>
      <c r="S3136" s="89">
        <f>100%-Table34[[#This Row],[PDF_initial fee]]</f>
        <v>1</v>
      </c>
      <c r="T3136" s="89"/>
      <c r="U3136" s="26"/>
    </row>
    <row r="3137" spans="1:21" hidden="1" x14ac:dyDescent="0.25">
      <c r="A3137">
        <v>596052</v>
      </c>
      <c r="B3137" t="s">
        <v>3502</v>
      </c>
      <c r="C3137" t="s">
        <v>30563</v>
      </c>
      <c r="D3137">
        <v>1</v>
      </c>
      <c r="E3137" t="s">
        <v>3502</v>
      </c>
      <c r="G3137" s="3"/>
      <c r="H3137" s="3">
        <v>0</v>
      </c>
      <c r="I3137" s="3">
        <v>0</v>
      </c>
      <c r="J3137" s="3">
        <v>0</v>
      </c>
      <c r="K3137" s="3">
        <v>0</v>
      </c>
      <c r="L3137" s="3">
        <f t="shared" si="140"/>
        <v>0</v>
      </c>
      <c r="M3137" s="3"/>
      <c r="N3137" s="3">
        <f t="shared" si="141"/>
        <v>0</v>
      </c>
      <c r="R3137" s="89"/>
      <c r="S3137" s="89">
        <f>100%-Table34[[#This Row],[PDF_initial fee]]</f>
        <v>1</v>
      </c>
      <c r="T3137" s="89"/>
      <c r="U3137" s="26"/>
    </row>
    <row r="3138" spans="1:21" hidden="1" x14ac:dyDescent="0.25">
      <c r="A3138">
        <v>596063</v>
      </c>
      <c r="B3138" t="s">
        <v>3503</v>
      </c>
      <c r="C3138" t="s">
        <v>9136</v>
      </c>
      <c r="D3138">
        <v>1</v>
      </c>
      <c r="E3138" t="s">
        <v>3503</v>
      </c>
      <c r="G3138" s="3"/>
      <c r="H3138" s="21">
        <v>0</v>
      </c>
      <c r="I3138" s="21">
        <v>0</v>
      </c>
      <c r="J3138" s="21">
        <v>0</v>
      </c>
      <c r="K3138" s="21">
        <v>0</v>
      </c>
      <c r="L3138" s="3">
        <f t="shared" si="140"/>
        <v>0</v>
      </c>
      <c r="M3138" s="3"/>
      <c r="N3138" s="3">
        <f t="shared" si="141"/>
        <v>0</v>
      </c>
      <c r="R3138" s="89"/>
      <c r="S3138" s="89">
        <f>100%-Table34[[#This Row],[PDF_initial fee]]</f>
        <v>1</v>
      </c>
      <c r="T3138" s="89"/>
      <c r="U3138" s="26"/>
    </row>
    <row r="3139" spans="1:21" hidden="1" x14ac:dyDescent="0.25">
      <c r="A3139">
        <v>596081</v>
      </c>
      <c r="B3139" t="s">
        <v>3504</v>
      </c>
      <c r="C3139" t="s">
        <v>11347</v>
      </c>
      <c r="D3139">
        <v>0</v>
      </c>
      <c r="E3139" t="s">
        <v>3504</v>
      </c>
      <c r="F3139" t="s">
        <v>29136</v>
      </c>
      <c r="G3139" s="3"/>
      <c r="H3139" s="21">
        <v>0</v>
      </c>
      <c r="I3139" s="21">
        <v>0</v>
      </c>
      <c r="J3139" s="21">
        <v>0</v>
      </c>
      <c r="K3139" s="21">
        <v>0</v>
      </c>
      <c r="L3139" s="3">
        <f t="shared" si="140"/>
        <v>0</v>
      </c>
      <c r="M3139" s="3"/>
      <c r="N3139" s="3">
        <f t="shared" si="141"/>
        <v>0</v>
      </c>
      <c r="R3139" s="89"/>
      <c r="S3139" s="89">
        <f>100%-Table34[[#This Row],[PDF_initial fee]]</f>
        <v>1</v>
      </c>
      <c r="T3139" s="89"/>
      <c r="U3139" s="26"/>
    </row>
    <row r="3140" spans="1:21" hidden="1" x14ac:dyDescent="0.25">
      <c r="A3140">
        <v>596084</v>
      </c>
      <c r="B3140" t="s">
        <v>3505</v>
      </c>
      <c r="C3140" t="s">
        <v>30564</v>
      </c>
      <c r="D3140">
        <v>4</v>
      </c>
      <c r="E3140" t="s">
        <v>3505</v>
      </c>
      <c r="G3140" s="3"/>
      <c r="H3140" s="3">
        <v>0</v>
      </c>
      <c r="I3140" s="3">
        <v>0</v>
      </c>
      <c r="J3140" s="3">
        <v>0</v>
      </c>
      <c r="K3140" s="3">
        <v>0</v>
      </c>
      <c r="L3140" s="3">
        <f t="shared" si="140"/>
        <v>0</v>
      </c>
      <c r="M3140" s="3"/>
      <c r="N3140" s="3">
        <f t="shared" si="141"/>
        <v>0</v>
      </c>
      <c r="R3140" s="89"/>
      <c r="S3140" s="89">
        <f>100%-Table34[[#This Row],[PDF_initial fee]]</f>
        <v>1</v>
      </c>
      <c r="T3140" s="89"/>
      <c r="U3140" s="26"/>
    </row>
    <row r="3141" spans="1:21" hidden="1" x14ac:dyDescent="0.25">
      <c r="A3141">
        <v>596090</v>
      </c>
      <c r="B3141" t="s">
        <v>3506</v>
      </c>
      <c r="C3141" t="s">
        <v>10729</v>
      </c>
      <c r="D3141">
        <v>3</v>
      </c>
      <c r="E3141" t="s">
        <v>3506</v>
      </c>
      <c r="G3141" s="3"/>
      <c r="H3141" s="21">
        <v>0</v>
      </c>
      <c r="I3141" s="21">
        <v>0</v>
      </c>
      <c r="J3141" s="21">
        <v>0</v>
      </c>
      <c r="K3141" s="21">
        <v>0</v>
      </c>
      <c r="L3141" s="3">
        <f t="shared" si="140"/>
        <v>0</v>
      </c>
      <c r="M3141" s="3"/>
      <c r="N3141" s="3">
        <f t="shared" si="141"/>
        <v>0</v>
      </c>
      <c r="R3141" s="89"/>
      <c r="S3141" s="89">
        <f>100%-Table34[[#This Row],[PDF_initial fee]]</f>
        <v>1</v>
      </c>
      <c r="T3141" s="89"/>
      <c r="U3141" s="26"/>
    </row>
    <row r="3142" spans="1:21" hidden="1" x14ac:dyDescent="0.25">
      <c r="A3142">
        <v>596100</v>
      </c>
      <c r="B3142" t="s">
        <v>3507</v>
      </c>
      <c r="C3142" t="s">
        <v>6958</v>
      </c>
      <c r="D3142">
        <v>1</v>
      </c>
      <c r="E3142" t="s">
        <v>3507</v>
      </c>
      <c r="F3142" t="s">
        <v>6958</v>
      </c>
      <c r="G3142" s="3"/>
      <c r="H3142" s="21">
        <v>0</v>
      </c>
      <c r="I3142" s="21">
        <v>0</v>
      </c>
      <c r="J3142" s="21">
        <v>0</v>
      </c>
      <c r="K3142" s="21">
        <v>0</v>
      </c>
      <c r="L3142" s="3">
        <f t="shared" si="140"/>
        <v>0</v>
      </c>
      <c r="M3142" s="3"/>
      <c r="N3142" s="3">
        <f t="shared" si="141"/>
        <v>0</v>
      </c>
      <c r="R3142" s="89"/>
      <c r="S3142" s="89">
        <f>100%-Table34[[#This Row],[PDF_initial fee]]</f>
        <v>1</v>
      </c>
      <c r="T3142" s="89"/>
      <c r="U3142" s="26"/>
    </row>
    <row r="3143" spans="1:21" hidden="1" x14ac:dyDescent="0.25">
      <c r="A3143">
        <v>596144</v>
      </c>
      <c r="B3143" t="s">
        <v>3508</v>
      </c>
      <c r="C3143" t="s">
        <v>8234</v>
      </c>
      <c r="D3143">
        <v>2</v>
      </c>
      <c r="E3143" t="s">
        <v>3508</v>
      </c>
      <c r="G3143" s="3"/>
      <c r="H3143" s="21">
        <v>0</v>
      </c>
      <c r="I3143" s="21">
        <v>0</v>
      </c>
      <c r="J3143" s="21">
        <v>0</v>
      </c>
      <c r="K3143" s="21">
        <v>0</v>
      </c>
      <c r="L3143" s="3">
        <f t="shared" si="140"/>
        <v>0</v>
      </c>
      <c r="M3143" s="3"/>
      <c r="N3143" s="3">
        <f t="shared" si="141"/>
        <v>0</v>
      </c>
      <c r="R3143" s="89"/>
      <c r="S3143" s="89">
        <f>100%-Table34[[#This Row],[PDF_initial fee]]</f>
        <v>1</v>
      </c>
      <c r="T3143" s="89"/>
      <c r="U3143" s="26"/>
    </row>
    <row r="3144" spans="1:21" hidden="1" x14ac:dyDescent="0.25">
      <c r="A3144">
        <v>596277</v>
      </c>
      <c r="B3144" t="s">
        <v>3509</v>
      </c>
      <c r="C3144" t="s">
        <v>6958</v>
      </c>
      <c r="D3144">
        <v>2</v>
      </c>
      <c r="E3144" t="s">
        <v>3509</v>
      </c>
      <c r="F3144" t="s">
        <v>6958</v>
      </c>
      <c r="G3144" s="3"/>
      <c r="H3144" s="21">
        <v>0</v>
      </c>
      <c r="I3144" s="21">
        <v>0</v>
      </c>
      <c r="J3144" s="21">
        <v>0</v>
      </c>
      <c r="K3144" s="21">
        <v>0</v>
      </c>
      <c r="L3144" s="3">
        <f t="shared" si="140"/>
        <v>0</v>
      </c>
      <c r="M3144" s="3"/>
      <c r="N3144" s="3">
        <f t="shared" si="141"/>
        <v>0</v>
      </c>
      <c r="R3144" s="89"/>
      <c r="S3144" s="89">
        <f>100%-Table34[[#This Row],[PDF_initial fee]]</f>
        <v>1</v>
      </c>
      <c r="T3144" s="89"/>
      <c r="U3144" s="26"/>
    </row>
    <row r="3145" spans="1:21" hidden="1" x14ac:dyDescent="0.25">
      <c r="A3145">
        <v>596398</v>
      </c>
      <c r="B3145" t="s">
        <v>3510</v>
      </c>
      <c r="C3145" s="1" t="s">
        <v>30565</v>
      </c>
      <c r="D3145">
        <v>6</v>
      </c>
      <c r="E3145" t="s">
        <v>3510</v>
      </c>
      <c r="G3145" s="3"/>
      <c r="H3145" s="3">
        <v>0</v>
      </c>
      <c r="I3145" s="3">
        <v>0</v>
      </c>
      <c r="J3145" s="3">
        <v>0</v>
      </c>
      <c r="K3145" s="3">
        <v>0</v>
      </c>
      <c r="L3145" s="3">
        <f t="shared" si="140"/>
        <v>0</v>
      </c>
      <c r="M3145" s="3"/>
      <c r="N3145" s="3">
        <f t="shared" si="141"/>
        <v>0</v>
      </c>
      <c r="R3145" s="89"/>
      <c r="S3145" s="89">
        <f>100%-Table34[[#This Row],[PDF_initial fee]]</f>
        <v>1</v>
      </c>
      <c r="T3145" s="89"/>
      <c r="U3145" s="26"/>
    </row>
    <row r="3146" spans="1:21" hidden="1" x14ac:dyDescent="0.25">
      <c r="A3146">
        <v>596463</v>
      </c>
      <c r="B3146" t="s">
        <v>3511</v>
      </c>
      <c r="C3146" t="s">
        <v>30566</v>
      </c>
      <c r="D3146">
        <v>1</v>
      </c>
      <c r="E3146" t="s">
        <v>3511</v>
      </c>
      <c r="G3146" s="3"/>
      <c r="H3146" s="21">
        <v>0</v>
      </c>
      <c r="I3146" s="3">
        <v>0</v>
      </c>
      <c r="J3146" s="3">
        <v>0</v>
      </c>
      <c r="K3146">
        <v>0</v>
      </c>
      <c r="L3146" s="3">
        <f t="shared" si="140"/>
        <v>0</v>
      </c>
      <c r="M3146" s="3"/>
      <c r="N3146" s="3">
        <f t="shared" si="141"/>
        <v>0</v>
      </c>
      <c r="R3146" s="89"/>
      <c r="S3146" s="89">
        <f>100%-Table34[[#This Row],[PDF_initial fee]]</f>
        <v>1</v>
      </c>
      <c r="T3146" s="89"/>
      <c r="U3146" s="26"/>
    </row>
    <row r="3147" spans="1:21" hidden="1" x14ac:dyDescent="0.25">
      <c r="A3147">
        <v>596493</v>
      </c>
      <c r="B3147" t="s">
        <v>3512</v>
      </c>
      <c r="C3147" t="s">
        <v>6958</v>
      </c>
      <c r="D3147">
        <v>1</v>
      </c>
      <c r="E3147" t="s">
        <v>3512</v>
      </c>
      <c r="F3147" t="s">
        <v>6958</v>
      </c>
      <c r="G3147" s="3"/>
      <c r="H3147" s="21">
        <v>0</v>
      </c>
      <c r="I3147" s="21">
        <v>0</v>
      </c>
      <c r="J3147" s="21">
        <v>0</v>
      </c>
      <c r="K3147" s="21">
        <v>0</v>
      </c>
      <c r="L3147" s="3">
        <f t="shared" si="140"/>
        <v>0</v>
      </c>
      <c r="M3147" s="3"/>
      <c r="N3147" s="3">
        <f t="shared" si="141"/>
        <v>0</v>
      </c>
      <c r="O3147" s="21"/>
      <c r="R3147" s="89"/>
      <c r="S3147" s="89">
        <f>100%-Table34[[#This Row],[PDF_initial fee]]</f>
        <v>1</v>
      </c>
      <c r="T3147" s="89"/>
      <c r="U3147" s="26"/>
    </row>
    <row r="3148" spans="1:21" hidden="1" x14ac:dyDescent="0.25">
      <c r="A3148">
        <v>596641</v>
      </c>
      <c r="B3148" t="s">
        <v>3513</v>
      </c>
      <c r="C3148" t="s">
        <v>12489</v>
      </c>
      <c r="D3148">
        <v>4</v>
      </c>
      <c r="E3148" t="s">
        <v>3513</v>
      </c>
      <c r="G3148" s="3"/>
      <c r="H3148" s="21">
        <v>0</v>
      </c>
      <c r="I3148" s="21">
        <v>0</v>
      </c>
      <c r="J3148" s="21">
        <v>0</v>
      </c>
      <c r="K3148" s="21">
        <v>0</v>
      </c>
      <c r="L3148" s="3">
        <f t="shared" si="140"/>
        <v>0</v>
      </c>
      <c r="M3148" s="3"/>
      <c r="N3148" s="3">
        <f t="shared" si="141"/>
        <v>0</v>
      </c>
      <c r="R3148" s="89"/>
      <c r="S3148" s="89">
        <f>100%-Table34[[#This Row],[PDF_initial fee]]</f>
        <v>1</v>
      </c>
      <c r="T3148" s="89"/>
      <c r="U3148" s="26"/>
    </row>
    <row r="3149" spans="1:21" hidden="1" x14ac:dyDescent="0.25">
      <c r="A3149">
        <v>596652</v>
      </c>
      <c r="B3149" t="s">
        <v>3514</v>
      </c>
      <c r="C3149" t="s">
        <v>30567</v>
      </c>
      <c r="D3149">
        <v>11</v>
      </c>
      <c r="E3149" t="s">
        <v>3514</v>
      </c>
      <c r="G3149" s="3"/>
      <c r="H3149" s="3">
        <v>0</v>
      </c>
      <c r="I3149" s="3">
        <v>0</v>
      </c>
      <c r="J3149" s="3">
        <v>0</v>
      </c>
      <c r="K3149" s="3">
        <v>0</v>
      </c>
      <c r="L3149" s="3">
        <f t="shared" si="140"/>
        <v>0</v>
      </c>
      <c r="M3149" s="3"/>
      <c r="N3149" s="3">
        <f t="shared" si="141"/>
        <v>0</v>
      </c>
      <c r="R3149" s="89"/>
      <c r="S3149" s="89">
        <f>100%-Table34[[#This Row],[PDF_initial fee]]</f>
        <v>1</v>
      </c>
      <c r="T3149" s="89"/>
      <c r="U3149" s="26"/>
    </row>
    <row r="3150" spans="1:21" hidden="1" x14ac:dyDescent="0.25">
      <c r="A3150">
        <v>596658</v>
      </c>
      <c r="B3150" t="s">
        <v>3515</v>
      </c>
      <c r="C3150" t="s">
        <v>30568</v>
      </c>
      <c r="D3150">
        <v>2</v>
      </c>
      <c r="E3150" t="s">
        <v>3515</v>
      </c>
      <c r="G3150" s="3"/>
      <c r="H3150" s="3">
        <v>0</v>
      </c>
      <c r="I3150" s="3">
        <v>0</v>
      </c>
      <c r="J3150" s="3">
        <v>0</v>
      </c>
      <c r="K3150" s="3">
        <v>0</v>
      </c>
      <c r="L3150" s="3">
        <f t="shared" si="140"/>
        <v>0</v>
      </c>
      <c r="M3150" s="3"/>
      <c r="N3150" s="3">
        <f t="shared" si="141"/>
        <v>0</v>
      </c>
      <c r="R3150" s="89"/>
      <c r="S3150" s="89">
        <f>100%-Table34[[#This Row],[PDF_initial fee]]</f>
        <v>1</v>
      </c>
      <c r="T3150" s="89"/>
      <c r="U3150" s="26"/>
    </row>
    <row r="3151" spans="1:21" hidden="1" x14ac:dyDescent="0.25">
      <c r="A3151">
        <v>596683</v>
      </c>
      <c r="B3151" t="s">
        <v>3516</v>
      </c>
      <c r="C3151" t="s">
        <v>6958</v>
      </c>
      <c r="D3151">
        <v>2</v>
      </c>
      <c r="E3151" t="s">
        <v>3516</v>
      </c>
      <c r="F3151" t="s">
        <v>6958</v>
      </c>
      <c r="G3151" s="3"/>
      <c r="L3151" s="3">
        <f t="shared" si="140"/>
        <v>0</v>
      </c>
      <c r="M3151" s="3"/>
      <c r="N3151" s="3">
        <f t="shared" si="141"/>
        <v>0</v>
      </c>
      <c r="R3151" s="89"/>
      <c r="S3151" s="89">
        <f>100%-Table34[[#This Row],[PDF_initial fee]]</f>
        <v>1</v>
      </c>
      <c r="T3151" s="89"/>
      <c r="U3151" s="26"/>
    </row>
    <row r="3152" spans="1:21" hidden="1" x14ac:dyDescent="0.25">
      <c r="A3152">
        <v>596827</v>
      </c>
      <c r="B3152" t="s">
        <v>3517</v>
      </c>
      <c r="C3152" t="s">
        <v>12247</v>
      </c>
      <c r="D3152">
        <v>2</v>
      </c>
      <c r="E3152" t="s">
        <v>3517</v>
      </c>
      <c r="G3152" s="3"/>
      <c r="H3152" s="21">
        <v>0</v>
      </c>
      <c r="I3152" s="21">
        <v>0</v>
      </c>
      <c r="J3152" s="21">
        <v>0</v>
      </c>
      <c r="K3152" s="21">
        <v>0</v>
      </c>
      <c r="L3152" s="3">
        <f t="shared" si="140"/>
        <v>0</v>
      </c>
      <c r="M3152" s="3"/>
      <c r="N3152" s="3">
        <f t="shared" si="141"/>
        <v>0</v>
      </c>
      <c r="R3152" s="89"/>
      <c r="S3152" s="89">
        <f>100%-Table34[[#This Row],[PDF_initial fee]]</f>
        <v>1</v>
      </c>
      <c r="T3152" s="89"/>
      <c r="U3152" s="26"/>
    </row>
    <row r="3153" spans="1:21" hidden="1" x14ac:dyDescent="0.25">
      <c r="A3153">
        <v>596914</v>
      </c>
      <c r="B3153" t="s">
        <v>3518</v>
      </c>
      <c r="C3153" t="s">
        <v>10504</v>
      </c>
      <c r="D3153">
        <v>1</v>
      </c>
      <c r="E3153" t="s">
        <v>3518</v>
      </c>
      <c r="G3153" s="3"/>
      <c r="H3153" s="21">
        <v>0</v>
      </c>
      <c r="I3153" s="21">
        <v>0</v>
      </c>
      <c r="J3153" s="21">
        <v>0</v>
      </c>
      <c r="K3153" s="21">
        <v>0</v>
      </c>
      <c r="L3153" s="3">
        <f t="shared" si="140"/>
        <v>0</v>
      </c>
      <c r="M3153" s="3"/>
      <c r="N3153" s="3">
        <f t="shared" si="141"/>
        <v>0</v>
      </c>
      <c r="R3153" s="89"/>
      <c r="S3153" s="89">
        <f>100%-Table34[[#This Row],[PDF_initial fee]]</f>
        <v>1</v>
      </c>
      <c r="T3153" s="89"/>
      <c r="U3153" s="26"/>
    </row>
    <row r="3154" spans="1:21" hidden="1" x14ac:dyDescent="0.25">
      <c r="A3154">
        <v>596952</v>
      </c>
      <c r="B3154" t="s">
        <v>3519</v>
      </c>
      <c r="C3154" t="s">
        <v>30569</v>
      </c>
      <c r="D3154">
        <v>0</v>
      </c>
      <c r="E3154" t="s">
        <v>3519</v>
      </c>
      <c r="F3154" t="s">
        <v>29136</v>
      </c>
      <c r="G3154" s="3"/>
      <c r="H3154" s="21">
        <v>0</v>
      </c>
      <c r="I3154" s="21">
        <v>0</v>
      </c>
      <c r="J3154" s="21">
        <v>0</v>
      </c>
      <c r="K3154" s="21">
        <v>0</v>
      </c>
      <c r="L3154" s="3">
        <f t="shared" si="140"/>
        <v>0</v>
      </c>
      <c r="M3154" s="3"/>
      <c r="N3154" s="3">
        <f t="shared" si="141"/>
        <v>0</v>
      </c>
      <c r="O3154" s="21"/>
      <c r="R3154" s="89"/>
      <c r="S3154" s="89">
        <f>100%-Table34[[#This Row],[PDF_initial fee]]</f>
        <v>1</v>
      </c>
      <c r="T3154" s="89"/>
      <c r="U3154" s="26"/>
    </row>
    <row r="3155" spans="1:21" hidden="1" x14ac:dyDescent="0.25">
      <c r="A3155">
        <v>597038</v>
      </c>
      <c r="B3155" t="s">
        <v>3521</v>
      </c>
      <c r="C3155" t="s">
        <v>6958</v>
      </c>
      <c r="D3155">
        <v>1</v>
      </c>
      <c r="E3155" t="s">
        <v>3521</v>
      </c>
      <c r="F3155" t="s">
        <v>6958</v>
      </c>
      <c r="G3155" s="3"/>
      <c r="H3155" s="21">
        <v>0</v>
      </c>
      <c r="I3155" s="21">
        <v>0</v>
      </c>
      <c r="J3155" s="21">
        <v>0</v>
      </c>
      <c r="K3155" s="21">
        <v>0</v>
      </c>
      <c r="L3155" s="3">
        <f t="shared" si="140"/>
        <v>0</v>
      </c>
      <c r="M3155" s="3"/>
      <c r="N3155" s="3">
        <f t="shared" si="141"/>
        <v>0</v>
      </c>
      <c r="O3155" s="21"/>
      <c r="R3155" s="89"/>
      <c r="S3155" s="89">
        <f>100%-Table34[[#This Row],[PDF_initial fee]]</f>
        <v>1</v>
      </c>
      <c r="T3155" s="89"/>
      <c r="U3155" s="26"/>
    </row>
    <row r="3156" spans="1:21" hidden="1" x14ac:dyDescent="0.25">
      <c r="A3156">
        <v>597048</v>
      </c>
      <c r="B3156" t="s">
        <v>3522</v>
      </c>
      <c r="C3156" t="s">
        <v>9592</v>
      </c>
      <c r="D3156">
        <v>2</v>
      </c>
      <c r="E3156" t="s">
        <v>3522</v>
      </c>
      <c r="G3156" s="3"/>
      <c r="H3156" s="21">
        <v>0</v>
      </c>
      <c r="I3156" s="21">
        <v>0</v>
      </c>
      <c r="J3156" s="21">
        <v>0</v>
      </c>
      <c r="K3156" s="21">
        <v>0</v>
      </c>
      <c r="L3156" s="3">
        <f t="shared" si="140"/>
        <v>0</v>
      </c>
      <c r="M3156" s="3"/>
      <c r="N3156" s="3">
        <f t="shared" si="141"/>
        <v>0</v>
      </c>
      <c r="R3156" s="89"/>
      <c r="S3156" s="89">
        <f>100%-Table34[[#This Row],[PDF_initial fee]]</f>
        <v>1</v>
      </c>
      <c r="T3156" s="89"/>
      <c r="U3156" s="26"/>
    </row>
    <row r="3157" spans="1:21" hidden="1" x14ac:dyDescent="0.25">
      <c r="A3157">
        <v>597049</v>
      </c>
      <c r="B3157" t="s">
        <v>3523</v>
      </c>
      <c r="C3157" t="s">
        <v>30570</v>
      </c>
      <c r="D3157">
        <v>0</v>
      </c>
      <c r="E3157" t="s">
        <v>3523</v>
      </c>
      <c r="F3157" t="s">
        <v>29136</v>
      </c>
      <c r="G3157" s="3"/>
      <c r="H3157" s="21">
        <v>0</v>
      </c>
      <c r="I3157" s="3">
        <v>0</v>
      </c>
      <c r="J3157" s="3">
        <v>0</v>
      </c>
      <c r="K3157">
        <v>0</v>
      </c>
      <c r="L3157" s="3">
        <f t="shared" si="140"/>
        <v>0</v>
      </c>
      <c r="M3157" s="3"/>
      <c r="N3157" s="3">
        <f t="shared" si="141"/>
        <v>0</v>
      </c>
      <c r="R3157" s="89"/>
      <c r="S3157" s="89">
        <f>100%-Table34[[#This Row],[PDF_initial fee]]</f>
        <v>1</v>
      </c>
      <c r="T3157" s="89"/>
      <c r="U3157" s="26"/>
    </row>
    <row r="3158" spans="1:21" hidden="1" x14ac:dyDescent="0.25">
      <c r="A3158">
        <v>597189</v>
      </c>
      <c r="B3158" t="s">
        <v>3524</v>
      </c>
      <c r="C3158" t="s">
        <v>11549</v>
      </c>
      <c r="D3158">
        <v>1</v>
      </c>
      <c r="E3158" t="s">
        <v>3524</v>
      </c>
      <c r="G3158" s="3"/>
      <c r="H3158" s="21">
        <v>0</v>
      </c>
      <c r="I3158" s="21">
        <v>0</v>
      </c>
      <c r="J3158" s="21">
        <v>0</v>
      </c>
      <c r="K3158" s="21">
        <v>0</v>
      </c>
      <c r="L3158" s="3">
        <f t="shared" si="140"/>
        <v>0</v>
      </c>
      <c r="M3158" s="3"/>
      <c r="N3158" s="3">
        <f t="shared" si="141"/>
        <v>0</v>
      </c>
      <c r="R3158" s="89"/>
      <c r="S3158" s="89">
        <f>100%-Table34[[#This Row],[PDF_initial fee]]</f>
        <v>1</v>
      </c>
      <c r="T3158" s="89"/>
      <c r="U3158" s="26"/>
    </row>
    <row r="3159" spans="1:21" hidden="1" x14ac:dyDescent="0.25">
      <c r="A3159">
        <v>597277</v>
      </c>
      <c r="B3159" t="s">
        <v>3525</v>
      </c>
      <c r="C3159" t="s">
        <v>30571</v>
      </c>
      <c r="D3159">
        <v>2</v>
      </c>
      <c r="E3159" t="s">
        <v>3525</v>
      </c>
      <c r="G3159" s="3"/>
      <c r="H3159" s="21">
        <v>0</v>
      </c>
      <c r="I3159" s="21">
        <v>0</v>
      </c>
      <c r="J3159" s="21">
        <v>0</v>
      </c>
      <c r="K3159" s="21">
        <v>0</v>
      </c>
      <c r="L3159" s="3">
        <f t="shared" si="140"/>
        <v>0</v>
      </c>
      <c r="M3159" s="3"/>
      <c r="N3159" s="3">
        <f t="shared" si="141"/>
        <v>0</v>
      </c>
      <c r="O3159" s="21"/>
      <c r="R3159" s="89"/>
      <c r="S3159" s="89">
        <f>100%-Table34[[#This Row],[PDF_initial fee]]</f>
        <v>1</v>
      </c>
      <c r="T3159" s="89"/>
      <c r="U3159" s="26"/>
    </row>
    <row r="3160" spans="1:21" hidden="1" x14ac:dyDescent="0.25">
      <c r="A3160">
        <v>597303</v>
      </c>
      <c r="B3160" t="s">
        <v>3526</v>
      </c>
      <c r="C3160" t="s">
        <v>30572</v>
      </c>
      <c r="D3160">
        <v>7</v>
      </c>
      <c r="E3160" t="s">
        <v>3526</v>
      </c>
      <c r="G3160" s="3"/>
      <c r="H3160" s="21">
        <v>0</v>
      </c>
      <c r="I3160" s="21">
        <v>0</v>
      </c>
      <c r="J3160" s="21">
        <v>0</v>
      </c>
      <c r="K3160" s="21">
        <v>0</v>
      </c>
      <c r="L3160" s="3">
        <f t="shared" si="140"/>
        <v>0</v>
      </c>
      <c r="M3160" s="3"/>
      <c r="N3160" s="3">
        <f t="shared" si="141"/>
        <v>0</v>
      </c>
      <c r="O3160" s="21"/>
      <c r="R3160" s="89"/>
      <c r="S3160" s="89">
        <f>100%-Table34[[#This Row],[PDF_initial fee]]</f>
        <v>1</v>
      </c>
      <c r="T3160" s="89"/>
      <c r="U3160" s="26"/>
    </row>
    <row r="3161" spans="1:21" hidden="1" x14ac:dyDescent="0.25">
      <c r="A3161">
        <v>597343</v>
      </c>
      <c r="B3161" t="s">
        <v>3527</v>
      </c>
      <c r="C3161" t="s">
        <v>8306</v>
      </c>
      <c r="D3161">
        <v>2</v>
      </c>
      <c r="E3161" t="s">
        <v>3527</v>
      </c>
      <c r="G3161" s="3"/>
      <c r="H3161" s="21">
        <v>0</v>
      </c>
      <c r="I3161" s="21">
        <v>0</v>
      </c>
      <c r="J3161" s="21">
        <v>0</v>
      </c>
      <c r="K3161" s="21">
        <v>0</v>
      </c>
      <c r="L3161" s="3">
        <f t="shared" si="140"/>
        <v>0</v>
      </c>
      <c r="M3161" s="3"/>
      <c r="N3161" s="3">
        <f t="shared" si="141"/>
        <v>0</v>
      </c>
      <c r="R3161" s="89"/>
      <c r="S3161" s="89">
        <f>100%-Table34[[#This Row],[PDF_initial fee]]</f>
        <v>1</v>
      </c>
      <c r="T3161" s="89"/>
      <c r="U3161" s="26"/>
    </row>
    <row r="3162" spans="1:21" hidden="1" x14ac:dyDescent="0.25">
      <c r="A3162">
        <v>597896</v>
      </c>
      <c r="B3162" t="s">
        <v>3528</v>
      </c>
      <c r="C3162" t="s">
        <v>30573</v>
      </c>
      <c r="D3162">
        <v>15</v>
      </c>
      <c r="E3162" t="s">
        <v>3528</v>
      </c>
      <c r="G3162" s="3"/>
      <c r="H3162" s="21">
        <v>0</v>
      </c>
      <c r="I3162" s="21">
        <v>0</v>
      </c>
      <c r="J3162" s="21">
        <v>0</v>
      </c>
      <c r="K3162" s="21">
        <v>0</v>
      </c>
      <c r="L3162" s="3">
        <f t="shared" si="140"/>
        <v>0</v>
      </c>
      <c r="M3162" s="3"/>
      <c r="N3162" s="3">
        <f t="shared" si="141"/>
        <v>0</v>
      </c>
      <c r="O3162" s="21"/>
      <c r="R3162" s="89"/>
      <c r="S3162" s="89">
        <f>100%-Table34[[#This Row],[PDF_initial fee]]</f>
        <v>1</v>
      </c>
      <c r="T3162" s="89"/>
      <c r="U3162" s="26"/>
    </row>
    <row r="3163" spans="1:21" hidden="1" x14ac:dyDescent="0.25">
      <c r="A3163">
        <v>598086</v>
      </c>
      <c r="B3163" t="s">
        <v>3529</v>
      </c>
      <c r="C3163" t="s">
        <v>11343</v>
      </c>
      <c r="D3163">
        <v>2</v>
      </c>
      <c r="E3163" t="s">
        <v>3529</v>
      </c>
      <c r="G3163" s="3"/>
      <c r="H3163" s="21">
        <v>0</v>
      </c>
      <c r="I3163" s="21">
        <v>0</v>
      </c>
      <c r="J3163" s="21">
        <v>0</v>
      </c>
      <c r="K3163" s="21">
        <v>0</v>
      </c>
      <c r="L3163" s="3">
        <f t="shared" si="140"/>
        <v>0</v>
      </c>
      <c r="M3163" s="3"/>
      <c r="N3163" s="3">
        <f t="shared" si="141"/>
        <v>0</v>
      </c>
      <c r="R3163" s="89"/>
      <c r="S3163" s="89">
        <f>100%-Table34[[#This Row],[PDF_initial fee]]</f>
        <v>1</v>
      </c>
      <c r="T3163" s="89"/>
      <c r="U3163" s="26"/>
    </row>
    <row r="3164" spans="1:21" hidden="1" x14ac:dyDescent="0.25">
      <c r="A3164">
        <v>598247</v>
      </c>
      <c r="B3164" t="s">
        <v>3531</v>
      </c>
      <c r="C3164" t="s">
        <v>11207</v>
      </c>
      <c r="D3164">
        <v>2</v>
      </c>
      <c r="E3164" t="s">
        <v>3531</v>
      </c>
      <c r="G3164" s="3"/>
      <c r="H3164" s="21">
        <v>0</v>
      </c>
      <c r="I3164" s="21">
        <v>0</v>
      </c>
      <c r="J3164" s="21">
        <v>0</v>
      </c>
      <c r="K3164" s="21">
        <v>0</v>
      </c>
      <c r="L3164" s="3">
        <f t="shared" si="140"/>
        <v>0</v>
      </c>
      <c r="M3164" s="3"/>
      <c r="N3164" s="3">
        <f t="shared" si="141"/>
        <v>0</v>
      </c>
      <c r="R3164" s="89"/>
      <c r="S3164" s="89">
        <f>100%-Table34[[#This Row],[PDF_initial fee]]</f>
        <v>1</v>
      </c>
      <c r="T3164" s="89"/>
      <c r="U3164" s="26"/>
    </row>
    <row r="3165" spans="1:21" hidden="1" x14ac:dyDescent="0.25">
      <c r="A3165">
        <v>598291</v>
      </c>
      <c r="B3165" t="s">
        <v>3532</v>
      </c>
      <c r="C3165" t="s">
        <v>6958</v>
      </c>
      <c r="D3165">
        <v>3</v>
      </c>
      <c r="E3165" t="s">
        <v>3532</v>
      </c>
      <c r="F3165" t="s">
        <v>6958</v>
      </c>
      <c r="G3165" s="3"/>
      <c r="L3165" s="3">
        <f t="shared" si="140"/>
        <v>0</v>
      </c>
      <c r="M3165" s="3"/>
      <c r="N3165" s="3">
        <f t="shared" si="141"/>
        <v>0</v>
      </c>
      <c r="R3165" s="89"/>
      <c r="S3165" s="89">
        <f>100%-Table34[[#This Row],[PDF_initial fee]]</f>
        <v>1</v>
      </c>
      <c r="T3165" s="89"/>
      <c r="U3165" s="26"/>
    </row>
    <row r="3166" spans="1:21" hidden="1" x14ac:dyDescent="0.25">
      <c r="A3166">
        <v>598311</v>
      </c>
      <c r="B3166" t="s">
        <v>3533</v>
      </c>
      <c r="C3166" t="s">
        <v>6958</v>
      </c>
      <c r="D3166">
        <v>1</v>
      </c>
      <c r="E3166" t="s">
        <v>3533</v>
      </c>
      <c r="F3166" t="s">
        <v>6958</v>
      </c>
      <c r="G3166" s="3"/>
      <c r="H3166" s="21">
        <v>0</v>
      </c>
      <c r="I3166" s="21">
        <v>0</v>
      </c>
      <c r="J3166" s="21">
        <v>0</v>
      </c>
      <c r="K3166" s="21">
        <v>0</v>
      </c>
      <c r="L3166" s="3">
        <f t="shared" si="140"/>
        <v>0</v>
      </c>
      <c r="M3166" s="3"/>
      <c r="N3166" s="3">
        <f t="shared" si="141"/>
        <v>0</v>
      </c>
      <c r="R3166" s="89"/>
      <c r="S3166" s="89">
        <f>100%-Table34[[#This Row],[PDF_initial fee]]</f>
        <v>1</v>
      </c>
      <c r="T3166" s="89"/>
      <c r="U3166" s="26"/>
    </row>
    <row r="3167" spans="1:21" hidden="1" x14ac:dyDescent="0.25">
      <c r="A3167">
        <v>598525</v>
      </c>
      <c r="B3167" t="s">
        <v>3534</v>
      </c>
      <c r="C3167" t="s">
        <v>9958</v>
      </c>
      <c r="D3167">
        <v>1</v>
      </c>
      <c r="E3167" t="s">
        <v>3534</v>
      </c>
      <c r="G3167" s="3"/>
      <c r="H3167" s="21">
        <v>0</v>
      </c>
      <c r="I3167" s="21">
        <v>0</v>
      </c>
      <c r="J3167" s="21">
        <v>0</v>
      </c>
      <c r="K3167" s="21">
        <v>0</v>
      </c>
      <c r="L3167" s="3">
        <f t="shared" si="140"/>
        <v>0</v>
      </c>
      <c r="M3167" s="3"/>
      <c r="N3167" s="3">
        <f t="shared" si="141"/>
        <v>0</v>
      </c>
      <c r="R3167" s="89"/>
      <c r="S3167" s="89">
        <f>100%-Table34[[#This Row],[PDF_initial fee]]</f>
        <v>1</v>
      </c>
      <c r="T3167" s="89"/>
      <c r="U3167" s="26"/>
    </row>
    <row r="3168" spans="1:21" hidden="1" x14ac:dyDescent="0.25">
      <c r="A3168">
        <v>598729</v>
      </c>
      <c r="B3168" t="s">
        <v>3535</v>
      </c>
      <c r="C3168" t="s">
        <v>6958</v>
      </c>
      <c r="D3168">
        <v>1</v>
      </c>
      <c r="E3168" t="s">
        <v>3535</v>
      </c>
      <c r="F3168" t="s">
        <v>6958</v>
      </c>
      <c r="G3168" s="3"/>
      <c r="L3168" s="3">
        <f t="shared" si="140"/>
        <v>0</v>
      </c>
      <c r="M3168" s="3"/>
      <c r="N3168" s="3">
        <f t="shared" si="141"/>
        <v>0</v>
      </c>
      <c r="R3168" s="89"/>
      <c r="S3168" s="89">
        <f>100%-Table34[[#This Row],[PDF_initial fee]]</f>
        <v>1</v>
      </c>
      <c r="T3168" s="89"/>
      <c r="U3168" s="26"/>
    </row>
    <row r="3169" spans="1:30" hidden="1" x14ac:dyDescent="0.25">
      <c r="A3169">
        <v>599172</v>
      </c>
      <c r="B3169" t="s">
        <v>3537</v>
      </c>
      <c r="C3169" t="s">
        <v>6958</v>
      </c>
      <c r="D3169">
        <v>2</v>
      </c>
      <c r="E3169" t="s">
        <v>3537</v>
      </c>
      <c r="F3169" t="s">
        <v>6958</v>
      </c>
      <c r="G3169" s="3"/>
      <c r="L3169" s="3">
        <f t="shared" si="140"/>
        <v>0</v>
      </c>
      <c r="M3169" s="3"/>
      <c r="N3169" s="3">
        <f t="shared" si="141"/>
        <v>0</v>
      </c>
      <c r="R3169" s="89"/>
      <c r="S3169" s="89">
        <f>100%-Table34[[#This Row],[PDF_initial fee]]</f>
        <v>1</v>
      </c>
      <c r="T3169" s="89"/>
      <c r="U3169" s="26"/>
    </row>
    <row r="3170" spans="1:30" hidden="1" x14ac:dyDescent="0.25">
      <c r="A3170">
        <v>599231</v>
      </c>
      <c r="B3170" t="s">
        <v>3538</v>
      </c>
      <c r="C3170" t="s">
        <v>6958</v>
      </c>
      <c r="D3170">
        <v>1</v>
      </c>
      <c r="E3170" t="s">
        <v>3538</v>
      </c>
      <c r="F3170" t="s">
        <v>6958</v>
      </c>
      <c r="G3170" s="3"/>
      <c r="H3170" s="21">
        <v>0</v>
      </c>
      <c r="I3170" s="21">
        <v>0</v>
      </c>
      <c r="J3170" s="21">
        <v>0</v>
      </c>
      <c r="K3170" s="21">
        <v>0</v>
      </c>
      <c r="L3170" s="3">
        <f t="shared" ref="L3170:L3233" si="142">SUM(H3170:K3170)</f>
        <v>0</v>
      </c>
      <c r="M3170" s="3"/>
      <c r="N3170" s="3">
        <f t="shared" ref="N3170:N3233" si="143">L3170+G3170</f>
        <v>0</v>
      </c>
      <c r="R3170" s="89"/>
      <c r="S3170" s="89">
        <f>100%-Table34[[#This Row],[PDF_initial fee]]</f>
        <v>1</v>
      </c>
      <c r="T3170" s="89"/>
      <c r="U3170" s="26"/>
    </row>
    <row r="3171" spans="1:30" hidden="1" x14ac:dyDescent="0.25">
      <c r="A3171">
        <v>599247</v>
      </c>
      <c r="B3171" t="s">
        <v>3540</v>
      </c>
      <c r="C3171" t="s">
        <v>6958</v>
      </c>
      <c r="D3171">
        <v>2</v>
      </c>
      <c r="E3171" t="s">
        <v>3540</v>
      </c>
      <c r="F3171" t="s">
        <v>6958</v>
      </c>
      <c r="G3171" s="3"/>
      <c r="H3171" s="21">
        <v>0</v>
      </c>
      <c r="I3171" s="21">
        <v>0</v>
      </c>
      <c r="J3171" s="21">
        <v>0</v>
      </c>
      <c r="K3171" s="21">
        <v>0</v>
      </c>
      <c r="L3171" s="3">
        <f t="shared" si="142"/>
        <v>0</v>
      </c>
      <c r="M3171" s="3"/>
      <c r="N3171" s="3">
        <f t="shared" si="143"/>
        <v>0</v>
      </c>
      <c r="R3171" s="89"/>
      <c r="S3171" s="89">
        <f>100%-Table34[[#This Row],[PDF_initial fee]]</f>
        <v>1</v>
      </c>
      <c r="T3171" s="89"/>
      <c r="U3171" s="26"/>
    </row>
    <row r="3172" spans="1:30" x14ac:dyDescent="0.25">
      <c r="A3172">
        <v>830170</v>
      </c>
      <c r="B3172" t="s">
        <v>318</v>
      </c>
      <c r="C3172" t="s">
        <v>30574</v>
      </c>
      <c r="D3172">
        <v>328</v>
      </c>
      <c r="E3172" t="s">
        <v>318</v>
      </c>
      <c r="F3172" t="s">
        <v>6</v>
      </c>
      <c r="G3172" s="3">
        <v>1.0200000000000001E-2</v>
      </c>
      <c r="H3172" s="3">
        <v>1.7500000000000002E-2</v>
      </c>
      <c r="I3172" s="6">
        <v>6.4999999999999997E-3</v>
      </c>
      <c r="J3172" s="6"/>
      <c r="K3172" s="6"/>
      <c r="L3172" s="3">
        <f t="shared" si="142"/>
        <v>2.4E-2</v>
      </c>
      <c r="M3172" s="3"/>
      <c r="N3172" s="3">
        <f t="shared" si="143"/>
        <v>3.4200000000000001E-2</v>
      </c>
      <c r="O3172" t="s">
        <v>30575</v>
      </c>
      <c r="P3172" s="1" t="s">
        <v>30545</v>
      </c>
      <c r="Q3172" s="1" t="s">
        <v>30546</v>
      </c>
      <c r="R3172" s="89">
        <v>0.30599999999999999</v>
      </c>
      <c r="S3172" s="89">
        <f>100%-Table34[[#This Row],[InitialFee]]</f>
        <v>0.98250000000000004</v>
      </c>
      <c r="T3172" s="89">
        <f>(1-Table34[[#This Row],[OngoingFee (plus Platform fee)]])^5</f>
        <v>0.96791976266370983</v>
      </c>
      <c r="U3172" s="26">
        <f>(1+Table34[[#This Row],[Net 5yrs return (mostly up to 28th of Feb 2026)]])*Table34[[#This Row],[Investment after initial charge]]*Table34[[#This Row],[Cummulative 5yrs ongoing advice charge]]-1</f>
        <v>0.24198140386312605</v>
      </c>
      <c r="V3172" s="10">
        <v>103002000</v>
      </c>
      <c r="W3172" s="10" t="s">
        <v>29081</v>
      </c>
      <c r="X3172" s="9">
        <v>63667000</v>
      </c>
      <c r="Y3172" s="30">
        <f>X3172/V3172</f>
        <v>0.61811421137453637</v>
      </c>
      <c r="Z3172" s="10"/>
      <c r="AA3172" s="1" t="s">
        <v>30550</v>
      </c>
      <c r="AD3172" s="1" t="s">
        <v>30546</v>
      </c>
    </row>
    <row r="3173" spans="1:30" hidden="1" x14ac:dyDescent="0.25">
      <c r="A3173">
        <v>599257</v>
      </c>
      <c r="B3173" t="s">
        <v>3541</v>
      </c>
      <c r="C3173" s="1" t="s">
        <v>30576</v>
      </c>
      <c r="D3173">
        <v>10</v>
      </c>
      <c r="E3173" t="s">
        <v>3541</v>
      </c>
      <c r="G3173" s="3"/>
      <c r="H3173" s="21">
        <v>0</v>
      </c>
      <c r="I3173" s="21">
        <v>0</v>
      </c>
      <c r="J3173" s="21">
        <v>0</v>
      </c>
      <c r="K3173" s="21">
        <v>0</v>
      </c>
      <c r="L3173" s="3">
        <f t="shared" si="142"/>
        <v>0</v>
      </c>
      <c r="M3173" s="3"/>
      <c r="N3173" s="3">
        <f t="shared" si="143"/>
        <v>0</v>
      </c>
      <c r="O3173" s="21"/>
      <c r="R3173" s="89"/>
      <c r="S3173" s="89">
        <f>100%-Table34[[#This Row],[PDF_initial fee]]</f>
        <v>1</v>
      </c>
      <c r="T3173" s="89"/>
      <c r="U3173" s="26"/>
    </row>
    <row r="3174" spans="1:30" hidden="1" x14ac:dyDescent="0.25">
      <c r="A3174">
        <v>599259</v>
      </c>
      <c r="B3174" t="s">
        <v>3542</v>
      </c>
      <c r="C3174" t="s">
        <v>10025</v>
      </c>
      <c r="D3174">
        <v>3</v>
      </c>
      <c r="E3174" t="s">
        <v>3542</v>
      </c>
      <c r="G3174" s="3"/>
      <c r="H3174" s="21">
        <v>0</v>
      </c>
      <c r="I3174" s="21">
        <v>0</v>
      </c>
      <c r="J3174" s="21">
        <v>0</v>
      </c>
      <c r="K3174" s="21">
        <v>0</v>
      </c>
      <c r="L3174" s="3">
        <f t="shared" si="142"/>
        <v>0</v>
      </c>
      <c r="M3174" s="3"/>
      <c r="N3174" s="3">
        <f t="shared" si="143"/>
        <v>0</v>
      </c>
      <c r="R3174" s="89"/>
      <c r="S3174" s="89">
        <f>100%-Table34[[#This Row],[PDF_initial fee]]</f>
        <v>1</v>
      </c>
      <c r="T3174" s="89"/>
      <c r="U3174" s="26"/>
    </row>
    <row r="3175" spans="1:30" hidden="1" x14ac:dyDescent="0.25">
      <c r="A3175">
        <v>599264</v>
      </c>
      <c r="B3175" t="s">
        <v>3543</v>
      </c>
      <c r="C3175" t="s">
        <v>6958</v>
      </c>
      <c r="D3175">
        <v>1</v>
      </c>
      <c r="E3175" t="s">
        <v>3543</v>
      </c>
      <c r="F3175" t="s">
        <v>6958</v>
      </c>
      <c r="G3175" s="3"/>
      <c r="H3175" s="21">
        <v>0</v>
      </c>
      <c r="I3175" s="21">
        <v>0</v>
      </c>
      <c r="J3175" s="21">
        <v>0</v>
      </c>
      <c r="K3175" s="21">
        <v>0</v>
      </c>
      <c r="L3175" s="3">
        <f t="shared" si="142"/>
        <v>0</v>
      </c>
      <c r="M3175" s="3"/>
      <c r="N3175" s="3">
        <f t="shared" si="143"/>
        <v>0</v>
      </c>
      <c r="R3175" s="89"/>
      <c r="S3175" s="89">
        <f>100%-Table34[[#This Row],[PDF_initial fee]]</f>
        <v>1</v>
      </c>
      <c r="T3175" s="89"/>
      <c r="U3175" s="26"/>
    </row>
    <row r="3176" spans="1:30" hidden="1" x14ac:dyDescent="0.25">
      <c r="A3176">
        <v>599267</v>
      </c>
      <c r="B3176" t="s">
        <v>3544</v>
      </c>
      <c r="C3176" t="s">
        <v>30577</v>
      </c>
      <c r="D3176">
        <v>2</v>
      </c>
      <c r="E3176" t="s">
        <v>3544</v>
      </c>
      <c r="G3176" s="3"/>
      <c r="H3176" s="3">
        <v>0</v>
      </c>
      <c r="I3176" s="3">
        <v>0</v>
      </c>
      <c r="J3176" s="3">
        <v>0</v>
      </c>
      <c r="K3176" s="3">
        <v>0</v>
      </c>
      <c r="L3176" s="3">
        <f t="shared" si="142"/>
        <v>0</v>
      </c>
      <c r="M3176" s="3"/>
      <c r="N3176" s="3">
        <f t="shared" si="143"/>
        <v>0</v>
      </c>
      <c r="R3176" s="89"/>
      <c r="S3176" s="89">
        <f>100%-Table34[[#This Row],[PDF_initial fee]]</f>
        <v>1</v>
      </c>
      <c r="T3176" s="89"/>
      <c r="U3176" s="26"/>
    </row>
    <row r="3177" spans="1:30" hidden="1" x14ac:dyDescent="0.25">
      <c r="A3177">
        <v>599271</v>
      </c>
      <c r="B3177" t="s">
        <v>3546</v>
      </c>
      <c r="C3177" t="s">
        <v>30578</v>
      </c>
      <c r="D3177">
        <v>3</v>
      </c>
      <c r="E3177" t="s">
        <v>3546</v>
      </c>
      <c r="G3177" s="3"/>
      <c r="H3177" s="3">
        <v>0</v>
      </c>
      <c r="I3177" s="3">
        <v>0</v>
      </c>
      <c r="J3177" s="3">
        <v>0</v>
      </c>
      <c r="K3177" s="3">
        <v>0</v>
      </c>
      <c r="L3177" s="3">
        <f t="shared" si="142"/>
        <v>0</v>
      </c>
      <c r="M3177" s="3"/>
      <c r="N3177" s="3">
        <f t="shared" si="143"/>
        <v>0</v>
      </c>
      <c r="R3177" s="89"/>
      <c r="S3177" s="89">
        <f>100%-Table34[[#This Row],[PDF_initial fee]]</f>
        <v>1</v>
      </c>
      <c r="T3177" s="89"/>
      <c r="U3177" s="26"/>
    </row>
    <row r="3178" spans="1:30" hidden="1" x14ac:dyDescent="0.25">
      <c r="A3178">
        <v>599275</v>
      </c>
      <c r="B3178" t="s">
        <v>3547</v>
      </c>
      <c r="C3178" t="s">
        <v>6958</v>
      </c>
      <c r="D3178">
        <v>2</v>
      </c>
      <c r="E3178" t="s">
        <v>3547</v>
      </c>
      <c r="F3178" t="s">
        <v>6958</v>
      </c>
      <c r="G3178" s="3"/>
      <c r="H3178" s="21">
        <v>0</v>
      </c>
      <c r="I3178" s="21">
        <v>0</v>
      </c>
      <c r="J3178" s="21">
        <v>0</v>
      </c>
      <c r="K3178" s="21">
        <v>0</v>
      </c>
      <c r="L3178" s="3">
        <f t="shared" si="142"/>
        <v>0</v>
      </c>
      <c r="M3178" s="3"/>
      <c r="N3178" s="3">
        <f t="shared" si="143"/>
        <v>0</v>
      </c>
      <c r="R3178" s="89"/>
      <c r="S3178" s="89">
        <f>100%-Table34[[#This Row],[PDF_initial fee]]</f>
        <v>1</v>
      </c>
      <c r="T3178" s="89"/>
      <c r="U3178" s="26"/>
    </row>
    <row r="3179" spans="1:30" hidden="1" x14ac:dyDescent="0.25">
      <c r="A3179">
        <v>599277</v>
      </c>
      <c r="B3179" t="s">
        <v>3548</v>
      </c>
      <c r="C3179" t="s">
        <v>6958</v>
      </c>
      <c r="D3179">
        <v>2</v>
      </c>
      <c r="E3179" t="s">
        <v>3548</v>
      </c>
      <c r="F3179" t="s">
        <v>6958</v>
      </c>
      <c r="G3179" s="3"/>
      <c r="H3179" s="21">
        <v>0</v>
      </c>
      <c r="I3179" s="21">
        <v>0</v>
      </c>
      <c r="J3179" s="21">
        <v>0</v>
      </c>
      <c r="K3179" s="21">
        <v>0</v>
      </c>
      <c r="L3179" s="3">
        <f t="shared" si="142"/>
        <v>0</v>
      </c>
      <c r="M3179" s="3"/>
      <c r="N3179" s="3">
        <f t="shared" si="143"/>
        <v>0</v>
      </c>
      <c r="R3179" s="89"/>
      <c r="S3179" s="89">
        <f>100%-Table34[[#This Row],[PDF_initial fee]]</f>
        <v>1</v>
      </c>
      <c r="T3179" s="89"/>
      <c r="U3179" s="26"/>
    </row>
    <row r="3180" spans="1:30" hidden="1" x14ac:dyDescent="0.25">
      <c r="A3180">
        <v>599287</v>
      </c>
      <c r="B3180" t="s">
        <v>3549</v>
      </c>
      <c r="C3180" t="s">
        <v>6958</v>
      </c>
      <c r="D3180">
        <v>1</v>
      </c>
      <c r="E3180" t="s">
        <v>3549</v>
      </c>
      <c r="F3180" t="s">
        <v>6958</v>
      </c>
      <c r="G3180" s="3"/>
      <c r="H3180" s="21">
        <v>0</v>
      </c>
      <c r="I3180" s="21">
        <v>0</v>
      </c>
      <c r="J3180" s="21">
        <v>0</v>
      </c>
      <c r="K3180" s="21">
        <v>0</v>
      </c>
      <c r="L3180" s="3">
        <f t="shared" si="142"/>
        <v>0</v>
      </c>
      <c r="M3180" s="3"/>
      <c r="N3180" s="3">
        <f t="shared" si="143"/>
        <v>0</v>
      </c>
      <c r="R3180" s="89"/>
      <c r="S3180" s="89">
        <f>100%-Table34[[#This Row],[PDF_initial fee]]</f>
        <v>1</v>
      </c>
      <c r="T3180" s="89"/>
      <c r="U3180" s="26"/>
    </row>
    <row r="3181" spans="1:30" hidden="1" x14ac:dyDescent="0.25">
      <c r="A3181">
        <v>599292</v>
      </c>
      <c r="B3181" t="s">
        <v>3550</v>
      </c>
      <c r="C3181" t="s">
        <v>10446</v>
      </c>
      <c r="D3181">
        <v>7</v>
      </c>
      <c r="E3181" t="s">
        <v>3550</v>
      </c>
      <c r="G3181" s="3"/>
      <c r="H3181" s="21">
        <v>0</v>
      </c>
      <c r="I3181" s="21">
        <v>0</v>
      </c>
      <c r="J3181" s="21">
        <v>0</v>
      </c>
      <c r="K3181" s="21">
        <v>0</v>
      </c>
      <c r="L3181" s="3">
        <f t="shared" si="142"/>
        <v>0</v>
      </c>
      <c r="M3181" s="3"/>
      <c r="N3181" s="3">
        <f t="shared" si="143"/>
        <v>0</v>
      </c>
      <c r="R3181" s="89"/>
      <c r="S3181" s="89">
        <f>100%-Table34[[#This Row],[PDF_initial fee]]</f>
        <v>1</v>
      </c>
      <c r="T3181" s="89"/>
      <c r="U3181" s="26"/>
    </row>
    <row r="3182" spans="1:30" hidden="1" x14ac:dyDescent="0.25">
      <c r="A3182">
        <v>599393</v>
      </c>
      <c r="B3182" t="s">
        <v>3551</v>
      </c>
      <c r="C3182" t="s">
        <v>6958</v>
      </c>
      <c r="D3182">
        <v>1</v>
      </c>
      <c r="E3182" t="s">
        <v>3551</v>
      </c>
      <c r="F3182" t="s">
        <v>6958</v>
      </c>
      <c r="G3182" s="3"/>
      <c r="H3182" s="21">
        <v>0</v>
      </c>
      <c r="I3182" s="21">
        <v>0</v>
      </c>
      <c r="J3182" s="21">
        <v>0</v>
      </c>
      <c r="K3182" s="21">
        <v>0</v>
      </c>
      <c r="L3182" s="3">
        <f t="shared" si="142"/>
        <v>0</v>
      </c>
      <c r="M3182" s="3"/>
      <c r="N3182" s="3">
        <f t="shared" si="143"/>
        <v>0</v>
      </c>
      <c r="O3182" s="21"/>
      <c r="R3182" s="89"/>
      <c r="S3182" s="89">
        <f>100%-Table34[[#This Row],[PDF_initial fee]]</f>
        <v>1</v>
      </c>
      <c r="T3182" s="89"/>
      <c r="U3182" s="26"/>
    </row>
    <row r="3183" spans="1:30" hidden="1" x14ac:dyDescent="0.25">
      <c r="A3183">
        <v>599404</v>
      </c>
      <c r="B3183" t="s">
        <v>3552</v>
      </c>
      <c r="C3183" t="s">
        <v>6958</v>
      </c>
      <c r="D3183">
        <v>8</v>
      </c>
      <c r="E3183" t="s">
        <v>3552</v>
      </c>
      <c r="F3183" t="s">
        <v>6958</v>
      </c>
      <c r="G3183" s="3"/>
      <c r="H3183" s="21">
        <v>0</v>
      </c>
      <c r="I3183" s="21">
        <v>0</v>
      </c>
      <c r="J3183" s="21">
        <v>0</v>
      </c>
      <c r="K3183" s="21">
        <v>0</v>
      </c>
      <c r="L3183" s="3">
        <f t="shared" si="142"/>
        <v>0</v>
      </c>
      <c r="M3183" s="3"/>
      <c r="N3183" s="3">
        <f t="shared" si="143"/>
        <v>0</v>
      </c>
      <c r="R3183" s="89"/>
      <c r="S3183" s="89">
        <f>100%-Table34[[#This Row],[PDF_initial fee]]</f>
        <v>1</v>
      </c>
      <c r="T3183" s="89"/>
      <c r="U3183" s="26"/>
    </row>
    <row r="3184" spans="1:30" hidden="1" x14ac:dyDescent="0.25">
      <c r="A3184">
        <v>599433</v>
      </c>
      <c r="B3184" t="s">
        <v>3553</v>
      </c>
      <c r="C3184" t="s">
        <v>30579</v>
      </c>
      <c r="D3184">
        <v>1</v>
      </c>
      <c r="E3184" t="s">
        <v>3553</v>
      </c>
      <c r="G3184" s="3"/>
      <c r="H3184" s="21">
        <v>0</v>
      </c>
      <c r="I3184" s="21">
        <v>0</v>
      </c>
      <c r="J3184" s="21">
        <v>0</v>
      </c>
      <c r="K3184" s="21">
        <v>0</v>
      </c>
      <c r="L3184" s="3">
        <f t="shared" si="142"/>
        <v>0</v>
      </c>
      <c r="M3184" s="3"/>
      <c r="N3184" s="3">
        <f t="shared" si="143"/>
        <v>0</v>
      </c>
      <c r="O3184" s="21"/>
      <c r="R3184" s="89"/>
      <c r="S3184" s="89">
        <f>100%-Table34[[#This Row],[PDF_initial fee]]</f>
        <v>1</v>
      </c>
      <c r="T3184" s="89"/>
      <c r="U3184" s="26"/>
    </row>
    <row r="3185" spans="1:30" hidden="1" x14ac:dyDescent="0.25">
      <c r="A3185">
        <v>599639</v>
      </c>
      <c r="B3185" t="s">
        <v>3554</v>
      </c>
      <c r="C3185" t="s">
        <v>6958</v>
      </c>
      <c r="D3185">
        <v>1</v>
      </c>
      <c r="E3185" t="s">
        <v>3554</v>
      </c>
      <c r="F3185" t="s">
        <v>6958</v>
      </c>
      <c r="G3185" s="3"/>
      <c r="L3185" s="3">
        <f t="shared" si="142"/>
        <v>0</v>
      </c>
      <c r="M3185" s="3"/>
      <c r="N3185" s="3">
        <f t="shared" si="143"/>
        <v>0</v>
      </c>
      <c r="R3185" s="89"/>
      <c r="S3185" s="89">
        <f>100%-Table34[[#This Row],[PDF_initial fee]]</f>
        <v>1</v>
      </c>
      <c r="T3185" s="89"/>
      <c r="U3185" s="26"/>
    </row>
    <row r="3186" spans="1:30" hidden="1" x14ac:dyDescent="0.25">
      <c r="A3186">
        <v>599883</v>
      </c>
      <c r="B3186" t="s">
        <v>3555</v>
      </c>
      <c r="C3186" t="s">
        <v>6958</v>
      </c>
      <c r="D3186">
        <v>5</v>
      </c>
      <c r="E3186" t="s">
        <v>3555</v>
      </c>
      <c r="F3186" t="s">
        <v>6958</v>
      </c>
      <c r="G3186" s="3"/>
      <c r="H3186" s="21">
        <v>0</v>
      </c>
      <c r="I3186" s="21">
        <v>0</v>
      </c>
      <c r="J3186" s="21">
        <v>0</v>
      </c>
      <c r="K3186" s="21">
        <v>0</v>
      </c>
      <c r="L3186" s="3">
        <f t="shared" si="142"/>
        <v>0</v>
      </c>
      <c r="M3186" s="3"/>
      <c r="N3186" s="3">
        <f t="shared" si="143"/>
        <v>0</v>
      </c>
      <c r="R3186" s="89"/>
      <c r="S3186" s="89">
        <f>100%-Table34[[#This Row],[PDF_initial fee]]</f>
        <v>1</v>
      </c>
      <c r="T3186" s="89"/>
      <c r="U3186" s="26"/>
    </row>
    <row r="3187" spans="1:30" hidden="1" x14ac:dyDescent="0.25">
      <c r="A3187">
        <v>599891</v>
      </c>
      <c r="B3187" t="s">
        <v>3556</v>
      </c>
      <c r="C3187" t="s">
        <v>9789</v>
      </c>
      <c r="D3187">
        <v>1</v>
      </c>
      <c r="E3187" t="s">
        <v>3556</v>
      </c>
      <c r="G3187" s="3"/>
      <c r="H3187" s="21">
        <v>0</v>
      </c>
      <c r="I3187" s="21">
        <v>0</v>
      </c>
      <c r="J3187" s="21">
        <v>0</v>
      </c>
      <c r="K3187" s="21">
        <v>0</v>
      </c>
      <c r="L3187" s="3">
        <f t="shared" si="142"/>
        <v>0</v>
      </c>
      <c r="M3187" s="3"/>
      <c r="N3187" s="3">
        <f t="shared" si="143"/>
        <v>0</v>
      </c>
      <c r="R3187" s="89"/>
      <c r="S3187" s="89">
        <f>100%-Table34[[#This Row],[PDF_initial fee]]</f>
        <v>1</v>
      </c>
      <c r="T3187" s="89"/>
      <c r="U3187" s="26"/>
    </row>
    <row r="3188" spans="1:30" hidden="1" x14ac:dyDescent="0.25">
      <c r="A3188">
        <v>599958</v>
      </c>
      <c r="B3188" t="s">
        <v>3557</v>
      </c>
      <c r="C3188" t="s">
        <v>6958</v>
      </c>
      <c r="D3188">
        <v>1</v>
      </c>
      <c r="E3188" t="s">
        <v>3557</v>
      </c>
      <c r="F3188" t="s">
        <v>6958</v>
      </c>
      <c r="G3188" s="3"/>
      <c r="L3188" s="3">
        <f t="shared" si="142"/>
        <v>0</v>
      </c>
      <c r="M3188" s="3"/>
      <c r="N3188" s="3">
        <f t="shared" si="143"/>
        <v>0</v>
      </c>
      <c r="R3188" s="89"/>
      <c r="S3188" s="89">
        <f>100%-Table34[[#This Row],[PDF_initial fee]]</f>
        <v>1</v>
      </c>
      <c r="T3188" s="89"/>
      <c r="U3188" s="26"/>
    </row>
    <row r="3189" spans="1:30" hidden="1" x14ac:dyDescent="0.25">
      <c r="A3189">
        <v>600308</v>
      </c>
      <c r="B3189" t="s">
        <v>3558</v>
      </c>
      <c r="C3189" t="s">
        <v>30580</v>
      </c>
      <c r="D3189">
        <v>4</v>
      </c>
      <c r="E3189" t="s">
        <v>3558</v>
      </c>
      <c r="G3189" s="3"/>
      <c r="J3189" s="3"/>
      <c r="L3189" s="3">
        <f t="shared" si="142"/>
        <v>0</v>
      </c>
      <c r="M3189" s="3"/>
      <c r="N3189" s="3">
        <f t="shared" si="143"/>
        <v>0</v>
      </c>
      <c r="O3189" s="21"/>
      <c r="P3189" s="22" t="str">
        <f>V3189</f>
        <v>https://richmondwealth.co.uk/wp-content/uploads/2019/01/Adventurous-KIID.pdf</v>
      </c>
      <c r="R3189" s="89"/>
      <c r="S3189" s="89">
        <f>100%-Table34[[#This Row],[PDF_initial fee]]</f>
        <v>1</v>
      </c>
      <c r="T3189" s="89"/>
      <c r="U3189" s="26"/>
      <c r="V3189" t="s">
        <v>30435</v>
      </c>
      <c r="Y3189" s="30"/>
      <c r="AD3189" t="s">
        <v>30435</v>
      </c>
    </row>
    <row r="3190" spans="1:30" hidden="1" x14ac:dyDescent="0.25">
      <c r="A3190">
        <v>600400</v>
      </c>
      <c r="B3190" t="s">
        <v>3559</v>
      </c>
      <c r="C3190" t="s">
        <v>6958</v>
      </c>
      <c r="D3190">
        <v>0</v>
      </c>
      <c r="E3190" t="s">
        <v>3559</v>
      </c>
      <c r="F3190" t="s">
        <v>6958</v>
      </c>
      <c r="G3190" s="3"/>
      <c r="H3190" s="21">
        <v>0</v>
      </c>
      <c r="I3190" s="21">
        <v>0</v>
      </c>
      <c r="J3190" s="21">
        <v>0</v>
      </c>
      <c r="K3190" s="21">
        <v>0</v>
      </c>
      <c r="L3190" s="3">
        <f t="shared" si="142"/>
        <v>0</v>
      </c>
      <c r="M3190" s="3"/>
      <c r="N3190" s="3">
        <f t="shared" si="143"/>
        <v>0</v>
      </c>
      <c r="R3190" s="89"/>
      <c r="S3190" s="89">
        <f>100%-Table34[[#This Row],[PDF_initial fee]]</f>
        <v>1</v>
      </c>
      <c r="T3190" s="89"/>
      <c r="U3190" s="26"/>
    </row>
    <row r="3191" spans="1:30" hidden="1" x14ac:dyDescent="0.25">
      <c r="A3191">
        <v>600504</v>
      </c>
      <c r="B3191" t="s">
        <v>3560</v>
      </c>
      <c r="C3191" t="s">
        <v>6958</v>
      </c>
      <c r="D3191">
        <v>1</v>
      </c>
      <c r="E3191" t="s">
        <v>3560</v>
      </c>
      <c r="F3191" t="s">
        <v>6958</v>
      </c>
      <c r="G3191" s="3"/>
      <c r="H3191" s="21">
        <v>0</v>
      </c>
      <c r="I3191" s="21">
        <v>0</v>
      </c>
      <c r="J3191" s="21">
        <v>0</v>
      </c>
      <c r="K3191" s="21">
        <v>0</v>
      </c>
      <c r="L3191" s="3">
        <f t="shared" si="142"/>
        <v>0</v>
      </c>
      <c r="M3191" s="3"/>
      <c r="N3191" s="3">
        <f t="shared" si="143"/>
        <v>0</v>
      </c>
      <c r="R3191" s="89"/>
      <c r="S3191" s="89">
        <f>100%-Table34[[#This Row],[PDF_initial fee]]</f>
        <v>1</v>
      </c>
      <c r="T3191" s="89"/>
      <c r="U3191" s="26"/>
    </row>
    <row r="3192" spans="1:30" hidden="1" x14ac:dyDescent="0.25">
      <c r="A3192">
        <v>600514</v>
      </c>
      <c r="B3192" t="s">
        <v>3561</v>
      </c>
      <c r="C3192" t="s">
        <v>6958</v>
      </c>
      <c r="D3192">
        <v>1</v>
      </c>
      <c r="E3192" t="s">
        <v>3561</v>
      </c>
      <c r="F3192" t="s">
        <v>6958</v>
      </c>
      <c r="G3192" s="3"/>
      <c r="H3192" s="21">
        <v>0</v>
      </c>
      <c r="I3192" s="21">
        <v>0</v>
      </c>
      <c r="J3192" s="21">
        <v>0</v>
      </c>
      <c r="K3192" s="21">
        <v>0</v>
      </c>
      <c r="L3192" s="3">
        <f t="shared" si="142"/>
        <v>0</v>
      </c>
      <c r="M3192" s="3"/>
      <c r="N3192" s="3">
        <f t="shared" si="143"/>
        <v>0</v>
      </c>
      <c r="R3192" s="89"/>
      <c r="S3192" s="89">
        <f>100%-Table34[[#This Row],[PDF_initial fee]]</f>
        <v>1</v>
      </c>
      <c r="T3192" s="89"/>
      <c r="U3192" s="26"/>
    </row>
    <row r="3193" spans="1:30" hidden="1" x14ac:dyDescent="0.25">
      <c r="A3193">
        <v>600539</v>
      </c>
      <c r="B3193" t="s">
        <v>3562</v>
      </c>
      <c r="C3193" t="s">
        <v>9514</v>
      </c>
      <c r="D3193">
        <v>1</v>
      </c>
      <c r="E3193" t="s">
        <v>3562</v>
      </c>
      <c r="G3193" s="3"/>
      <c r="H3193" s="21">
        <v>0</v>
      </c>
      <c r="I3193" s="21">
        <v>0</v>
      </c>
      <c r="J3193" s="21">
        <v>0</v>
      </c>
      <c r="K3193" s="21">
        <v>0</v>
      </c>
      <c r="L3193" s="3">
        <f t="shared" si="142"/>
        <v>0</v>
      </c>
      <c r="M3193" s="3"/>
      <c r="N3193" s="3">
        <f t="shared" si="143"/>
        <v>0</v>
      </c>
      <c r="R3193" s="89"/>
      <c r="S3193" s="89">
        <f>100%-Table34[[#This Row],[PDF_initial fee]]</f>
        <v>1</v>
      </c>
      <c r="T3193" s="89"/>
      <c r="U3193" s="26"/>
    </row>
    <row r="3194" spans="1:30" hidden="1" x14ac:dyDescent="0.25">
      <c r="A3194">
        <v>600827</v>
      </c>
      <c r="B3194" t="s">
        <v>3563</v>
      </c>
      <c r="C3194" t="s">
        <v>11106</v>
      </c>
      <c r="D3194">
        <v>1</v>
      </c>
      <c r="E3194" t="s">
        <v>3563</v>
      </c>
      <c r="G3194" s="3"/>
      <c r="H3194" s="21">
        <v>0</v>
      </c>
      <c r="I3194" s="21">
        <v>0</v>
      </c>
      <c r="J3194" s="21">
        <v>0</v>
      </c>
      <c r="K3194" s="21">
        <v>0</v>
      </c>
      <c r="L3194" s="3">
        <f t="shared" si="142"/>
        <v>0</v>
      </c>
      <c r="M3194" s="3"/>
      <c r="N3194" s="3">
        <f t="shared" si="143"/>
        <v>0</v>
      </c>
      <c r="R3194" s="89"/>
      <c r="S3194" s="89">
        <f>100%-Table34[[#This Row],[PDF_initial fee]]</f>
        <v>1</v>
      </c>
      <c r="T3194" s="89"/>
      <c r="U3194" s="26"/>
    </row>
    <row r="3195" spans="1:30" hidden="1" x14ac:dyDescent="0.25">
      <c r="A3195">
        <v>600895</v>
      </c>
      <c r="B3195" t="s">
        <v>3564</v>
      </c>
      <c r="C3195" t="s">
        <v>10436</v>
      </c>
      <c r="D3195">
        <v>3</v>
      </c>
      <c r="E3195" t="s">
        <v>3564</v>
      </c>
      <c r="G3195" s="3"/>
      <c r="H3195" s="21">
        <v>0</v>
      </c>
      <c r="I3195" s="21">
        <v>0</v>
      </c>
      <c r="J3195" s="21">
        <v>0</v>
      </c>
      <c r="K3195" s="21">
        <v>0</v>
      </c>
      <c r="L3195" s="3">
        <f t="shared" si="142"/>
        <v>0</v>
      </c>
      <c r="M3195" s="3"/>
      <c r="N3195" s="3">
        <f t="shared" si="143"/>
        <v>0</v>
      </c>
      <c r="R3195" s="89"/>
      <c r="S3195" s="89">
        <f>100%-Table34[[#This Row],[PDF_initial fee]]</f>
        <v>1</v>
      </c>
      <c r="T3195" s="89"/>
      <c r="U3195" s="26"/>
    </row>
    <row r="3196" spans="1:30" hidden="1" x14ac:dyDescent="0.25">
      <c r="A3196">
        <v>600896</v>
      </c>
      <c r="B3196" t="s">
        <v>3565</v>
      </c>
      <c r="C3196" t="s">
        <v>30581</v>
      </c>
      <c r="D3196">
        <v>1</v>
      </c>
      <c r="E3196" t="s">
        <v>3565</v>
      </c>
      <c r="G3196" s="3"/>
      <c r="H3196" s="21">
        <v>0</v>
      </c>
      <c r="I3196" s="21">
        <v>0</v>
      </c>
      <c r="J3196" s="21">
        <v>0</v>
      </c>
      <c r="K3196" s="21">
        <v>0</v>
      </c>
      <c r="L3196" s="3">
        <f t="shared" si="142"/>
        <v>0</v>
      </c>
      <c r="M3196" s="3"/>
      <c r="N3196" s="3">
        <f t="shared" si="143"/>
        <v>0</v>
      </c>
      <c r="O3196" s="21"/>
      <c r="R3196" s="89"/>
      <c r="S3196" s="89">
        <f>100%-Table34[[#This Row],[PDF_initial fee]]</f>
        <v>1</v>
      </c>
      <c r="T3196" s="89"/>
      <c r="U3196" s="26"/>
    </row>
    <row r="3197" spans="1:30" hidden="1" x14ac:dyDescent="0.25">
      <c r="A3197">
        <v>600931</v>
      </c>
      <c r="B3197" t="s">
        <v>3566</v>
      </c>
      <c r="C3197" t="s">
        <v>8319</v>
      </c>
      <c r="D3197">
        <v>2</v>
      </c>
      <c r="E3197" t="s">
        <v>3566</v>
      </c>
      <c r="G3197" s="3"/>
      <c r="H3197" s="21">
        <v>0</v>
      </c>
      <c r="I3197" s="21">
        <v>0</v>
      </c>
      <c r="J3197" s="21">
        <v>0</v>
      </c>
      <c r="K3197" s="21">
        <v>0</v>
      </c>
      <c r="L3197" s="3">
        <f t="shared" si="142"/>
        <v>0</v>
      </c>
      <c r="M3197" s="3"/>
      <c r="N3197" s="3">
        <f t="shared" si="143"/>
        <v>0</v>
      </c>
      <c r="R3197" s="89"/>
      <c r="S3197" s="89">
        <f>100%-Table34[[#This Row],[PDF_initial fee]]</f>
        <v>1</v>
      </c>
      <c r="T3197" s="89"/>
      <c r="U3197" s="26"/>
    </row>
    <row r="3198" spans="1:30" hidden="1" x14ac:dyDescent="0.25">
      <c r="A3198">
        <v>601039</v>
      </c>
      <c r="B3198" t="s">
        <v>3567</v>
      </c>
      <c r="C3198" t="s">
        <v>6958</v>
      </c>
      <c r="D3198">
        <v>2</v>
      </c>
      <c r="E3198" t="s">
        <v>3567</v>
      </c>
      <c r="F3198" t="s">
        <v>6958</v>
      </c>
      <c r="G3198" s="3"/>
      <c r="H3198" s="21">
        <v>0</v>
      </c>
      <c r="I3198" s="21">
        <v>0</v>
      </c>
      <c r="J3198" s="21">
        <v>0</v>
      </c>
      <c r="K3198" s="21">
        <v>0</v>
      </c>
      <c r="L3198" s="3">
        <f t="shared" si="142"/>
        <v>0</v>
      </c>
      <c r="M3198" s="3"/>
      <c r="N3198" s="3">
        <f t="shared" si="143"/>
        <v>0</v>
      </c>
      <c r="R3198" s="89"/>
      <c r="S3198" s="89">
        <f>100%-Table34[[#This Row],[PDF_initial fee]]</f>
        <v>1</v>
      </c>
      <c r="T3198" s="89"/>
      <c r="U3198" s="26"/>
    </row>
    <row r="3199" spans="1:30" hidden="1" x14ac:dyDescent="0.25">
      <c r="A3199">
        <v>601226</v>
      </c>
      <c r="B3199" t="s">
        <v>3568</v>
      </c>
      <c r="C3199" t="s">
        <v>6958</v>
      </c>
      <c r="D3199">
        <v>1</v>
      </c>
      <c r="E3199" t="s">
        <v>3568</v>
      </c>
      <c r="F3199" t="s">
        <v>6958</v>
      </c>
      <c r="G3199" s="3"/>
      <c r="L3199" s="3">
        <f t="shared" si="142"/>
        <v>0</v>
      </c>
      <c r="M3199" s="3"/>
      <c r="N3199" s="3">
        <f t="shared" si="143"/>
        <v>0</v>
      </c>
      <c r="R3199" s="89"/>
      <c r="S3199" s="89">
        <f>100%-Table34[[#This Row],[PDF_initial fee]]</f>
        <v>1</v>
      </c>
      <c r="T3199" s="89"/>
      <c r="U3199" s="26"/>
    </row>
    <row r="3200" spans="1:30" hidden="1" x14ac:dyDescent="0.25">
      <c r="A3200">
        <v>601284</v>
      </c>
      <c r="B3200" t="s">
        <v>3569</v>
      </c>
      <c r="C3200" t="s">
        <v>10148</v>
      </c>
      <c r="D3200">
        <v>1</v>
      </c>
      <c r="E3200" t="s">
        <v>3569</v>
      </c>
      <c r="G3200" s="3"/>
      <c r="H3200" s="21">
        <v>0</v>
      </c>
      <c r="I3200" s="21">
        <v>0</v>
      </c>
      <c r="J3200" s="21">
        <v>0</v>
      </c>
      <c r="K3200" s="21">
        <v>0</v>
      </c>
      <c r="L3200" s="3">
        <f t="shared" si="142"/>
        <v>0</v>
      </c>
      <c r="M3200" s="3"/>
      <c r="N3200" s="3">
        <f t="shared" si="143"/>
        <v>0</v>
      </c>
      <c r="R3200" s="89"/>
      <c r="S3200" s="89">
        <f>100%-Table34[[#This Row],[PDF_initial fee]]</f>
        <v>1</v>
      </c>
      <c r="T3200" s="89"/>
      <c r="U3200" s="26"/>
    </row>
    <row r="3201" spans="1:21" hidden="1" x14ac:dyDescent="0.25">
      <c r="A3201">
        <v>601394</v>
      </c>
      <c r="B3201" t="s">
        <v>3570</v>
      </c>
      <c r="C3201" t="s">
        <v>30582</v>
      </c>
      <c r="D3201">
        <v>4</v>
      </c>
      <c r="E3201" t="s">
        <v>3570</v>
      </c>
      <c r="G3201" s="3"/>
      <c r="H3201" s="3">
        <v>0</v>
      </c>
      <c r="I3201" s="3">
        <v>0</v>
      </c>
      <c r="J3201" s="3">
        <v>0</v>
      </c>
      <c r="K3201" s="3">
        <v>0</v>
      </c>
      <c r="L3201" s="3">
        <f t="shared" si="142"/>
        <v>0</v>
      </c>
      <c r="M3201" s="3"/>
      <c r="N3201" s="3">
        <f t="shared" si="143"/>
        <v>0</v>
      </c>
      <c r="R3201" s="89"/>
      <c r="S3201" s="89">
        <f>100%-Table34[[#This Row],[PDF_initial fee]]</f>
        <v>1</v>
      </c>
      <c r="T3201" s="89"/>
      <c r="U3201" s="26"/>
    </row>
    <row r="3202" spans="1:21" hidden="1" x14ac:dyDescent="0.25">
      <c r="A3202">
        <v>601396</v>
      </c>
      <c r="B3202" t="s">
        <v>3571</v>
      </c>
      <c r="C3202" t="s">
        <v>30583</v>
      </c>
      <c r="D3202">
        <v>8</v>
      </c>
      <c r="E3202" t="s">
        <v>3571</v>
      </c>
      <c r="G3202" s="3"/>
      <c r="H3202" s="3">
        <v>0</v>
      </c>
      <c r="I3202" s="3">
        <v>0</v>
      </c>
      <c r="J3202" s="3">
        <v>0</v>
      </c>
      <c r="K3202" s="3">
        <v>0</v>
      </c>
      <c r="L3202" s="3">
        <f t="shared" si="142"/>
        <v>0</v>
      </c>
      <c r="M3202" s="3"/>
      <c r="N3202" s="3">
        <f t="shared" si="143"/>
        <v>0</v>
      </c>
      <c r="R3202" s="89"/>
      <c r="S3202" s="89">
        <f>100%-Table34[[#This Row],[PDF_initial fee]]</f>
        <v>1</v>
      </c>
      <c r="T3202" s="89"/>
      <c r="U3202" s="26"/>
    </row>
    <row r="3203" spans="1:21" hidden="1" x14ac:dyDescent="0.25">
      <c r="A3203">
        <v>601481</v>
      </c>
      <c r="B3203" t="s">
        <v>3572</v>
      </c>
      <c r="C3203" t="s">
        <v>6958</v>
      </c>
      <c r="D3203">
        <v>1</v>
      </c>
      <c r="E3203" t="s">
        <v>3572</v>
      </c>
      <c r="F3203" t="s">
        <v>6958</v>
      </c>
      <c r="G3203" s="3"/>
      <c r="H3203" s="21">
        <v>0</v>
      </c>
      <c r="I3203" s="21">
        <v>0</v>
      </c>
      <c r="J3203" s="21">
        <v>0</v>
      </c>
      <c r="K3203" s="21">
        <v>0</v>
      </c>
      <c r="L3203" s="3">
        <f t="shared" si="142"/>
        <v>0</v>
      </c>
      <c r="M3203" s="3"/>
      <c r="N3203" s="3">
        <f t="shared" si="143"/>
        <v>0</v>
      </c>
      <c r="R3203" s="89"/>
      <c r="S3203" s="89">
        <f>100%-Table34[[#This Row],[PDF_initial fee]]</f>
        <v>1</v>
      </c>
      <c r="T3203" s="89"/>
      <c r="U3203" s="26"/>
    </row>
    <row r="3204" spans="1:21" hidden="1" x14ac:dyDescent="0.25">
      <c r="A3204">
        <v>601756</v>
      </c>
      <c r="B3204" t="s">
        <v>3573</v>
      </c>
      <c r="C3204" t="s">
        <v>30584</v>
      </c>
      <c r="D3204">
        <v>16</v>
      </c>
      <c r="E3204" t="s">
        <v>3573</v>
      </c>
      <c r="G3204" s="3"/>
      <c r="H3204" s="3">
        <v>0</v>
      </c>
      <c r="I3204" s="3">
        <v>0</v>
      </c>
      <c r="J3204" s="3">
        <v>0</v>
      </c>
      <c r="K3204" s="3">
        <v>0</v>
      </c>
      <c r="L3204" s="3">
        <f t="shared" si="142"/>
        <v>0</v>
      </c>
      <c r="M3204" s="3"/>
      <c r="N3204" s="3">
        <f t="shared" si="143"/>
        <v>0</v>
      </c>
      <c r="R3204" s="89"/>
      <c r="S3204" s="89">
        <f>100%-Table34[[#This Row],[PDF_initial fee]]</f>
        <v>1</v>
      </c>
      <c r="T3204" s="89"/>
      <c r="U3204" s="26"/>
    </row>
    <row r="3205" spans="1:21" hidden="1" x14ac:dyDescent="0.25">
      <c r="A3205">
        <v>602001</v>
      </c>
      <c r="B3205" t="s">
        <v>3574</v>
      </c>
      <c r="C3205" t="s">
        <v>7682</v>
      </c>
      <c r="D3205">
        <v>2</v>
      </c>
      <c r="E3205" t="s">
        <v>3574</v>
      </c>
      <c r="G3205" s="3"/>
      <c r="H3205" s="21">
        <v>0</v>
      </c>
      <c r="I3205" s="21">
        <v>0</v>
      </c>
      <c r="J3205" s="21">
        <v>0</v>
      </c>
      <c r="K3205" s="21">
        <v>0</v>
      </c>
      <c r="L3205" s="3">
        <f t="shared" si="142"/>
        <v>0</v>
      </c>
      <c r="M3205" s="3"/>
      <c r="N3205" s="3">
        <f t="shared" si="143"/>
        <v>0</v>
      </c>
      <c r="R3205" s="89"/>
      <c r="S3205" s="89">
        <f>100%-Table34[[#This Row],[PDF_initial fee]]</f>
        <v>1</v>
      </c>
      <c r="T3205" s="89"/>
      <c r="U3205" s="26"/>
    </row>
    <row r="3206" spans="1:21" hidden="1" x14ac:dyDescent="0.25">
      <c r="A3206">
        <v>602045</v>
      </c>
      <c r="B3206" t="s">
        <v>3575</v>
      </c>
      <c r="C3206" t="s">
        <v>7286</v>
      </c>
      <c r="D3206">
        <v>2</v>
      </c>
      <c r="E3206" t="s">
        <v>3575</v>
      </c>
      <c r="G3206" s="3"/>
      <c r="H3206" s="21">
        <v>0</v>
      </c>
      <c r="I3206" s="21">
        <v>0</v>
      </c>
      <c r="J3206" s="21">
        <v>0</v>
      </c>
      <c r="K3206" s="21">
        <v>0</v>
      </c>
      <c r="L3206" s="3">
        <f t="shared" si="142"/>
        <v>0</v>
      </c>
      <c r="M3206" s="3"/>
      <c r="N3206" s="3">
        <f t="shared" si="143"/>
        <v>0</v>
      </c>
      <c r="R3206" s="89"/>
      <c r="S3206" s="89">
        <f>100%-Table34[[#This Row],[PDF_initial fee]]</f>
        <v>1</v>
      </c>
      <c r="T3206" s="89"/>
      <c r="U3206" s="26"/>
    </row>
    <row r="3207" spans="1:21" hidden="1" x14ac:dyDescent="0.25">
      <c r="A3207">
        <v>602051</v>
      </c>
      <c r="B3207" t="s">
        <v>3576</v>
      </c>
      <c r="C3207" t="s">
        <v>30585</v>
      </c>
      <c r="D3207">
        <v>5</v>
      </c>
      <c r="E3207" t="s">
        <v>3576</v>
      </c>
      <c r="G3207" s="3"/>
      <c r="H3207" s="3">
        <v>0</v>
      </c>
      <c r="I3207" s="3">
        <v>0</v>
      </c>
      <c r="J3207" s="3">
        <v>0</v>
      </c>
      <c r="K3207" s="3">
        <v>0</v>
      </c>
      <c r="L3207" s="3">
        <f t="shared" si="142"/>
        <v>0</v>
      </c>
      <c r="M3207" s="3"/>
      <c r="N3207" s="3">
        <f t="shared" si="143"/>
        <v>0</v>
      </c>
      <c r="R3207" s="89"/>
      <c r="S3207" s="89">
        <f>100%-Table34[[#This Row],[PDF_initial fee]]</f>
        <v>1</v>
      </c>
      <c r="T3207" s="89"/>
      <c r="U3207" s="26"/>
    </row>
    <row r="3208" spans="1:21" hidden="1" x14ac:dyDescent="0.25">
      <c r="A3208">
        <v>602080</v>
      </c>
      <c r="B3208" t="s">
        <v>3577</v>
      </c>
      <c r="C3208" t="s">
        <v>9935</v>
      </c>
      <c r="D3208">
        <v>1</v>
      </c>
      <c r="E3208" t="s">
        <v>3577</v>
      </c>
      <c r="G3208" s="3"/>
      <c r="H3208" s="21">
        <v>0</v>
      </c>
      <c r="I3208" s="21">
        <v>0</v>
      </c>
      <c r="J3208" s="21">
        <v>0</v>
      </c>
      <c r="K3208" s="21">
        <v>0</v>
      </c>
      <c r="L3208" s="3">
        <f t="shared" si="142"/>
        <v>0</v>
      </c>
      <c r="M3208" s="3"/>
      <c r="N3208" s="3">
        <f t="shared" si="143"/>
        <v>0</v>
      </c>
      <c r="R3208" s="89"/>
      <c r="S3208" s="89">
        <f>100%-Table34[[#This Row],[PDF_initial fee]]</f>
        <v>1</v>
      </c>
      <c r="T3208" s="89"/>
      <c r="U3208" s="26"/>
    </row>
    <row r="3209" spans="1:21" hidden="1" x14ac:dyDescent="0.25">
      <c r="A3209">
        <v>602082</v>
      </c>
      <c r="B3209" t="s">
        <v>3578</v>
      </c>
      <c r="C3209" t="s">
        <v>30586</v>
      </c>
      <c r="D3209">
        <v>0</v>
      </c>
      <c r="E3209" t="s">
        <v>3578</v>
      </c>
      <c r="F3209" t="s">
        <v>29136</v>
      </c>
      <c r="G3209" s="3"/>
      <c r="H3209" s="21">
        <v>0</v>
      </c>
      <c r="I3209" s="21">
        <v>0</v>
      </c>
      <c r="J3209" s="21">
        <v>0</v>
      </c>
      <c r="K3209" s="21">
        <v>0</v>
      </c>
      <c r="L3209" s="3">
        <f t="shared" si="142"/>
        <v>0</v>
      </c>
      <c r="M3209" s="3"/>
      <c r="N3209" s="3">
        <f t="shared" si="143"/>
        <v>0</v>
      </c>
      <c r="O3209" s="21"/>
      <c r="R3209" s="89"/>
      <c r="S3209" s="89">
        <f>100%-Table34[[#This Row],[PDF_initial fee]]</f>
        <v>1</v>
      </c>
      <c r="T3209" s="89"/>
      <c r="U3209" s="26"/>
    </row>
    <row r="3210" spans="1:21" hidden="1" x14ac:dyDescent="0.25">
      <c r="A3210">
        <v>602199</v>
      </c>
      <c r="B3210" t="s">
        <v>3579</v>
      </c>
      <c r="C3210" t="s">
        <v>10361</v>
      </c>
      <c r="D3210">
        <v>1</v>
      </c>
      <c r="E3210" t="s">
        <v>3579</v>
      </c>
      <c r="G3210" s="3"/>
      <c r="L3210" s="3">
        <f t="shared" si="142"/>
        <v>0</v>
      </c>
      <c r="M3210" s="3"/>
      <c r="N3210" s="3">
        <f t="shared" si="143"/>
        <v>0</v>
      </c>
      <c r="R3210" s="89"/>
      <c r="S3210" s="89">
        <f>100%-Table34[[#This Row],[PDF_initial fee]]</f>
        <v>1</v>
      </c>
      <c r="T3210" s="89"/>
      <c r="U3210" s="26"/>
    </row>
    <row r="3211" spans="1:21" hidden="1" x14ac:dyDescent="0.25">
      <c r="A3211">
        <v>602237</v>
      </c>
      <c r="B3211" t="s">
        <v>3580</v>
      </c>
      <c r="C3211" t="s">
        <v>7200</v>
      </c>
      <c r="D3211">
        <v>4</v>
      </c>
      <c r="E3211" t="s">
        <v>3580</v>
      </c>
      <c r="G3211" s="3"/>
      <c r="H3211" s="21">
        <v>0</v>
      </c>
      <c r="I3211" s="21">
        <v>0</v>
      </c>
      <c r="J3211" s="21">
        <v>0</v>
      </c>
      <c r="K3211" s="21">
        <v>0</v>
      </c>
      <c r="L3211" s="3">
        <f t="shared" si="142"/>
        <v>0</v>
      </c>
      <c r="M3211" s="3"/>
      <c r="N3211" s="3">
        <f t="shared" si="143"/>
        <v>0</v>
      </c>
      <c r="R3211" s="89"/>
      <c r="S3211" s="89">
        <f>100%-Table34[[#This Row],[PDF_initial fee]]</f>
        <v>1</v>
      </c>
      <c r="T3211" s="89"/>
      <c r="U3211" s="26"/>
    </row>
    <row r="3212" spans="1:21" hidden="1" x14ac:dyDescent="0.25">
      <c r="A3212">
        <v>602295</v>
      </c>
      <c r="B3212" t="s">
        <v>3581</v>
      </c>
      <c r="C3212" t="s">
        <v>8179</v>
      </c>
      <c r="D3212">
        <v>1</v>
      </c>
      <c r="E3212" t="s">
        <v>3581</v>
      </c>
      <c r="G3212" s="3"/>
      <c r="H3212" s="21">
        <v>0</v>
      </c>
      <c r="I3212" s="21">
        <v>0</v>
      </c>
      <c r="J3212" s="21">
        <v>0</v>
      </c>
      <c r="K3212" s="21">
        <v>0</v>
      </c>
      <c r="L3212" s="3">
        <f t="shared" si="142"/>
        <v>0</v>
      </c>
      <c r="M3212" s="3"/>
      <c r="N3212" s="3">
        <f t="shared" si="143"/>
        <v>0</v>
      </c>
      <c r="R3212" s="89"/>
      <c r="S3212" s="89">
        <f>100%-Table34[[#This Row],[PDF_initial fee]]</f>
        <v>1</v>
      </c>
      <c r="T3212" s="89"/>
      <c r="U3212" s="26"/>
    </row>
    <row r="3213" spans="1:21" hidden="1" x14ac:dyDescent="0.25">
      <c r="A3213">
        <v>602496</v>
      </c>
      <c r="B3213" t="s">
        <v>3582</v>
      </c>
      <c r="C3213" t="s">
        <v>30587</v>
      </c>
      <c r="D3213">
        <v>3</v>
      </c>
      <c r="E3213" t="s">
        <v>3582</v>
      </c>
      <c r="G3213" s="3"/>
      <c r="H3213" s="3">
        <v>0</v>
      </c>
      <c r="I3213" s="3">
        <v>0</v>
      </c>
      <c r="J3213" s="3">
        <v>0</v>
      </c>
      <c r="K3213" s="3">
        <v>0</v>
      </c>
      <c r="L3213" s="3">
        <f t="shared" si="142"/>
        <v>0</v>
      </c>
      <c r="M3213" s="3"/>
      <c r="N3213" s="3">
        <f t="shared" si="143"/>
        <v>0</v>
      </c>
      <c r="R3213" s="89"/>
      <c r="S3213" s="89">
        <f>100%-Table34[[#This Row],[PDF_initial fee]]</f>
        <v>1</v>
      </c>
      <c r="T3213" s="89"/>
      <c r="U3213" s="26"/>
    </row>
    <row r="3214" spans="1:21" hidden="1" x14ac:dyDescent="0.25">
      <c r="A3214">
        <v>602550</v>
      </c>
      <c r="B3214" t="s">
        <v>3583</v>
      </c>
      <c r="C3214" t="s">
        <v>7805</v>
      </c>
      <c r="D3214">
        <v>1</v>
      </c>
      <c r="E3214" t="s">
        <v>3583</v>
      </c>
      <c r="G3214" s="3"/>
      <c r="H3214" s="21">
        <v>0</v>
      </c>
      <c r="I3214" s="21">
        <v>0</v>
      </c>
      <c r="J3214" s="21">
        <v>0</v>
      </c>
      <c r="K3214" s="21">
        <v>0</v>
      </c>
      <c r="L3214" s="3">
        <f t="shared" si="142"/>
        <v>0</v>
      </c>
      <c r="M3214" s="3"/>
      <c r="N3214" s="3">
        <f t="shared" si="143"/>
        <v>0</v>
      </c>
      <c r="R3214" s="89"/>
      <c r="S3214" s="89">
        <f>100%-Table34[[#This Row],[PDF_initial fee]]</f>
        <v>1</v>
      </c>
      <c r="T3214" s="89"/>
      <c r="U3214" s="26"/>
    </row>
    <row r="3215" spans="1:21" hidden="1" x14ac:dyDescent="0.25">
      <c r="A3215">
        <v>602622</v>
      </c>
      <c r="B3215" t="s">
        <v>3584</v>
      </c>
      <c r="C3215" t="s">
        <v>10787</v>
      </c>
      <c r="D3215">
        <v>1</v>
      </c>
      <c r="E3215" t="s">
        <v>3584</v>
      </c>
      <c r="G3215" s="3"/>
      <c r="H3215" s="21">
        <v>0</v>
      </c>
      <c r="I3215" s="21">
        <v>0</v>
      </c>
      <c r="J3215" s="21">
        <v>0</v>
      </c>
      <c r="K3215" s="21">
        <v>0</v>
      </c>
      <c r="L3215" s="3">
        <f t="shared" si="142"/>
        <v>0</v>
      </c>
      <c r="M3215" s="3"/>
      <c r="N3215" s="3">
        <f t="shared" si="143"/>
        <v>0</v>
      </c>
      <c r="R3215" s="89"/>
      <c r="S3215" s="89">
        <f>100%-Table34[[#This Row],[PDF_initial fee]]</f>
        <v>1</v>
      </c>
      <c r="T3215" s="89"/>
      <c r="U3215" s="26"/>
    </row>
    <row r="3216" spans="1:21" hidden="1" x14ac:dyDescent="0.25">
      <c r="A3216">
        <v>602814</v>
      </c>
      <c r="B3216" t="s">
        <v>3585</v>
      </c>
      <c r="C3216" t="s">
        <v>11515</v>
      </c>
      <c r="D3216">
        <v>1</v>
      </c>
      <c r="E3216" t="s">
        <v>3585</v>
      </c>
      <c r="G3216" s="3"/>
      <c r="H3216" s="21">
        <v>0</v>
      </c>
      <c r="I3216" s="21">
        <v>0</v>
      </c>
      <c r="J3216" s="21">
        <v>0</v>
      </c>
      <c r="K3216" s="21">
        <v>0</v>
      </c>
      <c r="L3216" s="3">
        <f t="shared" si="142"/>
        <v>0</v>
      </c>
      <c r="M3216" s="3"/>
      <c r="N3216" s="3">
        <f t="shared" si="143"/>
        <v>0</v>
      </c>
      <c r="R3216" s="89"/>
      <c r="S3216" s="89">
        <f>100%-Table34[[#This Row],[PDF_initial fee]]</f>
        <v>1</v>
      </c>
      <c r="T3216" s="89"/>
      <c r="U3216" s="26"/>
    </row>
    <row r="3217" spans="1:21" hidden="1" x14ac:dyDescent="0.25">
      <c r="A3217">
        <v>602846</v>
      </c>
      <c r="B3217" t="s">
        <v>3586</v>
      </c>
      <c r="C3217" t="s">
        <v>6958</v>
      </c>
      <c r="D3217">
        <v>1</v>
      </c>
      <c r="E3217" t="s">
        <v>3586</v>
      </c>
      <c r="F3217" t="s">
        <v>6958</v>
      </c>
      <c r="G3217" s="3"/>
      <c r="H3217" s="21">
        <v>0</v>
      </c>
      <c r="I3217" s="21">
        <v>0</v>
      </c>
      <c r="J3217" s="21">
        <v>0</v>
      </c>
      <c r="K3217" s="21">
        <v>0</v>
      </c>
      <c r="L3217" s="3">
        <f t="shared" si="142"/>
        <v>0</v>
      </c>
      <c r="M3217" s="3"/>
      <c r="N3217" s="3">
        <f t="shared" si="143"/>
        <v>0</v>
      </c>
      <c r="R3217" s="89"/>
      <c r="S3217" s="89">
        <f>100%-Table34[[#This Row],[PDF_initial fee]]</f>
        <v>1</v>
      </c>
      <c r="T3217" s="89"/>
      <c r="U3217" s="26"/>
    </row>
    <row r="3218" spans="1:21" hidden="1" x14ac:dyDescent="0.25">
      <c r="A3218">
        <v>602944</v>
      </c>
      <c r="B3218" t="s">
        <v>3587</v>
      </c>
      <c r="C3218" t="s">
        <v>6958</v>
      </c>
      <c r="D3218">
        <v>2</v>
      </c>
      <c r="E3218" t="s">
        <v>3587</v>
      </c>
      <c r="F3218" t="s">
        <v>6958</v>
      </c>
      <c r="G3218" s="3"/>
      <c r="H3218" s="21">
        <v>0</v>
      </c>
      <c r="I3218" s="21">
        <v>0</v>
      </c>
      <c r="J3218" s="21">
        <v>0</v>
      </c>
      <c r="K3218" s="21">
        <v>0</v>
      </c>
      <c r="L3218" s="3">
        <f t="shared" si="142"/>
        <v>0</v>
      </c>
      <c r="M3218" s="3"/>
      <c r="N3218" s="3">
        <f t="shared" si="143"/>
        <v>0</v>
      </c>
      <c r="R3218" s="89"/>
      <c r="S3218" s="89">
        <f>100%-Table34[[#This Row],[PDF_initial fee]]</f>
        <v>1</v>
      </c>
      <c r="T3218" s="89"/>
      <c r="U3218" s="26"/>
    </row>
    <row r="3219" spans="1:21" hidden="1" x14ac:dyDescent="0.25">
      <c r="A3219">
        <v>602954</v>
      </c>
      <c r="B3219" t="s">
        <v>3588</v>
      </c>
      <c r="C3219" t="s">
        <v>6958</v>
      </c>
      <c r="D3219">
        <v>1</v>
      </c>
      <c r="E3219" t="s">
        <v>3588</v>
      </c>
      <c r="F3219" t="s">
        <v>6958</v>
      </c>
      <c r="G3219" s="3"/>
      <c r="H3219" s="21">
        <v>0</v>
      </c>
      <c r="I3219" s="21">
        <v>0</v>
      </c>
      <c r="J3219" s="21">
        <v>0</v>
      </c>
      <c r="K3219" s="21">
        <v>0</v>
      </c>
      <c r="L3219" s="3">
        <f t="shared" si="142"/>
        <v>0</v>
      </c>
      <c r="M3219" s="3"/>
      <c r="N3219" s="3">
        <f t="shared" si="143"/>
        <v>0</v>
      </c>
      <c r="R3219" s="89"/>
      <c r="S3219" s="89">
        <f>100%-Table34[[#This Row],[PDF_initial fee]]</f>
        <v>1</v>
      </c>
      <c r="T3219" s="89"/>
      <c r="U3219" s="26"/>
    </row>
    <row r="3220" spans="1:21" hidden="1" x14ac:dyDescent="0.25">
      <c r="A3220">
        <v>602997</v>
      </c>
      <c r="B3220" t="s">
        <v>3589</v>
      </c>
      <c r="C3220" t="s">
        <v>6958</v>
      </c>
      <c r="D3220">
        <v>1</v>
      </c>
      <c r="E3220" t="s">
        <v>3589</v>
      </c>
      <c r="F3220" t="s">
        <v>6958</v>
      </c>
      <c r="G3220" s="3"/>
      <c r="H3220" s="21">
        <v>0</v>
      </c>
      <c r="I3220" s="21">
        <v>0</v>
      </c>
      <c r="J3220" s="21">
        <v>0</v>
      </c>
      <c r="K3220" s="21">
        <v>0</v>
      </c>
      <c r="L3220" s="3">
        <f t="shared" si="142"/>
        <v>0</v>
      </c>
      <c r="M3220" s="3"/>
      <c r="N3220" s="3">
        <f t="shared" si="143"/>
        <v>0</v>
      </c>
      <c r="R3220" s="89"/>
      <c r="S3220" s="89">
        <f>100%-Table34[[#This Row],[PDF_initial fee]]</f>
        <v>1</v>
      </c>
      <c r="T3220" s="89"/>
      <c r="U3220" s="26"/>
    </row>
    <row r="3221" spans="1:21" hidden="1" x14ac:dyDescent="0.25">
      <c r="A3221">
        <v>603065</v>
      </c>
      <c r="B3221" t="s">
        <v>3590</v>
      </c>
      <c r="C3221" t="s">
        <v>30588</v>
      </c>
      <c r="D3221">
        <v>7</v>
      </c>
      <c r="E3221" t="s">
        <v>3590</v>
      </c>
      <c r="G3221" s="3"/>
      <c r="H3221" s="3">
        <v>0</v>
      </c>
      <c r="I3221" s="3">
        <v>0</v>
      </c>
      <c r="J3221" s="3">
        <v>0</v>
      </c>
      <c r="K3221" s="3">
        <v>0</v>
      </c>
      <c r="L3221" s="3">
        <f t="shared" si="142"/>
        <v>0</v>
      </c>
      <c r="M3221" s="3"/>
      <c r="N3221" s="3">
        <f t="shared" si="143"/>
        <v>0</v>
      </c>
      <c r="R3221" s="89"/>
      <c r="S3221" s="89">
        <f>100%-Table34[[#This Row],[PDF_initial fee]]</f>
        <v>1</v>
      </c>
      <c r="T3221" s="89"/>
      <c r="U3221" s="26"/>
    </row>
    <row r="3222" spans="1:21" hidden="1" x14ac:dyDescent="0.25">
      <c r="A3222">
        <v>603072</v>
      </c>
      <c r="B3222" t="s">
        <v>3591</v>
      </c>
      <c r="C3222" t="s">
        <v>30589</v>
      </c>
      <c r="D3222">
        <v>0</v>
      </c>
      <c r="E3222" t="s">
        <v>3591</v>
      </c>
      <c r="F3222" t="s">
        <v>29136</v>
      </c>
      <c r="G3222" s="3"/>
      <c r="H3222" s="21">
        <v>0</v>
      </c>
      <c r="I3222" s="21">
        <v>0</v>
      </c>
      <c r="J3222" s="21">
        <v>0</v>
      </c>
      <c r="K3222" s="21">
        <v>0</v>
      </c>
      <c r="L3222" s="3">
        <f t="shared" si="142"/>
        <v>0</v>
      </c>
      <c r="M3222" s="3"/>
      <c r="N3222" s="3">
        <f t="shared" si="143"/>
        <v>0</v>
      </c>
      <c r="O3222" s="21"/>
      <c r="R3222" s="89"/>
      <c r="S3222" s="89">
        <f>100%-Table34[[#This Row],[PDF_initial fee]]</f>
        <v>1</v>
      </c>
      <c r="T3222" s="89"/>
      <c r="U3222" s="26"/>
    </row>
    <row r="3223" spans="1:21" hidden="1" x14ac:dyDescent="0.25">
      <c r="A3223">
        <v>603074</v>
      </c>
      <c r="B3223" t="s">
        <v>3592</v>
      </c>
      <c r="C3223" t="s">
        <v>30590</v>
      </c>
      <c r="D3223">
        <v>1</v>
      </c>
      <c r="E3223" t="s">
        <v>3592</v>
      </c>
      <c r="G3223" s="3"/>
      <c r="H3223" s="3">
        <v>0</v>
      </c>
      <c r="I3223" s="3">
        <v>0</v>
      </c>
      <c r="J3223" s="3">
        <v>0</v>
      </c>
      <c r="K3223" s="3">
        <v>0</v>
      </c>
      <c r="L3223" s="3">
        <f t="shared" si="142"/>
        <v>0</v>
      </c>
      <c r="M3223" s="3"/>
      <c r="N3223" s="3">
        <f t="shared" si="143"/>
        <v>0</v>
      </c>
      <c r="R3223" s="89"/>
      <c r="S3223" s="89">
        <f>100%-Table34[[#This Row],[PDF_initial fee]]</f>
        <v>1</v>
      </c>
      <c r="T3223" s="89"/>
      <c r="U3223" s="26"/>
    </row>
    <row r="3224" spans="1:21" hidden="1" x14ac:dyDescent="0.25">
      <c r="A3224">
        <v>603185</v>
      </c>
      <c r="B3224" t="s">
        <v>3593</v>
      </c>
      <c r="C3224" t="s">
        <v>6958</v>
      </c>
      <c r="D3224">
        <v>3</v>
      </c>
      <c r="E3224" t="s">
        <v>3593</v>
      </c>
      <c r="F3224" t="s">
        <v>6958</v>
      </c>
      <c r="G3224" s="3"/>
      <c r="H3224" s="21">
        <v>0</v>
      </c>
      <c r="I3224" s="21">
        <v>0</v>
      </c>
      <c r="J3224" s="21">
        <v>0</v>
      </c>
      <c r="K3224" s="21">
        <v>0</v>
      </c>
      <c r="L3224" s="3">
        <f t="shared" si="142"/>
        <v>0</v>
      </c>
      <c r="M3224" s="3"/>
      <c r="N3224" s="3">
        <f t="shared" si="143"/>
        <v>0</v>
      </c>
      <c r="R3224" s="89"/>
      <c r="S3224" s="89">
        <f>100%-Table34[[#This Row],[PDF_initial fee]]</f>
        <v>1</v>
      </c>
      <c r="T3224" s="89"/>
      <c r="U3224" s="26"/>
    </row>
    <row r="3225" spans="1:21" hidden="1" x14ac:dyDescent="0.25">
      <c r="A3225">
        <v>603187</v>
      </c>
      <c r="B3225" t="s">
        <v>3594</v>
      </c>
      <c r="C3225" t="s">
        <v>30591</v>
      </c>
      <c r="D3225">
        <v>1</v>
      </c>
      <c r="E3225" t="s">
        <v>3594</v>
      </c>
      <c r="G3225" s="3"/>
      <c r="H3225" s="3">
        <v>0</v>
      </c>
      <c r="I3225" s="3">
        <v>0</v>
      </c>
      <c r="J3225" s="3">
        <v>0</v>
      </c>
      <c r="K3225" s="3">
        <v>0</v>
      </c>
      <c r="L3225" s="3">
        <f t="shared" si="142"/>
        <v>0</v>
      </c>
      <c r="M3225" s="3"/>
      <c r="N3225" s="3">
        <f t="shared" si="143"/>
        <v>0</v>
      </c>
      <c r="R3225" s="89"/>
      <c r="S3225" s="89">
        <f>100%-Table34[[#This Row],[PDF_initial fee]]</f>
        <v>1</v>
      </c>
      <c r="T3225" s="89"/>
      <c r="U3225" s="26"/>
    </row>
    <row r="3226" spans="1:21" hidden="1" x14ac:dyDescent="0.25">
      <c r="A3226">
        <v>603290</v>
      </c>
      <c r="B3226" t="s">
        <v>3595</v>
      </c>
      <c r="C3226" t="s">
        <v>6958</v>
      </c>
      <c r="D3226">
        <v>1</v>
      </c>
      <c r="E3226" t="s">
        <v>3595</v>
      </c>
      <c r="F3226" t="s">
        <v>6958</v>
      </c>
      <c r="G3226" s="3"/>
      <c r="L3226" s="3">
        <f t="shared" si="142"/>
        <v>0</v>
      </c>
      <c r="M3226" s="3"/>
      <c r="N3226" s="3">
        <f t="shared" si="143"/>
        <v>0</v>
      </c>
      <c r="R3226" s="89"/>
      <c r="S3226" s="89">
        <f>100%-Table34[[#This Row],[PDF_initial fee]]</f>
        <v>1</v>
      </c>
      <c r="T3226" s="89"/>
      <c r="U3226" s="26"/>
    </row>
    <row r="3227" spans="1:21" hidden="1" x14ac:dyDescent="0.25">
      <c r="A3227">
        <v>603319</v>
      </c>
      <c r="B3227" t="s">
        <v>3596</v>
      </c>
      <c r="C3227" t="s">
        <v>6958</v>
      </c>
      <c r="D3227">
        <v>3</v>
      </c>
      <c r="E3227" t="s">
        <v>3596</v>
      </c>
      <c r="F3227" t="s">
        <v>6958</v>
      </c>
      <c r="G3227" s="3"/>
      <c r="L3227" s="3">
        <f t="shared" si="142"/>
        <v>0</v>
      </c>
      <c r="M3227" s="3"/>
      <c r="N3227" s="3">
        <f t="shared" si="143"/>
        <v>0</v>
      </c>
      <c r="R3227" s="89"/>
      <c r="S3227" s="89">
        <f>100%-Table34[[#This Row],[PDF_initial fee]]</f>
        <v>1</v>
      </c>
      <c r="T3227" s="89"/>
      <c r="U3227" s="26"/>
    </row>
    <row r="3228" spans="1:21" hidden="1" x14ac:dyDescent="0.25">
      <c r="A3228">
        <v>603538</v>
      </c>
      <c r="B3228" t="s">
        <v>3597</v>
      </c>
      <c r="C3228" t="s">
        <v>6954</v>
      </c>
      <c r="D3228">
        <v>2</v>
      </c>
      <c r="E3228" t="s">
        <v>3597</v>
      </c>
      <c r="G3228" s="3"/>
      <c r="H3228" s="21">
        <v>0</v>
      </c>
      <c r="I3228" s="21">
        <v>0</v>
      </c>
      <c r="J3228" s="21">
        <v>0</v>
      </c>
      <c r="K3228" s="21">
        <v>0</v>
      </c>
      <c r="L3228" s="3">
        <f t="shared" si="142"/>
        <v>0</v>
      </c>
      <c r="M3228" s="3"/>
      <c r="N3228" s="3">
        <f t="shared" si="143"/>
        <v>0</v>
      </c>
      <c r="R3228" s="89"/>
      <c r="S3228" s="89">
        <f>100%-Table34[[#This Row],[PDF_initial fee]]</f>
        <v>1</v>
      </c>
      <c r="T3228" s="89"/>
      <c r="U3228" s="26"/>
    </row>
    <row r="3229" spans="1:21" hidden="1" x14ac:dyDescent="0.25">
      <c r="A3229">
        <v>603598</v>
      </c>
      <c r="B3229" t="s">
        <v>3598</v>
      </c>
      <c r="C3229" t="s">
        <v>6958</v>
      </c>
      <c r="D3229">
        <v>3</v>
      </c>
      <c r="E3229" t="s">
        <v>3598</v>
      </c>
      <c r="F3229" t="s">
        <v>6958</v>
      </c>
      <c r="G3229" s="3"/>
      <c r="H3229" s="21">
        <v>0</v>
      </c>
      <c r="I3229" s="21">
        <v>0</v>
      </c>
      <c r="J3229" s="21">
        <v>0</v>
      </c>
      <c r="K3229" s="21">
        <v>0</v>
      </c>
      <c r="L3229" s="3">
        <f t="shared" si="142"/>
        <v>0</v>
      </c>
      <c r="M3229" s="3"/>
      <c r="N3229" s="3">
        <f t="shared" si="143"/>
        <v>0</v>
      </c>
      <c r="R3229" s="89"/>
      <c r="S3229" s="89">
        <f>100%-Table34[[#This Row],[PDF_initial fee]]</f>
        <v>1</v>
      </c>
      <c r="T3229" s="89"/>
      <c r="U3229" s="26"/>
    </row>
    <row r="3230" spans="1:21" hidden="1" x14ac:dyDescent="0.25">
      <c r="A3230">
        <v>603651</v>
      </c>
      <c r="B3230" t="s">
        <v>3599</v>
      </c>
      <c r="C3230" t="s">
        <v>11236</v>
      </c>
      <c r="D3230">
        <v>1</v>
      </c>
      <c r="E3230" t="s">
        <v>3599</v>
      </c>
      <c r="G3230" s="3"/>
      <c r="H3230" s="21">
        <v>0</v>
      </c>
      <c r="I3230" s="21">
        <v>0</v>
      </c>
      <c r="J3230" s="21">
        <v>0</v>
      </c>
      <c r="K3230" s="21">
        <v>0</v>
      </c>
      <c r="L3230" s="3">
        <f t="shared" si="142"/>
        <v>0</v>
      </c>
      <c r="M3230" s="3"/>
      <c r="N3230" s="3">
        <f t="shared" si="143"/>
        <v>0</v>
      </c>
      <c r="R3230" s="89"/>
      <c r="S3230" s="89">
        <f>100%-Table34[[#This Row],[PDF_initial fee]]</f>
        <v>1</v>
      </c>
      <c r="T3230" s="89"/>
      <c r="U3230" s="26"/>
    </row>
    <row r="3231" spans="1:21" hidden="1" x14ac:dyDescent="0.25">
      <c r="A3231">
        <v>603653</v>
      </c>
      <c r="B3231" t="s">
        <v>3600</v>
      </c>
      <c r="C3231" t="s">
        <v>8350</v>
      </c>
      <c r="D3231">
        <v>2</v>
      </c>
      <c r="E3231" t="s">
        <v>3600</v>
      </c>
      <c r="G3231" s="3"/>
      <c r="H3231" s="39"/>
      <c r="I3231" s="39"/>
      <c r="J3231" s="39"/>
      <c r="K3231" s="39"/>
      <c r="L3231" s="3">
        <f t="shared" si="142"/>
        <v>0</v>
      </c>
      <c r="M3231" s="3"/>
      <c r="N3231" s="3">
        <f t="shared" si="143"/>
        <v>0</v>
      </c>
      <c r="R3231" s="89"/>
      <c r="S3231" s="89">
        <f>100%-Table34[[#This Row],[PDF_initial fee]]</f>
        <v>1</v>
      </c>
      <c r="T3231" s="89"/>
      <c r="U3231" s="26"/>
    </row>
    <row r="3232" spans="1:21" hidden="1" x14ac:dyDescent="0.25">
      <c r="A3232">
        <v>603928</v>
      </c>
      <c r="B3232" t="s">
        <v>3601</v>
      </c>
      <c r="C3232" t="s">
        <v>30592</v>
      </c>
      <c r="D3232">
        <v>2</v>
      </c>
      <c r="E3232" t="s">
        <v>3601</v>
      </c>
      <c r="G3232" s="3"/>
      <c r="H3232" s="3">
        <v>0</v>
      </c>
      <c r="I3232" s="3">
        <v>0</v>
      </c>
      <c r="J3232" s="3">
        <v>0</v>
      </c>
      <c r="K3232" s="3">
        <v>0</v>
      </c>
      <c r="L3232" s="3">
        <f t="shared" si="142"/>
        <v>0</v>
      </c>
      <c r="M3232" s="3"/>
      <c r="N3232" s="3">
        <f t="shared" si="143"/>
        <v>0</v>
      </c>
      <c r="R3232" s="89"/>
      <c r="S3232" s="89">
        <f>100%-Table34[[#This Row],[PDF_initial fee]]</f>
        <v>1</v>
      </c>
      <c r="T3232" s="89"/>
      <c r="U3232" s="26"/>
    </row>
    <row r="3233" spans="1:21" hidden="1" x14ac:dyDescent="0.25">
      <c r="A3233">
        <v>604178</v>
      </c>
      <c r="B3233" t="s">
        <v>3602</v>
      </c>
      <c r="C3233" t="s">
        <v>9154</v>
      </c>
      <c r="D3233">
        <v>2</v>
      </c>
      <c r="E3233" t="s">
        <v>3602</v>
      </c>
      <c r="G3233" s="3"/>
      <c r="H3233" s="21">
        <v>0</v>
      </c>
      <c r="I3233" s="21">
        <v>0</v>
      </c>
      <c r="J3233" s="21">
        <v>0</v>
      </c>
      <c r="K3233" s="21">
        <v>0</v>
      </c>
      <c r="L3233" s="3">
        <f t="shared" si="142"/>
        <v>0</v>
      </c>
      <c r="M3233" s="3"/>
      <c r="N3233" s="3">
        <f t="shared" si="143"/>
        <v>0</v>
      </c>
      <c r="R3233" s="89"/>
      <c r="S3233" s="89">
        <f>100%-Table34[[#This Row],[PDF_initial fee]]</f>
        <v>1</v>
      </c>
      <c r="T3233" s="89"/>
      <c r="U3233" s="26"/>
    </row>
    <row r="3234" spans="1:21" hidden="1" x14ac:dyDescent="0.25">
      <c r="A3234">
        <v>604181</v>
      </c>
      <c r="B3234" t="s">
        <v>3603</v>
      </c>
      <c r="C3234" t="s">
        <v>10968</v>
      </c>
      <c r="D3234">
        <v>1</v>
      </c>
      <c r="E3234" t="s">
        <v>3603</v>
      </c>
      <c r="G3234" s="3"/>
      <c r="H3234" s="21">
        <v>0</v>
      </c>
      <c r="I3234" s="21">
        <v>0</v>
      </c>
      <c r="J3234" s="21">
        <v>0</v>
      </c>
      <c r="K3234" s="21">
        <v>0</v>
      </c>
      <c r="L3234" s="3">
        <f t="shared" ref="L3234:L3297" si="144">SUM(H3234:K3234)</f>
        <v>0</v>
      </c>
      <c r="M3234" s="3"/>
      <c r="N3234" s="3">
        <f t="shared" ref="N3234:N3297" si="145">L3234+G3234</f>
        <v>0</v>
      </c>
      <c r="R3234" s="89"/>
      <c r="S3234" s="89">
        <f>100%-Table34[[#This Row],[PDF_initial fee]]</f>
        <v>1</v>
      </c>
      <c r="T3234" s="89"/>
      <c r="U3234" s="26"/>
    </row>
    <row r="3235" spans="1:21" hidden="1" x14ac:dyDescent="0.25">
      <c r="A3235">
        <v>604182</v>
      </c>
      <c r="B3235" t="s">
        <v>3604</v>
      </c>
      <c r="C3235" s="1" t="s">
        <v>30593</v>
      </c>
      <c r="D3235">
        <v>1</v>
      </c>
      <c r="E3235" t="s">
        <v>3604</v>
      </c>
      <c r="G3235" s="3"/>
      <c r="H3235" s="3">
        <v>0</v>
      </c>
      <c r="I3235" s="3">
        <v>0</v>
      </c>
      <c r="J3235" s="3">
        <v>0</v>
      </c>
      <c r="K3235" s="3">
        <v>0</v>
      </c>
      <c r="L3235" s="3">
        <f t="shared" si="144"/>
        <v>0</v>
      </c>
      <c r="M3235" s="3"/>
      <c r="N3235" s="3">
        <f t="shared" si="145"/>
        <v>0</v>
      </c>
      <c r="R3235" s="89"/>
      <c r="S3235" s="89">
        <f>100%-Table34[[#This Row],[PDF_initial fee]]</f>
        <v>1</v>
      </c>
      <c r="T3235" s="89"/>
      <c r="U3235" s="26"/>
    </row>
    <row r="3236" spans="1:21" hidden="1" x14ac:dyDescent="0.25">
      <c r="A3236">
        <v>604487</v>
      </c>
      <c r="B3236" t="s">
        <v>3605</v>
      </c>
      <c r="C3236" t="s">
        <v>30594</v>
      </c>
      <c r="D3236">
        <v>4</v>
      </c>
      <c r="E3236" t="s">
        <v>3605</v>
      </c>
      <c r="G3236" s="3"/>
      <c r="H3236" s="3">
        <v>0</v>
      </c>
      <c r="I3236" s="3">
        <v>0</v>
      </c>
      <c r="J3236" s="3">
        <v>0</v>
      </c>
      <c r="K3236" s="3">
        <v>0</v>
      </c>
      <c r="L3236" s="3">
        <f t="shared" si="144"/>
        <v>0</v>
      </c>
      <c r="M3236" s="3"/>
      <c r="N3236" s="3">
        <f t="shared" si="145"/>
        <v>0</v>
      </c>
      <c r="R3236" s="89"/>
      <c r="S3236" s="89">
        <f>100%-Table34[[#This Row],[PDF_initial fee]]</f>
        <v>1</v>
      </c>
      <c r="T3236" s="89"/>
      <c r="U3236" s="26"/>
    </row>
    <row r="3237" spans="1:21" hidden="1" x14ac:dyDescent="0.25">
      <c r="A3237">
        <v>604523</v>
      </c>
      <c r="B3237" t="s">
        <v>3606</v>
      </c>
      <c r="C3237" t="s">
        <v>6958</v>
      </c>
      <c r="D3237">
        <v>1</v>
      </c>
      <c r="E3237" t="s">
        <v>3606</v>
      </c>
      <c r="F3237" t="s">
        <v>6958</v>
      </c>
      <c r="G3237" s="3"/>
      <c r="H3237" s="21">
        <v>0</v>
      </c>
      <c r="I3237" s="21">
        <v>0</v>
      </c>
      <c r="J3237" s="21">
        <v>0</v>
      </c>
      <c r="K3237" s="21">
        <v>0</v>
      </c>
      <c r="L3237" s="3">
        <f t="shared" si="144"/>
        <v>0</v>
      </c>
      <c r="M3237" s="3"/>
      <c r="N3237" s="3">
        <f t="shared" si="145"/>
        <v>0</v>
      </c>
      <c r="R3237" s="89"/>
      <c r="S3237" s="89">
        <f>100%-Table34[[#This Row],[PDF_initial fee]]</f>
        <v>1</v>
      </c>
      <c r="T3237" s="89"/>
      <c r="U3237" s="26"/>
    </row>
    <row r="3238" spans="1:21" hidden="1" x14ac:dyDescent="0.25">
      <c r="A3238">
        <v>604534</v>
      </c>
      <c r="B3238" t="s">
        <v>3607</v>
      </c>
      <c r="C3238" t="s">
        <v>10548</v>
      </c>
      <c r="D3238">
        <v>1</v>
      </c>
      <c r="E3238" t="s">
        <v>3607</v>
      </c>
      <c r="G3238" s="3"/>
      <c r="H3238" s="21">
        <v>0</v>
      </c>
      <c r="I3238" s="21">
        <v>0</v>
      </c>
      <c r="J3238" s="21">
        <v>0</v>
      </c>
      <c r="K3238" s="21">
        <v>0</v>
      </c>
      <c r="L3238" s="3">
        <f t="shared" si="144"/>
        <v>0</v>
      </c>
      <c r="M3238" s="3"/>
      <c r="N3238" s="3">
        <f t="shared" si="145"/>
        <v>0</v>
      </c>
      <c r="R3238" s="89"/>
      <c r="S3238" s="89">
        <f>100%-Table34[[#This Row],[PDF_initial fee]]</f>
        <v>1</v>
      </c>
      <c r="T3238" s="89"/>
      <c r="U3238" s="26"/>
    </row>
    <row r="3239" spans="1:21" hidden="1" x14ac:dyDescent="0.25">
      <c r="A3239">
        <v>604584</v>
      </c>
      <c r="B3239" t="s">
        <v>3608</v>
      </c>
      <c r="C3239" t="s">
        <v>6958</v>
      </c>
      <c r="D3239">
        <v>0</v>
      </c>
      <c r="E3239" t="s">
        <v>3608</v>
      </c>
      <c r="F3239" t="s">
        <v>6958</v>
      </c>
      <c r="G3239" s="3"/>
      <c r="H3239" s="21">
        <v>0</v>
      </c>
      <c r="I3239" s="21">
        <v>0</v>
      </c>
      <c r="J3239" s="21">
        <v>0</v>
      </c>
      <c r="K3239" s="21">
        <v>0</v>
      </c>
      <c r="L3239" s="3">
        <f t="shared" si="144"/>
        <v>0</v>
      </c>
      <c r="M3239" s="3"/>
      <c r="N3239" s="3">
        <f t="shared" si="145"/>
        <v>0</v>
      </c>
      <c r="R3239" s="89"/>
      <c r="S3239" s="89">
        <f>100%-Table34[[#This Row],[PDF_initial fee]]</f>
        <v>1</v>
      </c>
      <c r="T3239" s="89"/>
      <c r="U3239" s="26"/>
    </row>
    <row r="3240" spans="1:21" hidden="1" x14ac:dyDescent="0.25">
      <c r="A3240">
        <v>604634</v>
      </c>
      <c r="B3240" t="s">
        <v>3609</v>
      </c>
      <c r="C3240" t="s">
        <v>8241</v>
      </c>
      <c r="D3240">
        <v>11</v>
      </c>
      <c r="E3240" t="s">
        <v>3609</v>
      </c>
      <c r="G3240" s="3"/>
      <c r="L3240" s="3">
        <f t="shared" si="144"/>
        <v>0</v>
      </c>
      <c r="M3240" s="3"/>
      <c r="N3240" s="3">
        <f t="shared" si="145"/>
        <v>0</v>
      </c>
      <c r="R3240" s="89"/>
      <c r="S3240" s="89">
        <f>100%-Table34[[#This Row],[PDF_initial fee]]</f>
        <v>1</v>
      </c>
      <c r="T3240" s="89"/>
      <c r="U3240" s="26"/>
    </row>
    <row r="3241" spans="1:21" hidden="1" x14ac:dyDescent="0.25">
      <c r="A3241">
        <v>604675</v>
      </c>
      <c r="B3241" t="s">
        <v>3610</v>
      </c>
      <c r="C3241" t="s">
        <v>30595</v>
      </c>
      <c r="D3241">
        <v>0</v>
      </c>
      <c r="E3241" t="s">
        <v>3610</v>
      </c>
      <c r="F3241" t="s">
        <v>29136</v>
      </c>
      <c r="G3241" s="3"/>
      <c r="H3241" s="21">
        <v>0</v>
      </c>
      <c r="I3241" s="21">
        <v>0</v>
      </c>
      <c r="J3241" s="21">
        <v>0</v>
      </c>
      <c r="K3241" s="21">
        <v>0</v>
      </c>
      <c r="L3241" s="3">
        <f t="shared" si="144"/>
        <v>0</v>
      </c>
      <c r="M3241" s="3"/>
      <c r="N3241" s="3">
        <f t="shared" si="145"/>
        <v>0</v>
      </c>
      <c r="O3241" s="21"/>
      <c r="R3241" s="89"/>
      <c r="S3241" s="89">
        <f>100%-Table34[[#This Row],[PDF_initial fee]]</f>
        <v>1</v>
      </c>
      <c r="T3241" s="89"/>
      <c r="U3241" s="26"/>
    </row>
    <row r="3242" spans="1:21" hidden="1" x14ac:dyDescent="0.25">
      <c r="A3242">
        <v>604923</v>
      </c>
      <c r="B3242" t="s">
        <v>3611</v>
      </c>
      <c r="C3242" t="s">
        <v>30596</v>
      </c>
      <c r="D3242">
        <v>3</v>
      </c>
      <c r="E3242" t="s">
        <v>3611</v>
      </c>
      <c r="G3242" s="3"/>
      <c r="H3242" s="3">
        <v>0</v>
      </c>
      <c r="I3242" s="3">
        <v>0</v>
      </c>
      <c r="J3242" s="3">
        <v>0</v>
      </c>
      <c r="K3242" s="3">
        <v>0</v>
      </c>
      <c r="L3242" s="3">
        <f t="shared" si="144"/>
        <v>0</v>
      </c>
      <c r="M3242" s="3"/>
      <c r="N3242" s="3">
        <f t="shared" si="145"/>
        <v>0</v>
      </c>
      <c r="R3242" s="89"/>
      <c r="S3242" s="89">
        <f>100%-Table34[[#This Row],[PDF_initial fee]]</f>
        <v>1</v>
      </c>
      <c r="T3242" s="89"/>
      <c r="U3242" s="26"/>
    </row>
    <row r="3243" spans="1:21" hidden="1" x14ac:dyDescent="0.25">
      <c r="A3243">
        <v>604928</v>
      </c>
      <c r="B3243" t="s">
        <v>3612</v>
      </c>
      <c r="C3243" t="s">
        <v>30597</v>
      </c>
      <c r="D3243">
        <v>1</v>
      </c>
      <c r="E3243" t="s">
        <v>3612</v>
      </c>
      <c r="G3243" s="3"/>
      <c r="H3243" s="3">
        <v>0</v>
      </c>
      <c r="I3243" s="3">
        <v>0</v>
      </c>
      <c r="J3243" s="3">
        <v>0</v>
      </c>
      <c r="K3243" s="3">
        <v>0</v>
      </c>
      <c r="L3243" s="3">
        <f t="shared" si="144"/>
        <v>0</v>
      </c>
      <c r="M3243" s="3"/>
      <c r="N3243" s="3">
        <f t="shared" si="145"/>
        <v>0</v>
      </c>
      <c r="R3243" s="89"/>
      <c r="S3243" s="89">
        <f>100%-Table34[[#This Row],[PDF_initial fee]]</f>
        <v>1</v>
      </c>
      <c r="T3243" s="89"/>
      <c r="U3243" s="26"/>
    </row>
    <row r="3244" spans="1:21" hidden="1" x14ac:dyDescent="0.25">
      <c r="A3244">
        <v>604931</v>
      </c>
      <c r="B3244" t="s">
        <v>3613</v>
      </c>
      <c r="C3244" t="s">
        <v>6958</v>
      </c>
      <c r="D3244">
        <v>3</v>
      </c>
      <c r="E3244" t="s">
        <v>3613</v>
      </c>
      <c r="F3244" t="s">
        <v>6958</v>
      </c>
      <c r="G3244" s="3"/>
      <c r="H3244" s="21">
        <v>0</v>
      </c>
      <c r="I3244" s="21">
        <v>0</v>
      </c>
      <c r="J3244" s="21">
        <v>0</v>
      </c>
      <c r="K3244" s="21">
        <v>0</v>
      </c>
      <c r="L3244" s="3">
        <f t="shared" si="144"/>
        <v>0</v>
      </c>
      <c r="M3244" s="3"/>
      <c r="N3244" s="3">
        <f t="shared" si="145"/>
        <v>0</v>
      </c>
      <c r="R3244" s="89"/>
      <c r="S3244" s="89">
        <f>100%-Table34[[#This Row],[PDF_initial fee]]</f>
        <v>1</v>
      </c>
      <c r="T3244" s="89"/>
      <c r="U3244" s="26"/>
    </row>
    <row r="3245" spans="1:21" hidden="1" x14ac:dyDescent="0.25">
      <c r="A3245">
        <v>604979</v>
      </c>
      <c r="B3245" t="s">
        <v>3614</v>
      </c>
      <c r="C3245" t="s">
        <v>6958</v>
      </c>
      <c r="D3245">
        <v>3</v>
      </c>
      <c r="E3245" t="s">
        <v>3614</v>
      </c>
      <c r="F3245" t="s">
        <v>6958</v>
      </c>
      <c r="G3245" s="3"/>
      <c r="H3245" s="21">
        <v>0</v>
      </c>
      <c r="I3245" s="21">
        <v>0</v>
      </c>
      <c r="J3245" s="21">
        <v>0</v>
      </c>
      <c r="K3245" s="21">
        <v>0</v>
      </c>
      <c r="L3245" s="3">
        <f t="shared" si="144"/>
        <v>0</v>
      </c>
      <c r="M3245" s="3"/>
      <c r="N3245" s="3">
        <f t="shared" si="145"/>
        <v>0</v>
      </c>
      <c r="R3245" s="89"/>
      <c r="S3245" s="89">
        <f>100%-Table34[[#This Row],[PDF_initial fee]]</f>
        <v>1</v>
      </c>
      <c r="T3245" s="89"/>
      <c r="U3245" s="26"/>
    </row>
    <row r="3246" spans="1:21" hidden="1" x14ac:dyDescent="0.25">
      <c r="A3246">
        <v>604988</v>
      </c>
      <c r="B3246" t="s">
        <v>3615</v>
      </c>
      <c r="C3246" t="s">
        <v>6958</v>
      </c>
      <c r="D3246">
        <v>4</v>
      </c>
      <c r="E3246" t="s">
        <v>3615</v>
      </c>
      <c r="F3246" t="s">
        <v>6958</v>
      </c>
      <c r="G3246" s="3"/>
      <c r="H3246" s="21">
        <v>0</v>
      </c>
      <c r="I3246" s="21">
        <v>0</v>
      </c>
      <c r="J3246" s="21">
        <v>0</v>
      </c>
      <c r="K3246" s="21">
        <v>0</v>
      </c>
      <c r="L3246" s="3">
        <f t="shared" si="144"/>
        <v>0</v>
      </c>
      <c r="M3246" s="3"/>
      <c r="N3246" s="3">
        <f t="shared" si="145"/>
        <v>0</v>
      </c>
      <c r="R3246" s="89"/>
      <c r="S3246" s="89">
        <f>100%-Table34[[#This Row],[PDF_initial fee]]</f>
        <v>1</v>
      </c>
      <c r="T3246" s="89"/>
      <c r="U3246" s="26"/>
    </row>
    <row r="3247" spans="1:21" hidden="1" x14ac:dyDescent="0.25">
      <c r="A3247">
        <v>605083</v>
      </c>
      <c r="B3247" t="s">
        <v>3616</v>
      </c>
      <c r="C3247" t="s">
        <v>7207</v>
      </c>
      <c r="D3247">
        <v>3</v>
      </c>
      <c r="E3247" t="s">
        <v>3616</v>
      </c>
      <c r="G3247" s="3"/>
      <c r="H3247" s="21">
        <v>0</v>
      </c>
      <c r="I3247" s="21">
        <v>0</v>
      </c>
      <c r="J3247" s="21">
        <v>0</v>
      </c>
      <c r="K3247" s="21">
        <v>0</v>
      </c>
      <c r="L3247" s="3">
        <f t="shared" si="144"/>
        <v>0</v>
      </c>
      <c r="M3247" s="3"/>
      <c r="N3247" s="3">
        <f t="shared" si="145"/>
        <v>0</v>
      </c>
      <c r="R3247" s="89"/>
      <c r="S3247" s="89">
        <f>100%-Table34[[#This Row],[PDF_initial fee]]</f>
        <v>1</v>
      </c>
      <c r="T3247" s="89"/>
      <c r="U3247" s="26"/>
    </row>
    <row r="3248" spans="1:21" hidden="1" x14ac:dyDescent="0.25">
      <c r="A3248">
        <v>605085</v>
      </c>
      <c r="B3248" t="s">
        <v>3617</v>
      </c>
      <c r="C3248" t="s">
        <v>6958</v>
      </c>
      <c r="D3248">
        <v>1</v>
      </c>
      <c r="E3248" t="s">
        <v>3617</v>
      </c>
      <c r="F3248" t="s">
        <v>6958</v>
      </c>
      <c r="G3248" s="3"/>
      <c r="H3248" s="21">
        <v>0</v>
      </c>
      <c r="I3248" s="21">
        <v>0</v>
      </c>
      <c r="J3248" s="21">
        <v>0</v>
      </c>
      <c r="K3248" s="21">
        <v>0</v>
      </c>
      <c r="L3248" s="3">
        <f t="shared" si="144"/>
        <v>0</v>
      </c>
      <c r="M3248" s="3"/>
      <c r="N3248" s="3">
        <f t="shared" si="145"/>
        <v>0</v>
      </c>
      <c r="R3248" s="89"/>
      <c r="S3248" s="89">
        <f>100%-Table34[[#This Row],[PDF_initial fee]]</f>
        <v>1</v>
      </c>
      <c r="T3248" s="89"/>
      <c r="U3248" s="26"/>
    </row>
    <row r="3249" spans="1:27" x14ac:dyDescent="0.25">
      <c r="A3249">
        <v>216784</v>
      </c>
      <c r="B3249" t="s">
        <v>116</v>
      </c>
      <c r="C3249" t="s">
        <v>30598</v>
      </c>
      <c r="D3249">
        <v>22</v>
      </c>
      <c r="E3249" t="s">
        <v>116</v>
      </c>
      <c r="F3249" t="s">
        <v>3</v>
      </c>
      <c r="G3249" s="3">
        <v>1.4E-3</v>
      </c>
      <c r="H3249" s="3">
        <v>0.02</v>
      </c>
      <c r="I3249" s="3">
        <v>7.4999999999999997E-3</v>
      </c>
      <c r="J3249" s="6">
        <v>0</v>
      </c>
      <c r="K3249" s="6">
        <v>0</v>
      </c>
      <c r="L3249" s="3">
        <f t="shared" si="144"/>
        <v>2.75E-2</v>
      </c>
      <c r="M3249" s="3"/>
      <c r="N3249" s="3">
        <f t="shared" si="145"/>
        <v>2.8899999999999999E-2</v>
      </c>
      <c r="P3249" s="1" t="s">
        <v>30599</v>
      </c>
      <c r="Q3249" t="s">
        <v>31787</v>
      </c>
      <c r="R3249" s="89">
        <v>0.33333333333333348</v>
      </c>
      <c r="S3249" s="89">
        <f>100%-Table34[[#This Row],[InitialFee]]</f>
        <v>0.98</v>
      </c>
      <c r="T3249" s="89">
        <f>(1-Table34[[#This Row],[OngoingFee (plus Platform fee)]])^5</f>
        <v>0.9630582970465823</v>
      </c>
      <c r="U3249" s="26">
        <f>(1+Table34[[#This Row],[Net 5yrs return (mostly up to 28th of Feb 2026)]])*Table34[[#This Row],[Investment after initial charge]]*Table34[[#This Row],[Cummulative 5yrs ongoing advice charge]]-1</f>
        <v>0.2583961748075343</v>
      </c>
      <c r="V3249" s="10">
        <f>1262+1311008</f>
        <v>1312270</v>
      </c>
      <c r="W3249" t="s">
        <v>29051</v>
      </c>
      <c r="X3249" s="10">
        <v>1195009</v>
      </c>
      <c r="Y3249" s="30">
        <f>X3249/V3249</f>
        <v>0.9106426268984279</v>
      </c>
      <c r="AA3249" s="1" t="s">
        <v>30600</v>
      </c>
    </row>
    <row r="3250" spans="1:27" hidden="1" x14ac:dyDescent="0.25">
      <c r="A3250">
        <v>605096</v>
      </c>
      <c r="B3250" t="s">
        <v>3618</v>
      </c>
      <c r="C3250" t="s">
        <v>30601</v>
      </c>
      <c r="D3250">
        <v>5</v>
      </c>
      <c r="E3250" t="s">
        <v>3618</v>
      </c>
      <c r="G3250" s="3"/>
      <c r="H3250" s="3">
        <v>0</v>
      </c>
      <c r="I3250" s="3">
        <v>0</v>
      </c>
      <c r="J3250" s="3">
        <v>0</v>
      </c>
      <c r="K3250" s="3">
        <v>0</v>
      </c>
      <c r="L3250" s="3">
        <f t="shared" si="144"/>
        <v>0</v>
      </c>
      <c r="M3250" s="3"/>
      <c r="N3250" s="3">
        <f t="shared" si="145"/>
        <v>0</v>
      </c>
      <c r="R3250" s="89"/>
      <c r="S3250" s="89">
        <f>100%-Table34[[#This Row],[PDF_initial fee]]</f>
        <v>1</v>
      </c>
      <c r="T3250" s="89"/>
      <c r="U3250" s="26"/>
    </row>
    <row r="3251" spans="1:27" hidden="1" x14ac:dyDescent="0.25">
      <c r="A3251">
        <v>605154</v>
      </c>
      <c r="B3251" t="s">
        <v>3619</v>
      </c>
      <c r="C3251" t="s">
        <v>6958</v>
      </c>
      <c r="D3251">
        <v>1</v>
      </c>
      <c r="E3251" t="s">
        <v>3619</v>
      </c>
      <c r="F3251" t="s">
        <v>6958</v>
      </c>
      <c r="G3251" s="3"/>
      <c r="H3251" s="21">
        <v>0</v>
      </c>
      <c r="I3251" s="21">
        <v>0</v>
      </c>
      <c r="J3251" s="21">
        <v>0</v>
      </c>
      <c r="K3251" s="21">
        <v>0</v>
      </c>
      <c r="L3251" s="3">
        <f t="shared" si="144"/>
        <v>0</v>
      </c>
      <c r="M3251" s="3"/>
      <c r="N3251" s="3">
        <f t="shared" si="145"/>
        <v>0</v>
      </c>
      <c r="R3251" s="89"/>
      <c r="S3251" s="89">
        <f>100%-Table34[[#This Row],[PDF_initial fee]]</f>
        <v>1</v>
      </c>
      <c r="T3251" s="89"/>
      <c r="U3251" s="26"/>
    </row>
    <row r="3252" spans="1:27" hidden="1" x14ac:dyDescent="0.25">
      <c r="A3252">
        <v>605195</v>
      </c>
      <c r="B3252" t="s">
        <v>3620</v>
      </c>
      <c r="C3252" t="s">
        <v>9284</v>
      </c>
      <c r="D3252">
        <v>1</v>
      </c>
      <c r="E3252" t="s">
        <v>3620</v>
      </c>
      <c r="G3252" s="3"/>
      <c r="K3252">
        <v>0</v>
      </c>
      <c r="L3252" s="3">
        <f t="shared" si="144"/>
        <v>0</v>
      </c>
      <c r="M3252" s="3"/>
      <c r="N3252" s="3">
        <f t="shared" si="145"/>
        <v>0</v>
      </c>
      <c r="R3252" s="89"/>
      <c r="S3252" s="89">
        <f>100%-Table34[[#This Row],[PDF_initial fee]]</f>
        <v>1</v>
      </c>
      <c r="T3252" s="89"/>
      <c r="U3252" s="26"/>
    </row>
    <row r="3253" spans="1:27" hidden="1" x14ac:dyDescent="0.25">
      <c r="A3253">
        <v>605325</v>
      </c>
      <c r="B3253" t="s">
        <v>3621</v>
      </c>
      <c r="C3253" t="s">
        <v>7076</v>
      </c>
      <c r="D3253">
        <v>2</v>
      </c>
      <c r="E3253" t="s">
        <v>3621</v>
      </c>
      <c r="G3253" s="3"/>
      <c r="H3253" s="21">
        <v>0</v>
      </c>
      <c r="I3253" s="21">
        <v>0</v>
      </c>
      <c r="J3253" s="21">
        <v>0</v>
      </c>
      <c r="K3253" s="21">
        <v>0</v>
      </c>
      <c r="L3253" s="3">
        <f t="shared" si="144"/>
        <v>0</v>
      </c>
      <c r="M3253" s="3"/>
      <c r="N3253" s="3">
        <f t="shared" si="145"/>
        <v>0</v>
      </c>
      <c r="R3253" s="89"/>
      <c r="S3253" s="89">
        <f>100%-Table34[[#This Row],[PDF_initial fee]]</f>
        <v>1</v>
      </c>
      <c r="T3253" s="89"/>
      <c r="U3253" s="26"/>
    </row>
    <row r="3254" spans="1:27" hidden="1" x14ac:dyDescent="0.25">
      <c r="A3254">
        <v>605530</v>
      </c>
      <c r="B3254" t="s">
        <v>3622</v>
      </c>
      <c r="C3254" t="s">
        <v>30602</v>
      </c>
      <c r="D3254">
        <v>0</v>
      </c>
      <c r="E3254" t="s">
        <v>3622</v>
      </c>
      <c r="F3254" t="s">
        <v>3</v>
      </c>
      <c r="G3254" s="3"/>
      <c r="H3254" s="3">
        <v>0</v>
      </c>
      <c r="I3254" s="3">
        <v>0</v>
      </c>
      <c r="J3254" s="3">
        <v>0</v>
      </c>
      <c r="K3254" s="3">
        <v>0</v>
      </c>
      <c r="L3254" s="3">
        <f t="shared" si="144"/>
        <v>0</v>
      </c>
      <c r="M3254" s="3"/>
      <c r="N3254" s="3">
        <f t="shared" si="145"/>
        <v>0</v>
      </c>
      <c r="R3254" s="89"/>
      <c r="S3254" s="89">
        <f>100%-Table34[[#This Row],[PDF_initial fee]]</f>
        <v>1</v>
      </c>
      <c r="T3254" s="89"/>
      <c r="U3254" s="26"/>
    </row>
    <row r="3255" spans="1:27" hidden="1" x14ac:dyDescent="0.25">
      <c r="A3255">
        <v>605533</v>
      </c>
      <c r="B3255" t="s">
        <v>3623</v>
      </c>
      <c r="C3255" t="s">
        <v>30603</v>
      </c>
      <c r="D3255">
        <v>2</v>
      </c>
      <c r="E3255" t="s">
        <v>3623</v>
      </c>
      <c r="G3255" s="3"/>
      <c r="H3255" s="3">
        <v>0</v>
      </c>
      <c r="I3255" s="3">
        <v>0</v>
      </c>
      <c r="J3255" s="3">
        <v>0</v>
      </c>
      <c r="K3255" s="3">
        <v>0</v>
      </c>
      <c r="L3255" s="3">
        <f t="shared" si="144"/>
        <v>0</v>
      </c>
      <c r="M3255" s="3"/>
      <c r="N3255" s="3">
        <f t="shared" si="145"/>
        <v>0</v>
      </c>
      <c r="R3255" s="89"/>
      <c r="S3255" s="89">
        <f>100%-Table34[[#This Row],[PDF_initial fee]]</f>
        <v>1</v>
      </c>
      <c r="T3255" s="89"/>
      <c r="U3255" s="26"/>
    </row>
    <row r="3256" spans="1:27" hidden="1" x14ac:dyDescent="0.25">
      <c r="A3256">
        <v>605566</v>
      </c>
      <c r="B3256" t="s">
        <v>3624</v>
      </c>
      <c r="C3256" t="s">
        <v>30604</v>
      </c>
      <c r="D3256">
        <v>1</v>
      </c>
      <c r="E3256" t="s">
        <v>3624</v>
      </c>
      <c r="G3256" s="3"/>
      <c r="H3256" s="21">
        <v>0</v>
      </c>
      <c r="I3256" s="21">
        <v>0</v>
      </c>
      <c r="J3256" s="21">
        <v>0</v>
      </c>
      <c r="K3256" s="21">
        <v>0</v>
      </c>
      <c r="L3256" s="3">
        <f t="shared" si="144"/>
        <v>0</v>
      </c>
      <c r="M3256" s="3"/>
      <c r="N3256" s="3">
        <f t="shared" si="145"/>
        <v>0</v>
      </c>
      <c r="O3256" s="21"/>
      <c r="R3256" s="89"/>
      <c r="S3256" s="89">
        <f>100%-Table34[[#This Row],[PDF_initial fee]]</f>
        <v>1</v>
      </c>
      <c r="T3256" s="89"/>
      <c r="U3256" s="26"/>
    </row>
    <row r="3257" spans="1:27" hidden="1" x14ac:dyDescent="0.25">
      <c r="A3257">
        <v>605630</v>
      </c>
      <c r="B3257" t="s">
        <v>3625</v>
      </c>
      <c r="C3257" t="s">
        <v>6958</v>
      </c>
      <c r="D3257">
        <v>5</v>
      </c>
      <c r="E3257" t="s">
        <v>3625</v>
      </c>
      <c r="F3257" t="s">
        <v>6958</v>
      </c>
      <c r="G3257" s="3"/>
      <c r="L3257" s="3">
        <f t="shared" si="144"/>
        <v>0</v>
      </c>
      <c r="M3257" s="3"/>
      <c r="N3257" s="3">
        <f t="shared" si="145"/>
        <v>0</v>
      </c>
      <c r="R3257" s="89"/>
      <c r="S3257" s="89">
        <f>100%-Table34[[#This Row],[PDF_initial fee]]</f>
        <v>1</v>
      </c>
      <c r="T3257" s="89"/>
      <c r="U3257" s="26"/>
    </row>
    <row r="3258" spans="1:27" hidden="1" x14ac:dyDescent="0.25">
      <c r="A3258">
        <v>605658</v>
      </c>
      <c r="B3258" t="s">
        <v>3626</v>
      </c>
      <c r="C3258" t="s">
        <v>6958</v>
      </c>
      <c r="D3258">
        <v>1</v>
      </c>
      <c r="E3258" t="s">
        <v>3626</v>
      </c>
      <c r="F3258" t="s">
        <v>6958</v>
      </c>
      <c r="G3258" s="3"/>
      <c r="H3258" s="21">
        <v>0</v>
      </c>
      <c r="I3258" s="21">
        <v>0</v>
      </c>
      <c r="J3258" s="21">
        <v>0</v>
      </c>
      <c r="K3258" s="21">
        <v>0</v>
      </c>
      <c r="L3258" s="3">
        <f t="shared" si="144"/>
        <v>0</v>
      </c>
      <c r="M3258" s="3"/>
      <c r="N3258" s="3">
        <f t="shared" si="145"/>
        <v>0</v>
      </c>
      <c r="R3258" s="89"/>
      <c r="S3258" s="89">
        <f>100%-Table34[[#This Row],[PDF_initial fee]]</f>
        <v>1</v>
      </c>
      <c r="T3258" s="89"/>
      <c r="U3258" s="26"/>
    </row>
    <row r="3259" spans="1:27" hidden="1" x14ac:dyDescent="0.25">
      <c r="A3259">
        <v>605724</v>
      </c>
      <c r="B3259" t="s">
        <v>3627</v>
      </c>
      <c r="C3259" t="s">
        <v>6958</v>
      </c>
      <c r="D3259">
        <v>1</v>
      </c>
      <c r="E3259" t="s">
        <v>3627</v>
      </c>
      <c r="F3259" t="s">
        <v>6958</v>
      </c>
      <c r="G3259" s="3"/>
      <c r="L3259" s="3">
        <f t="shared" si="144"/>
        <v>0</v>
      </c>
      <c r="M3259" s="3"/>
      <c r="N3259" s="3">
        <f t="shared" si="145"/>
        <v>0</v>
      </c>
      <c r="R3259" s="89"/>
      <c r="S3259" s="89">
        <f>100%-Table34[[#This Row],[PDF_initial fee]]</f>
        <v>1</v>
      </c>
      <c r="T3259" s="89"/>
      <c r="U3259" s="26"/>
    </row>
    <row r="3260" spans="1:27" hidden="1" x14ac:dyDescent="0.25">
      <c r="A3260">
        <v>605728</v>
      </c>
      <c r="B3260" t="s">
        <v>3628</v>
      </c>
      <c r="C3260" t="s">
        <v>6958</v>
      </c>
      <c r="D3260">
        <v>1</v>
      </c>
      <c r="E3260" t="s">
        <v>3628</v>
      </c>
      <c r="F3260" t="s">
        <v>6958</v>
      </c>
      <c r="G3260" s="3"/>
      <c r="H3260" s="21">
        <v>0</v>
      </c>
      <c r="I3260" s="21">
        <v>0</v>
      </c>
      <c r="J3260" s="21">
        <v>0</v>
      </c>
      <c r="K3260" s="21">
        <v>0</v>
      </c>
      <c r="L3260" s="3">
        <f t="shared" si="144"/>
        <v>0</v>
      </c>
      <c r="M3260" s="3"/>
      <c r="N3260" s="3">
        <f t="shared" si="145"/>
        <v>0</v>
      </c>
      <c r="R3260" s="89"/>
      <c r="S3260" s="89">
        <f>100%-Table34[[#This Row],[PDF_initial fee]]</f>
        <v>1</v>
      </c>
      <c r="T3260" s="89"/>
      <c r="U3260" s="26"/>
    </row>
    <row r="3261" spans="1:27" hidden="1" x14ac:dyDescent="0.25">
      <c r="A3261">
        <v>605767</v>
      </c>
      <c r="B3261" t="s">
        <v>3629</v>
      </c>
      <c r="C3261" t="s">
        <v>8021</v>
      </c>
      <c r="D3261">
        <v>1</v>
      </c>
      <c r="E3261" t="s">
        <v>3629</v>
      </c>
      <c r="G3261" s="3"/>
      <c r="H3261" s="21">
        <v>0</v>
      </c>
      <c r="I3261" s="21">
        <v>0</v>
      </c>
      <c r="J3261" s="21">
        <v>0</v>
      </c>
      <c r="K3261" s="21">
        <v>0</v>
      </c>
      <c r="L3261" s="3">
        <f t="shared" si="144"/>
        <v>0</v>
      </c>
      <c r="M3261" s="3"/>
      <c r="N3261" s="3">
        <f t="shared" si="145"/>
        <v>0</v>
      </c>
      <c r="R3261" s="89"/>
      <c r="S3261" s="89">
        <f>100%-Table34[[#This Row],[PDF_initial fee]]</f>
        <v>1</v>
      </c>
      <c r="T3261" s="89"/>
      <c r="U3261" s="26"/>
    </row>
    <row r="3262" spans="1:27" hidden="1" x14ac:dyDescent="0.25">
      <c r="A3262">
        <v>605774</v>
      </c>
      <c r="B3262" t="s">
        <v>3630</v>
      </c>
      <c r="C3262" t="s">
        <v>30605</v>
      </c>
      <c r="D3262">
        <v>4</v>
      </c>
      <c r="E3262" t="s">
        <v>3630</v>
      </c>
      <c r="G3262" s="3"/>
      <c r="H3262" s="3">
        <v>0</v>
      </c>
      <c r="I3262" s="3">
        <v>0</v>
      </c>
      <c r="J3262" s="3">
        <v>0</v>
      </c>
      <c r="K3262" s="3">
        <v>0</v>
      </c>
      <c r="L3262" s="3">
        <f t="shared" si="144"/>
        <v>0</v>
      </c>
      <c r="M3262" s="3"/>
      <c r="N3262" s="3">
        <f t="shared" si="145"/>
        <v>0</v>
      </c>
      <c r="R3262" s="89"/>
      <c r="S3262" s="89">
        <f>100%-Table34[[#This Row],[PDF_initial fee]]</f>
        <v>1</v>
      </c>
      <c r="T3262" s="89"/>
      <c r="U3262" s="26"/>
    </row>
    <row r="3263" spans="1:27" hidden="1" x14ac:dyDescent="0.25">
      <c r="A3263">
        <v>605775</v>
      </c>
      <c r="B3263" t="s">
        <v>3631</v>
      </c>
      <c r="C3263" t="s">
        <v>6958</v>
      </c>
      <c r="D3263">
        <v>1</v>
      </c>
      <c r="E3263" t="s">
        <v>3631</v>
      </c>
      <c r="F3263" t="s">
        <v>6958</v>
      </c>
      <c r="G3263" s="3"/>
      <c r="H3263" s="21">
        <v>0</v>
      </c>
      <c r="I3263" s="21">
        <v>0</v>
      </c>
      <c r="J3263" s="21">
        <v>0</v>
      </c>
      <c r="K3263" s="21">
        <v>0</v>
      </c>
      <c r="L3263" s="3">
        <f t="shared" si="144"/>
        <v>0</v>
      </c>
      <c r="M3263" s="3"/>
      <c r="N3263" s="3">
        <f t="shared" si="145"/>
        <v>0</v>
      </c>
      <c r="R3263" s="89"/>
      <c r="S3263" s="89">
        <f>100%-Table34[[#This Row],[PDF_initial fee]]</f>
        <v>1</v>
      </c>
      <c r="T3263" s="89"/>
      <c r="U3263" s="26"/>
    </row>
    <row r="3264" spans="1:27" hidden="1" x14ac:dyDescent="0.25">
      <c r="A3264">
        <v>605885</v>
      </c>
      <c r="B3264" t="s">
        <v>3632</v>
      </c>
      <c r="C3264" t="s">
        <v>30606</v>
      </c>
      <c r="D3264">
        <v>1</v>
      </c>
      <c r="E3264" t="s">
        <v>3632</v>
      </c>
      <c r="G3264" s="3"/>
      <c r="H3264" s="3">
        <v>0</v>
      </c>
      <c r="I3264" s="3">
        <v>0</v>
      </c>
      <c r="J3264" s="3">
        <v>0</v>
      </c>
      <c r="K3264" s="3">
        <v>0</v>
      </c>
      <c r="L3264" s="3">
        <f t="shared" si="144"/>
        <v>0</v>
      </c>
      <c r="M3264" s="3"/>
      <c r="N3264" s="3">
        <f t="shared" si="145"/>
        <v>0</v>
      </c>
      <c r="R3264" s="89"/>
      <c r="S3264" s="89">
        <f>100%-Table34[[#This Row],[PDF_initial fee]]</f>
        <v>1</v>
      </c>
      <c r="T3264" s="89"/>
      <c r="U3264" s="26"/>
    </row>
    <row r="3265" spans="1:27" x14ac:dyDescent="0.25">
      <c r="A3265">
        <v>190659</v>
      </c>
      <c r="B3265" t="s">
        <v>97</v>
      </c>
      <c r="C3265" s="1" t="s">
        <v>12017</v>
      </c>
      <c r="D3265">
        <v>2</v>
      </c>
      <c r="E3265" t="s">
        <v>97</v>
      </c>
      <c r="F3265" t="s">
        <v>3</v>
      </c>
      <c r="G3265" s="3">
        <v>1.4E-3</v>
      </c>
      <c r="J3265" s="6">
        <f>(((3%*50000)+(2%*50000)))/100000</f>
        <v>2.5000000000000001E-2</v>
      </c>
      <c r="K3265" s="6">
        <v>5.0000000000000001E-3</v>
      </c>
      <c r="L3265" s="3">
        <f t="shared" si="144"/>
        <v>3.0000000000000002E-2</v>
      </c>
      <c r="M3265" s="3"/>
      <c r="N3265" s="3">
        <f t="shared" si="145"/>
        <v>3.1400000000000004E-2</v>
      </c>
      <c r="P3265" s="1" t="s">
        <v>30607</v>
      </c>
      <c r="Q3265" t="s">
        <v>31787</v>
      </c>
      <c r="R3265" s="89">
        <v>0.33333333333333348</v>
      </c>
      <c r="S3265" s="89">
        <f>100%-Table34[[#This Row],[PDF_initial fee]]</f>
        <v>0.97499999999999998</v>
      </c>
      <c r="T3265" s="89">
        <f>(1-Table34[[#This Row],[PDF ongoing fee]])^5</f>
        <v>0.97524875312187509</v>
      </c>
      <c r="U3265" s="26">
        <f>(1+Table34[[#This Row],[Net 5yrs return (mostly up to 28th of Feb 2026)]])*Table34[[#This Row],[Investment after initial charge]]*Table34[[#This Row],[Cummulative 5yrs ongoing advice charge]]-1</f>
        <v>0.26782337905843767</v>
      </c>
      <c r="V3265" s="10">
        <f>411920+66646</f>
        <v>478566</v>
      </c>
      <c r="W3265" t="s">
        <v>29051</v>
      </c>
      <c r="X3265" s="10">
        <v>330546</v>
      </c>
      <c r="Y3265" s="30">
        <f>X3265/V3265</f>
        <v>0.69070096914532164</v>
      </c>
      <c r="AA3265" s="1" t="s">
        <v>30608</v>
      </c>
    </row>
    <row r="3266" spans="1:27" hidden="1" x14ac:dyDescent="0.25">
      <c r="A3266">
        <v>605914</v>
      </c>
      <c r="B3266" t="s">
        <v>3634</v>
      </c>
      <c r="C3266" t="s">
        <v>6958</v>
      </c>
      <c r="D3266">
        <v>1</v>
      </c>
      <c r="E3266" t="s">
        <v>3634</v>
      </c>
      <c r="F3266" t="s">
        <v>6958</v>
      </c>
      <c r="G3266" s="3"/>
      <c r="H3266" s="21">
        <v>0</v>
      </c>
      <c r="I3266" s="21">
        <v>0</v>
      </c>
      <c r="J3266" s="21">
        <v>0</v>
      </c>
      <c r="K3266" s="21">
        <v>0</v>
      </c>
      <c r="L3266" s="3">
        <f t="shared" si="144"/>
        <v>0</v>
      </c>
      <c r="M3266" s="3"/>
      <c r="N3266" s="3">
        <f t="shared" si="145"/>
        <v>0</v>
      </c>
      <c r="R3266" s="89"/>
      <c r="S3266" s="89">
        <f>100%-Table34[[#This Row],[PDF_initial fee]]</f>
        <v>1</v>
      </c>
      <c r="T3266" s="89"/>
      <c r="U3266" s="26"/>
    </row>
    <row r="3267" spans="1:27" hidden="1" x14ac:dyDescent="0.25">
      <c r="A3267">
        <v>605977</v>
      </c>
      <c r="B3267" t="s">
        <v>3635</v>
      </c>
      <c r="C3267" s="1" t="s">
        <v>30609</v>
      </c>
      <c r="D3267">
        <v>24</v>
      </c>
      <c r="E3267" t="s">
        <v>3635</v>
      </c>
      <c r="G3267" s="3"/>
      <c r="H3267" s="21">
        <v>0</v>
      </c>
      <c r="I3267" s="21">
        <v>0</v>
      </c>
      <c r="J3267" s="21">
        <v>0</v>
      </c>
      <c r="K3267" s="21">
        <v>0</v>
      </c>
      <c r="L3267" s="3">
        <f t="shared" si="144"/>
        <v>0</v>
      </c>
      <c r="M3267" s="3"/>
      <c r="N3267" s="3">
        <f t="shared" si="145"/>
        <v>0</v>
      </c>
      <c r="O3267" s="21"/>
      <c r="R3267" s="89"/>
      <c r="S3267" s="89">
        <f>100%-Table34[[#This Row],[PDF_initial fee]]</f>
        <v>1</v>
      </c>
      <c r="T3267" s="89"/>
      <c r="U3267" s="26"/>
    </row>
    <row r="3268" spans="1:27" hidden="1" x14ac:dyDescent="0.25">
      <c r="A3268">
        <v>605985</v>
      </c>
      <c r="B3268" t="s">
        <v>3636</v>
      </c>
      <c r="C3268" t="s">
        <v>30610</v>
      </c>
      <c r="D3268">
        <v>56</v>
      </c>
      <c r="E3268" t="s">
        <v>3636</v>
      </c>
      <c r="F3268" t="s">
        <v>3</v>
      </c>
      <c r="G3268" s="3"/>
      <c r="H3268" s="3">
        <v>0</v>
      </c>
      <c r="I3268" s="3">
        <v>0</v>
      </c>
      <c r="J3268" s="3">
        <v>0</v>
      </c>
      <c r="K3268" s="3">
        <v>0</v>
      </c>
      <c r="L3268" s="3">
        <f t="shared" si="144"/>
        <v>0</v>
      </c>
      <c r="M3268" s="3"/>
      <c r="N3268" s="3">
        <f t="shared" si="145"/>
        <v>0</v>
      </c>
      <c r="R3268" s="89"/>
      <c r="S3268" s="89">
        <f>100%-Table34[[#This Row],[PDF_initial fee]]</f>
        <v>1</v>
      </c>
      <c r="T3268" s="89"/>
      <c r="U3268" s="26"/>
    </row>
    <row r="3269" spans="1:27" hidden="1" x14ac:dyDescent="0.25">
      <c r="A3269">
        <v>605986</v>
      </c>
      <c r="B3269" t="s">
        <v>3637</v>
      </c>
      <c r="C3269" t="s">
        <v>6958</v>
      </c>
      <c r="D3269">
        <v>1</v>
      </c>
      <c r="E3269" t="s">
        <v>3637</v>
      </c>
      <c r="F3269" t="s">
        <v>6958</v>
      </c>
      <c r="G3269" s="3"/>
      <c r="L3269" s="3">
        <f t="shared" si="144"/>
        <v>0</v>
      </c>
      <c r="M3269" s="3"/>
      <c r="N3269" s="3">
        <f t="shared" si="145"/>
        <v>0</v>
      </c>
      <c r="R3269" s="89"/>
      <c r="S3269" s="89">
        <f>100%-Table34[[#This Row],[PDF_initial fee]]</f>
        <v>1</v>
      </c>
      <c r="T3269" s="89"/>
      <c r="U3269" s="26"/>
    </row>
    <row r="3270" spans="1:27" hidden="1" x14ac:dyDescent="0.25">
      <c r="A3270">
        <v>605987</v>
      </c>
      <c r="B3270" t="s">
        <v>3638</v>
      </c>
      <c r="C3270" t="s">
        <v>6958</v>
      </c>
      <c r="D3270">
        <v>1</v>
      </c>
      <c r="E3270" t="s">
        <v>3638</v>
      </c>
      <c r="F3270" t="s">
        <v>6958</v>
      </c>
      <c r="G3270" s="3"/>
      <c r="H3270" s="21">
        <v>0</v>
      </c>
      <c r="I3270" s="21">
        <v>0</v>
      </c>
      <c r="J3270" s="21">
        <v>0</v>
      </c>
      <c r="K3270" s="21">
        <v>0</v>
      </c>
      <c r="L3270" s="3">
        <f t="shared" si="144"/>
        <v>0</v>
      </c>
      <c r="M3270" s="3"/>
      <c r="N3270" s="3">
        <f t="shared" si="145"/>
        <v>0</v>
      </c>
      <c r="R3270" s="89"/>
      <c r="S3270" s="89">
        <f>100%-Table34[[#This Row],[PDF_initial fee]]</f>
        <v>1</v>
      </c>
      <c r="T3270" s="89"/>
      <c r="U3270" s="26"/>
    </row>
    <row r="3271" spans="1:27" hidden="1" x14ac:dyDescent="0.25">
      <c r="A3271">
        <v>606102</v>
      </c>
      <c r="B3271" t="s">
        <v>3639</v>
      </c>
      <c r="C3271" t="s">
        <v>6958</v>
      </c>
      <c r="D3271">
        <v>1</v>
      </c>
      <c r="E3271" t="s">
        <v>3639</v>
      </c>
      <c r="F3271" t="s">
        <v>6958</v>
      </c>
      <c r="G3271" s="3"/>
      <c r="H3271" s="21">
        <v>0</v>
      </c>
      <c r="I3271" s="21">
        <v>0</v>
      </c>
      <c r="J3271" s="21">
        <v>0</v>
      </c>
      <c r="K3271" s="21">
        <v>0</v>
      </c>
      <c r="L3271" s="3">
        <f t="shared" si="144"/>
        <v>0</v>
      </c>
      <c r="M3271" s="3"/>
      <c r="N3271" s="3">
        <f t="shared" si="145"/>
        <v>0</v>
      </c>
      <c r="R3271" s="89"/>
      <c r="S3271" s="89">
        <f>100%-Table34[[#This Row],[PDF_initial fee]]</f>
        <v>1</v>
      </c>
      <c r="T3271" s="89"/>
      <c r="U3271" s="26"/>
    </row>
    <row r="3272" spans="1:27" hidden="1" x14ac:dyDescent="0.25">
      <c r="A3272">
        <v>606147</v>
      </c>
      <c r="B3272" t="s">
        <v>3640</v>
      </c>
      <c r="C3272" t="s">
        <v>30611</v>
      </c>
      <c r="D3272">
        <v>1</v>
      </c>
      <c r="E3272" t="s">
        <v>3640</v>
      </c>
      <c r="G3272" s="3"/>
      <c r="H3272" s="3">
        <v>0</v>
      </c>
      <c r="I3272" s="3">
        <v>0</v>
      </c>
      <c r="J3272" s="3">
        <v>0</v>
      </c>
      <c r="K3272" s="3">
        <v>0</v>
      </c>
      <c r="L3272" s="3">
        <f t="shared" si="144"/>
        <v>0</v>
      </c>
      <c r="M3272" s="3"/>
      <c r="N3272" s="3">
        <f t="shared" si="145"/>
        <v>0</v>
      </c>
      <c r="R3272" s="89"/>
      <c r="S3272" s="89">
        <f>100%-Table34[[#This Row],[PDF_initial fee]]</f>
        <v>1</v>
      </c>
      <c r="T3272" s="89"/>
      <c r="U3272" s="26"/>
    </row>
    <row r="3273" spans="1:27" hidden="1" x14ac:dyDescent="0.25">
      <c r="A3273">
        <v>606155</v>
      </c>
      <c r="B3273" t="s">
        <v>3641</v>
      </c>
      <c r="C3273" t="s">
        <v>30612</v>
      </c>
      <c r="D3273">
        <v>3</v>
      </c>
      <c r="E3273" t="s">
        <v>3641</v>
      </c>
      <c r="G3273" s="3"/>
      <c r="H3273" s="3">
        <v>0</v>
      </c>
      <c r="I3273" s="3">
        <v>0</v>
      </c>
      <c r="J3273" s="3">
        <v>0</v>
      </c>
      <c r="K3273" s="3">
        <v>0</v>
      </c>
      <c r="L3273" s="3">
        <f t="shared" si="144"/>
        <v>0</v>
      </c>
      <c r="M3273" s="3"/>
      <c r="N3273" s="3">
        <f t="shared" si="145"/>
        <v>0</v>
      </c>
      <c r="R3273" s="89"/>
      <c r="S3273" s="89">
        <f>100%-Table34[[#This Row],[PDF_initial fee]]</f>
        <v>1</v>
      </c>
      <c r="T3273" s="89"/>
      <c r="U3273" s="26"/>
    </row>
    <row r="3274" spans="1:27" hidden="1" x14ac:dyDescent="0.25">
      <c r="A3274">
        <v>606279</v>
      </c>
      <c r="B3274" t="s">
        <v>3642</v>
      </c>
      <c r="C3274" t="s">
        <v>11670</v>
      </c>
      <c r="D3274">
        <v>6</v>
      </c>
      <c r="E3274" t="s">
        <v>3642</v>
      </c>
      <c r="G3274" s="3"/>
      <c r="H3274" s="21">
        <v>0</v>
      </c>
      <c r="I3274" s="21">
        <v>0</v>
      </c>
      <c r="J3274" s="21">
        <v>0</v>
      </c>
      <c r="K3274" s="21">
        <v>0</v>
      </c>
      <c r="L3274" s="3">
        <f t="shared" si="144"/>
        <v>0</v>
      </c>
      <c r="M3274" s="3"/>
      <c r="N3274" s="3">
        <f t="shared" si="145"/>
        <v>0</v>
      </c>
      <c r="R3274" s="89"/>
      <c r="S3274" s="89">
        <f>100%-Table34[[#This Row],[PDF_initial fee]]</f>
        <v>1</v>
      </c>
      <c r="T3274" s="89"/>
      <c r="U3274" s="26"/>
    </row>
    <row r="3275" spans="1:27" hidden="1" x14ac:dyDescent="0.25">
      <c r="A3275">
        <v>606307</v>
      </c>
      <c r="B3275" t="s">
        <v>3643</v>
      </c>
      <c r="C3275" t="s">
        <v>6958</v>
      </c>
      <c r="D3275">
        <v>2</v>
      </c>
      <c r="E3275" t="s">
        <v>3643</v>
      </c>
      <c r="F3275" t="s">
        <v>6958</v>
      </c>
      <c r="G3275" s="3"/>
      <c r="H3275" s="21">
        <v>0</v>
      </c>
      <c r="I3275" s="21">
        <v>0</v>
      </c>
      <c r="J3275" s="21">
        <v>0</v>
      </c>
      <c r="K3275" s="21">
        <v>0</v>
      </c>
      <c r="L3275" s="3">
        <f t="shared" si="144"/>
        <v>0</v>
      </c>
      <c r="M3275" s="3"/>
      <c r="N3275" s="3">
        <f t="shared" si="145"/>
        <v>0</v>
      </c>
      <c r="R3275" s="89"/>
      <c r="S3275" s="89">
        <f>100%-Table34[[#This Row],[PDF_initial fee]]</f>
        <v>1</v>
      </c>
      <c r="T3275" s="89"/>
      <c r="U3275" s="26"/>
    </row>
    <row r="3276" spans="1:27" hidden="1" x14ac:dyDescent="0.25">
      <c r="A3276">
        <v>606549</v>
      </c>
      <c r="B3276" t="s">
        <v>3644</v>
      </c>
      <c r="C3276" t="s">
        <v>11967</v>
      </c>
      <c r="D3276">
        <v>2</v>
      </c>
      <c r="E3276" t="s">
        <v>3644</v>
      </c>
      <c r="G3276" s="3"/>
      <c r="H3276" s="21">
        <v>0</v>
      </c>
      <c r="I3276" s="21">
        <v>0</v>
      </c>
      <c r="J3276" s="21">
        <v>0</v>
      </c>
      <c r="K3276" s="21">
        <v>0</v>
      </c>
      <c r="L3276" s="3">
        <f t="shared" si="144"/>
        <v>0</v>
      </c>
      <c r="M3276" s="3"/>
      <c r="N3276" s="3">
        <f t="shared" si="145"/>
        <v>0</v>
      </c>
      <c r="R3276" s="89"/>
      <c r="S3276" s="89">
        <f>100%-Table34[[#This Row],[PDF_initial fee]]</f>
        <v>1</v>
      </c>
      <c r="T3276" s="89"/>
      <c r="U3276" s="26"/>
    </row>
    <row r="3277" spans="1:27" hidden="1" x14ac:dyDescent="0.25">
      <c r="A3277">
        <v>606555</v>
      </c>
      <c r="B3277" t="s">
        <v>3645</v>
      </c>
      <c r="C3277" t="s">
        <v>8353</v>
      </c>
      <c r="D3277">
        <v>2</v>
      </c>
      <c r="E3277" t="s">
        <v>3645</v>
      </c>
      <c r="G3277" s="3"/>
      <c r="H3277" s="21">
        <v>0</v>
      </c>
      <c r="I3277" s="21">
        <v>0</v>
      </c>
      <c r="J3277" s="21">
        <v>0</v>
      </c>
      <c r="K3277" s="21">
        <v>0</v>
      </c>
      <c r="L3277" s="3">
        <f t="shared" si="144"/>
        <v>0</v>
      </c>
      <c r="M3277" s="3"/>
      <c r="N3277" s="3">
        <f t="shared" si="145"/>
        <v>0</v>
      </c>
      <c r="R3277" s="89"/>
      <c r="S3277" s="89">
        <f>100%-Table34[[#This Row],[PDF_initial fee]]</f>
        <v>1</v>
      </c>
      <c r="T3277" s="89"/>
      <c r="U3277" s="26"/>
    </row>
    <row r="3278" spans="1:27" hidden="1" x14ac:dyDescent="0.25">
      <c r="A3278">
        <v>606559</v>
      </c>
      <c r="B3278" t="s">
        <v>3646</v>
      </c>
      <c r="C3278" t="s">
        <v>12290</v>
      </c>
      <c r="D3278">
        <v>3</v>
      </c>
      <c r="E3278" t="s">
        <v>3646</v>
      </c>
      <c r="G3278" s="3"/>
      <c r="H3278" s="21">
        <v>0</v>
      </c>
      <c r="I3278" s="21">
        <v>0</v>
      </c>
      <c r="J3278" s="21">
        <v>0</v>
      </c>
      <c r="K3278" s="21">
        <v>0</v>
      </c>
      <c r="L3278" s="3">
        <f t="shared" si="144"/>
        <v>0</v>
      </c>
      <c r="M3278" s="3"/>
      <c r="N3278" s="3">
        <f t="shared" si="145"/>
        <v>0</v>
      </c>
      <c r="R3278" s="89"/>
      <c r="S3278" s="89">
        <f>100%-Table34[[#This Row],[PDF_initial fee]]</f>
        <v>1</v>
      </c>
      <c r="T3278" s="89"/>
      <c r="U3278" s="26"/>
    </row>
    <row r="3279" spans="1:27" hidden="1" x14ac:dyDescent="0.25">
      <c r="A3279">
        <v>606575</v>
      </c>
      <c r="B3279" t="s">
        <v>3647</v>
      </c>
      <c r="C3279" t="s">
        <v>6958</v>
      </c>
      <c r="D3279">
        <v>1</v>
      </c>
      <c r="E3279" t="s">
        <v>3647</v>
      </c>
      <c r="F3279" t="s">
        <v>6958</v>
      </c>
      <c r="G3279" s="3"/>
      <c r="L3279" s="3">
        <f t="shared" si="144"/>
        <v>0</v>
      </c>
      <c r="M3279" s="3"/>
      <c r="N3279" s="3">
        <f t="shared" si="145"/>
        <v>0</v>
      </c>
      <c r="R3279" s="89"/>
      <c r="S3279" s="89">
        <f>100%-Table34[[#This Row],[PDF_initial fee]]</f>
        <v>1</v>
      </c>
      <c r="T3279" s="89"/>
      <c r="U3279" s="26"/>
    </row>
    <row r="3280" spans="1:27" hidden="1" x14ac:dyDescent="0.25">
      <c r="A3280">
        <v>606578</v>
      </c>
      <c r="B3280" t="s">
        <v>3648</v>
      </c>
      <c r="C3280" t="s">
        <v>7454</v>
      </c>
      <c r="D3280">
        <v>2</v>
      </c>
      <c r="E3280" t="s">
        <v>3648</v>
      </c>
      <c r="G3280" s="3"/>
      <c r="H3280" s="21">
        <v>0</v>
      </c>
      <c r="I3280" s="21">
        <v>0</v>
      </c>
      <c r="J3280" s="21">
        <v>0</v>
      </c>
      <c r="K3280" s="21">
        <v>0</v>
      </c>
      <c r="L3280" s="3">
        <f t="shared" si="144"/>
        <v>0</v>
      </c>
      <c r="M3280" s="3"/>
      <c r="N3280" s="3">
        <f t="shared" si="145"/>
        <v>0</v>
      </c>
      <c r="R3280" s="89"/>
      <c r="S3280" s="89">
        <f>100%-Table34[[#This Row],[PDF_initial fee]]</f>
        <v>1</v>
      </c>
      <c r="T3280" s="89"/>
      <c r="U3280" s="26"/>
    </row>
    <row r="3281" spans="1:29" hidden="1" x14ac:dyDescent="0.25">
      <c r="A3281">
        <v>606600</v>
      </c>
      <c r="B3281" t="s">
        <v>3649</v>
      </c>
      <c r="C3281" t="s">
        <v>6958</v>
      </c>
      <c r="D3281">
        <v>2</v>
      </c>
      <c r="E3281" t="s">
        <v>3649</v>
      </c>
      <c r="F3281" t="s">
        <v>6958</v>
      </c>
      <c r="G3281" s="3"/>
      <c r="H3281" s="21">
        <v>0</v>
      </c>
      <c r="I3281" s="21">
        <v>0</v>
      </c>
      <c r="J3281" s="21">
        <v>0</v>
      </c>
      <c r="K3281" s="21">
        <v>0</v>
      </c>
      <c r="L3281" s="3">
        <f t="shared" si="144"/>
        <v>0</v>
      </c>
      <c r="M3281" s="3"/>
      <c r="N3281" s="3">
        <f t="shared" si="145"/>
        <v>0</v>
      </c>
      <c r="R3281" s="89"/>
      <c r="S3281" s="89">
        <f>100%-Table34[[#This Row],[PDF_initial fee]]</f>
        <v>1</v>
      </c>
      <c r="T3281" s="89"/>
      <c r="U3281" s="26"/>
    </row>
    <row r="3282" spans="1:29" hidden="1" x14ac:dyDescent="0.25">
      <c r="A3282">
        <v>606610</v>
      </c>
      <c r="B3282" t="s">
        <v>3650</v>
      </c>
      <c r="C3282" t="s">
        <v>11339</v>
      </c>
      <c r="D3282">
        <v>1</v>
      </c>
      <c r="E3282" t="s">
        <v>3650</v>
      </c>
      <c r="G3282" s="3"/>
      <c r="H3282" s="21">
        <v>0</v>
      </c>
      <c r="I3282" s="21">
        <v>0</v>
      </c>
      <c r="J3282" s="21">
        <v>0</v>
      </c>
      <c r="K3282" s="21">
        <v>0</v>
      </c>
      <c r="L3282" s="3">
        <f t="shared" si="144"/>
        <v>0</v>
      </c>
      <c r="M3282" s="3"/>
      <c r="N3282" s="3">
        <f t="shared" si="145"/>
        <v>0</v>
      </c>
      <c r="R3282" s="89"/>
      <c r="S3282" s="89">
        <f>100%-Table34[[#This Row],[PDF_initial fee]]</f>
        <v>1</v>
      </c>
      <c r="T3282" s="89"/>
      <c r="U3282" s="26"/>
    </row>
    <row r="3283" spans="1:29" hidden="1" x14ac:dyDescent="0.25">
      <c r="A3283">
        <v>606614</v>
      </c>
      <c r="B3283" t="s">
        <v>3651</v>
      </c>
      <c r="C3283" t="s">
        <v>8781</v>
      </c>
      <c r="D3283">
        <v>7</v>
      </c>
      <c r="E3283" t="s">
        <v>3651</v>
      </c>
      <c r="G3283" s="3"/>
      <c r="H3283" s="21">
        <v>0</v>
      </c>
      <c r="I3283" s="21">
        <v>0</v>
      </c>
      <c r="J3283" s="21">
        <v>0</v>
      </c>
      <c r="K3283" s="21">
        <v>0</v>
      </c>
      <c r="L3283" s="3">
        <f t="shared" si="144"/>
        <v>0</v>
      </c>
      <c r="M3283" s="3"/>
      <c r="N3283" s="3">
        <f t="shared" si="145"/>
        <v>0</v>
      </c>
      <c r="R3283" s="89"/>
      <c r="S3283" s="89">
        <f>100%-Table34[[#This Row],[PDF_initial fee]]</f>
        <v>1</v>
      </c>
      <c r="T3283" s="89"/>
      <c r="U3283" s="26"/>
    </row>
    <row r="3284" spans="1:29" hidden="1" x14ac:dyDescent="0.25">
      <c r="A3284">
        <v>606773</v>
      </c>
      <c r="B3284" t="s">
        <v>3652</v>
      </c>
      <c r="C3284" t="s">
        <v>8751</v>
      </c>
      <c r="D3284">
        <v>1</v>
      </c>
      <c r="E3284" t="s">
        <v>3652</v>
      </c>
      <c r="G3284" s="3"/>
      <c r="H3284" s="21">
        <v>0</v>
      </c>
      <c r="I3284" s="21">
        <v>0</v>
      </c>
      <c r="J3284" s="21">
        <v>0</v>
      </c>
      <c r="K3284" s="21">
        <v>0</v>
      </c>
      <c r="L3284" s="3">
        <f t="shared" si="144"/>
        <v>0</v>
      </c>
      <c r="M3284" s="3"/>
      <c r="N3284" s="3">
        <f t="shared" si="145"/>
        <v>0</v>
      </c>
      <c r="R3284" s="89"/>
      <c r="S3284" s="89">
        <f>100%-Table34[[#This Row],[PDF_initial fee]]</f>
        <v>1</v>
      </c>
      <c r="T3284" s="89"/>
      <c r="U3284" s="26"/>
    </row>
    <row r="3285" spans="1:29" hidden="1" x14ac:dyDescent="0.25">
      <c r="A3285">
        <v>606805</v>
      </c>
      <c r="B3285" t="s">
        <v>3653</v>
      </c>
      <c r="C3285" t="s">
        <v>6958</v>
      </c>
      <c r="D3285">
        <v>3</v>
      </c>
      <c r="E3285" t="s">
        <v>3653</v>
      </c>
      <c r="F3285" t="s">
        <v>6958</v>
      </c>
      <c r="G3285" s="3"/>
      <c r="L3285" s="3">
        <f t="shared" si="144"/>
        <v>0</v>
      </c>
      <c r="M3285" s="3"/>
      <c r="N3285" s="3">
        <f t="shared" si="145"/>
        <v>0</v>
      </c>
      <c r="R3285" s="89"/>
      <c r="S3285" s="89">
        <f>100%-Table34[[#This Row],[PDF_initial fee]]</f>
        <v>1</v>
      </c>
      <c r="T3285" s="89"/>
      <c r="U3285" s="26"/>
    </row>
    <row r="3286" spans="1:29" hidden="1" x14ac:dyDescent="0.25">
      <c r="A3286">
        <v>606836</v>
      </c>
      <c r="B3286" t="s">
        <v>3654</v>
      </c>
      <c r="C3286" t="s">
        <v>6958</v>
      </c>
      <c r="D3286">
        <v>1</v>
      </c>
      <c r="E3286" t="s">
        <v>3654</v>
      </c>
      <c r="F3286" t="s">
        <v>6958</v>
      </c>
      <c r="G3286" s="3"/>
      <c r="L3286" s="3">
        <f t="shared" si="144"/>
        <v>0</v>
      </c>
      <c r="M3286" s="3"/>
      <c r="N3286" s="3">
        <f t="shared" si="145"/>
        <v>0</v>
      </c>
      <c r="R3286" s="89"/>
      <c r="S3286" s="89">
        <f>100%-Table34[[#This Row],[PDF_initial fee]]</f>
        <v>1</v>
      </c>
      <c r="T3286" s="89"/>
      <c r="U3286" s="26"/>
    </row>
    <row r="3287" spans="1:29" x14ac:dyDescent="0.25">
      <c r="A3287">
        <v>527444</v>
      </c>
      <c r="B3287" t="s">
        <v>212</v>
      </c>
      <c r="C3287" t="s">
        <v>30613</v>
      </c>
      <c r="D3287">
        <v>1</v>
      </c>
      <c r="E3287" t="s">
        <v>212</v>
      </c>
      <c r="F3287" t="s">
        <v>6</v>
      </c>
      <c r="G3287" s="3">
        <v>7.6E-3</v>
      </c>
      <c r="H3287" s="3"/>
      <c r="I3287" s="3">
        <v>8.9999999999999993E-3</v>
      </c>
      <c r="J3287" s="3"/>
      <c r="K3287" s="3"/>
      <c r="L3287" s="3">
        <f t="shared" si="144"/>
        <v>8.9999999999999993E-3</v>
      </c>
      <c r="M3287" s="3"/>
      <c r="N3287" s="3">
        <f t="shared" si="145"/>
        <v>1.66E-2</v>
      </c>
      <c r="O3287" t="s">
        <v>30614</v>
      </c>
      <c r="P3287" s="22" t="s">
        <v>30615</v>
      </c>
      <c r="Q3287" s="1" t="s">
        <v>30616</v>
      </c>
      <c r="R3287" s="89">
        <v>0.35499999999999998</v>
      </c>
      <c r="S3287" s="89">
        <f>100%-Table34[[#This Row],[InitialFee]]</f>
        <v>1</v>
      </c>
      <c r="T3287" s="89">
        <f>(1-Table34[[#This Row],[OngoingFee (plus Platform fee)]])^5</f>
        <v>0.95580274274595101</v>
      </c>
      <c r="U3287" s="26">
        <f>(1+Table34[[#This Row],[Net 5yrs return (mostly up to 28th of Feb 2026)]])*Table34[[#This Row],[Investment after initial charge]]*Table34[[#This Row],[Cummulative 5yrs ongoing advice charge]]-1</f>
        <v>0.29511271642076364</v>
      </c>
      <c r="V3287" s="10">
        <v>27927000</v>
      </c>
      <c r="W3287" s="10" t="s">
        <v>29051</v>
      </c>
      <c r="X3287" s="10">
        <v>27927000</v>
      </c>
      <c r="Y3287" s="30">
        <f>X3287/V3287</f>
        <v>1</v>
      </c>
      <c r="Z3287" s="10"/>
      <c r="AA3287" s="1" t="s">
        <v>30617</v>
      </c>
      <c r="AC3287" t="s">
        <v>29570</v>
      </c>
    </row>
    <row r="3288" spans="1:29" hidden="1" x14ac:dyDescent="0.25">
      <c r="A3288">
        <v>607026</v>
      </c>
      <c r="B3288" t="s">
        <v>3656</v>
      </c>
      <c r="C3288" t="s">
        <v>30618</v>
      </c>
      <c r="D3288">
        <v>1</v>
      </c>
      <c r="E3288" t="s">
        <v>3656</v>
      </c>
      <c r="G3288" s="3"/>
      <c r="H3288" s="3">
        <v>0</v>
      </c>
      <c r="I3288" s="3">
        <v>0</v>
      </c>
      <c r="J3288" s="3">
        <v>0</v>
      </c>
      <c r="K3288" s="3">
        <v>0</v>
      </c>
      <c r="L3288" s="3">
        <f t="shared" si="144"/>
        <v>0</v>
      </c>
      <c r="M3288" s="3"/>
      <c r="N3288" s="3">
        <f t="shared" si="145"/>
        <v>0</v>
      </c>
      <c r="R3288" s="89"/>
      <c r="S3288" s="89">
        <f>100%-Table34[[#This Row],[PDF_initial fee]]</f>
        <v>1</v>
      </c>
      <c r="T3288" s="89"/>
      <c r="U3288" s="26"/>
    </row>
    <row r="3289" spans="1:29" hidden="1" x14ac:dyDescent="0.25">
      <c r="A3289">
        <v>607133</v>
      </c>
      <c r="B3289" t="s">
        <v>3657</v>
      </c>
      <c r="C3289" t="s">
        <v>6958</v>
      </c>
      <c r="D3289">
        <v>2</v>
      </c>
      <c r="E3289" t="s">
        <v>3657</v>
      </c>
      <c r="F3289" t="s">
        <v>6958</v>
      </c>
      <c r="G3289" s="3"/>
      <c r="H3289" s="21">
        <v>0</v>
      </c>
      <c r="I3289" s="21">
        <v>0</v>
      </c>
      <c r="J3289" s="21">
        <v>0</v>
      </c>
      <c r="K3289" s="21">
        <v>0</v>
      </c>
      <c r="L3289" s="3">
        <f t="shared" si="144"/>
        <v>0</v>
      </c>
      <c r="M3289" s="3"/>
      <c r="N3289" s="3">
        <f t="shared" si="145"/>
        <v>0</v>
      </c>
      <c r="R3289" s="89"/>
      <c r="S3289" s="89">
        <f>100%-Table34[[#This Row],[PDF_initial fee]]</f>
        <v>1</v>
      </c>
      <c r="T3289" s="89"/>
      <c r="U3289" s="26"/>
    </row>
    <row r="3290" spans="1:29" hidden="1" x14ac:dyDescent="0.25">
      <c r="A3290">
        <v>607256</v>
      </c>
      <c r="B3290" t="s">
        <v>3659</v>
      </c>
      <c r="C3290" t="s">
        <v>6958</v>
      </c>
      <c r="D3290">
        <v>1</v>
      </c>
      <c r="E3290" t="s">
        <v>3659</v>
      </c>
      <c r="F3290" t="s">
        <v>6958</v>
      </c>
      <c r="G3290" s="3"/>
      <c r="H3290" s="21">
        <v>0</v>
      </c>
      <c r="I3290" s="21">
        <v>0</v>
      </c>
      <c r="J3290" s="21">
        <v>0</v>
      </c>
      <c r="K3290" s="21">
        <v>0</v>
      </c>
      <c r="L3290" s="3">
        <f t="shared" si="144"/>
        <v>0</v>
      </c>
      <c r="M3290" s="3"/>
      <c r="N3290" s="3">
        <f t="shared" si="145"/>
        <v>0</v>
      </c>
      <c r="R3290" s="89"/>
      <c r="S3290" s="89">
        <f>100%-Table34[[#This Row],[PDF_initial fee]]</f>
        <v>1</v>
      </c>
      <c r="T3290" s="89"/>
      <c r="U3290" s="26"/>
    </row>
    <row r="3291" spans="1:29" hidden="1" x14ac:dyDescent="0.25">
      <c r="A3291">
        <v>607283</v>
      </c>
      <c r="B3291" t="s">
        <v>3660</v>
      </c>
      <c r="C3291" t="s">
        <v>7037</v>
      </c>
      <c r="D3291">
        <v>15</v>
      </c>
      <c r="E3291" t="s">
        <v>3660</v>
      </c>
      <c r="G3291" s="3"/>
      <c r="L3291" s="3">
        <f t="shared" si="144"/>
        <v>0</v>
      </c>
      <c r="M3291" s="3"/>
      <c r="N3291" s="3">
        <f t="shared" si="145"/>
        <v>0</v>
      </c>
      <c r="R3291" s="89"/>
      <c r="S3291" s="89">
        <f>100%-Table34[[#This Row],[PDF_initial fee]]</f>
        <v>1</v>
      </c>
      <c r="T3291" s="89"/>
      <c r="U3291" s="26"/>
    </row>
    <row r="3292" spans="1:29" hidden="1" x14ac:dyDescent="0.25">
      <c r="A3292">
        <v>607322</v>
      </c>
      <c r="B3292" t="s">
        <v>3661</v>
      </c>
      <c r="C3292" t="s">
        <v>10963</v>
      </c>
      <c r="D3292">
        <v>1</v>
      </c>
      <c r="E3292" t="s">
        <v>3661</v>
      </c>
      <c r="G3292" s="3"/>
      <c r="H3292" s="21">
        <v>0</v>
      </c>
      <c r="I3292" s="21">
        <v>0</v>
      </c>
      <c r="J3292" s="21">
        <v>0</v>
      </c>
      <c r="K3292" s="21">
        <v>0</v>
      </c>
      <c r="L3292" s="3">
        <f t="shared" si="144"/>
        <v>0</v>
      </c>
      <c r="M3292" s="3"/>
      <c r="N3292" s="3">
        <f t="shared" si="145"/>
        <v>0</v>
      </c>
      <c r="R3292" s="89"/>
      <c r="S3292" s="89">
        <f>100%-Table34[[#This Row],[PDF_initial fee]]</f>
        <v>1</v>
      </c>
      <c r="T3292" s="89"/>
      <c r="U3292" s="26"/>
    </row>
    <row r="3293" spans="1:29" hidden="1" x14ac:dyDescent="0.25">
      <c r="A3293">
        <v>607414</v>
      </c>
      <c r="B3293" t="s">
        <v>3663</v>
      </c>
      <c r="C3293" t="s">
        <v>30619</v>
      </c>
      <c r="D3293">
        <v>1</v>
      </c>
      <c r="E3293" t="s">
        <v>3663</v>
      </c>
      <c r="G3293" s="3"/>
      <c r="H3293" s="21">
        <v>0</v>
      </c>
      <c r="I3293" s="3">
        <v>0</v>
      </c>
      <c r="J3293" s="3">
        <v>0</v>
      </c>
      <c r="K3293">
        <v>0</v>
      </c>
      <c r="L3293" s="3">
        <f t="shared" si="144"/>
        <v>0</v>
      </c>
      <c r="M3293" s="3"/>
      <c r="N3293" s="3">
        <f t="shared" si="145"/>
        <v>0</v>
      </c>
      <c r="R3293" s="89"/>
      <c r="S3293" s="89">
        <f>100%-Table34[[#This Row],[PDF_initial fee]]</f>
        <v>1</v>
      </c>
      <c r="T3293" s="89"/>
      <c r="U3293" s="26"/>
    </row>
    <row r="3294" spans="1:29" hidden="1" x14ac:dyDescent="0.25">
      <c r="A3294">
        <v>607454</v>
      </c>
      <c r="B3294" t="s">
        <v>3664</v>
      </c>
      <c r="C3294" t="s">
        <v>6958</v>
      </c>
      <c r="D3294">
        <v>1</v>
      </c>
      <c r="E3294" t="s">
        <v>3664</v>
      </c>
      <c r="F3294" t="s">
        <v>6958</v>
      </c>
      <c r="G3294" s="3"/>
      <c r="L3294" s="3">
        <f t="shared" si="144"/>
        <v>0</v>
      </c>
      <c r="M3294" s="3"/>
      <c r="N3294" s="3">
        <f t="shared" si="145"/>
        <v>0</v>
      </c>
      <c r="R3294" s="89"/>
      <c r="S3294" s="89">
        <f>100%-Table34[[#This Row],[PDF_initial fee]]</f>
        <v>1</v>
      </c>
      <c r="T3294" s="89"/>
      <c r="U3294" s="26"/>
    </row>
    <row r="3295" spans="1:29" hidden="1" x14ac:dyDescent="0.25">
      <c r="A3295">
        <v>607455</v>
      </c>
      <c r="B3295" t="s">
        <v>3665</v>
      </c>
      <c r="C3295" t="s">
        <v>7712</v>
      </c>
      <c r="D3295">
        <v>2</v>
      </c>
      <c r="E3295" t="s">
        <v>3665</v>
      </c>
      <c r="G3295" s="3"/>
      <c r="H3295" s="21">
        <v>0</v>
      </c>
      <c r="I3295" s="21">
        <v>0</v>
      </c>
      <c r="J3295" s="21">
        <v>0</v>
      </c>
      <c r="K3295" s="21">
        <v>0</v>
      </c>
      <c r="L3295" s="3">
        <f t="shared" si="144"/>
        <v>0</v>
      </c>
      <c r="M3295" s="3"/>
      <c r="N3295" s="3">
        <f t="shared" si="145"/>
        <v>0</v>
      </c>
      <c r="R3295" s="89"/>
      <c r="S3295" s="89">
        <f>100%-Table34[[#This Row],[PDF_initial fee]]</f>
        <v>1</v>
      </c>
      <c r="T3295" s="89"/>
      <c r="U3295" s="26"/>
    </row>
    <row r="3296" spans="1:29" x14ac:dyDescent="0.25">
      <c r="A3296">
        <v>529810</v>
      </c>
      <c r="B3296" t="s">
        <v>215</v>
      </c>
      <c r="C3296" t="s">
        <v>30620</v>
      </c>
      <c r="D3296">
        <v>1077</v>
      </c>
      <c r="E3296" t="s">
        <v>215</v>
      </c>
      <c r="F3296" t="s">
        <v>6</v>
      </c>
      <c r="G3296" s="3">
        <v>7.6E-3</v>
      </c>
      <c r="H3296" s="3">
        <v>0</v>
      </c>
      <c r="I3296" s="3">
        <v>8.9999999999999993E-3</v>
      </c>
      <c r="J3296" s="6">
        <v>0</v>
      </c>
      <c r="K3296" s="6">
        <v>0</v>
      </c>
      <c r="L3296" s="3">
        <f t="shared" si="144"/>
        <v>8.9999999999999993E-3</v>
      </c>
      <c r="M3296" s="3"/>
      <c r="N3296" s="3">
        <f t="shared" si="145"/>
        <v>1.66E-2</v>
      </c>
      <c r="P3296" s="1" t="s">
        <v>30615</v>
      </c>
      <c r="Q3296" s="1" t="s">
        <v>30616</v>
      </c>
      <c r="R3296" s="89">
        <v>0.35499999999999998</v>
      </c>
      <c r="S3296" s="89">
        <f>100%-Table34[[#This Row],[InitialFee]]</f>
        <v>1</v>
      </c>
      <c r="T3296" s="89">
        <f>(1-Table34[[#This Row],[OngoingFee (plus Platform fee)]])^5</f>
        <v>0.95580274274595101</v>
      </c>
      <c r="U3296" s="26">
        <f>(1+Table34[[#This Row],[Net 5yrs return (mostly up to 28th of Feb 2026)]])*Table34[[#This Row],[Investment after initial charge]]*Table34[[#This Row],[Cummulative 5yrs ongoing advice charge]]-1</f>
        <v>0.29511271642076364</v>
      </c>
      <c r="V3296" s="10">
        <f>(27927+1774)*1000</f>
        <v>29701000</v>
      </c>
      <c r="W3296" s="10" t="s">
        <v>29051</v>
      </c>
      <c r="X3296" s="10">
        <v>27927000</v>
      </c>
      <c r="Y3296" s="30">
        <f>X3296/V3296</f>
        <v>0.9402713713342985</v>
      </c>
      <c r="Z3296" s="10"/>
      <c r="AA3296" s="1" t="s">
        <v>30617</v>
      </c>
      <c r="AC3296" t="s">
        <v>29570</v>
      </c>
    </row>
    <row r="3297" spans="1:21" hidden="1" x14ac:dyDescent="0.25">
      <c r="A3297">
        <v>607476</v>
      </c>
      <c r="B3297" t="s">
        <v>3666</v>
      </c>
      <c r="C3297" t="s">
        <v>6958</v>
      </c>
      <c r="D3297">
        <v>1</v>
      </c>
      <c r="E3297" t="s">
        <v>3666</v>
      </c>
      <c r="F3297" t="s">
        <v>6958</v>
      </c>
      <c r="G3297" s="3"/>
      <c r="H3297" s="21">
        <v>0</v>
      </c>
      <c r="I3297" s="21">
        <v>0</v>
      </c>
      <c r="J3297" s="21">
        <v>0</v>
      </c>
      <c r="K3297" s="21">
        <v>0</v>
      </c>
      <c r="L3297" s="3">
        <f t="shared" si="144"/>
        <v>0</v>
      </c>
      <c r="M3297" s="3"/>
      <c r="N3297" s="3">
        <f t="shared" si="145"/>
        <v>0</v>
      </c>
      <c r="R3297" s="89"/>
      <c r="S3297" s="89">
        <f>100%-Table34[[#This Row],[PDF_initial fee]]</f>
        <v>1</v>
      </c>
      <c r="T3297" s="89"/>
      <c r="U3297" s="26"/>
    </row>
    <row r="3298" spans="1:21" hidden="1" x14ac:dyDescent="0.25">
      <c r="A3298">
        <v>607543</v>
      </c>
      <c r="B3298" t="s">
        <v>3667</v>
      </c>
      <c r="C3298" t="s">
        <v>7182</v>
      </c>
      <c r="D3298">
        <v>2</v>
      </c>
      <c r="E3298" t="s">
        <v>3667</v>
      </c>
      <c r="G3298" s="3"/>
      <c r="L3298" s="3">
        <f t="shared" ref="L3298:L3361" si="146">SUM(H3298:K3298)</f>
        <v>0</v>
      </c>
      <c r="M3298" s="3"/>
      <c r="N3298" s="3">
        <f t="shared" ref="N3298:N3361" si="147">L3298+G3298</f>
        <v>0</v>
      </c>
      <c r="R3298" s="89"/>
      <c r="S3298" s="89">
        <f>100%-Table34[[#This Row],[PDF_initial fee]]</f>
        <v>1</v>
      </c>
      <c r="T3298" s="89"/>
      <c r="U3298" s="26"/>
    </row>
    <row r="3299" spans="1:21" hidden="1" x14ac:dyDescent="0.25">
      <c r="A3299">
        <v>607613</v>
      </c>
      <c r="B3299" t="s">
        <v>3669</v>
      </c>
      <c r="C3299" t="s">
        <v>11949</v>
      </c>
      <c r="D3299">
        <v>1</v>
      </c>
      <c r="E3299" t="s">
        <v>3669</v>
      </c>
      <c r="G3299" s="3"/>
      <c r="L3299" s="3">
        <f t="shared" si="146"/>
        <v>0</v>
      </c>
      <c r="M3299" s="3"/>
      <c r="N3299" s="3">
        <f t="shared" si="147"/>
        <v>0</v>
      </c>
      <c r="R3299" s="89"/>
      <c r="S3299" s="89">
        <f>100%-Table34[[#This Row],[PDF_initial fee]]</f>
        <v>1</v>
      </c>
      <c r="T3299" s="89"/>
      <c r="U3299" s="26"/>
    </row>
    <row r="3300" spans="1:21" hidden="1" x14ac:dyDescent="0.25">
      <c r="A3300">
        <v>607662</v>
      </c>
      <c r="B3300" t="s">
        <v>3670</v>
      </c>
      <c r="C3300" t="s">
        <v>6958</v>
      </c>
      <c r="D3300">
        <v>1</v>
      </c>
      <c r="E3300" t="s">
        <v>3670</v>
      </c>
      <c r="F3300" t="s">
        <v>6958</v>
      </c>
      <c r="G3300" s="3"/>
      <c r="H3300" s="21">
        <v>0</v>
      </c>
      <c r="I3300" s="21">
        <v>0</v>
      </c>
      <c r="J3300" s="21">
        <v>0</v>
      </c>
      <c r="K3300" s="21">
        <v>0</v>
      </c>
      <c r="L3300" s="3">
        <f t="shared" si="146"/>
        <v>0</v>
      </c>
      <c r="M3300" s="3"/>
      <c r="N3300" s="3">
        <f t="shared" si="147"/>
        <v>0</v>
      </c>
      <c r="R3300" s="89"/>
      <c r="S3300" s="89">
        <f>100%-Table34[[#This Row],[PDF_initial fee]]</f>
        <v>1</v>
      </c>
      <c r="T3300" s="89"/>
      <c r="U3300" s="26"/>
    </row>
    <row r="3301" spans="1:21" hidden="1" x14ac:dyDescent="0.25">
      <c r="A3301">
        <v>607692</v>
      </c>
      <c r="B3301" t="s">
        <v>3671</v>
      </c>
      <c r="C3301" t="s">
        <v>30621</v>
      </c>
      <c r="D3301">
        <v>2</v>
      </c>
      <c r="E3301" t="s">
        <v>3671</v>
      </c>
      <c r="G3301" s="3"/>
      <c r="H3301" s="3">
        <v>0</v>
      </c>
      <c r="I3301" s="3">
        <v>0</v>
      </c>
      <c r="J3301" s="3">
        <v>0</v>
      </c>
      <c r="K3301" s="3">
        <v>0</v>
      </c>
      <c r="L3301" s="3">
        <f t="shared" si="146"/>
        <v>0</v>
      </c>
      <c r="M3301" s="3"/>
      <c r="N3301" s="3">
        <f t="shared" si="147"/>
        <v>0</v>
      </c>
      <c r="R3301" s="89"/>
      <c r="S3301" s="89">
        <f>100%-Table34[[#This Row],[PDF_initial fee]]</f>
        <v>1</v>
      </c>
      <c r="T3301" s="89"/>
      <c r="U3301" s="26"/>
    </row>
    <row r="3302" spans="1:21" hidden="1" x14ac:dyDescent="0.25">
      <c r="A3302">
        <v>607803</v>
      </c>
      <c r="B3302" t="s">
        <v>3672</v>
      </c>
      <c r="C3302" t="s">
        <v>6958</v>
      </c>
      <c r="D3302">
        <v>4</v>
      </c>
      <c r="E3302" t="s">
        <v>3672</v>
      </c>
      <c r="F3302" t="s">
        <v>6958</v>
      </c>
      <c r="G3302" s="3"/>
      <c r="H3302" s="21">
        <v>0</v>
      </c>
      <c r="I3302" s="21">
        <v>0</v>
      </c>
      <c r="J3302" s="21">
        <v>0</v>
      </c>
      <c r="K3302" s="21">
        <v>0</v>
      </c>
      <c r="L3302" s="3">
        <f t="shared" si="146"/>
        <v>0</v>
      </c>
      <c r="M3302" s="3"/>
      <c r="N3302" s="3">
        <f t="shared" si="147"/>
        <v>0</v>
      </c>
      <c r="R3302" s="89"/>
      <c r="S3302" s="89">
        <f>100%-Table34[[#This Row],[PDF_initial fee]]</f>
        <v>1</v>
      </c>
      <c r="T3302" s="89"/>
      <c r="U3302" s="26"/>
    </row>
    <row r="3303" spans="1:21" hidden="1" x14ac:dyDescent="0.25">
      <c r="A3303">
        <v>607940</v>
      </c>
      <c r="B3303" t="s">
        <v>3673</v>
      </c>
      <c r="C3303" t="s">
        <v>6958</v>
      </c>
      <c r="D3303">
        <v>1</v>
      </c>
      <c r="E3303" t="s">
        <v>3673</v>
      </c>
      <c r="F3303" t="s">
        <v>6958</v>
      </c>
      <c r="G3303" s="3"/>
      <c r="H3303" s="21">
        <v>0</v>
      </c>
      <c r="I3303" s="21">
        <v>0</v>
      </c>
      <c r="J3303" s="21">
        <v>0</v>
      </c>
      <c r="K3303" s="21">
        <v>0</v>
      </c>
      <c r="L3303" s="3">
        <f t="shared" si="146"/>
        <v>0</v>
      </c>
      <c r="M3303" s="3"/>
      <c r="N3303" s="3">
        <f t="shared" si="147"/>
        <v>0</v>
      </c>
      <c r="R3303" s="89"/>
      <c r="S3303" s="89">
        <f>100%-Table34[[#This Row],[PDF_initial fee]]</f>
        <v>1</v>
      </c>
      <c r="T3303" s="89"/>
      <c r="U3303" s="26"/>
    </row>
    <row r="3304" spans="1:21" hidden="1" x14ac:dyDescent="0.25">
      <c r="A3304">
        <v>607982</v>
      </c>
      <c r="B3304" t="s">
        <v>3674</v>
      </c>
      <c r="C3304" t="s">
        <v>6958</v>
      </c>
      <c r="D3304">
        <v>0</v>
      </c>
      <c r="E3304" t="s">
        <v>3674</v>
      </c>
      <c r="F3304" t="s">
        <v>6958</v>
      </c>
      <c r="G3304" s="3"/>
      <c r="H3304" s="21">
        <v>0</v>
      </c>
      <c r="I3304" s="21">
        <v>0</v>
      </c>
      <c r="J3304" s="21">
        <v>0</v>
      </c>
      <c r="K3304" s="21">
        <v>0</v>
      </c>
      <c r="L3304" s="3">
        <f t="shared" si="146"/>
        <v>0</v>
      </c>
      <c r="M3304" s="3"/>
      <c r="N3304" s="3">
        <f t="shared" si="147"/>
        <v>0</v>
      </c>
      <c r="R3304" s="89"/>
      <c r="S3304" s="89">
        <f>100%-Table34[[#This Row],[PDF_initial fee]]</f>
        <v>1</v>
      </c>
      <c r="T3304" s="89"/>
      <c r="U3304" s="26"/>
    </row>
    <row r="3305" spans="1:21" hidden="1" x14ac:dyDescent="0.25">
      <c r="A3305">
        <v>608121</v>
      </c>
      <c r="B3305" t="s">
        <v>3675</v>
      </c>
      <c r="C3305" t="s">
        <v>6958</v>
      </c>
      <c r="D3305">
        <v>2</v>
      </c>
      <c r="E3305" t="s">
        <v>3675</v>
      </c>
      <c r="F3305" t="s">
        <v>6958</v>
      </c>
      <c r="G3305" s="3"/>
      <c r="H3305" s="21">
        <v>0</v>
      </c>
      <c r="I3305" s="21">
        <v>0</v>
      </c>
      <c r="J3305" s="21">
        <v>0</v>
      </c>
      <c r="K3305" s="21">
        <v>0</v>
      </c>
      <c r="L3305" s="3">
        <f t="shared" si="146"/>
        <v>0</v>
      </c>
      <c r="M3305" s="3"/>
      <c r="N3305" s="3">
        <f t="shared" si="147"/>
        <v>0</v>
      </c>
      <c r="R3305" s="89"/>
      <c r="S3305" s="89">
        <f>100%-Table34[[#This Row],[PDF_initial fee]]</f>
        <v>1</v>
      </c>
      <c r="T3305" s="89"/>
      <c r="U3305" s="26"/>
    </row>
    <row r="3306" spans="1:21" hidden="1" x14ac:dyDescent="0.25">
      <c r="A3306">
        <v>608126</v>
      </c>
      <c r="B3306" t="s">
        <v>3676</v>
      </c>
      <c r="C3306" t="s">
        <v>10869</v>
      </c>
      <c r="D3306">
        <v>3</v>
      </c>
      <c r="E3306" t="s">
        <v>3676</v>
      </c>
      <c r="G3306" s="3"/>
      <c r="H3306" s="21">
        <v>0</v>
      </c>
      <c r="I3306" s="21">
        <v>0</v>
      </c>
      <c r="J3306" s="21">
        <v>0</v>
      </c>
      <c r="K3306" s="21">
        <v>0</v>
      </c>
      <c r="L3306" s="3">
        <f t="shared" si="146"/>
        <v>0</v>
      </c>
      <c r="M3306" s="3"/>
      <c r="N3306" s="3">
        <f t="shared" si="147"/>
        <v>0</v>
      </c>
      <c r="R3306" s="89"/>
      <c r="S3306" s="89">
        <f>100%-Table34[[#This Row],[PDF_initial fee]]</f>
        <v>1</v>
      </c>
      <c r="T3306" s="89"/>
      <c r="U3306" s="26"/>
    </row>
    <row r="3307" spans="1:21" hidden="1" x14ac:dyDescent="0.25">
      <c r="A3307">
        <v>608143</v>
      </c>
      <c r="B3307" t="s">
        <v>3677</v>
      </c>
      <c r="C3307" t="s">
        <v>6958</v>
      </c>
      <c r="D3307">
        <v>1</v>
      </c>
      <c r="E3307" t="s">
        <v>3677</v>
      </c>
      <c r="F3307" t="s">
        <v>6958</v>
      </c>
      <c r="G3307" s="3"/>
      <c r="H3307" s="21">
        <v>0</v>
      </c>
      <c r="I3307" s="21">
        <v>0</v>
      </c>
      <c r="J3307" s="21">
        <v>0</v>
      </c>
      <c r="K3307" s="21">
        <v>0</v>
      </c>
      <c r="L3307" s="3">
        <f t="shared" si="146"/>
        <v>0</v>
      </c>
      <c r="M3307" s="3"/>
      <c r="N3307" s="3">
        <f t="shared" si="147"/>
        <v>0</v>
      </c>
      <c r="R3307" s="89"/>
      <c r="S3307" s="89">
        <f>100%-Table34[[#This Row],[PDF_initial fee]]</f>
        <v>1</v>
      </c>
      <c r="T3307" s="89"/>
      <c r="U3307" s="26"/>
    </row>
    <row r="3308" spans="1:21" hidden="1" x14ac:dyDescent="0.25">
      <c r="A3308">
        <v>608375</v>
      </c>
      <c r="B3308" t="s">
        <v>3678</v>
      </c>
      <c r="C3308" t="s">
        <v>10477</v>
      </c>
      <c r="D3308">
        <v>1</v>
      </c>
      <c r="E3308" t="s">
        <v>3678</v>
      </c>
      <c r="G3308" s="3"/>
      <c r="H3308" s="21">
        <v>0</v>
      </c>
      <c r="I3308" s="21">
        <v>0</v>
      </c>
      <c r="J3308" s="21">
        <v>0</v>
      </c>
      <c r="K3308" s="21">
        <v>0</v>
      </c>
      <c r="L3308" s="3">
        <f t="shared" si="146"/>
        <v>0</v>
      </c>
      <c r="M3308" s="3"/>
      <c r="N3308" s="3">
        <f t="shared" si="147"/>
        <v>0</v>
      </c>
      <c r="R3308" s="89"/>
      <c r="S3308" s="89">
        <f>100%-Table34[[#This Row],[PDF_initial fee]]</f>
        <v>1</v>
      </c>
      <c r="T3308" s="89"/>
      <c r="U3308" s="26"/>
    </row>
    <row r="3309" spans="1:21" hidden="1" x14ac:dyDescent="0.25">
      <c r="A3309">
        <v>608396</v>
      </c>
      <c r="B3309" t="s">
        <v>3679</v>
      </c>
      <c r="C3309" t="s">
        <v>7036</v>
      </c>
      <c r="D3309">
        <v>2</v>
      </c>
      <c r="E3309" t="s">
        <v>3679</v>
      </c>
      <c r="G3309" s="3"/>
      <c r="H3309" s="21">
        <v>0</v>
      </c>
      <c r="I3309" s="21">
        <v>0</v>
      </c>
      <c r="J3309" s="21">
        <v>0</v>
      </c>
      <c r="K3309" s="21">
        <v>0</v>
      </c>
      <c r="L3309" s="3">
        <f t="shared" si="146"/>
        <v>0</v>
      </c>
      <c r="M3309" s="3"/>
      <c r="N3309" s="3">
        <f t="shared" si="147"/>
        <v>0</v>
      </c>
      <c r="R3309" s="89"/>
      <c r="S3309" s="89">
        <f>100%-Table34[[#This Row],[PDF_initial fee]]</f>
        <v>1</v>
      </c>
      <c r="T3309" s="89"/>
      <c r="U3309" s="26"/>
    </row>
    <row r="3310" spans="1:21" hidden="1" x14ac:dyDescent="0.25">
      <c r="A3310">
        <v>608526</v>
      </c>
      <c r="B3310" t="s">
        <v>3680</v>
      </c>
      <c r="C3310" t="s">
        <v>30622</v>
      </c>
      <c r="D3310">
        <v>2</v>
      </c>
      <c r="E3310" t="s">
        <v>3680</v>
      </c>
      <c r="G3310" s="3"/>
      <c r="H3310" s="21">
        <v>0</v>
      </c>
      <c r="I3310" s="21">
        <v>0</v>
      </c>
      <c r="J3310" s="21">
        <v>0</v>
      </c>
      <c r="K3310" s="21">
        <v>0</v>
      </c>
      <c r="L3310" s="3">
        <f t="shared" si="146"/>
        <v>0</v>
      </c>
      <c r="M3310" s="3"/>
      <c r="N3310" s="3">
        <f t="shared" si="147"/>
        <v>0</v>
      </c>
      <c r="O3310" s="21"/>
      <c r="R3310" s="89"/>
      <c r="S3310" s="89">
        <f>100%-Table34[[#This Row],[PDF_initial fee]]</f>
        <v>1</v>
      </c>
      <c r="T3310" s="89"/>
      <c r="U3310" s="26"/>
    </row>
    <row r="3311" spans="1:21" hidden="1" x14ac:dyDescent="0.25">
      <c r="A3311">
        <v>608548</v>
      </c>
      <c r="B3311" t="s">
        <v>3681</v>
      </c>
      <c r="C3311" t="s">
        <v>30623</v>
      </c>
      <c r="D3311">
        <v>12</v>
      </c>
      <c r="E3311" t="s">
        <v>3681</v>
      </c>
      <c r="G3311" s="3"/>
      <c r="H3311" s="3">
        <v>0</v>
      </c>
      <c r="I3311" s="3">
        <v>0</v>
      </c>
      <c r="J3311" s="3">
        <v>0</v>
      </c>
      <c r="K3311" s="3">
        <v>0</v>
      </c>
      <c r="L3311" s="3">
        <f t="shared" si="146"/>
        <v>0</v>
      </c>
      <c r="M3311" s="3"/>
      <c r="N3311" s="3">
        <f t="shared" si="147"/>
        <v>0</v>
      </c>
      <c r="R3311" s="89"/>
      <c r="S3311" s="89">
        <f>100%-Table34[[#This Row],[PDF_initial fee]]</f>
        <v>1</v>
      </c>
      <c r="T3311" s="89"/>
      <c r="U3311" s="26"/>
    </row>
    <row r="3312" spans="1:21" hidden="1" x14ac:dyDescent="0.25">
      <c r="A3312">
        <v>608554</v>
      </c>
      <c r="B3312" t="s">
        <v>3682</v>
      </c>
      <c r="C3312" t="s">
        <v>30624</v>
      </c>
      <c r="D3312">
        <v>8</v>
      </c>
      <c r="E3312" t="s">
        <v>3682</v>
      </c>
      <c r="G3312" s="3"/>
      <c r="H3312" s="21">
        <v>0</v>
      </c>
      <c r="I3312" s="21">
        <v>0</v>
      </c>
      <c r="J3312" s="21">
        <v>0</v>
      </c>
      <c r="K3312" s="21">
        <v>0</v>
      </c>
      <c r="L3312" s="3">
        <f t="shared" si="146"/>
        <v>0</v>
      </c>
      <c r="M3312" s="3"/>
      <c r="N3312" s="3">
        <f t="shared" si="147"/>
        <v>0</v>
      </c>
      <c r="O3312" s="21"/>
      <c r="R3312" s="89"/>
      <c r="S3312" s="89">
        <f>100%-Table34[[#This Row],[PDF_initial fee]]</f>
        <v>1</v>
      </c>
      <c r="T3312" s="89"/>
      <c r="U3312" s="26"/>
    </row>
    <row r="3313" spans="1:30" hidden="1" x14ac:dyDescent="0.25">
      <c r="A3313">
        <v>608563</v>
      </c>
      <c r="B3313" t="s">
        <v>3683</v>
      </c>
      <c r="C3313" t="s">
        <v>6958</v>
      </c>
      <c r="D3313">
        <v>2</v>
      </c>
      <c r="E3313" t="s">
        <v>3683</v>
      </c>
      <c r="F3313" t="s">
        <v>6958</v>
      </c>
      <c r="G3313" s="3"/>
      <c r="H3313" s="21">
        <v>0</v>
      </c>
      <c r="I3313" s="21">
        <v>0</v>
      </c>
      <c r="J3313" s="21">
        <v>0</v>
      </c>
      <c r="K3313" s="21">
        <v>0</v>
      </c>
      <c r="L3313" s="3">
        <f t="shared" si="146"/>
        <v>0</v>
      </c>
      <c r="M3313" s="3"/>
      <c r="N3313" s="3">
        <f t="shared" si="147"/>
        <v>0</v>
      </c>
      <c r="R3313" s="89"/>
      <c r="S3313" s="89">
        <f>100%-Table34[[#This Row],[PDF_initial fee]]</f>
        <v>1</v>
      </c>
      <c r="T3313" s="89"/>
      <c r="U3313" s="26"/>
    </row>
    <row r="3314" spans="1:30" x14ac:dyDescent="0.25">
      <c r="A3314">
        <v>210094</v>
      </c>
      <c r="B3314" t="s">
        <v>113</v>
      </c>
      <c r="C3314" t="s">
        <v>12466</v>
      </c>
      <c r="D3314">
        <v>3</v>
      </c>
      <c r="E3314" t="s">
        <v>113</v>
      </c>
      <c r="F3314" t="s">
        <v>3</v>
      </c>
      <c r="G3314" s="3">
        <v>1.4E-3</v>
      </c>
      <c r="H3314" s="51">
        <f>2.5%</f>
        <v>2.5000000000000001E-2</v>
      </c>
      <c r="I3314" s="3">
        <v>7.4999999999999997E-3</v>
      </c>
      <c r="J3314" s="6">
        <v>0</v>
      </c>
      <c r="K3314" s="6">
        <v>0</v>
      </c>
      <c r="L3314" s="3">
        <f t="shared" si="146"/>
        <v>3.2500000000000001E-2</v>
      </c>
      <c r="M3314" s="3"/>
      <c r="N3314" s="3">
        <f t="shared" si="147"/>
        <v>3.39E-2</v>
      </c>
      <c r="O3314" t="s">
        <v>30625</v>
      </c>
      <c r="P3314" s="1" t="s">
        <v>30626</v>
      </c>
      <c r="Q3314" t="s">
        <v>31787</v>
      </c>
      <c r="R3314" s="89">
        <v>0.33333333333333348</v>
      </c>
      <c r="S3314" s="89">
        <f>100%-Table34[[#This Row],[InitialFee]]</f>
        <v>0.97499999999999998</v>
      </c>
      <c r="T3314" s="89">
        <f>(1-Table34[[#This Row],[OngoingFee (plus Platform fee)]])^5</f>
        <v>0.9630582970465823</v>
      </c>
      <c r="U3314" s="26">
        <f>(1+Table34[[#This Row],[Net 5yrs return (mostly up to 28th of Feb 2026)]])*Table34[[#This Row],[Investment after initial charge]]*Table34[[#This Row],[Cummulative 5yrs ongoing advice charge]]-1</f>
        <v>0.25197578616055694</v>
      </c>
      <c r="V3314" s="10">
        <f>1519665+15357</f>
        <v>1535022</v>
      </c>
      <c r="W3314" t="s">
        <v>29051</v>
      </c>
      <c r="X3314" s="10">
        <v>1332437</v>
      </c>
      <c r="Y3314" s="30">
        <f>X3314/V3314</f>
        <v>0.86802469280570571</v>
      </c>
      <c r="AA3314" s="1" t="s">
        <v>30627</v>
      </c>
    </row>
    <row r="3315" spans="1:30" hidden="1" x14ac:dyDescent="0.25">
      <c r="A3315">
        <v>608960</v>
      </c>
      <c r="B3315" t="s">
        <v>3684</v>
      </c>
      <c r="C3315" t="s">
        <v>6958</v>
      </c>
      <c r="D3315">
        <v>2</v>
      </c>
      <c r="E3315" t="s">
        <v>3684</v>
      </c>
      <c r="F3315" t="s">
        <v>6958</v>
      </c>
      <c r="G3315" s="3"/>
      <c r="H3315" s="21">
        <v>0</v>
      </c>
      <c r="I3315" s="21">
        <v>0</v>
      </c>
      <c r="J3315" s="21">
        <v>0</v>
      </c>
      <c r="K3315" s="21">
        <v>0</v>
      </c>
      <c r="L3315" s="3">
        <f t="shared" si="146"/>
        <v>0</v>
      </c>
      <c r="M3315" s="3"/>
      <c r="N3315" s="3">
        <f t="shared" si="147"/>
        <v>0</v>
      </c>
      <c r="R3315" s="89"/>
      <c r="S3315" s="89">
        <f>100%-Table34[[#This Row],[PDF_initial fee]]</f>
        <v>1</v>
      </c>
      <c r="T3315" s="89"/>
      <c r="U3315" s="26"/>
    </row>
    <row r="3316" spans="1:30" hidden="1" x14ac:dyDescent="0.25">
      <c r="A3316">
        <v>608975</v>
      </c>
      <c r="B3316" t="s">
        <v>3685</v>
      </c>
      <c r="C3316" t="s">
        <v>6958</v>
      </c>
      <c r="D3316">
        <v>3</v>
      </c>
      <c r="E3316" t="s">
        <v>3685</v>
      </c>
      <c r="F3316" t="s">
        <v>6958</v>
      </c>
      <c r="G3316" s="3"/>
      <c r="H3316" s="21">
        <v>0</v>
      </c>
      <c r="I3316" s="21">
        <v>0</v>
      </c>
      <c r="J3316" s="21">
        <v>0</v>
      </c>
      <c r="K3316" s="21">
        <v>0</v>
      </c>
      <c r="L3316" s="3">
        <f t="shared" si="146"/>
        <v>0</v>
      </c>
      <c r="M3316" s="3"/>
      <c r="N3316" s="3">
        <f t="shared" si="147"/>
        <v>0</v>
      </c>
      <c r="R3316" s="89"/>
      <c r="S3316" s="89">
        <f>100%-Table34[[#This Row],[PDF_initial fee]]</f>
        <v>1</v>
      </c>
      <c r="T3316" s="89"/>
      <c r="U3316" s="26"/>
    </row>
    <row r="3317" spans="1:30" hidden="1" x14ac:dyDescent="0.25">
      <c r="A3317">
        <v>608988</v>
      </c>
      <c r="B3317" t="s">
        <v>3686</v>
      </c>
      <c r="C3317" t="s">
        <v>8173</v>
      </c>
      <c r="D3317">
        <v>3</v>
      </c>
      <c r="E3317" t="s">
        <v>3686</v>
      </c>
      <c r="G3317" s="3"/>
      <c r="H3317" s="21">
        <v>0</v>
      </c>
      <c r="I3317" s="21">
        <v>0</v>
      </c>
      <c r="J3317" s="21">
        <v>0</v>
      </c>
      <c r="K3317" s="21">
        <v>0</v>
      </c>
      <c r="L3317" s="3">
        <f t="shared" si="146"/>
        <v>0</v>
      </c>
      <c r="M3317" s="3"/>
      <c r="N3317" s="3">
        <f t="shared" si="147"/>
        <v>0</v>
      </c>
      <c r="R3317" s="89"/>
      <c r="S3317" s="89">
        <f>100%-Table34[[#This Row],[PDF_initial fee]]</f>
        <v>1</v>
      </c>
      <c r="T3317" s="89"/>
      <c r="U3317" s="26"/>
    </row>
    <row r="3318" spans="1:30" hidden="1" x14ac:dyDescent="0.25">
      <c r="A3318">
        <v>609061</v>
      </c>
      <c r="B3318" t="s">
        <v>3687</v>
      </c>
      <c r="C3318" t="s">
        <v>6958</v>
      </c>
      <c r="D3318">
        <v>9</v>
      </c>
      <c r="E3318" t="s">
        <v>3687</v>
      </c>
      <c r="F3318" t="s">
        <v>6958</v>
      </c>
      <c r="G3318" s="3"/>
      <c r="H3318" s="21">
        <v>0</v>
      </c>
      <c r="I3318" s="21">
        <v>0</v>
      </c>
      <c r="J3318" s="21">
        <v>0</v>
      </c>
      <c r="K3318" s="21">
        <v>0</v>
      </c>
      <c r="L3318" s="3">
        <f t="shared" si="146"/>
        <v>0</v>
      </c>
      <c r="M3318" s="3"/>
      <c r="N3318" s="3">
        <f t="shared" si="147"/>
        <v>0</v>
      </c>
      <c r="R3318" s="89"/>
      <c r="S3318" s="89">
        <f>100%-Table34[[#This Row],[PDF_initial fee]]</f>
        <v>1</v>
      </c>
      <c r="T3318" s="89"/>
      <c r="U3318" s="26"/>
    </row>
    <row r="3319" spans="1:30" hidden="1" x14ac:dyDescent="0.25">
      <c r="A3319">
        <v>609071</v>
      </c>
      <c r="B3319" t="s">
        <v>3688</v>
      </c>
      <c r="C3319" t="s">
        <v>9610</v>
      </c>
      <c r="D3319">
        <v>0</v>
      </c>
      <c r="E3319" t="s">
        <v>3688</v>
      </c>
      <c r="F3319" t="s">
        <v>3</v>
      </c>
      <c r="G3319" s="3"/>
      <c r="H3319" s="21">
        <v>0</v>
      </c>
      <c r="I3319" s="21">
        <v>0</v>
      </c>
      <c r="J3319" s="21">
        <v>0</v>
      </c>
      <c r="K3319" s="21">
        <v>0</v>
      </c>
      <c r="L3319" s="3">
        <f t="shared" si="146"/>
        <v>0</v>
      </c>
      <c r="M3319" s="3"/>
      <c r="N3319" s="3">
        <f t="shared" si="147"/>
        <v>0</v>
      </c>
      <c r="R3319" s="89"/>
      <c r="S3319" s="89">
        <f>100%-Table34[[#This Row],[PDF_initial fee]]</f>
        <v>1</v>
      </c>
      <c r="T3319" s="89"/>
      <c r="U3319" s="26"/>
      <c r="Y3319" s="30"/>
      <c r="AD3319" t="s">
        <v>30628</v>
      </c>
    </row>
    <row r="3320" spans="1:30" hidden="1" x14ac:dyDescent="0.25">
      <c r="A3320">
        <v>609072</v>
      </c>
      <c r="B3320" t="s">
        <v>3689</v>
      </c>
      <c r="C3320" t="s">
        <v>6958</v>
      </c>
      <c r="D3320">
        <v>2</v>
      </c>
      <c r="E3320" t="s">
        <v>3689</v>
      </c>
      <c r="F3320" t="s">
        <v>6958</v>
      </c>
      <c r="G3320" s="3"/>
      <c r="H3320" s="21">
        <v>0</v>
      </c>
      <c r="I3320" s="21">
        <v>0</v>
      </c>
      <c r="J3320" s="21">
        <v>0</v>
      </c>
      <c r="K3320" s="21">
        <v>0</v>
      </c>
      <c r="L3320" s="3">
        <f t="shared" si="146"/>
        <v>0</v>
      </c>
      <c r="M3320" s="3"/>
      <c r="N3320" s="3">
        <f t="shared" si="147"/>
        <v>0</v>
      </c>
      <c r="R3320" s="89"/>
      <c r="S3320" s="89">
        <f>100%-Table34[[#This Row],[PDF_initial fee]]</f>
        <v>1</v>
      </c>
      <c r="T3320" s="89"/>
      <c r="U3320" s="26"/>
    </row>
    <row r="3321" spans="1:30" hidden="1" x14ac:dyDescent="0.25">
      <c r="A3321">
        <v>609086</v>
      </c>
      <c r="B3321" t="s">
        <v>3690</v>
      </c>
      <c r="C3321" t="s">
        <v>6958</v>
      </c>
      <c r="D3321">
        <v>6</v>
      </c>
      <c r="E3321" t="s">
        <v>3690</v>
      </c>
      <c r="F3321" t="s">
        <v>6958</v>
      </c>
      <c r="G3321" s="3"/>
      <c r="H3321" s="21">
        <v>0</v>
      </c>
      <c r="I3321" s="21">
        <v>0</v>
      </c>
      <c r="J3321" s="21">
        <v>0</v>
      </c>
      <c r="K3321" s="21">
        <v>0</v>
      </c>
      <c r="L3321" s="3">
        <f t="shared" si="146"/>
        <v>0</v>
      </c>
      <c r="M3321" s="3"/>
      <c r="N3321" s="3">
        <f t="shared" si="147"/>
        <v>0</v>
      </c>
      <c r="R3321" s="89"/>
      <c r="S3321" s="89">
        <f>100%-Table34[[#This Row],[PDF_initial fee]]</f>
        <v>1</v>
      </c>
      <c r="T3321" s="89"/>
      <c r="U3321" s="26"/>
    </row>
    <row r="3322" spans="1:30" hidden="1" x14ac:dyDescent="0.25">
      <c r="A3322">
        <v>609098</v>
      </c>
      <c r="B3322" t="s">
        <v>3691</v>
      </c>
      <c r="C3322" t="s">
        <v>7339</v>
      </c>
      <c r="D3322">
        <v>4</v>
      </c>
      <c r="E3322" t="s">
        <v>3691</v>
      </c>
      <c r="G3322" s="3"/>
      <c r="H3322" s="21">
        <v>0</v>
      </c>
      <c r="I3322" s="21">
        <v>0</v>
      </c>
      <c r="J3322" s="21">
        <v>0</v>
      </c>
      <c r="K3322" s="21">
        <v>0</v>
      </c>
      <c r="L3322" s="3">
        <f t="shared" si="146"/>
        <v>0</v>
      </c>
      <c r="M3322" s="3"/>
      <c r="N3322" s="3">
        <f t="shared" si="147"/>
        <v>0</v>
      </c>
      <c r="R3322" s="89"/>
      <c r="S3322" s="89">
        <f>100%-Table34[[#This Row],[PDF_initial fee]]</f>
        <v>1</v>
      </c>
      <c r="T3322" s="89"/>
      <c r="U3322" s="26"/>
    </row>
    <row r="3323" spans="1:30" hidden="1" x14ac:dyDescent="0.25">
      <c r="A3323">
        <v>609189</v>
      </c>
      <c r="B3323" t="s">
        <v>3692</v>
      </c>
      <c r="C3323" t="s">
        <v>6958</v>
      </c>
      <c r="D3323">
        <v>1</v>
      </c>
      <c r="E3323" t="s">
        <v>3692</v>
      </c>
      <c r="F3323" t="s">
        <v>6958</v>
      </c>
      <c r="G3323" s="3"/>
      <c r="H3323" s="21">
        <v>0</v>
      </c>
      <c r="I3323" s="21">
        <v>0</v>
      </c>
      <c r="J3323" s="21">
        <v>0</v>
      </c>
      <c r="K3323" s="21">
        <v>0</v>
      </c>
      <c r="L3323" s="3">
        <f t="shared" si="146"/>
        <v>0</v>
      </c>
      <c r="M3323" s="3"/>
      <c r="N3323" s="3">
        <f t="shared" si="147"/>
        <v>0</v>
      </c>
      <c r="R3323" s="89"/>
      <c r="S3323" s="89">
        <f>100%-Table34[[#This Row],[PDF_initial fee]]</f>
        <v>1</v>
      </c>
      <c r="T3323" s="89"/>
      <c r="U3323" s="26"/>
    </row>
    <row r="3324" spans="1:30" hidden="1" x14ac:dyDescent="0.25">
      <c r="A3324">
        <v>609264</v>
      </c>
      <c r="B3324" t="s">
        <v>3693</v>
      </c>
      <c r="C3324" t="s">
        <v>8363</v>
      </c>
      <c r="D3324">
        <v>3</v>
      </c>
      <c r="E3324" t="s">
        <v>3693</v>
      </c>
      <c r="G3324" s="3"/>
      <c r="H3324" s="21">
        <v>0</v>
      </c>
      <c r="I3324" s="21">
        <v>0</v>
      </c>
      <c r="J3324" s="21">
        <v>0</v>
      </c>
      <c r="K3324" s="21">
        <v>0</v>
      </c>
      <c r="L3324" s="3">
        <f t="shared" si="146"/>
        <v>0</v>
      </c>
      <c r="M3324" s="3"/>
      <c r="N3324" s="3">
        <f t="shared" si="147"/>
        <v>0</v>
      </c>
      <c r="R3324" s="89"/>
      <c r="S3324" s="89">
        <f>100%-Table34[[#This Row],[PDF_initial fee]]</f>
        <v>1</v>
      </c>
      <c r="T3324" s="89"/>
      <c r="U3324" s="26"/>
    </row>
    <row r="3325" spans="1:30" hidden="1" x14ac:dyDescent="0.25">
      <c r="A3325">
        <v>609277</v>
      </c>
      <c r="B3325" t="s">
        <v>3694</v>
      </c>
      <c r="C3325" t="s">
        <v>11400</v>
      </c>
      <c r="D3325">
        <v>6</v>
      </c>
      <c r="E3325" t="s">
        <v>3694</v>
      </c>
      <c r="G3325" s="3"/>
      <c r="H3325" s="21">
        <v>0</v>
      </c>
      <c r="I3325" s="21">
        <v>0</v>
      </c>
      <c r="J3325" s="21">
        <v>0</v>
      </c>
      <c r="K3325" s="21">
        <v>0</v>
      </c>
      <c r="L3325" s="3">
        <f t="shared" si="146"/>
        <v>0</v>
      </c>
      <c r="M3325" s="3"/>
      <c r="N3325" s="3">
        <f t="shared" si="147"/>
        <v>0</v>
      </c>
      <c r="R3325" s="89"/>
      <c r="S3325" s="89">
        <f>100%-Table34[[#This Row],[PDF_initial fee]]</f>
        <v>1</v>
      </c>
      <c r="T3325" s="89"/>
      <c r="U3325" s="26"/>
    </row>
    <row r="3326" spans="1:30" hidden="1" x14ac:dyDescent="0.25">
      <c r="A3326">
        <v>609295</v>
      </c>
      <c r="B3326" t="s">
        <v>3695</v>
      </c>
      <c r="C3326" t="s">
        <v>9073</v>
      </c>
      <c r="D3326">
        <v>3</v>
      </c>
      <c r="E3326" t="s">
        <v>3695</v>
      </c>
      <c r="G3326" s="3"/>
      <c r="L3326" s="3">
        <f t="shared" si="146"/>
        <v>0</v>
      </c>
      <c r="M3326" s="3"/>
      <c r="N3326" s="3">
        <f t="shared" si="147"/>
        <v>0</v>
      </c>
      <c r="R3326" s="89"/>
      <c r="S3326" s="89">
        <f>100%-Table34[[#This Row],[PDF_initial fee]]</f>
        <v>1</v>
      </c>
      <c r="T3326" s="89"/>
      <c r="U3326" s="26"/>
    </row>
    <row r="3327" spans="1:30" hidden="1" x14ac:dyDescent="0.25">
      <c r="A3327">
        <v>609361</v>
      </c>
      <c r="B3327" t="s">
        <v>3696</v>
      </c>
      <c r="C3327" t="s">
        <v>8595</v>
      </c>
      <c r="D3327">
        <v>1</v>
      </c>
      <c r="E3327" t="s">
        <v>3696</v>
      </c>
      <c r="G3327" s="3"/>
      <c r="L3327" s="3">
        <f t="shared" si="146"/>
        <v>0</v>
      </c>
      <c r="M3327" s="3"/>
      <c r="N3327" s="3">
        <f t="shared" si="147"/>
        <v>0</v>
      </c>
      <c r="R3327" s="89"/>
      <c r="S3327" s="89">
        <f>100%-Table34[[#This Row],[PDF_initial fee]]</f>
        <v>1</v>
      </c>
      <c r="T3327" s="89"/>
      <c r="U3327" s="26"/>
    </row>
    <row r="3328" spans="1:30" hidden="1" x14ac:dyDescent="0.25">
      <c r="A3328">
        <v>609364</v>
      </c>
      <c r="B3328" t="s">
        <v>3697</v>
      </c>
      <c r="C3328" t="s">
        <v>6958</v>
      </c>
      <c r="D3328">
        <v>1</v>
      </c>
      <c r="E3328" t="s">
        <v>3697</v>
      </c>
      <c r="F3328" t="s">
        <v>6958</v>
      </c>
      <c r="G3328" s="3"/>
      <c r="H3328" s="21">
        <v>0</v>
      </c>
      <c r="I3328" s="21">
        <v>0</v>
      </c>
      <c r="J3328" s="21">
        <v>0</v>
      </c>
      <c r="K3328" s="21">
        <v>0</v>
      </c>
      <c r="L3328" s="3">
        <f t="shared" si="146"/>
        <v>0</v>
      </c>
      <c r="M3328" s="3"/>
      <c r="N3328" s="3">
        <f t="shared" si="147"/>
        <v>0</v>
      </c>
      <c r="R3328" s="89"/>
      <c r="S3328" s="89">
        <f>100%-Table34[[#This Row],[PDF_initial fee]]</f>
        <v>1</v>
      </c>
      <c r="T3328" s="89"/>
      <c r="U3328" s="26"/>
    </row>
    <row r="3329" spans="1:30" hidden="1" x14ac:dyDescent="0.25">
      <c r="A3329">
        <v>609376</v>
      </c>
      <c r="B3329" t="s">
        <v>3698</v>
      </c>
      <c r="C3329" t="s">
        <v>6958</v>
      </c>
      <c r="D3329">
        <v>1</v>
      </c>
      <c r="E3329" t="s">
        <v>3698</v>
      </c>
      <c r="F3329" t="s">
        <v>6958</v>
      </c>
      <c r="G3329" s="3"/>
      <c r="H3329" s="21">
        <v>0</v>
      </c>
      <c r="I3329" s="21">
        <v>0</v>
      </c>
      <c r="J3329" s="21">
        <v>0</v>
      </c>
      <c r="K3329" s="21">
        <v>0</v>
      </c>
      <c r="L3329" s="3">
        <f t="shared" si="146"/>
        <v>0</v>
      </c>
      <c r="M3329" s="3"/>
      <c r="N3329" s="3">
        <f t="shared" si="147"/>
        <v>0</v>
      </c>
      <c r="R3329" s="89"/>
      <c r="S3329" s="89">
        <f>100%-Table34[[#This Row],[PDF_initial fee]]</f>
        <v>1</v>
      </c>
      <c r="T3329" s="89"/>
      <c r="U3329" s="26"/>
    </row>
    <row r="3330" spans="1:30" hidden="1" x14ac:dyDescent="0.25">
      <c r="A3330">
        <v>609819</v>
      </c>
      <c r="B3330" t="s">
        <v>3699</v>
      </c>
      <c r="C3330" t="s">
        <v>30629</v>
      </c>
      <c r="D3330">
        <v>2</v>
      </c>
      <c r="E3330" t="s">
        <v>3699</v>
      </c>
      <c r="G3330" s="3"/>
      <c r="H3330" s="3">
        <v>0</v>
      </c>
      <c r="I3330" s="3">
        <v>0</v>
      </c>
      <c r="J3330" s="3">
        <v>0</v>
      </c>
      <c r="K3330" s="3">
        <v>0</v>
      </c>
      <c r="L3330" s="3">
        <f t="shared" si="146"/>
        <v>0</v>
      </c>
      <c r="M3330" s="3"/>
      <c r="N3330" s="3">
        <f t="shared" si="147"/>
        <v>0</v>
      </c>
      <c r="R3330" s="89"/>
      <c r="S3330" s="89">
        <f>100%-Table34[[#This Row],[PDF_initial fee]]</f>
        <v>1</v>
      </c>
      <c r="T3330" s="89"/>
      <c r="U3330" s="26"/>
    </row>
    <row r="3331" spans="1:30" hidden="1" x14ac:dyDescent="0.25">
      <c r="A3331">
        <v>609980</v>
      </c>
      <c r="B3331" t="s">
        <v>3701</v>
      </c>
      <c r="C3331" t="s">
        <v>12115</v>
      </c>
      <c r="D3331">
        <v>1</v>
      </c>
      <c r="E3331" t="s">
        <v>3701</v>
      </c>
      <c r="G3331" s="3"/>
      <c r="H3331" s="21">
        <v>0</v>
      </c>
      <c r="I3331" s="21">
        <v>0</v>
      </c>
      <c r="J3331" s="21">
        <v>0</v>
      </c>
      <c r="K3331" s="21">
        <v>0</v>
      </c>
      <c r="L3331" s="3">
        <f t="shared" si="146"/>
        <v>0</v>
      </c>
      <c r="M3331" s="3"/>
      <c r="N3331" s="3">
        <f t="shared" si="147"/>
        <v>0</v>
      </c>
      <c r="R3331" s="89"/>
      <c r="S3331" s="89">
        <f>100%-Table34[[#This Row],[PDF_initial fee]]</f>
        <v>1</v>
      </c>
      <c r="T3331" s="89"/>
      <c r="U3331" s="26"/>
    </row>
    <row r="3332" spans="1:30" hidden="1" x14ac:dyDescent="0.25">
      <c r="A3332">
        <v>609997</v>
      </c>
      <c r="B3332" t="s">
        <v>3702</v>
      </c>
      <c r="C3332" t="s">
        <v>30630</v>
      </c>
      <c r="D3332">
        <v>4</v>
      </c>
      <c r="E3332" t="s">
        <v>3702</v>
      </c>
      <c r="G3332" s="3"/>
      <c r="H3332" s="3">
        <v>0</v>
      </c>
      <c r="I3332" s="3">
        <v>0</v>
      </c>
      <c r="J3332" s="3">
        <v>0</v>
      </c>
      <c r="K3332" s="3">
        <v>0</v>
      </c>
      <c r="L3332" s="3">
        <f t="shared" si="146"/>
        <v>0</v>
      </c>
      <c r="M3332" s="3"/>
      <c r="N3332" s="3">
        <f t="shared" si="147"/>
        <v>0</v>
      </c>
      <c r="R3332" s="89"/>
      <c r="S3332" s="89">
        <f>100%-Table34[[#This Row],[PDF_initial fee]]</f>
        <v>1</v>
      </c>
      <c r="T3332" s="89"/>
      <c r="U3332" s="26"/>
    </row>
    <row r="3333" spans="1:30" hidden="1" x14ac:dyDescent="0.25">
      <c r="A3333">
        <v>610000</v>
      </c>
      <c r="B3333" t="s">
        <v>3703</v>
      </c>
      <c r="C3333" t="s">
        <v>7925</v>
      </c>
      <c r="D3333">
        <v>3</v>
      </c>
      <c r="E3333" t="s">
        <v>3703</v>
      </c>
      <c r="G3333" s="3"/>
      <c r="H3333" s="21">
        <v>0</v>
      </c>
      <c r="I3333" s="21">
        <v>0</v>
      </c>
      <c r="J3333" s="21">
        <v>0</v>
      </c>
      <c r="K3333" s="21">
        <v>0</v>
      </c>
      <c r="L3333" s="3">
        <f t="shared" si="146"/>
        <v>0</v>
      </c>
      <c r="M3333" s="3"/>
      <c r="N3333" s="3">
        <f t="shared" si="147"/>
        <v>0</v>
      </c>
      <c r="R3333" s="89"/>
      <c r="S3333" s="89">
        <f>100%-Table34[[#This Row],[PDF_initial fee]]</f>
        <v>1</v>
      </c>
      <c r="T3333" s="89"/>
      <c r="U3333" s="26"/>
    </row>
    <row r="3334" spans="1:30" hidden="1" x14ac:dyDescent="0.25">
      <c r="A3334">
        <v>610011</v>
      </c>
      <c r="B3334" t="s">
        <v>3704</v>
      </c>
      <c r="C3334" t="s">
        <v>6958</v>
      </c>
      <c r="D3334">
        <v>1</v>
      </c>
      <c r="E3334" t="s">
        <v>3704</v>
      </c>
      <c r="F3334" t="s">
        <v>6958</v>
      </c>
      <c r="G3334" s="3"/>
      <c r="H3334" s="21">
        <v>0</v>
      </c>
      <c r="I3334" s="21">
        <v>0</v>
      </c>
      <c r="J3334" s="21">
        <v>0</v>
      </c>
      <c r="K3334" s="21">
        <v>0</v>
      </c>
      <c r="L3334" s="3">
        <f t="shared" si="146"/>
        <v>0</v>
      </c>
      <c r="M3334" s="3"/>
      <c r="N3334" s="3">
        <f t="shared" si="147"/>
        <v>0</v>
      </c>
      <c r="R3334" s="89"/>
      <c r="S3334" s="89">
        <f>100%-Table34[[#This Row],[PDF_initial fee]]</f>
        <v>1</v>
      </c>
      <c r="T3334" s="89"/>
      <c r="U3334" s="26"/>
    </row>
    <row r="3335" spans="1:30" hidden="1" x14ac:dyDescent="0.25">
      <c r="A3335">
        <v>610015</v>
      </c>
      <c r="B3335" t="s">
        <v>3705</v>
      </c>
      <c r="C3335" t="s">
        <v>9883</v>
      </c>
      <c r="D3335">
        <v>2</v>
      </c>
      <c r="E3335" t="s">
        <v>3705</v>
      </c>
      <c r="G3335" s="3"/>
      <c r="H3335" s="21">
        <v>0</v>
      </c>
      <c r="I3335" s="21">
        <v>0</v>
      </c>
      <c r="J3335" s="21">
        <v>0</v>
      </c>
      <c r="K3335" s="21">
        <v>0</v>
      </c>
      <c r="L3335" s="3">
        <f t="shared" si="146"/>
        <v>0</v>
      </c>
      <c r="M3335" s="3"/>
      <c r="N3335" s="3">
        <f t="shared" si="147"/>
        <v>0</v>
      </c>
      <c r="R3335" s="89"/>
      <c r="S3335" s="89">
        <f>100%-Table34[[#This Row],[PDF_initial fee]]</f>
        <v>1</v>
      </c>
      <c r="T3335" s="89"/>
      <c r="U3335" s="26"/>
    </row>
    <row r="3336" spans="1:30" hidden="1" x14ac:dyDescent="0.25">
      <c r="A3336">
        <v>610170</v>
      </c>
      <c r="B3336" t="s">
        <v>3706</v>
      </c>
      <c r="C3336" t="s">
        <v>12192</v>
      </c>
      <c r="D3336">
        <v>4</v>
      </c>
      <c r="E3336" t="s">
        <v>3706</v>
      </c>
      <c r="G3336" s="3"/>
      <c r="H3336" s="21">
        <v>0</v>
      </c>
      <c r="I3336" s="21">
        <v>0</v>
      </c>
      <c r="J3336" s="21">
        <v>0</v>
      </c>
      <c r="K3336" s="21">
        <v>0</v>
      </c>
      <c r="L3336" s="3">
        <f t="shared" si="146"/>
        <v>0</v>
      </c>
      <c r="M3336" s="3"/>
      <c r="N3336" s="3">
        <f t="shared" si="147"/>
        <v>0</v>
      </c>
      <c r="R3336" s="89"/>
      <c r="S3336" s="89">
        <f>100%-Table34[[#This Row],[PDF_initial fee]]</f>
        <v>1</v>
      </c>
      <c r="T3336" s="89"/>
      <c r="U3336" s="26"/>
    </row>
    <row r="3337" spans="1:30" hidden="1" x14ac:dyDescent="0.25">
      <c r="A3337">
        <v>610180</v>
      </c>
      <c r="B3337" t="s">
        <v>3707</v>
      </c>
      <c r="C3337" t="s">
        <v>30631</v>
      </c>
      <c r="D3337">
        <v>2</v>
      </c>
      <c r="E3337" t="s">
        <v>3707</v>
      </c>
      <c r="G3337" s="3"/>
      <c r="H3337" s="3">
        <v>0</v>
      </c>
      <c r="I3337" s="3">
        <v>0</v>
      </c>
      <c r="J3337" s="3">
        <v>0</v>
      </c>
      <c r="K3337" s="3">
        <v>0</v>
      </c>
      <c r="L3337" s="3">
        <f t="shared" si="146"/>
        <v>0</v>
      </c>
      <c r="M3337" s="3"/>
      <c r="N3337" s="3">
        <f t="shared" si="147"/>
        <v>0</v>
      </c>
      <c r="R3337" s="89"/>
      <c r="S3337" s="89">
        <f>100%-Table34[[#This Row],[PDF_initial fee]]</f>
        <v>1</v>
      </c>
      <c r="T3337" s="89"/>
      <c r="U3337" s="26"/>
    </row>
    <row r="3338" spans="1:30" x14ac:dyDescent="0.25">
      <c r="A3338">
        <v>731027</v>
      </c>
      <c r="B3338" t="s">
        <v>278</v>
      </c>
      <c r="C3338" t="s">
        <v>12517</v>
      </c>
      <c r="D3338">
        <v>2</v>
      </c>
      <c r="E3338" t="s">
        <v>278</v>
      </c>
      <c r="F3338" t="s">
        <v>3</v>
      </c>
      <c r="G3338" s="3">
        <v>1.4E-3</v>
      </c>
      <c r="H3338" s="3"/>
      <c r="I3338" s="3"/>
      <c r="J3338" s="6">
        <v>1.0500000000000001E-2</v>
      </c>
      <c r="K3338" s="6">
        <v>1.7000000000000001E-2</v>
      </c>
      <c r="L3338" s="3">
        <f t="shared" si="146"/>
        <v>2.7500000000000004E-2</v>
      </c>
      <c r="M3338" s="3"/>
      <c r="N3338" s="3">
        <f t="shared" si="147"/>
        <v>2.8900000000000002E-2</v>
      </c>
      <c r="P3338" s="31" t="s">
        <v>30632</v>
      </c>
      <c r="Q3338" t="s">
        <v>31787</v>
      </c>
      <c r="R3338" s="89">
        <v>0.33333333333333348</v>
      </c>
      <c r="S3338" s="89">
        <f>100%-Table34[[#This Row],[PDF_initial fee]]</f>
        <v>0.98950000000000005</v>
      </c>
      <c r="T3338" s="89">
        <f>(1-Table34[[#This Row],[PDF ongoing fee]])^5</f>
        <v>0.91784128618514282</v>
      </c>
      <c r="U3338" s="26">
        <f>(1+Table34[[#This Row],[Net 5yrs return (mostly up to 28th of Feb 2026)]])*Table34[[#This Row],[Investment after initial charge]]*Table34[[#This Row],[Cummulative 5yrs ongoing advice charge]]-1</f>
        <v>0.2109386035735985</v>
      </c>
      <c r="V3338">
        <f>207204+55816</f>
        <v>263020</v>
      </c>
      <c r="W3338" t="s">
        <v>29051</v>
      </c>
      <c r="X3338" s="9">
        <v>145463</v>
      </c>
      <c r="Y3338" s="30">
        <f>X3338/V3338</f>
        <v>0.55304919777963657</v>
      </c>
      <c r="AA3338" s="1" t="s">
        <v>30633</v>
      </c>
      <c r="AD3338" t="s">
        <v>30632</v>
      </c>
    </row>
    <row r="3339" spans="1:30" hidden="1" x14ac:dyDescent="0.25">
      <c r="A3339">
        <v>610182</v>
      </c>
      <c r="B3339" t="s">
        <v>3708</v>
      </c>
      <c r="C3339" t="s">
        <v>6958</v>
      </c>
      <c r="D3339">
        <v>1</v>
      </c>
      <c r="E3339" t="s">
        <v>3708</v>
      </c>
      <c r="F3339" t="s">
        <v>6958</v>
      </c>
      <c r="G3339" s="3"/>
      <c r="H3339" s="21">
        <v>0</v>
      </c>
      <c r="I3339" s="21">
        <v>0</v>
      </c>
      <c r="J3339" s="21">
        <v>0</v>
      </c>
      <c r="K3339" s="21">
        <v>0</v>
      </c>
      <c r="L3339" s="3">
        <f t="shared" si="146"/>
        <v>0</v>
      </c>
      <c r="M3339" s="3"/>
      <c r="N3339" s="3">
        <f t="shared" si="147"/>
        <v>0</v>
      </c>
      <c r="R3339" s="89"/>
      <c r="S3339" s="89">
        <f>100%-Table34[[#This Row],[PDF_initial fee]]</f>
        <v>1</v>
      </c>
      <c r="T3339" s="89"/>
      <c r="U3339" s="26"/>
    </row>
    <row r="3340" spans="1:30" hidden="1" x14ac:dyDescent="0.25">
      <c r="A3340">
        <v>610186</v>
      </c>
      <c r="B3340" t="s">
        <v>3709</v>
      </c>
      <c r="C3340" t="s">
        <v>6958</v>
      </c>
      <c r="D3340">
        <v>3</v>
      </c>
      <c r="E3340" t="s">
        <v>3709</v>
      </c>
      <c r="F3340" t="s">
        <v>6958</v>
      </c>
      <c r="G3340" s="3"/>
      <c r="H3340" s="21">
        <v>0</v>
      </c>
      <c r="I3340" s="21">
        <v>0</v>
      </c>
      <c r="J3340" s="21">
        <v>0</v>
      </c>
      <c r="K3340" s="21">
        <v>0</v>
      </c>
      <c r="L3340" s="3">
        <f t="shared" si="146"/>
        <v>0</v>
      </c>
      <c r="M3340" s="3"/>
      <c r="N3340" s="3">
        <f t="shared" si="147"/>
        <v>0</v>
      </c>
      <c r="R3340" s="89"/>
      <c r="S3340" s="89">
        <f>100%-Table34[[#This Row],[PDF_initial fee]]</f>
        <v>1</v>
      </c>
      <c r="T3340" s="89"/>
      <c r="U3340" s="26"/>
    </row>
    <row r="3341" spans="1:30" hidden="1" x14ac:dyDescent="0.25">
      <c r="A3341">
        <v>610230</v>
      </c>
      <c r="B3341" t="s">
        <v>3710</v>
      </c>
      <c r="C3341" t="s">
        <v>6958</v>
      </c>
      <c r="D3341">
        <v>1</v>
      </c>
      <c r="E3341" t="s">
        <v>3710</v>
      </c>
      <c r="F3341" t="s">
        <v>6958</v>
      </c>
      <c r="G3341" s="3"/>
      <c r="H3341" s="21">
        <v>0</v>
      </c>
      <c r="I3341" s="21">
        <v>0</v>
      </c>
      <c r="J3341" s="21">
        <v>0</v>
      </c>
      <c r="K3341" s="21">
        <v>0</v>
      </c>
      <c r="L3341" s="3">
        <f t="shared" si="146"/>
        <v>0</v>
      </c>
      <c r="M3341" s="3"/>
      <c r="N3341" s="3">
        <f t="shared" si="147"/>
        <v>0</v>
      </c>
      <c r="R3341" s="89"/>
      <c r="S3341" s="89">
        <f>100%-Table34[[#This Row],[PDF_initial fee]]</f>
        <v>1</v>
      </c>
      <c r="T3341" s="89"/>
      <c r="U3341" s="26"/>
    </row>
    <row r="3342" spans="1:30" hidden="1" x14ac:dyDescent="0.25">
      <c r="A3342">
        <v>610236</v>
      </c>
      <c r="B3342" t="s">
        <v>3711</v>
      </c>
      <c r="C3342" t="s">
        <v>6958</v>
      </c>
      <c r="D3342">
        <v>1</v>
      </c>
      <c r="E3342" t="s">
        <v>3711</v>
      </c>
      <c r="F3342" t="s">
        <v>6958</v>
      </c>
      <c r="G3342" s="3"/>
      <c r="H3342" s="21">
        <v>0</v>
      </c>
      <c r="I3342" s="21">
        <v>0</v>
      </c>
      <c r="J3342" s="21">
        <v>0</v>
      </c>
      <c r="K3342" s="21">
        <v>0</v>
      </c>
      <c r="L3342" s="3">
        <f t="shared" si="146"/>
        <v>0</v>
      </c>
      <c r="M3342" s="3"/>
      <c r="N3342" s="3">
        <f t="shared" si="147"/>
        <v>0</v>
      </c>
      <c r="R3342" s="89"/>
      <c r="S3342" s="89">
        <f>100%-Table34[[#This Row],[PDF_initial fee]]</f>
        <v>1</v>
      </c>
      <c r="T3342" s="89"/>
      <c r="U3342" s="26"/>
    </row>
    <row r="3343" spans="1:30" hidden="1" x14ac:dyDescent="0.25">
      <c r="A3343">
        <v>610237</v>
      </c>
      <c r="B3343" t="s">
        <v>3712</v>
      </c>
      <c r="C3343" t="s">
        <v>30634</v>
      </c>
      <c r="D3343">
        <v>13</v>
      </c>
      <c r="E3343" t="s">
        <v>3712</v>
      </c>
      <c r="G3343" s="3"/>
      <c r="H3343" s="21">
        <v>0</v>
      </c>
      <c r="I3343" s="3">
        <v>0</v>
      </c>
      <c r="J3343" s="3">
        <v>0</v>
      </c>
      <c r="K3343">
        <v>0</v>
      </c>
      <c r="L3343" s="3">
        <f t="shared" si="146"/>
        <v>0</v>
      </c>
      <c r="M3343" s="3"/>
      <c r="N3343" s="3">
        <f t="shared" si="147"/>
        <v>0</v>
      </c>
      <c r="R3343" s="89"/>
      <c r="S3343" s="89">
        <f>100%-Table34[[#This Row],[PDF_initial fee]]</f>
        <v>1</v>
      </c>
      <c r="T3343" s="89"/>
      <c r="U3343" s="26"/>
    </row>
    <row r="3344" spans="1:30" hidden="1" x14ac:dyDescent="0.25">
      <c r="A3344">
        <v>610239</v>
      </c>
      <c r="B3344" t="s">
        <v>3713</v>
      </c>
      <c r="C3344" t="s">
        <v>6981</v>
      </c>
      <c r="D3344">
        <v>2</v>
      </c>
      <c r="E3344" t="s">
        <v>3713</v>
      </c>
      <c r="G3344" s="3"/>
      <c r="L3344" s="3">
        <f t="shared" si="146"/>
        <v>0</v>
      </c>
      <c r="M3344" s="3"/>
      <c r="N3344" s="3">
        <f t="shared" si="147"/>
        <v>0</v>
      </c>
      <c r="R3344" s="89"/>
      <c r="S3344" s="89">
        <f>100%-Table34[[#This Row],[PDF_initial fee]]</f>
        <v>1</v>
      </c>
      <c r="T3344" s="89"/>
      <c r="U3344" s="26"/>
    </row>
    <row r="3345" spans="1:21" hidden="1" x14ac:dyDescent="0.25">
      <c r="A3345">
        <v>610277</v>
      </c>
      <c r="B3345" t="s">
        <v>3714</v>
      </c>
      <c r="C3345" t="s">
        <v>30635</v>
      </c>
      <c r="D3345">
        <v>3</v>
      </c>
      <c r="E3345" t="s">
        <v>3714</v>
      </c>
      <c r="G3345" s="3"/>
      <c r="H3345" s="3">
        <v>0</v>
      </c>
      <c r="I3345" s="3">
        <v>0</v>
      </c>
      <c r="J3345" s="3">
        <v>0</v>
      </c>
      <c r="K3345" s="3">
        <v>0</v>
      </c>
      <c r="L3345" s="3">
        <f t="shared" si="146"/>
        <v>0</v>
      </c>
      <c r="M3345" s="3"/>
      <c r="N3345" s="3">
        <f t="shared" si="147"/>
        <v>0</v>
      </c>
      <c r="R3345" s="89"/>
      <c r="S3345" s="89">
        <f>100%-Table34[[#This Row],[PDF_initial fee]]</f>
        <v>1</v>
      </c>
      <c r="T3345" s="89"/>
      <c r="U3345" s="26"/>
    </row>
    <row r="3346" spans="1:21" hidden="1" x14ac:dyDescent="0.25">
      <c r="A3346">
        <v>610287</v>
      </c>
      <c r="B3346" t="s">
        <v>3715</v>
      </c>
      <c r="C3346" t="s">
        <v>10486</v>
      </c>
      <c r="D3346">
        <v>2</v>
      </c>
      <c r="E3346" t="s">
        <v>3715</v>
      </c>
      <c r="G3346" s="3"/>
      <c r="L3346" s="3">
        <f t="shared" si="146"/>
        <v>0</v>
      </c>
      <c r="M3346" s="3"/>
      <c r="N3346" s="3">
        <f t="shared" si="147"/>
        <v>0</v>
      </c>
      <c r="R3346" s="89"/>
      <c r="S3346" s="89">
        <f>100%-Table34[[#This Row],[PDF_initial fee]]</f>
        <v>1</v>
      </c>
      <c r="T3346" s="89"/>
      <c r="U3346" s="26"/>
    </row>
    <row r="3347" spans="1:21" hidden="1" x14ac:dyDescent="0.25">
      <c r="A3347">
        <v>610290</v>
      </c>
      <c r="B3347" t="s">
        <v>3716</v>
      </c>
      <c r="C3347" t="s">
        <v>6958</v>
      </c>
      <c r="D3347">
        <v>0</v>
      </c>
      <c r="E3347" t="s">
        <v>3716</v>
      </c>
      <c r="F3347" t="s">
        <v>6958</v>
      </c>
      <c r="G3347" s="3"/>
      <c r="H3347" s="21">
        <v>0</v>
      </c>
      <c r="I3347" s="21">
        <v>0</v>
      </c>
      <c r="J3347" s="21">
        <v>0</v>
      </c>
      <c r="K3347" s="21">
        <v>0</v>
      </c>
      <c r="L3347" s="3">
        <f t="shared" si="146"/>
        <v>0</v>
      </c>
      <c r="M3347" s="3"/>
      <c r="N3347" s="3">
        <f t="shared" si="147"/>
        <v>0</v>
      </c>
      <c r="O3347" s="21"/>
      <c r="R3347" s="89"/>
      <c r="S3347" s="89">
        <f>100%-Table34[[#This Row],[PDF_initial fee]]</f>
        <v>1</v>
      </c>
      <c r="T3347" s="89"/>
      <c r="U3347" s="26"/>
    </row>
    <row r="3348" spans="1:21" hidden="1" x14ac:dyDescent="0.25">
      <c r="A3348">
        <v>610305</v>
      </c>
      <c r="B3348" t="s">
        <v>3717</v>
      </c>
      <c r="C3348" t="s">
        <v>30636</v>
      </c>
      <c r="D3348">
        <v>3</v>
      </c>
      <c r="E3348" t="s">
        <v>3717</v>
      </c>
      <c r="G3348" s="3"/>
      <c r="H3348" s="3">
        <v>0</v>
      </c>
      <c r="I3348" s="3">
        <v>0</v>
      </c>
      <c r="J3348" s="3">
        <v>0</v>
      </c>
      <c r="K3348" s="3">
        <v>0</v>
      </c>
      <c r="L3348" s="3">
        <f t="shared" si="146"/>
        <v>0</v>
      </c>
      <c r="M3348" s="3"/>
      <c r="N3348" s="3">
        <f t="shared" si="147"/>
        <v>0</v>
      </c>
      <c r="R3348" s="89"/>
      <c r="S3348" s="89">
        <f>100%-Table34[[#This Row],[PDF_initial fee]]</f>
        <v>1</v>
      </c>
      <c r="T3348" s="89"/>
      <c r="U3348" s="26"/>
    </row>
    <row r="3349" spans="1:21" hidden="1" x14ac:dyDescent="0.25">
      <c r="A3349">
        <v>610482</v>
      </c>
      <c r="B3349" t="s">
        <v>3718</v>
      </c>
      <c r="C3349" t="s">
        <v>30637</v>
      </c>
      <c r="D3349">
        <v>2</v>
      </c>
      <c r="E3349" t="s">
        <v>3718</v>
      </c>
      <c r="G3349" s="3"/>
      <c r="H3349" s="3">
        <v>0</v>
      </c>
      <c r="I3349" s="3">
        <v>0</v>
      </c>
      <c r="J3349" s="3">
        <v>0</v>
      </c>
      <c r="K3349" s="3">
        <v>0</v>
      </c>
      <c r="L3349" s="3">
        <f t="shared" si="146"/>
        <v>0</v>
      </c>
      <c r="M3349" s="3"/>
      <c r="N3349" s="3">
        <f t="shared" si="147"/>
        <v>0</v>
      </c>
      <c r="R3349" s="89"/>
      <c r="S3349" s="89">
        <f>100%-Table34[[#This Row],[PDF_initial fee]]</f>
        <v>1</v>
      </c>
      <c r="T3349" s="89"/>
      <c r="U3349" s="26"/>
    </row>
    <row r="3350" spans="1:21" hidden="1" x14ac:dyDescent="0.25">
      <c r="A3350">
        <v>610512</v>
      </c>
      <c r="B3350" t="s">
        <v>3719</v>
      </c>
      <c r="C3350" t="s">
        <v>6958</v>
      </c>
      <c r="D3350">
        <v>0</v>
      </c>
      <c r="E3350" t="s">
        <v>3719</v>
      </c>
      <c r="F3350" t="s">
        <v>6958</v>
      </c>
      <c r="G3350" s="3"/>
      <c r="H3350" s="21">
        <v>0</v>
      </c>
      <c r="I3350" s="21">
        <v>0</v>
      </c>
      <c r="J3350" s="21">
        <v>0</v>
      </c>
      <c r="K3350" s="21">
        <v>0</v>
      </c>
      <c r="L3350" s="3">
        <f t="shared" si="146"/>
        <v>0</v>
      </c>
      <c r="M3350" s="3"/>
      <c r="N3350" s="3">
        <f t="shared" si="147"/>
        <v>0</v>
      </c>
      <c r="O3350" s="21"/>
      <c r="R3350" s="89"/>
      <c r="S3350" s="89">
        <f>100%-Table34[[#This Row],[PDF_initial fee]]</f>
        <v>1</v>
      </c>
      <c r="T3350" s="89"/>
      <c r="U3350" s="26"/>
    </row>
    <row r="3351" spans="1:21" hidden="1" x14ac:dyDescent="0.25">
      <c r="A3351">
        <v>610519</v>
      </c>
      <c r="B3351" t="s">
        <v>3720</v>
      </c>
      <c r="C3351" t="s">
        <v>6958</v>
      </c>
      <c r="D3351">
        <v>2</v>
      </c>
      <c r="E3351" t="s">
        <v>3720</v>
      </c>
      <c r="F3351" t="s">
        <v>6958</v>
      </c>
      <c r="G3351" s="3"/>
      <c r="H3351" s="21">
        <v>0</v>
      </c>
      <c r="I3351" s="21">
        <v>0</v>
      </c>
      <c r="J3351" s="21">
        <v>0</v>
      </c>
      <c r="K3351" s="21">
        <v>0</v>
      </c>
      <c r="L3351" s="3">
        <f t="shared" si="146"/>
        <v>0</v>
      </c>
      <c r="M3351" s="3"/>
      <c r="N3351" s="3">
        <f t="shared" si="147"/>
        <v>0</v>
      </c>
      <c r="R3351" s="89"/>
      <c r="S3351" s="89">
        <f>100%-Table34[[#This Row],[PDF_initial fee]]</f>
        <v>1</v>
      </c>
      <c r="T3351" s="89"/>
      <c r="U3351" s="26"/>
    </row>
    <row r="3352" spans="1:21" hidden="1" x14ac:dyDescent="0.25">
      <c r="A3352">
        <v>610521</v>
      </c>
      <c r="B3352" t="s">
        <v>3721</v>
      </c>
      <c r="C3352" t="s">
        <v>12404</v>
      </c>
      <c r="D3352">
        <v>5</v>
      </c>
      <c r="E3352" t="s">
        <v>3721</v>
      </c>
      <c r="G3352" s="3"/>
      <c r="L3352" s="3">
        <f t="shared" si="146"/>
        <v>0</v>
      </c>
      <c r="M3352" s="3"/>
      <c r="N3352" s="3">
        <f t="shared" si="147"/>
        <v>0</v>
      </c>
      <c r="R3352" s="89"/>
      <c r="S3352" s="89">
        <f>100%-Table34[[#This Row],[PDF_initial fee]]</f>
        <v>1</v>
      </c>
      <c r="T3352" s="89"/>
      <c r="U3352" s="26"/>
    </row>
    <row r="3353" spans="1:21" hidden="1" x14ac:dyDescent="0.25">
      <c r="A3353">
        <v>610625</v>
      </c>
      <c r="B3353" t="s">
        <v>3722</v>
      </c>
      <c r="C3353" t="s">
        <v>6958</v>
      </c>
      <c r="D3353">
        <v>7</v>
      </c>
      <c r="E3353" t="s">
        <v>3722</v>
      </c>
      <c r="F3353" t="s">
        <v>6958</v>
      </c>
      <c r="G3353" s="3"/>
      <c r="H3353" s="21">
        <v>0</v>
      </c>
      <c r="I3353" s="21">
        <v>0</v>
      </c>
      <c r="J3353" s="21">
        <v>0</v>
      </c>
      <c r="K3353" s="21">
        <v>0</v>
      </c>
      <c r="L3353" s="3">
        <f t="shared" si="146"/>
        <v>0</v>
      </c>
      <c r="M3353" s="3"/>
      <c r="N3353" s="3">
        <f t="shared" si="147"/>
        <v>0</v>
      </c>
      <c r="R3353" s="89"/>
      <c r="S3353" s="89">
        <f>100%-Table34[[#This Row],[PDF_initial fee]]</f>
        <v>1</v>
      </c>
      <c r="T3353" s="89"/>
      <c r="U3353" s="26"/>
    </row>
    <row r="3354" spans="1:21" hidden="1" x14ac:dyDescent="0.25">
      <c r="A3354">
        <v>610629</v>
      </c>
      <c r="B3354" t="s">
        <v>3723</v>
      </c>
      <c r="C3354" t="s">
        <v>30638</v>
      </c>
      <c r="D3354">
        <v>3</v>
      </c>
      <c r="E3354" t="s">
        <v>3723</v>
      </c>
      <c r="G3354" s="3"/>
      <c r="H3354" s="3">
        <v>0</v>
      </c>
      <c r="I3354" s="3">
        <v>0</v>
      </c>
      <c r="J3354" s="3">
        <v>0</v>
      </c>
      <c r="K3354" s="3">
        <v>0</v>
      </c>
      <c r="L3354" s="3">
        <f t="shared" si="146"/>
        <v>0</v>
      </c>
      <c r="M3354" s="3"/>
      <c r="N3354" s="3">
        <f t="shared" si="147"/>
        <v>0</v>
      </c>
      <c r="R3354" s="89"/>
      <c r="S3354" s="89">
        <f>100%-Table34[[#This Row],[PDF_initial fee]]</f>
        <v>1</v>
      </c>
      <c r="T3354" s="89"/>
      <c r="U3354" s="26"/>
    </row>
    <row r="3355" spans="1:21" hidden="1" x14ac:dyDescent="0.25">
      <c r="A3355">
        <v>610634</v>
      </c>
      <c r="B3355" t="s">
        <v>3724</v>
      </c>
      <c r="C3355" t="s">
        <v>10502</v>
      </c>
      <c r="D3355">
        <v>2</v>
      </c>
      <c r="E3355" t="s">
        <v>3724</v>
      </c>
      <c r="G3355" s="3"/>
      <c r="L3355" s="3">
        <f t="shared" si="146"/>
        <v>0</v>
      </c>
      <c r="M3355" s="3"/>
      <c r="N3355" s="3">
        <f t="shared" si="147"/>
        <v>0</v>
      </c>
      <c r="R3355" s="89"/>
      <c r="S3355" s="89">
        <f>100%-Table34[[#This Row],[PDF_initial fee]]</f>
        <v>1</v>
      </c>
      <c r="T3355" s="89"/>
      <c r="U3355" s="26"/>
    </row>
    <row r="3356" spans="1:21" hidden="1" x14ac:dyDescent="0.25">
      <c r="A3356">
        <v>610670</v>
      </c>
      <c r="B3356" t="s">
        <v>3725</v>
      </c>
      <c r="C3356" t="s">
        <v>30639</v>
      </c>
      <c r="D3356">
        <v>1</v>
      </c>
      <c r="E3356" t="s">
        <v>3725</v>
      </c>
      <c r="G3356" s="3"/>
      <c r="H3356" s="3">
        <v>0</v>
      </c>
      <c r="I3356" s="3">
        <v>0</v>
      </c>
      <c r="J3356" s="3">
        <v>0</v>
      </c>
      <c r="K3356" s="3">
        <v>0</v>
      </c>
      <c r="L3356" s="3">
        <f t="shared" si="146"/>
        <v>0</v>
      </c>
      <c r="M3356" s="3"/>
      <c r="N3356" s="3">
        <f t="shared" si="147"/>
        <v>0</v>
      </c>
      <c r="R3356" s="89"/>
      <c r="S3356" s="89">
        <f>100%-Table34[[#This Row],[PDF_initial fee]]</f>
        <v>1</v>
      </c>
      <c r="T3356" s="89"/>
      <c r="U3356" s="26"/>
    </row>
    <row r="3357" spans="1:21" hidden="1" x14ac:dyDescent="0.25">
      <c r="A3357">
        <v>610798</v>
      </c>
      <c r="B3357" t="s">
        <v>3727</v>
      </c>
      <c r="C3357" t="s">
        <v>30640</v>
      </c>
      <c r="D3357">
        <v>1</v>
      </c>
      <c r="E3357" t="s">
        <v>3727</v>
      </c>
      <c r="G3357" s="3"/>
      <c r="H3357" s="3">
        <v>0</v>
      </c>
      <c r="I3357" s="3">
        <v>0</v>
      </c>
      <c r="J3357" s="3">
        <v>0</v>
      </c>
      <c r="K3357" s="3">
        <v>0</v>
      </c>
      <c r="L3357" s="3">
        <f t="shared" si="146"/>
        <v>0</v>
      </c>
      <c r="M3357" s="3"/>
      <c r="N3357" s="3">
        <f t="shared" si="147"/>
        <v>0</v>
      </c>
      <c r="R3357" s="89"/>
      <c r="S3357" s="89">
        <f>100%-Table34[[#This Row],[PDF_initial fee]]</f>
        <v>1</v>
      </c>
      <c r="T3357" s="89"/>
      <c r="U3357" s="26"/>
    </row>
    <row r="3358" spans="1:21" hidden="1" x14ac:dyDescent="0.25">
      <c r="A3358">
        <v>610800</v>
      </c>
      <c r="B3358" t="s">
        <v>3728</v>
      </c>
      <c r="C3358" t="s">
        <v>6958</v>
      </c>
      <c r="D3358">
        <v>1</v>
      </c>
      <c r="E3358" t="s">
        <v>3728</v>
      </c>
      <c r="F3358" t="s">
        <v>6958</v>
      </c>
      <c r="G3358" s="3"/>
      <c r="L3358" s="3">
        <f t="shared" si="146"/>
        <v>0</v>
      </c>
      <c r="M3358" s="3"/>
      <c r="N3358" s="3">
        <f t="shared" si="147"/>
        <v>0</v>
      </c>
      <c r="R3358" s="89"/>
      <c r="S3358" s="89">
        <f>100%-Table34[[#This Row],[PDF_initial fee]]</f>
        <v>1</v>
      </c>
      <c r="T3358" s="89"/>
      <c r="U3358" s="26"/>
    </row>
    <row r="3359" spans="1:21" hidden="1" x14ac:dyDescent="0.25">
      <c r="A3359">
        <v>610812</v>
      </c>
      <c r="B3359" t="s">
        <v>3729</v>
      </c>
      <c r="C3359" t="s">
        <v>9757</v>
      </c>
      <c r="D3359">
        <v>2</v>
      </c>
      <c r="E3359" t="s">
        <v>3729</v>
      </c>
      <c r="G3359" s="3"/>
      <c r="H3359" s="21">
        <v>0</v>
      </c>
      <c r="I3359" s="21">
        <v>0</v>
      </c>
      <c r="J3359" s="21">
        <v>0</v>
      </c>
      <c r="K3359" s="21">
        <v>0</v>
      </c>
      <c r="L3359" s="3">
        <f t="shared" si="146"/>
        <v>0</v>
      </c>
      <c r="M3359" s="3"/>
      <c r="N3359" s="3">
        <f t="shared" si="147"/>
        <v>0</v>
      </c>
      <c r="R3359" s="89"/>
      <c r="S3359" s="89">
        <f>100%-Table34[[#This Row],[PDF_initial fee]]</f>
        <v>1</v>
      </c>
      <c r="T3359" s="89"/>
      <c r="U3359" s="26"/>
    </row>
    <row r="3360" spans="1:21" hidden="1" x14ac:dyDescent="0.25">
      <c r="A3360">
        <v>610900</v>
      </c>
      <c r="B3360" t="s">
        <v>3730</v>
      </c>
      <c r="C3360" t="s">
        <v>9782</v>
      </c>
      <c r="D3360">
        <v>16</v>
      </c>
      <c r="E3360" t="s">
        <v>3730</v>
      </c>
      <c r="G3360" s="3"/>
      <c r="H3360" s="21">
        <v>0</v>
      </c>
      <c r="I3360" s="21">
        <v>0</v>
      </c>
      <c r="J3360" s="21">
        <v>0</v>
      </c>
      <c r="K3360" s="21">
        <v>0</v>
      </c>
      <c r="L3360" s="3">
        <f t="shared" si="146"/>
        <v>0</v>
      </c>
      <c r="M3360" s="3"/>
      <c r="N3360" s="3">
        <f t="shared" si="147"/>
        <v>0</v>
      </c>
      <c r="R3360" s="89"/>
      <c r="S3360" s="89">
        <f>100%-Table34[[#This Row],[PDF_initial fee]]</f>
        <v>1</v>
      </c>
      <c r="T3360" s="89"/>
      <c r="U3360" s="26"/>
    </row>
    <row r="3361" spans="1:27" hidden="1" x14ac:dyDescent="0.25">
      <c r="A3361">
        <v>610911</v>
      </c>
      <c r="B3361" t="s">
        <v>3731</v>
      </c>
      <c r="C3361" t="s">
        <v>6958</v>
      </c>
      <c r="D3361">
        <v>1</v>
      </c>
      <c r="E3361" t="s">
        <v>3731</v>
      </c>
      <c r="F3361" t="s">
        <v>6958</v>
      </c>
      <c r="G3361" s="3"/>
      <c r="H3361" s="21">
        <v>0</v>
      </c>
      <c r="I3361" s="21">
        <v>0</v>
      </c>
      <c r="J3361" s="21">
        <v>0</v>
      </c>
      <c r="K3361" s="21">
        <v>0</v>
      </c>
      <c r="L3361" s="3">
        <f t="shared" si="146"/>
        <v>0</v>
      </c>
      <c r="M3361" s="3"/>
      <c r="N3361" s="3">
        <f t="shared" si="147"/>
        <v>0</v>
      </c>
      <c r="R3361" s="89"/>
      <c r="S3361" s="89">
        <f>100%-Table34[[#This Row],[PDF_initial fee]]</f>
        <v>1</v>
      </c>
      <c r="T3361" s="89"/>
      <c r="U3361" s="26"/>
    </row>
    <row r="3362" spans="1:27" hidden="1" x14ac:dyDescent="0.25">
      <c r="A3362">
        <v>611045</v>
      </c>
      <c r="B3362" t="s">
        <v>3732</v>
      </c>
      <c r="C3362" t="s">
        <v>8597</v>
      </c>
      <c r="D3362">
        <v>2</v>
      </c>
      <c r="E3362" t="s">
        <v>3732</v>
      </c>
      <c r="G3362" s="3"/>
      <c r="L3362" s="3">
        <f t="shared" ref="L3362:L3425" si="148">SUM(H3362:K3362)</f>
        <v>0</v>
      </c>
      <c r="M3362" s="3"/>
      <c r="N3362" s="3">
        <f t="shared" ref="N3362:N3425" si="149">L3362+G3362</f>
        <v>0</v>
      </c>
      <c r="R3362" s="89"/>
      <c r="S3362" s="89">
        <f>100%-Table34[[#This Row],[PDF_initial fee]]</f>
        <v>1</v>
      </c>
      <c r="T3362" s="89"/>
      <c r="U3362" s="26"/>
    </row>
    <row r="3363" spans="1:27" hidden="1" x14ac:dyDescent="0.25">
      <c r="A3363">
        <v>611058</v>
      </c>
      <c r="B3363" t="s">
        <v>3733</v>
      </c>
      <c r="C3363" t="s">
        <v>10832</v>
      </c>
      <c r="D3363">
        <v>3</v>
      </c>
      <c r="E3363" t="s">
        <v>3733</v>
      </c>
      <c r="G3363" s="3"/>
      <c r="H3363" s="21">
        <v>0</v>
      </c>
      <c r="I3363" s="21">
        <v>0</v>
      </c>
      <c r="J3363" s="21">
        <v>0</v>
      </c>
      <c r="K3363" s="21">
        <v>0</v>
      </c>
      <c r="L3363" s="3">
        <f t="shared" si="148"/>
        <v>0</v>
      </c>
      <c r="M3363" s="3"/>
      <c r="N3363" s="3">
        <f t="shared" si="149"/>
        <v>0</v>
      </c>
      <c r="R3363" s="89"/>
      <c r="S3363" s="89">
        <f>100%-Table34[[#This Row],[PDF_initial fee]]</f>
        <v>1</v>
      </c>
      <c r="T3363" s="89"/>
      <c r="U3363" s="26"/>
    </row>
    <row r="3364" spans="1:27" hidden="1" x14ac:dyDescent="0.25">
      <c r="A3364">
        <v>611188</v>
      </c>
      <c r="B3364" t="s">
        <v>3734</v>
      </c>
      <c r="C3364" t="s">
        <v>30641</v>
      </c>
      <c r="D3364">
        <v>1</v>
      </c>
      <c r="E3364" t="s">
        <v>3734</v>
      </c>
      <c r="G3364" s="3"/>
      <c r="H3364" s="3">
        <v>0</v>
      </c>
      <c r="I3364" s="3">
        <v>0</v>
      </c>
      <c r="J3364" s="3">
        <v>0</v>
      </c>
      <c r="K3364" s="3">
        <v>0</v>
      </c>
      <c r="L3364" s="3">
        <f t="shared" si="148"/>
        <v>0</v>
      </c>
      <c r="M3364" s="3"/>
      <c r="N3364" s="3">
        <f t="shared" si="149"/>
        <v>0</v>
      </c>
      <c r="R3364" s="89"/>
      <c r="S3364" s="89">
        <f>100%-Table34[[#This Row],[PDF_initial fee]]</f>
        <v>1</v>
      </c>
      <c r="T3364" s="89"/>
      <c r="U3364" s="26"/>
    </row>
    <row r="3365" spans="1:27" x14ac:dyDescent="0.25">
      <c r="A3365">
        <v>490519</v>
      </c>
      <c r="B3365" t="s">
        <v>195</v>
      </c>
      <c r="C3365" s="1" t="s">
        <v>30642</v>
      </c>
      <c r="D3365">
        <v>53</v>
      </c>
      <c r="E3365" t="s">
        <v>195</v>
      </c>
      <c r="F3365" t="s">
        <v>3</v>
      </c>
      <c r="G3365" s="3">
        <v>1.4E-3</v>
      </c>
      <c r="H3365" s="3">
        <f>(850+750)/100000+1.5%</f>
        <v>3.1E-2</v>
      </c>
      <c r="I3365" s="3">
        <v>7.4999999999999997E-3</v>
      </c>
      <c r="J3365" s="6">
        <v>0</v>
      </c>
      <c r="K3365" s="6">
        <v>0</v>
      </c>
      <c r="L3365" s="3">
        <f t="shared" si="148"/>
        <v>3.85E-2</v>
      </c>
      <c r="M3365" s="3"/>
      <c r="N3365" s="3">
        <f t="shared" si="149"/>
        <v>3.9899999999999998E-2</v>
      </c>
      <c r="O3365" s="21"/>
      <c r="P3365" s="31" t="s">
        <v>30643</v>
      </c>
      <c r="Q3365" t="s">
        <v>31787</v>
      </c>
      <c r="R3365" s="89">
        <v>0.33333333333333348</v>
      </c>
      <c r="S3365" s="89">
        <f>100%-Table34[[#This Row],[InitialFee]]</f>
        <v>0.96899999999999997</v>
      </c>
      <c r="T3365" s="89">
        <f>(1-Table34[[#This Row],[OngoingFee (plus Platform fee)]])^5</f>
        <v>0.9630582970465823</v>
      </c>
      <c r="U3365" s="26">
        <f>(1+Table34[[#This Row],[Net 5yrs return (mostly up to 28th of Feb 2026)]])*Table34[[#This Row],[Investment after initial charge]]*Table34[[#This Row],[Cummulative 5yrs ongoing advice charge]]-1</f>
        <v>0.24427131978418437</v>
      </c>
      <c r="V3365" s="10">
        <f>964381+2507441</f>
        <v>3471822</v>
      </c>
      <c r="W3365" t="s">
        <v>29051</v>
      </c>
      <c r="X3365" s="9">
        <v>931974</v>
      </c>
      <c r="Y3365" s="30">
        <f>X3365/V3365</f>
        <v>0.26843945340515729</v>
      </c>
      <c r="AA3365" s="1" t="s">
        <v>30644</v>
      </c>
    </row>
    <row r="3366" spans="1:27" hidden="1" x14ac:dyDescent="0.25">
      <c r="A3366">
        <v>611382</v>
      </c>
      <c r="B3366" t="s">
        <v>3735</v>
      </c>
      <c r="C3366" t="s">
        <v>30645</v>
      </c>
      <c r="D3366">
        <v>3</v>
      </c>
      <c r="E3366" t="s">
        <v>3735</v>
      </c>
      <c r="G3366" s="3"/>
      <c r="H3366" s="3">
        <v>0</v>
      </c>
      <c r="I3366" s="3">
        <v>0</v>
      </c>
      <c r="J3366" s="3">
        <v>0</v>
      </c>
      <c r="K3366" s="3">
        <v>0</v>
      </c>
      <c r="L3366" s="3">
        <f t="shared" si="148"/>
        <v>0</v>
      </c>
      <c r="M3366" s="3"/>
      <c r="N3366" s="3">
        <f t="shared" si="149"/>
        <v>0</v>
      </c>
      <c r="R3366" s="89"/>
      <c r="S3366" s="89">
        <f>100%-Table34[[#This Row],[PDF_initial fee]]</f>
        <v>1</v>
      </c>
      <c r="T3366" s="89"/>
      <c r="U3366" s="26"/>
    </row>
    <row r="3367" spans="1:27" hidden="1" x14ac:dyDescent="0.25">
      <c r="A3367">
        <v>611399</v>
      </c>
      <c r="B3367" t="s">
        <v>3736</v>
      </c>
      <c r="C3367" t="s">
        <v>6958</v>
      </c>
      <c r="D3367">
        <v>1</v>
      </c>
      <c r="E3367" t="s">
        <v>3736</v>
      </c>
      <c r="F3367" t="s">
        <v>6958</v>
      </c>
      <c r="G3367" s="3"/>
      <c r="H3367" s="21">
        <v>0</v>
      </c>
      <c r="I3367" s="21">
        <v>0</v>
      </c>
      <c r="J3367" s="21">
        <v>0</v>
      </c>
      <c r="K3367" s="21">
        <v>0</v>
      </c>
      <c r="L3367" s="3">
        <f t="shared" si="148"/>
        <v>0</v>
      </c>
      <c r="M3367" s="3"/>
      <c r="N3367" s="3">
        <f t="shared" si="149"/>
        <v>0</v>
      </c>
      <c r="R3367" s="89"/>
      <c r="S3367" s="89">
        <f>100%-Table34[[#This Row],[PDF_initial fee]]</f>
        <v>1</v>
      </c>
      <c r="T3367" s="89"/>
      <c r="U3367" s="26"/>
    </row>
    <row r="3368" spans="1:27" hidden="1" x14ac:dyDescent="0.25">
      <c r="A3368">
        <v>611420</v>
      </c>
      <c r="B3368" t="s">
        <v>3737</v>
      </c>
      <c r="C3368" t="s">
        <v>30646</v>
      </c>
      <c r="D3368">
        <v>1</v>
      </c>
      <c r="E3368" t="s">
        <v>3737</v>
      </c>
      <c r="G3368" s="3"/>
      <c r="H3368" s="3">
        <v>0</v>
      </c>
      <c r="I3368" s="3">
        <v>0</v>
      </c>
      <c r="J3368" s="3">
        <v>0</v>
      </c>
      <c r="K3368" s="3">
        <v>0</v>
      </c>
      <c r="L3368" s="3">
        <f t="shared" si="148"/>
        <v>0</v>
      </c>
      <c r="M3368" s="3"/>
      <c r="N3368" s="3">
        <f t="shared" si="149"/>
        <v>0</v>
      </c>
      <c r="R3368" s="89"/>
      <c r="S3368" s="89">
        <f>100%-Table34[[#This Row],[PDF_initial fee]]</f>
        <v>1</v>
      </c>
      <c r="T3368" s="89"/>
      <c r="U3368" s="26"/>
    </row>
    <row r="3369" spans="1:27" hidden="1" x14ac:dyDescent="0.25">
      <c r="A3369">
        <v>611434</v>
      </c>
      <c r="B3369" t="s">
        <v>3738</v>
      </c>
      <c r="C3369" t="s">
        <v>11134</v>
      </c>
      <c r="D3369">
        <v>2</v>
      </c>
      <c r="E3369" t="s">
        <v>3738</v>
      </c>
      <c r="G3369" s="3"/>
      <c r="H3369" s="21">
        <v>0</v>
      </c>
      <c r="I3369" s="21">
        <v>0</v>
      </c>
      <c r="J3369" s="21">
        <v>0</v>
      </c>
      <c r="K3369" s="21">
        <v>0</v>
      </c>
      <c r="L3369" s="3">
        <f t="shared" si="148"/>
        <v>0</v>
      </c>
      <c r="M3369" s="3"/>
      <c r="N3369" s="3">
        <f t="shared" si="149"/>
        <v>0</v>
      </c>
      <c r="R3369" s="89"/>
      <c r="S3369" s="89">
        <f>100%-Table34[[#This Row],[PDF_initial fee]]</f>
        <v>1</v>
      </c>
      <c r="T3369" s="89"/>
      <c r="U3369" s="26"/>
    </row>
    <row r="3370" spans="1:27" hidden="1" x14ac:dyDescent="0.25">
      <c r="A3370">
        <v>611536</v>
      </c>
      <c r="B3370" t="s">
        <v>3739</v>
      </c>
      <c r="C3370" t="s">
        <v>8127</v>
      </c>
      <c r="D3370">
        <v>1</v>
      </c>
      <c r="E3370" t="s">
        <v>3739</v>
      </c>
      <c r="G3370" s="3"/>
      <c r="H3370" s="21">
        <v>0</v>
      </c>
      <c r="I3370" s="21">
        <v>0</v>
      </c>
      <c r="J3370" s="21">
        <v>0</v>
      </c>
      <c r="K3370" s="21">
        <v>0</v>
      </c>
      <c r="L3370" s="3">
        <f t="shared" si="148"/>
        <v>0</v>
      </c>
      <c r="M3370" s="3"/>
      <c r="N3370" s="3">
        <f t="shared" si="149"/>
        <v>0</v>
      </c>
      <c r="R3370" s="89"/>
      <c r="S3370" s="89">
        <f>100%-Table34[[#This Row],[PDF_initial fee]]</f>
        <v>1</v>
      </c>
      <c r="T3370" s="89"/>
      <c r="U3370" s="26"/>
    </row>
    <row r="3371" spans="1:27" x14ac:dyDescent="0.25">
      <c r="A3371">
        <v>185513</v>
      </c>
      <c r="B3371" t="s">
        <v>87</v>
      </c>
      <c r="C3371" t="s">
        <v>30647</v>
      </c>
      <c r="D3371">
        <v>19</v>
      </c>
      <c r="E3371" t="s">
        <v>87</v>
      </c>
      <c r="F3371" t="s">
        <v>3</v>
      </c>
      <c r="G3371" s="3">
        <v>1.4E-3</v>
      </c>
      <c r="H3371" s="3">
        <f>((995+4995)/2)/100000</f>
        <v>2.9950000000000001E-2</v>
      </c>
      <c r="I3371" s="3">
        <v>0.01</v>
      </c>
      <c r="J3371" s="6">
        <v>0</v>
      </c>
      <c r="K3371" s="6">
        <v>0</v>
      </c>
      <c r="L3371" s="3">
        <f t="shared" si="148"/>
        <v>3.9949999999999999E-2</v>
      </c>
      <c r="M3371" s="3"/>
      <c r="N3371" s="3">
        <f t="shared" si="149"/>
        <v>4.1349999999999998E-2</v>
      </c>
      <c r="P3371" s="1" t="s">
        <v>30648</v>
      </c>
      <c r="Q3371" t="s">
        <v>31787</v>
      </c>
      <c r="R3371" s="89">
        <v>0.33333333333333348</v>
      </c>
      <c r="S3371" s="89">
        <f>100%-Table34[[#This Row],[InitialFee]]</f>
        <v>0.97004999999999997</v>
      </c>
      <c r="T3371" s="89">
        <f>(1-Table34[[#This Row],[OngoingFee (plus Platform fee)]])^5</f>
        <v>0.95099004989999991</v>
      </c>
      <c r="U3371" s="26">
        <f>(1+Table34[[#This Row],[Net 5yrs return (mostly up to 28th of Feb 2026)]])*Table34[[#This Row],[Investment after initial charge]]*Table34[[#This Row],[Cummulative 5yrs ongoing advice charge]]-1</f>
        <v>0.2300105305406599</v>
      </c>
      <c r="V3371" s="10">
        <f>502894+514862</f>
        <v>1017756</v>
      </c>
      <c r="W3371" t="s">
        <v>29051</v>
      </c>
      <c r="X3371" s="10">
        <v>442144</v>
      </c>
      <c r="Y3371" s="30">
        <f>X3371/V3371</f>
        <v>0.43443025636793103</v>
      </c>
      <c r="AA3371" s="1" t="s">
        <v>30649</v>
      </c>
    </row>
    <row r="3372" spans="1:27" hidden="1" x14ac:dyDescent="0.25">
      <c r="A3372">
        <v>612117</v>
      </c>
      <c r="B3372" t="s">
        <v>3740</v>
      </c>
      <c r="C3372" t="s">
        <v>6958</v>
      </c>
      <c r="D3372">
        <v>8</v>
      </c>
      <c r="E3372" t="s">
        <v>3740</v>
      </c>
      <c r="F3372" t="s">
        <v>6958</v>
      </c>
      <c r="G3372" s="3"/>
      <c r="L3372" s="3">
        <f t="shared" si="148"/>
        <v>0</v>
      </c>
      <c r="M3372" s="3"/>
      <c r="N3372" s="3">
        <f t="shared" si="149"/>
        <v>0</v>
      </c>
      <c r="R3372" s="89"/>
      <c r="S3372" s="89">
        <f>100%-Table34[[#This Row],[PDF_initial fee]]</f>
        <v>1</v>
      </c>
      <c r="T3372" s="89"/>
      <c r="U3372" s="26"/>
    </row>
    <row r="3373" spans="1:27" hidden="1" x14ac:dyDescent="0.25">
      <c r="A3373">
        <v>612464</v>
      </c>
      <c r="B3373" t="s">
        <v>3741</v>
      </c>
      <c r="C3373" t="s">
        <v>6958</v>
      </c>
      <c r="D3373">
        <v>1</v>
      </c>
      <c r="E3373" t="s">
        <v>3741</v>
      </c>
      <c r="F3373" t="s">
        <v>6958</v>
      </c>
      <c r="G3373" s="3"/>
      <c r="L3373" s="3">
        <f t="shared" si="148"/>
        <v>0</v>
      </c>
      <c r="M3373" s="3"/>
      <c r="N3373" s="3">
        <f t="shared" si="149"/>
        <v>0</v>
      </c>
      <c r="R3373" s="89"/>
      <c r="S3373" s="89">
        <f>100%-Table34[[#This Row],[PDF_initial fee]]</f>
        <v>1</v>
      </c>
      <c r="T3373" s="89"/>
      <c r="U3373" s="26"/>
    </row>
    <row r="3374" spans="1:27" hidden="1" x14ac:dyDescent="0.25">
      <c r="A3374">
        <v>612476</v>
      </c>
      <c r="B3374" t="s">
        <v>3742</v>
      </c>
      <c r="C3374" t="s">
        <v>6958</v>
      </c>
      <c r="D3374">
        <v>2</v>
      </c>
      <c r="E3374" t="s">
        <v>3742</v>
      </c>
      <c r="F3374" t="s">
        <v>6958</v>
      </c>
      <c r="G3374" s="3"/>
      <c r="H3374" s="21">
        <v>0</v>
      </c>
      <c r="I3374" s="21">
        <v>0</v>
      </c>
      <c r="J3374" s="21">
        <v>0</v>
      </c>
      <c r="K3374" s="21">
        <v>0</v>
      </c>
      <c r="L3374" s="3">
        <f t="shared" si="148"/>
        <v>0</v>
      </c>
      <c r="M3374" s="3"/>
      <c r="N3374" s="3">
        <f t="shared" si="149"/>
        <v>0</v>
      </c>
      <c r="R3374" s="89"/>
      <c r="S3374" s="89">
        <f>100%-Table34[[#This Row],[PDF_initial fee]]</f>
        <v>1</v>
      </c>
      <c r="T3374" s="89"/>
      <c r="U3374" s="26"/>
    </row>
    <row r="3375" spans="1:27" hidden="1" x14ac:dyDescent="0.25">
      <c r="A3375">
        <v>612493</v>
      </c>
      <c r="B3375" t="s">
        <v>3743</v>
      </c>
      <c r="C3375" t="s">
        <v>6958</v>
      </c>
      <c r="D3375">
        <v>2</v>
      </c>
      <c r="E3375" t="s">
        <v>3743</v>
      </c>
      <c r="F3375" t="s">
        <v>6958</v>
      </c>
      <c r="G3375" s="3"/>
      <c r="H3375" s="21">
        <v>0</v>
      </c>
      <c r="I3375" s="21">
        <v>0</v>
      </c>
      <c r="J3375" s="21">
        <v>0</v>
      </c>
      <c r="K3375" s="21">
        <v>0</v>
      </c>
      <c r="L3375" s="3">
        <f t="shared" si="148"/>
        <v>0</v>
      </c>
      <c r="M3375" s="3"/>
      <c r="N3375" s="3">
        <f t="shared" si="149"/>
        <v>0</v>
      </c>
      <c r="R3375" s="89"/>
      <c r="S3375" s="89">
        <f>100%-Table34[[#This Row],[PDF_initial fee]]</f>
        <v>1</v>
      </c>
      <c r="T3375" s="89"/>
      <c r="U3375" s="26"/>
    </row>
    <row r="3376" spans="1:27" hidden="1" x14ac:dyDescent="0.25">
      <c r="A3376">
        <v>612587</v>
      </c>
      <c r="B3376" t="s">
        <v>3744</v>
      </c>
      <c r="C3376" t="s">
        <v>30650</v>
      </c>
      <c r="D3376">
        <v>6</v>
      </c>
      <c r="E3376" t="s">
        <v>3744</v>
      </c>
      <c r="G3376" s="3"/>
      <c r="H3376" s="3">
        <v>0</v>
      </c>
      <c r="I3376" s="3">
        <v>0</v>
      </c>
      <c r="J3376" s="3">
        <v>0</v>
      </c>
      <c r="K3376" s="3">
        <v>0</v>
      </c>
      <c r="L3376" s="3">
        <f t="shared" si="148"/>
        <v>0</v>
      </c>
      <c r="M3376" s="3"/>
      <c r="N3376" s="3">
        <f t="shared" si="149"/>
        <v>0</v>
      </c>
      <c r="R3376" s="89"/>
      <c r="S3376" s="89">
        <f>100%-Table34[[#This Row],[PDF_initial fee]]</f>
        <v>1</v>
      </c>
      <c r="T3376" s="89"/>
      <c r="U3376" s="26"/>
    </row>
    <row r="3377" spans="1:29" hidden="1" x14ac:dyDescent="0.25">
      <c r="A3377">
        <v>612749</v>
      </c>
      <c r="B3377" t="s">
        <v>3745</v>
      </c>
      <c r="C3377" t="s">
        <v>6958</v>
      </c>
      <c r="D3377">
        <v>1</v>
      </c>
      <c r="E3377" t="s">
        <v>3745</v>
      </c>
      <c r="F3377" t="s">
        <v>6958</v>
      </c>
      <c r="G3377" s="3"/>
      <c r="H3377" s="21">
        <v>0</v>
      </c>
      <c r="I3377" s="21">
        <v>0</v>
      </c>
      <c r="J3377" s="21">
        <v>0</v>
      </c>
      <c r="K3377" s="21">
        <v>0</v>
      </c>
      <c r="L3377" s="3">
        <f t="shared" si="148"/>
        <v>0</v>
      </c>
      <c r="M3377" s="3"/>
      <c r="N3377" s="3">
        <f t="shared" si="149"/>
        <v>0</v>
      </c>
      <c r="R3377" s="89"/>
      <c r="S3377" s="89">
        <f>100%-Table34[[#This Row],[PDF_initial fee]]</f>
        <v>1</v>
      </c>
      <c r="T3377" s="89"/>
      <c r="U3377" s="26"/>
    </row>
    <row r="3378" spans="1:29" hidden="1" x14ac:dyDescent="0.25">
      <c r="A3378">
        <v>612757</v>
      </c>
      <c r="B3378" t="s">
        <v>3746</v>
      </c>
      <c r="C3378" t="s">
        <v>6958</v>
      </c>
      <c r="D3378">
        <v>1</v>
      </c>
      <c r="E3378" t="s">
        <v>3746</v>
      </c>
      <c r="F3378" t="s">
        <v>6958</v>
      </c>
      <c r="G3378" s="3"/>
      <c r="H3378" s="21">
        <v>0</v>
      </c>
      <c r="I3378" s="21">
        <v>0</v>
      </c>
      <c r="J3378" s="21">
        <v>0</v>
      </c>
      <c r="K3378" s="21">
        <v>0</v>
      </c>
      <c r="L3378" s="3">
        <f t="shared" si="148"/>
        <v>0</v>
      </c>
      <c r="M3378" s="3"/>
      <c r="N3378" s="3">
        <f t="shared" si="149"/>
        <v>0</v>
      </c>
      <c r="R3378" s="89"/>
      <c r="S3378" s="89">
        <f>100%-Table34[[#This Row],[PDF_initial fee]]</f>
        <v>1</v>
      </c>
      <c r="T3378" s="89"/>
      <c r="U3378" s="26"/>
    </row>
    <row r="3379" spans="1:29" hidden="1" x14ac:dyDescent="0.25">
      <c r="A3379">
        <v>613008</v>
      </c>
      <c r="B3379" t="s">
        <v>3747</v>
      </c>
      <c r="C3379" t="s">
        <v>6958</v>
      </c>
      <c r="D3379">
        <v>5</v>
      </c>
      <c r="E3379" t="s">
        <v>3747</v>
      </c>
      <c r="F3379" t="s">
        <v>6958</v>
      </c>
      <c r="G3379" s="3"/>
      <c r="H3379" s="21">
        <v>0</v>
      </c>
      <c r="I3379" s="21">
        <v>0</v>
      </c>
      <c r="J3379" s="21">
        <v>0</v>
      </c>
      <c r="K3379" s="21">
        <v>0</v>
      </c>
      <c r="L3379" s="3">
        <f t="shared" si="148"/>
        <v>0</v>
      </c>
      <c r="M3379" s="3"/>
      <c r="N3379" s="3">
        <f t="shared" si="149"/>
        <v>0</v>
      </c>
      <c r="R3379" s="89"/>
      <c r="S3379" s="89">
        <f>100%-Table34[[#This Row],[PDF_initial fee]]</f>
        <v>1</v>
      </c>
      <c r="T3379" s="89"/>
      <c r="U3379" s="26"/>
    </row>
    <row r="3380" spans="1:29" hidden="1" x14ac:dyDescent="0.25">
      <c r="A3380">
        <v>613020</v>
      </c>
      <c r="B3380" t="s">
        <v>3748</v>
      </c>
      <c r="C3380" t="s">
        <v>9968</v>
      </c>
      <c r="D3380">
        <v>2</v>
      </c>
      <c r="E3380" t="s">
        <v>3748</v>
      </c>
      <c r="G3380" s="3"/>
      <c r="L3380" s="3">
        <f t="shared" si="148"/>
        <v>0</v>
      </c>
      <c r="M3380" s="3"/>
      <c r="N3380" s="3">
        <f t="shared" si="149"/>
        <v>0</v>
      </c>
      <c r="R3380" s="89"/>
      <c r="S3380" s="89">
        <f>100%-Table34[[#This Row],[PDF_initial fee]]</f>
        <v>1</v>
      </c>
      <c r="T3380" s="89"/>
      <c r="U3380" s="26"/>
    </row>
    <row r="3381" spans="1:29" hidden="1" x14ac:dyDescent="0.25">
      <c r="A3381">
        <v>613111</v>
      </c>
      <c r="B3381" t="s">
        <v>3749</v>
      </c>
      <c r="C3381" t="s">
        <v>6958</v>
      </c>
      <c r="D3381">
        <v>1</v>
      </c>
      <c r="E3381" t="s">
        <v>3749</v>
      </c>
      <c r="F3381" t="s">
        <v>6958</v>
      </c>
      <c r="G3381" s="3"/>
      <c r="H3381" s="21">
        <v>0</v>
      </c>
      <c r="I3381" s="21">
        <v>0</v>
      </c>
      <c r="J3381" s="21">
        <v>0</v>
      </c>
      <c r="K3381" s="21">
        <v>0</v>
      </c>
      <c r="L3381" s="3">
        <f t="shared" si="148"/>
        <v>0</v>
      </c>
      <c r="M3381" s="3"/>
      <c r="N3381" s="3">
        <f t="shared" si="149"/>
        <v>0</v>
      </c>
      <c r="R3381" s="89"/>
      <c r="S3381" s="89">
        <f>100%-Table34[[#This Row],[PDF_initial fee]]</f>
        <v>1</v>
      </c>
      <c r="T3381" s="89"/>
      <c r="U3381" s="26"/>
    </row>
    <row r="3382" spans="1:29" hidden="1" x14ac:dyDescent="0.25">
      <c r="A3382">
        <v>613250</v>
      </c>
      <c r="B3382" t="s">
        <v>3750</v>
      </c>
      <c r="C3382" t="s">
        <v>6958</v>
      </c>
      <c r="D3382">
        <v>3</v>
      </c>
      <c r="E3382" t="s">
        <v>3750</v>
      </c>
      <c r="F3382" t="s">
        <v>6958</v>
      </c>
      <c r="G3382" s="3"/>
      <c r="H3382" s="21">
        <v>0</v>
      </c>
      <c r="I3382" s="21">
        <v>0</v>
      </c>
      <c r="J3382" s="21">
        <v>0</v>
      </c>
      <c r="K3382" s="21">
        <v>0</v>
      </c>
      <c r="L3382" s="3">
        <f t="shared" si="148"/>
        <v>0</v>
      </c>
      <c r="M3382" s="3"/>
      <c r="N3382" s="3">
        <f t="shared" si="149"/>
        <v>0</v>
      </c>
      <c r="R3382" s="89"/>
      <c r="S3382" s="89">
        <f>100%-Table34[[#This Row],[PDF_initial fee]]</f>
        <v>1</v>
      </c>
      <c r="T3382" s="89"/>
      <c r="U3382" s="26"/>
    </row>
    <row r="3383" spans="1:29" hidden="1" x14ac:dyDescent="0.25">
      <c r="A3383">
        <v>613261</v>
      </c>
      <c r="B3383" t="s">
        <v>3751</v>
      </c>
      <c r="C3383" t="s">
        <v>6958</v>
      </c>
      <c r="D3383">
        <v>1</v>
      </c>
      <c r="E3383" t="s">
        <v>3751</v>
      </c>
      <c r="F3383" t="s">
        <v>6958</v>
      </c>
      <c r="G3383" s="3"/>
      <c r="H3383" s="21">
        <v>0</v>
      </c>
      <c r="I3383" s="21">
        <v>0</v>
      </c>
      <c r="J3383" s="21">
        <v>0</v>
      </c>
      <c r="K3383" s="21">
        <v>0</v>
      </c>
      <c r="L3383" s="3">
        <f t="shared" si="148"/>
        <v>0</v>
      </c>
      <c r="M3383" s="3"/>
      <c r="N3383" s="3">
        <f t="shared" si="149"/>
        <v>0</v>
      </c>
      <c r="R3383" s="89"/>
      <c r="S3383" s="89">
        <f>100%-Table34[[#This Row],[PDF_initial fee]]</f>
        <v>1</v>
      </c>
      <c r="T3383" s="89"/>
      <c r="U3383" s="26"/>
    </row>
    <row r="3384" spans="1:29" hidden="1" x14ac:dyDescent="0.25">
      <c r="A3384">
        <v>613305</v>
      </c>
      <c r="B3384" t="s">
        <v>3752</v>
      </c>
      <c r="C3384" t="s">
        <v>6947</v>
      </c>
      <c r="D3384">
        <v>1</v>
      </c>
      <c r="E3384" t="s">
        <v>3752</v>
      </c>
      <c r="G3384" s="3"/>
      <c r="H3384" s="21">
        <v>0</v>
      </c>
      <c r="I3384" s="21">
        <v>0</v>
      </c>
      <c r="J3384" s="21">
        <v>0</v>
      </c>
      <c r="K3384" s="21">
        <v>0</v>
      </c>
      <c r="L3384" s="3">
        <f t="shared" si="148"/>
        <v>0</v>
      </c>
      <c r="M3384" s="3"/>
      <c r="N3384" s="3">
        <f t="shared" si="149"/>
        <v>0</v>
      </c>
      <c r="O3384" t="s">
        <v>30651</v>
      </c>
      <c r="R3384" s="89"/>
      <c r="S3384" s="89">
        <f>100%-Table34[[#This Row],[PDF_initial fee]]</f>
        <v>1</v>
      </c>
      <c r="T3384" s="89"/>
      <c r="U3384" s="26"/>
    </row>
    <row r="3385" spans="1:29" hidden="1" x14ac:dyDescent="0.25">
      <c r="A3385">
        <v>613327</v>
      </c>
      <c r="B3385" t="s">
        <v>3753</v>
      </c>
      <c r="C3385" t="s">
        <v>30652</v>
      </c>
      <c r="D3385">
        <v>10</v>
      </c>
      <c r="E3385" t="s">
        <v>3753</v>
      </c>
      <c r="G3385" s="3"/>
      <c r="H3385" s="21">
        <v>0</v>
      </c>
      <c r="I3385" s="21">
        <v>0</v>
      </c>
      <c r="J3385" s="21">
        <v>0</v>
      </c>
      <c r="K3385" s="21">
        <v>0</v>
      </c>
      <c r="L3385" s="3">
        <f t="shared" si="148"/>
        <v>0</v>
      </c>
      <c r="M3385" s="3"/>
      <c r="N3385" s="3">
        <f t="shared" si="149"/>
        <v>0</v>
      </c>
      <c r="O3385" s="21"/>
      <c r="R3385" s="89"/>
      <c r="S3385" s="89">
        <f>100%-Table34[[#This Row],[PDF_initial fee]]</f>
        <v>1</v>
      </c>
      <c r="T3385" s="89"/>
      <c r="U3385" s="26"/>
    </row>
    <row r="3386" spans="1:29" hidden="1" x14ac:dyDescent="0.25">
      <c r="A3386">
        <v>613480</v>
      </c>
      <c r="B3386" t="s">
        <v>3754</v>
      </c>
      <c r="C3386" t="s">
        <v>6958</v>
      </c>
      <c r="D3386">
        <v>1</v>
      </c>
      <c r="E3386" t="s">
        <v>3754</v>
      </c>
      <c r="F3386" t="s">
        <v>6958</v>
      </c>
      <c r="G3386" s="3"/>
      <c r="L3386" s="3">
        <f t="shared" si="148"/>
        <v>0</v>
      </c>
      <c r="M3386" s="3"/>
      <c r="N3386" s="3">
        <f t="shared" si="149"/>
        <v>0</v>
      </c>
      <c r="R3386" s="89"/>
      <c r="S3386" s="89">
        <f>100%-Table34[[#This Row],[PDF_initial fee]]</f>
        <v>1</v>
      </c>
      <c r="T3386" s="89"/>
      <c r="U3386" s="26"/>
    </row>
    <row r="3387" spans="1:29" hidden="1" x14ac:dyDescent="0.25">
      <c r="A3387">
        <v>613500</v>
      </c>
      <c r="B3387" t="s">
        <v>3755</v>
      </c>
      <c r="C3387" t="s">
        <v>12231</v>
      </c>
      <c r="D3387">
        <v>10</v>
      </c>
      <c r="E3387" t="s">
        <v>3755</v>
      </c>
      <c r="G3387" s="3"/>
      <c r="H3387" s="21">
        <v>0</v>
      </c>
      <c r="I3387" s="21">
        <v>0</v>
      </c>
      <c r="J3387" s="21">
        <v>0</v>
      </c>
      <c r="K3387" s="21">
        <v>0</v>
      </c>
      <c r="L3387" s="3">
        <f t="shared" si="148"/>
        <v>0</v>
      </c>
      <c r="M3387" s="3"/>
      <c r="N3387" s="3">
        <f t="shared" si="149"/>
        <v>0</v>
      </c>
      <c r="R3387" s="89"/>
      <c r="S3387" s="89">
        <f>100%-Table34[[#This Row],[PDF_initial fee]]</f>
        <v>1</v>
      </c>
      <c r="T3387" s="89"/>
      <c r="U3387" s="26"/>
    </row>
    <row r="3388" spans="1:29" x14ac:dyDescent="0.25">
      <c r="A3388">
        <v>987288</v>
      </c>
      <c r="B3388" t="s">
        <v>5637</v>
      </c>
      <c r="C3388" t="s">
        <v>11678</v>
      </c>
      <c r="D3388">
        <v>1</v>
      </c>
      <c r="E3388" t="s">
        <v>5637</v>
      </c>
      <c r="F3388" t="s">
        <v>3</v>
      </c>
      <c r="G3388" s="3">
        <v>1.4E-3</v>
      </c>
      <c r="H3388" s="3">
        <v>1.4999999999999999E-2</v>
      </c>
      <c r="I3388" s="3">
        <v>0</v>
      </c>
      <c r="J3388" s="6"/>
      <c r="K3388" s="6">
        <v>0</v>
      </c>
      <c r="L3388" s="3">
        <f t="shared" si="148"/>
        <v>1.4999999999999999E-2</v>
      </c>
      <c r="M3388" s="3"/>
      <c r="N3388" s="3">
        <f t="shared" si="149"/>
        <v>1.6399999999999998E-2</v>
      </c>
      <c r="O3388" t="s">
        <v>30242</v>
      </c>
      <c r="P3388" s="31" t="s">
        <v>30653</v>
      </c>
      <c r="Q3388" t="s">
        <v>31787</v>
      </c>
      <c r="R3388" s="89">
        <v>0.33333333333333348</v>
      </c>
      <c r="S3388" s="89">
        <f>100%-Table34[[#This Row],[InitialFee]]</f>
        <v>0.98499999999999999</v>
      </c>
      <c r="T3388" s="89">
        <f>(1-Table34[[#This Row],[PDF ongoing fee]])^5</f>
        <v>1</v>
      </c>
      <c r="U3388" s="26">
        <f>(1+Table34[[#This Row],[Net 5yrs return (mostly up to 28th of Feb 2026)]])*Table34[[#This Row],[Investment after initial charge]]*Table34[[#This Row],[Cummulative 5yrs ongoing advice charge]]-1</f>
        <v>0.31333333333333346</v>
      </c>
      <c r="V3388" s="9">
        <f>12620+116055</f>
        <v>128675</v>
      </c>
      <c r="W3388" t="s">
        <v>29051</v>
      </c>
      <c r="X3388" s="95">
        <v>80048</v>
      </c>
      <c r="Y3388" s="30">
        <f>X3388/V3388</f>
        <v>0.62209442393627357</v>
      </c>
      <c r="AA3388" s="1" t="s">
        <v>30654</v>
      </c>
      <c r="AC3388" t="s">
        <v>30655</v>
      </c>
    </row>
    <row r="3389" spans="1:29" hidden="1" x14ac:dyDescent="0.25">
      <c r="A3389">
        <v>613572</v>
      </c>
      <c r="B3389" t="s">
        <v>3756</v>
      </c>
      <c r="C3389" t="s">
        <v>30656</v>
      </c>
      <c r="D3389">
        <v>0</v>
      </c>
      <c r="E3389" t="s">
        <v>3756</v>
      </c>
      <c r="F3389" t="s">
        <v>29136</v>
      </c>
      <c r="G3389" s="3"/>
      <c r="H3389" s="21">
        <v>0</v>
      </c>
      <c r="I3389" s="21">
        <v>0</v>
      </c>
      <c r="J3389" s="21">
        <v>0</v>
      </c>
      <c r="K3389" s="21">
        <v>0</v>
      </c>
      <c r="L3389" s="3">
        <f t="shared" si="148"/>
        <v>0</v>
      </c>
      <c r="M3389" s="3"/>
      <c r="N3389" s="3">
        <f t="shared" si="149"/>
        <v>0</v>
      </c>
      <c r="O3389" s="21"/>
      <c r="R3389" s="89"/>
      <c r="S3389" s="89">
        <f>100%-Table34[[#This Row],[PDF_initial fee]]</f>
        <v>1</v>
      </c>
      <c r="T3389" s="89"/>
      <c r="U3389" s="26"/>
    </row>
    <row r="3390" spans="1:29" hidden="1" x14ac:dyDescent="0.25">
      <c r="A3390">
        <v>613665</v>
      </c>
      <c r="B3390" t="s">
        <v>3757</v>
      </c>
      <c r="C3390" t="s">
        <v>30657</v>
      </c>
      <c r="D3390">
        <v>0</v>
      </c>
      <c r="E3390" t="s">
        <v>3757</v>
      </c>
      <c r="F3390" t="s">
        <v>3</v>
      </c>
      <c r="G3390" s="3"/>
      <c r="H3390" s="21">
        <v>0</v>
      </c>
      <c r="I3390" s="3">
        <v>0</v>
      </c>
      <c r="J3390" s="3">
        <v>0</v>
      </c>
      <c r="K3390">
        <v>0</v>
      </c>
      <c r="L3390" s="3">
        <f t="shared" si="148"/>
        <v>0</v>
      </c>
      <c r="M3390" s="3"/>
      <c r="N3390" s="3">
        <f t="shared" si="149"/>
        <v>0</v>
      </c>
      <c r="R3390" s="89"/>
      <c r="S3390" s="89">
        <f>100%-Table34[[#This Row],[PDF_initial fee]]</f>
        <v>1</v>
      </c>
      <c r="T3390" s="89"/>
      <c r="U3390" s="26"/>
    </row>
    <row r="3391" spans="1:29" hidden="1" x14ac:dyDescent="0.25">
      <c r="A3391">
        <v>613677</v>
      </c>
      <c r="B3391" t="s">
        <v>3758</v>
      </c>
      <c r="C3391" t="s">
        <v>30658</v>
      </c>
      <c r="D3391">
        <v>3</v>
      </c>
      <c r="E3391" t="s">
        <v>3758</v>
      </c>
      <c r="G3391" s="3"/>
      <c r="H3391" s="3">
        <v>0</v>
      </c>
      <c r="I3391" s="3">
        <v>0</v>
      </c>
      <c r="J3391" s="3">
        <v>0</v>
      </c>
      <c r="K3391" s="3">
        <v>0</v>
      </c>
      <c r="L3391" s="3">
        <f t="shared" si="148"/>
        <v>0</v>
      </c>
      <c r="M3391" s="3"/>
      <c r="N3391" s="3">
        <f t="shared" si="149"/>
        <v>0</v>
      </c>
      <c r="R3391" s="89"/>
      <c r="S3391" s="89">
        <f>100%-Table34[[#This Row],[PDF_initial fee]]</f>
        <v>1</v>
      </c>
      <c r="T3391" s="89"/>
      <c r="U3391" s="26"/>
    </row>
    <row r="3392" spans="1:29" hidden="1" x14ac:dyDescent="0.25">
      <c r="A3392">
        <v>615204</v>
      </c>
      <c r="B3392" t="s">
        <v>3759</v>
      </c>
      <c r="C3392" t="s">
        <v>6958</v>
      </c>
      <c r="D3392">
        <v>1</v>
      </c>
      <c r="E3392" t="s">
        <v>3759</v>
      </c>
      <c r="F3392" t="s">
        <v>6958</v>
      </c>
      <c r="G3392" s="3"/>
      <c r="L3392" s="3">
        <f t="shared" si="148"/>
        <v>0</v>
      </c>
      <c r="M3392" s="3"/>
      <c r="N3392" s="3">
        <f t="shared" si="149"/>
        <v>0</v>
      </c>
      <c r="R3392" s="89"/>
      <c r="S3392" s="89">
        <f>100%-Table34[[#This Row],[PDF_initial fee]]</f>
        <v>1</v>
      </c>
      <c r="T3392" s="89"/>
      <c r="U3392" s="26"/>
    </row>
    <row r="3393" spans="1:21" hidden="1" x14ac:dyDescent="0.25">
      <c r="A3393">
        <v>615229</v>
      </c>
      <c r="B3393" t="s">
        <v>3760</v>
      </c>
      <c r="C3393" t="s">
        <v>7511</v>
      </c>
      <c r="D3393">
        <v>1</v>
      </c>
      <c r="E3393" t="s">
        <v>3760</v>
      </c>
      <c r="G3393" s="3"/>
      <c r="L3393" s="3">
        <f t="shared" si="148"/>
        <v>0</v>
      </c>
      <c r="M3393" s="3"/>
      <c r="N3393" s="3">
        <f t="shared" si="149"/>
        <v>0</v>
      </c>
      <c r="R3393" s="89"/>
      <c r="S3393" s="89">
        <f>100%-Table34[[#This Row],[PDF_initial fee]]</f>
        <v>1</v>
      </c>
      <c r="T3393" s="89"/>
      <c r="U3393" s="26"/>
    </row>
    <row r="3394" spans="1:21" hidden="1" x14ac:dyDescent="0.25">
      <c r="A3394">
        <v>615267</v>
      </c>
      <c r="B3394" t="s">
        <v>3761</v>
      </c>
      <c r="C3394" t="s">
        <v>30659</v>
      </c>
      <c r="D3394">
        <v>5</v>
      </c>
      <c r="E3394" t="s">
        <v>3761</v>
      </c>
      <c r="G3394" s="3"/>
      <c r="H3394" s="3">
        <v>0</v>
      </c>
      <c r="I3394" s="3">
        <v>0</v>
      </c>
      <c r="J3394" s="3">
        <v>0</v>
      </c>
      <c r="K3394" s="3">
        <v>0</v>
      </c>
      <c r="L3394" s="3">
        <f t="shared" si="148"/>
        <v>0</v>
      </c>
      <c r="M3394" s="3"/>
      <c r="N3394" s="3">
        <f t="shared" si="149"/>
        <v>0</v>
      </c>
      <c r="R3394" s="89"/>
      <c r="S3394" s="89">
        <f>100%-Table34[[#This Row],[PDF_initial fee]]</f>
        <v>1</v>
      </c>
      <c r="T3394" s="89"/>
      <c r="U3394" s="26"/>
    </row>
    <row r="3395" spans="1:21" hidden="1" x14ac:dyDescent="0.25">
      <c r="A3395">
        <v>615273</v>
      </c>
      <c r="B3395" t="s">
        <v>3762</v>
      </c>
      <c r="C3395" t="s">
        <v>30660</v>
      </c>
      <c r="D3395">
        <v>10</v>
      </c>
      <c r="E3395" t="s">
        <v>3762</v>
      </c>
      <c r="G3395" s="3"/>
      <c r="H3395" s="3">
        <v>0</v>
      </c>
      <c r="I3395" s="3">
        <v>0</v>
      </c>
      <c r="J3395" s="3">
        <v>0</v>
      </c>
      <c r="K3395" s="3">
        <v>0</v>
      </c>
      <c r="L3395" s="3">
        <f t="shared" si="148"/>
        <v>0</v>
      </c>
      <c r="M3395" s="3"/>
      <c r="N3395" s="3">
        <f t="shared" si="149"/>
        <v>0</v>
      </c>
      <c r="R3395" s="89"/>
      <c r="S3395" s="89">
        <f>100%-Table34[[#This Row],[PDF_initial fee]]</f>
        <v>1</v>
      </c>
      <c r="T3395" s="89"/>
      <c r="U3395" s="26"/>
    </row>
    <row r="3396" spans="1:21" hidden="1" x14ac:dyDescent="0.25">
      <c r="A3396">
        <v>615332</v>
      </c>
      <c r="B3396" t="s">
        <v>3763</v>
      </c>
      <c r="C3396" t="s">
        <v>10042</v>
      </c>
      <c r="D3396">
        <v>1</v>
      </c>
      <c r="E3396" t="s">
        <v>3763</v>
      </c>
      <c r="G3396" s="3"/>
      <c r="H3396" s="21">
        <v>0</v>
      </c>
      <c r="I3396" s="21">
        <v>0</v>
      </c>
      <c r="J3396" s="21">
        <v>0</v>
      </c>
      <c r="K3396" s="21">
        <v>0</v>
      </c>
      <c r="L3396" s="3">
        <f t="shared" si="148"/>
        <v>0</v>
      </c>
      <c r="M3396" s="3"/>
      <c r="N3396" s="3">
        <f t="shared" si="149"/>
        <v>0</v>
      </c>
      <c r="R3396" s="89"/>
      <c r="S3396" s="89">
        <f>100%-Table34[[#This Row],[PDF_initial fee]]</f>
        <v>1</v>
      </c>
      <c r="T3396" s="89"/>
      <c r="U3396" s="26"/>
    </row>
    <row r="3397" spans="1:21" hidden="1" x14ac:dyDescent="0.25">
      <c r="A3397">
        <v>615364</v>
      </c>
      <c r="B3397" t="s">
        <v>3764</v>
      </c>
      <c r="C3397" t="s">
        <v>7550</v>
      </c>
      <c r="D3397">
        <v>1</v>
      </c>
      <c r="E3397" t="s">
        <v>3764</v>
      </c>
      <c r="G3397" s="3"/>
      <c r="H3397" s="21">
        <v>0</v>
      </c>
      <c r="I3397" s="21">
        <v>0</v>
      </c>
      <c r="J3397" s="21">
        <v>0</v>
      </c>
      <c r="K3397" s="21">
        <v>0</v>
      </c>
      <c r="L3397" s="3">
        <f t="shared" si="148"/>
        <v>0</v>
      </c>
      <c r="M3397" s="3"/>
      <c r="N3397" s="3">
        <f t="shared" si="149"/>
        <v>0</v>
      </c>
      <c r="R3397" s="89"/>
      <c r="S3397" s="89">
        <f>100%-Table34[[#This Row],[PDF_initial fee]]</f>
        <v>1</v>
      </c>
      <c r="T3397" s="89"/>
      <c r="U3397" s="26"/>
    </row>
    <row r="3398" spans="1:21" hidden="1" x14ac:dyDescent="0.25">
      <c r="A3398">
        <v>615369</v>
      </c>
      <c r="B3398" t="s">
        <v>3765</v>
      </c>
      <c r="C3398" t="s">
        <v>30661</v>
      </c>
      <c r="D3398">
        <v>3</v>
      </c>
      <c r="E3398" t="s">
        <v>3765</v>
      </c>
      <c r="G3398" s="3"/>
      <c r="H3398" s="3">
        <v>0</v>
      </c>
      <c r="I3398" s="3">
        <v>0</v>
      </c>
      <c r="J3398" s="3">
        <v>0</v>
      </c>
      <c r="K3398" s="3">
        <v>0</v>
      </c>
      <c r="L3398" s="3">
        <f t="shared" si="148"/>
        <v>0</v>
      </c>
      <c r="M3398" s="3"/>
      <c r="N3398" s="3">
        <f t="shared" si="149"/>
        <v>0</v>
      </c>
      <c r="R3398" s="89"/>
      <c r="S3398" s="89">
        <f>100%-Table34[[#This Row],[PDF_initial fee]]</f>
        <v>1</v>
      </c>
      <c r="T3398" s="89"/>
      <c r="U3398" s="26"/>
    </row>
    <row r="3399" spans="1:21" hidden="1" x14ac:dyDescent="0.25">
      <c r="A3399">
        <v>615479</v>
      </c>
      <c r="B3399" t="s">
        <v>3766</v>
      </c>
      <c r="C3399" t="s">
        <v>6958</v>
      </c>
      <c r="D3399">
        <v>1</v>
      </c>
      <c r="E3399" t="s">
        <v>3766</v>
      </c>
      <c r="F3399" t="s">
        <v>6958</v>
      </c>
      <c r="G3399" s="3"/>
      <c r="H3399" s="21">
        <v>0</v>
      </c>
      <c r="I3399" s="21">
        <v>0</v>
      </c>
      <c r="J3399" s="21">
        <v>0</v>
      </c>
      <c r="K3399" s="21">
        <v>0</v>
      </c>
      <c r="L3399" s="3">
        <f t="shared" si="148"/>
        <v>0</v>
      </c>
      <c r="M3399" s="3"/>
      <c r="N3399" s="3">
        <f t="shared" si="149"/>
        <v>0</v>
      </c>
      <c r="R3399" s="89"/>
      <c r="S3399" s="89">
        <f>100%-Table34[[#This Row],[PDF_initial fee]]</f>
        <v>1</v>
      </c>
      <c r="T3399" s="89"/>
      <c r="U3399" s="26"/>
    </row>
    <row r="3400" spans="1:21" hidden="1" x14ac:dyDescent="0.25">
      <c r="A3400">
        <v>615487</v>
      </c>
      <c r="B3400" t="s">
        <v>3767</v>
      </c>
      <c r="C3400" t="s">
        <v>30662</v>
      </c>
      <c r="D3400">
        <v>1</v>
      </c>
      <c r="E3400" t="s">
        <v>3767</v>
      </c>
      <c r="G3400" s="3"/>
      <c r="H3400" s="21">
        <v>0</v>
      </c>
      <c r="I3400" s="21">
        <v>0</v>
      </c>
      <c r="J3400" s="21">
        <v>0</v>
      </c>
      <c r="K3400" s="21">
        <v>0</v>
      </c>
      <c r="L3400" s="3">
        <f t="shared" si="148"/>
        <v>0</v>
      </c>
      <c r="M3400" s="3"/>
      <c r="N3400" s="3">
        <f t="shared" si="149"/>
        <v>0</v>
      </c>
      <c r="O3400" s="21"/>
      <c r="R3400" s="89"/>
      <c r="S3400" s="89">
        <f>100%-Table34[[#This Row],[PDF_initial fee]]</f>
        <v>1</v>
      </c>
      <c r="T3400" s="89"/>
      <c r="U3400" s="26"/>
    </row>
    <row r="3401" spans="1:21" hidden="1" x14ac:dyDescent="0.25">
      <c r="A3401">
        <v>615491</v>
      </c>
      <c r="B3401" t="s">
        <v>3768</v>
      </c>
      <c r="C3401" t="s">
        <v>10058</v>
      </c>
      <c r="D3401">
        <v>4</v>
      </c>
      <c r="E3401" t="s">
        <v>3768</v>
      </c>
      <c r="G3401" s="3"/>
      <c r="H3401" s="21">
        <v>0</v>
      </c>
      <c r="I3401" s="21">
        <v>0</v>
      </c>
      <c r="J3401" s="21">
        <v>0</v>
      </c>
      <c r="K3401" s="21">
        <v>0</v>
      </c>
      <c r="L3401" s="3">
        <f t="shared" si="148"/>
        <v>0</v>
      </c>
      <c r="M3401" s="3"/>
      <c r="N3401" s="3">
        <f t="shared" si="149"/>
        <v>0</v>
      </c>
      <c r="R3401" s="89"/>
      <c r="S3401" s="89">
        <f>100%-Table34[[#This Row],[PDF_initial fee]]</f>
        <v>1</v>
      </c>
      <c r="T3401" s="89"/>
      <c r="U3401" s="26"/>
    </row>
    <row r="3402" spans="1:21" hidden="1" x14ac:dyDescent="0.25">
      <c r="A3402">
        <v>615504</v>
      </c>
      <c r="B3402" t="s">
        <v>3769</v>
      </c>
      <c r="C3402" t="s">
        <v>6958</v>
      </c>
      <c r="D3402">
        <v>1</v>
      </c>
      <c r="E3402" t="s">
        <v>3769</v>
      </c>
      <c r="F3402" t="s">
        <v>6958</v>
      </c>
      <c r="G3402" s="3"/>
      <c r="H3402" s="21">
        <v>0</v>
      </c>
      <c r="I3402" s="21">
        <v>0</v>
      </c>
      <c r="J3402" s="21">
        <v>0</v>
      </c>
      <c r="K3402" s="21">
        <v>0</v>
      </c>
      <c r="L3402" s="3">
        <f t="shared" si="148"/>
        <v>0</v>
      </c>
      <c r="M3402" s="3"/>
      <c r="N3402" s="3">
        <f t="shared" si="149"/>
        <v>0</v>
      </c>
      <c r="R3402" s="89"/>
      <c r="S3402" s="89">
        <f>100%-Table34[[#This Row],[PDF_initial fee]]</f>
        <v>1</v>
      </c>
      <c r="T3402" s="89"/>
      <c r="U3402" s="26"/>
    </row>
    <row r="3403" spans="1:21" hidden="1" x14ac:dyDescent="0.25">
      <c r="A3403">
        <v>615644</v>
      </c>
      <c r="B3403" t="s">
        <v>3770</v>
      </c>
      <c r="C3403" t="s">
        <v>10434</v>
      </c>
      <c r="D3403">
        <v>3</v>
      </c>
      <c r="E3403" t="s">
        <v>3770</v>
      </c>
      <c r="G3403" s="3"/>
      <c r="H3403" s="21">
        <v>0</v>
      </c>
      <c r="I3403" s="21">
        <v>0</v>
      </c>
      <c r="J3403" s="21">
        <v>0</v>
      </c>
      <c r="K3403" s="21">
        <v>0</v>
      </c>
      <c r="L3403" s="3">
        <f t="shared" si="148"/>
        <v>0</v>
      </c>
      <c r="M3403" s="3"/>
      <c r="N3403" s="3">
        <f t="shared" si="149"/>
        <v>0</v>
      </c>
      <c r="R3403" s="89"/>
      <c r="S3403" s="89">
        <f>100%-Table34[[#This Row],[PDF_initial fee]]</f>
        <v>1</v>
      </c>
      <c r="T3403" s="89"/>
      <c r="U3403" s="26"/>
    </row>
    <row r="3404" spans="1:21" hidden="1" x14ac:dyDescent="0.25">
      <c r="A3404">
        <v>615676</v>
      </c>
      <c r="B3404" t="s">
        <v>3771</v>
      </c>
      <c r="C3404" t="s">
        <v>11277</v>
      </c>
      <c r="D3404">
        <v>1</v>
      </c>
      <c r="E3404" t="s">
        <v>3771</v>
      </c>
      <c r="G3404" s="3"/>
      <c r="H3404" s="21">
        <v>0</v>
      </c>
      <c r="I3404" s="21">
        <v>0</v>
      </c>
      <c r="J3404" s="21">
        <v>0</v>
      </c>
      <c r="K3404" s="21">
        <v>0</v>
      </c>
      <c r="L3404" s="3">
        <f t="shared" si="148"/>
        <v>0</v>
      </c>
      <c r="M3404" s="3"/>
      <c r="N3404" s="3">
        <f t="shared" si="149"/>
        <v>0</v>
      </c>
      <c r="R3404" s="89"/>
      <c r="S3404" s="89">
        <f>100%-Table34[[#This Row],[PDF_initial fee]]</f>
        <v>1</v>
      </c>
      <c r="T3404" s="89"/>
      <c r="U3404" s="26"/>
    </row>
    <row r="3405" spans="1:21" hidden="1" x14ac:dyDescent="0.25">
      <c r="A3405">
        <v>615679</v>
      </c>
      <c r="B3405" t="s">
        <v>3772</v>
      </c>
      <c r="C3405" t="s">
        <v>6950</v>
      </c>
      <c r="D3405">
        <v>1</v>
      </c>
      <c r="E3405" t="s">
        <v>3772</v>
      </c>
      <c r="G3405" s="3"/>
      <c r="L3405" s="3">
        <f t="shared" si="148"/>
        <v>0</v>
      </c>
      <c r="M3405" s="3"/>
      <c r="N3405" s="3">
        <f t="shared" si="149"/>
        <v>0</v>
      </c>
      <c r="R3405" s="89"/>
      <c r="S3405" s="89">
        <f>100%-Table34[[#This Row],[PDF_initial fee]]</f>
        <v>1</v>
      </c>
      <c r="T3405" s="89"/>
      <c r="U3405" s="26"/>
    </row>
    <row r="3406" spans="1:21" hidden="1" x14ac:dyDescent="0.25">
      <c r="A3406">
        <v>615731</v>
      </c>
      <c r="B3406" t="s">
        <v>3773</v>
      </c>
      <c r="C3406" t="s">
        <v>30663</v>
      </c>
      <c r="D3406">
        <v>7</v>
      </c>
      <c r="E3406" t="s">
        <v>3773</v>
      </c>
      <c r="G3406" s="3"/>
      <c r="H3406" s="3">
        <v>0</v>
      </c>
      <c r="I3406" s="3">
        <v>0</v>
      </c>
      <c r="J3406" s="3">
        <v>0</v>
      </c>
      <c r="K3406" s="3">
        <v>0</v>
      </c>
      <c r="L3406" s="3">
        <f t="shared" si="148"/>
        <v>0</v>
      </c>
      <c r="M3406" s="3"/>
      <c r="N3406" s="3">
        <f t="shared" si="149"/>
        <v>0</v>
      </c>
      <c r="R3406" s="89"/>
      <c r="S3406" s="89">
        <f>100%-Table34[[#This Row],[PDF_initial fee]]</f>
        <v>1</v>
      </c>
      <c r="T3406" s="89"/>
      <c r="U3406" s="26"/>
    </row>
    <row r="3407" spans="1:21" hidden="1" x14ac:dyDescent="0.25">
      <c r="A3407">
        <v>615735</v>
      </c>
      <c r="B3407" t="s">
        <v>3774</v>
      </c>
      <c r="C3407" t="s">
        <v>12623</v>
      </c>
      <c r="D3407">
        <v>1</v>
      </c>
      <c r="E3407" t="s">
        <v>3774</v>
      </c>
      <c r="G3407" s="3"/>
      <c r="H3407" s="21">
        <v>0</v>
      </c>
      <c r="I3407" s="21">
        <v>0</v>
      </c>
      <c r="J3407" s="21">
        <v>0</v>
      </c>
      <c r="K3407" s="21">
        <v>0</v>
      </c>
      <c r="L3407" s="3">
        <f t="shared" si="148"/>
        <v>0</v>
      </c>
      <c r="M3407" s="3"/>
      <c r="N3407" s="3">
        <f t="shared" si="149"/>
        <v>0</v>
      </c>
      <c r="R3407" s="89"/>
      <c r="S3407" s="89">
        <f>100%-Table34[[#This Row],[PDF_initial fee]]</f>
        <v>1</v>
      </c>
      <c r="T3407" s="89"/>
      <c r="U3407" s="26"/>
    </row>
    <row r="3408" spans="1:21" hidden="1" x14ac:dyDescent="0.25">
      <c r="A3408">
        <v>615762</v>
      </c>
      <c r="B3408" t="s">
        <v>3775</v>
      </c>
      <c r="C3408" t="s">
        <v>30664</v>
      </c>
      <c r="D3408">
        <v>6</v>
      </c>
      <c r="E3408" t="s">
        <v>3775</v>
      </c>
      <c r="G3408" s="3"/>
      <c r="H3408" s="21">
        <v>0</v>
      </c>
      <c r="I3408" s="21">
        <v>0</v>
      </c>
      <c r="J3408" s="21">
        <v>0</v>
      </c>
      <c r="K3408" s="21">
        <v>0</v>
      </c>
      <c r="L3408" s="3">
        <f t="shared" si="148"/>
        <v>0</v>
      </c>
      <c r="M3408" s="3"/>
      <c r="N3408" s="3">
        <f t="shared" si="149"/>
        <v>0</v>
      </c>
      <c r="O3408" s="21"/>
      <c r="R3408" s="89"/>
      <c r="S3408" s="89">
        <f>100%-Table34[[#This Row],[PDF_initial fee]]</f>
        <v>1</v>
      </c>
      <c r="T3408" s="89"/>
      <c r="U3408" s="26"/>
    </row>
    <row r="3409" spans="1:29" hidden="1" x14ac:dyDescent="0.25">
      <c r="A3409">
        <v>615773</v>
      </c>
      <c r="B3409" t="s">
        <v>3776</v>
      </c>
      <c r="C3409" t="s">
        <v>6958</v>
      </c>
      <c r="D3409">
        <v>1</v>
      </c>
      <c r="E3409" t="s">
        <v>3776</v>
      </c>
      <c r="F3409" t="s">
        <v>6958</v>
      </c>
      <c r="G3409" s="3"/>
      <c r="H3409" s="21">
        <v>0</v>
      </c>
      <c r="I3409" s="21">
        <v>0</v>
      </c>
      <c r="J3409" s="21">
        <v>0</v>
      </c>
      <c r="K3409" s="21">
        <v>0</v>
      </c>
      <c r="L3409" s="3">
        <f t="shared" si="148"/>
        <v>0</v>
      </c>
      <c r="M3409" s="3"/>
      <c r="N3409" s="3">
        <f t="shared" si="149"/>
        <v>0</v>
      </c>
      <c r="R3409" s="89"/>
      <c r="S3409" s="89">
        <f>100%-Table34[[#This Row],[PDF_initial fee]]</f>
        <v>1</v>
      </c>
      <c r="T3409" s="89"/>
      <c r="U3409" s="26"/>
    </row>
    <row r="3410" spans="1:29" hidden="1" x14ac:dyDescent="0.25">
      <c r="A3410">
        <v>616019</v>
      </c>
      <c r="B3410" t="s">
        <v>3777</v>
      </c>
      <c r="C3410" t="s">
        <v>7504</v>
      </c>
      <c r="D3410">
        <v>17</v>
      </c>
      <c r="E3410" t="s">
        <v>3777</v>
      </c>
      <c r="G3410" s="3"/>
      <c r="H3410" s="21">
        <v>0</v>
      </c>
      <c r="I3410" s="21">
        <v>0</v>
      </c>
      <c r="J3410" s="21">
        <v>0</v>
      </c>
      <c r="K3410" s="21">
        <v>0</v>
      </c>
      <c r="L3410" s="3">
        <f t="shared" si="148"/>
        <v>0</v>
      </c>
      <c r="M3410" s="3"/>
      <c r="N3410" s="3">
        <f t="shared" si="149"/>
        <v>0</v>
      </c>
      <c r="R3410" s="89"/>
      <c r="S3410" s="89">
        <f>100%-Table34[[#This Row],[PDF_initial fee]]</f>
        <v>1</v>
      </c>
      <c r="T3410" s="89"/>
      <c r="U3410" s="26"/>
    </row>
    <row r="3411" spans="1:29" hidden="1" x14ac:dyDescent="0.25">
      <c r="A3411">
        <v>616202</v>
      </c>
      <c r="B3411" t="s">
        <v>3778</v>
      </c>
      <c r="C3411" t="s">
        <v>6958</v>
      </c>
      <c r="D3411">
        <v>1</v>
      </c>
      <c r="E3411" t="s">
        <v>3778</v>
      </c>
      <c r="F3411" t="s">
        <v>6958</v>
      </c>
      <c r="G3411" s="3"/>
      <c r="H3411" s="21">
        <v>0</v>
      </c>
      <c r="I3411" s="21">
        <v>0</v>
      </c>
      <c r="J3411" s="21">
        <v>0</v>
      </c>
      <c r="K3411" s="21">
        <v>0</v>
      </c>
      <c r="L3411" s="3">
        <f t="shared" si="148"/>
        <v>0</v>
      </c>
      <c r="M3411" s="3"/>
      <c r="N3411" s="3">
        <f t="shared" si="149"/>
        <v>0</v>
      </c>
      <c r="R3411" s="89"/>
      <c r="S3411" s="89">
        <f>100%-Table34[[#This Row],[PDF_initial fee]]</f>
        <v>1</v>
      </c>
      <c r="T3411" s="89"/>
      <c r="U3411" s="26"/>
    </row>
    <row r="3412" spans="1:29" hidden="1" x14ac:dyDescent="0.25">
      <c r="A3412">
        <v>616273</v>
      </c>
      <c r="B3412" t="s">
        <v>3779</v>
      </c>
      <c r="C3412" t="s">
        <v>30665</v>
      </c>
      <c r="D3412">
        <v>8</v>
      </c>
      <c r="E3412" t="s">
        <v>3779</v>
      </c>
      <c r="G3412" s="3"/>
      <c r="H3412" s="3">
        <v>0</v>
      </c>
      <c r="I3412" s="3">
        <v>0</v>
      </c>
      <c r="J3412" s="3">
        <v>0</v>
      </c>
      <c r="K3412" s="3">
        <v>0</v>
      </c>
      <c r="L3412" s="3">
        <f t="shared" si="148"/>
        <v>0</v>
      </c>
      <c r="M3412" s="3"/>
      <c r="N3412" s="3">
        <f t="shared" si="149"/>
        <v>0</v>
      </c>
      <c r="R3412" s="89"/>
      <c r="S3412" s="89">
        <f>100%-Table34[[#This Row],[PDF_initial fee]]</f>
        <v>1</v>
      </c>
      <c r="T3412" s="89"/>
      <c r="U3412" s="26"/>
    </row>
    <row r="3413" spans="1:29" hidden="1" x14ac:dyDescent="0.25">
      <c r="A3413">
        <v>616276</v>
      </c>
      <c r="B3413" t="s">
        <v>3780</v>
      </c>
      <c r="C3413" t="s">
        <v>30666</v>
      </c>
      <c r="D3413">
        <v>4</v>
      </c>
      <c r="E3413" t="s">
        <v>3780</v>
      </c>
      <c r="G3413" s="3"/>
      <c r="H3413" s="3">
        <v>0</v>
      </c>
      <c r="I3413" s="3">
        <v>0</v>
      </c>
      <c r="J3413" s="3">
        <v>0</v>
      </c>
      <c r="K3413" s="3">
        <v>0</v>
      </c>
      <c r="L3413" s="3">
        <f t="shared" si="148"/>
        <v>0</v>
      </c>
      <c r="M3413" s="3"/>
      <c r="N3413" s="3">
        <f t="shared" si="149"/>
        <v>0</v>
      </c>
      <c r="R3413" s="89"/>
      <c r="S3413" s="89">
        <f>100%-Table34[[#This Row],[PDF_initial fee]]</f>
        <v>1</v>
      </c>
      <c r="T3413" s="89"/>
      <c r="U3413" s="26"/>
    </row>
    <row r="3414" spans="1:29" hidden="1" x14ac:dyDescent="0.25">
      <c r="A3414">
        <v>616277</v>
      </c>
      <c r="B3414" t="s">
        <v>3781</v>
      </c>
      <c r="C3414" t="s">
        <v>6958</v>
      </c>
      <c r="D3414">
        <v>1</v>
      </c>
      <c r="E3414" t="s">
        <v>3781</v>
      </c>
      <c r="F3414" t="s">
        <v>6958</v>
      </c>
      <c r="G3414" s="3"/>
      <c r="H3414" s="21">
        <v>0</v>
      </c>
      <c r="I3414" s="21">
        <v>0</v>
      </c>
      <c r="J3414" s="21">
        <v>0</v>
      </c>
      <c r="K3414" s="21">
        <v>0</v>
      </c>
      <c r="L3414" s="3">
        <f t="shared" si="148"/>
        <v>0</v>
      </c>
      <c r="M3414" s="3"/>
      <c r="N3414" s="3">
        <f t="shared" si="149"/>
        <v>0</v>
      </c>
      <c r="R3414" s="89"/>
      <c r="S3414" s="89">
        <f>100%-Table34[[#This Row],[PDF_initial fee]]</f>
        <v>1</v>
      </c>
      <c r="T3414" s="89"/>
      <c r="U3414" s="26"/>
    </row>
    <row r="3415" spans="1:29" hidden="1" x14ac:dyDescent="0.25">
      <c r="A3415">
        <v>616324</v>
      </c>
      <c r="B3415" t="s">
        <v>3782</v>
      </c>
      <c r="C3415" t="s">
        <v>6958</v>
      </c>
      <c r="D3415">
        <v>1</v>
      </c>
      <c r="E3415" t="s">
        <v>3782</v>
      </c>
      <c r="F3415" t="s">
        <v>6958</v>
      </c>
      <c r="G3415" s="3"/>
      <c r="H3415" s="21">
        <v>0</v>
      </c>
      <c r="I3415" s="21">
        <v>0</v>
      </c>
      <c r="J3415" s="21">
        <v>0</v>
      </c>
      <c r="K3415" s="21">
        <v>0</v>
      </c>
      <c r="L3415" s="3">
        <f t="shared" si="148"/>
        <v>0</v>
      </c>
      <c r="M3415" s="3"/>
      <c r="N3415" s="3">
        <f t="shared" si="149"/>
        <v>0</v>
      </c>
      <c r="R3415" s="89"/>
      <c r="S3415" s="89">
        <f>100%-Table34[[#This Row],[PDF_initial fee]]</f>
        <v>1</v>
      </c>
      <c r="T3415" s="89"/>
      <c r="U3415" s="26"/>
    </row>
    <row r="3416" spans="1:29" hidden="1" x14ac:dyDescent="0.25">
      <c r="A3416">
        <v>616403</v>
      </c>
      <c r="B3416" t="s">
        <v>3783</v>
      </c>
      <c r="C3416" t="s">
        <v>11980</v>
      </c>
      <c r="D3416">
        <v>4</v>
      </c>
      <c r="E3416" t="s">
        <v>3783</v>
      </c>
      <c r="G3416" s="3"/>
      <c r="H3416" s="21">
        <v>0</v>
      </c>
      <c r="I3416" s="21">
        <v>0</v>
      </c>
      <c r="J3416" s="21">
        <v>0</v>
      </c>
      <c r="K3416" s="21">
        <v>0</v>
      </c>
      <c r="L3416" s="3">
        <f t="shared" si="148"/>
        <v>0</v>
      </c>
      <c r="M3416" s="3"/>
      <c r="N3416" s="3">
        <f t="shared" si="149"/>
        <v>0</v>
      </c>
      <c r="R3416" s="89"/>
      <c r="S3416" s="89">
        <f>100%-Table34[[#This Row],[PDF_initial fee]]</f>
        <v>1</v>
      </c>
      <c r="T3416" s="89"/>
      <c r="U3416" s="26"/>
    </row>
    <row r="3417" spans="1:29" hidden="1" x14ac:dyDescent="0.25">
      <c r="A3417">
        <v>616407</v>
      </c>
      <c r="B3417" t="s">
        <v>3784</v>
      </c>
      <c r="C3417" t="s">
        <v>9334</v>
      </c>
      <c r="D3417">
        <v>1</v>
      </c>
      <c r="E3417" t="s">
        <v>3784</v>
      </c>
      <c r="G3417" s="3"/>
      <c r="H3417" s="21">
        <v>0</v>
      </c>
      <c r="I3417" s="21">
        <v>0</v>
      </c>
      <c r="J3417" s="21">
        <v>0</v>
      </c>
      <c r="K3417" s="21">
        <v>0</v>
      </c>
      <c r="L3417" s="3">
        <f t="shared" si="148"/>
        <v>0</v>
      </c>
      <c r="M3417" s="3"/>
      <c r="N3417" s="3">
        <f t="shared" si="149"/>
        <v>0</v>
      </c>
      <c r="R3417" s="89"/>
      <c r="S3417" s="89">
        <f>100%-Table34[[#This Row],[PDF_initial fee]]</f>
        <v>1</v>
      </c>
      <c r="T3417" s="89"/>
      <c r="U3417" s="26"/>
    </row>
    <row r="3418" spans="1:29" hidden="1" x14ac:dyDescent="0.25">
      <c r="A3418">
        <v>616449</v>
      </c>
      <c r="B3418" t="s">
        <v>3785</v>
      </c>
      <c r="C3418" t="s">
        <v>6958</v>
      </c>
      <c r="D3418">
        <v>1</v>
      </c>
      <c r="E3418" t="s">
        <v>3785</v>
      </c>
      <c r="F3418" t="s">
        <v>6958</v>
      </c>
      <c r="G3418" s="3"/>
      <c r="H3418" s="21">
        <v>0</v>
      </c>
      <c r="I3418" s="21">
        <v>0</v>
      </c>
      <c r="J3418" s="21">
        <v>0</v>
      </c>
      <c r="K3418" s="21">
        <v>0</v>
      </c>
      <c r="L3418" s="3">
        <f t="shared" si="148"/>
        <v>0</v>
      </c>
      <c r="M3418" s="3"/>
      <c r="N3418" s="3">
        <f t="shared" si="149"/>
        <v>0</v>
      </c>
      <c r="R3418" s="89"/>
      <c r="S3418" s="89">
        <f>100%-Table34[[#This Row],[PDF_initial fee]]</f>
        <v>1</v>
      </c>
      <c r="T3418" s="89"/>
      <c r="U3418" s="26"/>
    </row>
    <row r="3419" spans="1:29" x14ac:dyDescent="0.25">
      <c r="A3419">
        <v>481116</v>
      </c>
      <c r="B3419" t="s">
        <v>190</v>
      </c>
      <c r="C3419" t="s">
        <v>30667</v>
      </c>
      <c r="D3419">
        <v>3</v>
      </c>
      <c r="E3419" t="s">
        <v>190</v>
      </c>
      <c r="F3419" t="s">
        <v>3</v>
      </c>
      <c r="G3419" s="3">
        <v>1.4E-3</v>
      </c>
      <c r="H3419" s="3">
        <v>1.4999999999999999E-2</v>
      </c>
      <c r="I3419" s="3">
        <v>0</v>
      </c>
      <c r="J3419" s="6">
        <v>0</v>
      </c>
      <c r="K3419" s="6">
        <v>0</v>
      </c>
      <c r="L3419" s="3">
        <f t="shared" si="148"/>
        <v>1.4999999999999999E-2</v>
      </c>
      <c r="M3419" s="3"/>
      <c r="N3419" s="3">
        <f t="shared" si="149"/>
        <v>1.6399999999999998E-2</v>
      </c>
      <c r="O3419" t="s">
        <v>30245</v>
      </c>
      <c r="P3419" s="31" t="s">
        <v>30668</v>
      </c>
      <c r="Q3419" t="s">
        <v>31787</v>
      </c>
      <c r="R3419" s="89">
        <v>0.33333333333333348</v>
      </c>
      <c r="S3419" s="89">
        <f>100%-Table34[[#This Row],[InitialFee]]</f>
        <v>0.98499999999999999</v>
      </c>
      <c r="T3419" s="89">
        <f>(1-Table34[[#This Row],[PDF ongoing fee]])^5</f>
        <v>1</v>
      </c>
      <c r="U3419" s="26">
        <f>(1+Table34[[#This Row],[Net 5yrs return (mostly up to 28th of Feb 2026)]])*Table34[[#This Row],[Investment after initial charge]]*Table34[[#This Row],[Cummulative 5yrs ongoing advice charge]]-1</f>
        <v>0.31333333333333346</v>
      </c>
      <c r="V3419" s="10">
        <f>1574+149248</f>
        <v>150822</v>
      </c>
      <c r="W3419" t="s">
        <v>29051</v>
      </c>
      <c r="X3419" s="9">
        <v>-3088</v>
      </c>
      <c r="Y3419" s="30">
        <f>X3419/V3419</f>
        <v>-2.0474466589754811E-2</v>
      </c>
      <c r="AA3419" s="1" t="s">
        <v>30669</v>
      </c>
      <c r="AC3419" t="s">
        <v>30245</v>
      </c>
    </row>
    <row r="3420" spans="1:29" hidden="1" x14ac:dyDescent="0.25">
      <c r="A3420">
        <v>616661</v>
      </c>
      <c r="B3420" t="s">
        <v>3786</v>
      </c>
      <c r="C3420" t="s">
        <v>6958</v>
      </c>
      <c r="D3420">
        <v>1</v>
      </c>
      <c r="E3420" t="s">
        <v>3786</v>
      </c>
      <c r="F3420" t="s">
        <v>6958</v>
      </c>
      <c r="G3420" s="3"/>
      <c r="H3420" s="21">
        <v>0</v>
      </c>
      <c r="I3420" s="21">
        <v>0</v>
      </c>
      <c r="J3420" s="21">
        <v>0</v>
      </c>
      <c r="K3420" s="21">
        <v>0</v>
      </c>
      <c r="L3420" s="3">
        <f t="shared" si="148"/>
        <v>0</v>
      </c>
      <c r="M3420" s="3"/>
      <c r="N3420" s="3">
        <f t="shared" si="149"/>
        <v>0</v>
      </c>
      <c r="R3420" s="89"/>
      <c r="S3420" s="89">
        <f>100%-Table34[[#This Row],[PDF_initial fee]]</f>
        <v>1</v>
      </c>
      <c r="T3420" s="89"/>
      <c r="U3420" s="26"/>
    </row>
    <row r="3421" spans="1:29" hidden="1" x14ac:dyDescent="0.25">
      <c r="A3421">
        <v>616668</v>
      </c>
      <c r="B3421" t="s">
        <v>3787</v>
      </c>
      <c r="C3421" t="s">
        <v>9559</v>
      </c>
      <c r="D3421">
        <v>2</v>
      </c>
      <c r="E3421" t="s">
        <v>3787</v>
      </c>
      <c r="G3421" s="3"/>
      <c r="H3421" s="21">
        <v>0</v>
      </c>
      <c r="I3421" s="21">
        <v>0</v>
      </c>
      <c r="J3421" s="21">
        <v>0</v>
      </c>
      <c r="K3421" s="21">
        <v>0</v>
      </c>
      <c r="L3421" s="3">
        <f t="shared" si="148"/>
        <v>0</v>
      </c>
      <c r="M3421" s="3"/>
      <c r="N3421" s="3">
        <f t="shared" si="149"/>
        <v>0</v>
      </c>
      <c r="R3421" s="89"/>
      <c r="S3421" s="89">
        <f>100%-Table34[[#This Row],[PDF_initial fee]]</f>
        <v>1</v>
      </c>
      <c r="T3421" s="89"/>
      <c r="U3421" s="26"/>
    </row>
    <row r="3422" spans="1:29" hidden="1" x14ac:dyDescent="0.25">
      <c r="A3422">
        <v>616688</v>
      </c>
      <c r="B3422" t="s">
        <v>3788</v>
      </c>
      <c r="C3422" s="1" t="s">
        <v>30670</v>
      </c>
      <c r="D3422">
        <v>2</v>
      </c>
      <c r="E3422" t="s">
        <v>3788</v>
      </c>
      <c r="G3422" s="3"/>
      <c r="H3422" s="3">
        <v>0</v>
      </c>
      <c r="I3422" s="3">
        <v>0</v>
      </c>
      <c r="J3422" s="3">
        <v>0</v>
      </c>
      <c r="K3422" s="3">
        <v>0</v>
      </c>
      <c r="L3422" s="3">
        <f t="shared" si="148"/>
        <v>0</v>
      </c>
      <c r="M3422" s="3"/>
      <c r="N3422" s="3">
        <f t="shared" si="149"/>
        <v>0</v>
      </c>
      <c r="R3422" s="89"/>
      <c r="S3422" s="89">
        <f>100%-Table34[[#This Row],[PDF_initial fee]]</f>
        <v>1</v>
      </c>
      <c r="T3422" s="89"/>
      <c r="U3422" s="26"/>
    </row>
    <row r="3423" spans="1:29" hidden="1" x14ac:dyDescent="0.25">
      <c r="A3423">
        <v>616915</v>
      </c>
      <c r="B3423" t="s">
        <v>3789</v>
      </c>
      <c r="C3423" t="s">
        <v>6958</v>
      </c>
      <c r="D3423">
        <v>1</v>
      </c>
      <c r="E3423" t="s">
        <v>3789</v>
      </c>
      <c r="F3423" t="s">
        <v>6958</v>
      </c>
      <c r="G3423" s="3"/>
      <c r="H3423" s="21">
        <v>0</v>
      </c>
      <c r="I3423" s="21">
        <v>0</v>
      </c>
      <c r="J3423" s="21">
        <v>0</v>
      </c>
      <c r="K3423" s="21">
        <v>0</v>
      </c>
      <c r="L3423" s="3">
        <f t="shared" si="148"/>
        <v>0</v>
      </c>
      <c r="M3423" s="3"/>
      <c r="N3423" s="3">
        <f t="shared" si="149"/>
        <v>0</v>
      </c>
      <c r="R3423" s="89"/>
      <c r="S3423" s="89">
        <f>100%-Table34[[#This Row],[PDF_initial fee]]</f>
        <v>1</v>
      </c>
      <c r="T3423" s="89"/>
      <c r="U3423" s="26"/>
    </row>
    <row r="3424" spans="1:29" hidden="1" x14ac:dyDescent="0.25">
      <c r="A3424">
        <v>617019</v>
      </c>
      <c r="B3424" t="s">
        <v>3790</v>
      </c>
      <c r="C3424" t="s">
        <v>10742</v>
      </c>
      <c r="D3424">
        <v>1</v>
      </c>
      <c r="E3424" t="s">
        <v>3790</v>
      </c>
      <c r="G3424" s="3"/>
      <c r="H3424" s="21">
        <v>0</v>
      </c>
      <c r="I3424" s="21">
        <v>0</v>
      </c>
      <c r="J3424" s="21">
        <v>0</v>
      </c>
      <c r="K3424" s="21">
        <v>0</v>
      </c>
      <c r="L3424" s="3">
        <f t="shared" si="148"/>
        <v>0</v>
      </c>
      <c r="M3424" s="3"/>
      <c r="N3424" s="3">
        <f t="shared" si="149"/>
        <v>0</v>
      </c>
      <c r="R3424" s="89"/>
      <c r="S3424" s="89">
        <f>100%-Table34[[#This Row],[PDF_initial fee]]</f>
        <v>1</v>
      </c>
      <c r="T3424" s="89"/>
      <c r="U3424" s="26"/>
    </row>
    <row r="3425" spans="1:27" hidden="1" x14ac:dyDescent="0.25">
      <c r="A3425">
        <v>617926</v>
      </c>
      <c r="B3425" t="s">
        <v>3791</v>
      </c>
      <c r="C3425" t="s">
        <v>7065</v>
      </c>
      <c r="D3425">
        <v>1</v>
      </c>
      <c r="E3425" t="s">
        <v>3791</v>
      </c>
      <c r="G3425" s="3"/>
      <c r="H3425" s="21">
        <v>0</v>
      </c>
      <c r="I3425" s="21">
        <v>0</v>
      </c>
      <c r="J3425" s="21">
        <v>0</v>
      </c>
      <c r="K3425" s="21">
        <v>0</v>
      </c>
      <c r="L3425" s="3">
        <f t="shared" si="148"/>
        <v>0</v>
      </c>
      <c r="M3425" s="3"/>
      <c r="N3425" s="3">
        <f t="shared" si="149"/>
        <v>0</v>
      </c>
      <c r="R3425" s="89"/>
      <c r="S3425" s="89">
        <f>100%-Table34[[#This Row],[PDF_initial fee]]</f>
        <v>1</v>
      </c>
      <c r="T3425" s="89"/>
      <c r="U3425" s="26"/>
    </row>
    <row r="3426" spans="1:27" hidden="1" x14ac:dyDescent="0.25">
      <c r="A3426">
        <v>617941</v>
      </c>
      <c r="B3426" t="s">
        <v>3792</v>
      </c>
      <c r="C3426" t="s">
        <v>11774</v>
      </c>
      <c r="D3426">
        <v>5</v>
      </c>
      <c r="E3426" t="s">
        <v>3792</v>
      </c>
      <c r="G3426" s="3"/>
      <c r="H3426" s="21">
        <v>0</v>
      </c>
      <c r="I3426" s="21">
        <v>0</v>
      </c>
      <c r="J3426" s="21">
        <v>0</v>
      </c>
      <c r="K3426" s="21">
        <v>0</v>
      </c>
      <c r="L3426" s="3">
        <f t="shared" ref="L3426:L3489" si="150">SUM(H3426:K3426)</f>
        <v>0</v>
      </c>
      <c r="M3426" s="3"/>
      <c r="N3426" s="3">
        <f t="shared" ref="N3426:N3489" si="151">L3426+G3426</f>
        <v>0</v>
      </c>
      <c r="R3426" s="89"/>
      <c r="S3426" s="89">
        <f>100%-Table34[[#This Row],[PDF_initial fee]]</f>
        <v>1</v>
      </c>
      <c r="T3426" s="89"/>
      <c r="U3426" s="26"/>
    </row>
    <row r="3427" spans="1:27" hidden="1" x14ac:dyDescent="0.25">
      <c r="A3427">
        <v>618025</v>
      </c>
      <c r="B3427" t="s">
        <v>3793</v>
      </c>
      <c r="C3427" t="s">
        <v>10222</v>
      </c>
      <c r="D3427">
        <v>110</v>
      </c>
      <c r="E3427" t="s">
        <v>3793</v>
      </c>
      <c r="F3427" t="s">
        <v>3</v>
      </c>
      <c r="G3427" s="3"/>
      <c r="H3427" s="21">
        <v>0</v>
      </c>
      <c r="I3427" s="21">
        <v>0</v>
      </c>
      <c r="J3427" s="21">
        <v>0</v>
      </c>
      <c r="K3427" s="21">
        <v>0</v>
      </c>
      <c r="L3427" s="3">
        <f t="shared" si="150"/>
        <v>0</v>
      </c>
      <c r="M3427" s="3"/>
      <c r="N3427" s="3">
        <f t="shared" si="151"/>
        <v>0</v>
      </c>
      <c r="O3427" t="s">
        <v>30671</v>
      </c>
      <c r="R3427" s="89"/>
      <c r="S3427" s="89">
        <f>100%-Table34[[#This Row],[PDF_initial fee]]</f>
        <v>1</v>
      </c>
      <c r="T3427" s="89"/>
      <c r="U3427" s="26"/>
    </row>
    <row r="3428" spans="1:27" hidden="1" x14ac:dyDescent="0.25">
      <c r="A3428">
        <v>618158</v>
      </c>
      <c r="B3428" t="s">
        <v>3794</v>
      </c>
      <c r="C3428" t="s">
        <v>6958</v>
      </c>
      <c r="D3428">
        <v>1</v>
      </c>
      <c r="E3428" t="s">
        <v>3794</v>
      </c>
      <c r="F3428" t="s">
        <v>6958</v>
      </c>
      <c r="G3428" s="3"/>
      <c r="H3428" s="21">
        <v>0</v>
      </c>
      <c r="I3428" s="21">
        <v>0</v>
      </c>
      <c r="J3428" s="21">
        <v>0</v>
      </c>
      <c r="K3428" s="21">
        <v>0</v>
      </c>
      <c r="L3428" s="3">
        <f t="shared" si="150"/>
        <v>0</v>
      </c>
      <c r="M3428" s="3"/>
      <c r="N3428" s="3">
        <f t="shared" si="151"/>
        <v>0</v>
      </c>
      <c r="R3428" s="89"/>
      <c r="S3428" s="89">
        <f>100%-Table34[[#This Row],[PDF_initial fee]]</f>
        <v>1</v>
      </c>
      <c r="T3428" s="89"/>
      <c r="U3428" s="26"/>
    </row>
    <row r="3429" spans="1:27" hidden="1" x14ac:dyDescent="0.25">
      <c r="A3429">
        <v>618162</v>
      </c>
      <c r="B3429" t="s">
        <v>3795</v>
      </c>
      <c r="C3429" t="s">
        <v>6958</v>
      </c>
      <c r="D3429">
        <v>1</v>
      </c>
      <c r="E3429" t="s">
        <v>3795</v>
      </c>
      <c r="F3429" t="s">
        <v>6958</v>
      </c>
      <c r="G3429" s="3"/>
      <c r="H3429" s="21">
        <v>0</v>
      </c>
      <c r="I3429" s="21">
        <v>0</v>
      </c>
      <c r="J3429" s="21">
        <v>0</v>
      </c>
      <c r="K3429" s="21">
        <v>0</v>
      </c>
      <c r="L3429" s="3">
        <f t="shared" si="150"/>
        <v>0</v>
      </c>
      <c r="M3429" s="3"/>
      <c r="N3429" s="3">
        <f t="shared" si="151"/>
        <v>0</v>
      </c>
      <c r="R3429" s="89"/>
      <c r="S3429" s="89">
        <f>100%-Table34[[#This Row],[PDF_initial fee]]</f>
        <v>1</v>
      </c>
      <c r="T3429" s="89"/>
      <c r="U3429" s="26"/>
    </row>
    <row r="3430" spans="1:27" hidden="1" x14ac:dyDescent="0.25">
      <c r="A3430">
        <v>618176</v>
      </c>
      <c r="B3430" t="s">
        <v>3796</v>
      </c>
      <c r="C3430" t="s">
        <v>30672</v>
      </c>
      <c r="D3430">
        <v>2</v>
      </c>
      <c r="E3430" t="s">
        <v>3796</v>
      </c>
      <c r="G3430" s="3"/>
      <c r="H3430" s="3">
        <v>0</v>
      </c>
      <c r="I3430" s="3">
        <v>0</v>
      </c>
      <c r="J3430" s="3">
        <v>0</v>
      </c>
      <c r="K3430" s="3">
        <v>0</v>
      </c>
      <c r="L3430" s="3">
        <f t="shared" si="150"/>
        <v>0</v>
      </c>
      <c r="M3430" s="3"/>
      <c r="N3430" s="3">
        <f t="shared" si="151"/>
        <v>0</v>
      </c>
      <c r="R3430" s="89"/>
      <c r="S3430" s="89">
        <f>100%-Table34[[#This Row],[PDF_initial fee]]</f>
        <v>1</v>
      </c>
      <c r="T3430" s="89"/>
      <c r="U3430" s="26"/>
    </row>
    <row r="3431" spans="1:27" hidden="1" x14ac:dyDescent="0.25">
      <c r="A3431">
        <v>618199</v>
      </c>
      <c r="B3431" t="s">
        <v>3797</v>
      </c>
      <c r="C3431" t="s">
        <v>7717</v>
      </c>
      <c r="D3431">
        <v>4</v>
      </c>
      <c r="E3431" t="s">
        <v>3797</v>
      </c>
      <c r="G3431" s="3"/>
      <c r="H3431" s="21">
        <v>0</v>
      </c>
      <c r="I3431" s="21">
        <v>0</v>
      </c>
      <c r="J3431" s="21">
        <v>0</v>
      </c>
      <c r="K3431" s="21">
        <v>0</v>
      </c>
      <c r="L3431" s="3">
        <f t="shared" si="150"/>
        <v>0</v>
      </c>
      <c r="M3431" s="3"/>
      <c r="N3431" s="3">
        <f t="shared" si="151"/>
        <v>0</v>
      </c>
      <c r="R3431" s="89"/>
      <c r="S3431" s="89">
        <f>100%-Table34[[#This Row],[PDF_initial fee]]</f>
        <v>1</v>
      </c>
      <c r="T3431" s="89"/>
      <c r="U3431" s="26"/>
    </row>
    <row r="3432" spans="1:27" hidden="1" x14ac:dyDescent="0.25">
      <c r="A3432">
        <v>618207</v>
      </c>
      <c r="B3432" t="s">
        <v>3798</v>
      </c>
      <c r="C3432" t="s">
        <v>9231</v>
      </c>
      <c r="D3432">
        <v>1</v>
      </c>
      <c r="E3432" t="s">
        <v>3798</v>
      </c>
      <c r="G3432" s="3"/>
      <c r="H3432" s="21">
        <v>0</v>
      </c>
      <c r="I3432" s="21">
        <v>0</v>
      </c>
      <c r="J3432" s="21">
        <v>0</v>
      </c>
      <c r="K3432" s="21">
        <v>0</v>
      </c>
      <c r="L3432" s="3">
        <f t="shared" si="150"/>
        <v>0</v>
      </c>
      <c r="M3432" s="3"/>
      <c r="N3432" s="3">
        <f t="shared" si="151"/>
        <v>0</v>
      </c>
      <c r="O3432" s="21"/>
      <c r="R3432" s="89"/>
      <c r="S3432" s="89">
        <f>100%-Table34[[#This Row],[PDF_initial fee]]</f>
        <v>1</v>
      </c>
      <c r="T3432" s="89"/>
      <c r="U3432" s="26"/>
    </row>
    <row r="3433" spans="1:27" hidden="1" x14ac:dyDescent="0.25">
      <c r="A3433">
        <v>618208</v>
      </c>
      <c r="B3433" t="s">
        <v>3799</v>
      </c>
      <c r="C3433" t="s">
        <v>6958</v>
      </c>
      <c r="D3433">
        <v>1</v>
      </c>
      <c r="E3433" t="s">
        <v>3799</v>
      </c>
      <c r="F3433" t="s">
        <v>6958</v>
      </c>
      <c r="G3433" s="3"/>
      <c r="H3433" s="21">
        <v>0</v>
      </c>
      <c r="I3433" s="21">
        <v>0</v>
      </c>
      <c r="J3433" s="21">
        <v>0</v>
      </c>
      <c r="K3433" s="21">
        <v>0</v>
      </c>
      <c r="L3433" s="3">
        <f t="shared" si="150"/>
        <v>0</v>
      </c>
      <c r="M3433" s="3"/>
      <c r="N3433" s="3">
        <f t="shared" si="151"/>
        <v>0</v>
      </c>
      <c r="R3433" s="89"/>
      <c r="S3433" s="89">
        <f>100%-Table34[[#This Row],[PDF_initial fee]]</f>
        <v>1</v>
      </c>
      <c r="T3433" s="89"/>
      <c r="U3433" s="26"/>
    </row>
    <row r="3434" spans="1:27" hidden="1" x14ac:dyDescent="0.25">
      <c r="A3434">
        <v>618258</v>
      </c>
      <c r="B3434" t="s">
        <v>3800</v>
      </c>
      <c r="C3434" t="s">
        <v>6958</v>
      </c>
      <c r="D3434">
        <v>12</v>
      </c>
      <c r="E3434" t="s">
        <v>3800</v>
      </c>
      <c r="F3434" t="s">
        <v>6958</v>
      </c>
      <c r="G3434" s="3"/>
      <c r="H3434" s="21">
        <v>0</v>
      </c>
      <c r="I3434" s="21">
        <v>0</v>
      </c>
      <c r="J3434" s="21">
        <v>0</v>
      </c>
      <c r="K3434" s="21">
        <v>0</v>
      </c>
      <c r="L3434" s="3">
        <f t="shared" si="150"/>
        <v>0</v>
      </c>
      <c r="M3434" s="3"/>
      <c r="N3434" s="3">
        <f t="shared" si="151"/>
        <v>0</v>
      </c>
      <c r="O3434" s="21"/>
      <c r="R3434" s="89"/>
      <c r="S3434" s="89">
        <f>100%-Table34[[#This Row],[PDF_initial fee]]</f>
        <v>1</v>
      </c>
      <c r="T3434" s="89"/>
      <c r="U3434" s="26"/>
    </row>
    <row r="3435" spans="1:27" hidden="1" x14ac:dyDescent="0.25">
      <c r="A3435">
        <v>618265</v>
      </c>
      <c r="B3435" t="s">
        <v>3801</v>
      </c>
      <c r="C3435" t="s">
        <v>6958</v>
      </c>
      <c r="D3435">
        <v>1</v>
      </c>
      <c r="E3435" t="s">
        <v>3801</v>
      </c>
      <c r="F3435" t="s">
        <v>6958</v>
      </c>
      <c r="G3435" s="3"/>
      <c r="L3435" s="3">
        <f t="shared" si="150"/>
        <v>0</v>
      </c>
      <c r="M3435" s="3"/>
      <c r="N3435" s="3">
        <f t="shared" si="151"/>
        <v>0</v>
      </c>
      <c r="R3435" s="89"/>
      <c r="S3435" s="89">
        <f>100%-Table34[[#This Row],[PDF_initial fee]]</f>
        <v>1</v>
      </c>
      <c r="T3435" s="89"/>
      <c r="U3435" s="26"/>
    </row>
    <row r="3436" spans="1:27" x14ac:dyDescent="0.25">
      <c r="A3436">
        <v>764713</v>
      </c>
      <c r="B3436" t="s">
        <v>285</v>
      </c>
      <c r="C3436" s="1" t="s">
        <v>10086</v>
      </c>
      <c r="D3436">
        <v>1</v>
      </c>
      <c r="E3436" t="s">
        <v>285</v>
      </c>
      <c r="F3436" t="s">
        <v>3</v>
      </c>
      <c r="G3436" s="3">
        <v>1.4E-3</v>
      </c>
      <c r="H3436" s="3">
        <v>2.5000000000000001E-2</v>
      </c>
      <c r="I3436" s="3">
        <v>5.0000000000000001E-3</v>
      </c>
      <c r="J3436" s="6"/>
      <c r="K3436" s="6"/>
      <c r="L3436" s="3">
        <f t="shared" si="150"/>
        <v>3.0000000000000002E-2</v>
      </c>
      <c r="M3436" s="3"/>
      <c r="N3436" s="3">
        <f t="shared" si="151"/>
        <v>3.1400000000000004E-2</v>
      </c>
      <c r="P3436" s="31" t="s">
        <v>30673</v>
      </c>
      <c r="Q3436" t="s">
        <v>31787</v>
      </c>
      <c r="R3436" s="89">
        <v>0.33333333333333348</v>
      </c>
      <c r="S3436" s="89">
        <f>100%-Table34[[#This Row],[InitialFee]]</f>
        <v>0.97499999999999998</v>
      </c>
      <c r="T3436" s="89">
        <f>(1-Table34[[#This Row],[OngoingFee (plus Platform fee)]])^5</f>
        <v>0.97524875312187509</v>
      </c>
      <c r="U3436" s="26">
        <f>(1+Table34[[#This Row],[Net 5yrs return (mostly up to 28th of Feb 2026)]])*Table34[[#This Row],[Investment after initial charge]]*Table34[[#This Row],[Cummulative 5yrs ongoing advice charge]]-1</f>
        <v>0.26782337905843767</v>
      </c>
      <c r="V3436" s="10">
        <f>58253+11982</f>
        <v>70235</v>
      </c>
      <c r="W3436" t="s">
        <v>29051</v>
      </c>
      <c r="X3436" s="9">
        <v>57697</v>
      </c>
      <c r="Y3436" s="30">
        <f>X3436/V3436</f>
        <v>0.82148501459386347</v>
      </c>
      <c r="AA3436" s="1" t="s">
        <v>30674</v>
      </c>
    </row>
    <row r="3437" spans="1:27" hidden="1" x14ac:dyDescent="0.25">
      <c r="A3437">
        <v>618281</v>
      </c>
      <c r="B3437" t="s">
        <v>3802</v>
      </c>
      <c r="C3437" t="s">
        <v>30675</v>
      </c>
      <c r="D3437">
        <v>0</v>
      </c>
      <c r="E3437" t="s">
        <v>3802</v>
      </c>
      <c r="F3437" t="s">
        <v>29136</v>
      </c>
      <c r="G3437" s="3"/>
      <c r="H3437" s="21">
        <v>0</v>
      </c>
      <c r="I3437" s="21">
        <v>0</v>
      </c>
      <c r="J3437" s="21">
        <v>0</v>
      </c>
      <c r="K3437" s="21">
        <v>0</v>
      </c>
      <c r="L3437" s="3">
        <f t="shared" si="150"/>
        <v>0</v>
      </c>
      <c r="M3437" s="3"/>
      <c r="N3437" s="3">
        <f t="shared" si="151"/>
        <v>0</v>
      </c>
      <c r="O3437" s="21"/>
      <c r="R3437" s="89"/>
      <c r="S3437" s="89">
        <f>100%-Table34[[#This Row],[PDF_initial fee]]</f>
        <v>1</v>
      </c>
      <c r="T3437" s="89"/>
      <c r="U3437" s="26"/>
    </row>
    <row r="3438" spans="1:27" hidden="1" x14ac:dyDescent="0.25">
      <c r="A3438">
        <v>618460</v>
      </c>
      <c r="B3438" t="s">
        <v>3804</v>
      </c>
      <c r="C3438" t="s">
        <v>12278</v>
      </c>
      <c r="D3438">
        <v>2</v>
      </c>
      <c r="E3438" t="s">
        <v>3804</v>
      </c>
      <c r="G3438" s="3"/>
      <c r="H3438" s="3">
        <v>0</v>
      </c>
      <c r="I3438" s="3">
        <v>0</v>
      </c>
      <c r="J3438" s="3">
        <v>0</v>
      </c>
      <c r="K3438" s="3">
        <v>0</v>
      </c>
      <c r="L3438" s="3">
        <f t="shared" si="150"/>
        <v>0</v>
      </c>
      <c r="M3438" s="3"/>
      <c r="N3438" s="3">
        <f t="shared" si="151"/>
        <v>0</v>
      </c>
      <c r="R3438" s="89"/>
      <c r="S3438" s="89">
        <f>100%-Table34[[#This Row],[PDF_initial fee]]</f>
        <v>1</v>
      </c>
      <c r="T3438" s="89"/>
      <c r="U3438" s="26"/>
    </row>
    <row r="3439" spans="1:27" hidden="1" x14ac:dyDescent="0.25">
      <c r="A3439">
        <v>618478</v>
      </c>
      <c r="B3439" t="s">
        <v>3805</v>
      </c>
      <c r="C3439" t="s">
        <v>9184</v>
      </c>
      <c r="D3439">
        <v>1</v>
      </c>
      <c r="E3439" t="s">
        <v>3805</v>
      </c>
      <c r="G3439" s="3"/>
      <c r="H3439" s="21">
        <v>0</v>
      </c>
      <c r="I3439" s="21">
        <v>0</v>
      </c>
      <c r="J3439" s="21">
        <v>0</v>
      </c>
      <c r="K3439" s="21">
        <v>0</v>
      </c>
      <c r="L3439" s="3">
        <f t="shared" si="150"/>
        <v>0</v>
      </c>
      <c r="M3439" s="3"/>
      <c r="N3439" s="3">
        <f t="shared" si="151"/>
        <v>0</v>
      </c>
      <c r="R3439" s="89"/>
      <c r="S3439" s="89">
        <f>100%-Table34[[#This Row],[PDF_initial fee]]</f>
        <v>1</v>
      </c>
      <c r="T3439" s="89"/>
      <c r="U3439" s="26"/>
    </row>
    <row r="3440" spans="1:27" hidden="1" x14ac:dyDescent="0.25">
      <c r="A3440">
        <v>618509</v>
      </c>
      <c r="B3440" t="s">
        <v>3806</v>
      </c>
      <c r="C3440" t="s">
        <v>6958</v>
      </c>
      <c r="D3440">
        <v>1</v>
      </c>
      <c r="E3440" t="s">
        <v>3806</v>
      </c>
      <c r="F3440" t="s">
        <v>6958</v>
      </c>
      <c r="G3440" s="3"/>
      <c r="H3440" s="21">
        <v>0</v>
      </c>
      <c r="I3440" s="21">
        <v>0</v>
      </c>
      <c r="J3440" s="21">
        <v>0</v>
      </c>
      <c r="K3440" s="21">
        <v>0</v>
      </c>
      <c r="L3440" s="3">
        <f t="shared" si="150"/>
        <v>0</v>
      </c>
      <c r="M3440" s="3"/>
      <c r="N3440" s="3">
        <f t="shared" si="151"/>
        <v>0</v>
      </c>
      <c r="R3440" s="89"/>
      <c r="S3440" s="89">
        <f>100%-Table34[[#This Row],[PDF_initial fee]]</f>
        <v>1</v>
      </c>
      <c r="T3440" s="89"/>
      <c r="U3440" s="26"/>
    </row>
    <row r="3441" spans="1:21" hidden="1" x14ac:dyDescent="0.25">
      <c r="A3441">
        <v>618523</v>
      </c>
      <c r="B3441" t="s">
        <v>3807</v>
      </c>
      <c r="C3441" t="s">
        <v>12387</v>
      </c>
      <c r="D3441">
        <v>2</v>
      </c>
      <c r="E3441" t="s">
        <v>3807</v>
      </c>
      <c r="G3441" s="3"/>
      <c r="H3441" s="3">
        <v>0</v>
      </c>
      <c r="I3441" s="3">
        <v>0</v>
      </c>
      <c r="J3441" s="3">
        <v>0</v>
      </c>
      <c r="K3441" s="3">
        <v>0</v>
      </c>
      <c r="L3441" s="3">
        <f t="shared" si="150"/>
        <v>0</v>
      </c>
      <c r="M3441" s="3"/>
      <c r="N3441" s="3">
        <f t="shared" si="151"/>
        <v>0</v>
      </c>
      <c r="R3441" s="89"/>
      <c r="S3441" s="89">
        <f>100%-Table34[[#This Row],[PDF_initial fee]]</f>
        <v>1</v>
      </c>
      <c r="T3441" s="89"/>
      <c r="U3441" s="26"/>
    </row>
    <row r="3442" spans="1:21" hidden="1" x14ac:dyDescent="0.25">
      <c r="A3442">
        <v>619767</v>
      </c>
      <c r="B3442" t="s">
        <v>3808</v>
      </c>
      <c r="C3442" t="s">
        <v>30676</v>
      </c>
      <c r="D3442">
        <v>2</v>
      </c>
      <c r="E3442" t="s">
        <v>3808</v>
      </c>
      <c r="G3442" s="3"/>
      <c r="H3442" s="3">
        <v>0</v>
      </c>
      <c r="I3442" s="3">
        <v>0</v>
      </c>
      <c r="J3442" s="3">
        <v>0</v>
      </c>
      <c r="K3442" s="3">
        <v>0</v>
      </c>
      <c r="L3442" s="3">
        <f t="shared" si="150"/>
        <v>0</v>
      </c>
      <c r="M3442" s="3"/>
      <c r="N3442" s="3">
        <f t="shared" si="151"/>
        <v>0</v>
      </c>
      <c r="R3442" s="89"/>
      <c r="S3442" s="89">
        <f>100%-Table34[[#This Row],[PDF_initial fee]]</f>
        <v>1</v>
      </c>
      <c r="T3442" s="89"/>
      <c r="U3442" s="26"/>
    </row>
    <row r="3443" spans="1:21" hidden="1" x14ac:dyDescent="0.25">
      <c r="A3443">
        <v>620075</v>
      </c>
      <c r="B3443" t="s">
        <v>3809</v>
      </c>
      <c r="C3443" t="s">
        <v>8811</v>
      </c>
      <c r="D3443">
        <v>1</v>
      </c>
      <c r="E3443" t="s">
        <v>3809</v>
      </c>
      <c r="G3443" s="3"/>
      <c r="L3443" s="3">
        <f t="shared" si="150"/>
        <v>0</v>
      </c>
      <c r="M3443" s="3"/>
      <c r="N3443" s="3">
        <f t="shared" si="151"/>
        <v>0</v>
      </c>
      <c r="R3443" s="89"/>
      <c r="S3443" s="89">
        <f>100%-Table34[[#This Row],[PDF_initial fee]]</f>
        <v>1</v>
      </c>
      <c r="T3443" s="89"/>
      <c r="U3443" s="26"/>
    </row>
    <row r="3444" spans="1:21" hidden="1" x14ac:dyDescent="0.25">
      <c r="A3444">
        <v>620330</v>
      </c>
      <c r="B3444" t="s">
        <v>3810</v>
      </c>
      <c r="C3444" t="s">
        <v>9679</v>
      </c>
      <c r="D3444">
        <v>3</v>
      </c>
      <c r="E3444" t="s">
        <v>3810</v>
      </c>
      <c r="G3444" s="3"/>
      <c r="H3444" s="3">
        <v>0</v>
      </c>
      <c r="I3444" s="3">
        <v>0</v>
      </c>
      <c r="J3444" s="3">
        <v>0</v>
      </c>
      <c r="K3444" s="3">
        <v>0</v>
      </c>
      <c r="L3444" s="3">
        <f t="shared" si="150"/>
        <v>0</v>
      </c>
      <c r="M3444" s="3"/>
      <c r="N3444" s="3">
        <f t="shared" si="151"/>
        <v>0</v>
      </c>
      <c r="R3444" s="89"/>
      <c r="S3444" s="89">
        <f>100%-Table34[[#This Row],[PDF_initial fee]]</f>
        <v>1</v>
      </c>
      <c r="T3444" s="89"/>
      <c r="U3444" s="26"/>
    </row>
    <row r="3445" spans="1:21" hidden="1" x14ac:dyDescent="0.25">
      <c r="A3445">
        <v>620434</v>
      </c>
      <c r="B3445" t="s">
        <v>3811</v>
      </c>
      <c r="C3445" t="s">
        <v>6958</v>
      </c>
      <c r="D3445">
        <v>1</v>
      </c>
      <c r="E3445" t="s">
        <v>3811</v>
      </c>
      <c r="F3445" t="s">
        <v>6958</v>
      </c>
      <c r="G3445" s="3"/>
      <c r="H3445" s="21">
        <v>0</v>
      </c>
      <c r="I3445" s="21">
        <v>0</v>
      </c>
      <c r="J3445" s="21">
        <v>0</v>
      </c>
      <c r="K3445" s="21">
        <v>0</v>
      </c>
      <c r="L3445" s="3">
        <f t="shared" si="150"/>
        <v>0</v>
      </c>
      <c r="M3445" s="3"/>
      <c r="N3445" s="3">
        <f t="shared" si="151"/>
        <v>0</v>
      </c>
      <c r="R3445" s="89"/>
      <c r="S3445" s="89">
        <f>100%-Table34[[#This Row],[PDF_initial fee]]</f>
        <v>1</v>
      </c>
      <c r="T3445" s="89"/>
      <c r="U3445" s="26"/>
    </row>
    <row r="3446" spans="1:21" hidden="1" x14ac:dyDescent="0.25">
      <c r="A3446">
        <v>621420</v>
      </c>
      <c r="B3446" t="s">
        <v>3812</v>
      </c>
      <c r="C3446" t="s">
        <v>11580</v>
      </c>
      <c r="D3446">
        <v>2</v>
      </c>
      <c r="E3446" t="s">
        <v>3812</v>
      </c>
      <c r="G3446" s="3"/>
      <c r="H3446" s="3">
        <v>0</v>
      </c>
      <c r="I3446" s="3">
        <v>0</v>
      </c>
      <c r="J3446" s="3">
        <v>0</v>
      </c>
      <c r="K3446" s="3">
        <v>0</v>
      </c>
      <c r="L3446" s="3">
        <f t="shared" si="150"/>
        <v>0</v>
      </c>
      <c r="M3446" s="3"/>
      <c r="N3446" s="3">
        <f t="shared" si="151"/>
        <v>0</v>
      </c>
      <c r="R3446" s="89"/>
      <c r="S3446" s="89">
        <f>100%-Table34[[#This Row],[PDF_initial fee]]</f>
        <v>1</v>
      </c>
      <c r="T3446" s="89"/>
      <c r="U3446" s="26"/>
    </row>
    <row r="3447" spans="1:21" hidden="1" x14ac:dyDescent="0.25">
      <c r="A3447">
        <v>621423</v>
      </c>
      <c r="B3447" t="s">
        <v>3813</v>
      </c>
      <c r="C3447" t="s">
        <v>6958</v>
      </c>
      <c r="D3447">
        <v>2</v>
      </c>
      <c r="E3447" t="s">
        <v>3813</v>
      </c>
      <c r="F3447" t="s">
        <v>6958</v>
      </c>
      <c r="G3447" s="3"/>
      <c r="H3447" s="21">
        <v>0</v>
      </c>
      <c r="I3447" s="21">
        <v>0</v>
      </c>
      <c r="J3447" s="21">
        <v>0</v>
      </c>
      <c r="K3447" s="21">
        <v>0</v>
      </c>
      <c r="L3447" s="3">
        <f t="shared" si="150"/>
        <v>0</v>
      </c>
      <c r="M3447" s="3"/>
      <c r="N3447" s="3">
        <f t="shared" si="151"/>
        <v>0</v>
      </c>
      <c r="O3447" s="21"/>
      <c r="R3447" s="89"/>
      <c r="S3447" s="89">
        <f>100%-Table34[[#This Row],[PDF_initial fee]]</f>
        <v>1</v>
      </c>
      <c r="T3447" s="89"/>
      <c r="U3447" s="26"/>
    </row>
    <row r="3448" spans="1:21" hidden="1" x14ac:dyDescent="0.25">
      <c r="A3448">
        <v>621436</v>
      </c>
      <c r="B3448" t="s">
        <v>3814</v>
      </c>
      <c r="C3448" t="s">
        <v>10458</v>
      </c>
      <c r="D3448">
        <v>1</v>
      </c>
      <c r="E3448" t="s">
        <v>3814</v>
      </c>
      <c r="G3448" s="3"/>
      <c r="H3448" s="3">
        <v>0</v>
      </c>
      <c r="I3448" s="3">
        <v>0</v>
      </c>
      <c r="J3448" s="3">
        <v>0</v>
      </c>
      <c r="K3448" s="3">
        <v>0</v>
      </c>
      <c r="L3448" s="3">
        <f t="shared" si="150"/>
        <v>0</v>
      </c>
      <c r="M3448" s="3"/>
      <c r="N3448" s="3">
        <f t="shared" si="151"/>
        <v>0</v>
      </c>
      <c r="R3448" s="89"/>
      <c r="S3448" s="89">
        <f>100%-Table34[[#This Row],[PDF_initial fee]]</f>
        <v>1</v>
      </c>
      <c r="T3448" s="89"/>
      <c r="U3448" s="26"/>
    </row>
    <row r="3449" spans="1:21" hidden="1" x14ac:dyDescent="0.25">
      <c r="A3449">
        <v>621596</v>
      </c>
      <c r="B3449" t="s">
        <v>3815</v>
      </c>
      <c r="C3449" t="s">
        <v>30677</v>
      </c>
      <c r="D3449">
        <v>5</v>
      </c>
      <c r="E3449" t="s">
        <v>3815</v>
      </c>
      <c r="G3449" s="3"/>
      <c r="H3449" s="3">
        <v>0</v>
      </c>
      <c r="I3449" s="3">
        <v>0</v>
      </c>
      <c r="J3449" s="3">
        <v>0</v>
      </c>
      <c r="K3449" s="3">
        <v>0</v>
      </c>
      <c r="L3449" s="3">
        <f t="shared" si="150"/>
        <v>0</v>
      </c>
      <c r="M3449" s="3"/>
      <c r="N3449" s="3">
        <f t="shared" si="151"/>
        <v>0</v>
      </c>
      <c r="R3449" s="89"/>
      <c r="S3449" s="89">
        <f>100%-Table34[[#This Row],[PDF_initial fee]]</f>
        <v>1</v>
      </c>
      <c r="T3449" s="89"/>
      <c r="U3449" s="26"/>
    </row>
    <row r="3450" spans="1:21" hidden="1" x14ac:dyDescent="0.25">
      <c r="A3450">
        <v>621884</v>
      </c>
      <c r="B3450" t="s">
        <v>3816</v>
      </c>
      <c r="C3450" t="s">
        <v>6958</v>
      </c>
      <c r="D3450">
        <v>23</v>
      </c>
      <c r="E3450" t="s">
        <v>3816</v>
      </c>
      <c r="F3450" t="s">
        <v>6958</v>
      </c>
      <c r="G3450" s="3"/>
      <c r="H3450" s="21">
        <v>0</v>
      </c>
      <c r="I3450" s="21">
        <v>0</v>
      </c>
      <c r="J3450" s="21">
        <v>0</v>
      </c>
      <c r="K3450" s="21">
        <v>0</v>
      </c>
      <c r="L3450" s="3">
        <f t="shared" si="150"/>
        <v>0</v>
      </c>
      <c r="M3450" s="3"/>
      <c r="N3450" s="3">
        <f t="shared" si="151"/>
        <v>0</v>
      </c>
      <c r="R3450" s="89"/>
      <c r="S3450" s="89">
        <f>100%-Table34[[#This Row],[PDF_initial fee]]</f>
        <v>1</v>
      </c>
      <c r="T3450" s="89"/>
      <c r="U3450" s="26"/>
    </row>
    <row r="3451" spans="1:21" hidden="1" x14ac:dyDescent="0.25">
      <c r="A3451">
        <v>622200</v>
      </c>
      <c r="B3451" t="s">
        <v>3819</v>
      </c>
      <c r="C3451" t="s">
        <v>8304</v>
      </c>
      <c r="D3451">
        <v>3</v>
      </c>
      <c r="E3451" t="s">
        <v>3819</v>
      </c>
      <c r="G3451" s="3"/>
      <c r="H3451" s="21">
        <v>0</v>
      </c>
      <c r="I3451" s="21">
        <v>0</v>
      </c>
      <c r="J3451" s="21">
        <v>0</v>
      </c>
      <c r="K3451" s="21">
        <v>0</v>
      </c>
      <c r="L3451" s="3">
        <f t="shared" si="150"/>
        <v>0</v>
      </c>
      <c r="M3451" s="3"/>
      <c r="N3451" s="3">
        <f t="shared" si="151"/>
        <v>0</v>
      </c>
      <c r="R3451" s="89"/>
      <c r="S3451" s="89">
        <f>100%-Table34[[#This Row],[PDF_initial fee]]</f>
        <v>1</v>
      </c>
      <c r="T3451" s="89"/>
      <c r="U3451" s="26"/>
    </row>
    <row r="3452" spans="1:21" hidden="1" x14ac:dyDescent="0.25">
      <c r="A3452">
        <v>622387</v>
      </c>
      <c r="B3452" t="s">
        <v>3820</v>
      </c>
      <c r="C3452" t="s">
        <v>30678</v>
      </c>
      <c r="D3452">
        <v>1</v>
      </c>
      <c r="E3452" t="s">
        <v>3820</v>
      </c>
      <c r="G3452" s="3"/>
      <c r="H3452" s="3">
        <v>0</v>
      </c>
      <c r="I3452" s="3">
        <v>0</v>
      </c>
      <c r="J3452" s="3">
        <v>0</v>
      </c>
      <c r="K3452" s="3">
        <v>0</v>
      </c>
      <c r="L3452" s="3">
        <f t="shared" si="150"/>
        <v>0</v>
      </c>
      <c r="M3452" s="3"/>
      <c r="N3452" s="3">
        <f t="shared" si="151"/>
        <v>0</v>
      </c>
      <c r="R3452" s="89"/>
      <c r="S3452" s="89">
        <f>100%-Table34[[#This Row],[PDF_initial fee]]</f>
        <v>1</v>
      </c>
      <c r="T3452" s="89"/>
      <c r="U3452" s="26"/>
    </row>
    <row r="3453" spans="1:21" hidden="1" x14ac:dyDescent="0.25">
      <c r="A3453">
        <v>622407</v>
      </c>
      <c r="B3453" t="s">
        <v>3821</v>
      </c>
      <c r="C3453" t="s">
        <v>8292</v>
      </c>
      <c r="D3453">
        <v>1</v>
      </c>
      <c r="E3453" t="s">
        <v>3821</v>
      </c>
      <c r="G3453" s="3"/>
      <c r="H3453" s="21">
        <v>0</v>
      </c>
      <c r="I3453" s="21">
        <v>0</v>
      </c>
      <c r="J3453" s="21">
        <v>0</v>
      </c>
      <c r="K3453" s="21">
        <v>0</v>
      </c>
      <c r="L3453" s="3">
        <f t="shared" si="150"/>
        <v>0</v>
      </c>
      <c r="M3453" s="3"/>
      <c r="N3453" s="3">
        <f t="shared" si="151"/>
        <v>0</v>
      </c>
      <c r="R3453" s="89"/>
      <c r="S3453" s="89">
        <f>100%-Table34[[#This Row],[PDF_initial fee]]</f>
        <v>1</v>
      </c>
      <c r="T3453" s="89"/>
      <c r="U3453" s="26"/>
    </row>
    <row r="3454" spans="1:21" hidden="1" x14ac:dyDescent="0.25">
      <c r="A3454">
        <v>622446</v>
      </c>
      <c r="B3454" t="s">
        <v>3822</v>
      </c>
      <c r="C3454" t="s">
        <v>11020</v>
      </c>
      <c r="D3454">
        <v>2</v>
      </c>
      <c r="E3454" t="s">
        <v>3822</v>
      </c>
      <c r="G3454" s="3"/>
      <c r="H3454" s="3">
        <v>0</v>
      </c>
      <c r="I3454" s="3">
        <v>0</v>
      </c>
      <c r="J3454" s="3">
        <v>0</v>
      </c>
      <c r="K3454" s="3">
        <v>0</v>
      </c>
      <c r="L3454" s="3">
        <f t="shared" si="150"/>
        <v>0</v>
      </c>
      <c r="M3454" s="3"/>
      <c r="N3454" s="3">
        <f t="shared" si="151"/>
        <v>0</v>
      </c>
      <c r="R3454" s="89"/>
      <c r="S3454" s="89">
        <f>100%-Table34[[#This Row],[PDF_initial fee]]</f>
        <v>1</v>
      </c>
      <c r="T3454" s="89"/>
      <c r="U3454" s="26"/>
    </row>
    <row r="3455" spans="1:21" hidden="1" x14ac:dyDescent="0.25">
      <c r="A3455">
        <v>622476</v>
      </c>
      <c r="B3455" t="s">
        <v>3823</v>
      </c>
      <c r="C3455" t="s">
        <v>12347</v>
      </c>
      <c r="D3455">
        <v>1</v>
      </c>
      <c r="E3455" t="s">
        <v>3823</v>
      </c>
      <c r="G3455" s="3"/>
      <c r="H3455" s="3">
        <v>0</v>
      </c>
      <c r="I3455" s="3">
        <v>0</v>
      </c>
      <c r="J3455" s="3">
        <v>0</v>
      </c>
      <c r="K3455" s="3">
        <v>0</v>
      </c>
      <c r="L3455" s="3">
        <f t="shared" si="150"/>
        <v>0</v>
      </c>
      <c r="M3455" s="3"/>
      <c r="N3455" s="3">
        <f t="shared" si="151"/>
        <v>0</v>
      </c>
      <c r="R3455" s="89"/>
      <c r="S3455" s="89">
        <f>100%-Table34[[#This Row],[PDF_initial fee]]</f>
        <v>1</v>
      </c>
      <c r="T3455" s="89"/>
      <c r="U3455" s="26"/>
    </row>
    <row r="3456" spans="1:21" hidden="1" x14ac:dyDescent="0.25">
      <c r="A3456">
        <v>622534</v>
      </c>
      <c r="B3456" t="s">
        <v>3824</v>
      </c>
      <c r="C3456" t="s">
        <v>12083</v>
      </c>
      <c r="D3456">
        <v>1</v>
      </c>
      <c r="E3456" t="s">
        <v>3824</v>
      </c>
      <c r="G3456" s="3"/>
      <c r="H3456" s="3">
        <v>0</v>
      </c>
      <c r="I3456" s="3">
        <v>0</v>
      </c>
      <c r="J3456" s="3">
        <v>0</v>
      </c>
      <c r="K3456" s="3">
        <v>0</v>
      </c>
      <c r="L3456" s="3">
        <f t="shared" si="150"/>
        <v>0</v>
      </c>
      <c r="M3456" s="3"/>
      <c r="N3456" s="3">
        <f t="shared" si="151"/>
        <v>0</v>
      </c>
      <c r="R3456" s="89"/>
      <c r="S3456" s="89">
        <f>100%-Table34[[#This Row],[PDF_initial fee]]</f>
        <v>1</v>
      </c>
      <c r="T3456" s="89"/>
      <c r="U3456" s="26"/>
    </row>
    <row r="3457" spans="1:22" hidden="1" x14ac:dyDescent="0.25">
      <c r="A3457">
        <v>622569</v>
      </c>
      <c r="B3457" t="s">
        <v>3825</v>
      </c>
      <c r="C3457" t="s">
        <v>30679</v>
      </c>
      <c r="D3457">
        <v>0</v>
      </c>
      <c r="E3457" t="s">
        <v>3825</v>
      </c>
      <c r="F3457" t="s">
        <v>3</v>
      </c>
      <c r="G3457" s="3"/>
      <c r="H3457" s="21">
        <v>0</v>
      </c>
      <c r="I3457" s="21">
        <v>0</v>
      </c>
      <c r="J3457" s="21">
        <v>0</v>
      </c>
      <c r="K3457" s="21">
        <v>0</v>
      </c>
      <c r="L3457" s="3">
        <f t="shared" si="150"/>
        <v>0</v>
      </c>
      <c r="M3457" s="3"/>
      <c r="N3457" s="3">
        <f t="shared" si="151"/>
        <v>0</v>
      </c>
      <c r="O3457" s="21"/>
      <c r="R3457" s="89"/>
      <c r="S3457" s="89">
        <f>100%-Table34[[#This Row],[PDF_initial fee]]</f>
        <v>1</v>
      </c>
      <c r="T3457" s="89"/>
      <c r="U3457" s="26"/>
    </row>
    <row r="3458" spans="1:22" hidden="1" x14ac:dyDescent="0.25">
      <c r="A3458">
        <v>622662</v>
      </c>
      <c r="B3458" t="s">
        <v>3826</v>
      </c>
      <c r="C3458" t="s">
        <v>6958</v>
      </c>
      <c r="D3458">
        <v>1</v>
      </c>
      <c r="E3458" t="s">
        <v>3826</v>
      </c>
      <c r="F3458" t="s">
        <v>6958</v>
      </c>
      <c r="G3458" s="3"/>
      <c r="L3458" s="3">
        <f t="shared" si="150"/>
        <v>0</v>
      </c>
      <c r="M3458" s="3"/>
      <c r="N3458" s="3">
        <f t="shared" si="151"/>
        <v>0</v>
      </c>
      <c r="R3458" s="89"/>
      <c r="S3458" s="89">
        <f>100%-Table34[[#This Row],[PDF_initial fee]]</f>
        <v>1</v>
      </c>
      <c r="T3458" s="89"/>
      <c r="U3458" s="26"/>
    </row>
    <row r="3459" spans="1:22" hidden="1" x14ac:dyDescent="0.25">
      <c r="A3459">
        <v>622803</v>
      </c>
      <c r="B3459" t="s">
        <v>3827</v>
      </c>
      <c r="C3459" t="s">
        <v>9525</v>
      </c>
      <c r="D3459">
        <v>1</v>
      </c>
      <c r="E3459" t="s">
        <v>3827</v>
      </c>
      <c r="G3459" s="3"/>
      <c r="H3459" s="3">
        <v>0</v>
      </c>
      <c r="I3459" s="3">
        <v>0</v>
      </c>
      <c r="J3459" s="3">
        <v>0</v>
      </c>
      <c r="K3459" s="3">
        <v>0</v>
      </c>
      <c r="L3459" s="3">
        <f t="shared" si="150"/>
        <v>0</v>
      </c>
      <c r="M3459" s="3"/>
      <c r="N3459" s="3">
        <f t="shared" si="151"/>
        <v>0</v>
      </c>
      <c r="R3459" s="89"/>
      <c r="S3459" s="89">
        <f>100%-Table34[[#This Row],[PDF_initial fee]]</f>
        <v>1</v>
      </c>
      <c r="T3459" s="89"/>
      <c r="U3459" s="26"/>
    </row>
    <row r="3460" spans="1:22" hidden="1" x14ac:dyDescent="0.25">
      <c r="A3460">
        <v>623155</v>
      </c>
      <c r="B3460" t="s">
        <v>3828</v>
      </c>
      <c r="C3460" t="s">
        <v>9138</v>
      </c>
      <c r="D3460">
        <v>1</v>
      </c>
      <c r="E3460" t="s">
        <v>3828</v>
      </c>
      <c r="G3460" s="3"/>
      <c r="H3460" s="21">
        <v>0</v>
      </c>
      <c r="I3460" s="21">
        <v>0</v>
      </c>
      <c r="J3460" s="21">
        <v>0</v>
      </c>
      <c r="K3460" s="21">
        <v>0</v>
      </c>
      <c r="L3460" s="3">
        <f t="shared" si="150"/>
        <v>0</v>
      </c>
      <c r="M3460" s="3"/>
      <c r="N3460" s="3">
        <f t="shared" si="151"/>
        <v>0</v>
      </c>
      <c r="R3460" s="89"/>
      <c r="S3460" s="89">
        <f>100%-Table34[[#This Row],[PDF_initial fee]]</f>
        <v>1</v>
      </c>
      <c r="T3460" s="89"/>
      <c r="U3460" s="26"/>
    </row>
    <row r="3461" spans="1:22" hidden="1" x14ac:dyDescent="0.25">
      <c r="A3461">
        <v>623160</v>
      </c>
      <c r="B3461" t="s">
        <v>3829</v>
      </c>
      <c r="C3461" t="s">
        <v>6958</v>
      </c>
      <c r="D3461">
        <v>1</v>
      </c>
      <c r="E3461" t="s">
        <v>3829</v>
      </c>
      <c r="F3461" t="s">
        <v>6958</v>
      </c>
      <c r="G3461" s="3"/>
      <c r="H3461" s="21">
        <v>0</v>
      </c>
      <c r="I3461" s="21">
        <v>0</v>
      </c>
      <c r="J3461" s="21">
        <v>0</v>
      </c>
      <c r="K3461" s="21">
        <v>0</v>
      </c>
      <c r="L3461" s="3">
        <f t="shared" si="150"/>
        <v>0</v>
      </c>
      <c r="M3461" s="3"/>
      <c r="N3461" s="3">
        <f t="shared" si="151"/>
        <v>0</v>
      </c>
      <c r="R3461" s="89"/>
      <c r="S3461" s="89">
        <f>100%-Table34[[#This Row],[PDF_initial fee]]</f>
        <v>1</v>
      </c>
      <c r="T3461" s="89"/>
      <c r="U3461" s="26"/>
    </row>
    <row r="3462" spans="1:22" hidden="1" x14ac:dyDescent="0.25">
      <c r="A3462">
        <v>623190</v>
      </c>
      <c r="B3462" t="s">
        <v>3830</v>
      </c>
      <c r="C3462" t="s">
        <v>30680</v>
      </c>
      <c r="D3462">
        <v>2</v>
      </c>
      <c r="E3462" t="s">
        <v>3830</v>
      </c>
      <c r="G3462" s="3"/>
      <c r="H3462" s="21">
        <v>0</v>
      </c>
      <c r="I3462" s="21">
        <v>0</v>
      </c>
      <c r="J3462" s="21">
        <v>0</v>
      </c>
      <c r="K3462" s="21">
        <v>0</v>
      </c>
      <c r="L3462" s="3">
        <f t="shared" si="150"/>
        <v>0</v>
      </c>
      <c r="M3462" s="3"/>
      <c r="N3462" s="3">
        <f t="shared" si="151"/>
        <v>0</v>
      </c>
      <c r="R3462" s="89"/>
      <c r="S3462" s="89">
        <f>100%-Table34[[#This Row],[PDF_initial fee]]</f>
        <v>1</v>
      </c>
      <c r="T3462" s="89"/>
      <c r="U3462" s="26"/>
    </row>
    <row r="3463" spans="1:22" hidden="1" x14ac:dyDescent="0.25">
      <c r="A3463">
        <v>623680</v>
      </c>
      <c r="B3463" t="s">
        <v>3831</v>
      </c>
      <c r="C3463" t="s">
        <v>30681</v>
      </c>
      <c r="D3463">
        <v>2</v>
      </c>
      <c r="E3463" t="s">
        <v>3831</v>
      </c>
      <c r="G3463" s="3"/>
      <c r="H3463" s="21">
        <v>0</v>
      </c>
      <c r="I3463" s="21">
        <v>0</v>
      </c>
      <c r="J3463" s="21">
        <v>0</v>
      </c>
      <c r="K3463" s="21">
        <v>0</v>
      </c>
      <c r="L3463" s="3">
        <f t="shared" si="150"/>
        <v>0</v>
      </c>
      <c r="M3463" s="3"/>
      <c r="N3463" s="3">
        <f t="shared" si="151"/>
        <v>0</v>
      </c>
      <c r="R3463" s="89"/>
      <c r="S3463" s="89">
        <f>100%-Table34[[#This Row],[PDF_initial fee]]</f>
        <v>1</v>
      </c>
      <c r="T3463" s="89"/>
      <c r="U3463" s="26"/>
    </row>
    <row r="3464" spans="1:22" hidden="1" x14ac:dyDescent="0.25">
      <c r="A3464">
        <v>623682</v>
      </c>
      <c r="B3464" t="s">
        <v>3832</v>
      </c>
      <c r="C3464" t="s">
        <v>30682</v>
      </c>
      <c r="D3464">
        <v>0</v>
      </c>
      <c r="E3464" t="s">
        <v>3832</v>
      </c>
      <c r="F3464" t="s">
        <v>29136</v>
      </c>
      <c r="G3464" s="3"/>
      <c r="H3464" s="3">
        <v>0</v>
      </c>
      <c r="I3464" s="3">
        <v>0</v>
      </c>
      <c r="J3464" s="3">
        <v>0</v>
      </c>
      <c r="K3464" s="3">
        <v>0</v>
      </c>
      <c r="L3464" s="3">
        <f t="shared" si="150"/>
        <v>0</v>
      </c>
      <c r="M3464" s="3"/>
      <c r="N3464" s="3">
        <f t="shared" si="151"/>
        <v>0</v>
      </c>
      <c r="R3464" s="89"/>
      <c r="S3464" s="89">
        <f>100%-Table34[[#This Row],[PDF_initial fee]]</f>
        <v>1</v>
      </c>
      <c r="T3464" s="89"/>
      <c r="U3464" s="26"/>
    </row>
    <row r="3465" spans="1:22" hidden="1" x14ac:dyDescent="0.25">
      <c r="A3465">
        <v>623758</v>
      </c>
      <c r="B3465" t="s">
        <v>3834</v>
      </c>
      <c r="C3465" t="s">
        <v>30683</v>
      </c>
      <c r="D3465">
        <v>0</v>
      </c>
      <c r="E3465" t="s">
        <v>3834</v>
      </c>
      <c r="F3465" t="s">
        <v>29136</v>
      </c>
      <c r="G3465" s="3"/>
      <c r="H3465" s="21">
        <v>0</v>
      </c>
      <c r="I3465" s="21">
        <v>0</v>
      </c>
      <c r="J3465" s="21">
        <v>0</v>
      </c>
      <c r="K3465" s="21">
        <v>0</v>
      </c>
      <c r="L3465" s="3">
        <f t="shared" si="150"/>
        <v>0</v>
      </c>
      <c r="M3465" s="3"/>
      <c r="N3465" s="3">
        <f t="shared" si="151"/>
        <v>0</v>
      </c>
      <c r="O3465" s="21"/>
      <c r="R3465" s="89"/>
      <c r="S3465" s="89">
        <f>100%-Table34[[#This Row],[PDF_initial fee]]</f>
        <v>1</v>
      </c>
      <c r="T3465" s="89"/>
      <c r="U3465" s="26"/>
    </row>
    <row r="3466" spans="1:22" hidden="1" x14ac:dyDescent="0.25">
      <c r="A3466">
        <v>623847</v>
      </c>
      <c r="B3466" t="s">
        <v>3835</v>
      </c>
      <c r="C3466" t="s">
        <v>6958</v>
      </c>
      <c r="D3466">
        <v>1</v>
      </c>
      <c r="E3466" t="s">
        <v>3835</v>
      </c>
      <c r="F3466" t="s">
        <v>6958</v>
      </c>
      <c r="G3466" s="3"/>
      <c r="H3466" s="21">
        <v>0</v>
      </c>
      <c r="I3466" s="21">
        <v>0</v>
      </c>
      <c r="J3466" s="21">
        <v>0</v>
      </c>
      <c r="K3466" s="21">
        <v>0</v>
      </c>
      <c r="L3466" s="3">
        <f t="shared" si="150"/>
        <v>0</v>
      </c>
      <c r="M3466" s="3"/>
      <c r="N3466" s="3">
        <f t="shared" si="151"/>
        <v>0</v>
      </c>
      <c r="R3466" s="89"/>
      <c r="S3466" s="89">
        <f>100%-Table34[[#This Row],[PDF_initial fee]]</f>
        <v>1</v>
      </c>
      <c r="T3466" s="89"/>
      <c r="U3466" s="26"/>
    </row>
    <row r="3467" spans="1:22" hidden="1" x14ac:dyDescent="0.25">
      <c r="A3467">
        <v>623856</v>
      </c>
      <c r="B3467" t="s">
        <v>3836</v>
      </c>
      <c r="C3467" t="s">
        <v>30684</v>
      </c>
      <c r="D3467">
        <v>4</v>
      </c>
      <c r="E3467" t="s">
        <v>3836</v>
      </c>
      <c r="G3467" s="3"/>
      <c r="H3467" s="3">
        <v>0</v>
      </c>
      <c r="I3467" s="3">
        <v>0</v>
      </c>
      <c r="J3467" s="3">
        <v>0</v>
      </c>
      <c r="K3467" s="3">
        <v>0</v>
      </c>
      <c r="L3467" s="3">
        <f t="shared" si="150"/>
        <v>0</v>
      </c>
      <c r="M3467" s="3"/>
      <c r="N3467" s="3">
        <f t="shared" si="151"/>
        <v>0</v>
      </c>
      <c r="R3467" s="89"/>
      <c r="S3467" s="89">
        <f>100%-Table34[[#This Row],[PDF_initial fee]]</f>
        <v>1</v>
      </c>
      <c r="T3467" s="89"/>
      <c r="U3467" s="26"/>
    </row>
    <row r="3468" spans="1:22" hidden="1" x14ac:dyDescent="0.25">
      <c r="A3468">
        <v>623871</v>
      </c>
      <c r="B3468" t="s">
        <v>3837</v>
      </c>
      <c r="C3468" t="s">
        <v>8340</v>
      </c>
      <c r="D3468">
        <v>2</v>
      </c>
      <c r="E3468" t="s">
        <v>3837</v>
      </c>
      <c r="G3468" s="3"/>
      <c r="H3468" s="21">
        <v>0</v>
      </c>
      <c r="I3468" s="21">
        <v>0</v>
      </c>
      <c r="J3468" s="21">
        <v>0</v>
      </c>
      <c r="K3468" s="21">
        <v>0</v>
      </c>
      <c r="L3468" s="3">
        <f t="shared" si="150"/>
        <v>0</v>
      </c>
      <c r="M3468" s="3"/>
      <c r="N3468" s="3">
        <f t="shared" si="151"/>
        <v>0</v>
      </c>
      <c r="R3468" s="89"/>
      <c r="S3468" s="89">
        <f>100%-Table34[[#This Row],[PDF_initial fee]]</f>
        <v>1</v>
      </c>
      <c r="T3468" s="89"/>
      <c r="U3468" s="26"/>
    </row>
    <row r="3469" spans="1:22" hidden="1" x14ac:dyDescent="0.25">
      <c r="A3469">
        <v>623873</v>
      </c>
      <c r="B3469" t="s">
        <v>3838</v>
      </c>
      <c r="C3469" t="s">
        <v>12601</v>
      </c>
      <c r="D3469">
        <v>2</v>
      </c>
      <c r="E3469" t="s">
        <v>3838</v>
      </c>
      <c r="G3469" s="3"/>
      <c r="H3469" s="3">
        <v>0</v>
      </c>
      <c r="I3469" s="3">
        <v>0</v>
      </c>
      <c r="J3469" s="3">
        <v>0</v>
      </c>
      <c r="K3469" s="3">
        <v>0</v>
      </c>
      <c r="L3469" s="3">
        <f t="shared" si="150"/>
        <v>0</v>
      </c>
      <c r="M3469" s="3"/>
      <c r="N3469" s="3">
        <f t="shared" si="151"/>
        <v>0</v>
      </c>
      <c r="R3469" s="89"/>
      <c r="S3469" s="89">
        <f>100%-Table34[[#This Row],[PDF_initial fee]]</f>
        <v>1</v>
      </c>
      <c r="T3469" s="89"/>
      <c r="U3469" s="26"/>
    </row>
    <row r="3470" spans="1:22" hidden="1" x14ac:dyDescent="0.25">
      <c r="A3470">
        <v>623925</v>
      </c>
      <c r="B3470" t="s">
        <v>3840</v>
      </c>
      <c r="C3470" t="s">
        <v>7120</v>
      </c>
      <c r="D3470">
        <v>6</v>
      </c>
      <c r="E3470" t="s">
        <v>3840</v>
      </c>
      <c r="G3470" s="3"/>
      <c r="L3470" s="3">
        <f t="shared" si="150"/>
        <v>0</v>
      </c>
      <c r="M3470" s="3"/>
      <c r="N3470" s="3">
        <f t="shared" si="151"/>
        <v>0</v>
      </c>
      <c r="R3470" s="89"/>
      <c r="S3470" s="89">
        <f>100%-Table34[[#This Row],[PDF_initial fee]]</f>
        <v>1</v>
      </c>
      <c r="T3470" s="89"/>
      <c r="U3470" s="26"/>
    </row>
    <row r="3471" spans="1:22" hidden="1" x14ac:dyDescent="0.25">
      <c r="A3471" s="69">
        <v>623927</v>
      </c>
      <c r="B3471" s="69" t="s">
        <v>3841</v>
      </c>
      <c r="C3471" s="69" t="s">
        <v>30111</v>
      </c>
      <c r="D3471">
        <v>4</v>
      </c>
      <c r="E3471" t="s">
        <v>3841</v>
      </c>
      <c r="G3471" s="3"/>
      <c r="H3471" s="72">
        <v>0</v>
      </c>
      <c r="I3471" s="72">
        <v>0</v>
      </c>
      <c r="J3471" s="72">
        <v>0</v>
      </c>
      <c r="K3471" s="72">
        <v>0</v>
      </c>
      <c r="L3471" s="3">
        <f t="shared" si="150"/>
        <v>0</v>
      </c>
      <c r="M3471" s="3"/>
      <c r="N3471" s="3">
        <f t="shared" si="151"/>
        <v>0</v>
      </c>
      <c r="O3471" s="69"/>
      <c r="P3471" s="69"/>
      <c r="R3471" s="89"/>
      <c r="S3471" s="89">
        <f>100%-Table34[[#This Row],[PDF_initial fee]]</f>
        <v>1</v>
      </c>
      <c r="T3471" s="89"/>
      <c r="U3471" s="26"/>
      <c r="V3471" s="69"/>
    </row>
    <row r="3472" spans="1:22" hidden="1" x14ac:dyDescent="0.25">
      <c r="A3472">
        <v>623940</v>
      </c>
      <c r="B3472" t="s">
        <v>3842</v>
      </c>
      <c r="C3472" t="s">
        <v>7533</v>
      </c>
      <c r="D3472">
        <v>7</v>
      </c>
      <c r="E3472" t="s">
        <v>3842</v>
      </c>
      <c r="G3472" s="3"/>
      <c r="H3472" s="21">
        <v>0</v>
      </c>
      <c r="I3472" s="21">
        <v>0</v>
      </c>
      <c r="J3472" s="21">
        <v>0</v>
      </c>
      <c r="K3472" s="21">
        <v>0</v>
      </c>
      <c r="L3472" s="3">
        <f t="shared" si="150"/>
        <v>0</v>
      </c>
      <c r="M3472" s="3"/>
      <c r="N3472" s="3">
        <f t="shared" si="151"/>
        <v>0</v>
      </c>
      <c r="R3472" s="89"/>
      <c r="S3472" s="89">
        <f>100%-Table34[[#This Row],[PDF_initial fee]]</f>
        <v>1</v>
      </c>
      <c r="T3472" s="89"/>
      <c r="U3472" s="26"/>
    </row>
    <row r="3473" spans="1:21" hidden="1" x14ac:dyDescent="0.25">
      <c r="A3473">
        <v>623947</v>
      </c>
      <c r="B3473" t="s">
        <v>3843</v>
      </c>
      <c r="C3473" s="1" t="s">
        <v>30145</v>
      </c>
      <c r="D3473">
        <v>2</v>
      </c>
      <c r="E3473" t="s">
        <v>3843</v>
      </c>
      <c r="G3473" s="3"/>
      <c r="H3473" s="3">
        <v>0</v>
      </c>
      <c r="I3473" s="3">
        <v>0</v>
      </c>
      <c r="J3473" s="3">
        <v>0</v>
      </c>
      <c r="K3473" s="3">
        <v>0</v>
      </c>
      <c r="L3473" s="3">
        <f t="shared" si="150"/>
        <v>0</v>
      </c>
      <c r="M3473" s="3"/>
      <c r="N3473" s="3">
        <f t="shared" si="151"/>
        <v>0</v>
      </c>
      <c r="R3473" s="89"/>
      <c r="S3473" s="89">
        <f>100%-Table34[[#This Row],[PDF_initial fee]]</f>
        <v>1</v>
      </c>
      <c r="T3473" s="89"/>
      <c r="U3473" s="26"/>
    </row>
    <row r="3474" spans="1:21" hidden="1" x14ac:dyDescent="0.25">
      <c r="A3474">
        <v>624006</v>
      </c>
      <c r="B3474" t="s">
        <v>3844</v>
      </c>
      <c r="C3474" t="s">
        <v>8153</v>
      </c>
      <c r="D3474">
        <v>2</v>
      </c>
      <c r="E3474" t="s">
        <v>3844</v>
      </c>
      <c r="G3474" s="3"/>
      <c r="L3474" s="3">
        <f t="shared" si="150"/>
        <v>0</v>
      </c>
      <c r="M3474" s="3"/>
      <c r="N3474" s="3">
        <f t="shared" si="151"/>
        <v>0</v>
      </c>
      <c r="R3474" s="89"/>
      <c r="S3474" s="89">
        <f>100%-Table34[[#This Row],[PDF_initial fee]]</f>
        <v>1</v>
      </c>
      <c r="T3474" s="89"/>
      <c r="U3474" s="26"/>
    </row>
    <row r="3475" spans="1:21" hidden="1" x14ac:dyDescent="0.25">
      <c r="A3475">
        <v>624042</v>
      </c>
      <c r="B3475" t="s">
        <v>3845</v>
      </c>
      <c r="C3475" t="s">
        <v>30685</v>
      </c>
      <c r="D3475">
        <v>3</v>
      </c>
      <c r="E3475" t="s">
        <v>3845</v>
      </c>
      <c r="G3475" s="3"/>
      <c r="H3475" s="3">
        <v>0</v>
      </c>
      <c r="I3475" s="3">
        <v>0</v>
      </c>
      <c r="J3475" s="3">
        <v>0</v>
      </c>
      <c r="K3475" s="3">
        <v>0</v>
      </c>
      <c r="L3475" s="3">
        <f t="shared" si="150"/>
        <v>0</v>
      </c>
      <c r="M3475" s="3"/>
      <c r="N3475" s="3">
        <f t="shared" si="151"/>
        <v>0</v>
      </c>
      <c r="R3475" s="89"/>
      <c r="S3475" s="89">
        <f>100%-Table34[[#This Row],[PDF_initial fee]]</f>
        <v>1</v>
      </c>
      <c r="T3475" s="89"/>
      <c r="U3475" s="26"/>
    </row>
    <row r="3476" spans="1:21" hidden="1" x14ac:dyDescent="0.25">
      <c r="A3476">
        <v>624085</v>
      </c>
      <c r="B3476" t="s">
        <v>3846</v>
      </c>
      <c r="C3476" t="s">
        <v>8207</v>
      </c>
      <c r="D3476">
        <v>2</v>
      </c>
      <c r="E3476" t="s">
        <v>3846</v>
      </c>
      <c r="G3476" s="3"/>
      <c r="H3476" s="21">
        <v>0</v>
      </c>
      <c r="I3476" s="21">
        <v>0</v>
      </c>
      <c r="J3476" s="21">
        <v>0</v>
      </c>
      <c r="K3476" s="21">
        <v>0</v>
      </c>
      <c r="L3476" s="3">
        <f t="shared" si="150"/>
        <v>0</v>
      </c>
      <c r="M3476" s="3"/>
      <c r="N3476" s="3">
        <f t="shared" si="151"/>
        <v>0</v>
      </c>
      <c r="R3476" s="89"/>
      <c r="S3476" s="89">
        <f>100%-Table34[[#This Row],[PDF_initial fee]]</f>
        <v>1</v>
      </c>
      <c r="T3476" s="89"/>
      <c r="U3476" s="26"/>
    </row>
    <row r="3477" spans="1:21" hidden="1" x14ac:dyDescent="0.25">
      <c r="A3477">
        <v>624087</v>
      </c>
      <c r="B3477" t="s">
        <v>3847</v>
      </c>
      <c r="C3477" t="s">
        <v>30686</v>
      </c>
      <c r="D3477">
        <v>1</v>
      </c>
      <c r="E3477" t="s">
        <v>3847</v>
      </c>
      <c r="G3477" s="3"/>
      <c r="H3477" s="3">
        <v>0</v>
      </c>
      <c r="I3477" s="3">
        <v>0</v>
      </c>
      <c r="J3477" s="3">
        <v>0</v>
      </c>
      <c r="K3477" s="3">
        <v>0</v>
      </c>
      <c r="L3477" s="3">
        <f t="shared" si="150"/>
        <v>0</v>
      </c>
      <c r="M3477" s="3"/>
      <c r="N3477" s="3">
        <f t="shared" si="151"/>
        <v>0</v>
      </c>
      <c r="R3477" s="89"/>
      <c r="S3477" s="89">
        <f>100%-Table34[[#This Row],[PDF_initial fee]]</f>
        <v>1</v>
      </c>
      <c r="T3477" s="89"/>
      <c r="U3477" s="26"/>
    </row>
    <row r="3478" spans="1:21" hidden="1" x14ac:dyDescent="0.25">
      <c r="A3478">
        <v>624186</v>
      </c>
      <c r="B3478" t="s">
        <v>3848</v>
      </c>
      <c r="C3478" t="s">
        <v>6958</v>
      </c>
      <c r="D3478">
        <v>1</v>
      </c>
      <c r="E3478" t="s">
        <v>3848</v>
      </c>
      <c r="F3478" t="s">
        <v>6958</v>
      </c>
      <c r="G3478" s="3"/>
      <c r="L3478" s="3">
        <f t="shared" si="150"/>
        <v>0</v>
      </c>
      <c r="M3478" s="3"/>
      <c r="N3478" s="3">
        <f t="shared" si="151"/>
        <v>0</v>
      </c>
      <c r="R3478" s="89"/>
      <c r="S3478" s="89">
        <f>100%-Table34[[#This Row],[PDF_initial fee]]</f>
        <v>1</v>
      </c>
      <c r="T3478" s="89"/>
      <c r="U3478" s="26"/>
    </row>
    <row r="3479" spans="1:21" hidden="1" x14ac:dyDescent="0.25">
      <c r="A3479">
        <v>624188</v>
      </c>
      <c r="B3479" t="s">
        <v>3849</v>
      </c>
      <c r="C3479" t="s">
        <v>6958</v>
      </c>
      <c r="D3479">
        <v>1</v>
      </c>
      <c r="E3479" t="s">
        <v>3849</v>
      </c>
      <c r="F3479" t="s">
        <v>6958</v>
      </c>
      <c r="G3479" s="3"/>
      <c r="H3479" s="21">
        <v>0</v>
      </c>
      <c r="I3479" s="21">
        <v>0</v>
      </c>
      <c r="J3479" s="21">
        <v>0</v>
      </c>
      <c r="K3479" s="21">
        <v>0</v>
      </c>
      <c r="L3479" s="3">
        <f t="shared" si="150"/>
        <v>0</v>
      </c>
      <c r="M3479" s="3"/>
      <c r="N3479" s="3">
        <f t="shared" si="151"/>
        <v>0</v>
      </c>
      <c r="R3479" s="89"/>
      <c r="S3479" s="89">
        <f>100%-Table34[[#This Row],[PDF_initial fee]]</f>
        <v>1</v>
      </c>
      <c r="T3479" s="89"/>
      <c r="U3479" s="26"/>
    </row>
    <row r="3480" spans="1:21" hidden="1" x14ac:dyDescent="0.25">
      <c r="A3480">
        <v>624196</v>
      </c>
      <c r="B3480" t="s">
        <v>3850</v>
      </c>
      <c r="C3480" t="s">
        <v>7005</v>
      </c>
      <c r="D3480">
        <v>0</v>
      </c>
      <c r="E3480" t="s">
        <v>3850</v>
      </c>
      <c r="F3480" t="s">
        <v>3</v>
      </c>
      <c r="G3480" s="3"/>
      <c r="H3480" s="21">
        <v>0</v>
      </c>
      <c r="I3480" s="21">
        <v>0</v>
      </c>
      <c r="J3480" s="21">
        <v>0</v>
      </c>
      <c r="K3480" s="21">
        <v>0</v>
      </c>
      <c r="L3480" s="3">
        <f t="shared" si="150"/>
        <v>0</v>
      </c>
      <c r="M3480" s="3"/>
      <c r="N3480" s="3">
        <f t="shared" si="151"/>
        <v>0</v>
      </c>
      <c r="R3480" s="89"/>
      <c r="S3480" s="89">
        <f>100%-Table34[[#This Row],[PDF_initial fee]]</f>
        <v>1</v>
      </c>
      <c r="T3480" s="89"/>
      <c r="U3480" s="26"/>
    </row>
    <row r="3481" spans="1:21" hidden="1" x14ac:dyDescent="0.25">
      <c r="A3481">
        <v>624277</v>
      </c>
      <c r="B3481" t="s">
        <v>3851</v>
      </c>
      <c r="C3481" t="s">
        <v>7222</v>
      </c>
      <c r="D3481">
        <v>32</v>
      </c>
      <c r="E3481" t="s">
        <v>3851</v>
      </c>
      <c r="G3481" s="3"/>
      <c r="H3481" s="21">
        <v>0</v>
      </c>
      <c r="I3481" s="21">
        <v>0</v>
      </c>
      <c r="J3481" s="21">
        <v>0</v>
      </c>
      <c r="K3481" s="21">
        <v>0</v>
      </c>
      <c r="L3481" s="3">
        <f t="shared" si="150"/>
        <v>0</v>
      </c>
      <c r="M3481" s="3"/>
      <c r="N3481" s="3">
        <f t="shared" si="151"/>
        <v>0</v>
      </c>
      <c r="R3481" s="89"/>
      <c r="S3481" s="89">
        <f>100%-Table34[[#This Row],[PDF_initial fee]]</f>
        <v>1</v>
      </c>
      <c r="T3481" s="89"/>
      <c r="U3481" s="26"/>
    </row>
    <row r="3482" spans="1:21" hidden="1" x14ac:dyDescent="0.25">
      <c r="A3482">
        <v>624298</v>
      </c>
      <c r="B3482" t="s">
        <v>3852</v>
      </c>
      <c r="C3482" t="s">
        <v>30687</v>
      </c>
      <c r="D3482">
        <v>17</v>
      </c>
      <c r="E3482" t="s">
        <v>3852</v>
      </c>
      <c r="G3482" s="3"/>
      <c r="H3482" s="21">
        <v>0</v>
      </c>
      <c r="I3482" s="21">
        <v>0</v>
      </c>
      <c r="J3482" s="21">
        <v>0</v>
      </c>
      <c r="K3482" s="21">
        <v>0</v>
      </c>
      <c r="L3482" s="3">
        <f t="shared" si="150"/>
        <v>0</v>
      </c>
      <c r="M3482" s="3"/>
      <c r="N3482" s="3">
        <f t="shared" si="151"/>
        <v>0</v>
      </c>
      <c r="O3482" s="21"/>
      <c r="R3482" s="89"/>
      <c r="S3482" s="89">
        <f>100%-Table34[[#This Row],[PDF_initial fee]]</f>
        <v>1</v>
      </c>
      <c r="T3482" s="89"/>
      <c r="U3482" s="26"/>
    </row>
    <row r="3483" spans="1:21" hidden="1" x14ac:dyDescent="0.25">
      <c r="A3483">
        <v>624332</v>
      </c>
      <c r="B3483" t="s">
        <v>3853</v>
      </c>
      <c r="C3483" t="s">
        <v>30688</v>
      </c>
      <c r="D3483">
        <v>2</v>
      </c>
      <c r="E3483" t="s">
        <v>3853</v>
      </c>
      <c r="G3483" s="3"/>
      <c r="H3483" s="21">
        <v>0</v>
      </c>
      <c r="I3483" s="21">
        <v>0</v>
      </c>
      <c r="J3483" s="21">
        <v>0</v>
      </c>
      <c r="K3483" s="21">
        <v>0</v>
      </c>
      <c r="L3483" s="3">
        <f t="shared" si="150"/>
        <v>0</v>
      </c>
      <c r="M3483" s="3"/>
      <c r="N3483" s="3">
        <f t="shared" si="151"/>
        <v>0</v>
      </c>
      <c r="O3483" s="21"/>
      <c r="R3483" s="89"/>
      <c r="S3483" s="89">
        <f>100%-Table34[[#This Row],[PDF_initial fee]]</f>
        <v>1</v>
      </c>
      <c r="T3483" s="89"/>
      <c r="U3483" s="26"/>
    </row>
    <row r="3484" spans="1:21" hidden="1" x14ac:dyDescent="0.25">
      <c r="A3484">
        <v>624398</v>
      </c>
      <c r="B3484" t="s">
        <v>3854</v>
      </c>
      <c r="C3484" t="s">
        <v>8574</v>
      </c>
      <c r="D3484">
        <v>1</v>
      </c>
      <c r="E3484" t="s">
        <v>3854</v>
      </c>
      <c r="G3484" s="3"/>
      <c r="H3484" s="21">
        <v>0</v>
      </c>
      <c r="I3484" s="21">
        <v>0</v>
      </c>
      <c r="J3484" s="21">
        <v>0</v>
      </c>
      <c r="K3484" s="21">
        <v>0</v>
      </c>
      <c r="L3484" s="3">
        <f t="shared" si="150"/>
        <v>0</v>
      </c>
      <c r="M3484" s="3"/>
      <c r="N3484" s="3">
        <f t="shared" si="151"/>
        <v>0</v>
      </c>
      <c r="R3484" s="89"/>
      <c r="S3484" s="89">
        <f>100%-Table34[[#This Row],[PDF_initial fee]]</f>
        <v>1</v>
      </c>
      <c r="T3484" s="89"/>
      <c r="U3484" s="26"/>
    </row>
    <row r="3485" spans="1:21" hidden="1" x14ac:dyDescent="0.25">
      <c r="A3485">
        <v>624445</v>
      </c>
      <c r="B3485" t="s">
        <v>3855</v>
      </c>
      <c r="C3485" t="s">
        <v>7896</v>
      </c>
      <c r="D3485">
        <v>5</v>
      </c>
      <c r="E3485" t="s">
        <v>3855</v>
      </c>
      <c r="G3485" s="3"/>
      <c r="H3485" s="21">
        <v>0</v>
      </c>
      <c r="I3485" s="21">
        <v>0</v>
      </c>
      <c r="J3485" s="21">
        <v>0</v>
      </c>
      <c r="K3485" s="21">
        <v>0</v>
      </c>
      <c r="L3485" s="3">
        <f t="shared" si="150"/>
        <v>0</v>
      </c>
      <c r="M3485" s="3"/>
      <c r="N3485" s="3">
        <f t="shared" si="151"/>
        <v>0</v>
      </c>
      <c r="R3485" s="89"/>
      <c r="S3485" s="89">
        <f>100%-Table34[[#This Row],[PDF_initial fee]]</f>
        <v>1</v>
      </c>
      <c r="T3485" s="89"/>
      <c r="U3485" s="26"/>
    </row>
    <row r="3486" spans="1:21" hidden="1" x14ac:dyDescent="0.25">
      <c r="A3486">
        <v>624510</v>
      </c>
      <c r="B3486" t="s">
        <v>3856</v>
      </c>
      <c r="C3486" t="s">
        <v>11799</v>
      </c>
      <c r="D3486">
        <v>1</v>
      </c>
      <c r="E3486" t="s">
        <v>3856</v>
      </c>
      <c r="G3486" s="3"/>
      <c r="H3486" s="3">
        <v>0</v>
      </c>
      <c r="I3486" s="3">
        <v>0</v>
      </c>
      <c r="J3486" s="3">
        <v>0</v>
      </c>
      <c r="K3486" s="3">
        <v>0</v>
      </c>
      <c r="L3486" s="3">
        <f t="shared" si="150"/>
        <v>0</v>
      </c>
      <c r="M3486" s="3"/>
      <c r="N3486" s="3">
        <f t="shared" si="151"/>
        <v>0</v>
      </c>
      <c r="R3486" s="89"/>
      <c r="S3486" s="89">
        <f>100%-Table34[[#This Row],[PDF_initial fee]]</f>
        <v>1</v>
      </c>
      <c r="T3486" s="89"/>
      <c r="U3486" s="26"/>
    </row>
    <row r="3487" spans="1:21" hidden="1" x14ac:dyDescent="0.25">
      <c r="A3487">
        <v>624544</v>
      </c>
      <c r="B3487" t="s">
        <v>3857</v>
      </c>
      <c r="C3487" t="s">
        <v>6958</v>
      </c>
      <c r="D3487">
        <v>1</v>
      </c>
      <c r="E3487" t="s">
        <v>3857</v>
      </c>
      <c r="F3487" t="s">
        <v>6958</v>
      </c>
      <c r="G3487" s="3"/>
      <c r="H3487" s="21">
        <v>0</v>
      </c>
      <c r="I3487" s="21">
        <v>0</v>
      </c>
      <c r="J3487" s="21">
        <v>0</v>
      </c>
      <c r="K3487" s="21">
        <v>0</v>
      </c>
      <c r="L3487" s="3">
        <f t="shared" si="150"/>
        <v>0</v>
      </c>
      <c r="M3487" s="3"/>
      <c r="N3487" s="3">
        <f t="shared" si="151"/>
        <v>0</v>
      </c>
      <c r="R3487" s="89"/>
      <c r="S3487" s="89">
        <f>100%-Table34[[#This Row],[PDF_initial fee]]</f>
        <v>1</v>
      </c>
      <c r="T3487" s="89"/>
      <c r="U3487" s="26"/>
    </row>
    <row r="3488" spans="1:21" hidden="1" x14ac:dyDescent="0.25">
      <c r="A3488">
        <v>624546</v>
      </c>
      <c r="B3488" t="s">
        <v>3858</v>
      </c>
      <c r="C3488" t="s">
        <v>30689</v>
      </c>
      <c r="D3488">
        <v>20</v>
      </c>
      <c r="E3488" t="s">
        <v>3858</v>
      </c>
      <c r="G3488" s="3"/>
      <c r="H3488" s="3">
        <v>0</v>
      </c>
      <c r="I3488" s="3">
        <v>0</v>
      </c>
      <c r="J3488" s="3">
        <v>0</v>
      </c>
      <c r="K3488" s="3">
        <v>0</v>
      </c>
      <c r="L3488" s="3">
        <f t="shared" si="150"/>
        <v>0</v>
      </c>
      <c r="M3488" s="3"/>
      <c r="N3488" s="3">
        <f t="shared" si="151"/>
        <v>0</v>
      </c>
      <c r="R3488" s="89"/>
      <c r="S3488" s="89">
        <f>100%-Table34[[#This Row],[PDF_initial fee]]</f>
        <v>1</v>
      </c>
      <c r="T3488" s="89"/>
      <c r="U3488" s="26"/>
    </row>
    <row r="3489" spans="1:21" hidden="1" x14ac:dyDescent="0.25">
      <c r="A3489">
        <v>624547</v>
      </c>
      <c r="B3489" t="s">
        <v>3859</v>
      </c>
      <c r="C3489" t="s">
        <v>30690</v>
      </c>
      <c r="D3489">
        <v>3</v>
      </c>
      <c r="E3489" t="s">
        <v>3859</v>
      </c>
      <c r="G3489" s="3"/>
      <c r="H3489" s="3">
        <v>0</v>
      </c>
      <c r="I3489" s="3">
        <v>0</v>
      </c>
      <c r="J3489" s="3">
        <v>0</v>
      </c>
      <c r="K3489" s="3">
        <v>0</v>
      </c>
      <c r="L3489" s="3">
        <f t="shared" si="150"/>
        <v>0</v>
      </c>
      <c r="M3489" s="3"/>
      <c r="N3489" s="3">
        <f t="shared" si="151"/>
        <v>0</v>
      </c>
      <c r="R3489" s="89"/>
      <c r="S3489" s="89">
        <f>100%-Table34[[#This Row],[PDF_initial fee]]</f>
        <v>1</v>
      </c>
      <c r="T3489" s="89"/>
      <c r="U3489" s="26"/>
    </row>
    <row r="3490" spans="1:21" hidden="1" x14ac:dyDescent="0.25">
      <c r="A3490">
        <v>624548</v>
      </c>
      <c r="B3490" t="s">
        <v>3860</v>
      </c>
      <c r="C3490" t="s">
        <v>8007</v>
      </c>
      <c r="D3490">
        <v>3</v>
      </c>
      <c r="E3490" t="s">
        <v>3860</v>
      </c>
      <c r="G3490" s="3"/>
      <c r="H3490" s="21">
        <v>0</v>
      </c>
      <c r="I3490" s="21">
        <v>0</v>
      </c>
      <c r="J3490" s="21">
        <v>0</v>
      </c>
      <c r="K3490" s="21">
        <v>0</v>
      </c>
      <c r="L3490" s="3">
        <f t="shared" ref="L3490:L3553" si="152">SUM(H3490:K3490)</f>
        <v>0</v>
      </c>
      <c r="M3490" s="3"/>
      <c r="N3490" s="3">
        <f t="shared" ref="N3490:N3553" si="153">L3490+G3490</f>
        <v>0</v>
      </c>
      <c r="R3490" s="89"/>
      <c r="S3490" s="89">
        <f>100%-Table34[[#This Row],[PDF_initial fee]]</f>
        <v>1</v>
      </c>
      <c r="T3490" s="89"/>
      <c r="U3490" s="26"/>
    </row>
    <row r="3491" spans="1:21" hidden="1" x14ac:dyDescent="0.25">
      <c r="A3491">
        <v>624550</v>
      </c>
      <c r="B3491" t="s">
        <v>3861</v>
      </c>
      <c r="C3491" t="s">
        <v>10982</v>
      </c>
      <c r="D3491">
        <v>1</v>
      </c>
      <c r="E3491" t="s">
        <v>3861</v>
      </c>
      <c r="G3491" s="3"/>
      <c r="H3491" s="3">
        <v>0</v>
      </c>
      <c r="I3491" s="3">
        <v>0</v>
      </c>
      <c r="J3491" s="3">
        <v>0</v>
      </c>
      <c r="K3491" s="3">
        <v>0</v>
      </c>
      <c r="L3491" s="3">
        <f t="shared" si="152"/>
        <v>0</v>
      </c>
      <c r="M3491" s="3"/>
      <c r="N3491" s="3">
        <f t="shared" si="153"/>
        <v>0</v>
      </c>
      <c r="R3491" s="89"/>
      <c r="S3491" s="89">
        <f>100%-Table34[[#This Row],[PDF_initial fee]]</f>
        <v>1</v>
      </c>
      <c r="T3491" s="89"/>
      <c r="U3491" s="26"/>
    </row>
    <row r="3492" spans="1:21" hidden="1" x14ac:dyDescent="0.25">
      <c r="A3492">
        <v>624551</v>
      </c>
      <c r="B3492" t="s">
        <v>3862</v>
      </c>
      <c r="C3492" t="s">
        <v>30691</v>
      </c>
      <c r="D3492">
        <v>1</v>
      </c>
      <c r="E3492" t="s">
        <v>3862</v>
      </c>
      <c r="G3492" s="3"/>
      <c r="H3492" s="21">
        <v>0</v>
      </c>
      <c r="I3492" s="21">
        <v>0</v>
      </c>
      <c r="J3492" s="21">
        <v>0</v>
      </c>
      <c r="K3492" s="21">
        <v>0</v>
      </c>
      <c r="L3492" s="3">
        <f t="shared" si="152"/>
        <v>0</v>
      </c>
      <c r="M3492" s="3"/>
      <c r="N3492" s="3">
        <f t="shared" si="153"/>
        <v>0</v>
      </c>
      <c r="O3492" s="21"/>
      <c r="R3492" s="89"/>
      <c r="S3492" s="89">
        <f>100%-Table34[[#This Row],[PDF_initial fee]]</f>
        <v>1</v>
      </c>
      <c r="T3492" s="89"/>
      <c r="U3492" s="26"/>
    </row>
    <row r="3493" spans="1:21" hidden="1" x14ac:dyDescent="0.25">
      <c r="A3493">
        <v>624553</v>
      </c>
      <c r="B3493" t="s">
        <v>3863</v>
      </c>
      <c r="C3493" t="s">
        <v>6958</v>
      </c>
      <c r="D3493">
        <v>1</v>
      </c>
      <c r="E3493" t="s">
        <v>3863</v>
      </c>
      <c r="F3493" t="s">
        <v>6958</v>
      </c>
      <c r="G3493" s="3"/>
      <c r="H3493" s="21">
        <v>0</v>
      </c>
      <c r="I3493" s="21">
        <v>0</v>
      </c>
      <c r="J3493" s="21">
        <v>0</v>
      </c>
      <c r="K3493" s="21">
        <v>0</v>
      </c>
      <c r="L3493" s="3">
        <f t="shared" si="152"/>
        <v>0</v>
      </c>
      <c r="M3493" s="3"/>
      <c r="N3493" s="3">
        <f t="shared" si="153"/>
        <v>0</v>
      </c>
      <c r="R3493" s="89"/>
      <c r="S3493" s="89">
        <f>100%-Table34[[#This Row],[PDF_initial fee]]</f>
        <v>1</v>
      </c>
      <c r="T3493" s="89"/>
      <c r="U3493" s="26"/>
    </row>
    <row r="3494" spans="1:21" hidden="1" x14ac:dyDescent="0.25">
      <c r="A3494">
        <v>624554</v>
      </c>
      <c r="B3494" t="s">
        <v>3864</v>
      </c>
      <c r="C3494" t="s">
        <v>11382</v>
      </c>
      <c r="D3494">
        <v>1</v>
      </c>
      <c r="E3494" t="s">
        <v>3864</v>
      </c>
      <c r="G3494" s="3"/>
      <c r="H3494" s="3">
        <v>0</v>
      </c>
      <c r="I3494" s="3">
        <v>0</v>
      </c>
      <c r="J3494" s="3">
        <v>0</v>
      </c>
      <c r="K3494" s="3">
        <v>0</v>
      </c>
      <c r="L3494" s="3">
        <f t="shared" si="152"/>
        <v>0</v>
      </c>
      <c r="M3494" s="3"/>
      <c r="N3494" s="3">
        <f t="shared" si="153"/>
        <v>0</v>
      </c>
      <c r="R3494" s="89"/>
      <c r="S3494" s="89">
        <f>100%-Table34[[#This Row],[PDF_initial fee]]</f>
        <v>1</v>
      </c>
      <c r="T3494" s="89"/>
      <c r="U3494" s="26"/>
    </row>
    <row r="3495" spans="1:21" hidden="1" x14ac:dyDescent="0.25">
      <c r="A3495">
        <v>624561</v>
      </c>
      <c r="B3495" t="s">
        <v>3865</v>
      </c>
      <c r="C3495" t="s">
        <v>9809</v>
      </c>
      <c r="D3495">
        <v>1</v>
      </c>
      <c r="E3495" t="s">
        <v>3865</v>
      </c>
      <c r="G3495" s="3"/>
      <c r="H3495" s="3">
        <v>0</v>
      </c>
      <c r="I3495" s="3">
        <v>0</v>
      </c>
      <c r="J3495" s="3">
        <v>0</v>
      </c>
      <c r="K3495" s="3">
        <v>0</v>
      </c>
      <c r="L3495" s="3">
        <f t="shared" si="152"/>
        <v>0</v>
      </c>
      <c r="M3495" s="3"/>
      <c r="N3495" s="3">
        <f t="shared" si="153"/>
        <v>0</v>
      </c>
      <c r="R3495" s="89"/>
      <c r="S3495" s="89">
        <f>100%-Table34[[#This Row],[PDF_initial fee]]</f>
        <v>1</v>
      </c>
      <c r="T3495" s="89"/>
      <c r="U3495" s="26"/>
    </row>
    <row r="3496" spans="1:21" hidden="1" x14ac:dyDescent="0.25">
      <c r="A3496">
        <v>624563</v>
      </c>
      <c r="B3496" t="s">
        <v>3866</v>
      </c>
      <c r="C3496" t="s">
        <v>30692</v>
      </c>
      <c r="D3496">
        <v>14</v>
      </c>
      <c r="E3496" t="s">
        <v>3866</v>
      </c>
      <c r="G3496" s="3"/>
      <c r="H3496" s="3">
        <v>0</v>
      </c>
      <c r="I3496" s="3">
        <v>0</v>
      </c>
      <c r="J3496" s="3">
        <v>0</v>
      </c>
      <c r="K3496" s="3">
        <v>0</v>
      </c>
      <c r="L3496" s="3">
        <f t="shared" si="152"/>
        <v>0</v>
      </c>
      <c r="M3496" s="3"/>
      <c r="N3496" s="3">
        <f t="shared" si="153"/>
        <v>0</v>
      </c>
      <c r="R3496" s="89"/>
      <c r="S3496" s="89">
        <f>100%-Table34[[#This Row],[PDF_initial fee]]</f>
        <v>1</v>
      </c>
      <c r="T3496" s="89"/>
      <c r="U3496" s="26"/>
    </row>
    <row r="3497" spans="1:21" hidden="1" x14ac:dyDescent="0.25">
      <c r="A3497">
        <v>624566</v>
      </c>
      <c r="B3497" t="s">
        <v>3867</v>
      </c>
      <c r="C3497" t="s">
        <v>30693</v>
      </c>
      <c r="D3497">
        <v>6</v>
      </c>
      <c r="E3497" t="s">
        <v>3867</v>
      </c>
      <c r="G3497" s="3"/>
      <c r="H3497" s="3">
        <v>0</v>
      </c>
      <c r="I3497" s="3">
        <v>0</v>
      </c>
      <c r="J3497" s="3">
        <v>0</v>
      </c>
      <c r="K3497" s="3">
        <v>0</v>
      </c>
      <c r="L3497" s="3">
        <f t="shared" si="152"/>
        <v>0</v>
      </c>
      <c r="M3497" s="3"/>
      <c r="N3497" s="3">
        <f t="shared" si="153"/>
        <v>0</v>
      </c>
      <c r="R3497" s="89"/>
      <c r="S3497" s="89">
        <f>100%-Table34[[#This Row],[PDF_initial fee]]</f>
        <v>1</v>
      </c>
      <c r="T3497" s="89"/>
      <c r="U3497" s="26"/>
    </row>
    <row r="3498" spans="1:21" hidden="1" x14ac:dyDescent="0.25">
      <c r="A3498">
        <v>624568</v>
      </c>
      <c r="B3498" t="s">
        <v>3868</v>
      </c>
      <c r="C3498" t="s">
        <v>10334</v>
      </c>
      <c r="D3498">
        <v>1</v>
      </c>
      <c r="E3498" t="s">
        <v>3868</v>
      </c>
      <c r="G3498" s="3"/>
      <c r="H3498" s="3">
        <v>0</v>
      </c>
      <c r="I3498" s="3">
        <v>0</v>
      </c>
      <c r="J3498" s="3">
        <v>0</v>
      </c>
      <c r="K3498" s="3">
        <v>0</v>
      </c>
      <c r="L3498" s="3">
        <f t="shared" si="152"/>
        <v>0</v>
      </c>
      <c r="M3498" s="3"/>
      <c r="N3498" s="3">
        <f t="shared" si="153"/>
        <v>0</v>
      </c>
      <c r="R3498" s="89"/>
      <c r="S3498" s="89">
        <f>100%-Table34[[#This Row],[PDF_initial fee]]</f>
        <v>1</v>
      </c>
      <c r="T3498" s="89"/>
      <c r="U3498" s="26"/>
    </row>
    <row r="3499" spans="1:21" hidden="1" x14ac:dyDescent="0.25">
      <c r="A3499">
        <v>624574</v>
      </c>
      <c r="B3499" t="s">
        <v>3871</v>
      </c>
      <c r="C3499" t="s">
        <v>6958</v>
      </c>
      <c r="D3499">
        <v>1</v>
      </c>
      <c r="E3499" t="s">
        <v>3871</v>
      </c>
      <c r="F3499" t="s">
        <v>6958</v>
      </c>
      <c r="G3499" s="3"/>
      <c r="H3499" s="21">
        <v>0</v>
      </c>
      <c r="I3499" s="21">
        <v>0</v>
      </c>
      <c r="J3499" s="21">
        <v>0</v>
      </c>
      <c r="K3499" s="21">
        <v>0</v>
      </c>
      <c r="L3499" s="3">
        <f t="shared" si="152"/>
        <v>0</v>
      </c>
      <c r="M3499" s="3"/>
      <c r="N3499" s="3">
        <f t="shared" si="153"/>
        <v>0</v>
      </c>
      <c r="R3499" s="89"/>
      <c r="S3499" s="89">
        <f>100%-Table34[[#This Row],[PDF_initial fee]]</f>
        <v>1</v>
      </c>
      <c r="T3499" s="89"/>
      <c r="U3499" s="26"/>
    </row>
    <row r="3500" spans="1:21" hidden="1" x14ac:dyDescent="0.25">
      <c r="A3500">
        <v>624577</v>
      </c>
      <c r="B3500" t="s">
        <v>3872</v>
      </c>
      <c r="C3500" t="s">
        <v>8862</v>
      </c>
      <c r="D3500">
        <v>1</v>
      </c>
      <c r="E3500" t="s">
        <v>3872</v>
      </c>
      <c r="G3500" s="3"/>
      <c r="H3500" s="21">
        <v>0</v>
      </c>
      <c r="I3500" s="21">
        <v>0</v>
      </c>
      <c r="J3500" s="21">
        <v>0</v>
      </c>
      <c r="K3500" s="21">
        <v>0</v>
      </c>
      <c r="L3500" s="3">
        <f t="shared" si="152"/>
        <v>0</v>
      </c>
      <c r="M3500" s="3"/>
      <c r="N3500" s="3">
        <f t="shared" si="153"/>
        <v>0</v>
      </c>
      <c r="R3500" s="89"/>
      <c r="S3500" s="89">
        <f>100%-Table34[[#This Row],[PDF_initial fee]]</f>
        <v>1</v>
      </c>
      <c r="T3500" s="89"/>
      <c r="U3500" s="26"/>
    </row>
    <row r="3501" spans="1:21" hidden="1" x14ac:dyDescent="0.25">
      <c r="A3501">
        <v>624578</v>
      </c>
      <c r="B3501" t="s">
        <v>3873</v>
      </c>
      <c r="C3501" t="s">
        <v>30694</v>
      </c>
      <c r="D3501">
        <v>1</v>
      </c>
      <c r="E3501" t="s">
        <v>3873</v>
      </c>
      <c r="G3501" s="3"/>
      <c r="H3501" s="3">
        <v>0</v>
      </c>
      <c r="I3501" s="3">
        <v>0</v>
      </c>
      <c r="J3501" s="3">
        <v>0</v>
      </c>
      <c r="K3501" s="3">
        <v>0</v>
      </c>
      <c r="L3501" s="3">
        <f t="shared" si="152"/>
        <v>0</v>
      </c>
      <c r="M3501" s="3"/>
      <c r="N3501" s="3">
        <f t="shared" si="153"/>
        <v>0</v>
      </c>
      <c r="R3501" s="89"/>
      <c r="S3501" s="89">
        <f>100%-Table34[[#This Row],[PDF_initial fee]]</f>
        <v>1</v>
      </c>
      <c r="T3501" s="89"/>
      <c r="U3501" s="26"/>
    </row>
    <row r="3502" spans="1:21" hidden="1" x14ac:dyDescent="0.25">
      <c r="A3502">
        <v>624579</v>
      </c>
      <c r="B3502" t="s">
        <v>3874</v>
      </c>
      <c r="C3502" t="s">
        <v>30695</v>
      </c>
      <c r="D3502">
        <v>14</v>
      </c>
      <c r="E3502" t="s">
        <v>3874</v>
      </c>
      <c r="G3502" s="3"/>
      <c r="H3502" s="3">
        <v>0</v>
      </c>
      <c r="I3502" s="3">
        <v>0</v>
      </c>
      <c r="J3502" s="3">
        <v>0</v>
      </c>
      <c r="K3502" s="3">
        <v>0</v>
      </c>
      <c r="L3502" s="3">
        <f t="shared" si="152"/>
        <v>0</v>
      </c>
      <c r="M3502" s="3"/>
      <c r="N3502" s="3">
        <f t="shared" si="153"/>
        <v>0</v>
      </c>
      <c r="R3502" s="89"/>
      <c r="S3502" s="89">
        <f>100%-Table34[[#This Row],[PDF_initial fee]]</f>
        <v>1</v>
      </c>
      <c r="T3502" s="89"/>
      <c r="U3502" s="26"/>
    </row>
    <row r="3503" spans="1:21" hidden="1" x14ac:dyDescent="0.25">
      <c r="A3503">
        <v>624582</v>
      </c>
      <c r="B3503" t="s">
        <v>3875</v>
      </c>
      <c r="C3503" t="s">
        <v>7030</v>
      </c>
      <c r="D3503">
        <v>1</v>
      </c>
      <c r="E3503" t="s">
        <v>3875</v>
      </c>
      <c r="G3503" s="3"/>
      <c r="I3503" s="21"/>
      <c r="L3503" s="3">
        <f t="shared" si="152"/>
        <v>0</v>
      </c>
      <c r="M3503" s="3"/>
      <c r="N3503" s="3">
        <f t="shared" si="153"/>
        <v>0</v>
      </c>
      <c r="R3503" s="89"/>
      <c r="S3503" s="89">
        <f>100%-Table34[[#This Row],[PDF_initial fee]]</f>
        <v>1</v>
      </c>
      <c r="T3503" s="89"/>
      <c r="U3503" s="26"/>
    </row>
    <row r="3504" spans="1:21" hidden="1" x14ac:dyDescent="0.25">
      <c r="A3504">
        <v>624596</v>
      </c>
      <c r="B3504" t="s">
        <v>3876</v>
      </c>
      <c r="C3504" t="s">
        <v>6958</v>
      </c>
      <c r="D3504">
        <v>1</v>
      </c>
      <c r="E3504" t="s">
        <v>3876</v>
      </c>
      <c r="F3504" t="s">
        <v>6958</v>
      </c>
      <c r="G3504" s="3"/>
      <c r="H3504" s="21">
        <v>0</v>
      </c>
      <c r="I3504" s="21">
        <v>0</v>
      </c>
      <c r="J3504" s="21">
        <v>0</v>
      </c>
      <c r="K3504" s="21">
        <v>0</v>
      </c>
      <c r="L3504" s="3">
        <f t="shared" si="152"/>
        <v>0</v>
      </c>
      <c r="M3504" s="3"/>
      <c r="N3504" s="3">
        <f t="shared" si="153"/>
        <v>0</v>
      </c>
      <c r="R3504" s="89"/>
      <c r="S3504" s="89">
        <f>100%-Table34[[#This Row],[PDF_initial fee]]</f>
        <v>1</v>
      </c>
      <c r="T3504" s="89"/>
      <c r="U3504" s="26"/>
    </row>
    <row r="3505" spans="1:29" hidden="1" x14ac:dyDescent="0.25">
      <c r="A3505">
        <v>624638</v>
      </c>
      <c r="B3505" t="s">
        <v>3877</v>
      </c>
      <c r="C3505" t="s">
        <v>9508</v>
      </c>
      <c r="D3505">
        <v>1</v>
      </c>
      <c r="E3505" t="s">
        <v>3877</v>
      </c>
      <c r="G3505" s="3"/>
      <c r="H3505" s="3">
        <v>0</v>
      </c>
      <c r="I3505" s="3">
        <v>0</v>
      </c>
      <c r="J3505" s="3">
        <v>0</v>
      </c>
      <c r="K3505" s="3">
        <v>0</v>
      </c>
      <c r="L3505" s="3">
        <f t="shared" si="152"/>
        <v>0</v>
      </c>
      <c r="M3505" s="3"/>
      <c r="N3505" s="3">
        <f t="shared" si="153"/>
        <v>0</v>
      </c>
      <c r="R3505" s="89"/>
      <c r="S3505" s="89">
        <f>100%-Table34[[#This Row],[PDF_initial fee]]</f>
        <v>1</v>
      </c>
      <c r="T3505" s="89"/>
      <c r="U3505" s="26"/>
    </row>
    <row r="3506" spans="1:29" hidden="1" x14ac:dyDescent="0.25">
      <c r="A3506">
        <v>624670</v>
      </c>
      <c r="B3506" t="s">
        <v>3878</v>
      </c>
      <c r="C3506" t="s">
        <v>6958</v>
      </c>
      <c r="D3506">
        <v>1</v>
      </c>
      <c r="E3506" t="s">
        <v>3878</v>
      </c>
      <c r="F3506" t="s">
        <v>6958</v>
      </c>
      <c r="G3506" s="3"/>
      <c r="H3506" s="21">
        <v>0</v>
      </c>
      <c r="I3506" s="21">
        <v>0</v>
      </c>
      <c r="J3506" s="21">
        <v>0</v>
      </c>
      <c r="K3506" s="21">
        <v>0</v>
      </c>
      <c r="L3506" s="3">
        <f t="shared" si="152"/>
        <v>0</v>
      </c>
      <c r="M3506" s="3"/>
      <c r="N3506" s="3">
        <f t="shared" si="153"/>
        <v>0</v>
      </c>
      <c r="R3506" s="89"/>
      <c r="S3506" s="89">
        <f>100%-Table34[[#This Row],[PDF_initial fee]]</f>
        <v>1</v>
      </c>
      <c r="T3506" s="89"/>
      <c r="U3506" s="26"/>
    </row>
    <row r="3507" spans="1:29" x14ac:dyDescent="0.25">
      <c r="A3507">
        <v>624680</v>
      </c>
      <c r="B3507" t="s">
        <v>3879</v>
      </c>
      <c r="C3507" s="1" t="s">
        <v>30696</v>
      </c>
      <c r="D3507">
        <v>1</v>
      </c>
      <c r="E3507" t="s">
        <v>3879</v>
      </c>
      <c r="F3507" t="s">
        <v>3</v>
      </c>
      <c r="G3507" s="3"/>
      <c r="H3507" s="3">
        <v>0</v>
      </c>
      <c r="I3507" s="3">
        <v>5.0000000000000001E-3</v>
      </c>
      <c r="J3507" s="3"/>
      <c r="K3507" s="3"/>
      <c r="L3507" s="3"/>
      <c r="M3507" s="3"/>
      <c r="N3507" s="3"/>
      <c r="O3507" t="s">
        <v>30697</v>
      </c>
      <c r="P3507" s="1" t="s">
        <v>30698</v>
      </c>
      <c r="Q3507" t="s">
        <v>31787</v>
      </c>
      <c r="R3507" s="89">
        <v>0.33333333333333348</v>
      </c>
      <c r="S3507" s="89">
        <f>100%-Table34[[#This Row],[PDF_initial fee]]</f>
        <v>1</v>
      </c>
      <c r="T3507" s="89"/>
      <c r="U3507" s="26"/>
      <c r="V3507">
        <f>103+48496</f>
        <v>48599</v>
      </c>
      <c r="W3507" t="s">
        <v>29051</v>
      </c>
      <c r="X3507" s="73">
        <v>18644</v>
      </c>
      <c r="Y3507" s="30">
        <f>X3507/V3507</f>
        <v>0.38362929278380214</v>
      </c>
      <c r="AA3507" s="1" t="s">
        <v>30699</v>
      </c>
      <c r="AC3507" t="s">
        <v>29570</v>
      </c>
    </row>
    <row r="3508" spans="1:29" hidden="1" x14ac:dyDescent="0.25">
      <c r="A3508">
        <v>624799</v>
      </c>
      <c r="B3508" t="s">
        <v>3880</v>
      </c>
      <c r="C3508" t="s">
        <v>11766</v>
      </c>
      <c r="D3508">
        <v>2</v>
      </c>
      <c r="E3508" t="s">
        <v>3880</v>
      </c>
      <c r="G3508" s="3"/>
      <c r="H3508" s="3">
        <v>0</v>
      </c>
      <c r="I3508" s="3">
        <v>0</v>
      </c>
      <c r="J3508" s="3">
        <v>0</v>
      </c>
      <c r="K3508" s="3">
        <v>0</v>
      </c>
      <c r="L3508" s="3">
        <f t="shared" si="152"/>
        <v>0</v>
      </c>
      <c r="M3508" s="3"/>
      <c r="N3508" s="3">
        <f t="shared" si="153"/>
        <v>0</v>
      </c>
      <c r="R3508" s="89"/>
      <c r="S3508" s="89">
        <f>100%-Table34[[#This Row],[PDF_initial fee]]</f>
        <v>1</v>
      </c>
      <c r="T3508" s="89"/>
      <c r="U3508" s="26"/>
    </row>
    <row r="3509" spans="1:29" hidden="1" x14ac:dyDescent="0.25">
      <c r="A3509">
        <v>624888</v>
      </c>
      <c r="B3509" t="s">
        <v>3881</v>
      </c>
      <c r="C3509" t="s">
        <v>6958</v>
      </c>
      <c r="D3509">
        <v>2</v>
      </c>
      <c r="E3509" t="s">
        <v>3881</v>
      </c>
      <c r="F3509" t="s">
        <v>6958</v>
      </c>
      <c r="G3509" s="3"/>
      <c r="H3509" s="21">
        <v>0</v>
      </c>
      <c r="I3509" s="21">
        <v>0</v>
      </c>
      <c r="J3509" s="21">
        <v>0</v>
      </c>
      <c r="K3509" s="21">
        <v>0</v>
      </c>
      <c r="L3509" s="3">
        <f t="shared" si="152"/>
        <v>0</v>
      </c>
      <c r="M3509" s="3"/>
      <c r="N3509" s="3">
        <f t="shared" si="153"/>
        <v>0</v>
      </c>
      <c r="R3509" s="89"/>
      <c r="S3509" s="89">
        <f>100%-Table34[[#This Row],[PDF_initial fee]]</f>
        <v>1</v>
      </c>
      <c r="T3509" s="89"/>
      <c r="U3509" s="26"/>
    </row>
    <row r="3510" spans="1:29" hidden="1" x14ac:dyDescent="0.25">
      <c r="A3510">
        <v>624915</v>
      </c>
      <c r="B3510" t="s">
        <v>3882</v>
      </c>
      <c r="C3510" t="s">
        <v>30700</v>
      </c>
      <c r="D3510">
        <v>3</v>
      </c>
      <c r="E3510" t="s">
        <v>3882</v>
      </c>
      <c r="G3510" s="3"/>
      <c r="H3510" s="3">
        <v>0</v>
      </c>
      <c r="I3510" s="3">
        <v>0</v>
      </c>
      <c r="J3510" s="3">
        <v>0</v>
      </c>
      <c r="K3510" s="3">
        <v>0</v>
      </c>
      <c r="L3510" s="3">
        <f t="shared" si="152"/>
        <v>0</v>
      </c>
      <c r="M3510" s="3"/>
      <c r="N3510" s="3">
        <f t="shared" si="153"/>
        <v>0</v>
      </c>
      <c r="R3510" s="89"/>
      <c r="S3510" s="89">
        <f>100%-Table34[[#This Row],[PDF_initial fee]]</f>
        <v>1</v>
      </c>
      <c r="T3510" s="89"/>
      <c r="U3510" s="26"/>
    </row>
    <row r="3511" spans="1:29" hidden="1" x14ac:dyDescent="0.25">
      <c r="A3511">
        <v>624969</v>
      </c>
      <c r="B3511" t="s">
        <v>3883</v>
      </c>
      <c r="C3511" t="s">
        <v>6958</v>
      </c>
      <c r="D3511">
        <v>3</v>
      </c>
      <c r="E3511" t="s">
        <v>3883</v>
      </c>
      <c r="F3511" t="s">
        <v>6958</v>
      </c>
      <c r="G3511" s="3"/>
      <c r="H3511" s="21">
        <v>0</v>
      </c>
      <c r="I3511" s="21">
        <v>0</v>
      </c>
      <c r="J3511" s="21">
        <v>0</v>
      </c>
      <c r="K3511" s="21">
        <v>0</v>
      </c>
      <c r="L3511" s="3">
        <f t="shared" si="152"/>
        <v>0</v>
      </c>
      <c r="M3511" s="3"/>
      <c r="N3511" s="3">
        <f t="shared" si="153"/>
        <v>0</v>
      </c>
      <c r="R3511" s="89"/>
      <c r="S3511" s="89">
        <f>100%-Table34[[#This Row],[PDF_initial fee]]</f>
        <v>1</v>
      </c>
      <c r="T3511" s="89"/>
      <c r="U3511" s="26"/>
    </row>
    <row r="3512" spans="1:29" hidden="1" x14ac:dyDescent="0.25">
      <c r="A3512">
        <v>624976</v>
      </c>
      <c r="B3512" t="s">
        <v>3884</v>
      </c>
      <c r="C3512" t="s">
        <v>9361</v>
      </c>
      <c r="D3512">
        <v>5</v>
      </c>
      <c r="E3512" t="s">
        <v>3884</v>
      </c>
      <c r="G3512" s="3"/>
      <c r="L3512" s="3">
        <f t="shared" si="152"/>
        <v>0</v>
      </c>
      <c r="M3512" s="3"/>
      <c r="N3512" s="3">
        <f t="shared" si="153"/>
        <v>0</v>
      </c>
      <c r="R3512" s="89"/>
      <c r="S3512" s="89">
        <f>100%-Table34[[#This Row],[PDF_initial fee]]</f>
        <v>1</v>
      </c>
      <c r="T3512" s="89"/>
      <c r="U3512" s="26"/>
    </row>
    <row r="3513" spans="1:29" hidden="1" x14ac:dyDescent="0.25">
      <c r="A3513">
        <v>625055</v>
      </c>
      <c r="B3513" t="s">
        <v>3885</v>
      </c>
      <c r="C3513" s="1" t="s">
        <v>30701</v>
      </c>
      <c r="D3513">
        <v>2</v>
      </c>
      <c r="E3513" t="s">
        <v>3885</v>
      </c>
      <c r="G3513" s="3"/>
      <c r="H3513" s="3">
        <v>0</v>
      </c>
      <c r="I3513" s="3">
        <v>0</v>
      </c>
      <c r="J3513" s="3">
        <v>0</v>
      </c>
      <c r="K3513" s="3">
        <v>0</v>
      </c>
      <c r="L3513" s="3">
        <f t="shared" si="152"/>
        <v>0</v>
      </c>
      <c r="M3513" s="3"/>
      <c r="N3513" s="3">
        <f t="shared" si="153"/>
        <v>0</v>
      </c>
      <c r="R3513" s="89"/>
      <c r="S3513" s="89">
        <f>100%-Table34[[#This Row],[PDF_initial fee]]</f>
        <v>1</v>
      </c>
      <c r="T3513" s="89"/>
      <c r="U3513" s="26"/>
    </row>
    <row r="3514" spans="1:29" hidden="1" x14ac:dyDescent="0.25">
      <c r="A3514">
        <v>625105</v>
      </c>
      <c r="B3514" t="s">
        <v>3887</v>
      </c>
      <c r="C3514" t="s">
        <v>8939</v>
      </c>
      <c r="D3514">
        <v>4</v>
      </c>
      <c r="E3514" t="s">
        <v>3887</v>
      </c>
      <c r="G3514" s="3"/>
      <c r="H3514" s="21">
        <v>0</v>
      </c>
      <c r="I3514" s="21">
        <v>0</v>
      </c>
      <c r="J3514" s="21">
        <v>0</v>
      </c>
      <c r="K3514" s="21">
        <v>0</v>
      </c>
      <c r="L3514" s="3">
        <f t="shared" si="152"/>
        <v>0</v>
      </c>
      <c r="M3514" s="3"/>
      <c r="N3514" s="3">
        <f t="shared" si="153"/>
        <v>0</v>
      </c>
      <c r="R3514" s="89"/>
      <c r="S3514" s="89">
        <f>100%-Table34[[#This Row],[PDF_initial fee]]</f>
        <v>1</v>
      </c>
      <c r="T3514" s="89"/>
      <c r="U3514" s="26"/>
    </row>
    <row r="3515" spans="1:29" hidden="1" x14ac:dyDescent="0.25">
      <c r="A3515">
        <v>625144</v>
      </c>
      <c r="B3515" t="s">
        <v>3888</v>
      </c>
      <c r="C3515" t="s">
        <v>6958</v>
      </c>
      <c r="D3515">
        <v>1</v>
      </c>
      <c r="E3515" t="s">
        <v>3888</v>
      </c>
      <c r="F3515" t="s">
        <v>6958</v>
      </c>
      <c r="G3515" s="3"/>
      <c r="H3515" s="21">
        <v>0</v>
      </c>
      <c r="I3515" s="21">
        <v>0</v>
      </c>
      <c r="J3515" s="21">
        <v>0</v>
      </c>
      <c r="K3515" s="21">
        <v>0</v>
      </c>
      <c r="L3515" s="3">
        <f t="shared" si="152"/>
        <v>0</v>
      </c>
      <c r="M3515" s="3"/>
      <c r="N3515" s="3">
        <f t="shared" si="153"/>
        <v>0</v>
      </c>
      <c r="R3515" s="89"/>
      <c r="S3515" s="89">
        <f>100%-Table34[[#This Row],[PDF_initial fee]]</f>
        <v>1</v>
      </c>
      <c r="T3515" s="89"/>
      <c r="U3515" s="26"/>
    </row>
    <row r="3516" spans="1:29" hidden="1" x14ac:dyDescent="0.25">
      <c r="A3516">
        <v>625295</v>
      </c>
      <c r="B3516" t="s">
        <v>3889</v>
      </c>
      <c r="C3516" t="s">
        <v>7566</v>
      </c>
      <c r="D3516">
        <v>4</v>
      </c>
      <c r="E3516" t="s">
        <v>3889</v>
      </c>
      <c r="G3516" s="3"/>
      <c r="L3516" s="3">
        <f t="shared" si="152"/>
        <v>0</v>
      </c>
      <c r="M3516" s="3"/>
      <c r="N3516" s="3">
        <f t="shared" si="153"/>
        <v>0</v>
      </c>
      <c r="R3516" s="89"/>
      <c r="S3516" s="89">
        <f>100%-Table34[[#This Row],[PDF_initial fee]]</f>
        <v>1</v>
      </c>
      <c r="T3516" s="89"/>
      <c r="U3516" s="26"/>
    </row>
    <row r="3517" spans="1:29" hidden="1" x14ac:dyDescent="0.25">
      <c r="A3517">
        <v>625309</v>
      </c>
      <c r="B3517" t="s">
        <v>3890</v>
      </c>
      <c r="C3517" t="s">
        <v>6958</v>
      </c>
      <c r="D3517">
        <v>1</v>
      </c>
      <c r="E3517" t="s">
        <v>3890</v>
      </c>
      <c r="F3517" t="s">
        <v>6958</v>
      </c>
      <c r="G3517" s="3"/>
      <c r="H3517" s="21">
        <v>0</v>
      </c>
      <c r="I3517" s="21">
        <v>0</v>
      </c>
      <c r="J3517" s="21">
        <v>0</v>
      </c>
      <c r="K3517" s="21">
        <v>0</v>
      </c>
      <c r="L3517" s="3">
        <f t="shared" si="152"/>
        <v>0</v>
      </c>
      <c r="M3517" s="3"/>
      <c r="N3517" s="3">
        <f t="shared" si="153"/>
        <v>0</v>
      </c>
      <c r="R3517" s="89"/>
      <c r="S3517" s="89">
        <f>100%-Table34[[#This Row],[PDF_initial fee]]</f>
        <v>1</v>
      </c>
      <c r="T3517" s="89"/>
      <c r="U3517" s="26"/>
    </row>
    <row r="3518" spans="1:29" hidden="1" x14ac:dyDescent="0.25">
      <c r="A3518">
        <v>625327</v>
      </c>
      <c r="B3518" t="s">
        <v>3891</v>
      </c>
      <c r="C3518" t="s">
        <v>30702</v>
      </c>
      <c r="D3518">
        <v>3</v>
      </c>
      <c r="E3518" t="s">
        <v>3891</v>
      </c>
      <c r="G3518" s="3"/>
      <c r="H3518" s="3">
        <v>0</v>
      </c>
      <c r="I3518" s="3">
        <v>0</v>
      </c>
      <c r="J3518" s="3">
        <v>0</v>
      </c>
      <c r="K3518" s="3">
        <v>0</v>
      </c>
      <c r="L3518" s="3">
        <f t="shared" si="152"/>
        <v>0</v>
      </c>
      <c r="M3518" s="3"/>
      <c r="N3518" s="3">
        <f t="shared" si="153"/>
        <v>0</v>
      </c>
      <c r="R3518" s="89"/>
      <c r="S3518" s="89">
        <f>100%-Table34[[#This Row],[PDF_initial fee]]</f>
        <v>1</v>
      </c>
      <c r="T3518" s="89"/>
      <c r="U3518" s="26"/>
    </row>
    <row r="3519" spans="1:29" hidden="1" x14ac:dyDescent="0.25">
      <c r="A3519">
        <v>625333</v>
      </c>
      <c r="B3519" t="s">
        <v>3892</v>
      </c>
      <c r="C3519" t="s">
        <v>6958</v>
      </c>
      <c r="D3519">
        <v>1</v>
      </c>
      <c r="E3519" t="s">
        <v>3892</v>
      </c>
      <c r="F3519" t="s">
        <v>6958</v>
      </c>
      <c r="G3519" s="3"/>
      <c r="H3519" s="21">
        <v>0</v>
      </c>
      <c r="I3519" s="21">
        <v>0</v>
      </c>
      <c r="J3519" s="21">
        <v>0</v>
      </c>
      <c r="K3519" s="21">
        <v>0</v>
      </c>
      <c r="L3519" s="3">
        <f t="shared" si="152"/>
        <v>0</v>
      </c>
      <c r="M3519" s="3"/>
      <c r="N3519" s="3">
        <f t="shared" si="153"/>
        <v>0</v>
      </c>
      <c r="R3519" s="89"/>
      <c r="S3519" s="89">
        <f>100%-Table34[[#This Row],[PDF_initial fee]]</f>
        <v>1</v>
      </c>
      <c r="T3519" s="89"/>
      <c r="U3519" s="26"/>
    </row>
    <row r="3520" spans="1:29" x14ac:dyDescent="0.25">
      <c r="A3520">
        <v>484988</v>
      </c>
      <c r="B3520" t="s">
        <v>192</v>
      </c>
      <c r="C3520" s="1" t="s">
        <v>10402</v>
      </c>
      <c r="D3520">
        <v>2</v>
      </c>
      <c r="E3520" t="s">
        <v>192</v>
      </c>
      <c r="F3520" t="s">
        <v>3</v>
      </c>
      <c r="G3520" s="3">
        <v>1.4E-3</v>
      </c>
      <c r="H3520" s="3">
        <f>1.4%+0.9%</f>
        <v>2.3E-2</v>
      </c>
      <c r="I3520" s="3">
        <v>7.4999999999999997E-3</v>
      </c>
      <c r="J3520" s="6"/>
      <c r="K3520" s="6"/>
      <c r="L3520" s="3">
        <f t="shared" si="152"/>
        <v>3.0499999999999999E-2</v>
      </c>
      <c r="M3520" s="3"/>
      <c r="N3520" s="3">
        <f t="shared" si="153"/>
        <v>3.1899999999999998E-2</v>
      </c>
      <c r="P3520" s="31" t="s">
        <v>30703</v>
      </c>
      <c r="Q3520" t="s">
        <v>31787</v>
      </c>
      <c r="R3520" s="89">
        <v>0.33333333333333348</v>
      </c>
      <c r="S3520" s="89">
        <f>100%-Table34[[#This Row],[InitialFee]]</f>
        <v>0.97699999999999998</v>
      </c>
      <c r="T3520" s="89">
        <f>(1-Table34[[#This Row],[OngoingFee (plus Platform fee)]])^5</f>
        <v>0.9630582970465823</v>
      </c>
      <c r="U3520" s="26">
        <f>(1+Table34[[#This Row],[Net 5yrs return (mostly up to 28th of Feb 2026)]])*Table34[[#This Row],[Investment after initial charge]]*Table34[[#This Row],[Cummulative 5yrs ongoing advice charge]]-1</f>
        <v>0.25454394161934801</v>
      </c>
      <c r="V3520" s="10">
        <f>85435+60756</f>
        <v>146191</v>
      </c>
      <c r="W3520" t="s">
        <v>29051</v>
      </c>
      <c r="X3520" s="9">
        <v>85435</v>
      </c>
      <c r="Y3520" s="30">
        <f>X3520/V3520</f>
        <v>0.58440670082289603</v>
      </c>
      <c r="AA3520" s="1" t="s">
        <v>30704</v>
      </c>
    </row>
    <row r="3521" spans="1:21" hidden="1" x14ac:dyDescent="0.25">
      <c r="A3521">
        <v>625340</v>
      </c>
      <c r="B3521" t="s">
        <v>3894</v>
      </c>
      <c r="C3521" t="s">
        <v>12568</v>
      </c>
      <c r="D3521">
        <v>1</v>
      </c>
      <c r="E3521" t="s">
        <v>3894</v>
      </c>
      <c r="G3521" s="3"/>
      <c r="H3521" s="3">
        <v>0</v>
      </c>
      <c r="I3521" s="3">
        <v>0</v>
      </c>
      <c r="J3521" s="3">
        <v>0</v>
      </c>
      <c r="K3521" s="3">
        <v>0</v>
      </c>
      <c r="L3521" s="3">
        <f t="shared" si="152"/>
        <v>0</v>
      </c>
      <c r="M3521" s="3"/>
      <c r="N3521" s="3">
        <f t="shared" si="153"/>
        <v>0</v>
      </c>
      <c r="R3521" s="89"/>
      <c r="S3521" s="89">
        <f>100%-Table34[[#This Row],[PDF_initial fee]]</f>
        <v>1</v>
      </c>
      <c r="T3521" s="89"/>
      <c r="U3521" s="26"/>
    </row>
    <row r="3522" spans="1:21" hidden="1" x14ac:dyDescent="0.25">
      <c r="A3522">
        <v>625541</v>
      </c>
      <c r="B3522" t="s">
        <v>3895</v>
      </c>
      <c r="C3522" t="s">
        <v>10408</v>
      </c>
      <c r="D3522">
        <v>3</v>
      </c>
      <c r="E3522" t="s">
        <v>3895</v>
      </c>
      <c r="G3522" s="3"/>
      <c r="H3522" s="3"/>
      <c r="I3522" s="3"/>
      <c r="J3522" s="3"/>
      <c r="K3522" s="3"/>
      <c r="L3522" s="3">
        <f t="shared" si="152"/>
        <v>0</v>
      </c>
      <c r="M3522" s="3"/>
      <c r="N3522" s="3">
        <f t="shared" si="153"/>
        <v>0</v>
      </c>
      <c r="R3522" s="89"/>
      <c r="S3522" s="89">
        <f>100%-Table34[[#This Row],[PDF_initial fee]]</f>
        <v>1</v>
      </c>
      <c r="T3522" s="89"/>
      <c r="U3522" s="26"/>
    </row>
    <row r="3523" spans="1:21" hidden="1" x14ac:dyDescent="0.25">
      <c r="A3523">
        <v>625913</v>
      </c>
      <c r="B3523" t="s">
        <v>3896</v>
      </c>
      <c r="C3523" t="s">
        <v>12099</v>
      </c>
      <c r="D3523">
        <v>3</v>
      </c>
      <c r="E3523" t="s">
        <v>3896</v>
      </c>
      <c r="G3523" s="3"/>
      <c r="H3523" s="3">
        <v>0</v>
      </c>
      <c r="I3523" s="3">
        <v>0</v>
      </c>
      <c r="J3523" s="3">
        <v>0</v>
      </c>
      <c r="K3523" s="3">
        <v>0</v>
      </c>
      <c r="L3523" s="3">
        <f t="shared" si="152"/>
        <v>0</v>
      </c>
      <c r="M3523" s="3"/>
      <c r="N3523" s="3">
        <f t="shared" si="153"/>
        <v>0</v>
      </c>
      <c r="R3523" s="89"/>
      <c r="S3523" s="89">
        <f>100%-Table34[[#This Row],[PDF_initial fee]]</f>
        <v>1</v>
      </c>
      <c r="T3523" s="89"/>
      <c r="U3523" s="26"/>
    </row>
    <row r="3524" spans="1:21" hidden="1" x14ac:dyDescent="0.25">
      <c r="A3524">
        <v>625914</v>
      </c>
      <c r="B3524" t="s">
        <v>3897</v>
      </c>
      <c r="C3524" t="s">
        <v>7894</v>
      </c>
      <c r="D3524">
        <v>1</v>
      </c>
      <c r="E3524" t="s">
        <v>3897</v>
      </c>
      <c r="G3524" s="3"/>
      <c r="H3524" s="21">
        <v>0</v>
      </c>
      <c r="I3524" s="21">
        <v>0</v>
      </c>
      <c r="J3524" s="21">
        <v>0</v>
      </c>
      <c r="K3524" s="21">
        <v>0</v>
      </c>
      <c r="L3524" s="3">
        <f t="shared" si="152"/>
        <v>0</v>
      </c>
      <c r="M3524" s="3"/>
      <c r="N3524" s="3">
        <f t="shared" si="153"/>
        <v>0</v>
      </c>
      <c r="R3524" s="89"/>
      <c r="S3524" s="89">
        <f>100%-Table34[[#This Row],[PDF_initial fee]]</f>
        <v>1</v>
      </c>
      <c r="T3524" s="89"/>
      <c r="U3524" s="26"/>
    </row>
    <row r="3525" spans="1:21" hidden="1" x14ac:dyDescent="0.25">
      <c r="A3525">
        <v>625939</v>
      </c>
      <c r="B3525" t="s">
        <v>3898</v>
      </c>
      <c r="C3525" t="s">
        <v>6958</v>
      </c>
      <c r="D3525">
        <v>1</v>
      </c>
      <c r="E3525" t="s">
        <v>3898</v>
      </c>
      <c r="F3525" t="s">
        <v>6958</v>
      </c>
      <c r="G3525" s="3"/>
      <c r="H3525" s="21">
        <v>0</v>
      </c>
      <c r="I3525" s="21">
        <v>0</v>
      </c>
      <c r="J3525" s="21">
        <v>0</v>
      </c>
      <c r="K3525" s="21">
        <v>0</v>
      </c>
      <c r="L3525" s="3">
        <f t="shared" si="152"/>
        <v>0</v>
      </c>
      <c r="M3525" s="3"/>
      <c r="N3525" s="3">
        <f t="shared" si="153"/>
        <v>0</v>
      </c>
      <c r="R3525" s="89"/>
      <c r="S3525" s="89">
        <f>100%-Table34[[#This Row],[PDF_initial fee]]</f>
        <v>1</v>
      </c>
      <c r="T3525" s="89"/>
      <c r="U3525" s="26"/>
    </row>
    <row r="3526" spans="1:21" hidden="1" x14ac:dyDescent="0.25">
      <c r="A3526">
        <v>626283</v>
      </c>
      <c r="B3526" t="s">
        <v>3899</v>
      </c>
      <c r="C3526" s="1" t="s">
        <v>30705</v>
      </c>
      <c r="D3526">
        <v>1</v>
      </c>
      <c r="E3526" t="s">
        <v>3899</v>
      </c>
      <c r="G3526" s="3"/>
      <c r="H3526" s="3">
        <v>0</v>
      </c>
      <c r="I3526" s="3">
        <v>0</v>
      </c>
      <c r="J3526" s="3">
        <v>0</v>
      </c>
      <c r="K3526" s="3">
        <v>0</v>
      </c>
      <c r="L3526" s="3">
        <f t="shared" si="152"/>
        <v>0</v>
      </c>
      <c r="M3526" s="3"/>
      <c r="N3526" s="3">
        <f t="shared" si="153"/>
        <v>0</v>
      </c>
      <c r="R3526" s="89"/>
      <c r="S3526" s="89">
        <f>100%-Table34[[#This Row],[PDF_initial fee]]</f>
        <v>1</v>
      </c>
      <c r="T3526" s="89"/>
      <c r="U3526" s="26"/>
    </row>
    <row r="3527" spans="1:21" hidden="1" x14ac:dyDescent="0.25">
      <c r="A3527">
        <v>626291</v>
      </c>
      <c r="B3527" t="s">
        <v>3900</v>
      </c>
      <c r="C3527" t="s">
        <v>7797</v>
      </c>
      <c r="D3527">
        <v>2</v>
      </c>
      <c r="E3527" t="s">
        <v>3900</v>
      </c>
      <c r="G3527" s="3"/>
      <c r="H3527" s="21">
        <v>0</v>
      </c>
      <c r="I3527" s="21">
        <v>0</v>
      </c>
      <c r="J3527" s="21">
        <v>0</v>
      </c>
      <c r="K3527" s="21">
        <v>0</v>
      </c>
      <c r="L3527" s="3">
        <f t="shared" si="152"/>
        <v>0</v>
      </c>
      <c r="M3527" s="3"/>
      <c r="N3527" s="3">
        <f t="shared" si="153"/>
        <v>0</v>
      </c>
      <c r="R3527" s="89"/>
      <c r="S3527" s="89">
        <f>100%-Table34[[#This Row],[PDF_initial fee]]</f>
        <v>1</v>
      </c>
      <c r="T3527" s="89"/>
      <c r="U3527" s="26"/>
    </row>
    <row r="3528" spans="1:21" hidden="1" x14ac:dyDescent="0.25">
      <c r="A3528">
        <v>626323</v>
      </c>
      <c r="B3528" t="s">
        <v>3901</v>
      </c>
      <c r="C3528" t="s">
        <v>9266</v>
      </c>
      <c r="D3528">
        <v>2</v>
      </c>
      <c r="E3528" t="s">
        <v>3901</v>
      </c>
      <c r="G3528" s="3"/>
      <c r="H3528" s="21">
        <v>0</v>
      </c>
      <c r="I3528" s="21">
        <v>0</v>
      </c>
      <c r="J3528" s="21">
        <v>0</v>
      </c>
      <c r="K3528" s="21">
        <v>0</v>
      </c>
      <c r="L3528" s="3">
        <f t="shared" si="152"/>
        <v>0</v>
      </c>
      <c r="M3528" s="3"/>
      <c r="N3528" s="3">
        <f t="shared" si="153"/>
        <v>0</v>
      </c>
      <c r="R3528" s="89"/>
      <c r="S3528" s="89">
        <f>100%-Table34[[#This Row],[PDF_initial fee]]</f>
        <v>1</v>
      </c>
      <c r="T3528" s="89"/>
      <c r="U3528" s="26"/>
    </row>
    <row r="3529" spans="1:21" hidden="1" x14ac:dyDescent="0.25">
      <c r="A3529">
        <v>626355</v>
      </c>
      <c r="B3529" t="s">
        <v>3902</v>
      </c>
      <c r="C3529" t="s">
        <v>30706</v>
      </c>
      <c r="D3529">
        <v>2</v>
      </c>
      <c r="E3529" t="s">
        <v>3902</v>
      </c>
      <c r="G3529" s="3"/>
      <c r="H3529" s="21">
        <v>0</v>
      </c>
      <c r="I3529" s="21">
        <v>0</v>
      </c>
      <c r="J3529" s="21">
        <v>0</v>
      </c>
      <c r="K3529" s="21">
        <v>0</v>
      </c>
      <c r="L3529" s="3">
        <f t="shared" si="152"/>
        <v>0</v>
      </c>
      <c r="M3529" s="3"/>
      <c r="N3529" s="3">
        <f t="shared" si="153"/>
        <v>0</v>
      </c>
      <c r="O3529" s="21"/>
      <c r="R3529" s="89"/>
      <c r="S3529" s="89">
        <f>100%-Table34[[#This Row],[PDF_initial fee]]</f>
        <v>1</v>
      </c>
      <c r="T3529" s="89"/>
      <c r="U3529" s="26"/>
    </row>
    <row r="3530" spans="1:21" hidden="1" x14ac:dyDescent="0.25">
      <c r="A3530">
        <v>626359</v>
      </c>
      <c r="B3530" t="s">
        <v>3903</v>
      </c>
      <c r="C3530" t="s">
        <v>30707</v>
      </c>
      <c r="D3530">
        <v>5</v>
      </c>
      <c r="E3530" t="s">
        <v>3903</v>
      </c>
      <c r="G3530" s="3"/>
      <c r="H3530" s="3">
        <v>0</v>
      </c>
      <c r="I3530" s="3">
        <v>0</v>
      </c>
      <c r="J3530" s="3">
        <v>0</v>
      </c>
      <c r="K3530" s="3">
        <v>0</v>
      </c>
      <c r="L3530" s="3">
        <f t="shared" si="152"/>
        <v>0</v>
      </c>
      <c r="M3530" s="3"/>
      <c r="N3530" s="3">
        <f t="shared" si="153"/>
        <v>0</v>
      </c>
      <c r="R3530" s="89"/>
      <c r="S3530" s="89">
        <f>100%-Table34[[#This Row],[PDF_initial fee]]</f>
        <v>1</v>
      </c>
      <c r="T3530" s="89"/>
      <c r="U3530" s="26"/>
    </row>
    <row r="3531" spans="1:21" hidden="1" x14ac:dyDescent="0.25">
      <c r="A3531">
        <v>626360</v>
      </c>
      <c r="B3531" t="s">
        <v>3904</v>
      </c>
      <c r="C3531" t="s">
        <v>6958</v>
      </c>
      <c r="D3531">
        <v>1</v>
      </c>
      <c r="E3531" t="s">
        <v>3904</v>
      </c>
      <c r="F3531" t="s">
        <v>6958</v>
      </c>
      <c r="G3531" s="3"/>
      <c r="H3531" s="21">
        <v>0</v>
      </c>
      <c r="I3531" s="21">
        <v>0</v>
      </c>
      <c r="J3531" s="21">
        <v>0</v>
      </c>
      <c r="K3531" s="21">
        <v>0</v>
      </c>
      <c r="L3531" s="3">
        <f t="shared" si="152"/>
        <v>0</v>
      </c>
      <c r="M3531" s="3"/>
      <c r="N3531" s="3">
        <f t="shared" si="153"/>
        <v>0</v>
      </c>
      <c r="R3531" s="89"/>
      <c r="S3531" s="89">
        <f>100%-Table34[[#This Row],[PDF_initial fee]]</f>
        <v>1</v>
      </c>
      <c r="T3531" s="89"/>
      <c r="U3531" s="26"/>
    </row>
    <row r="3532" spans="1:21" hidden="1" x14ac:dyDescent="0.25">
      <c r="A3532">
        <v>626431</v>
      </c>
      <c r="B3532" t="s">
        <v>3906</v>
      </c>
      <c r="C3532" t="s">
        <v>30708</v>
      </c>
      <c r="D3532">
        <v>4</v>
      </c>
      <c r="E3532" t="s">
        <v>3906</v>
      </c>
      <c r="G3532" s="3"/>
      <c r="H3532" s="21">
        <v>0</v>
      </c>
      <c r="I3532" s="21">
        <v>0</v>
      </c>
      <c r="J3532" s="21">
        <v>0</v>
      </c>
      <c r="K3532" s="21">
        <v>0</v>
      </c>
      <c r="L3532" s="3">
        <f t="shared" si="152"/>
        <v>0</v>
      </c>
      <c r="M3532" s="3"/>
      <c r="N3532" s="3">
        <f t="shared" si="153"/>
        <v>0</v>
      </c>
      <c r="O3532" s="21"/>
      <c r="R3532" s="89"/>
      <c r="S3532" s="89">
        <f>100%-Table34[[#This Row],[PDF_initial fee]]</f>
        <v>1</v>
      </c>
      <c r="T3532" s="89"/>
      <c r="U3532" s="26"/>
    </row>
    <row r="3533" spans="1:21" hidden="1" x14ac:dyDescent="0.25">
      <c r="A3533">
        <v>626603</v>
      </c>
      <c r="B3533" t="s">
        <v>3907</v>
      </c>
      <c r="C3533" t="s">
        <v>10760</v>
      </c>
      <c r="D3533">
        <v>1</v>
      </c>
      <c r="E3533" t="s">
        <v>3907</v>
      </c>
      <c r="G3533" s="3"/>
      <c r="H3533" s="3">
        <v>0</v>
      </c>
      <c r="I3533" s="3">
        <v>0</v>
      </c>
      <c r="J3533" s="3">
        <v>0</v>
      </c>
      <c r="K3533" s="3">
        <v>0</v>
      </c>
      <c r="L3533" s="3">
        <f t="shared" si="152"/>
        <v>0</v>
      </c>
      <c r="M3533" s="3"/>
      <c r="N3533" s="3">
        <f t="shared" si="153"/>
        <v>0</v>
      </c>
      <c r="R3533" s="89"/>
      <c r="S3533" s="89">
        <f>100%-Table34[[#This Row],[PDF_initial fee]]</f>
        <v>1</v>
      </c>
      <c r="T3533" s="89"/>
      <c r="U3533" s="26"/>
    </row>
    <row r="3534" spans="1:21" hidden="1" x14ac:dyDescent="0.25">
      <c r="A3534">
        <v>626661</v>
      </c>
      <c r="B3534" t="s">
        <v>3908</v>
      </c>
      <c r="C3534" t="s">
        <v>7590</v>
      </c>
      <c r="D3534">
        <v>3</v>
      </c>
      <c r="E3534" t="s">
        <v>3908</v>
      </c>
      <c r="G3534" s="3"/>
      <c r="H3534" s="21">
        <v>0</v>
      </c>
      <c r="I3534" s="21">
        <v>0</v>
      </c>
      <c r="J3534" s="21">
        <v>0</v>
      </c>
      <c r="K3534" s="21">
        <v>0</v>
      </c>
      <c r="L3534" s="3">
        <f t="shared" si="152"/>
        <v>0</v>
      </c>
      <c r="M3534" s="3"/>
      <c r="N3534" s="3">
        <f t="shared" si="153"/>
        <v>0</v>
      </c>
      <c r="R3534" s="89"/>
      <c r="S3534" s="89">
        <f>100%-Table34[[#This Row],[PDF_initial fee]]</f>
        <v>1</v>
      </c>
      <c r="T3534" s="89"/>
      <c r="U3534" s="26"/>
    </row>
    <row r="3535" spans="1:21" hidden="1" x14ac:dyDescent="0.25">
      <c r="A3535">
        <v>626922</v>
      </c>
      <c r="B3535" t="s">
        <v>3909</v>
      </c>
      <c r="C3535" t="s">
        <v>30709</v>
      </c>
      <c r="D3535">
        <v>1</v>
      </c>
      <c r="E3535" t="s">
        <v>3909</v>
      </c>
      <c r="G3535" s="3"/>
      <c r="H3535" s="3">
        <v>0</v>
      </c>
      <c r="I3535" s="3">
        <v>0</v>
      </c>
      <c r="J3535" s="3">
        <v>0</v>
      </c>
      <c r="K3535" s="3">
        <v>0</v>
      </c>
      <c r="L3535" s="3">
        <f t="shared" si="152"/>
        <v>0</v>
      </c>
      <c r="M3535" s="3"/>
      <c r="N3535" s="3">
        <f t="shared" si="153"/>
        <v>0</v>
      </c>
      <c r="R3535" s="89"/>
      <c r="S3535" s="89">
        <f>100%-Table34[[#This Row],[PDF_initial fee]]</f>
        <v>1</v>
      </c>
      <c r="T3535" s="89"/>
      <c r="U3535" s="26"/>
    </row>
    <row r="3536" spans="1:21" hidden="1" x14ac:dyDescent="0.25">
      <c r="A3536">
        <v>627030</v>
      </c>
      <c r="B3536" t="s">
        <v>3910</v>
      </c>
      <c r="C3536" t="s">
        <v>10172</v>
      </c>
      <c r="D3536">
        <v>4</v>
      </c>
      <c r="E3536" t="s">
        <v>3910</v>
      </c>
      <c r="G3536" s="3"/>
      <c r="H3536" s="3">
        <v>0</v>
      </c>
      <c r="I3536" s="3">
        <v>0</v>
      </c>
      <c r="J3536" s="3">
        <v>0</v>
      </c>
      <c r="K3536" s="3">
        <v>0</v>
      </c>
      <c r="L3536" s="3">
        <f t="shared" si="152"/>
        <v>0</v>
      </c>
      <c r="M3536" s="3"/>
      <c r="N3536" s="3">
        <f t="shared" si="153"/>
        <v>0</v>
      </c>
      <c r="R3536" s="89"/>
      <c r="S3536" s="89">
        <f>100%-Table34[[#This Row],[PDF_initial fee]]</f>
        <v>1</v>
      </c>
      <c r="T3536" s="89"/>
      <c r="U3536" s="26"/>
    </row>
    <row r="3537" spans="1:21" hidden="1" x14ac:dyDescent="0.25">
      <c r="A3537">
        <v>627056</v>
      </c>
      <c r="B3537" t="s">
        <v>3911</v>
      </c>
      <c r="C3537" t="s">
        <v>9494</v>
      </c>
      <c r="D3537">
        <v>1</v>
      </c>
      <c r="E3537" t="s">
        <v>3911</v>
      </c>
      <c r="G3537" s="3"/>
      <c r="H3537" s="3">
        <v>0</v>
      </c>
      <c r="I3537" s="3">
        <v>0</v>
      </c>
      <c r="J3537" s="3">
        <v>0</v>
      </c>
      <c r="K3537" s="3">
        <v>0</v>
      </c>
      <c r="L3537" s="3">
        <f t="shared" si="152"/>
        <v>0</v>
      </c>
      <c r="M3537" s="3"/>
      <c r="N3537" s="3">
        <f t="shared" si="153"/>
        <v>0</v>
      </c>
      <c r="R3537" s="89"/>
      <c r="S3537" s="89">
        <f>100%-Table34[[#This Row],[PDF_initial fee]]</f>
        <v>1</v>
      </c>
      <c r="T3537" s="89"/>
      <c r="U3537" s="26"/>
    </row>
    <row r="3538" spans="1:21" hidden="1" x14ac:dyDescent="0.25">
      <c r="A3538">
        <v>627353</v>
      </c>
      <c r="B3538" t="s">
        <v>3912</v>
      </c>
      <c r="C3538" t="s">
        <v>6958</v>
      </c>
      <c r="D3538">
        <v>2</v>
      </c>
      <c r="E3538" t="s">
        <v>3912</v>
      </c>
      <c r="F3538" t="s">
        <v>6958</v>
      </c>
      <c r="G3538" s="3"/>
      <c r="L3538" s="3">
        <f t="shared" si="152"/>
        <v>0</v>
      </c>
      <c r="M3538" s="3"/>
      <c r="N3538" s="3">
        <f t="shared" si="153"/>
        <v>0</v>
      </c>
      <c r="R3538" s="89"/>
      <c r="S3538" s="89">
        <f>100%-Table34[[#This Row],[PDF_initial fee]]</f>
        <v>1</v>
      </c>
      <c r="T3538" s="89"/>
      <c r="U3538" s="26"/>
    </row>
    <row r="3539" spans="1:21" hidden="1" x14ac:dyDescent="0.25">
      <c r="A3539">
        <v>627414</v>
      </c>
      <c r="B3539" t="s">
        <v>3913</v>
      </c>
      <c r="C3539" t="s">
        <v>30710</v>
      </c>
      <c r="D3539">
        <v>1</v>
      </c>
      <c r="E3539" t="s">
        <v>3913</v>
      </c>
      <c r="G3539" s="3"/>
      <c r="H3539" s="3"/>
      <c r="I3539" s="3"/>
      <c r="J3539" s="3"/>
      <c r="K3539" s="3"/>
      <c r="L3539" s="3">
        <f t="shared" si="152"/>
        <v>0</v>
      </c>
      <c r="M3539" s="3"/>
      <c r="N3539" s="3">
        <f t="shared" si="153"/>
        <v>0</v>
      </c>
      <c r="R3539" s="89"/>
      <c r="S3539" s="89">
        <f>100%-Table34[[#This Row],[PDF_initial fee]]</f>
        <v>1</v>
      </c>
      <c r="T3539" s="89"/>
      <c r="U3539" s="26"/>
    </row>
    <row r="3540" spans="1:21" hidden="1" x14ac:dyDescent="0.25">
      <c r="A3540">
        <v>627428</v>
      </c>
      <c r="B3540" t="s">
        <v>3914</v>
      </c>
      <c r="C3540" t="s">
        <v>12574</v>
      </c>
      <c r="D3540">
        <v>1</v>
      </c>
      <c r="E3540" t="s">
        <v>3914</v>
      </c>
      <c r="G3540" s="3"/>
      <c r="H3540" s="3">
        <v>0</v>
      </c>
      <c r="I3540" s="3">
        <v>0</v>
      </c>
      <c r="J3540" s="3">
        <v>0</v>
      </c>
      <c r="K3540" s="3">
        <v>0</v>
      </c>
      <c r="L3540" s="3">
        <f t="shared" si="152"/>
        <v>0</v>
      </c>
      <c r="M3540" s="3"/>
      <c r="N3540" s="3">
        <f t="shared" si="153"/>
        <v>0</v>
      </c>
      <c r="R3540" s="89"/>
      <c r="S3540" s="89">
        <f>100%-Table34[[#This Row],[PDF_initial fee]]</f>
        <v>1</v>
      </c>
      <c r="T3540" s="89"/>
      <c r="U3540" s="26"/>
    </row>
    <row r="3541" spans="1:21" hidden="1" x14ac:dyDescent="0.25">
      <c r="A3541">
        <v>627465</v>
      </c>
      <c r="B3541" t="s">
        <v>3915</v>
      </c>
      <c r="C3541" t="s">
        <v>7537</v>
      </c>
      <c r="D3541">
        <v>1</v>
      </c>
      <c r="E3541" t="s">
        <v>3915</v>
      </c>
      <c r="G3541" s="3"/>
      <c r="H3541" s="21">
        <v>0</v>
      </c>
      <c r="I3541" s="21">
        <v>0</v>
      </c>
      <c r="J3541" s="21">
        <v>0</v>
      </c>
      <c r="K3541" s="21">
        <v>0</v>
      </c>
      <c r="L3541" s="3">
        <f t="shared" si="152"/>
        <v>0</v>
      </c>
      <c r="M3541" s="3"/>
      <c r="N3541" s="3">
        <f t="shared" si="153"/>
        <v>0</v>
      </c>
      <c r="R3541" s="89"/>
      <c r="S3541" s="89">
        <f>100%-Table34[[#This Row],[PDF_initial fee]]</f>
        <v>1</v>
      </c>
      <c r="T3541" s="89"/>
      <c r="U3541" s="26"/>
    </row>
    <row r="3542" spans="1:21" hidden="1" x14ac:dyDescent="0.25">
      <c r="A3542">
        <v>627635</v>
      </c>
      <c r="B3542" t="s">
        <v>3916</v>
      </c>
      <c r="C3542" t="s">
        <v>30711</v>
      </c>
      <c r="D3542">
        <v>5</v>
      </c>
      <c r="E3542" t="s">
        <v>3916</v>
      </c>
      <c r="G3542" s="3"/>
      <c r="H3542" s="3">
        <v>0</v>
      </c>
      <c r="I3542" s="3">
        <v>0</v>
      </c>
      <c r="J3542" s="3">
        <v>0</v>
      </c>
      <c r="K3542" s="3">
        <v>0</v>
      </c>
      <c r="L3542" s="3">
        <f t="shared" si="152"/>
        <v>0</v>
      </c>
      <c r="M3542" s="3"/>
      <c r="N3542" s="3">
        <f t="shared" si="153"/>
        <v>0</v>
      </c>
      <c r="R3542" s="89"/>
      <c r="S3542" s="89">
        <f>100%-Table34[[#This Row],[PDF_initial fee]]</f>
        <v>1</v>
      </c>
      <c r="T3542" s="89"/>
      <c r="U3542" s="26"/>
    </row>
    <row r="3543" spans="1:21" hidden="1" x14ac:dyDescent="0.25">
      <c r="A3543">
        <v>627636</v>
      </c>
      <c r="B3543" t="s">
        <v>3917</v>
      </c>
      <c r="C3543" t="s">
        <v>7306</v>
      </c>
      <c r="D3543">
        <v>5</v>
      </c>
      <c r="E3543" t="s">
        <v>3917</v>
      </c>
      <c r="G3543" s="3"/>
      <c r="H3543" s="21">
        <v>0</v>
      </c>
      <c r="I3543" s="21">
        <v>0</v>
      </c>
      <c r="J3543" s="21">
        <v>0</v>
      </c>
      <c r="K3543" s="21">
        <v>0</v>
      </c>
      <c r="L3543" s="3">
        <f t="shared" si="152"/>
        <v>0</v>
      </c>
      <c r="M3543" s="3"/>
      <c r="N3543" s="3">
        <f t="shared" si="153"/>
        <v>0</v>
      </c>
      <c r="R3543" s="89"/>
      <c r="S3543" s="89">
        <f>100%-Table34[[#This Row],[PDF_initial fee]]</f>
        <v>1</v>
      </c>
      <c r="T3543" s="89"/>
      <c r="U3543" s="26"/>
    </row>
    <row r="3544" spans="1:21" hidden="1" x14ac:dyDescent="0.25">
      <c r="A3544">
        <v>627644</v>
      </c>
      <c r="B3544" t="s">
        <v>3918</v>
      </c>
      <c r="C3544" t="s">
        <v>6958</v>
      </c>
      <c r="D3544">
        <v>0</v>
      </c>
      <c r="E3544" t="s">
        <v>3918</v>
      </c>
      <c r="F3544" t="s">
        <v>6958</v>
      </c>
      <c r="G3544" s="3"/>
      <c r="H3544" s="21">
        <v>0</v>
      </c>
      <c r="I3544" s="21">
        <v>0</v>
      </c>
      <c r="J3544" s="21">
        <v>0</v>
      </c>
      <c r="K3544" s="21">
        <v>0</v>
      </c>
      <c r="L3544" s="3">
        <f t="shared" si="152"/>
        <v>0</v>
      </c>
      <c r="M3544" s="3"/>
      <c r="N3544" s="3">
        <f t="shared" si="153"/>
        <v>0</v>
      </c>
      <c r="R3544" s="89"/>
      <c r="S3544" s="89">
        <f>100%-Table34[[#This Row],[PDF_initial fee]]</f>
        <v>1</v>
      </c>
      <c r="T3544" s="89"/>
      <c r="U3544" s="26"/>
    </row>
    <row r="3545" spans="1:21" hidden="1" x14ac:dyDescent="0.25">
      <c r="A3545">
        <v>627664</v>
      </c>
      <c r="B3545" t="s">
        <v>3919</v>
      </c>
      <c r="C3545" t="s">
        <v>6958</v>
      </c>
      <c r="D3545">
        <v>5</v>
      </c>
      <c r="E3545" t="s">
        <v>3919</v>
      </c>
      <c r="F3545" t="s">
        <v>6958</v>
      </c>
      <c r="G3545" s="3"/>
      <c r="H3545" s="21">
        <v>0</v>
      </c>
      <c r="I3545" s="21">
        <v>0</v>
      </c>
      <c r="J3545" s="21">
        <v>0</v>
      </c>
      <c r="K3545" s="21">
        <v>0</v>
      </c>
      <c r="L3545" s="3">
        <f t="shared" si="152"/>
        <v>0</v>
      </c>
      <c r="M3545" s="3"/>
      <c r="N3545" s="3">
        <f t="shared" si="153"/>
        <v>0</v>
      </c>
      <c r="R3545" s="89"/>
      <c r="S3545" s="89">
        <f>100%-Table34[[#This Row],[PDF_initial fee]]</f>
        <v>1</v>
      </c>
      <c r="T3545" s="89"/>
      <c r="U3545" s="26"/>
    </row>
    <row r="3546" spans="1:21" hidden="1" x14ac:dyDescent="0.25">
      <c r="A3546">
        <v>627671</v>
      </c>
      <c r="B3546" t="s">
        <v>3920</v>
      </c>
      <c r="C3546" t="s">
        <v>29074</v>
      </c>
      <c r="D3546">
        <v>0</v>
      </c>
      <c r="E3546" t="s">
        <v>3920</v>
      </c>
      <c r="F3546" t="s">
        <v>29136</v>
      </c>
      <c r="G3546" s="3"/>
      <c r="H3546" s="21">
        <v>0</v>
      </c>
      <c r="I3546" s="21">
        <v>0</v>
      </c>
      <c r="J3546" s="21">
        <v>0</v>
      </c>
      <c r="K3546" s="21">
        <v>0</v>
      </c>
      <c r="L3546" s="3">
        <f t="shared" si="152"/>
        <v>0</v>
      </c>
      <c r="M3546" s="3"/>
      <c r="N3546" s="3">
        <f t="shared" si="153"/>
        <v>0</v>
      </c>
      <c r="O3546" s="21"/>
      <c r="R3546" s="89"/>
      <c r="S3546" s="89">
        <f>100%-Table34[[#This Row],[PDF_initial fee]]</f>
        <v>1</v>
      </c>
      <c r="T3546" s="89"/>
      <c r="U3546" s="26"/>
    </row>
    <row r="3547" spans="1:21" hidden="1" x14ac:dyDescent="0.25">
      <c r="A3547">
        <v>627697</v>
      </c>
      <c r="B3547" t="s">
        <v>3921</v>
      </c>
      <c r="C3547" t="s">
        <v>30712</v>
      </c>
      <c r="D3547">
        <v>0</v>
      </c>
      <c r="E3547" t="s">
        <v>3921</v>
      </c>
      <c r="F3547" t="s">
        <v>29136</v>
      </c>
      <c r="G3547" s="3"/>
      <c r="H3547" s="21">
        <v>0</v>
      </c>
      <c r="I3547" s="21">
        <v>0</v>
      </c>
      <c r="J3547" s="21">
        <v>0</v>
      </c>
      <c r="K3547" s="21">
        <v>0</v>
      </c>
      <c r="L3547" s="3">
        <f t="shared" si="152"/>
        <v>0</v>
      </c>
      <c r="M3547" s="3"/>
      <c r="N3547" s="3">
        <f t="shared" si="153"/>
        <v>0</v>
      </c>
      <c r="O3547" s="21"/>
      <c r="R3547" s="89"/>
      <c r="S3547" s="89">
        <f>100%-Table34[[#This Row],[PDF_initial fee]]</f>
        <v>1</v>
      </c>
      <c r="T3547" s="89"/>
      <c r="U3547" s="26"/>
    </row>
    <row r="3548" spans="1:21" hidden="1" x14ac:dyDescent="0.25">
      <c r="A3548">
        <v>627725</v>
      </c>
      <c r="B3548" t="s">
        <v>3922</v>
      </c>
      <c r="C3548" t="s">
        <v>11930</v>
      </c>
      <c r="D3548">
        <v>2</v>
      </c>
      <c r="E3548" t="s">
        <v>3922</v>
      </c>
      <c r="G3548" s="3"/>
      <c r="H3548" s="3">
        <v>0</v>
      </c>
      <c r="I3548" s="3">
        <v>0</v>
      </c>
      <c r="J3548" s="3">
        <v>0</v>
      </c>
      <c r="K3548" s="3">
        <v>0</v>
      </c>
      <c r="L3548" s="3">
        <f t="shared" si="152"/>
        <v>0</v>
      </c>
      <c r="M3548" s="3"/>
      <c r="N3548" s="3">
        <f t="shared" si="153"/>
        <v>0</v>
      </c>
      <c r="R3548" s="89"/>
      <c r="S3548" s="89">
        <f>100%-Table34[[#This Row],[PDF_initial fee]]</f>
        <v>1</v>
      </c>
      <c r="T3548" s="89"/>
      <c r="U3548" s="26"/>
    </row>
    <row r="3549" spans="1:21" hidden="1" x14ac:dyDescent="0.25">
      <c r="A3549">
        <v>627747</v>
      </c>
      <c r="B3549" t="s">
        <v>3923</v>
      </c>
      <c r="C3549" t="s">
        <v>12175</v>
      </c>
      <c r="D3549">
        <v>1</v>
      </c>
      <c r="E3549" t="s">
        <v>3923</v>
      </c>
      <c r="G3549" s="3"/>
      <c r="H3549" s="3">
        <v>0</v>
      </c>
      <c r="I3549" s="3">
        <v>0</v>
      </c>
      <c r="J3549" s="3">
        <v>0</v>
      </c>
      <c r="K3549" s="3">
        <v>0</v>
      </c>
      <c r="L3549" s="3">
        <f t="shared" si="152"/>
        <v>0</v>
      </c>
      <c r="M3549" s="3"/>
      <c r="N3549" s="3">
        <f t="shared" si="153"/>
        <v>0</v>
      </c>
      <c r="R3549" s="89"/>
      <c r="S3549" s="89">
        <f>100%-Table34[[#This Row],[PDF_initial fee]]</f>
        <v>1</v>
      </c>
      <c r="T3549" s="89"/>
      <c r="U3549" s="26"/>
    </row>
    <row r="3550" spans="1:21" hidden="1" x14ac:dyDescent="0.25">
      <c r="A3550">
        <v>627757</v>
      </c>
      <c r="B3550" t="s">
        <v>3924</v>
      </c>
      <c r="C3550" t="s">
        <v>6958</v>
      </c>
      <c r="D3550">
        <v>4</v>
      </c>
      <c r="E3550" t="s">
        <v>3924</v>
      </c>
      <c r="F3550" t="s">
        <v>6958</v>
      </c>
      <c r="G3550" s="3"/>
      <c r="H3550" s="21">
        <v>0</v>
      </c>
      <c r="I3550" s="21">
        <v>0</v>
      </c>
      <c r="J3550" s="21">
        <v>0</v>
      </c>
      <c r="K3550" s="21">
        <v>0</v>
      </c>
      <c r="L3550" s="3">
        <f t="shared" si="152"/>
        <v>0</v>
      </c>
      <c r="M3550" s="3"/>
      <c r="N3550" s="3">
        <f t="shared" si="153"/>
        <v>0</v>
      </c>
      <c r="R3550" s="89"/>
      <c r="S3550" s="89">
        <f>100%-Table34[[#This Row],[PDF_initial fee]]</f>
        <v>1</v>
      </c>
      <c r="T3550" s="89"/>
      <c r="U3550" s="26"/>
    </row>
    <row r="3551" spans="1:21" hidden="1" x14ac:dyDescent="0.25">
      <c r="A3551">
        <v>627831</v>
      </c>
      <c r="B3551" t="s">
        <v>3925</v>
      </c>
      <c r="C3551" t="s">
        <v>10253</v>
      </c>
      <c r="D3551">
        <v>1</v>
      </c>
      <c r="E3551" t="s">
        <v>3925</v>
      </c>
      <c r="G3551" s="3"/>
      <c r="H3551" s="3">
        <v>0</v>
      </c>
      <c r="I3551" s="3">
        <v>0</v>
      </c>
      <c r="J3551" s="3">
        <v>0</v>
      </c>
      <c r="K3551" s="3">
        <v>0</v>
      </c>
      <c r="L3551" s="3">
        <f t="shared" si="152"/>
        <v>0</v>
      </c>
      <c r="M3551" s="3"/>
      <c r="N3551" s="3">
        <f t="shared" si="153"/>
        <v>0</v>
      </c>
      <c r="R3551" s="89"/>
      <c r="S3551" s="89">
        <f>100%-Table34[[#This Row],[PDF_initial fee]]</f>
        <v>1</v>
      </c>
      <c r="T3551" s="89"/>
      <c r="U3551" s="26"/>
    </row>
    <row r="3552" spans="1:21" hidden="1" x14ac:dyDescent="0.25">
      <c r="A3552">
        <v>627917</v>
      </c>
      <c r="B3552" t="s">
        <v>3926</v>
      </c>
      <c r="C3552" t="s">
        <v>6958</v>
      </c>
      <c r="D3552">
        <v>6</v>
      </c>
      <c r="E3552" t="s">
        <v>3926</v>
      </c>
      <c r="F3552" t="s">
        <v>6958</v>
      </c>
      <c r="G3552" s="3"/>
      <c r="H3552" s="21">
        <v>0</v>
      </c>
      <c r="I3552" s="21">
        <v>0</v>
      </c>
      <c r="J3552" s="21">
        <v>0</v>
      </c>
      <c r="K3552" s="21">
        <v>0</v>
      </c>
      <c r="L3552" s="3">
        <f t="shared" si="152"/>
        <v>0</v>
      </c>
      <c r="M3552" s="3"/>
      <c r="N3552" s="3">
        <f t="shared" si="153"/>
        <v>0</v>
      </c>
      <c r="R3552" s="89"/>
      <c r="S3552" s="89">
        <f>100%-Table34[[#This Row],[PDF_initial fee]]</f>
        <v>1</v>
      </c>
      <c r="T3552" s="89"/>
      <c r="U3552" s="26"/>
    </row>
    <row r="3553" spans="1:21" hidden="1" x14ac:dyDescent="0.25">
      <c r="A3553">
        <v>627920</v>
      </c>
      <c r="B3553" t="s">
        <v>3927</v>
      </c>
      <c r="C3553" t="s">
        <v>6958</v>
      </c>
      <c r="D3553">
        <v>1</v>
      </c>
      <c r="E3553" t="s">
        <v>3927</v>
      </c>
      <c r="F3553" t="s">
        <v>6958</v>
      </c>
      <c r="G3553" s="3"/>
      <c r="L3553" s="3">
        <f t="shared" si="152"/>
        <v>0</v>
      </c>
      <c r="M3553" s="3"/>
      <c r="N3553" s="3">
        <f t="shared" si="153"/>
        <v>0</v>
      </c>
      <c r="R3553" s="89"/>
      <c r="S3553" s="89">
        <f>100%-Table34[[#This Row],[PDF_initial fee]]</f>
        <v>1</v>
      </c>
      <c r="T3553" s="89"/>
      <c r="U3553" s="26"/>
    </row>
    <row r="3554" spans="1:21" hidden="1" x14ac:dyDescent="0.25">
      <c r="A3554">
        <v>627944</v>
      </c>
      <c r="B3554" t="s">
        <v>3928</v>
      </c>
      <c r="C3554" t="s">
        <v>11389</v>
      </c>
      <c r="D3554">
        <v>2</v>
      </c>
      <c r="E3554" t="s">
        <v>3928</v>
      </c>
      <c r="G3554" s="3"/>
      <c r="H3554" s="3">
        <v>0</v>
      </c>
      <c r="I3554" s="3">
        <v>0</v>
      </c>
      <c r="J3554" s="3">
        <v>0</v>
      </c>
      <c r="K3554" s="3">
        <v>0</v>
      </c>
      <c r="L3554" s="3">
        <f t="shared" ref="L3554:L3617" si="154">SUM(H3554:K3554)</f>
        <v>0</v>
      </c>
      <c r="M3554" s="3"/>
      <c r="N3554" s="3">
        <f t="shared" ref="N3554:N3617" si="155">L3554+G3554</f>
        <v>0</v>
      </c>
      <c r="R3554" s="89"/>
      <c r="S3554" s="89">
        <f>100%-Table34[[#This Row],[PDF_initial fee]]</f>
        <v>1</v>
      </c>
      <c r="T3554" s="89"/>
      <c r="U3554" s="26"/>
    </row>
    <row r="3555" spans="1:21" hidden="1" x14ac:dyDescent="0.25">
      <c r="A3555">
        <v>627954</v>
      </c>
      <c r="B3555" t="s">
        <v>3929</v>
      </c>
      <c r="C3555" t="s">
        <v>6958</v>
      </c>
      <c r="D3555">
        <v>2</v>
      </c>
      <c r="E3555" t="s">
        <v>3929</v>
      </c>
      <c r="F3555" t="s">
        <v>6958</v>
      </c>
      <c r="G3555" s="3"/>
      <c r="H3555" s="21">
        <v>0</v>
      </c>
      <c r="I3555" s="21">
        <v>0</v>
      </c>
      <c r="J3555" s="21">
        <v>0</v>
      </c>
      <c r="K3555" s="21">
        <v>0</v>
      </c>
      <c r="L3555" s="3">
        <f t="shared" si="154"/>
        <v>0</v>
      </c>
      <c r="M3555" s="3"/>
      <c r="N3555" s="3">
        <f t="shared" si="155"/>
        <v>0</v>
      </c>
      <c r="R3555" s="89"/>
      <c r="S3555" s="89">
        <f>100%-Table34[[#This Row],[PDF_initial fee]]</f>
        <v>1</v>
      </c>
      <c r="T3555" s="89"/>
      <c r="U3555" s="26"/>
    </row>
    <row r="3556" spans="1:21" hidden="1" x14ac:dyDescent="0.25">
      <c r="A3556">
        <v>627955</v>
      </c>
      <c r="B3556" t="s">
        <v>3930</v>
      </c>
      <c r="C3556" t="s">
        <v>11077</v>
      </c>
      <c r="D3556">
        <v>3</v>
      </c>
      <c r="E3556" t="s">
        <v>3930</v>
      </c>
      <c r="G3556" s="3"/>
      <c r="H3556" s="3">
        <v>0</v>
      </c>
      <c r="I3556" s="3">
        <v>0</v>
      </c>
      <c r="J3556" s="3">
        <v>0</v>
      </c>
      <c r="K3556" s="3">
        <v>0</v>
      </c>
      <c r="L3556" s="3">
        <f t="shared" si="154"/>
        <v>0</v>
      </c>
      <c r="M3556" s="3"/>
      <c r="N3556" s="3">
        <f t="shared" si="155"/>
        <v>0</v>
      </c>
      <c r="R3556" s="89"/>
      <c r="S3556" s="89">
        <f>100%-Table34[[#This Row],[PDF_initial fee]]</f>
        <v>1</v>
      </c>
      <c r="T3556" s="89"/>
      <c r="U3556" s="26"/>
    </row>
    <row r="3557" spans="1:21" hidden="1" x14ac:dyDescent="0.25">
      <c r="A3557">
        <v>627974</v>
      </c>
      <c r="B3557" t="s">
        <v>3931</v>
      </c>
      <c r="C3557" t="s">
        <v>12297</v>
      </c>
      <c r="D3557">
        <v>1</v>
      </c>
      <c r="E3557" t="s">
        <v>3931</v>
      </c>
      <c r="G3557" s="3"/>
      <c r="H3557" s="3">
        <v>0</v>
      </c>
      <c r="I3557" s="3">
        <v>0</v>
      </c>
      <c r="J3557" s="3">
        <v>0</v>
      </c>
      <c r="K3557" s="3">
        <v>0</v>
      </c>
      <c r="L3557" s="3">
        <f t="shared" si="154"/>
        <v>0</v>
      </c>
      <c r="M3557" s="3"/>
      <c r="N3557" s="3">
        <f t="shared" si="155"/>
        <v>0</v>
      </c>
      <c r="R3557" s="89"/>
      <c r="S3557" s="89">
        <f>100%-Table34[[#This Row],[PDF_initial fee]]</f>
        <v>1</v>
      </c>
      <c r="T3557" s="89"/>
      <c r="U3557" s="26"/>
    </row>
    <row r="3558" spans="1:21" hidden="1" x14ac:dyDescent="0.25">
      <c r="A3558">
        <v>627978</v>
      </c>
      <c r="B3558" t="s">
        <v>3932</v>
      </c>
      <c r="C3558" t="s">
        <v>7147</v>
      </c>
      <c r="D3558">
        <v>1</v>
      </c>
      <c r="E3558" t="s">
        <v>3932</v>
      </c>
      <c r="G3558" s="3"/>
      <c r="H3558" s="21">
        <v>0</v>
      </c>
      <c r="I3558" s="21">
        <v>0</v>
      </c>
      <c r="J3558" s="21">
        <v>0</v>
      </c>
      <c r="K3558" s="21">
        <v>0</v>
      </c>
      <c r="L3558" s="3">
        <f t="shared" si="154"/>
        <v>0</v>
      </c>
      <c r="M3558" s="3"/>
      <c r="N3558" s="3">
        <f t="shared" si="155"/>
        <v>0</v>
      </c>
      <c r="R3558" s="89"/>
      <c r="S3558" s="89">
        <f>100%-Table34[[#This Row],[PDF_initial fee]]</f>
        <v>1</v>
      </c>
      <c r="T3558" s="89"/>
      <c r="U3558" s="26"/>
    </row>
    <row r="3559" spans="1:21" hidden="1" x14ac:dyDescent="0.25">
      <c r="A3559">
        <v>628230</v>
      </c>
      <c r="B3559" t="s">
        <v>3934</v>
      </c>
      <c r="C3559" t="s">
        <v>11705</v>
      </c>
      <c r="D3559">
        <v>5</v>
      </c>
      <c r="E3559" t="s">
        <v>3934</v>
      </c>
      <c r="G3559" s="3"/>
      <c r="H3559" s="3">
        <v>0</v>
      </c>
      <c r="I3559" s="3">
        <v>0</v>
      </c>
      <c r="J3559" s="3">
        <v>0</v>
      </c>
      <c r="K3559" s="3">
        <v>0</v>
      </c>
      <c r="L3559" s="3">
        <f t="shared" si="154"/>
        <v>0</v>
      </c>
      <c r="M3559" s="3"/>
      <c r="N3559" s="3">
        <f t="shared" si="155"/>
        <v>0</v>
      </c>
      <c r="R3559" s="89"/>
      <c r="S3559" s="89">
        <f>100%-Table34[[#This Row],[PDF_initial fee]]</f>
        <v>1</v>
      </c>
      <c r="T3559" s="89"/>
      <c r="U3559" s="26"/>
    </row>
    <row r="3560" spans="1:21" hidden="1" x14ac:dyDescent="0.25">
      <c r="A3560">
        <v>628264</v>
      </c>
      <c r="B3560" t="s">
        <v>3935</v>
      </c>
      <c r="C3560" t="s">
        <v>6958</v>
      </c>
      <c r="D3560">
        <v>1</v>
      </c>
      <c r="E3560" t="s">
        <v>3935</v>
      </c>
      <c r="F3560" t="s">
        <v>6958</v>
      </c>
      <c r="G3560" s="3"/>
      <c r="L3560" s="3">
        <f t="shared" si="154"/>
        <v>0</v>
      </c>
      <c r="M3560" s="3"/>
      <c r="N3560" s="3">
        <f t="shared" si="155"/>
        <v>0</v>
      </c>
      <c r="R3560" s="89"/>
      <c r="S3560" s="89">
        <f>100%-Table34[[#This Row],[PDF_initial fee]]</f>
        <v>1</v>
      </c>
      <c r="T3560" s="89"/>
      <c r="U3560" s="26"/>
    </row>
    <row r="3561" spans="1:21" hidden="1" x14ac:dyDescent="0.25">
      <c r="A3561">
        <v>628296</v>
      </c>
      <c r="B3561" t="s">
        <v>3936</v>
      </c>
      <c r="C3561" t="s">
        <v>6958</v>
      </c>
      <c r="D3561">
        <v>1</v>
      </c>
      <c r="E3561" t="s">
        <v>3936</v>
      </c>
      <c r="F3561" t="s">
        <v>6958</v>
      </c>
      <c r="G3561" s="3"/>
      <c r="H3561" s="21">
        <v>0</v>
      </c>
      <c r="I3561" s="21">
        <v>0</v>
      </c>
      <c r="J3561" s="21">
        <v>0</v>
      </c>
      <c r="K3561" s="21">
        <v>0</v>
      </c>
      <c r="L3561" s="3">
        <f t="shared" si="154"/>
        <v>0</v>
      </c>
      <c r="M3561" s="3"/>
      <c r="N3561" s="3">
        <f t="shared" si="155"/>
        <v>0</v>
      </c>
      <c r="R3561" s="89"/>
      <c r="S3561" s="89">
        <f>100%-Table34[[#This Row],[PDF_initial fee]]</f>
        <v>1</v>
      </c>
      <c r="T3561" s="89"/>
      <c r="U3561" s="26"/>
    </row>
    <row r="3562" spans="1:21" hidden="1" x14ac:dyDescent="0.25">
      <c r="A3562">
        <v>628547</v>
      </c>
      <c r="B3562" t="s">
        <v>3937</v>
      </c>
      <c r="C3562" t="s">
        <v>30713</v>
      </c>
      <c r="D3562">
        <v>1</v>
      </c>
      <c r="E3562" t="s">
        <v>3937</v>
      </c>
      <c r="G3562" s="3"/>
      <c r="H3562" s="21">
        <v>0</v>
      </c>
      <c r="I3562" s="21">
        <v>0</v>
      </c>
      <c r="J3562" s="21">
        <v>0</v>
      </c>
      <c r="K3562" s="21">
        <v>0</v>
      </c>
      <c r="L3562" s="3">
        <f t="shared" si="154"/>
        <v>0</v>
      </c>
      <c r="M3562" s="3"/>
      <c r="N3562" s="3">
        <f t="shared" si="155"/>
        <v>0</v>
      </c>
      <c r="O3562" s="21"/>
      <c r="R3562" s="89"/>
      <c r="S3562" s="89">
        <f>100%-Table34[[#This Row],[PDF_initial fee]]</f>
        <v>1</v>
      </c>
      <c r="T3562" s="89"/>
      <c r="U3562" s="26"/>
    </row>
    <row r="3563" spans="1:21" hidden="1" x14ac:dyDescent="0.25">
      <c r="A3563">
        <v>628553</v>
      </c>
      <c r="B3563" t="s">
        <v>3938</v>
      </c>
      <c r="C3563" t="s">
        <v>30714</v>
      </c>
      <c r="D3563">
        <v>2</v>
      </c>
      <c r="E3563" t="s">
        <v>3938</v>
      </c>
      <c r="G3563" s="3"/>
      <c r="H3563" s="21">
        <v>0</v>
      </c>
      <c r="I3563" s="21">
        <v>0</v>
      </c>
      <c r="J3563" s="21">
        <v>0</v>
      </c>
      <c r="K3563" s="21">
        <v>0</v>
      </c>
      <c r="L3563" s="3">
        <f t="shared" si="154"/>
        <v>0</v>
      </c>
      <c r="M3563" s="3"/>
      <c r="N3563" s="3">
        <f t="shared" si="155"/>
        <v>0</v>
      </c>
      <c r="O3563" s="21"/>
      <c r="R3563" s="89"/>
      <c r="S3563" s="89">
        <f>100%-Table34[[#This Row],[PDF_initial fee]]</f>
        <v>1</v>
      </c>
      <c r="T3563" s="89"/>
      <c r="U3563" s="26"/>
    </row>
    <row r="3564" spans="1:21" hidden="1" x14ac:dyDescent="0.25">
      <c r="A3564">
        <v>628562</v>
      </c>
      <c r="B3564" t="s">
        <v>3939</v>
      </c>
      <c r="C3564" t="s">
        <v>6958</v>
      </c>
      <c r="D3564">
        <v>1</v>
      </c>
      <c r="E3564" t="s">
        <v>3939</v>
      </c>
      <c r="F3564" t="s">
        <v>6958</v>
      </c>
      <c r="G3564" s="3"/>
      <c r="L3564" s="3">
        <f t="shared" si="154"/>
        <v>0</v>
      </c>
      <c r="M3564" s="3"/>
      <c r="N3564" s="3">
        <f t="shared" si="155"/>
        <v>0</v>
      </c>
      <c r="R3564" s="89"/>
      <c r="S3564" s="89">
        <f>100%-Table34[[#This Row],[PDF_initial fee]]</f>
        <v>1</v>
      </c>
      <c r="T3564" s="89"/>
      <c r="U3564" s="26"/>
    </row>
    <row r="3565" spans="1:21" hidden="1" x14ac:dyDescent="0.25">
      <c r="A3565">
        <v>628609</v>
      </c>
      <c r="B3565" t="s">
        <v>3940</v>
      </c>
      <c r="C3565" t="s">
        <v>6958</v>
      </c>
      <c r="D3565">
        <v>1</v>
      </c>
      <c r="E3565" t="s">
        <v>3940</v>
      </c>
      <c r="F3565" t="s">
        <v>6958</v>
      </c>
      <c r="G3565" s="3"/>
      <c r="H3565" s="21">
        <v>0</v>
      </c>
      <c r="I3565" s="21">
        <v>0</v>
      </c>
      <c r="J3565" s="21">
        <v>0</v>
      </c>
      <c r="K3565" s="21">
        <v>0</v>
      </c>
      <c r="L3565" s="3">
        <f t="shared" si="154"/>
        <v>0</v>
      </c>
      <c r="M3565" s="3"/>
      <c r="N3565" s="3">
        <f t="shared" si="155"/>
        <v>0</v>
      </c>
      <c r="R3565" s="89"/>
      <c r="S3565" s="89">
        <f>100%-Table34[[#This Row],[PDF_initial fee]]</f>
        <v>1</v>
      </c>
      <c r="T3565" s="89"/>
      <c r="U3565" s="26"/>
    </row>
    <row r="3566" spans="1:21" hidden="1" x14ac:dyDescent="0.25">
      <c r="A3566">
        <v>628835</v>
      </c>
      <c r="B3566" t="s">
        <v>3941</v>
      </c>
      <c r="C3566" t="s">
        <v>10363</v>
      </c>
      <c r="D3566">
        <v>1</v>
      </c>
      <c r="E3566" t="s">
        <v>3941</v>
      </c>
      <c r="G3566" s="3"/>
      <c r="H3566" s="3"/>
      <c r="I3566" s="3"/>
      <c r="J3566" s="3"/>
      <c r="K3566" s="3"/>
      <c r="L3566" s="3">
        <f t="shared" si="154"/>
        <v>0</v>
      </c>
      <c r="M3566" s="3"/>
      <c r="N3566" s="3">
        <f t="shared" si="155"/>
        <v>0</v>
      </c>
      <c r="R3566" s="89"/>
      <c r="S3566" s="89">
        <f>100%-Table34[[#This Row],[PDF_initial fee]]</f>
        <v>1</v>
      </c>
      <c r="T3566" s="89"/>
      <c r="U3566" s="26"/>
    </row>
    <row r="3567" spans="1:21" hidden="1" x14ac:dyDescent="0.25">
      <c r="A3567">
        <v>628846</v>
      </c>
      <c r="B3567" t="s">
        <v>3942</v>
      </c>
      <c r="C3567" t="s">
        <v>11703</v>
      </c>
      <c r="D3567">
        <v>1</v>
      </c>
      <c r="E3567" t="s">
        <v>3942</v>
      </c>
      <c r="G3567" s="3"/>
      <c r="H3567" s="3">
        <v>0</v>
      </c>
      <c r="I3567" s="3">
        <v>0</v>
      </c>
      <c r="J3567" s="3">
        <v>0</v>
      </c>
      <c r="K3567" s="3">
        <v>0</v>
      </c>
      <c r="L3567" s="3">
        <f t="shared" si="154"/>
        <v>0</v>
      </c>
      <c r="M3567" s="3"/>
      <c r="N3567" s="3">
        <f t="shared" si="155"/>
        <v>0</v>
      </c>
      <c r="R3567" s="89"/>
      <c r="S3567" s="89">
        <f>100%-Table34[[#This Row],[PDF_initial fee]]</f>
        <v>1</v>
      </c>
      <c r="T3567" s="89"/>
      <c r="U3567" s="26"/>
    </row>
    <row r="3568" spans="1:21" hidden="1" x14ac:dyDescent="0.25">
      <c r="A3568">
        <v>628867</v>
      </c>
      <c r="B3568" t="s">
        <v>3943</v>
      </c>
      <c r="C3568" t="s">
        <v>7332</v>
      </c>
      <c r="D3568">
        <v>2</v>
      </c>
      <c r="E3568" t="s">
        <v>3943</v>
      </c>
      <c r="G3568" s="3"/>
      <c r="H3568" s="21">
        <v>0</v>
      </c>
      <c r="I3568" s="21">
        <v>0</v>
      </c>
      <c r="J3568" s="21">
        <v>0</v>
      </c>
      <c r="K3568" s="21">
        <v>0</v>
      </c>
      <c r="L3568" s="3">
        <f t="shared" si="154"/>
        <v>0</v>
      </c>
      <c r="M3568" s="3"/>
      <c r="N3568" s="3">
        <f t="shared" si="155"/>
        <v>0</v>
      </c>
      <c r="O3568" s="21"/>
      <c r="R3568" s="89"/>
      <c r="S3568" s="89">
        <f>100%-Table34[[#This Row],[PDF_initial fee]]</f>
        <v>1</v>
      </c>
      <c r="T3568" s="89"/>
      <c r="U3568" s="26"/>
    </row>
    <row r="3569" spans="1:30" hidden="1" x14ac:dyDescent="0.25">
      <c r="A3569">
        <v>628872</v>
      </c>
      <c r="B3569" t="s">
        <v>3944</v>
      </c>
      <c r="C3569" t="s">
        <v>30715</v>
      </c>
      <c r="D3569">
        <v>3</v>
      </c>
      <c r="E3569" t="s">
        <v>3944</v>
      </c>
      <c r="G3569" s="3"/>
      <c r="H3569" s="3">
        <v>0</v>
      </c>
      <c r="I3569" s="3">
        <v>0</v>
      </c>
      <c r="J3569" s="3">
        <v>0</v>
      </c>
      <c r="K3569" s="3">
        <v>0</v>
      </c>
      <c r="L3569" s="3">
        <f t="shared" si="154"/>
        <v>0</v>
      </c>
      <c r="M3569" s="3"/>
      <c r="N3569" s="3">
        <f t="shared" si="155"/>
        <v>0</v>
      </c>
      <c r="R3569" s="89"/>
      <c r="S3569" s="89">
        <f>100%-Table34[[#This Row],[PDF_initial fee]]</f>
        <v>1</v>
      </c>
      <c r="T3569" s="89"/>
      <c r="U3569" s="26"/>
    </row>
    <row r="3570" spans="1:30" hidden="1" x14ac:dyDescent="0.25">
      <c r="A3570">
        <v>628902</v>
      </c>
      <c r="B3570" t="s">
        <v>3945</v>
      </c>
      <c r="C3570" t="s">
        <v>11274</v>
      </c>
      <c r="D3570">
        <v>2</v>
      </c>
      <c r="E3570" t="s">
        <v>3945</v>
      </c>
      <c r="G3570" s="3"/>
      <c r="H3570" s="3">
        <v>0</v>
      </c>
      <c r="I3570" s="3">
        <v>0</v>
      </c>
      <c r="J3570" s="3">
        <v>0</v>
      </c>
      <c r="K3570" s="3">
        <v>0</v>
      </c>
      <c r="L3570" s="3">
        <f t="shared" si="154"/>
        <v>0</v>
      </c>
      <c r="M3570" s="3"/>
      <c r="N3570" s="3">
        <f t="shared" si="155"/>
        <v>0</v>
      </c>
      <c r="R3570" s="89"/>
      <c r="S3570" s="89">
        <f>100%-Table34[[#This Row],[PDF_initial fee]]</f>
        <v>1</v>
      </c>
      <c r="T3570" s="89"/>
      <c r="U3570" s="26"/>
    </row>
    <row r="3571" spans="1:30" hidden="1" x14ac:dyDescent="0.25">
      <c r="A3571">
        <v>628911</v>
      </c>
      <c r="B3571" t="s">
        <v>3946</v>
      </c>
      <c r="C3571" t="s">
        <v>6958</v>
      </c>
      <c r="D3571">
        <v>1</v>
      </c>
      <c r="E3571" t="s">
        <v>3946</v>
      </c>
      <c r="F3571" t="s">
        <v>6958</v>
      </c>
      <c r="G3571" s="3"/>
      <c r="H3571" s="21">
        <v>0</v>
      </c>
      <c r="I3571" s="21">
        <v>0</v>
      </c>
      <c r="J3571" s="21">
        <v>0</v>
      </c>
      <c r="K3571" s="21">
        <v>0</v>
      </c>
      <c r="L3571" s="3">
        <f t="shared" si="154"/>
        <v>0</v>
      </c>
      <c r="M3571" s="3"/>
      <c r="N3571" s="3">
        <f t="shared" si="155"/>
        <v>0</v>
      </c>
      <c r="R3571" s="89"/>
      <c r="S3571" s="89">
        <f>100%-Table34[[#This Row],[PDF_initial fee]]</f>
        <v>1</v>
      </c>
      <c r="T3571" s="89"/>
      <c r="U3571" s="26"/>
    </row>
    <row r="3572" spans="1:30" hidden="1" x14ac:dyDescent="0.25">
      <c r="A3572">
        <v>628929</v>
      </c>
      <c r="B3572" t="s">
        <v>3947</v>
      </c>
      <c r="C3572" t="s">
        <v>6958</v>
      </c>
      <c r="D3572">
        <v>1</v>
      </c>
      <c r="E3572" t="s">
        <v>3947</v>
      </c>
      <c r="F3572" t="s">
        <v>6958</v>
      </c>
      <c r="G3572" s="3"/>
      <c r="H3572" s="21">
        <v>0</v>
      </c>
      <c r="I3572" s="21">
        <v>0</v>
      </c>
      <c r="J3572" s="21">
        <v>0</v>
      </c>
      <c r="K3572" s="21">
        <v>0</v>
      </c>
      <c r="L3572" s="3">
        <f t="shared" si="154"/>
        <v>0</v>
      </c>
      <c r="M3572" s="3"/>
      <c r="N3572" s="3">
        <f t="shared" si="155"/>
        <v>0</v>
      </c>
      <c r="R3572" s="89"/>
      <c r="S3572" s="89">
        <f>100%-Table34[[#This Row],[PDF_initial fee]]</f>
        <v>1</v>
      </c>
      <c r="T3572" s="89"/>
      <c r="U3572" s="26"/>
    </row>
    <row r="3573" spans="1:30" hidden="1" x14ac:dyDescent="0.25">
      <c r="A3573">
        <v>628979</v>
      </c>
      <c r="B3573" t="s">
        <v>3949</v>
      </c>
      <c r="C3573" t="s">
        <v>9442</v>
      </c>
      <c r="D3573">
        <v>1</v>
      </c>
      <c r="E3573" t="s">
        <v>3949</v>
      </c>
      <c r="G3573" s="3"/>
      <c r="H3573" s="3">
        <v>0</v>
      </c>
      <c r="I3573" s="3">
        <v>0</v>
      </c>
      <c r="J3573" s="3">
        <v>0</v>
      </c>
      <c r="K3573" s="3">
        <v>0</v>
      </c>
      <c r="L3573" s="3">
        <f t="shared" si="154"/>
        <v>0</v>
      </c>
      <c r="M3573" s="3"/>
      <c r="N3573" s="3">
        <f t="shared" si="155"/>
        <v>0</v>
      </c>
      <c r="R3573" s="89"/>
      <c r="S3573" s="89">
        <f>100%-Table34[[#This Row],[PDF_initial fee]]</f>
        <v>1</v>
      </c>
      <c r="T3573" s="89"/>
      <c r="U3573" s="26"/>
    </row>
    <row r="3574" spans="1:30" hidden="1" x14ac:dyDescent="0.25">
      <c r="A3574">
        <v>628982</v>
      </c>
      <c r="B3574" t="s">
        <v>3950</v>
      </c>
      <c r="C3574" t="s">
        <v>7669</v>
      </c>
      <c r="D3574">
        <v>1</v>
      </c>
      <c r="E3574" t="s">
        <v>3950</v>
      </c>
      <c r="G3574" s="3"/>
      <c r="H3574" s="3"/>
      <c r="I3574" s="3"/>
      <c r="J3574" s="3"/>
      <c r="K3574" s="3"/>
      <c r="L3574" s="3">
        <f t="shared" si="154"/>
        <v>0</v>
      </c>
      <c r="M3574" s="3"/>
      <c r="N3574" s="3">
        <f t="shared" si="155"/>
        <v>0</v>
      </c>
      <c r="R3574" s="89"/>
      <c r="S3574" s="89">
        <f>100%-Table34[[#This Row],[PDF_initial fee]]</f>
        <v>1</v>
      </c>
      <c r="T3574" s="89"/>
      <c r="U3574" s="26"/>
      <c r="Y3574" s="30"/>
      <c r="AD3574" t="s">
        <v>29864</v>
      </c>
    </row>
    <row r="3575" spans="1:30" hidden="1" x14ac:dyDescent="0.25">
      <c r="A3575">
        <v>629098</v>
      </c>
      <c r="B3575" t="s">
        <v>3951</v>
      </c>
      <c r="C3575" t="s">
        <v>30716</v>
      </c>
      <c r="D3575">
        <v>0</v>
      </c>
      <c r="E3575" t="s">
        <v>3951</v>
      </c>
      <c r="F3575" t="s">
        <v>3</v>
      </c>
      <c r="G3575" s="3"/>
      <c r="H3575" s="3"/>
      <c r="I3575" s="3"/>
      <c r="J3575" s="3"/>
      <c r="K3575" s="3"/>
      <c r="L3575" s="3">
        <f t="shared" si="154"/>
        <v>0</v>
      </c>
      <c r="M3575" s="3"/>
      <c r="N3575" s="3">
        <f t="shared" si="155"/>
        <v>0</v>
      </c>
      <c r="R3575" s="89"/>
      <c r="S3575" s="89">
        <f>100%-Table34[[#This Row],[PDF_initial fee]]</f>
        <v>1</v>
      </c>
      <c r="T3575" s="89"/>
      <c r="U3575" s="26"/>
    </row>
    <row r="3576" spans="1:30" hidden="1" x14ac:dyDescent="0.25">
      <c r="A3576">
        <v>629100</v>
      </c>
      <c r="B3576" t="s">
        <v>3952</v>
      </c>
      <c r="C3576" t="s">
        <v>30717</v>
      </c>
      <c r="D3576">
        <v>0</v>
      </c>
      <c r="E3576" t="s">
        <v>3952</v>
      </c>
      <c r="F3576" t="s">
        <v>3</v>
      </c>
      <c r="G3576" s="3"/>
      <c r="H3576" s="3"/>
      <c r="I3576" s="3"/>
      <c r="J3576" s="3"/>
      <c r="K3576" s="3"/>
      <c r="L3576" s="3">
        <f t="shared" si="154"/>
        <v>0</v>
      </c>
      <c r="M3576" s="3"/>
      <c r="N3576" s="3">
        <f t="shared" si="155"/>
        <v>0</v>
      </c>
      <c r="R3576" s="89"/>
      <c r="S3576" s="89">
        <f>100%-Table34[[#This Row],[PDF_initial fee]]</f>
        <v>1</v>
      </c>
      <c r="T3576" s="89"/>
      <c r="U3576" s="26"/>
    </row>
    <row r="3577" spans="1:30" hidden="1" x14ac:dyDescent="0.25">
      <c r="A3577">
        <v>629324</v>
      </c>
      <c r="B3577" t="s">
        <v>3953</v>
      </c>
      <c r="C3577" t="s">
        <v>6958</v>
      </c>
      <c r="D3577">
        <v>2</v>
      </c>
      <c r="E3577" t="s">
        <v>3953</v>
      </c>
      <c r="F3577" t="s">
        <v>6958</v>
      </c>
      <c r="G3577" s="3"/>
      <c r="H3577" s="21">
        <v>0</v>
      </c>
      <c r="I3577" s="21">
        <v>0</v>
      </c>
      <c r="J3577" s="21">
        <v>0</v>
      </c>
      <c r="K3577" s="21">
        <v>0</v>
      </c>
      <c r="L3577" s="3">
        <f t="shared" si="154"/>
        <v>0</v>
      </c>
      <c r="M3577" s="3"/>
      <c r="N3577" s="3">
        <f t="shared" si="155"/>
        <v>0</v>
      </c>
      <c r="R3577" s="89"/>
      <c r="S3577" s="89">
        <f>100%-Table34[[#This Row],[PDF_initial fee]]</f>
        <v>1</v>
      </c>
      <c r="T3577" s="89"/>
      <c r="U3577" s="26"/>
    </row>
    <row r="3578" spans="1:30" x14ac:dyDescent="0.25">
      <c r="A3578">
        <v>576165</v>
      </c>
      <c r="B3578" t="s">
        <v>228</v>
      </c>
      <c r="C3578" t="s">
        <v>6980</v>
      </c>
      <c r="D3578">
        <v>10</v>
      </c>
      <c r="E3578" t="s">
        <v>228</v>
      </c>
      <c r="F3578" t="s">
        <v>3</v>
      </c>
      <c r="G3578" s="3">
        <v>1.4E-3</v>
      </c>
      <c r="H3578" s="3">
        <v>0</v>
      </c>
      <c r="I3578" s="3">
        <v>0</v>
      </c>
      <c r="J3578" s="6">
        <f>3%</f>
        <v>0.03</v>
      </c>
      <c r="K3578" s="6">
        <v>0.01</v>
      </c>
      <c r="L3578" s="3">
        <f t="shared" si="154"/>
        <v>0.04</v>
      </c>
      <c r="M3578" s="3"/>
      <c r="N3578" s="3">
        <f t="shared" si="155"/>
        <v>4.1399999999999999E-2</v>
      </c>
      <c r="O3578" t="s">
        <v>30718</v>
      </c>
      <c r="P3578" s="31" t="s">
        <v>30719</v>
      </c>
      <c r="Q3578" t="s">
        <v>31787</v>
      </c>
      <c r="R3578" s="89">
        <v>0.33333333333333348</v>
      </c>
      <c r="S3578" s="89">
        <f>100%-Table34[[#This Row],[PDF_initial fee]]</f>
        <v>0.97</v>
      </c>
      <c r="T3578" s="89">
        <f>(1-Table34[[#This Row],[PDF ongoing fee]])^5</f>
        <v>0.95099004989999991</v>
      </c>
      <c r="U3578" s="26">
        <f>(1+Table34[[#This Row],[Net 5yrs return (mostly up to 28th of Feb 2026)]])*Table34[[#This Row],[Investment after initial charge]]*Table34[[#This Row],[Cummulative 5yrs ongoing advice charge]]-1</f>
        <v>0.22994713120400001</v>
      </c>
      <c r="V3578" s="10">
        <f>158976+112005</f>
        <v>270981</v>
      </c>
      <c r="W3578" t="s">
        <v>29051</v>
      </c>
      <c r="X3578" s="9">
        <v>158976</v>
      </c>
      <c r="Y3578" s="30">
        <f>X3578/V3578</f>
        <v>0.58666843800856883</v>
      </c>
      <c r="AA3578" s="1" t="s">
        <v>30720</v>
      </c>
    </row>
    <row r="3579" spans="1:30" hidden="1" x14ac:dyDescent="0.25">
      <c r="A3579">
        <v>629436</v>
      </c>
      <c r="B3579" t="s">
        <v>3954</v>
      </c>
      <c r="C3579" t="s">
        <v>6958</v>
      </c>
      <c r="D3579">
        <v>1</v>
      </c>
      <c r="E3579" t="s">
        <v>3954</v>
      </c>
      <c r="F3579" t="s">
        <v>6958</v>
      </c>
      <c r="G3579" s="3"/>
      <c r="H3579" s="21">
        <v>0</v>
      </c>
      <c r="I3579" s="21">
        <v>0</v>
      </c>
      <c r="J3579" s="21">
        <v>0</v>
      </c>
      <c r="K3579" s="21">
        <v>0</v>
      </c>
      <c r="L3579" s="3">
        <f t="shared" si="154"/>
        <v>0</v>
      </c>
      <c r="M3579" s="3"/>
      <c r="N3579" s="3">
        <f t="shared" si="155"/>
        <v>0</v>
      </c>
      <c r="R3579" s="89"/>
      <c r="S3579" s="89">
        <f>100%-Table34[[#This Row],[PDF_initial fee]]</f>
        <v>1</v>
      </c>
      <c r="T3579" s="89"/>
      <c r="U3579" s="26"/>
    </row>
    <row r="3580" spans="1:30" hidden="1" x14ac:dyDescent="0.25">
      <c r="A3580">
        <v>629454</v>
      </c>
      <c r="B3580" t="s">
        <v>3955</v>
      </c>
      <c r="C3580" t="s">
        <v>10689</v>
      </c>
      <c r="D3580">
        <v>4</v>
      </c>
      <c r="E3580" t="s">
        <v>3955</v>
      </c>
      <c r="G3580" s="3"/>
      <c r="H3580" s="3"/>
      <c r="I3580" s="3"/>
      <c r="J3580" s="3"/>
      <c r="K3580" s="3"/>
      <c r="L3580" s="3">
        <f t="shared" si="154"/>
        <v>0</v>
      </c>
      <c r="M3580" s="3"/>
      <c r="N3580" s="3">
        <f t="shared" si="155"/>
        <v>0</v>
      </c>
      <c r="R3580" s="89"/>
      <c r="S3580" s="89">
        <f>100%-Table34[[#This Row],[PDF_initial fee]]</f>
        <v>1</v>
      </c>
      <c r="T3580" s="89"/>
      <c r="U3580" s="26"/>
    </row>
    <row r="3581" spans="1:30" hidden="1" x14ac:dyDescent="0.25">
      <c r="A3581">
        <v>629519</v>
      </c>
      <c r="B3581" t="s">
        <v>3956</v>
      </c>
      <c r="C3581" t="s">
        <v>10954</v>
      </c>
      <c r="D3581">
        <v>2</v>
      </c>
      <c r="E3581" t="s">
        <v>3956</v>
      </c>
      <c r="G3581" s="3"/>
      <c r="H3581" s="3">
        <v>0</v>
      </c>
      <c r="I3581" s="3">
        <v>0</v>
      </c>
      <c r="J3581" s="3">
        <v>0</v>
      </c>
      <c r="K3581" s="3">
        <v>0</v>
      </c>
      <c r="L3581" s="3">
        <f t="shared" si="154"/>
        <v>0</v>
      </c>
      <c r="M3581" s="3"/>
      <c r="N3581" s="3">
        <f t="shared" si="155"/>
        <v>0</v>
      </c>
      <c r="R3581" s="89"/>
      <c r="S3581" s="89">
        <f>100%-Table34[[#This Row],[PDF_initial fee]]</f>
        <v>1</v>
      </c>
      <c r="T3581" s="89"/>
      <c r="U3581" s="26"/>
    </row>
    <row r="3582" spans="1:30" x14ac:dyDescent="0.25">
      <c r="A3582">
        <v>150571</v>
      </c>
      <c r="B3582" t="s">
        <v>70</v>
      </c>
      <c r="C3582" s="1" t="s">
        <v>30721</v>
      </c>
      <c r="D3582">
        <v>2</v>
      </c>
      <c r="E3582" t="s">
        <v>70</v>
      </c>
      <c r="F3582" t="s">
        <v>3</v>
      </c>
      <c r="G3582" s="3">
        <v>1.4E-3</v>
      </c>
      <c r="H3582" s="21">
        <v>0</v>
      </c>
      <c r="I3582" s="21">
        <v>0</v>
      </c>
      <c r="J3582" s="6">
        <v>2.5000000000000001E-2</v>
      </c>
      <c r="K3582" s="6">
        <v>5.0000000000000001E-3</v>
      </c>
      <c r="L3582" s="3">
        <f t="shared" si="154"/>
        <v>3.0000000000000002E-2</v>
      </c>
      <c r="M3582" s="3"/>
      <c r="N3582" s="3">
        <f t="shared" si="155"/>
        <v>3.1400000000000004E-2</v>
      </c>
      <c r="O3582" s="7"/>
      <c r="P3582" s="1" t="s">
        <v>30722</v>
      </c>
      <c r="Q3582" t="s">
        <v>31787</v>
      </c>
      <c r="R3582" s="89">
        <v>0.33333333333333348</v>
      </c>
      <c r="S3582" s="89">
        <f>100%-Table34[[#This Row],[PDF_initial fee]]</f>
        <v>0.97499999999999998</v>
      </c>
      <c r="T3582" s="89">
        <f>(1-Table34[[#This Row],[PDF ongoing fee]])^5</f>
        <v>0.97524875312187509</v>
      </c>
      <c r="U3582" s="26">
        <f>(1+Table34[[#This Row],[Net 5yrs return (mostly up to 28th of Feb 2026)]])*Table34[[#This Row],[Investment after initial charge]]*Table34[[#This Row],[Cummulative 5yrs ongoing advice charge]]-1</f>
        <v>0.26782337905843767</v>
      </c>
      <c r="V3582" s="10">
        <f>57131+145798</f>
        <v>202929</v>
      </c>
      <c r="W3582" t="s">
        <v>29051</v>
      </c>
      <c r="X3582" s="10">
        <v>18471</v>
      </c>
      <c r="Y3582" s="30">
        <f>X3582/V3582</f>
        <v>9.1021983058113917E-2</v>
      </c>
      <c r="AA3582" s="1" t="s">
        <v>30723</v>
      </c>
    </row>
    <row r="3583" spans="1:30" x14ac:dyDescent="0.25">
      <c r="A3583">
        <v>706988</v>
      </c>
      <c r="B3583" t="s">
        <v>271</v>
      </c>
      <c r="C3583" s="1" t="s">
        <v>30724</v>
      </c>
      <c r="D3583">
        <v>9</v>
      </c>
      <c r="E3583" t="s">
        <v>271</v>
      </c>
      <c r="F3583" t="s">
        <v>6</v>
      </c>
      <c r="G3583" s="3">
        <v>4.4999999999999997E-3</v>
      </c>
      <c r="H3583" s="3">
        <v>1.0999999999999999E-2</v>
      </c>
      <c r="I3583" s="3"/>
      <c r="J3583" s="6">
        <v>0</v>
      </c>
      <c r="K3583" s="6"/>
      <c r="L3583" s="3">
        <f t="shared" si="154"/>
        <v>1.0999999999999999E-2</v>
      </c>
      <c r="M3583" s="3"/>
      <c r="N3583" s="3">
        <f t="shared" si="155"/>
        <v>1.55E-2</v>
      </c>
      <c r="O3583" t="s">
        <v>30725</v>
      </c>
      <c r="P3583" s="1" t="s">
        <v>30726</v>
      </c>
      <c r="Q3583" s="101" t="s">
        <v>31781</v>
      </c>
      <c r="R3583" s="89">
        <v>0.27</v>
      </c>
      <c r="S3583" s="89">
        <f>100%-Table34[[#This Row],[InitialFee]]</f>
        <v>0.98899999999999999</v>
      </c>
      <c r="T3583" s="89">
        <f>(1-Table34[[#This Row],[OngoingFee (plus Platform fee)]])^5</f>
        <v>1</v>
      </c>
      <c r="U3583" s="26">
        <f>(1+Table34[[#This Row],[Net 5yrs return (mostly up to 28th of Feb 2026)]])*Table34[[#This Row],[Investment after initial charge]]*Table34[[#This Row],[Cummulative 5yrs ongoing advice charge]]-1</f>
        <v>0.25602999999999998</v>
      </c>
      <c r="V3583" s="10">
        <f>6943921+846039</f>
        <v>7789960</v>
      </c>
      <c r="W3583" s="10" t="s">
        <v>29051</v>
      </c>
      <c r="X3583" s="10">
        <v>6943921</v>
      </c>
      <c r="Y3583" s="30">
        <f>X3583/V3583</f>
        <v>0.89139366569276346</v>
      </c>
      <c r="AA3583" s="1" t="s">
        <v>30727</v>
      </c>
      <c r="AC3583" t="s">
        <v>30728</v>
      </c>
      <c r="AD3583" s="1" t="s">
        <v>30729</v>
      </c>
    </row>
    <row r="3584" spans="1:30" hidden="1" x14ac:dyDescent="0.25">
      <c r="A3584">
        <v>629578</v>
      </c>
      <c r="B3584" t="s">
        <v>3957</v>
      </c>
      <c r="C3584" t="s">
        <v>30730</v>
      </c>
      <c r="D3584">
        <v>1</v>
      </c>
      <c r="E3584" t="s">
        <v>3957</v>
      </c>
      <c r="G3584" s="3"/>
      <c r="H3584" s="3">
        <v>0</v>
      </c>
      <c r="I3584" s="3">
        <v>0</v>
      </c>
      <c r="J3584" s="3">
        <v>0</v>
      </c>
      <c r="K3584" s="3">
        <v>0</v>
      </c>
      <c r="L3584" s="3">
        <f t="shared" si="154"/>
        <v>0</v>
      </c>
      <c r="M3584" s="3"/>
      <c r="N3584" s="3">
        <f t="shared" si="155"/>
        <v>0</v>
      </c>
      <c r="R3584" s="89"/>
      <c r="S3584" s="89">
        <f>100%-Table34[[#This Row],[PDF_initial fee]]</f>
        <v>1</v>
      </c>
      <c r="T3584" s="89"/>
      <c r="U3584" s="26"/>
    </row>
    <row r="3585" spans="1:29" hidden="1" x14ac:dyDescent="0.25">
      <c r="A3585">
        <v>629592</v>
      </c>
      <c r="B3585" t="s">
        <v>3958</v>
      </c>
      <c r="C3585" t="s">
        <v>10311</v>
      </c>
      <c r="D3585">
        <v>4</v>
      </c>
      <c r="E3585" t="s">
        <v>3958</v>
      </c>
      <c r="G3585" s="3"/>
      <c r="H3585" s="3">
        <v>0</v>
      </c>
      <c r="I3585" s="3">
        <v>0</v>
      </c>
      <c r="J3585" s="3">
        <v>0</v>
      </c>
      <c r="K3585" s="3">
        <v>0</v>
      </c>
      <c r="L3585" s="3">
        <f t="shared" si="154"/>
        <v>0</v>
      </c>
      <c r="M3585" s="3"/>
      <c r="N3585" s="3">
        <f t="shared" si="155"/>
        <v>0</v>
      </c>
      <c r="R3585" s="89"/>
      <c r="S3585" s="89">
        <f>100%-Table34[[#This Row],[PDF_initial fee]]</f>
        <v>1</v>
      </c>
      <c r="T3585" s="89"/>
      <c r="U3585" s="26"/>
    </row>
    <row r="3586" spans="1:29" hidden="1" x14ac:dyDescent="0.25">
      <c r="A3586">
        <v>629624</v>
      </c>
      <c r="B3586" t="s">
        <v>3959</v>
      </c>
      <c r="C3586" t="s">
        <v>30731</v>
      </c>
      <c r="D3586">
        <v>3</v>
      </c>
      <c r="E3586" t="s">
        <v>3959</v>
      </c>
      <c r="G3586" s="3"/>
      <c r="H3586" s="3">
        <v>0</v>
      </c>
      <c r="I3586" s="3">
        <v>0</v>
      </c>
      <c r="J3586" s="3">
        <v>0</v>
      </c>
      <c r="K3586" s="3">
        <v>0</v>
      </c>
      <c r="L3586" s="3">
        <f t="shared" si="154"/>
        <v>0</v>
      </c>
      <c r="M3586" s="3"/>
      <c r="N3586" s="3">
        <f t="shared" si="155"/>
        <v>0</v>
      </c>
      <c r="R3586" s="89"/>
      <c r="S3586" s="89">
        <f>100%-Table34[[#This Row],[PDF_initial fee]]</f>
        <v>1</v>
      </c>
      <c r="T3586" s="89"/>
      <c r="U3586" s="26"/>
    </row>
    <row r="3587" spans="1:29" x14ac:dyDescent="0.25">
      <c r="A3587">
        <v>778951</v>
      </c>
      <c r="B3587" t="s">
        <v>294</v>
      </c>
      <c r="C3587" t="s">
        <v>30732</v>
      </c>
      <c r="D3587">
        <v>11</v>
      </c>
      <c r="E3587" t="s">
        <v>294</v>
      </c>
      <c r="F3587" t="s">
        <v>3</v>
      </c>
      <c r="G3587" s="3">
        <v>1.4E-3</v>
      </c>
      <c r="H3587" s="3"/>
      <c r="I3587" s="3">
        <v>9.4999999999999998E-3</v>
      </c>
      <c r="J3587" s="6">
        <v>0</v>
      </c>
      <c r="K3587" s="6"/>
      <c r="L3587" s="3">
        <f t="shared" si="154"/>
        <v>9.4999999999999998E-3</v>
      </c>
      <c r="M3587" s="3"/>
      <c r="N3587" s="3">
        <f t="shared" si="155"/>
        <v>1.09E-2</v>
      </c>
      <c r="O3587" t="s">
        <v>30733</v>
      </c>
      <c r="P3587" s="1" t="s">
        <v>30734</v>
      </c>
      <c r="Q3587" t="s">
        <v>31787</v>
      </c>
      <c r="R3587" s="89">
        <v>0.33333333333333348</v>
      </c>
      <c r="S3587" s="99">
        <f>100%-Table34[[#This Row],[InitialFee]]</f>
        <v>1</v>
      </c>
      <c r="T3587" s="99">
        <f>(1-Table34[[#This Row],[OngoingFee (plus Platform fee)]])^5</f>
        <v>0.95339396689793454</v>
      </c>
      <c r="U3587" s="26">
        <f>(1+Table34[[#This Row],[Net 5yrs return (mostly up to 28th of Feb 2026)]])*Table34[[#This Row],[Investment after initial charge]]*Table34[[#This Row],[Cummulative 5yrs ongoing advice charge]]-1</f>
        <v>0.27119195586391287</v>
      </c>
      <c r="V3587" s="10">
        <f>1536285+566489</f>
        <v>2102774</v>
      </c>
      <c r="W3587" t="s">
        <v>29051</v>
      </c>
      <c r="X3587" s="10">
        <v>1536285</v>
      </c>
      <c r="Y3587" s="30">
        <f>X3587/V3587</f>
        <v>0.73059919896289383</v>
      </c>
      <c r="AA3587" s="1" t="s">
        <v>30735</v>
      </c>
      <c r="AC3587" t="s">
        <v>30736</v>
      </c>
    </row>
    <row r="3588" spans="1:29" hidden="1" x14ac:dyDescent="0.25">
      <c r="A3588">
        <v>629639</v>
      </c>
      <c r="B3588" t="s">
        <v>3960</v>
      </c>
      <c r="C3588" s="1" t="s">
        <v>30737</v>
      </c>
      <c r="D3588">
        <v>3</v>
      </c>
      <c r="E3588" t="s">
        <v>3960</v>
      </c>
      <c r="G3588" s="3"/>
      <c r="H3588" s="3">
        <v>0</v>
      </c>
      <c r="I3588" s="3">
        <v>0</v>
      </c>
      <c r="J3588" s="3">
        <v>0</v>
      </c>
      <c r="K3588" s="3">
        <v>0</v>
      </c>
      <c r="L3588" s="3">
        <f t="shared" si="154"/>
        <v>0</v>
      </c>
      <c r="M3588" s="3"/>
      <c r="N3588" s="3">
        <f t="shared" si="155"/>
        <v>0</v>
      </c>
      <c r="R3588" s="89"/>
      <c r="S3588" s="89">
        <f>100%-Table34[[#This Row],[PDF_initial fee]]</f>
        <v>1</v>
      </c>
      <c r="T3588" s="89"/>
      <c r="U3588" s="26"/>
    </row>
    <row r="3589" spans="1:29" hidden="1" x14ac:dyDescent="0.25">
      <c r="A3589">
        <v>629678</v>
      </c>
      <c r="B3589" t="s">
        <v>3961</v>
      </c>
      <c r="C3589" t="s">
        <v>6958</v>
      </c>
      <c r="D3589">
        <v>1</v>
      </c>
      <c r="E3589" t="s">
        <v>3961</v>
      </c>
      <c r="F3589" t="s">
        <v>6958</v>
      </c>
      <c r="G3589" s="3"/>
      <c r="L3589" s="3">
        <f t="shared" si="154"/>
        <v>0</v>
      </c>
      <c r="M3589" s="3"/>
      <c r="N3589" s="3">
        <f t="shared" si="155"/>
        <v>0</v>
      </c>
      <c r="R3589" s="89"/>
      <c r="S3589" s="89">
        <f>100%-Table34[[#This Row],[PDF_initial fee]]</f>
        <v>1</v>
      </c>
      <c r="T3589" s="89"/>
      <c r="U3589" s="26"/>
    </row>
    <row r="3590" spans="1:29" hidden="1" x14ac:dyDescent="0.25">
      <c r="A3590">
        <v>629716</v>
      </c>
      <c r="B3590" t="s">
        <v>3962</v>
      </c>
      <c r="C3590" t="s">
        <v>6958</v>
      </c>
      <c r="D3590">
        <v>1</v>
      </c>
      <c r="E3590" t="s">
        <v>3962</v>
      </c>
      <c r="F3590" t="s">
        <v>6958</v>
      </c>
      <c r="G3590" s="3"/>
      <c r="H3590" s="21">
        <v>0</v>
      </c>
      <c r="I3590" s="21">
        <v>0</v>
      </c>
      <c r="J3590" s="21">
        <v>0</v>
      </c>
      <c r="K3590" s="21">
        <v>0</v>
      </c>
      <c r="L3590" s="3">
        <f t="shared" si="154"/>
        <v>0</v>
      </c>
      <c r="M3590" s="3"/>
      <c r="N3590" s="3">
        <f t="shared" si="155"/>
        <v>0</v>
      </c>
      <c r="R3590" s="89"/>
      <c r="S3590" s="89">
        <f>100%-Table34[[#This Row],[PDF_initial fee]]</f>
        <v>1</v>
      </c>
      <c r="T3590" s="89"/>
      <c r="U3590" s="26"/>
    </row>
    <row r="3591" spans="1:29" hidden="1" x14ac:dyDescent="0.25">
      <c r="A3591">
        <v>629749</v>
      </c>
      <c r="B3591" t="s">
        <v>3963</v>
      </c>
      <c r="C3591" t="s">
        <v>30738</v>
      </c>
      <c r="D3591">
        <v>48</v>
      </c>
      <c r="E3591" t="s">
        <v>3963</v>
      </c>
      <c r="G3591" s="3"/>
      <c r="H3591" s="3">
        <v>0</v>
      </c>
      <c r="I3591" s="3">
        <v>0</v>
      </c>
      <c r="J3591" s="3">
        <v>0</v>
      </c>
      <c r="K3591" s="3">
        <v>0</v>
      </c>
      <c r="L3591" s="3">
        <f t="shared" si="154"/>
        <v>0</v>
      </c>
      <c r="M3591" s="3"/>
      <c r="N3591" s="3">
        <f t="shared" si="155"/>
        <v>0</v>
      </c>
      <c r="R3591" s="89"/>
      <c r="S3591" s="89">
        <f>100%-Table34[[#This Row],[PDF_initial fee]]</f>
        <v>1</v>
      </c>
      <c r="T3591" s="89"/>
      <c r="U3591" s="26"/>
    </row>
    <row r="3592" spans="1:29" hidden="1" x14ac:dyDescent="0.25">
      <c r="A3592">
        <v>629938</v>
      </c>
      <c r="B3592" t="s">
        <v>3964</v>
      </c>
      <c r="C3592" t="s">
        <v>8522</v>
      </c>
      <c r="D3592">
        <v>2</v>
      </c>
      <c r="E3592" t="s">
        <v>3964</v>
      </c>
      <c r="G3592" s="3"/>
      <c r="H3592" s="21">
        <v>0</v>
      </c>
      <c r="I3592" s="21">
        <v>0</v>
      </c>
      <c r="J3592" s="21">
        <v>0</v>
      </c>
      <c r="K3592" s="21">
        <v>0</v>
      </c>
      <c r="L3592" s="3">
        <f t="shared" si="154"/>
        <v>0</v>
      </c>
      <c r="M3592" s="3"/>
      <c r="N3592" s="3">
        <f t="shared" si="155"/>
        <v>0</v>
      </c>
      <c r="R3592" s="89"/>
      <c r="S3592" s="89">
        <f>100%-Table34[[#This Row],[PDF_initial fee]]</f>
        <v>1</v>
      </c>
      <c r="T3592" s="89"/>
      <c r="U3592" s="26"/>
    </row>
    <row r="3593" spans="1:29" hidden="1" x14ac:dyDescent="0.25">
      <c r="A3593">
        <v>629940</v>
      </c>
      <c r="B3593" t="s">
        <v>3965</v>
      </c>
      <c r="C3593" t="s">
        <v>9013</v>
      </c>
      <c r="D3593">
        <v>3</v>
      </c>
      <c r="E3593" t="s">
        <v>3965</v>
      </c>
      <c r="G3593" s="3"/>
      <c r="H3593" s="21">
        <v>0</v>
      </c>
      <c r="I3593" s="21">
        <v>0</v>
      </c>
      <c r="J3593" s="21">
        <v>0</v>
      </c>
      <c r="K3593" s="21">
        <v>0</v>
      </c>
      <c r="L3593" s="3">
        <f t="shared" si="154"/>
        <v>0</v>
      </c>
      <c r="M3593" s="3"/>
      <c r="N3593" s="3">
        <f t="shared" si="155"/>
        <v>0</v>
      </c>
      <c r="R3593" s="89"/>
      <c r="S3593" s="89">
        <f>100%-Table34[[#This Row],[PDF_initial fee]]</f>
        <v>1</v>
      </c>
      <c r="T3593" s="89"/>
      <c r="U3593" s="26"/>
    </row>
    <row r="3594" spans="1:29" hidden="1" x14ac:dyDescent="0.25">
      <c r="A3594">
        <v>629965</v>
      </c>
      <c r="B3594" t="s">
        <v>3966</v>
      </c>
      <c r="C3594" t="s">
        <v>30739</v>
      </c>
      <c r="D3594">
        <v>1</v>
      </c>
      <c r="E3594" t="s">
        <v>3966</v>
      </c>
      <c r="G3594" s="3"/>
      <c r="H3594" s="3">
        <v>0</v>
      </c>
      <c r="I3594" s="3">
        <v>0</v>
      </c>
      <c r="J3594" s="3">
        <v>0</v>
      </c>
      <c r="K3594" s="3">
        <v>0</v>
      </c>
      <c r="L3594" s="3">
        <f t="shared" si="154"/>
        <v>0</v>
      </c>
      <c r="M3594" s="3"/>
      <c r="N3594" s="3">
        <f t="shared" si="155"/>
        <v>0</v>
      </c>
      <c r="R3594" s="89"/>
      <c r="S3594" s="89">
        <f>100%-Table34[[#This Row],[PDF_initial fee]]</f>
        <v>1</v>
      </c>
      <c r="T3594" s="89"/>
      <c r="U3594" s="26"/>
    </row>
    <row r="3595" spans="1:29" hidden="1" x14ac:dyDescent="0.25">
      <c r="A3595">
        <v>629971</v>
      </c>
      <c r="B3595" t="s">
        <v>3967</v>
      </c>
      <c r="C3595" t="s">
        <v>11357</v>
      </c>
      <c r="D3595">
        <v>4</v>
      </c>
      <c r="E3595" t="s">
        <v>3967</v>
      </c>
      <c r="G3595" s="3"/>
      <c r="H3595" s="3">
        <v>0</v>
      </c>
      <c r="I3595" s="3">
        <v>0</v>
      </c>
      <c r="J3595" s="3">
        <v>0</v>
      </c>
      <c r="K3595" s="3">
        <v>0</v>
      </c>
      <c r="L3595" s="3">
        <f t="shared" si="154"/>
        <v>0</v>
      </c>
      <c r="M3595" s="3"/>
      <c r="N3595" s="3">
        <f t="shared" si="155"/>
        <v>0</v>
      </c>
      <c r="R3595" s="89"/>
      <c r="S3595" s="89">
        <f>100%-Table34[[#This Row],[PDF_initial fee]]</f>
        <v>1</v>
      </c>
      <c r="T3595" s="89"/>
      <c r="U3595" s="26"/>
    </row>
    <row r="3596" spans="1:29" hidden="1" x14ac:dyDescent="0.25">
      <c r="A3596">
        <v>629975</v>
      </c>
      <c r="B3596" t="s">
        <v>3968</v>
      </c>
      <c r="C3596" t="s">
        <v>12493</v>
      </c>
      <c r="D3596">
        <v>2</v>
      </c>
      <c r="E3596" t="s">
        <v>3968</v>
      </c>
      <c r="G3596" s="3"/>
      <c r="H3596" s="3">
        <v>0</v>
      </c>
      <c r="I3596" s="3">
        <v>0</v>
      </c>
      <c r="J3596" s="3">
        <v>0</v>
      </c>
      <c r="K3596" s="3">
        <v>0</v>
      </c>
      <c r="L3596" s="3">
        <f t="shared" si="154"/>
        <v>0</v>
      </c>
      <c r="M3596" s="3"/>
      <c r="N3596" s="3">
        <f t="shared" si="155"/>
        <v>0</v>
      </c>
      <c r="R3596" s="89"/>
      <c r="S3596" s="89">
        <f>100%-Table34[[#This Row],[PDF_initial fee]]</f>
        <v>1</v>
      </c>
      <c r="T3596" s="89"/>
      <c r="U3596" s="26"/>
    </row>
    <row r="3597" spans="1:29" hidden="1" x14ac:dyDescent="0.25">
      <c r="A3597">
        <v>629977</v>
      </c>
      <c r="B3597" t="s">
        <v>3969</v>
      </c>
      <c r="C3597" t="s">
        <v>30740</v>
      </c>
      <c r="D3597">
        <v>1</v>
      </c>
      <c r="E3597" t="s">
        <v>3969</v>
      </c>
      <c r="G3597" s="3"/>
      <c r="H3597" s="21">
        <v>0</v>
      </c>
      <c r="I3597" s="21">
        <v>0</v>
      </c>
      <c r="J3597" s="21">
        <v>0</v>
      </c>
      <c r="K3597" s="21">
        <v>0</v>
      </c>
      <c r="L3597" s="3">
        <f t="shared" si="154"/>
        <v>0</v>
      </c>
      <c r="M3597" s="3"/>
      <c r="N3597" s="3">
        <f t="shared" si="155"/>
        <v>0</v>
      </c>
      <c r="O3597" s="21"/>
      <c r="R3597" s="89"/>
      <c r="S3597" s="89">
        <f>100%-Table34[[#This Row],[PDF_initial fee]]</f>
        <v>1</v>
      </c>
      <c r="T3597" s="89"/>
      <c r="U3597" s="26"/>
    </row>
    <row r="3598" spans="1:29" hidden="1" x14ac:dyDescent="0.25">
      <c r="A3598">
        <v>630120</v>
      </c>
      <c r="B3598" t="s">
        <v>3970</v>
      </c>
      <c r="C3598" t="s">
        <v>7204</v>
      </c>
      <c r="D3598">
        <v>1</v>
      </c>
      <c r="E3598" t="s">
        <v>3970</v>
      </c>
      <c r="G3598" s="3"/>
      <c r="H3598" s="21">
        <v>0</v>
      </c>
      <c r="I3598" s="21">
        <v>0</v>
      </c>
      <c r="J3598" s="21">
        <v>0</v>
      </c>
      <c r="K3598" s="21">
        <v>0</v>
      </c>
      <c r="L3598" s="3">
        <f t="shared" si="154"/>
        <v>0</v>
      </c>
      <c r="M3598" s="3"/>
      <c r="N3598" s="3">
        <f t="shared" si="155"/>
        <v>0</v>
      </c>
      <c r="R3598" s="89"/>
      <c r="S3598" s="89">
        <f>100%-Table34[[#This Row],[PDF_initial fee]]</f>
        <v>1</v>
      </c>
      <c r="T3598" s="89"/>
      <c r="U3598" s="26"/>
    </row>
    <row r="3599" spans="1:29" hidden="1" x14ac:dyDescent="0.25">
      <c r="A3599">
        <v>630155</v>
      </c>
      <c r="B3599" t="s">
        <v>3971</v>
      </c>
      <c r="C3599" t="s">
        <v>30741</v>
      </c>
      <c r="D3599">
        <v>1</v>
      </c>
      <c r="E3599" t="s">
        <v>3971</v>
      </c>
      <c r="G3599" s="3"/>
      <c r="H3599" s="3">
        <v>0</v>
      </c>
      <c r="I3599" s="3">
        <v>0</v>
      </c>
      <c r="J3599" s="3">
        <v>0</v>
      </c>
      <c r="K3599" s="3">
        <v>0</v>
      </c>
      <c r="L3599" s="3">
        <f t="shared" si="154"/>
        <v>0</v>
      </c>
      <c r="M3599" s="3"/>
      <c r="N3599" s="3">
        <f t="shared" si="155"/>
        <v>0</v>
      </c>
      <c r="R3599" s="89"/>
      <c r="S3599" s="89">
        <f>100%-Table34[[#This Row],[PDF_initial fee]]</f>
        <v>1</v>
      </c>
      <c r="T3599" s="89"/>
      <c r="U3599" s="26"/>
    </row>
    <row r="3600" spans="1:29" hidden="1" x14ac:dyDescent="0.25">
      <c r="A3600">
        <v>630275</v>
      </c>
      <c r="B3600" t="s">
        <v>3973</v>
      </c>
      <c r="C3600" t="s">
        <v>8452</v>
      </c>
      <c r="D3600">
        <v>2</v>
      </c>
      <c r="E3600" t="s">
        <v>3973</v>
      </c>
      <c r="G3600" s="3"/>
      <c r="H3600" s="21">
        <v>0</v>
      </c>
      <c r="I3600" s="21">
        <v>0</v>
      </c>
      <c r="J3600" s="21">
        <v>0</v>
      </c>
      <c r="K3600" s="21">
        <v>0</v>
      </c>
      <c r="L3600" s="3">
        <f t="shared" si="154"/>
        <v>0</v>
      </c>
      <c r="M3600" s="3"/>
      <c r="N3600" s="3">
        <f t="shared" si="155"/>
        <v>0</v>
      </c>
      <c r="R3600" s="89"/>
      <c r="S3600" s="89">
        <f>100%-Table34[[#This Row],[PDF_initial fee]]</f>
        <v>1</v>
      </c>
      <c r="T3600" s="89"/>
      <c r="U3600" s="26"/>
    </row>
    <row r="3601" spans="1:21" hidden="1" x14ac:dyDescent="0.25">
      <c r="A3601">
        <v>630282</v>
      </c>
      <c r="B3601" t="s">
        <v>3974</v>
      </c>
      <c r="C3601" t="s">
        <v>30742</v>
      </c>
      <c r="D3601">
        <v>1</v>
      </c>
      <c r="E3601" t="s">
        <v>3974</v>
      </c>
      <c r="G3601" s="3"/>
      <c r="H3601" s="3">
        <v>0</v>
      </c>
      <c r="I3601" s="3">
        <v>0</v>
      </c>
      <c r="J3601" s="3">
        <v>0</v>
      </c>
      <c r="K3601" s="3">
        <v>0</v>
      </c>
      <c r="L3601" s="3">
        <f t="shared" si="154"/>
        <v>0</v>
      </c>
      <c r="M3601" s="3"/>
      <c r="N3601" s="3">
        <f t="shared" si="155"/>
        <v>0</v>
      </c>
      <c r="R3601" s="89"/>
      <c r="S3601" s="89">
        <f>100%-Table34[[#This Row],[PDF_initial fee]]</f>
        <v>1</v>
      </c>
      <c r="T3601" s="89"/>
      <c r="U3601" s="26"/>
    </row>
    <row r="3602" spans="1:21" hidden="1" x14ac:dyDescent="0.25">
      <c r="A3602">
        <v>630333</v>
      </c>
      <c r="B3602" t="s">
        <v>3975</v>
      </c>
      <c r="C3602" t="s">
        <v>9372</v>
      </c>
      <c r="D3602">
        <v>6</v>
      </c>
      <c r="E3602" t="s">
        <v>3975</v>
      </c>
      <c r="G3602" s="3"/>
      <c r="H3602" s="3">
        <v>0</v>
      </c>
      <c r="I3602" s="3">
        <v>0</v>
      </c>
      <c r="J3602" s="3">
        <v>0</v>
      </c>
      <c r="K3602" s="3">
        <v>0</v>
      </c>
      <c r="L3602" s="3">
        <f t="shared" si="154"/>
        <v>0</v>
      </c>
      <c r="M3602" s="3"/>
      <c r="N3602" s="3">
        <f t="shared" si="155"/>
        <v>0</v>
      </c>
      <c r="R3602" s="89"/>
      <c r="S3602" s="89">
        <f>100%-Table34[[#This Row],[PDF_initial fee]]</f>
        <v>1</v>
      </c>
      <c r="T3602" s="89"/>
      <c r="U3602" s="26"/>
    </row>
    <row r="3603" spans="1:21" hidden="1" x14ac:dyDescent="0.25">
      <c r="A3603">
        <v>630436</v>
      </c>
      <c r="B3603" t="s">
        <v>3977</v>
      </c>
      <c r="C3603" t="s">
        <v>6958</v>
      </c>
      <c r="D3603">
        <v>2</v>
      </c>
      <c r="E3603" t="s">
        <v>3977</v>
      </c>
      <c r="F3603" t="s">
        <v>6958</v>
      </c>
      <c r="G3603" s="3"/>
      <c r="L3603" s="3">
        <f t="shared" si="154"/>
        <v>0</v>
      </c>
      <c r="M3603" s="3"/>
      <c r="N3603" s="3">
        <f t="shared" si="155"/>
        <v>0</v>
      </c>
      <c r="R3603" s="89"/>
      <c r="S3603" s="89">
        <f>100%-Table34[[#This Row],[PDF_initial fee]]</f>
        <v>1</v>
      </c>
      <c r="T3603" s="89"/>
      <c r="U3603" s="26"/>
    </row>
    <row r="3604" spans="1:21" hidden="1" x14ac:dyDescent="0.25">
      <c r="A3604">
        <v>630530</v>
      </c>
      <c r="B3604" t="s">
        <v>3978</v>
      </c>
      <c r="C3604" t="s">
        <v>6958</v>
      </c>
      <c r="D3604">
        <v>5</v>
      </c>
      <c r="E3604" t="s">
        <v>3978</v>
      </c>
      <c r="F3604" t="s">
        <v>6958</v>
      </c>
      <c r="G3604" s="3"/>
      <c r="H3604" s="21">
        <v>0</v>
      </c>
      <c r="I3604" s="21">
        <v>0</v>
      </c>
      <c r="J3604" s="21">
        <v>0</v>
      </c>
      <c r="K3604" s="21">
        <v>0</v>
      </c>
      <c r="L3604" s="3">
        <f t="shared" si="154"/>
        <v>0</v>
      </c>
      <c r="M3604" s="3"/>
      <c r="N3604" s="3">
        <f t="shared" si="155"/>
        <v>0</v>
      </c>
      <c r="R3604" s="89"/>
      <c r="S3604" s="89">
        <f>100%-Table34[[#This Row],[PDF_initial fee]]</f>
        <v>1</v>
      </c>
      <c r="T3604" s="89"/>
      <c r="U3604" s="26"/>
    </row>
    <row r="3605" spans="1:21" hidden="1" x14ac:dyDescent="0.25">
      <c r="A3605">
        <v>630542</v>
      </c>
      <c r="B3605" t="s">
        <v>3979</v>
      </c>
      <c r="C3605" t="s">
        <v>9516</v>
      </c>
      <c r="D3605">
        <v>1</v>
      </c>
      <c r="E3605" t="s">
        <v>3979</v>
      </c>
      <c r="G3605" s="3"/>
      <c r="H3605" s="3">
        <v>0</v>
      </c>
      <c r="I3605" s="3">
        <v>0</v>
      </c>
      <c r="J3605" s="3">
        <v>0</v>
      </c>
      <c r="K3605" s="3">
        <v>0</v>
      </c>
      <c r="L3605" s="3">
        <f t="shared" si="154"/>
        <v>0</v>
      </c>
      <c r="M3605" s="3"/>
      <c r="N3605" s="3">
        <f t="shared" si="155"/>
        <v>0</v>
      </c>
      <c r="R3605" s="89"/>
      <c r="S3605" s="89">
        <f>100%-Table34[[#This Row],[PDF_initial fee]]</f>
        <v>1</v>
      </c>
      <c r="T3605" s="89"/>
      <c r="U3605" s="26"/>
    </row>
    <row r="3606" spans="1:21" hidden="1" x14ac:dyDescent="0.25">
      <c r="A3606">
        <v>630545</v>
      </c>
      <c r="B3606" t="s">
        <v>3980</v>
      </c>
      <c r="C3606" t="s">
        <v>30743</v>
      </c>
      <c r="D3606">
        <v>2</v>
      </c>
      <c r="E3606" t="s">
        <v>3980</v>
      </c>
      <c r="G3606" s="3"/>
      <c r="H3606" s="3">
        <v>0</v>
      </c>
      <c r="I3606" s="3">
        <v>0</v>
      </c>
      <c r="J3606" s="3">
        <v>0</v>
      </c>
      <c r="K3606" s="3">
        <v>0</v>
      </c>
      <c r="L3606" s="3">
        <f t="shared" si="154"/>
        <v>0</v>
      </c>
      <c r="M3606" s="3"/>
      <c r="N3606" s="3">
        <f t="shared" si="155"/>
        <v>0</v>
      </c>
      <c r="R3606" s="89"/>
      <c r="S3606" s="89">
        <f>100%-Table34[[#This Row],[PDF_initial fee]]</f>
        <v>1</v>
      </c>
      <c r="T3606" s="89"/>
      <c r="U3606" s="26"/>
    </row>
    <row r="3607" spans="1:21" hidden="1" x14ac:dyDescent="0.25">
      <c r="A3607">
        <v>630623</v>
      </c>
      <c r="B3607" t="s">
        <v>3981</v>
      </c>
      <c r="C3607" t="s">
        <v>6958</v>
      </c>
      <c r="D3607">
        <v>5</v>
      </c>
      <c r="E3607" t="s">
        <v>3981</v>
      </c>
      <c r="F3607" t="s">
        <v>6958</v>
      </c>
      <c r="G3607" s="3"/>
      <c r="H3607" s="21">
        <v>0</v>
      </c>
      <c r="I3607" s="21">
        <v>0</v>
      </c>
      <c r="J3607" s="21">
        <v>0</v>
      </c>
      <c r="K3607" s="21">
        <v>0</v>
      </c>
      <c r="L3607" s="3">
        <f t="shared" si="154"/>
        <v>0</v>
      </c>
      <c r="M3607" s="3"/>
      <c r="N3607" s="3">
        <f t="shared" si="155"/>
        <v>0</v>
      </c>
      <c r="R3607" s="89"/>
      <c r="S3607" s="89">
        <f>100%-Table34[[#This Row],[PDF_initial fee]]</f>
        <v>1</v>
      </c>
      <c r="T3607" s="89"/>
      <c r="U3607" s="26"/>
    </row>
    <row r="3608" spans="1:21" hidden="1" x14ac:dyDescent="0.25">
      <c r="A3608">
        <v>630986</v>
      </c>
      <c r="B3608" t="s">
        <v>3982</v>
      </c>
      <c r="C3608" t="s">
        <v>7821</v>
      </c>
      <c r="D3608">
        <v>1</v>
      </c>
      <c r="E3608" t="s">
        <v>3982</v>
      </c>
      <c r="G3608" s="3"/>
      <c r="H3608" s="21">
        <v>0</v>
      </c>
      <c r="I3608" s="21">
        <v>0</v>
      </c>
      <c r="J3608" s="21">
        <v>0</v>
      </c>
      <c r="K3608" s="21">
        <v>0</v>
      </c>
      <c r="L3608" s="3">
        <f t="shared" si="154"/>
        <v>0</v>
      </c>
      <c r="M3608" s="3"/>
      <c r="N3608" s="3">
        <f t="shared" si="155"/>
        <v>0</v>
      </c>
      <c r="R3608" s="89"/>
      <c r="S3608" s="89">
        <f>100%-Table34[[#This Row],[PDF_initial fee]]</f>
        <v>1</v>
      </c>
      <c r="T3608" s="89"/>
      <c r="U3608" s="26"/>
    </row>
    <row r="3609" spans="1:21" hidden="1" x14ac:dyDescent="0.25">
      <c r="A3609">
        <v>630996</v>
      </c>
      <c r="B3609" t="s">
        <v>3983</v>
      </c>
      <c r="C3609" t="s">
        <v>6998</v>
      </c>
      <c r="D3609">
        <v>1</v>
      </c>
      <c r="E3609" t="s">
        <v>3983</v>
      </c>
      <c r="G3609" s="3"/>
      <c r="H3609" s="21">
        <v>0</v>
      </c>
      <c r="I3609" s="21">
        <v>0</v>
      </c>
      <c r="J3609" s="21">
        <v>0</v>
      </c>
      <c r="K3609" s="21">
        <v>0</v>
      </c>
      <c r="L3609" s="3">
        <f t="shared" si="154"/>
        <v>0</v>
      </c>
      <c r="M3609" s="3"/>
      <c r="N3609" s="3">
        <f t="shared" si="155"/>
        <v>0</v>
      </c>
      <c r="R3609" s="89"/>
      <c r="S3609" s="89">
        <f>100%-Table34[[#This Row],[PDF_initial fee]]</f>
        <v>1</v>
      </c>
      <c r="T3609" s="89"/>
      <c r="U3609" s="26"/>
    </row>
    <row r="3610" spans="1:21" hidden="1" x14ac:dyDescent="0.25">
      <c r="A3610">
        <v>630999</v>
      </c>
      <c r="B3610" t="s">
        <v>3984</v>
      </c>
      <c r="C3610" t="s">
        <v>12015</v>
      </c>
      <c r="D3610">
        <v>2</v>
      </c>
      <c r="E3610" t="s">
        <v>3984</v>
      </c>
      <c r="G3610" s="3"/>
      <c r="H3610" s="3"/>
      <c r="I3610" s="3"/>
      <c r="J3610" s="3"/>
      <c r="K3610" s="3"/>
      <c r="L3610" s="3">
        <f t="shared" si="154"/>
        <v>0</v>
      </c>
      <c r="M3610" s="3"/>
      <c r="N3610" s="3">
        <f t="shared" si="155"/>
        <v>0</v>
      </c>
      <c r="R3610" s="89"/>
      <c r="S3610" s="89">
        <f>100%-Table34[[#This Row],[PDF_initial fee]]</f>
        <v>1</v>
      </c>
      <c r="T3610" s="89"/>
      <c r="U3610" s="26"/>
    </row>
    <row r="3611" spans="1:21" hidden="1" x14ac:dyDescent="0.25">
      <c r="A3611">
        <v>631108</v>
      </c>
      <c r="B3611" t="s">
        <v>3985</v>
      </c>
      <c r="C3611" t="s">
        <v>8900</v>
      </c>
      <c r="D3611">
        <v>1</v>
      </c>
      <c r="E3611" t="s">
        <v>3985</v>
      </c>
      <c r="G3611" s="3"/>
      <c r="H3611" s="21">
        <v>0</v>
      </c>
      <c r="I3611" s="21">
        <v>0</v>
      </c>
      <c r="J3611" s="21">
        <v>0</v>
      </c>
      <c r="K3611" s="21">
        <v>0</v>
      </c>
      <c r="L3611" s="3">
        <f t="shared" si="154"/>
        <v>0</v>
      </c>
      <c r="M3611" s="3"/>
      <c r="N3611" s="3">
        <f t="shared" si="155"/>
        <v>0</v>
      </c>
      <c r="R3611" s="89"/>
      <c r="S3611" s="89">
        <f>100%-Table34[[#This Row],[PDF_initial fee]]</f>
        <v>1</v>
      </c>
      <c r="T3611" s="89"/>
      <c r="U3611" s="26"/>
    </row>
    <row r="3612" spans="1:21" hidden="1" x14ac:dyDescent="0.25">
      <c r="A3612">
        <v>631113</v>
      </c>
      <c r="B3612" t="s">
        <v>3986</v>
      </c>
      <c r="C3612" t="s">
        <v>30744</v>
      </c>
      <c r="D3612">
        <v>2</v>
      </c>
      <c r="E3612" t="s">
        <v>3986</v>
      </c>
      <c r="G3612" s="3"/>
      <c r="H3612" s="3">
        <v>0</v>
      </c>
      <c r="I3612" s="3">
        <v>0</v>
      </c>
      <c r="J3612" s="3">
        <v>0</v>
      </c>
      <c r="K3612" s="3">
        <v>0</v>
      </c>
      <c r="L3612" s="3">
        <f t="shared" si="154"/>
        <v>0</v>
      </c>
      <c r="M3612" s="3"/>
      <c r="N3612" s="3">
        <f t="shared" si="155"/>
        <v>0</v>
      </c>
      <c r="R3612" s="89"/>
      <c r="S3612" s="89">
        <f>100%-Table34[[#This Row],[PDF_initial fee]]</f>
        <v>1</v>
      </c>
      <c r="T3612" s="89"/>
      <c r="U3612" s="26"/>
    </row>
    <row r="3613" spans="1:21" hidden="1" x14ac:dyDescent="0.25">
      <c r="A3613">
        <v>631218</v>
      </c>
      <c r="B3613" t="s">
        <v>3987</v>
      </c>
      <c r="C3613" t="s">
        <v>11086</v>
      </c>
      <c r="D3613">
        <v>5</v>
      </c>
      <c r="E3613" t="s">
        <v>3987</v>
      </c>
      <c r="G3613" s="3"/>
      <c r="H3613" s="3"/>
      <c r="I3613" s="3"/>
      <c r="J3613" s="3"/>
      <c r="K3613" s="3"/>
      <c r="L3613" s="3">
        <f t="shared" si="154"/>
        <v>0</v>
      </c>
      <c r="M3613" s="3"/>
      <c r="N3613" s="3">
        <f t="shared" si="155"/>
        <v>0</v>
      </c>
      <c r="R3613" s="89"/>
      <c r="S3613" s="89">
        <f>100%-Table34[[#This Row],[PDF_initial fee]]</f>
        <v>1</v>
      </c>
      <c r="T3613" s="89"/>
      <c r="U3613" s="26"/>
    </row>
    <row r="3614" spans="1:21" hidden="1" x14ac:dyDescent="0.25">
      <c r="A3614">
        <v>631345</v>
      </c>
      <c r="B3614" t="s">
        <v>3988</v>
      </c>
      <c r="C3614" t="s">
        <v>6958</v>
      </c>
      <c r="D3614">
        <v>1</v>
      </c>
      <c r="E3614" t="s">
        <v>3988</v>
      </c>
      <c r="F3614" t="s">
        <v>6958</v>
      </c>
      <c r="G3614" s="3"/>
      <c r="L3614" s="3">
        <f t="shared" si="154"/>
        <v>0</v>
      </c>
      <c r="M3614" s="3"/>
      <c r="N3614" s="3">
        <f t="shared" si="155"/>
        <v>0</v>
      </c>
      <c r="R3614" s="89"/>
      <c r="S3614" s="89">
        <f>100%-Table34[[#This Row],[PDF_initial fee]]</f>
        <v>1</v>
      </c>
      <c r="T3614" s="89"/>
      <c r="U3614" s="26"/>
    </row>
    <row r="3615" spans="1:21" hidden="1" x14ac:dyDescent="0.25">
      <c r="A3615">
        <v>631765</v>
      </c>
      <c r="B3615" t="s">
        <v>3990</v>
      </c>
      <c r="C3615" t="s">
        <v>30745</v>
      </c>
      <c r="D3615">
        <v>2</v>
      </c>
      <c r="E3615" t="s">
        <v>3990</v>
      </c>
      <c r="G3615" s="3"/>
      <c r="H3615" s="3">
        <v>0</v>
      </c>
      <c r="I3615" s="3">
        <v>0</v>
      </c>
      <c r="J3615" s="3">
        <v>0</v>
      </c>
      <c r="K3615" s="3">
        <v>0</v>
      </c>
      <c r="L3615" s="3">
        <f t="shared" si="154"/>
        <v>0</v>
      </c>
      <c r="M3615" s="3"/>
      <c r="N3615" s="3">
        <f t="shared" si="155"/>
        <v>0</v>
      </c>
      <c r="R3615" s="89"/>
      <c r="S3615" s="89">
        <f>100%-Table34[[#This Row],[PDF_initial fee]]</f>
        <v>1</v>
      </c>
      <c r="T3615" s="89"/>
      <c r="U3615" s="26"/>
    </row>
    <row r="3616" spans="1:21" hidden="1" x14ac:dyDescent="0.25">
      <c r="A3616">
        <v>631829</v>
      </c>
      <c r="B3616" t="s">
        <v>3991</v>
      </c>
      <c r="C3616" t="s">
        <v>11533</v>
      </c>
      <c r="D3616">
        <v>1</v>
      </c>
      <c r="E3616" t="s">
        <v>3991</v>
      </c>
      <c r="G3616" s="3"/>
      <c r="H3616" s="3"/>
      <c r="I3616" s="3"/>
      <c r="J3616" s="3"/>
      <c r="K3616" s="3"/>
      <c r="L3616" s="3">
        <f t="shared" si="154"/>
        <v>0</v>
      </c>
      <c r="M3616" s="3"/>
      <c r="N3616" s="3">
        <f t="shared" si="155"/>
        <v>0</v>
      </c>
      <c r="R3616" s="89"/>
      <c r="S3616" s="89">
        <f>100%-Table34[[#This Row],[PDF_initial fee]]</f>
        <v>1</v>
      </c>
      <c r="T3616" s="89"/>
      <c r="U3616" s="26"/>
    </row>
    <row r="3617" spans="1:28" hidden="1" x14ac:dyDescent="0.25">
      <c r="A3617">
        <v>632101</v>
      </c>
      <c r="B3617" t="s">
        <v>3992</v>
      </c>
      <c r="C3617" t="s">
        <v>11507</v>
      </c>
      <c r="D3617">
        <v>5</v>
      </c>
      <c r="E3617" t="s">
        <v>3992</v>
      </c>
      <c r="G3617" s="3"/>
      <c r="H3617" s="3"/>
      <c r="I3617" s="3"/>
      <c r="J3617" s="3"/>
      <c r="K3617" s="3"/>
      <c r="L3617" s="3">
        <f t="shared" si="154"/>
        <v>0</v>
      </c>
      <c r="M3617" s="3"/>
      <c r="N3617" s="3">
        <f t="shared" si="155"/>
        <v>0</v>
      </c>
      <c r="R3617" s="89"/>
      <c r="S3617" s="89">
        <f>100%-Table34[[#This Row],[PDF_initial fee]]</f>
        <v>1</v>
      </c>
      <c r="T3617" s="89"/>
      <c r="U3617" s="26"/>
    </row>
    <row r="3618" spans="1:28" hidden="1" x14ac:dyDescent="0.25">
      <c r="A3618">
        <v>646955</v>
      </c>
      <c r="B3618" t="s">
        <v>3993</v>
      </c>
      <c r="C3618" t="s">
        <v>10500</v>
      </c>
      <c r="D3618">
        <v>2</v>
      </c>
      <c r="E3618" t="s">
        <v>3993</v>
      </c>
      <c r="G3618" s="3"/>
      <c r="H3618" s="3">
        <v>0</v>
      </c>
      <c r="I3618" s="3">
        <v>0</v>
      </c>
      <c r="J3618" s="3">
        <v>0</v>
      </c>
      <c r="K3618" s="3">
        <v>0</v>
      </c>
      <c r="L3618" s="3">
        <f t="shared" ref="L3618:L3681" si="156">SUM(H3618:K3618)</f>
        <v>0</v>
      </c>
      <c r="M3618" s="3"/>
      <c r="N3618" s="3">
        <f t="shared" ref="N3618:N3681" si="157">L3618+G3618</f>
        <v>0</v>
      </c>
      <c r="R3618" s="89"/>
      <c r="S3618" s="89">
        <f>100%-Table34[[#This Row],[PDF_initial fee]]</f>
        <v>1</v>
      </c>
      <c r="T3618" s="89"/>
      <c r="U3618" s="26"/>
    </row>
    <row r="3619" spans="1:28" hidden="1" x14ac:dyDescent="0.25">
      <c r="A3619">
        <v>647006</v>
      </c>
      <c r="B3619" t="s">
        <v>3994</v>
      </c>
      <c r="C3619" t="s">
        <v>6958</v>
      </c>
      <c r="D3619">
        <v>1</v>
      </c>
      <c r="E3619" t="s">
        <v>3994</v>
      </c>
      <c r="F3619" t="s">
        <v>6958</v>
      </c>
      <c r="G3619" s="3"/>
      <c r="H3619" s="21">
        <v>0</v>
      </c>
      <c r="I3619" s="21">
        <v>0</v>
      </c>
      <c r="J3619" s="21">
        <v>0</v>
      </c>
      <c r="K3619" s="21">
        <v>0</v>
      </c>
      <c r="L3619" s="3">
        <f t="shared" si="156"/>
        <v>0</v>
      </c>
      <c r="M3619" s="3"/>
      <c r="N3619" s="3">
        <f t="shared" si="157"/>
        <v>0</v>
      </c>
      <c r="R3619" s="89"/>
      <c r="S3619" s="89">
        <f>100%-Table34[[#This Row],[PDF_initial fee]]</f>
        <v>1</v>
      </c>
      <c r="T3619" s="89"/>
      <c r="U3619" s="26"/>
    </row>
    <row r="3620" spans="1:28" hidden="1" x14ac:dyDescent="0.25">
      <c r="A3620">
        <v>647058</v>
      </c>
      <c r="B3620" t="s">
        <v>3995</v>
      </c>
      <c r="C3620" t="s">
        <v>7658</v>
      </c>
      <c r="D3620">
        <v>1</v>
      </c>
      <c r="E3620" t="s">
        <v>3995</v>
      </c>
      <c r="G3620" s="3"/>
      <c r="H3620" s="21">
        <v>0</v>
      </c>
      <c r="I3620" s="21">
        <v>0</v>
      </c>
      <c r="J3620" s="21">
        <v>0</v>
      </c>
      <c r="K3620" s="21">
        <v>0</v>
      </c>
      <c r="L3620" s="3">
        <f t="shared" si="156"/>
        <v>0</v>
      </c>
      <c r="M3620" s="3"/>
      <c r="N3620" s="3">
        <f t="shared" si="157"/>
        <v>0</v>
      </c>
      <c r="R3620" s="89"/>
      <c r="S3620" s="89">
        <f>100%-Table34[[#This Row],[PDF_initial fee]]</f>
        <v>1</v>
      </c>
      <c r="T3620" s="89"/>
      <c r="U3620" s="26"/>
    </row>
    <row r="3621" spans="1:28" hidden="1" x14ac:dyDescent="0.25">
      <c r="A3621">
        <v>647059</v>
      </c>
      <c r="B3621" t="s">
        <v>3996</v>
      </c>
      <c r="C3621" t="s">
        <v>6958</v>
      </c>
      <c r="D3621">
        <v>1</v>
      </c>
      <c r="E3621" t="s">
        <v>3996</v>
      </c>
      <c r="F3621" t="s">
        <v>6958</v>
      </c>
      <c r="G3621" s="3"/>
      <c r="H3621" s="21">
        <v>0</v>
      </c>
      <c r="I3621" s="21">
        <v>0</v>
      </c>
      <c r="J3621" s="21">
        <v>0</v>
      </c>
      <c r="K3621" s="21">
        <v>0</v>
      </c>
      <c r="L3621" s="3">
        <f t="shared" si="156"/>
        <v>0</v>
      </c>
      <c r="M3621" s="3"/>
      <c r="N3621" s="3">
        <f t="shared" si="157"/>
        <v>0</v>
      </c>
      <c r="R3621" s="89"/>
      <c r="S3621" s="89">
        <f>100%-Table34[[#This Row],[PDF_initial fee]]</f>
        <v>1</v>
      </c>
      <c r="T3621" s="89"/>
      <c r="U3621" s="26"/>
    </row>
    <row r="3622" spans="1:28" hidden="1" x14ac:dyDescent="0.25">
      <c r="A3622">
        <v>647062</v>
      </c>
      <c r="B3622" t="s">
        <v>3997</v>
      </c>
      <c r="C3622" t="s">
        <v>9340</v>
      </c>
      <c r="D3622">
        <v>1</v>
      </c>
      <c r="E3622" t="s">
        <v>3997</v>
      </c>
      <c r="G3622" s="3"/>
      <c r="H3622" s="21">
        <v>0</v>
      </c>
      <c r="I3622" s="21">
        <v>0</v>
      </c>
      <c r="J3622" s="21">
        <v>0</v>
      </c>
      <c r="K3622" s="21">
        <v>0</v>
      </c>
      <c r="L3622" s="3">
        <f t="shared" si="156"/>
        <v>0</v>
      </c>
      <c r="M3622" s="3"/>
      <c r="N3622" s="3">
        <f t="shared" si="157"/>
        <v>0</v>
      </c>
      <c r="R3622" s="89"/>
      <c r="S3622" s="89">
        <f>100%-Table34[[#This Row],[PDF_initial fee]]</f>
        <v>1</v>
      </c>
      <c r="T3622" s="89"/>
      <c r="U3622" s="26"/>
    </row>
    <row r="3623" spans="1:28" hidden="1" x14ac:dyDescent="0.25">
      <c r="A3623">
        <v>647091</v>
      </c>
      <c r="B3623" t="s">
        <v>3998</v>
      </c>
      <c r="C3623" t="s">
        <v>6977</v>
      </c>
      <c r="D3623">
        <v>5</v>
      </c>
      <c r="E3623" t="s">
        <v>3998</v>
      </c>
      <c r="G3623" s="3"/>
      <c r="H3623" s="21">
        <v>0</v>
      </c>
      <c r="I3623" s="21">
        <v>0</v>
      </c>
      <c r="J3623" s="21">
        <v>0</v>
      </c>
      <c r="K3623" s="21">
        <v>0</v>
      </c>
      <c r="L3623" s="3">
        <f t="shared" si="156"/>
        <v>0</v>
      </c>
      <c r="M3623" s="3"/>
      <c r="N3623" s="3">
        <f t="shared" si="157"/>
        <v>0</v>
      </c>
      <c r="R3623" s="89"/>
      <c r="S3623" s="89">
        <f>100%-Table34[[#This Row],[PDF_initial fee]]</f>
        <v>1</v>
      </c>
      <c r="T3623" s="89"/>
      <c r="U3623" s="26"/>
    </row>
    <row r="3624" spans="1:28" hidden="1" x14ac:dyDescent="0.25">
      <c r="A3624">
        <v>647097</v>
      </c>
      <c r="B3624" t="s">
        <v>3999</v>
      </c>
      <c r="C3624" t="s">
        <v>6958</v>
      </c>
      <c r="D3624">
        <v>3</v>
      </c>
      <c r="E3624" t="s">
        <v>3999</v>
      </c>
      <c r="F3624" t="s">
        <v>6958</v>
      </c>
      <c r="G3624" s="3"/>
      <c r="L3624" s="3">
        <f t="shared" si="156"/>
        <v>0</v>
      </c>
      <c r="M3624" s="3"/>
      <c r="N3624" s="3">
        <f t="shared" si="157"/>
        <v>0</v>
      </c>
      <c r="R3624" s="89"/>
      <c r="S3624" s="89">
        <f>100%-Table34[[#This Row],[PDF_initial fee]]</f>
        <v>1</v>
      </c>
      <c r="T3624" s="89"/>
      <c r="U3624" s="26"/>
    </row>
    <row r="3625" spans="1:28" hidden="1" x14ac:dyDescent="0.25">
      <c r="A3625">
        <v>647122</v>
      </c>
      <c r="B3625" t="s">
        <v>4000</v>
      </c>
      <c r="C3625" t="s">
        <v>6993</v>
      </c>
      <c r="D3625">
        <v>2</v>
      </c>
      <c r="E3625" t="s">
        <v>4000</v>
      </c>
      <c r="G3625" s="3"/>
      <c r="L3625" s="3">
        <f t="shared" si="156"/>
        <v>0</v>
      </c>
      <c r="M3625" s="3"/>
      <c r="N3625" s="3">
        <f t="shared" si="157"/>
        <v>0</v>
      </c>
      <c r="R3625" s="89"/>
      <c r="S3625" s="89">
        <f>100%-Table34[[#This Row],[PDF_initial fee]]</f>
        <v>1</v>
      </c>
      <c r="T3625" s="89"/>
      <c r="U3625" s="26"/>
    </row>
    <row r="3626" spans="1:28" hidden="1" x14ac:dyDescent="0.25">
      <c r="A3626">
        <v>647157</v>
      </c>
      <c r="B3626" t="s">
        <v>4001</v>
      </c>
      <c r="C3626" t="s">
        <v>9945</v>
      </c>
      <c r="D3626">
        <v>6</v>
      </c>
      <c r="E3626" t="s">
        <v>4001</v>
      </c>
      <c r="G3626" s="3"/>
      <c r="H3626" s="3">
        <v>0</v>
      </c>
      <c r="I3626" s="3">
        <v>0</v>
      </c>
      <c r="J3626" s="3">
        <v>0</v>
      </c>
      <c r="K3626" s="3">
        <v>0</v>
      </c>
      <c r="L3626" s="3">
        <f t="shared" si="156"/>
        <v>0</v>
      </c>
      <c r="M3626" s="3"/>
      <c r="N3626" s="3">
        <f t="shared" si="157"/>
        <v>0</v>
      </c>
      <c r="R3626" s="89"/>
      <c r="S3626" s="89">
        <f>100%-Table34[[#This Row],[PDF_initial fee]]</f>
        <v>1</v>
      </c>
      <c r="T3626" s="89"/>
      <c r="U3626" s="26"/>
    </row>
    <row r="3627" spans="1:28" hidden="1" x14ac:dyDescent="0.25">
      <c r="A3627">
        <v>647191</v>
      </c>
      <c r="B3627" t="s">
        <v>4002</v>
      </c>
      <c r="C3627" t="s">
        <v>30746</v>
      </c>
      <c r="D3627">
        <v>2</v>
      </c>
      <c r="E3627" t="s">
        <v>4002</v>
      </c>
      <c r="G3627" s="3"/>
      <c r="H3627" s="3">
        <v>0</v>
      </c>
      <c r="I3627" s="3">
        <v>0</v>
      </c>
      <c r="J3627" s="3">
        <v>0</v>
      </c>
      <c r="K3627" s="3">
        <v>0</v>
      </c>
      <c r="L3627" s="3">
        <f t="shared" si="156"/>
        <v>0</v>
      </c>
      <c r="M3627" s="3"/>
      <c r="N3627" s="3">
        <f t="shared" si="157"/>
        <v>0</v>
      </c>
      <c r="R3627" s="89"/>
      <c r="S3627" s="89">
        <f>100%-Table34[[#This Row],[PDF_initial fee]]</f>
        <v>1</v>
      </c>
      <c r="T3627" s="89"/>
      <c r="U3627" s="26"/>
    </row>
    <row r="3628" spans="1:28" hidden="1" x14ac:dyDescent="0.25">
      <c r="A3628">
        <v>647463</v>
      </c>
      <c r="B3628" t="s">
        <v>4003</v>
      </c>
      <c r="C3628" t="s">
        <v>11363</v>
      </c>
      <c r="D3628">
        <v>0</v>
      </c>
      <c r="E3628" t="s">
        <v>4003</v>
      </c>
      <c r="F3628" t="s">
        <v>3</v>
      </c>
      <c r="G3628" s="3"/>
      <c r="H3628" s="3">
        <v>0</v>
      </c>
      <c r="I3628" s="3">
        <v>0</v>
      </c>
      <c r="J3628" s="3">
        <v>0</v>
      </c>
      <c r="K3628" s="3">
        <v>0</v>
      </c>
      <c r="L3628" s="3">
        <f t="shared" si="156"/>
        <v>0</v>
      </c>
      <c r="M3628" s="3"/>
      <c r="N3628" s="3">
        <f t="shared" si="157"/>
        <v>0</v>
      </c>
      <c r="R3628" s="89"/>
      <c r="S3628" s="89">
        <f>100%-Table34[[#This Row],[PDF_initial fee]]</f>
        <v>1</v>
      </c>
      <c r="T3628" s="89"/>
      <c r="U3628" s="26"/>
    </row>
    <row r="3629" spans="1:28" hidden="1" x14ac:dyDescent="0.25">
      <c r="A3629">
        <v>647497</v>
      </c>
      <c r="B3629" t="s">
        <v>4004</v>
      </c>
      <c r="C3629" t="s">
        <v>30747</v>
      </c>
      <c r="D3629">
        <v>3</v>
      </c>
      <c r="E3629" t="s">
        <v>4004</v>
      </c>
      <c r="G3629" s="3"/>
      <c r="H3629" s="3">
        <v>0</v>
      </c>
      <c r="I3629" s="3">
        <v>0</v>
      </c>
      <c r="J3629" s="3">
        <v>0</v>
      </c>
      <c r="K3629" s="3">
        <v>0</v>
      </c>
      <c r="L3629" s="3">
        <f t="shared" si="156"/>
        <v>0</v>
      </c>
      <c r="M3629" s="3"/>
      <c r="N3629" s="3">
        <f t="shared" si="157"/>
        <v>0</v>
      </c>
      <c r="R3629" s="89"/>
      <c r="S3629" s="89">
        <f>100%-Table34[[#This Row],[PDF_initial fee]]</f>
        <v>1</v>
      </c>
      <c r="T3629" s="89"/>
      <c r="U3629" s="26"/>
    </row>
    <row r="3630" spans="1:28" hidden="1" x14ac:dyDescent="0.25">
      <c r="A3630">
        <v>647921</v>
      </c>
      <c r="B3630" t="s">
        <v>4005</v>
      </c>
      <c r="C3630" t="s">
        <v>30748</v>
      </c>
      <c r="D3630">
        <v>1</v>
      </c>
      <c r="E3630" t="s">
        <v>4005</v>
      </c>
      <c r="G3630" s="3"/>
      <c r="H3630" s="3">
        <v>0</v>
      </c>
      <c r="I3630" s="3">
        <v>0</v>
      </c>
      <c r="J3630" s="3">
        <v>0</v>
      </c>
      <c r="K3630" s="3">
        <v>0</v>
      </c>
      <c r="L3630" s="3">
        <f t="shared" si="156"/>
        <v>0</v>
      </c>
      <c r="M3630" s="3"/>
      <c r="N3630" s="3">
        <f t="shared" si="157"/>
        <v>0</v>
      </c>
      <c r="R3630" s="89"/>
      <c r="S3630" s="89">
        <f>100%-Table34[[#This Row],[PDF_initial fee]]</f>
        <v>1</v>
      </c>
      <c r="T3630" s="89"/>
      <c r="U3630" s="26"/>
    </row>
    <row r="3631" spans="1:28" x14ac:dyDescent="0.25">
      <c r="A3631">
        <v>548525</v>
      </c>
      <c r="B3631" t="s">
        <v>220</v>
      </c>
      <c r="C3631" t="s">
        <v>30749</v>
      </c>
      <c r="D3631">
        <v>1</v>
      </c>
      <c r="E3631" t="s">
        <v>220</v>
      </c>
      <c r="F3631" t="s">
        <v>3</v>
      </c>
      <c r="G3631" s="3">
        <v>1.4E-3</v>
      </c>
      <c r="H3631" s="3">
        <f>1995/100000</f>
        <v>1.9949999999999999E-2</v>
      </c>
      <c r="I3631" s="3">
        <v>2.5000000000000001E-2</v>
      </c>
      <c r="J3631" s="6">
        <v>0</v>
      </c>
      <c r="K3631" s="6">
        <v>0</v>
      </c>
      <c r="L3631" s="3">
        <f t="shared" si="156"/>
        <v>4.4950000000000004E-2</v>
      </c>
      <c r="M3631" s="3"/>
      <c r="N3631" s="3">
        <f t="shared" si="157"/>
        <v>4.6350000000000002E-2</v>
      </c>
      <c r="P3631" s="31" t="s">
        <v>30750</v>
      </c>
      <c r="Q3631" t="s">
        <v>31787</v>
      </c>
      <c r="R3631" s="89">
        <v>0.33333333333333348</v>
      </c>
      <c r="S3631" s="89">
        <f>100%-Table34[[#This Row],[InitialFee]]</f>
        <v>0.98004999999999998</v>
      </c>
      <c r="T3631" s="89">
        <f>(1-Table34[[#This Row],[OngoingFee (plus Platform fee)]])^5</f>
        <v>0.88109569335937488</v>
      </c>
      <c r="U3631" s="26">
        <f>(1+Table34[[#This Row],[Net 5yrs return (mostly up to 28th of Feb 2026)]])*Table34[[#This Row],[Investment after initial charge]]*Table34[[#This Row],[Cummulative 5yrs ongoing advice charge]]-1</f>
        <v>0.15135711236914062</v>
      </c>
      <c r="V3631" s="10">
        <f>324883+110953</f>
        <v>435836</v>
      </c>
      <c r="W3631" t="s">
        <v>29051</v>
      </c>
      <c r="X3631" s="9">
        <v>321460</v>
      </c>
      <c r="Y3631" s="30">
        <f>X3631/V3631</f>
        <v>0.73757101294982519</v>
      </c>
      <c r="AA3631" s="1" t="s">
        <v>30751</v>
      </c>
      <c r="AB3631" t="s">
        <v>29302</v>
      </c>
    </row>
    <row r="3632" spans="1:28" hidden="1" x14ac:dyDescent="0.25">
      <c r="A3632">
        <v>648084</v>
      </c>
      <c r="B3632" t="s">
        <v>4006</v>
      </c>
      <c r="C3632" t="s">
        <v>9310</v>
      </c>
      <c r="D3632">
        <v>0</v>
      </c>
      <c r="E3632" t="s">
        <v>4006</v>
      </c>
      <c r="F3632" t="s">
        <v>3</v>
      </c>
      <c r="G3632" s="3"/>
      <c r="H3632" s="21">
        <v>0</v>
      </c>
      <c r="I3632" s="21">
        <v>0</v>
      </c>
      <c r="J3632" s="21">
        <v>0</v>
      </c>
      <c r="K3632" s="21">
        <v>0</v>
      </c>
      <c r="L3632" s="3">
        <f t="shared" si="156"/>
        <v>0</v>
      </c>
      <c r="M3632" s="3"/>
      <c r="N3632" s="3">
        <f t="shared" si="157"/>
        <v>0</v>
      </c>
      <c r="R3632" s="89"/>
      <c r="S3632" s="89">
        <f>100%-Table34[[#This Row],[PDF_initial fee]]</f>
        <v>1</v>
      </c>
      <c r="T3632" s="89"/>
      <c r="U3632" s="26"/>
    </row>
    <row r="3633" spans="1:21" hidden="1" x14ac:dyDescent="0.25">
      <c r="A3633">
        <v>648953</v>
      </c>
      <c r="B3633" t="s">
        <v>4009</v>
      </c>
      <c r="C3633" t="s">
        <v>30752</v>
      </c>
      <c r="D3633">
        <v>0</v>
      </c>
      <c r="E3633" t="s">
        <v>4009</v>
      </c>
      <c r="F3633" t="s">
        <v>29136</v>
      </c>
      <c r="G3633" s="3"/>
      <c r="H3633" s="21">
        <v>0</v>
      </c>
      <c r="I3633" s="21">
        <v>0</v>
      </c>
      <c r="J3633" s="21">
        <v>0</v>
      </c>
      <c r="K3633" s="21">
        <v>0</v>
      </c>
      <c r="L3633" s="3">
        <f t="shared" si="156"/>
        <v>0</v>
      </c>
      <c r="M3633" s="3"/>
      <c r="N3633" s="3">
        <f t="shared" si="157"/>
        <v>0</v>
      </c>
      <c r="O3633" s="21"/>
      <c r="R3633" s="89"/>
      <c r="S3633" s="89">
        <f>100%-Table34[[#This Row],[PDF_initial fee]]</f>
        <v>1</v>
      </c>
      <c r="T3633" s="89"/>
      <c r="U3633" s="26"/>
    </row>
    <row r="3634" spans="1:21" hidden="1" x14ac:dyDescent="0.25">
      <c r="A3634">
        <v>648965</v>
      </c>
      <c r="B3634" t="s">
        <v>4010</v>
      </c>
      <c r="C3634" t="s">
        <v>6958</v>
      </c>
      <c r="D3634">
        <v>1</v>
      </c>
      <c r="E3634" t="s">
        <v>4010</v>
      </c>
      <c r="F3634" t="s">
        <v>6958</v>
      </c>
      <c r="G3634" s="3"/>
      <c r="L3634" s="3">
        <f t="shared" si="156"/>
        <v>0</v>
      </c>
      <c r="M3634" s="3"/>
      <c r="N3634" s="3">
        <f t="shared" si="157"/>
        <v>0</v>
      </c>
      <c r="R3634" s="89"/>
      <c r="S3634" s="89">
        <f>100%-Table34[[#This Row],[PDF_initial fee]]</f>
        <v>1</v>
      </c>
      <c r="T3634" s="89"/>
      <c r="U3634" s="26"/>
    </row>
    <row r="3635" spans="1:21" hidden="1" x14ac:dyDescent="0.25">
      <c r="A3635">
        <v>649170</v>
      </c>
      <c r="B3635" t="s">
        <v>4011</v>
      </c>
      <c r="C3635" t="s">
        <v>6958</v>
      </c>
      <c r="D3635">
        <v>11</v>
      </c>
      <c r="E3635" t="s">
        <v>4011</v>
      </c>
      <c r="F3635" t="s">
        <v>6958</v>
      </c>
      <c r="G3635" s="3"/>
      <c r="L3635" s="3">
        <f t="shared" si="156"/>
        <v>0</v>
      </c>
      <c r="M3635" s="3"/>
      <c r="N3635" s="3">
        <f t="shared" si="157"/>
        <v>0</v>
      </c>
      <c r="R3635" s="89"/>
      <c r="S3635" s="89">
        <f>100%-Table34[[#This Row],[PDF_initial fee]]</f>
        <v>1</v>
      </c>
      <c r="T3635" s="89"/>
      <c r="U3635" s="26"/>
    </row>
    <row r="3636" spans="1:21" hidden="1" x14ac:dyDescent="0.25">
      <c r="A3636">
        <v>649186</v>
      </c>
      <c r="B3636" t="s">
        <v>4012</v>
      </c>
      <c r="C3636" t="s">
        <v>8821</v>
      </c>
      <c r="D3636">
        <v>1</v>
      </c>
      <c r="E3636" t="s">
        <v>4012</v>
      </c>
      <c r="G3636" s="3"/>
      <c r="H3636" s="21">
        <v>0</v>
      </c>
      <c r="I3636" s="21">
        <v>0</v>
      </c>
      <c r="J3636" s="21">
        <v>0</v>
      </c>
      <c r="K3636" s="21">
        <v>0</v>
      </c>
      <c r="L3636" s="3">
        <f t="shared" si="156"/>
        <v>0</v>
      </c>
      <c r="M3636" s="3"/>
      <c r="N3636" s="3">
        <f t="shared" si="157"/>
        <v>0</v>
      </c>
      <c r="R3636" s="89"/>
      <c r="S3636" s="89">
        <f>100%-Table34[[#This Row],[PDF_initial fee]]</f>
        <v>1</v>
      </c>
      <c r="T3636" s="89"/>
      <c r="U3636" s="26"/>
    </row>
    <row r="3637" spans="1:21" hidden="1" x14ac:dyDescent="0.25">
      <c r="A3637">
        <v>649674</v>
      </c>
      <c r="B3637" t="s">
        <v>4013</v>
      </c>
      <c r="C3637" t="s">
        <v>7334</v>
      </c>
      <c r="D3637">
        <v>1</v>
      </c>
      <c r="E3637" t="s">
        <v>4013</v>
      </c>
      <c r="G3637" s="3"/>
      <c r="H3637" s="21">
        <v>0</v>
      </c>
      <c r="I3637" s="21">
        <v>0</v>
      </c>
      <c r="J3637" s="21">
        <v>0</v>
      </c>
      <c r="K3637" s="21">
        <v>0</v>
      </c>
      <c r="L3637" s="3">
        <f t="shared" si="156"/>
        <v>0</v>
      </c>
      <c r="M3637" s="3"/>
      <c r="N3637" s="3">
        <f t="shared" si="157"/>
        <v>0</v>
      </c>
      <c r="R3637" s="89"/>
      <c r="S3637" s="89">
        <f>100%-Table34[[#This Row],[PDF_initial fee]]</f>
        <v>1</v>
      </c>
      <c r="T3637" s="89"/>
      <c r="U3637" s="26"/>
    </row>
    <row r="3638" spans="1:21" hidden="1" x14ac:dyDescent="0.25">
      <c r="A3638">
        <v>649801</v>
      </c>
      <c r="B3638" t="s">
        <v>4014</v>
      </c>
      <c r="C3638" t="s">
        <v>9863</v>
      </c>
      <c r="D3638">
        <v>1</v>
      </c>
      <c r="E3638" t="s">
        <v>4014</v>
      </c>
      <c r="G3638" s="3"/>
      <c r="H3638" s="3"/>
      <c r="I3638" s="3"/>
      <c r="J3638" s="3"/>
      <c r="K3638" s="3"/>
      <c r="L3638" s="3">
        <f t="shared" si="156"/>
        <v>0</v>
      </c>
      <c r="M3638" s="3"/>
      <c r="N3638" s="3">
        <f t="shared" si="157"/>
        <v>0</v>
      </c>
      <c r="R3638" s="89"/>
      <c r="S3638" s="89">
        <f>100%-Table34[[#This Row],[PDF_initial fee]]</f>
        <v>1</v>
      </c>
      <c r="T3638" s="89"/>
      <c r="U3638" s="26"/>
    </row>
    <row r="3639" spans="1:21" hidden="1" x14ac:dyDescent="0.25">
      <c r="A3639">
        <v>650075</v>
      </c>
      <c r="B3639" t="s">
        <v>4015</v>
      </c>
      <c r="C3639" t="s">
        <v>7216</v>
      </c>
      <c r="D3639">
        <v>3</v>
      </c>
      <c r="E3639" t="s">
        <v>4015</v>
      </c>
      <c r="G3639" s="3"/>
      <c r="H3639" s="21">
        <v>0</v>
      </c>
      <c r="I3639" s="21">
        <v>0</v>
      </c>
      <c r="J3639" s="21">
        <v>0</v>
      </c>
      <c r="K3639" s="21">
        <v>0</v>
      </c>
      <c r="L3639" s="3">
        <f t="shared" si="156"/>
        <v>0</v>
      </c>
      <c r="M3639" s="3"/>
      <c r="N3639" s="3">
        <f t="shared" si="157"/>
        <v>0</v>
      </c>
      <c r="R3639" s="89"/>
      <c r="S3639" s="89">
        <f>100%-Table34[[#This Row],[PDF_initial fee]]</f>
        <v>1</v>
      </c>
      <c r="T3639" s="89"/>
      <c r="U3639" s="26"/>
    </row>
    <row r="3640" spans="1:21" hidden="1" x14ac:dyDescent="0.25">
      <c r="A3640">
        <v>650099</v>
      </c>
      <c r="B3640" t="s">
        <v>4016</v>
      </c>
      <c r="C3640" t="s">
        <v>30753</v>
      </c>
      <c r="D3640">
        <v>0</v>
      </c>
      <c r="E3640" t="s">
        <v>4016</v>
      </c>
      <c r="F3640" t="s">
        <v>29136</v>
      </c>
      <c r="G3640" s="3"/>
      <c r="H3640" s="21">
        <v>0</v>
      </c>
      <c r="I3640" s="21">
        <v>0</v>
      </c>
      <c r="J3640" s="21">
        <v>0</v>
      </c>
      <c r="K3640" s="21">
        <v>0</v>
      </c>
      <c r="L3640" s="3">
        <f t="shared" si="156"/>
        <v>0</v>
      </c>
      <c r="M3640" s="3"/>
      <c r="N3640" s="3">
        <f t="shared" si="157"/>
        <v>0</v>
      </c>
      <c r="O3640" s="21"/>
      <c r="R3640" s="89"/>
      <c r="S3640" s="89">
        <f>100%-Table34[[#This Row],[PDF_initial fee]]</f>
        <v>1</v>
      </c>
      <c r="T3640" s="89"/>
      <c r="U3640" s="26"/>
    </row>
    <row r="3641" spans="1:21" hidden="1" x14ac:dyDescent="0.25">
      <c r="A3641">
        <v>650100</v>
      </c>
      <c r="B3641" t="s">
        <v>4017</v>
      </c>
      <c r="C3641" t="s">
        <v>9466</v>
      </c>
      <c r="D3641">
        <v>2</v>
      </c>
      <c r="E3641" t="s">
        <v>4017</v>
      </c>
      <c r="G3641" s="3"/>
      <c r="H3641" s="3">
        <v>0</v>
      </c>
      <c r="I3641" s="3">
        <v>0</v>
      </c>
      <c r="J3641" s="3">
        <v>0</v>
      </c>
      <c r="K3641" s="3">
        <v>0</v>
      </c>
      <c r="L3641" s="3">
        <f t="shared" si="156"/>
        <v>0</v>
      </c>
      <c r="M3641" s="3"/>
      <c r="N3641" s="3">
        <f t="shared" si="157"/>
        <v>0</v>
      </c>
      <c r="R3641" s="89"/>
      <c r="S3641" s="89">
        <f>100%-Table34[[#This Row],[PDF_initial fee]]</f>
        <v>1</v>
      </c>
      <c r="T3641" s="89"/>
      <c r="U3641" s="26"/>
    </row>
    <row r="3642" spans="1:21" hidden="1" x14ac:dyDescent="0.25">
      <c r="A3642">
        <v>650205</v>
      </c>
      <c r="B3642" t="s">
        <v>4018</v>
      </c>
      <c r="C3642" t="s">
        <v>30754</v>
      </c>
      <c r="D3642">
        <v>0</v>
      </c>
      <c r="E3642" t="s">
        <v>4018</v>
      </c>
      <c r="F3642" t="s">
        <v>29136</v>
      </c>
      <c r="G3642" s="3"/>
      <c r="H3642" s="21">
        <v>0</v>
      </c>
      <c r="I3642" s="21">
        <v>0</v>
      </c>
      <c r="J3642" s="21">
        <v>0</v>
      </c>
      <c r="K3642" s="21">
        <v>0</v>
      </c>
      <c r="L3642" s="3">
        <f t="shared" si="156"/>
        <v>0</v>
      </c>
      <c r="M3642" s="3"/>
      <c r="N3642" s="3">
        <f t="shared" si="157"/>
        <v>0</v>
      </c>
      <c r="O3642" s="21"/>
      <c r="R3642" s="89"/>
      <c r="S3642" s="89">
        <f>100%-Table34[[#This Row],[PDF_initial fee]]</f>
        <v>1</v>
      </c>
      <c r="T3642" s="89"/>
      <c r="U3642" s="26"/>
    </row>
    <row r="3643" spans="1:21" hidden="1" x14ac:dyDescent="0.25">
      <c r="A3643">
        <v>650237</v>
      </c>
      <c r="B3643" t="s">
        <v>4019</v>
      </c>
      <c r="C3643" t="s">
        <v>10941</v>
      </c>
      <c r="D3643">
        <v>1</v>
      </c>
      <c r="E3643" t="s">
        <v>4019</v>
      </c>
      <c r="G3643" s="3"/>
      <c r="H3643" s="3">
        <v>0</v>
      </c>
      <c r="I3643" s="3">
        <v>0</v>
      </c>
      <c r="J3643" s="3">
        <v>0</v>
      </c>
      <c r="K3643" s="3">
        <v>0</v>
      </c>
      <c r="L3643" s="3">
        <f t="shared" si="156"/>
        <v>0</v>
      </c>
      <c r="M3643" s="3"/>
      <c r="N3643" s="3">
        <f t="shared" si="157"/>
        <v>0</v>
      </c>
      <c r="R3643" s="89"/>
      <c r="S3643" s="89">
        <f>100%-Table34[[#This Row],[PDF_initial fee]]</f>
        <v>1</v>
      </c>
      <c r="T3643" s="89"/>
      <c r="U3643" s="26"/>
    </row>
    <row r="3644" spans="1:21" hidden="1" x14ac:dyDescent="0.25">
      <c r="A3644">
        <v>650302</v>
      </c>
      <c r="B3644" t="s">
        <v>4020</v>
      </c>
      <c r="C3644" t="s">
        <v>6958</v>
      </c>
      <c r="D3644">
        <v>1</v>
      </c>
      <c r="E3644" t="s">
        <v>4020</v>
      </c>
      <c r="F3644" t="s">
        <v>6958</v>
      </c>
      <c r="G3644" s="3"/>
      <c r="H3644" s="21">
        <v>0</v>
      </c>
      <c r="I3644" s="21">
        <v>0</v>
      </c>
      <c r="J3644" s="21">
        <v>0</v>
      </c>
      <c r="K3644" s="21">
        <v>0</v>
      </c>
      <c r="L3644" s="3">
        <f t="shared" si="156"/>
        <v>0</v>
      </c>
      <c r="M3644" s="3"/>
      <c r="N3644" s="3">
        <f t="shared" si="157"/>
        <v>0</v>
      </c>
      <c r="R3644" s="89"/>
      <c r="S3644" s="89">
        <f>100%-Table34[[#This Row],[PDF_initial fee]]</f>
        <v>1</v>
      </c>
      <c r="T3644" s="89"/>
      <c r="U3644" s="26"/>
    </row>
    <row r="3645" spans="1:21" hidden="1" x14ac:dyDescent="0.25">
      <c r="A3645">
        <v>650696</v>
      </c>
      <c r="B3645" t="s">
        <v>4022</v>
      </c>
      <c r="C3645" t="s">
        <v>11258</v>
      </c>
      <c r="D3645">
        <v>2</v>
      </c>
      <c r="E3645" t="s">
        <v>4022</v>
      </c>
      <c r="G3645" s="3"/>
      <c r="H3645" s="3">
        <v>0</v>
      </c>
      <c r="I3645" s="3">
        <v>0</v>
      </c>
      <c r="J3645" s="3">
        <v>0</v>
      </c>
      <c r="K3645" s="3">
        <v>0</v>
      </c>
      <c r="L3645" s="3">
        <f t="shared" si="156"/>
        <v>0</v>
      </c>
      <c r="M3645" s="3"/>
      <c r="N3645" s="3">
        <f t="shared" si="157"/>
        <v>0</v>
      </c>
      <c r="R3645" s="89"/>
      <c r="S3645" s="89">
        <f>100%-Table34[[#This Row],[PDF_initial fee]]</f>
        <v>1</v>
      </c>
      <c r="T3645" s="89"/>
      <c r="U3645" s="26"/>
    </row>
    <row r="3646" spans="1:21" hidden="1" x14ac:dyDescent="0.25">
      <c r="A3646">
        <v>650923</v>
      </c>
      <c r="B3646" t="s">
        <v>4023</v>
      </c>
      <c r="C3646" t="s">
        <v>11803</v>
      </c>
      <c r="D3646">
        <v>2</v>
      </c>
      <c r="E3646" t="s">
        <v>4023</v>
      </c>
      <c r="G3646" s="3"/>
      <c r="H3646" s="3">
        <v>0</v>
      </c>
      <c r="I3646" s="3">
        <v>0</v>
      </c>
      <c r="J3646" s="3">
        <v>0</v>
      </c>
      <c r="K3646" s="3">
        <v>0</v>
      </c>
      <c r="L3646" s="3">
        <f t="shared" si="156"/>
        <v>0</v>
      </c>
      <c r="M3646" s="3"/>
      <c r="N3646" s="3">
        <f t="shared" si="157"/>
        <v>0</v>
      </c>
      <c r="R3646" s="89"/>
      <c r="S3646" s="89">
        <f>100%-Table34[[#This Row],[PDF_initial fee]]</f>
        <v>1</v>
      </c>
      <c r="T3646" s="89"/>
      <c r="U3646" s="26"/>
    </row>
    <row r="3647" spans="1:21" hidden="1" x14ac:dyDescent="0.25">
      <c r="A3647">
        <v>650936</v>
      </c>
      <c r="B3647" t="s">
        <v>4024</v>
      </c>
      <c r="C3647" t="s">
        <v>6958</v>
      </c>
      <c r="D3647">
        <v>1</v>
      </c>
      <c r="E3647" t="s">
        <v>4024</v>
      </c>
      <c r="F3647" t="s">
        <v>6958</v>
      </c>
      <c r="G3647" s="3"/>
      <c r="H3647" s="21">
        <v>0</v>
      </c>
      <c r="I3647" s="21">
        <v>0</v>
      </c>
      <c r="J3647" s="21">
        <v>0</v>
      </c>
      <c r="K3647" s="21">
        <v>0</v>
      </c>
      <c r="L3647" s="3">
        <f t="shared" si="156"/>
        <v>0</v>
      </c>
      <c r="M3647" s="3"/>
      <c r="N3647" s="3">
        <f t="shared" si="157"/>
        <v>0</v>
      </c>
      <c r="R3647" s="89"/>
      <c r="S3647" s="89">
        <f>100%-Table34[[#This Row],[PDF_initial fee]]</f>
        <v>1</v>
      </c>
      <c r="T3647" s="89"/>
      <c r="U3647" s="26"/>
    </row>
    <row r="3648" spans="1:21" hidden="1" x14ac:dyDescent="0.25">
      <c r="A3648">
        <v>650965</v>
      </c>
      <c r="B3648" t="s">
        <v>4025</v>
      </c>
      <c r="C3648" t="s">
        <v>6958</v>
      </c>
      <c r="D3648">
        <v>2</v>
      </c>
      <c r="E3648" t="s">
        <v>4025</v>
      </c>
      <c r="F3648" t="s">
        <v>6958</v>
      </c>
      <c r="G3648" s="3"/>
      <c r="H3648" s="21">
        <v>0</v>
      </c>
      <c r="I3648" s="21">
        <v>0</v>
      </c>
      <c r="J3648" s="21">
        <v>0</v>
      </c>
      <c r="K3648" s="21">
        <v>0</v>
      </c>
      <c r="L3648" s="3">
        <f t="shared" si="156"/>
        <v>0</v>
      </c>
      <c r="M3648" s="3"/>
      <c r="N3648" s="3">
        <f t="shared" si="157"/>
        <v>0</v>
      </c>
      <c r="R3648" s="89"/>
      <c r="S3648" s="89">
        <f>100%-Table34[[#This Row],[PDF_initial fee]]</f>
        <v>1</v>
      </c>
      <c r="T3648" s="89"/>
      <c r="U3648" s="26"/>
    </row>
    <row r="3649" spans="1:21" hidden="1" x14ac:dyDescent="0.25">
      <c r="A3649">
        <v>651145</v>
      </c>
      <c r="B3649" t="s">
        <v>4026</v>
      </c>
      <c r="C3649" t="s">
        <v>6958</v>
      </c>
      <c r="D3649">
        <v>1</v>
      </c>
      <c r="E3649" t="s">
        <v>4026</v>
      </c>
      <c r="F3649" t="s">
        <v>6958</v>
      </c>
      <c r="G3649" s="3"/>
      <c r="H3649" s="21">
        <v>0</v>
      </c>
      <c r="I3649" s="21">
        <v>0</v>
      </c>
      <c r="J3649" s="21">
        <v>0</v>
      </c>
      <c r="K3649" s="21">
        <v>0</v>
      </c>
      <c r="L3649" s="3">
        <f t="shared" si="156"/>
        <v>0</v>
      </c>
      <c r="M3649" s="3"/>
      <c r="N3649" s="3">
        <f t="shared" si="157"/>
        <v>0</v>
      </c>
      <c r="R3649" s="89"/>
      <c r="S3649" s="89">
        <f>100%-Table34[[#This Row],[PDF_initial fee]]</f>
        <v>1</v>
      </c>
      <c r="T3649" s="89"/>
      <c r="U3649" s="26"/>
    </row>
    <row r="3650" spans="1:21" hidden="1" x14ac:dyDescent="0.25">
      <c r="A3650">
        <v>652114</v>
      </c>
      <c r="B3650" t="s">
        <v>4027</v>
      </c>
      <c r="C3650" t="s">
        <v>11130</v>
      </c>
      <c r="D3650">
        <v>5</v>
      </c>
      <c r="E3650" t="s">
        <v>4027</v>
      </c>
      <c r="G3650" s="3"/>
      <c r="H3650" s="3">
        <v>0</v>
      </c>
      <c r="I3650" s="3">
        <v>0</v>
      </c>
      <c r="J3650" s="3">
        <v>0</v>
      </c>
      <c r="K3650" s="3">
        <v>0</v>
      </c>
      <c r="L3650" s="3">
        <f t="shared" si="156"/>
        <v>0</v>
      </c>
      <c r="M3650" s="3"/>
      <c r="N3650" s="3">
        <f t="shared" si="157"/>
        <v>0</v>
      </c>
      <c r="R3650" s="89"/>
      <c r="S3650" s="89">
        <f>100%-Table34[[#This Row],[PDF_initial fee]]</f>
        <v>1</v>
      </c>
      <c r="T3650" s="89"/>
      <c r="U3650" s="26"/>
    </row>
    <row r="3651" spans="1:21" hidden="1" x14ac:dyDescent="0.25">
      <c r="A3651">
        <v>652403</v>
      </c>
      <c r="B3651" t="s">
        <v>4028</v>
      </c>
      <c r="C3651" t="s">
        <v>30755</v>
      </c>
      <c r="D3651">
        <v>2</v>
      </c>
      <c r="E3651" t="s">
        <v>4028</v>
      </c>
      <c r="G3651" s="3"/>
      <c r="H3651" s="21">
        <v>0</v>
      </c>
      <c r="I3651" s="21">
        <v>0</v>
      </c>
      <c r="J3651" s="21">
        <v>0</v>
      </c>
      <c r="K3651" s="21">
        <v>0</v>
      </c>
      <c r="L3651" s="3">
        <f t="shared" si="156"/>
        <v>0</v>
      </c>
      <c r="M3651" s="3"/>
      <c r="N3651" s="3">
        <f t="shared" si="157"/>
        <v>0</v>
      </c>
      <c r="O3651" s="21"/>
      <c r="R3651" s="89"/>
      <c r="S3651" s="89">
        <f>100%-Table34[[#This Row],[PDF_initial fee]]</f>
        <v>1</v>
      </c>
      <c r="T3651" s="89"/>
      <c r="U3651" s="26"/>
    </row>
    <row r="3652" spans="1:21" hidden="1" x14ac:dyDescent="0.25">
      <c r="A3652">
        <v>652714</v>
      </c>
      <c r="B3652" t="s">
        <v>4029</v>
      </c>
      <c r="C3652" t="s">
        <v>6958</v>
      </c>
      <c r="D3652">
        <v>1</v>
      </c>
      <c r="E3652" t="s">
        <v>4029</v>
      </c>
      <c r="F3652" t="s">
        <v>6958</v>
      </c>
      <c r="G3652" s="3"/>
      <c r="H3652" s="21">
        <v>0</v>
      </c>
      <c r="I3652" s="21">
        <v>0</v>
      </c>
      <c r="J3652" s="21">
        <v>0</v>
      </c>
      <c r="K3652" s="21">
        <v>0</v>
      </c>
      <c r="L3652" s="3">
        <f t="shared" si="156"/>
        <v>0</v>
      </c>
      <c r="M3652" s="3"/>
      <c r="N3652" s="3">
        <f t="shared" si="157"/>
        <v>0</v>
      </c>
      <c r="R3652" s="89"/>
      <c r="S3652" s="89">
        <f>100%-Table34[[#This Row],[PDF_initial fee]]</f>
        <v>1</v>
      </c>
      <c r="T3652" s="89"/>
      <c r="U3652" s="26"/>
    </row>
    <row r="3653" spans="1:21" hidden="1" x14ac:dyDescent="0.25">
      <c r="A3653">
        <v>652945</v>
      </c>
      <c r="B3653" t="s">
        <v>4030</v>
      </c>
      <c r="C3653" t="s">
        <v>8633</v>
      </c>
      <c r="D3653">
        <v>0</v>
      </c>
      <c r="E3653" t="s">
        <v>4030</v>
      </c>
      <c r="F3653" t="s">
        <v>3</v>
      </c>
      <c r="G3653" s="3"/>
      <c r="H3653" s="21">
        <v>0</v>
      </c>
      <c r="I3653" s="21">
        <v>0</v>
      </c>
      <c r="J3653" s="21">
        <v>0</v>
      </c>
      <c r="K3653" s="21">
        <v>0</v>
      </c>
      <c r="L3653" s="3">
        <f t="shared" si="156"/>
        <v>0</v>
      </c>
      <c r="M3653" s="3"/>
      <c r="N3653" s="3">
        <f t="shared" si="157"/>
        <v>0</v>
      </c>
      <c r="R3653" s="89"/>
      <c r="S3653" s="89">
        <f>100%-Table34[[#This Row],[PDF_initial fee]]</f>
        <v>1</v>
      </c>
      <c r="T3653" s="89"/>
      <c r="U3653" s="26"/>
    </row>
    <row r="3654" spans="1:21" hidden="1" x14ac:dyDescent="0.25">
      <c r="A3654">
        <v>652972</v>
      </c>
      <c r="B3654" t="s">
        <v>4031</v>
      </c>
      <c r="C3654" t="s">
        <v>30756</v>
      </c>
      <c r="D3654">
        <v>24</v>
      </c>
      <c r="E3654" t="s">
        <v>4031</v>
      </c>
      <c r="G3654" s="3"/>
      <c r="H3654" s="21">
        <v>0</v>
      </c>
      <c r="I3654" s="21">
        <v>0</v>
      </c>
      <c r="J3654" s="21">
        <v>0</v>
      </c>
      <c r="K3654" s="21">
        <v>0</v>
      </c>
      <c r="L3654" s="3">
        <f t="shared" si="156"/>
        <v>0</v>
      </c>
      <c r="M3654" s="3"/>
      <c r="N3654" s="3">
        <f t="shared" si="157"/>
        <v>0</v>
      </c>
      <c r="O3654" s="21"/>
      <c r="R3654" s="89"/>
      <c r="S3654" s="89">
        <f>100%-Table34[[#This Row],[PDF_initial fee]]</f>
        <v>1</v>
      </c>
      <c r="T3654" s="89"/>
      <c r="U3654" s="26"/>
    </row>
    <row r="3655" spans="1:21" hidden="1" x14ac:dyDescent="0.25">
      <c r="A3655">
        <v>652973</v>
      </c>
      <c r="B3655" t="s">
        <v>4032</v>
      </c>
      <c r="C3655" t="s">
        <v>9568</v>
      </c>
      <c r="D3655">
        <v>0</v>
      </c>
      <c r="E3655" t="s">
        <v>4032</v>
      </c>
      <c r="F3655" t="s">
        <v>3</v>
      </c>
      <c r="G3655" s="3"/>
      <c r="H3655" s="3">
        <v>0</v>
      </c>
      <c r="I3655" s="3">
        <v>0</v>
      </c>
      <c r="J3655" s="3">
        <v>0</v>
      </c>
      <c r="K3655" s="3">
        <v>0</v>
      </c>
      <c r="L3655" s="3">
        <f t="shared" si="156"/>
        <v>0</v>
      </c>
      <c r="M3655" s="3"/>
      <c r="N3655" s="3">
        <f t="shared" si="157"/>
        <v>0</v>
      </c>
      <c r="R3655" s="89"/>
      <c r="S3655" s="89">
        <f>100%-Table34[[#This Row],[PDF_initial fee]]</f>
        <v>1</v>
      </c>
      <c r="T3655" s="89"/>
      <c r="U3655" s="26"/>
    </row>
    <row r="3656" spans="1:21" hidden="1" x14ac:dyDescent="0.25">
      <c r="A3656">
        <v>653015</v>
      </c>
      <c r="B3656" t="s">
        <v>4033</v>
      </c>
      <c r="C3656" t="s">
        <v>30757</v>
      </c>
      <c r="D3656">
        <v>0</v>
      </c>
      <c r="E3656" t="s">
        <v>4033</v>
      </c>
      <c r="F3656" t="s">
        <v>29136</v>
      </c>
      <c r="G3656" s="3"/>
      <c r="H3656" s="3">
        <v>0</v>
      </c>
      <c r="I3656" s="3">
        <v>0</v>
      </c>
      <c r="J3656" s="3">
        <v>0</v>
      </c>
      <c r="K3656" s="3">
        <v>0</v>
      </c>
      <c r="L3656" s="3">
        <f t="shared" si="156"/>
        <v>0</v>
      </c>
      <c r="M3656" s="3"/>
      <c r="N3656" s="3">
        <f t="shared" si="157"/>
        <v>0</v>
      </c>
      <c r="R3656" s="89"/>
      <c r="S3656" s="89">
        <f>100%-Table34[[#This Row],[PDF_initial fee]]</f>
        <v>1</v>
      </c>
      <c r="T3656" s="89"/>
      <c r="U3656" s="26"/>
    </row>
    <row r="3657" spans="1:21" hidden="1" x14ac:dyDescent="0.25">
      <c r="A3657">
        <v>653046</v>
      </c>
      <c r="B3657" t="s">
        <v>4034</v>
      </c>
      <c r="C3657" t="s">
        <v>30758</v>
      </c>
      <c r="D3657">
        <v>1</v>
      </c>
      <c r="E3657" t="s">
        <v>4034</v>
      </c>
      <c r="G3657" s="3"/>
      <c r="H3657" s="3">
        <v>0</v>
      </c>
      <c r="I3657" s="3">
        <v>0</v>
      </c>
      <c r="J3657" s="3">
        <v>0</v>
      </c>
      <c r="K3657" s="3">
        <v>0</v>
      </c>
      <c r="L3657" s="3">
        <f t="shared" si="156"/>
        <v>0</v>
      </c>
      <c r="M3657" s="3"/>
      <c r="N3657" s="3">
        <f t="shared" si="157"/>
        <v>0</v>
      </c>
      <c r="R3657" s="89"/>
      <c r="S3657" s="89">
        <f>100%-Table34[[#This Row],[PDF_initial fee]]</f>
        <v>1</v>
      </c>
      <c r="T3657" s="89"/>
      <c r="U3657" s="26"/>
    </row>
    <row r="3658" spans="1:21" hidden="1" x14ac:dyDescent="0.25">
      <c r="A3658">
        <v>653101</v>
      </c>
      <c r="B3658" t="s">
        <v>4035</v>
      </c>
      <c r="C3658" t="s">
        <v>30759</v>
      </c>
      <c r="D3658">
        <v>2</v>
      </c>
      <c r="E3658" t="s">
        <v>4035</v>
      </c>
      <c r="G3658" s="3"/>
      <c r="H3658" s="3">
        <v>0</v>
      </c>
      <c r="I3658" s="3">
        <v>0</v>
      </c>
      <c r="J3658" s="3">
        <v>0</v>
      </c>
      <c r="K3658" s="3">
        <v>0</v>
      </c>
      <c r="L3658" s="3">
        <f t="shared" si="156"/>
        <v>0</v>
      </c>
      <c r="M3658" s="3"/>
      <c r="N3658" s="3">
        <f t="shared" si="157"/>
        <v>0</v>
      </c>
      <c r="R3658" s="89"/>
      <c r="S3658" s="89">
        <f>100%-Table34[[#This Row],[PDF_initial fee]]</f>
        <v>1</v>
      </c>
      <c r="T3658" s="89"/>
      <c r="U3658" s="26"/>
    </row>
    <row r="3659" spans="1:21" hidden="1" x14ac:dyDescent="0.25">
      <c r="A3659">
        <v>653541</v>
      </c>
      <c r="B3659" t="s">
        <v>4037</v>
      </c>
      <c r="C3659" t="s">
        <v>30760</v>
      </c>
      <c r="D3659">
        <v>6</v>
      </c>
      <c r="E3659" t="s">
        <v>4037</v>
      </c>
      <c r="G3659" s="3"/>
      <c r="H3659" s="21">
        <v>0</v>
      </c>
      <c r="I3659" s="21">
        <v>0</v>
      </c>
      <c r="J3659" s="21">
        <v>0</v>
      </c>
      <c r="K3659" s="21">
        <v>0</v>
      </c>
      <c r="L3659" s="3">
        <f t="shared" si="156"/>
        <v>0</v>
      </c>
      <c r="M3659" s="3"/>
      <c r="N3659" s="3">
        <f t="shared" si="157"/>
        <v>0</v>
      </c>
      <c r="O3659" s="21"/>
      <c r="R3659" s="89"/>
      <c r="S3659" s="89">
        <f>100%-Table34[[#This Row],[PDF_initial fee]]</f>
        <v>1</v>
      </c>
      <c r="T3659" s="89"/>
      <c r="U3659" s="26"/>
    </row>
    <row r="3660" spans="1:21" hidden="1" x14ac:dyDescent="0.25">
      <c r="A3660">
        <v>654335</v>
      </c>
      <c r="B3660" t="s">
        <v>4038</v>
      </c>
      <c r="C3660" t="s">
        <v>30761</v>
      </c>
      <c r="D3660">
        <v>1</v>
      </c>
      <c r="E3660" t="s">
        <v>4038</v>
      </c>
      <c r="G3660" s="3"/>
      <c r="H3660" s="3">
        <v>0</v>
      </c>
      <c r="I3660" s="3">
        <v>0</v>
      </c>
      <c r="J3660" s="3">
        <v>0</v>
      </c>
      <c r="K3660" s="3">
        <v>0</v>
      </c>
      <c r="L3660" s="3">
        <f t="shared" si="156"/>
        <v>0</v>
      </c>
      <c r="M3660" s="3"/>
      <c r="N3660" s="3">
        <f t="shared" si="157"/>
        <v>0</v>
      </c>
      <c r="R3660" s="89"/>
      <c r="S3660" s="89">
        <f>100%-Table34[[#This Row],[PDF_initial fee]]</f>
        <v>1</v>
      </c>
      <c r="T3660" s="89"/>
      <c r="U3660" s="26"/>
    </row>
    <row r="3661" spans="1:21" hidden="1" x14ac:dyDescent="0.25">
      <c r="A3661">
        <v>654458</v>
      </c>
      <c r="B3661" t="s">
        <v>4039</v>
      </c>
      <c r="C3661" s="1" t="s">
        <v>30762</v>
      </c>
      <c r="D3661">
        <v>5</v>
      </c>
      <c r="E3661" t="s">
        <v>4039</v>
      </c>
      <c r="G3661" s="3"/>
      <c r="H3661" s="3">
        <v>0</v>
      </c>
      <c r="I3661" s="3">
        <v>0</v>
      </c>
      <c r="J3661" s="3">
        <v>0</v>
      </c>
      <c r="K3661" s="3">
        <v>0</v>
      </c>
      <c r="L3661" s="3">
        <f t="shared" si="156"/>
        <v>0</v>
      </c>
      <c r="M3661" s="3"/>
      <c r="N3661" s="3">
        <f t="shared" si="157"/>
        <v>0</v>
      </c>
      <c r="R3661" s="89"/>
      <c r="S3661" s="89">
        <f>100%-Table34[[#This Row],[PDF_initial fee]]</f>
        <v>1</v>
      </c>
      <c r="T3661" s="89"/>
      <c r="U3661" s="26"/>
    </row>
    <row r="3662" spans="1:21" hidden="1" x14ac:dyDescent="0.25">
      <c r="A3662">
        <v>654530</v>
      </c>
      <c r="B3662" t="s">
        <v>4040</v>
      </c>
      <c r="C3662" t="s">
        <v>9435</v>
      </c>
      <c r="D3662">
        <v>1</v>
      </c>
      <c r="E3662" t="s">
        <v>4040</v>
      </c>
      <c r="G3662" s="3"/>
      <c r="H3662" s="3">
        <v>0</v>
      </c>
      <c r="I3662" s="3">
        <v>0</v>
      </c>
      <c r="J3662" s="3">
        <v>0</v>
      </c>
      <c r="K3662" s="3">
        <v>0</v>
      </c>
      <c r="L3662" s="3">
        <f t="shared" si="156"/>
        <v>0</v>
      </c>
      <c r="M3662" s="3"/>
      <c r="N3662" s="3">
        <f t="shared" si="157"/>
        <v>0</v>
      </c>
      <c r="R3662" s="89"/>
      <c r="S3662" s="89">
        <f>100%-Table34[[#This Row],[PDF_initial fee]]</f>
        <v>1</v>
      </c>
      <c r="T3662" s="89"/>
      <c r="U3662" s="26"/>
    </row>
    <row r="3663" spans="1:21" hidden="1" x14ac:dyDescent="0.25">
      <c r="A3663">
        <v>654689</v>
      </c>
      <c r="B3663" t="s">
        <v>4041</v>
      </c>
      <c r="C3663" t="s">
        <v>11853</v>
      </c>
      <c r="D3663">
        <v>2</v>
      </c>
      <c r="E3663" t="s">
        <v>4041</v>
      </c>
      <c r="G3663" s="3"/>
      <c r="H3663" s="3">
        <v>0</v>
      </c>
      <c r="I3663" s="3">
        <v>0</v>
      </c>
      <c r="J3663" s="3">
        <v>0</v>
      </c>
      <c r="K3663" s="3">
        <v>0</v>
      </c>
      <c r="L3663" s="3">
        <f t="shared" si="156"/>
        <v>0</v>
      </c>
      <c r="M3663" s="3"/>
      <c r="N3663" s="3">
        <f t="shared" si="157"/>
        <v>0</v>
      </c>
      <c r="R3663" s="89"/>
      <c r="S3663" s="89">
        <f>100%-Table34[[#This Row],[PDF_initial fee]]</f>
        <v>1</v>
      </c>
      <c r="T3663" s="89"/>
      <c r="U3663" s="26"/>
    </row>
    <row r="3664" spans="1:21" hidden="1" x14ac:dyDescent="0.25">
      <c r="A3664">
        <v>654779</v>
      </c>
      <c r="B3664" t="s">
        <v>4042</v>
      </c>
      <c r="C3664" t="s">
        <v>6958</v>
      </c>
      <c r="D3664">
        <v>1</v>
      </c>
      <c r="E3664" t="s">
        <v>4042</v>
      </c>
      <c r="F3664" t="s">
        <v>6958</v>
      </c>
      <c r="G3664" s="3"/>
      <c r="H3664" s="21">
        <v>0</v>
      </c>
      <c r="I3664" s="21">
        <v>0</v>
      </c>
      <c r="J3664" s="21">
        <v>0</v>
      </c>
      <c r="K3664" s="21">
        <v>0</v>
      </c>
      <c r="L3664" s="3">
        <f t="shared" si="156"/>
        <v>0</v>
      </c>
      <c r="M3664" s="3"/>
      <c r="N3664" s="3">
        <f t="shared" si="157"/>
        <v>0</v>
      </c>
      <c r="R3664" s="89"/>
      <c r="S3664" s="89">
        <f>100%-Table34[[#This Row],[PDF_initial fee]]</f>
        <v>1</v>
      </c>
      <c r="T3664" s="89"/>
      <c r="U3664" s="26"/>
    </row>
    <row r="3665" spans="1:21" hidden="1" x14ac:dyDescent="0.25">
      <c r="A3665">
        <v>655999</v>
      </c>
      <c r="B3665" t="s">
        <v>4044</v>
      </c>
      <c r="C3665" t="s">
        <v>8606</v>
      </c>
      <c r="D3665">
        <v>1</v>
      </c>
      <c r="E3665" t="s">
        <v>4044</v>
      </c>
      <c r="G3665" s="3"/>
      <c r="L3665" s="3">
        <f t="shared" si="156"/>
        <v>0</v>
      </c>
      <c r="M3665" s="3"/>
      <c r="N3665" s="3">
        <f t="shared" si="157"/>
        <v>0</v>
      </c>
      <c r="R3665" s="89"/>
      <c r="S3665" s="89">
        <f>100%-Table34[[#This Row],[PDF_initial fee]]</f>
        <v>1</v>
      </c>
      <c r="T3665" s="89"/>
      <c r="U3665" s="26"/>
    </row>
    <row r="3666" spans="1:21" hidden="1" x14ac:dyDescent="0.25">
      <c r="A3666">
        <v>656022</v>
      </c>
      <c r="B3666" t="s">
        <v>4045</v>
      </c>
      <c r="C3666" t="s">
        <v>30763</v>
      </c>
      <c r="D3666">
        <v>2</v>
      </c>
      <c r="E3666" t="s">
        <v>4045</v>
      </c>
      <c r="G3666" s="3"/>
      <c r="H3666" s="3">
        <v>0</v>
      </c>
      <c r="I3666" s="3">
        <v>0</v>
      </c>
      <c r="J3666" s="3">
        <v>0</v>
      </c>
      <c r="K3666" s="3">
        <v>0</v>
      </c>
      <c r="L3666" s="3">
        <f t="shared" si="156"/>
        <v>0</v>
      </c>
      <c r="M3666" s="3"/>
      <c r="N3666" s="3">
        <f t="shared" si="157"/>
        <v>0</v>
      </c>
      <c r="R3666" s="89"/>
      <c r="S3666" s="89">
        <f>100%-Table34[[#This Row],[PDF_initial fee]]</f>
        <v>1</v>
      </c>
      <c r="T3666" s="89"/>
      <c r="U3666" s="26"/>
    </row>
    <row r="3667" spans="1:21" hidden="1" x14ac:dyDescent="0.25">
      <c r="A3667">
        <v>656426</v>
      </c>
      <c r="B3667" t="s">
        <v>4046</v>
      </c>
      <c r="C3667" t="s">
        <v>8589</v>
      </c>
      <c r="D3667">
        <v>2</v>
      </c>
      <c r="E3667" t="s">
        <v>4046</v>
      </c>
      <c r="G3667" s="3"/>
      <c r="H3667" s="21">
        <v>0</v>
      </c>
      <c r="I3667" s="21">
        <v>0</v>
      </c>
      <c r="J3667" s="21">
        <v>0</v>
      </c>
      <c r="K3667" s="21">
        <v>0</v>
      </c>
      <c r="L3667" s="3">
        <f t="shared" si="156"/>
        <v>0</v>
      </c>
      <c r="M3667" s="3"/>
      <c r="N3667" s="3">
        <f t="shared" si="157"/>
        <v>0</v>
      </c>
      <c r="R3667" s="89"/>
      <c r="S3667" s="89">
        <f>100%-Table34[[#This Row],[PDF_initial fee]]</f>
        <v>1</v>
      </c>
      <c r="T3667" s="89"/>
      <c r="U3667" s="26"/>
    </row>
    <row r="3668" spans="1:21" hidden="1" x14ac:dyDescent="0.25">
      <c r="A3668">
        <v>656882</v>
      </c>
      <c r="B3668" t="s">
        <v>4047</v>
      </c>
      <c r="C3668" t="s">
        <v>6949</v>
      </c>
      <c r="D3668">
        <v>2</v>
      </c>
      <c r="E3668" t="s">
        <v>4047</v>
      </c>
      <c r="G3668" s="3"/>
      <c r="H3668" s="21">
        <v>0</v>
      </c>
      <c r="I3668" s="21">
        <v>0</v>
      </c>
      <c r="J3668" s="21">
        <v>0</v>
      </c>
      <c r="K3668" s="21">
        <v>0</v>
      </c>
      <c r="L3668" s="3">
        <f t="shared" si="156"/>
        <v>0</v>
      </c>
      <c r="M3668" s="3"/>
      <c r="N3668" s="3">
        <f t="shared" si="157"/>
        <v>0</v>
      </c>
      <c r="R3668" s="89"/>
      <c r="S3668" s="89">
        <f>100%-Table34[[#This Row],[PDF_initial fee]]</f>
        <v>1</v>
      </c>
      <c r="T3668" s="89"/>
      <c r="U3668" s="26"/>
    </row>
    <row r="3669" spans="1:21" hidden="1" x14ac:dyDescent="0.25">
      <c r="A3669">
        <v>657071</v>
      </c>
      <c r="B3669" t="s">
        <v>4048</v>
      </c>
      <c r="C3669" t="s">
        <v>6958</v>
      </c>
      <c r="D3669">
        <v>1</v>
      </c>
      <c r="E3669" t="s">
        <v>4048</v>
      </c>
      <c r="F3669" t="s">
        <v>6958</v>
      </c>
      <c r="G3669" s="3"/>
      <c r="L3669" s="3">
        <f t="shared" si="156"/>
        <v>0</v>
      </c>
      <c r="M3669" s="3"/>
      <c r="N3669" s="3">
        <f t="shared" si="157"/>
        <v>0</v>
      </c>
      <c r="R3669" s="89"/>
      <c r="S3669" s="89">
        <f>100%-Table34[[#This Row],[PDF_initial fee]]</f>
        <v>1</v>
      </c>
      <c r="T3669" s="89"/>
      <c r="U3669" s="26"/>
    </row>
    <row r="3670" spans="1:21" hidden="1" x14ac:dyDescent="0.25">
      <c r="A3670">
        <v>657395</v>
      </c>
      <c r="B3670" t="s">
        <v>4049</v>
      </c>
      <c r="C3670" t="s">
        <v>30764</v>
      </c>
      <c r="D3670">
        <v>2</v>
      </c>
      <c r="E3670" t="s">
        <v>4049</v>
      </c>
      <c r="G3670" s="3"/>
      <c r="H3670" s="21">
        <v>0</v>
      </c>
      <c r="I3670" s="21">
        <v>0</v>
      </c>
      <c r="J3670" s="21">
        <v>0</v>
      </c>
      <c r="K3670" s="21">
        <v>0</v>
      </c>
      <c r="L3670" s="3">
        <f t="shared" si="156"/>
        <v>0</v>
      </c>
      <c r="M3670" s="3"/>
      <c r="N3670" s="3">
        <f t="shared" si="157"/>
        <v>0</v>
      </c>
      <c r="O3670" s="21"/>
      <c r="R3670" s="89"/>
      <c r="S3670" s="89">
        <f>100%-Table34[[#This Row],[PDF_initial fee]]</f>
        <v>1</v>
      </c>
      <c r="T3670" s="89"/>
      <c r="U3670" s="26"/>
    </row>
    <row r="3671" spans="1:21" hidden="1" x14ac:dyDescent="0.25">
      <c r="A3671">
        <v>657538</v>
      </c>
      <c r="B3671" t="s">
        <v>4050</v>
      </c>
      <c r="C3671" t="s">
        <v>11436</v>
      </c>
      <c r="D3671">
        <v>1</v>
      </c>
      <c r="E3671" t="s">
        <v>4050</v>
      </c>
      <c r="G3671" s="3"/>
      <c r="H3671" s="3"/>
      <c r="I3671" s="3"/>
      <c r="J3671" s="3"/>
      <c r="K3671" s="3"/>
      <c r="L3671" s="3">
        <f t="shared" si="156"/>
        <v>0</v>
      </c>
      <c r="M3671" s="3"/>
      <c r="N3671" s="3">
        <f t="shared" si="157"/>
        <v>0</v>
      </c>
      <c r="R3671" s="89"/>
      <c r="S3671" s="89">
        <f>100%-Table34[[#This Row],[PDF_initial fee]]</f>
        <v>1</v>
      </c>
      <c r="T3671" s="89"/>
      <c r="U3671" s="26"/>
    </row>
    <row r="3672" spans="1:21" hidden="1" x14ac:dyDescent="0.25">
      <c r="A3672">
        <v>657947</v>
      </c>
      <c r="B3672" t="s">
        <v>4051</v>
      </c>
      <c r="C3672" t="s">
        <v>10044</v>
      </c>
      <c r="D3672">
        <v>5</v>
      </c>
      <c r="E3672" t="s">
        <v>4051</v>
      </c>
      <c r="G3672" s="3"/>
      <c r="H3672" s="3">
        <v>0</v>
      </c>
      <c r="I3672" s="3">
        <v>0</v>
      </c>
      <c r="J3672" s="3">
        <v>0</v>
      </c>
      <c r="K3672" s="3">
        <v>0</v>
      </c>
      <c r="L3672" s="3">
        <f t="shared" si="156"/>
        <v>0</v>
      </c>
      <c r="M3672" s="3"/>
      <c r="N3672" s="3">
        <f t="shared" si="157"/>
        <v>0</v>
      </c>
      <c r="R3672" s="89"/>
      <c r="S3672" s="89">
        <f>100%-Table34[[#This Row],[PDF_initial fee]]</f>
        <v>1</v>
      </c>
      <c r="T3672" s="89"/>
      <c r="U3672" s="26"/>
    </row>
    <row r="3673" spans="1:21" hidden="1" x14ac:dyDescent="0.25">
      <c r="A3673">
        <v>658107</v>
      </c>
      <c r="B3673" t="s">
        <v>4052</v>
      </c>
      <c r="C3673" t="s">
        <v>9521</v>
      </c>
      <c r="D3673">
        <v>1</v>
      </c>
      <c r="E3673" t="s">
        <v>4052</v>
      </c>
      <c r="G3673" s="3"/>
      <c r="H3673" s="3">
        <v>0</v>
      </c>
      <c r="I3673" s="3">
        <v>0</v>
      </c>
      <c r="J3673" s="3">
        <v>0</v>
      </c>
      <c r="K3673" s="3">
        <v>0</v>
      </c>
      <c r="L3673" s="3">
        <f t="shared" si="156"/>
        <v>0</v>
      </c>
      <c r="M3673" s="3"/>
      <c r="N3673" s="3">
        <f t="shared" si="157"/>
        <v>0</v>
      </c>
      <c r="R3673" s="89"/>
      <c r="S3673" s="89">
        <f>100%-Table34[[#This Row],[PDF_initial fee]]</f>
        <v>1</v>
      </c>
      <c r="T3673" s="89"/>
      <c r="U3673" s="26"/>
    </row>
    <row r="3674" spans="1:21" hidden="1" x14ac:dyDescent="0.25">
      <c r="A3674">
        <v>658163</v>
      </c>
      <c r="B3674" t="s">
        <v>4053</v>
      </c>
      <c r="C3674" t="s">
        <v>6958</v>
      </c>
      <c r="D3674">
        <v>1</v>
      </c>
      <c r="E3674" t="s">
        <v>4053</v>
      </c>
      <c r="F3674" t="s">
        <v>6958</v>
      </c>
      <c r="G3674" s="3"/>
      <c r="H3674" s="21">
        <v>0</v>
      </c>
      <c r="I3674" s="21">
        <v>0</v>
      </c>
      <c r="J3674" s="21">
        <v>0</v>
      </c>
      <c r="K3674" s="21">
        <v>0</v>
      </c>
      <c r="L3674" s="3">
        <f t="shared" si="156"/>
        <v>0</v>
      </c>
      <c r="M3674" s="3"/>
      <c r="N3674" s="3">
        <f t="shared" si="157"/>
        <v>0</v>
      </c>
      <c r="R3674" s="89"/>
      <c r="S3674" s="89">
        <f>100%-Table34[[#This Row],[PDF_initial fee]]</f>
        <v>1</v>
      </c>
      <c r="T3674" s="89"/>
      <c r="U3674" s="26"/>
    </row>
    <row r="3675" spans="1:21" hidden="1" x14ac:dyDescent="0.25">
      <c r="A3675">
        <v>659600</v>
      </c>
      <c r="B3675" t="s">
        <v>4054</v>
      </c>
      <c r="C3675" t="s">
        <v>30765</v>
      </c>
      <c r="D3675">
        <v>4</v>
      </c>
      <c r="E3675" t="s">
        <v>4054</v>
      </c>
      <c r="G3675" s="3"/>
      <c r="H3675" s="21">
        <v>0</v>
      </c>
      <c r="I3675" s="21">
        <v>0</v>
      </c>
      <c r="J3675" s="21">
        <v>0</v>
      </c>
      <c r="K3675" s="21">
        <v>0</v>
      </c>
      <c r="L3675" s="3">
        <f t="shared" si="156"/>
        <v>0</v>
      </c>
      <c r="M3675" s="3"/>
      <c r="N3675" s="3">
        <f t="shared" si="157"/>
        <v>0</v>
      </c>
      <c r="O3675" s="21"/>
      <c r="R3675" s="89"/>
      <c r="S3675" s="89">
        <f>100%-Table34[[#This Row],[PDF_initial fee]]</f>
        <v>1</v>
      </c>
      <c r="T3675" s="89"/>
      <c r="U3675" s="26"/>
    </row>
    <row r="3676" spans="1:21" hidden="1" x14ac:dyDescent="0.25">
      <c r="A3676">
        <v>659833</v>
      </c>
      <c r="B3676" t="s">
        <v>4055</v>
      </c>
      <c r="C3676" t="s">
        <v>6958</v>
      </c>
      <c r="D3676">
        <v>4</v>
      </c>
      <c r="E3676" t="s">
        <v>4055</v>
      </c>
      <c r="F3676" t="s">
        <v>6958</v>
      </c>
      <c r="G3676" s="3"/>
      <c r="H3676" s="21">
        <v>0</v>
      </c>
      <c r="I3676" s="21">
        <v>0</v>
      </c>
      <c r="J3676" s="21">
        <v>0</v>
      </c>
      <c r="K3676" s="21">
        <v>0</v>
      </c>
      <c r="L3676" s="3">
        <f t="shared" si="156"/>
        <v>0</v>
      </c>
      <c r="M3676" s="3"/>
      <c r="N3676" s="3">
        <f t="shared" si="157"/>
        <v>0</v>
      </c>
      <c r="R3676" s="89"/>
      <c r="S3676" s="89">
        <f>100%-Table34[[#This Row],[PDF_initial fee]]</f>
        <v>1</v>
      </c>
      <c r="T3676" s="89"/>
      <c r="U3676" s="26"/>
    </row>
    <row r="3677" spans="1:21" hidden="1" x14ac:dyDescent="0.25">
      <c r="A3677">
        <v>660094</v>
      </c>
      <c r="B3677" t="s">
        <v>4056</v>
      </c>
      <c r="C3677" t="s">
        <v>30766</v>
      </c>
      <c r="D3677">
        <v>5</v>
      </c>
      <c r="E3677" t="s">
        <v>4056</v>
      </c>
      <c r="G3677" s="3"/>
      <c r="H3677" s="3">
        <v>0</v>
      </c>
      <c r="I3677" s="3">
        <v>0</v>
      </c>
      <c r="J3677" s="3">
        <v>0</v>
      </c>
      <c r="K3677" s="3">
        <v>0</v>
      </c>
      <c r="L3677" s="3">
        <f t="shared" si="156"/>
        <v>0</v>
      </c>
      <c r="M3677" s="3"/>
      <c r="N3677" s="3">
        <f t="shared" si="157"/>
        <v>0</v>
      </c>
      <c r="R3677" s="89"/>
      <c r="S3677" s="89">
        <f>100%-Table34[[#This Row],[PDF_initial fee]]</f>
        <v>1</v>
      </c>
      <c r="T3677" s="89"/>
      <c r="U3677" s="26"/>
    </row>
    <row r="3678" spans="1:21" hidden="1" x14ac:dyDescent="0.25">
      <c r="A3678">
        <v>660389</v>
      </c>
      <c r="B3678" t="s">
        <v>4057</v>
      </c>
      <c r="C3678" t="s">
        <v>7779</v>
      </c>
      <c r="D3678">
        <v>9</v>
      </c>
      <c r="E3678" t="s">
        <v>4057</v>
      </c>
      <c r="G3678" s="3"/>
      <c r="L3678" s="3">
        <f t="shared" si="156"/>
        <v>0</v>
      </c>
      <c r="M3678" s="3"/>
      <c r="N3678" s="3">
        <f t="shared" si="157"/>
        <v>0</v>
      </c>
      <c r="R3678" s="89"/>
      <c r="S3678" s="89">
        <f>100%-Table34[[#This Row],[PDF_initial fee]]</f>
        <v>1</v>
      </c>
      <c r="T3678" s="89"/>
      <c r="U3678" s="26"/>
    </row>
    <row r="3679" spans="1:21" hidden="1" x14ac:dyDescent="0.25">
      <c r="A3679">
        <v>660573</v>
      </c>
      <c r="B3679" t="s">
        <v>4058</v>
      </c>
      <c r="C3679" t="s">
        <v>10410</v>
      </c>
      <c r="D3679">
        <v>5</v>
      </c>
      <c r="E3679" t="s">
        <v>4058</v>
      </c>
      <c r="G3679" s="3"/>
      <c r="H3679" s="3">
        <v>0</v>
      </c>
      <c r="I3679" s="3">
        <v>0</v>
      </c>
      <c r="J3679" s="3">
        <v>0</v>
      </c>
      <c r="K3679" s="3">
        <v>0</v>
      </c>
      <c r="L3679" s="3">
        <f t="shared" si="156"/>
        <v>0</v>
      </c>
      <c r="M3679" s="3"/>
      <c r="N3679" s="3">
        <f t="shared" si="157"/>
        <v>0</v>
      </c>
      <c r="R3679" s="89"/>
      <c r="S3679" s="89">
        <f>100%-Table34[[#This Row],[PDF_initial fee]]</f>
        <v>1</v>
      </c>
      <c r="T3679" s="89"/>
      <c r="U3679" s="26"/>
    </row>
    <row r="3680" spans="1:21" hidden="1" x14ac:dyDescent="0.25">
      <c r="A3680">
        <v>660574</v>
      </c>
      <c r="B3680" t="s">
        <v>4059</v>
      </c>
      <c r="C3680" t="s">
        <v>10806</v>
      </c>
      <c r="D3680">
        <v>3</v>
      </c>
      <c r="E3680" t="s">
        <v>4059</v>
      </c>
      <c r="G3680" s="3"/>
      <c r="H3680" s="3"/>
      <c r="I3680" s="3"/>
      <c r="J3680" s="3"/>
      <c r="K3680" s="3"/>
      <c r="L3680" s="3">
        <f t="shared" si="156"/>
        <v>0</v>
      </c>
      <c r="M3680" s="3"/>
      <c r="N3680" s="3">
        <f t="shared" si="157"/>
        <v>0</v>
      </c>
      <c r="R3680" s="89"/>
      <c r="S3680" s="89">
        <f>100%-Table34[[#This Row],[PDF_initial fee]]</f>
        <v>1</v>
      </c>
      <c r="T3680" s="89"/>
      <c r="U3680" s="26"/>
    </row>
    <row r="3681" spans="1:27" hidden="1" x14ac:dyDescent="0.25">
      <c r="A3681">
        <v>660915</v>
      </c>
      <c r="B3681" t="s">
        <v>4060</v>
      </c>
      <c r="C3681" t="s">
        <v>30767</v>
      </c>
      <c r="D3681">
        <v>15</v>
      </c>
      <c r="E3681" t="s">
        <v>4060</v>
      </c>
      <c r="G3681" s="3"/>
      <c r="H3681" s="21">
        <v>0</v>
      </c>
      <c r="I3681" s="21">
        <v>0</v>
      </c>
      <c r="J3681" s="21">
        <v>0</v>
      </c>
      <c r="K3681" s="21">
        <v>0</v>
      </c>
      <c r="L3681" s="3">
        <f t="shared" si="156"/>
        <v>0</v>
      </c>
      <c r="M3681" s="3"/>
      <c r="N3681" s="3">
        <f t="shared" si="157"/>
        <v>0</v>
      </c>
      <c r="O3681" s="21"/>
      <c r="R3681" s="89"/>
      <c r="S3681" s="89">
        <f>100%-Table34[[#This Row],[PDF_initial fee]]</f>
        <v>1</v>
      </c>
      <c r="T3681" s="89"/>
      <c r="U3681" s="26"/>
    </row>
    <row r="3682" spans="1:27" hidden="1" x14ac:dyDescent="0.25">
      <c r="A3682">
        <v>663026</v>
      </c>
      <c r="B3682" t="s">
        <v>4061</v>
      </c>
      <c r="C3682" t="s">
        <v>7231</v>
      </c>
      <c r="D3682">
        <v>1</v>
      </c>
      <c r="E3682" t="s">
        <v>4061</v>
      </c>
      <c r="G3682" s="3"/>
      <c r="H3682" s="21">
        <v>0</v>
      </c>
      <c r="I3682" s="21">
        <v>0</v>
      </c>
      <c r="J3682" s="21">
        <v>0</v>
      </c>
      <c r="K3682" s="21">
        <v>0</v>
      </c>
      <c r="L3682" s="3">
        <f t="shared" ref="L3682:L3693" si="158">SUM(H3682:K3682)</f>
        <v>0</v>
      </c>
      <c r="M3682" s="3"/>
      <c r="N3682" s="3">
        <f t="shared" ref="N3682:N3693" si="159">L3682+G3682</f>
        <v>0</v>
      </c>
      <c r="R3682" s="89"/>
      <c r="S3682" s="89">
        <f>100%-Table34[[#This Row],[PDF_initial fee]]</f>
        <v>1</v>
      </c>
      <c r="T3682" s="89"/>
      <c r="U3682" s="26"/>
    </row>
    <row r="3683" spans="1:27" hidden="1" x14ac:dyDescent="0.25">
      <c r="A3683">
        <v>663048</v>
      </c>
      <c r="B3683" t="s">
        <v>4062</v>
      </c>
      <c r="C3683" t="s">
        <v>6958</v>
      </c>
      <c r="D3683">
        <v>1</v>
      </c>
      <c r="E3683" t="s">
        <v>4062</v>
      </c>
      <c r="F3683" t="s">
        <v>6958</v>
      </c>
      <c r="G3683" s="3"/>
      <c r="H3683" s="21">
        <v>0</v>
      </c>
      <c r="I3683" s="21">
        <v>0</v>
      </c>
      <c r="J3683" s="21">
        <v>0</v>
      </c>
      <c r="K3683" s="21">
        <v>0</v>
      </c>
      <c r="L3683" s="3">
        <f t="shared" si="158"/>
        <v>0</v>
      </c>
      <c r="M3683" s="3"/>
      <c r="N3683" s="3">
        <f t="shared" si="159"/>
        <v>0</v>
      </c>
      <c r="R3683" s="89"/>
      <c r="S3683" s="89">
        <f>100%-Table34[[#This Row],[PDF_initial fee]]</f>
        <v>1</v>
      </c>
      <c r="T3683" s="89"/>
      <c r="U3683" s="26"/>
    </row>
    <row r="3684" spans="1:27" hidden="1" x14ac:dyDescent="0.25">
      <c r="A3684">
        <v>663159</v>
      </c>
      <c r="B3684" t="s">
        <v>4063</v>
      </c>
      <c r="C3684" t="s">
        <v>6958</v>
      </c>
      <c r="D3684">
        <v>1</v>
      </c>
      <c r="E3684" t="s">
        <v>4063</v>
      </c>
      <c r="F3684" t="s">
        <v>6958</v>
      </c>
      <c r="G3684" s="3"/>
      <c r="H3684" s="21">
        <v>0</v>
      </c>
      <c r="I3684" s="21">
        <v>0</v>
      </c>
      <c r="J3684" s="21">
        <v>0</v>
      </c>
      <c r="K3684" s="21">
        <v>0</v>
      </c>
      <c r="L3684" s="3">
        <f t="shared" si="158"/>
        <v>0</v>
      </c>
      <c r="M3684" s="3"/>
      <c r="N3684" s="3">
        <f t="shared" si="159"/>
        <v>0</v>
      </c>
      <c r="R3684" s="89"/>
      <c r="S3684" s="89">
        <f>100%-Table34[[#This Row],[PDF_initial fee]]</f>
        <v>1</v>
      </c>
      <c r="T3684" s="89"/>
      <c r="U3684" s="26"/>
    </row>
    <row r="3685" spans="1:27" hidden="1" x14ac:dyDescent="0.25">
      <c r="A3685">
        <v>663308</v>
      </c>
      <c r="B3685" t="s">
        <v>4064</v>
      </c>
      <c r="C3685" t="s">
        <v>9621</v>
      </c>
      <c r="D3685">
        <v>2</v>
      </c>
      <c r="E3685" t="s">
        <v>4064</v>
      </c>
      <c r="G3685" s="3"/>
      <c r="H3685" s="3">
        <v>0</v>
      </c>
      <c r="I3685" s="3">
        <v>0</v>
      </c>
      <c r="J3685" s="3">
        <v>0</v>
      </c>
      <c r="K3685" s="3">
        <v>0</v>
      </c>
      <c r="L3685" s="3">
        <f t="shared" si="158"/>
        <v>0</v>
      </c>
      <c r="M3685" s="3"/>
      <c r="N3685" s="3">
        <f t="shared" si="159"/>
        <v>0</v>
      </c>
      <c r="R3685" s="89"/>
      <c r="S3685" s="89">
        <f>100%-Table34[[#This Row],[PDF_initial fee]]</f>
        <v>1</v>
      </c>
      <c r="T3685" s="89"/>
      <c r="U3685" s="26"/>
    </row>
    <row r="3686" spans="1:27" hidden="1" x14ac:dyDescent="0.25">
      <c r="A3686">
        <v>664876</v>
      </c>
      <c r="B3686" t="s">
        <v>4065</v>
      </c>
      <c r="C3686" t="s">
        <v>30768</v>
      </c>
      <c r="D3686">
        <v>1</v>
      </c>
      <c r="E3686" t="s">
        <v>4065</v>
      </c>
      <c r="G3686" s="3"/>
      <c r="H3686" s="3">
        <v>0</v>
      </c>
      <c r="I3686" s="3">
        <v>0</v>
      </c>
      <c r="J3686" s="3">
        <v>0</v>
      </c>
      <c r="K3686" s="3">
        <v>0</v>
      </c>
      <c r="L3686" s="3">
        <f t="shared" si="158"/>
        <v>0</v>
      </c>
      <c r="M3686" s="3"/>
      <c r="N3686" s="3">
        <f t="shared" si="159"/>
        <v>0</v>
      </c>
      <c r="R3686" s="89"/>
      <c r="S3686" s="89">
        <f>100%-Table34[[#This Row],[PDF_initial fee]]</f>
        <v>1</v>
      </c>
      <c r="T3686" s="89"/>
      <c r="U3686" s="26"/>
    </row>
    <row r="3687" spans="1:27" hidden="1" x14ac:dyDescent="0.25">
      <c r="A3687">
        <v>664926</v>
      </c>
      <c r="B3687" t="s">
        <v>4066</v>
      </c>
      <c r="C3687" t="s">
        <v>30769</v>
      </c>
      <c r="D3687">
        <v>4</v>
      </c>
      <c r="E3687" t="s">
        <v>4066</v>
      </c>
      <c r="G3687" s="3"/>
      <c r="H3687" s="3">
        <v>0</v>
      </c>
      <c r="I3687" s="3">
        <v>0</v>
      </c>
      <c r="J3687" s="3">
        <v>0</v>
      </c>
      <c r="K3687" s="3">
        <v>0</v>
      </c>
      <c r="L3687" s="3">
        <f t="shared" si="158"/>
        <v>0</v>
      </c>
      <c r="M3687" s="3"/>
      <c r="N3687" s="3">
        <f t="shared" si="159"/>
        <v>0</v>
      </c>
      <c r="R3687" s="89"/>
      <c r="S3687" s="89">
        <f>100%-Table34[[#This Row],[PDF_initial fee]]</f>
        <v>1</v>
      </c>
      <c r="T3687" s="89"/>
      <c r="U3687" s="26"/>
    </row>
    <row r="3688" spans="1:27" hidden="1" x14ac:dyDescent="0.25">
      <c r="A3688">
        <v>665653</v>
      </c>
      <c r="B3688" t="s">
        <v>4068</v>
      </c>
      <c r="C3688" t="s">
        <v>30770</v>
      </c>
      <c r="D3688">
        <v>100</v>
      </c>
      <c r="E3688" t="s">
        <v>4068</v>
      </c>
      <c r="F3688" t="s">
        <v>6</v>
      </c>
      <c r="G3688" s="3"/>
      <c r="H3688" s="3">
        <v>0</v>
      </c>
      <c r="I3688" s="3">
        <v>0</v>
      </c>
      <c r="J3688" s="3">
        <v>0</v>
      </c>
      <c r="K3688" s="3">
        <v>0</v>
      </c>
      <c r="L3688" s="3">
        <f t="shared" si="158"/>
        <v>0</v>
      </c>
      <c r="M3688" s="3"/>
      <c r="N3688" s="3">
        <f t="shared" si="159"/>
        <v>0</v>
      </c>
      <c r="R3688" s="89"/>
      <c r="S3688" s="89">
        <f>100%-Table34[[#This Row],[PDF_initial fee]]</f>
        <v>1</v>
      </c>
      <c r="T3688" s="89"/>
      <c r="U3688" s="26"/>
    </row>
    <row r="3689" spans="1:27" hidden="1" x14ac:dyDescent="0.25">
      <c r="A3689">
        <v>666823</v>
      </c>
      <c r="B3689" t="s">
        <v>4069</v>
      </c>
      <c r="C3689" t="s">
        <v>6958</v>
      </c>
      <c r="D3689">
        <v>1</v>
      </c>
      <c r="E3689" t="s">
        <v>4069</v>
      </c>
      <c r="F3689" t="s">
        <v>6958</v>
      </c>
      <c r="G3689" s="3"/>
      <c r="H3689" s="21">
        <v>0</v>
      </c>
      <c r="I3689" s="21">
        <v>0</v>
      </c>
      <c r="J3689" s="21">
        <v>0</v>
      </c>
      <c r="K3689" s="21">
        <v>0</v>
      </c>
      <c r="L3689" s="3">
        <f t="shared" si="158"/>
        <v>0</v>
      </c>
      <c r="M3689" s="3"/>
      <c r="N3689" s="3">
        <f t="shared" si="159"/>
        <v>0</v>
      </c>
      <c r="R3689" s="89"/>
      <c r="S3689" s="89">
        <f>100%-Table34[[#This Row],[PDF_initial fee]]</f>
        <v>1</v>
      </c>
      <c r="T3689" s="89"/>
      <c r="U3689" s="26"/>
    </row>
    <row r="3690" spans="1:27" hidden="1" x14ac:dyDescent="0.25">
      <c r="A3690">
        <v>666873</v>
      </c>
      <c r="B3690" t="s">
        <v>4070</v>
      </c>
      <c r="C3690" t="s">
        <v>8608</v>
      </c>
      <c r="D3690">
        <v>1</v>
      </c>
      <c r="E3690" t="s">
        <v>4070</v>
      </c>
      <c r="G3690" s="3"/>
      <c r="H3690" s="21">
        <v>0</v>
      </c>
      <c r="I3690" s="21">
        <v>0</v>
      </c>
      <c r="J3690" s="21">
        <v>0</v>
      </c>
      <c r="K3690" s="21">
        <v>0</v>
      </c>
      <c r="L3690" s="3">
        <f t="shared" si="158"/>
        <v>0</v>
      </c>
      <c r="M3690" s="3"/>
      <c r="N3690" s="3">
        <f t="shared" si="159"/>
        <v>0</v>
      </c>
      <c r="R3690" s="89"/>
      <c r="S3690" s="89">
        <f>100%-Table34[[#This Row],[PDF_initial fee]]</f>
        <v>1</v>
      </c>
      <c r="T3690" s="89"/>
      <c r="U3690" s="26"/>
    </row>
    <row r="3691" spans="1:27" x14ac:dyDescent="0.25">
      <c r="A3691">
        <v>922494</v>
      </c>
      <c r="B3691" t="s">
        <v>330</v>
      </c>
      <c r="C3691" t="s">
        <v>10878</v>
      </c>
      <c r="D3691">
        <v>1</v>
      </c>
      <c r="E3691" t="s">
        <v>330</v>
      </c>
      <c r="F3691" t="s">
        <v>3</v>
      </c>
      <c r="G3691" s="3">
        <v>1.4E-3</v>
      </c>
      <c r="H3691" s="3">
        <v>0.01</v>
      </c>
      <c r="I3691" s="3">
        <v>9.4000000000000004E-3</v>
      </c>
      <c r="J3691" s="6"/>
      <c r="K3691" s="6"/>
      <c r="L3691" s="3">
        <f t="shared" si="158"/>
        <v>1.9400000000000001E-2</v>
      </c>
      <c r="M3691" s="3"/>
      <c r="N3691" s="3">
        <f t="shared" si="159"/>
        <v>2.0799999999999999E-2</v>
      </c>
      <c r="P3691" s="1" t="s">
        <v>30771</v>
      </c>
      <c r="Q3691" t="s">
        <v>31787</v>
      </c>
      <c r="R3691" s="89">
        <v>0.33333333333333348</v>
      </c>
      <c r="S3691" s="89">
        <f>100%-Table34[[#This Row],[InitialFee]]</f>
        <v>0.99</v>
      </c>
      <c r="T3691" s="89">
        <f>(1-Table34[[#This Row],[OngoingFee (plus Platform fee)]])^5</f>
        <v>0.95387533312405781</v>
      </c>
      <c r="U3691" s="26">
        <f>(1+Table34[[#This Row],[Net 5yrs return (mostly up to 28th of Feb 2026)]])*Table34[[#This Row],[Investment after initial charge]]*Table34[[#This Row],[Cummulative 5yrs ongoing advice charge]]-1</f>
        <v>0.25911543972375628</v>
      </c>
      <c r="V3691" s="10">
        <f>X3691+45742</f>
        <v>125904</v>
      </c>
      <c r="W3691" t="s">
        <v>29051</v>
      </c>
      <c r="X3691" s="9">
        <v>80162</v>
      </c>
      <c r="Y3691" s="30">
        <f>X3691/V3691</f>
        <v>0.63669144745202699</v>
      </c>
      <c r="AA3691" s="1" t="s">
        <v>30772</v>
      </c>
    </row>
    <row r="3692" spans="1:27" hidden="1" x14ac:dyDescent="0.25">
      <c r="A3692">
        <v>667696</v>
      </c>
      <c r="B3692" t="s">
        <v>4071</v>
      </c>
      <c r="C3692" t="s">
        <v>30773</v>
      </c>
      <c r="D3692">
        <v>2</v>
      </c>
      <c r="E3692" t="s">
        <v>4071</v>
      </c>
      <c r="G3692" s="3"/>
      <c r="H3692" s="3">
        <v>0</v>
      </c>
      <c r="I3692" s="3">
        <v>0</v>
      </c>
      <c r="J3692" s="3">
        <v>0</v>
      </c>
      <c r="K3692" s="3">
        <v>0</v>
      </c>
      <c r="L3692" s="3">
        <f t="shared" si="158"/>
        <v>0</v>
      </c>
      <c r="M3692" s="3"/>
      <c r="N3692" s="3">
        <f t="shared" si="159"/>
        <v>0</v>
      </c>
      <c r="R3692" s="89"/>
      <c r="S3692" s="89">
        <f>100%-Table34[[#This Row],[PDF_initial fee]]</f>
        <v>1</v>
      </c>
      <c r="T3692" s="89"/>
      <c r="U3692" s="26"/>
    </row>
    <row r="3693" spans="1:27" hidden="1" x14ac:dyDescent="0.25">
      <c r="A3693">
        <v>668210</v>
      </c>
      <c r="B3693" t="s">
        <v>4072</v>
      </c>
      <c r="C3693" t="s">
        <v>11461</v>
      </c>
      <c r="D3693">
        <v>1</v>
      </c>
      <c r="E3693" t="s">
        <v>4072</v>
      </c>
      <c r="G3693" s="3"/>
      <c r="H3693" s="3">
        <v>0</v>
      </c>
      <c r="I3693" s="3">
        <v>0</v>
      </c>
      <c r="J3693" s="3">
        <v>0</v>
      </c>
      <c r="K3693" s="3">
        <v>0</v>
      </c>
      <c r="L3693" s="3">
        <f t="shared" si="158"/>
        <v>0</v>
      </c>
      <c r="M3693" s="3"/>
      <c r="N3693" s="3">
        <f t="shared" si="159"/>
        <v>0</v>
      </c>
      <c r="R3693" s="89"/>
      <c r="S3693" s="89">
        <f>100%-Table34[[#This Row],[PDF_initial fee]]</f>
        <v>1</v>
      </c>
      <c r="T3693" s="89"/>
      <c r="U3693" s="26"/>
    </row>
    <row r="3694" spans="1:27" hidden="1" x14ac:dyDescent="0.25">
      <c r="A3694">
        <v>668243</v>
      </c>
      <c r="B3694" t="s">
        <v>4073</v>
      </c>
      <c r="C3694" t="s">
        <v>30774</v>
      </c>
      <c r="D3694">
        <v>2</v>
      </c>
      <c r="E3694" t="s">
        <v>4073</v>
      </c>
      <c r="F3694" t="s">
        <v>29136</v>
      </c>
      <c r="G3694" s="3"/>
      <c r="H3694" s="3"/>
      <c r="I3694" s="3"/>
      <c r="J3694" s="6"/>
      <c r="K3694" s="6"/>
      <c r="L3694" s="3"/>
      <c r="M3694" s="3"/>
      <c r="N3694" s="3"/>
      <c r="O3694" t="s">
        <v>30775</v>
      </c>
      <c r="R3694" s="89"/>
      <c r="S3694" s="89">
        <f>100%-Table34[[#This Row],[PDF_initial fee]]</f>
        <v>1</v>
      </c>
      <c r="T3694" s="89"/>
      <c r="U3694" s="26"/>
    </row>
    <row r="3695" spans="1:27" hidden="1" x14ac:dyDescent="0.25">
      <c r="A3695">
        <v>668701</v>
      </c>
      <c r="B3695" t="s">
        <v>4074</v>
      </c>
      <c r="C3695" t="s">
        <v>9553</v>
      </c>
      <c r="D3695">
        <v>2</v>
      </c>
      <c r="E3695" t="s">
        <v>4074</v>
      </c>
      <c r="G3695" s="3"/>
      <c r="H3695" s="3">
        <v>0</v>
      </c>
      <c r="I3695" s="3">
        <v>0</v>
      </c>
      <c r="J3695" s="3">
        <v>0</v>
      </c>
      <c r="K3695" s="3">
        <v>0</v>
      </c>
      <c r="L3695" s="3">
        <f t="shared" ref="L3695:L3707" si="160">SUM(H3695:K3695)</f>
        <v>0</v>
      </c>
      <c r="M3695" s="3"/>
      <c r="N3695" s="3">
        <f t="shared" ref="N3695:N3758" si="161">L3695+G3695</f>
        <v>0</v>
      </c>
      <c r="R3695" s="89"/>
      <c r="S3695" s="89">
        <f>100%-Table34[[#This Row],[PDF_initial fee]]</f>
        <v>1</v>
      </c>
      <c r="T3695" s="89"/>
      <c r="U3695" s="26"/>
    </row>
    <row r="3696" spans="1:27" hidden="1" x14ac:dyDescent="0.25">
      <c r="A3696">
        <v>668704</v>
      </c>
      <c r="B3696" t="s">
        <v>4075</v>
      </c>
      <c r="C3696" s="1" t="s">
        <v>30776</v>
      </c>
      <c r="D3696">
        <v>3</v>
      </c>
      <c r="E3696" t="s">
        <v>4075</v>
      </c>
      <c r="G3696" s="3"/>
      <c r="H3696" s="3">
        <v>0</v>
      </c>
      <c r="I3696" s="3">
        <v>0</v>
      </c>
      <c r="J3696" s="3">
        <v>0</v>
      </c>
      <c r="K3696" s="3">
        <v>0</v>
      </c>
      <c r="L3696" s="3">
        <f t="shared" si="160"/>
        <v>0</v>
      </c>
      <c r="M3696" s="3"/>
      <c r="N3696" s="3">
        <f t="shared" si="161"/>
        <v>0</v>
      </c>
      <c r="R3696" s="89"/>
      <c r="S3696" s="89">
        <f>100%-Table34[[#This Row],[PDF_initial fee]]</f>
        <v>1</v>
      </c>
      <c r="T3696" s="89"/>
      <c r="U3696" s="26"/>
    </row>
    <row r="3697" spans="1:27" hidden="1" x14ac:dyDescent="0.25">
      <c r="A3697">
        <v>668764</v>
      </c>
      <c r="B3697" t="s">
        <v>4076</v>
      </c>
      <c r="C3697" t="s">
        <v>30777</v>
      </c>
      <c r="D3697">
        <v>4</v>
      </c>
      <c r="E3697" t="s">
        <v>4076</v>
      </c>
      <c r="G3697" s="3"/>
      <c r="H3697" s="3">
        <v>0</v>
      </c>
      <c r="I3697" s="3">
        <v>0</v>
      </c>
      <c r="J3697" s="3">
        <v>0</v>
      </c>
      <c r="K3697" s="3">
        <v>0</v>
      </c>
      <c r="L3697" s="3">
        <f t="shared" si="160"/>
        <v>0</v>
      </c>
      <c r="M3697" s="3"/>
      <c r="N3697" s="3">
        <f t="shared" si="161"/>
        <v>0</v>
      </c>
      <c r="R3697" s="89"/>
      <c r="S3697" s="89">
        <f>100%-Table34[[#This Row],[PDF_initial fee]]</f>
        <v>1</v>
      </c>
      <c r="T3697" s="89"/>
      <c r="U3697" s="26"/>
    </row>
    <row r="3698" spans="1:27" hidden="1" x14ac:dyDescent="0.25">
      <c r="A3698">
        <v>669243</v>
      </c>
      <c r="B3698" t="s">
        <v>4077</v>
      </c>
      <c r="C3698" t="s">
        <v>11143</v>
      </c>
      <c r="D3698">
        <v>3</v>
      </c>
      <c r="E3698" t="s">
        <v>4077</v>
      </c>
      <c r="G3698" s="3"/>
      <c r="H3698" s="3">
        <v>0</v>
      </c>
      <c r="I3698" s="3">
        <v>0</v>
      </c>
      <c r="J3698" s="3">
        <v>0</v>
      </c>
      <c r="K3698" s="3">
        <v>0</v>
      </c>
      <c r="L3698" s="3">
        <f t="shared" si="160"/>
        <v>0</v>
      </c>
      <c r="M3698" s="3"/>
      <c r="N3698" s="3">
        <f t="shared" si="161"/>
        <v>0</v>
      </c>
      <c r="R3698" s="89"/>
      <c r="S3698" s="89">
        <f>100%-Table34[[#This Row],[PDF_initial fee]]</f>
        <v>1</v>
      </c>
      <c r="T3698" s="89"/>
      <c r="U3698" s="26"/>
    </row>
    <row r="3699" spans="1:27" hidden="1" x14ac:dyDescent="0.25">
      <c r="A3699">
        <v>669491</v>
      </c>
      <c r="B3699" t="s">
        <v>4078</v>
      </c>
      <c r="C3699" t="s">
        <v>9051</v>
      </c>
      <c r="D3699">
        <v>1</v>
      </c>
      <c r="E3699" t="s">
        <v>4078</v>
      </c>
      <c r="G3699" s="3"/>
      <c r="H3699" s="21">
        <v>0</v>
      </c>
      <c r="I3699" s="21">
        <v>0</v>
      </c>
      <c r="J3699" s="21">
        <v>0</v>
      </c>
      <c r="K3699" s="21">
        <v>0</v>
      </c>
      <c r="L3699" s="3">
        <f t="shared" si="160"/>
        <v>0</v>
      </c>
      <c r="M3699" s="3"/>
      <c r="N3699" s="3">
        <f t="shared" si="161"/>
        <v>0</v>
      </c>
      <c r="R3699" s="89"/>
      <c r="S3699" s="89">
        <f>100%-Table34[[#This Row],[PDF_initial fee]]</f>
        <v>1</v>
      </c>
      <c r="T3699" s="89"/>
      <c r="U3699" s="26"/>
    </row>
    <row r="3700" spans="1:27" hidden="1" x14ac:dyDescent="0.25">
      <c r="A3700">
        <v>669544</v>
      </c>
      <c r="B3700" t="s">
        <v>4079</v>
      </c>
      <c r="C3700" t="s">
        <v>9813</v>
      </c>
      <c r="D3700">
        <v>1</v>
      </c>
      <c r="E3700" t="s">
        <v>4079</v>
      </c>
      <c r="G3700" s="3"/>
      <c r="H3700" s="3">
        <v>0</v>
      </c>
      <c r="I3700" s="3">
        <v>0</v>
      </c>
      <c r="J3700" s="3">
        <v>0</v>
      </c>
      <c r="K3700" s="3">
        <v>0</v>
      </c>
      <c r="L3700" s="3">
        <f t="shared" si="160"/>
        <v>0</v>
      </c>
      <c r="M3700" s="3"/>
      <c r="N3700" s="3">
        <f t="shared" si="161"/>
        <v>0</v>
      </c>
      <c r="R3700" s="89"/>
      <c r="S3700" s="89">
        <f>100%-Table34[[#This Row],[PDF_initial fee]]</f>
        <v>1</v>
      </c>
      <c r="T3700" s="89"/>
      <c r="U3700" s="26"/>
    </row>
    <row r="3701" spans="1:27" hidden="1" x14ac:dyDescent="0.25">
      <c r="A3701">
        <v>669563</v>
      </c>
      <c r="B3701" t="s">
        <v>4080</v>
      </c>
      <c r="C3701" t="s">
        <v>30778</v>
      </c>
      <c r="D3701">
        <v>6</v>
      </c>
      <c r="E3701" t="s">
        <v>4080</v>
      </c>
      <c r="G3701" s="3"/>
      <c r="H3701" s="3">
        <v>0</v>
      </c>
      <c r="I3701" s="3">
        <v>0</v>
      </c>
      <c r="J3701" s="3">
        <v>0</v>
      </c>
      <c r="K3701" s="3">
        <v>0</v>
      </c>
      <c r="L3701" s="3">
        <f t="shared" si="160"/>
        <v>0</v>
      </c>
      <c r="M3701" s="3"/>
      <c r="N3701" s="3">
        <f t="shared" si="161"/>
        <v>0</v>
      </c>
      <c r="R3701" s="89"/>
      <c r="S3701" s="89">
        <f>100%-Table34[[#This Row],[PDF_initial fee]]</f>
        <v>1</v>
      </c>
      <c r="T3701" s="89"/>
      <c r="U3701" s="26"/>
    </row>
    <row r="3702" spans="1:27" hidden="1" x14ac:dyDescent="0.25">
      <c r="A3702">
        <v>669729</v>
      </c>
      <c r="B3702" t="s">
        <v>4081</v>
      </c>
      <c r="C3702" t="s">
        <v>9632</v>
      </c>
      <c r="D3702">
        <v>11</v>
      </c>
      <c r="E3702" t="s">
        <v>4081</v>
      </c>
      <c r="G3702" s="3"/>
      <c r="H3702" s="3">
        <v>0</v>
      </c>
      <c r="I3702" s="3">
        <v>0</v>
      </c>
      <c r="J3702" s="3">
        <v>0</v>
      </c>
      <c r="K3702" s="3">
        <v>0</v>
      </c>
      <c r="L3702" s="3">
        <f t="shared" si="160"/>
        <v>0</v>
      </c>
      <c r="M3702" s="3"/>
      <c r="N3702" s="3">
        <f t="shared" si="161"/>
        <v>0</v>
      </c>
      <c r="R3702" s="89"/>
      <c r="S3702" s="89">
        <f>100%-Table34[[#This Row],[PDF_initial fee]]</f>
        <v>1</v>
      </c>
      <c r="T3702" s="89"/>
      <c r="U3702" s="26"/>
    </row>
    <row r="3703" spans="1:27" hidden="1" x14ac:dyDescent="0.25">
      <c r="A3703">
        <v>670054</v>
      </c>
      <c r="B3703" t="s">
        <v>4082</v>
      </c>
      <c r="C3703" t="s">
        <v>6958</v>
      </c>
      <c r="D3703">
        <v>1</v>
      </c>
      <c r="E3703" t="s">
        <v>4082</v>
      </c>
      <c r="F3703" t="s">
        <v>6958</v>
      </c>
      <c r="G3703" s="3"/>
      <c r="H3703" s="21">
        <v>0</v>
      </c>
      <c r="I3703" s="21">
        <v>0</v>
      </c>
      <c r="J3703" s="21">
        <v>0</v>
      </c>
      <c r="K3703" s="21">
        <v>0</v>
      </c>
      <c r="L3703" s="3">
        <f t="shared" si="160"/>
        <v>0</v>
      </c>
      <c r="M3703" s="3"/>
      <c r="N3703" s="3">
        <f t="shared" si="161"/>
        <v>0</v>
      </c>
      <c r="R3703" s="89"/>
      <c r="S3703" s="89">
        <f>100%-Table34[[#This Row],[PDF_initial fee]]</f>
        <v>1</v>
      </c>
      <c r="T3703" s="89"/>
      <c r="U3703" s="26"/>
    </row>
    <row r="3704" spans="1:27" hidden="1" x14ac:dyDescent="0.25">
      <c r="A3704">
        <v>670062</v>
      </c>
      <c r="B3704" t="s">
        <v>4083</v>
      </c>
      <c r="C3704" t="s">
        <v>9110</v>
      </c>
      <c r="D3704">
        <v>1</v>
      </c>
      <c r="E3704" t="s">
        <v>4083</v>
      </c>
      <c r="G3704" s="3"/>
      <c r="H3704" s="21">
        <v>0</v>
      </c>
      <c r="I3704" s="21">
        <v>0</v>
      </c>
      <c r="J3704" s="21">
        <v>0</v>
      </c>
      <c r="K3704" s="21">
        <v>0</v>
      </c>
      <c r="L3704" s="3">
        <f t="shared" si="160"/>
        <v>0</v>
      </c>
      <c r="M3704" s="3"/>
      <c r="N3704" s="3">
        <f t="shared" si="161"/>
        <v>0</v>
      </c>
      <c r="R3704" s="89"/>
      <c r="S3704" s="89">
        <f>100%-Table34[[#This Row],[PDF_initial fee]]</f>
        <v>1</v>
      </c>
      <c r="T3704" s="89"/>
      <c r="U3704" s="26"/>
    </row>
    <row r="3705" spans="1:27" hidden="1" x14ac:dyDescent="0.25">
      <c r="A3705">
        <v>670081</v>
      </c>
      <c r="B3705" t="s">
        <v>4084</v>
      </c>
      <c r="C3705" t="s">
        <v>30779</v>
      </c>
      <c r="D3705">
        <v>3</v>
      </c>
      <c r="E3705" t="s">
        <v>4084</v>
      </c>
      <c r="G3705" s="3"/>
      <c r="H3705" s="21">
        <v>0</v>
      </c>
      <c r="I3705" s="21">
        <v>0</v>
      </c>
      <c r="J3705" s="21">
        <v>0</v>
      </c>
      <c r="K3705" s="21">
        <v>0</v>
      </c>
      <c r="L3705" s="3">
        <f t="shared" si="160"/>
        <v>0</v>
      </c>
      <c r="M3705" s="3"/>
      <c r="N3705" s="3">
        <f t="shared" si="161"/>
        <v>0</v>
      </c>
      <c r="O3705" s="21"/>
      <c r="R3705" s="89"/>
      <c r="S3705" s="89">
        <f>100%-Table34[[#This Row],[PDF_initial fee]]</f>
        <v>1</v>
      </c>
      <c r="T3705" s="89"/>
      <c r="U3705" s="26"/>
    </row>
    <row r="3706" spans="1:27" hidden="1" x14ac:dyDescent="0.25">
      <c r="A3706">
        <v>670184</v>
      </c>
      <c r="B3706" t="s">
        <v>4085</v>
      </c>
      <c r="C3706" t="s">
        <v>30780</v>
      </c>
      <c r="D3706">
        <v>4</v>
      </c>
      <c r="E3706" t="s">
        <v>4085</v>
      </c>
      <c r="G3706" s="3"/>
      <c r="H3706" s="3"/>
      <c r="I3706" s="3"/>
      <c r="J3706" s="3"/>
      <c r="K3706" s="3"/>
      <c r="L3706" s="3">
        <f t="shared" si="160"/>
        <v>0</v>
      </c>
      <c r="M3706" s="3"/>
      <c r="N3706" s="3">
        <f t="shared" si="161"/>
        <v>0</v>
      </c>
      <c r="R3706" s="89"/>
      <c r="S3706" s="89">
        <f>100%-Table34[[#This Row],[PDF_initial fee]]</f>
        <v>1</v>
      </c>
      <c r="T3706" s="89"/>
      <c r="U3706" s="26"/>
    </row>
    <row r="3707" spans="1:27" x14ac:dyDescent="0.25">
      <c r="A3707">
        <v>505539</v>
      </c>
      <c r="B3707" t="s">
        <v>364</v>
      </c>
      <c r="C3707" s="1" t="s">
        <v>7661</v>
      </c>
      <c r="D3707" s="1">
        <v>13</v>
      </c>
      <c r="E3707" t="s">
        <v>364</v>
      </c>
      <c r="F3707" t="s">
        <v>3</v>
      </c>
      <c r="G3707" s="3">
        <v>1.4E-3</v>
      </c>
      <c r="H3707" s="3">
        <v>0</v>
      </c>
      <c r="I3707" s="3">
        <v>0.02</v>
      </c>
      <c r="J3707" s="3">
        <v>0</v>
      </c>
      <c r="K3707" s="3">
        <v>0</v>
      </c>
      <c r="L3707" s="3">
        <f t="shared" si="160"/>
        <v>0.02</v>
      </c>
      <c r="M3707" s="3"/>
      <c r="N3707" s="3">
        <f t="shared" si="161"/>
        <v>2.1399999999999999E-2</v>
      </c>
      <c r="O3707" s="3" t="s">
        <v>30781</v>
      </c>
      <c r="P3707" s="31" t="s">
        <v>30782</v>
      </c>
      <c r="Q3707" t="s">
        <v>31787</v>
      </c>
      <c r="R3707" s="89">
        <v>0.33333333333333348</v>
      </c>
      <c r="S3707" s="99">
        <f>100%-Table34[[#This Row],[InitialFee]]</f>
        <v>1</v>
      </c>
      <c r="T3707" s="99">
        <f>(1-Table34[[#This Row],[OngoingFee (plus Platform fee)]])^5</f>
        <v>0.90392079679999982</v>
      </c>
      <c r="U3707" s="26">
        <f>(1+Table34[[#This Row],[Net 5yrs return (mostly up to 28th of Feb 2026)]])*Table34[[#This Row],[Investment after initial charge]]*Table34[[#This Row],[Cummulative 5yrs ongoing advice charge]]-1</f>
        <v>0.20522772906666664</v>
      </c>
      <c r="V3707" s="9">
        <v>41108</v>
      </c>
      <c r="W3707" t="s">
        <v>29051</v>
      </c>
      <c r="X3707" s="9">
        <v>40713</v>
      </c>
      <c r="Y3707" s="30">
        <f>X3707/V3707</f>
        <v>0.9903911647367909</v>
      </c>
      <c r="AA3707" s="1" t="s">
        <v>30783</v>
      </c>
    </row>
    <row r="3708" spans="1:27" hidden="1" x14ac:dyDescent="0.25">
      <c r="A3708">
        <v>670373</v>
      </c>
      <c r="B3708" t="s">
        <v>4086</v>
      </c>
      <c r="C3708" t="s">
        <v>30784</v>
      </c>
      <c r="D3708">
        <v>5</v>
      </c>
      <c r="E3708" t="s">
        <v>4086</v>
      </c>
      <c r="G3708" s="3"/>
      <c r="H3708" s="3">
        <v>0</v>
      </c>
      <c r="I3708" s="3">
        <v>0</v>
      </c>
      <c r="J3708" s="3">
        <v>0</v>
      </c>
      <c r="K3708" s="3">
        <v>0</v>
      </c>
      <c r="L3708" s="3">
        <f t="shared" ref="L3708:L3771" si="162">SUM(H3708:K3708)</f>
        <v>0</v>
      </c>
      <c r="M3708" s="3"/>
      <c r="N3708" s="3">
        <f t="shared" si="161"/>
        <v>0</v>
      </c>
      <c r="R3708" s="89"/>
      <c r="S3708" s="89">
        <f>100%-Table34[[#This Row],[PDF_initial fee]]</f>
        <v>1</v>
      </c>
      <c r="T3708" s="89"/>
      <c r="U3708" s="26"/>
    </row>
    <row r="3709" spans="1:27" hidden="1" x14ac:dyDescent="0.25">
      <c r="A3709">
        <v>670374</v>
      </c>
      <c r="B3709" t="s">
        <v>4087</v>
      </c>
      <c r="C3709" t="s">
        <v>30785</v>
      </c>
      <c r="D3709">
        <v>0</v>
      </c>
      <c r="E3709" t="s">
        <v>4087</v>
      </c>
      <c r="F3709" t="s">
        <v>3</v>
      </c>
      <c r="G3709" s="3"/>
      <c r="H3709" s="21">
        <v>0</v>
      </c>
      <c r="I3709" s="21">
        <v>0</v>
      </c>
      <c r="J3709" s="21">
        <v>0</v>
      </c>
      <c r="K3709" s="21">
        <v>0</v>
      </c>
      <c r="L3709" s="3">
        <f t="shared" si="162"/>
        <v>0</v>
      </c>
      <c r="M3709" s="3"/>
      <c r="N3709" s="3">
        <f t="shared" si="161"/>
        <v>0</v>
      </c>
      <c r="O3709" s="21"/>
      <c r="R3709" s="89"/>
      <c r="S3709" s="89">
        <f>100%-Table34[[#This Row],[PDF_initial fee]]</f>
        <v>1</v>
      </c>
      <c r="T3709" s="89"/>
      <c r="U3709" s="26"/>
    </row>
    <row r="3710" spans="1:27" hidden="1" x14ac:dyDescent="0.25">
      <c r="A3710">
        <v>670493</v>
      </c>
      <c r="B3710" t="s">
        <v>4088</v>
      </c>
      <c r="C3710" t="s">
        <v>30786</v>
      </c>
      <c r="D3710">
        <v>6</v>
      </c>
      <c r="E3710" t="s">
        <v>4088</v>
      </c>
      <c r="G3710" s="3"/>
      <c r="H3710" s="3">
        <v>0</v>
      </c>
      <c r="I3710" s="3">
        <v>0</v>
      </c>
      <c r="J3710" s="3">
        <v>0</v>
      </c>
      <c r="K3710" s="3">
        <v>0</v>
      </c>
      <c r="L3710" s="3">
        <f t="shared" si="162"/>
        <v>0</v>
      </c>
      <c r="M3710" s="3"/>
      <c r="N3710" s="3">
        <f t="shared" si="161"/>
        <v>0</v>
      </c>
      <c r="R3710" s="89"/>
      <c r="S3710" s="89">
        <f>100%-Table34[[#This Row],[PDF_initial fee]]</f>
        <v>1</v>
      </c>
      <c r="T3710" s="89"/>
      <c r="U3710" s="26"/>
    </row>
    <row r="3711" spans="1:27" hidden="1" x14ac:dyDescent="0.25">
      <c r="A3711">
        <v>670685</v>
      </c>
      <c r="B3711" t="s">
        <v>4089</v>
      </c>
      <c r="C3711" t="s">
        <v>30787</v>
      </c>
      <c r="D3711">
        <v>0</v>
      </c>
      <c r="E3711" t="s">
        <v>4089</v>
      </c>
      <c r="F3711" t="s">
        <v>29136</v>
      </c>
      <c r="G3711" s="3"/>
      <c r="H3711" s="21">
        <v>0</v>
      </c>
      <c r="I3711" s="21">
        <v>0</v>
      </c>
      <c r="J3711" s="21">
        <v>0</v>
      </c>
      <c r="K3711" s="21">
        <v>0</v>
      </c>
      <c r="L3711" s="3">
        <f t="shared" si="162"/>
        <v>0</v>
      </c>
      <c r="M3711" s="3"/>
      <c r="N3711" s="3">
        <f t="shared" si="161"/>
        <v>0</v>
      </c>
      <c r="O3711" s="21"/>
      <c r="R3711" s="89"/>
      <c r="S3711" s="89">
        <f>100%-Table34[[#This Row],[PDF_initial fee]]</f>
        <v>1</v>
      </c>
      <c r="T3711" s="89"/>
      <c r="U3711" s="26"/>
    </row>
    <row r="3712" spans="1:27" hidden="1" x14ac:dyDescent="0.25">
      <c r="A3712">
        <v>670687</v>
      </c>
      <c r="B3712" t="s">
        <v>4090</v>
      </c>
      <c r="C3712" t="s">
        <v>9625</v>
      </c>
      <c r="D3712">
        <v>1</v>
      </c>
      <c r="E3712" t="s">
        <v>4090</v>
      </c>
      <c r="G3712" s="3"/>
      <c r="H3712" s="3">
        <v>0</v>
      </c>
      <c r="I3712" s="3">
        <v>0</v>
      </c>
      <c r="J3712" s="3">
        <v>0</v>
      </c>
      <c r="K3712" s="3">
        <v>0</v>
      </c>
      <c r="L3712" s="3">
        <f t="shared" si="162"/>
        <v>0</v>
      </c>
      <c r="M3712" s="3"/>
      <c r="N3712" s="3">
        <f t="shared" si="161"/>
        <v>0</v>
      </c>
      <c r="R3712" s="89"/>
      <c r="S3712" s="89">
        <f>100%-Table34[[#This Row],[PDF_initial fee]]</f>
        <v>1</v>
      </c>
      <c r="T3712" s="89"/>
      <c r="U3712" s="26"/>
    </row>
    <row r="3713" spans="1:21" hidden="1" x14ac:dyDescent="0.25">
      <c r="A3713">
        <v>670689</v>
      </c>
      <c r="B3713" t="s">
        <v>4091</v>
      </c>
      <c r="C3713" t="s">
        <v>9910</v>
      </c>
      <c r="D3713">
        <v>3</v>
      </c>
      <c r="E3713" t="s">
        <v>4091</v>
      </c>
      <c r="G3713" s="3"/>
      <c r="H3713" s="3">
        <v>0</v>
      </c>
      <c r="I3713" s="3">
        <v>0</v>
      </c>
      <c r="J3713" s="3">
        <v>0</v>
      </c>
      <c r="K3713" s="3">
        <v>0</v>
      </c>
      <c r="L3713" s="3">
        <f t="shared" si="162"/>
        <v>0</v>
      </c>
      <c r="M3713" s="3"/>
      <c r="N3713" s="3">
        <f t="shared" si="161"/>
        <v>0</v>
      </c>
      <c r="R3713" s="89"/>
      <c r="S3713" s="89">
        <f>100%-Table34[[#This Row],[PDF_initial fee]]</f>
        <v>1</v>
      </c>
      <c r="T3713" s="89"/>
      <c r="U3713" s="26"/>
    </row>
    <row r="3714" spans="1:21" hidden="1" x14ac:dyDescent="0.25">
      <c r="A3714">
        <v>670813</v>
      </c>
      <c r="B3714" t="s">
        <v>4093</v>
      </c>
      <c r="C3714" t="s">
        <v>11524</v>
      </c>
      <c r="D3714">
        <v>1</v>
      </c>
      <c r="E3714" t="s">
        <v>4093</v>
      </c>
      <c r="G3714" s="3"/>
      <c r="H3714" s="3">
        <v>0</v>
      </c>
      <c r="I3714" s="3">
        <v>0</v>
      </c>
      <c r="J3714" s="3">
        <v>0</v>
      </c>
      <c r="K3714" s="3">
        <v>0</v>
      </c>
      <c r="L3714" s="3">
        <f t="shared" si="162"/>
        <v>0</v>
      </c>
      <c r="M3714" s="3"/>
      <c r="N3714" s="3">
        <f t="shared" si="161"/>
        <v>0</v>
      </c>
      <c r="R3714" s="89"/>
      <c r="S3714" s="89">
        <f>100%-Table34[[#This Row],[PDF_initial fee]]</f>
        <v>1</v>
      </c>
      <c r="T3714" s="89"/>
      <c r="U3714" s="26"/>
    </row>
    <row r="3715" spans="1:21" hidden="1" x14ac:dyDescent="0.25">
      <c r="A3715">
        <v>671108</v>
      </c>
      <c r="B3715" t="s">
        <v>4094</v>
      </c>
      <c r="C3715" t="s">
        <v>30788</v>
      </c>
      <c r="D3715">
        <v>1</v>
      </c>
      <c r="E3715" t="s">
        <v>4094</v>
      </c>
      <c r="G3715" s="3"/>
      <c r="H3715" s="21">
        <v>0</v>
      </c>
      <c r="I3715" s="21">
        <v>0</v>
      </c>
      <c r="J3715" s="21">
        <v>0</v>
      </c>
      <c r="K3715" s="21">
        <v>0</v>
      </c>
      <c r="L3715" s="3">
        <f t="shared" si="162"/>
        <v>0</v>
      </c>
      <c r="M3715" s="3"/>
      <c r="N3715" s="3">
        <f t="shared" si="161"/>
        <v>0</v>
      </c>
      <c r="O3715" s="21"/>
      <c r="R3715" s="89"/>
      <c r="S3715" s="89">
        <f>100%-Table34[[#This Row],[PDF_initial fee]]</f>
        <v>1</v>
      </c>
      <c r="T3715" s="89"/>
      <c r="U3715" s="26"/>
    </row>
    <row r="3716" spans="1:21" hidden="1" x14ac:dyDescent="0.25">
      <c r="A3716">
        <v>671153</v>
      </c>
      <c r="B3716" t="s">
        <v>4095</v>
      </c>
      <c r="C3716" t="s">
        <v>7027</v>
      </c>
      <c r="D3716">
        <v>1</v>
      </c>
      <c r="E3716" t="s">
        <v>4095</v>
      </c>
      <c r="G3716" s="3"/>
      <c r="H3716" s="21">
        <v>0</v>
      </c>
      <c r="I3716" s="21">
        <v>0</v>
      </c>
      <c r="J3716" s="21">
        <v>0</v>
      </c>
      <c r="K3716" s="21">
        <v>0</v>
      </c>
      <c r="L3716" s="3">
        <f t="shared" si="162"/>
        <v>0</v>
      </c>
      <c r="M3716" s="3"/>
      <c r="N3716" s="3">
        <f t="shared" si="161"/>
        <v>0</v>
      </c>
      <c r="R3716" s="89"/>
      <c r="S3716" s="89">
        <f>100%-Table34[[#This Row],[PDF_initial fee]]</f>
        <v>1</v>
      </c>
      <c r="T3716" s="89"/>
      <c r="U3716" s="26"/>
    </row>
    <row r="3717" spans="1:21" hidden="1" x14ac:dyDescent="0.25">
      <c r="A3717">
        <v>671347</v>
      </c>
      <c r="B3717" t="s">
        <v>4096</v>
      </c>
      <c r="C3717" t="s">
        <v>6958</v>
      </c>
      <c r="D3717">
        <v>3</v>
      </c>
      <c r="E3717" t="s">
        <v>4096</v>
      </c>
      <c r="F3717" t="s">
        <v>6958</v>
      </c>
      <c r="G3717" s="3"/>
      <c r="H3717" s="21">
        <v>0</v>
      </c>
      <c r="I3717" s="21">
        <v>0</v>
      </c>
      <c r="J3717" s="21">
        <v>0</v>
      </c>
      <c r="K3717" s="21">
        <v>0</v>
      </c>
      <c r="L3717" s="3">
        <f t="shared" si="162"/>
        <v>0</v>
      </c>
      <c r="M3717" s="3"/>
      <c r="N3717" s="3">
        <f t="shared" si="161"/>
        <v>0</v>
      </c>
      <c r="R3717" s="89"/>
      <c r="S3717" s="89">
        <f>100%-Table34[[#This Row],[PDF_initial fee]]</f>
        <v>1</v>
      </c>
      <c r="T3717" s="89"/>
      <c r="U3717" s="26"/>
    </row>
    <row r="3718" spans="1:21" hidden="1" x14ac:dyDescent="0.25">
      <c r="A3718">
        <v>671369</v>
      </c>
      <c r="B3718" t="s">
        <v>4097</v>
      </c>
      <c r="C3718" t="s">
        <v>30789</v>
      </c>
      <c r="D3718">
        <v>1</v>
      </c>
      <c r="E3718" t="s">
        <v>4097</v>
      </c>
      <c r="G3718" s="3"/>
      <c r="H3718" s="3">
        <v>0</v>
      </c>
      <c r="I3718" s="3">
        <v>0</v>
      </c>
      <c r="J3718" s="3">
        <v>0</v>
      </c>
      <c r="K3718" s="3">
        <v>0</v>
      </c>
      <c r="L3718" s="3">
        <f t="shared" si="162"/>
        <v>0</v>
      </c>
      <c r="M3718" s="3"/>
      <c r="N3718" s="3">
        <f t="shared" si="161"/>
        <v>0</v>
      </c>
      <c r="R3718" s="89"/>
      <c r="S3718" s="89">
        <f>100%-Table34[[#This Row],[PDF_initial fee]]</f>
        <v>1</v>
      </c>
      <c r="T3718" s="89"/>
      <c r="U3718" s="26"/>
    </row>
    <row r="3719" spans="1:21" hidden="1" x14ac:dyDescent="0.25">
      <c r="A3719">
        <v>671389</v>
      </c>
      <c r="B3719" t="s">
        <v>4098</v>
      </c>
      <c r="C3719" t="s">
        <v>11146</v>
      </c>
      <c r="D3719">
        <v>1</v>
      </c>
      <c r="E3719" t="s">
        <v>4098</v>
      </c>
      <c r="G3719" s="3"/>
      <c r="H3719" s="3">
        <v>0</v>
      </c>
      <c r="I3719" s="3">
        <v>0</v>
      </c>
      <c r="J3719" s="3">
        <v>0</v>
      </c>
      <c r="K3719" s="3">
        <v>0</v>
      </c>
      <c r="L3719" s="3">
        <f t="shared" si="162"/>
        <v>0</v>
      </c>
      <c r="M3719" s="3"/>
      <c r="N3719" s="3">
        <f t="shared" si="161"/>
        <v>0</v>
      </c>
      <c r="R3719" s="89"/>
      <c r="S3719" s="89">
        <f>100%-Table34[[#This Row],[PDF_initial fee]]</f>
        <v>1</v>
      </c>
      <c r="T3719" s="89"/>
      <c r="U3719" s="26"/>
    </row>
    <row r="3720" spans="1:21" hidden="1" x14ac:dyDescent="0.25">
      <c r="A3720">
        <v>671493</v>
      </c>
      <c r="B3720" t="s">
        <v>4099</v>
      </c>
      <c r="C3720" t="s">
        <v>9731</v>
      </c>
      <c r="D3720">
        <v>1</v>
      </c>
      <c r="E3720" t="s">
        <v>4099</v>
      </c>
      <c r="G3720" s="3"/>
      <c r="H3720" s="3">
        <v>0</v>
      </c>
      <c r="I3720" s="3">
        <v>0</v>
      </c>
      <c r="J3720" s="3">
        <v>0</v>
      </c>
      <c r="K3720" s="3">
        <v>0</v>
      </c>
      <c r="L3720" s="3">
        <f t="shared" si="162"/>
        <v>0</v>
      </c>
      <c r="M3720" s="3"/>
      <c r="N3720" s="3">
        <f t="shared" si="161"/>
        <v>0</v>
      </c>
      <c r="R3720" s="89"/>
      <c r="S3720" s="89">
        <f>100%-Table34[[#This Row],[PDF_initial fee]]</f>
        <v>1</v>
      </c>
      <c r="T3720" s="89"/>
      <c r="U3720" s="26"/>
    </row>
    <row r="3721" spans="1:21" hidden="1" x14ac:dyDescent="0.25">
      <c r="A3721">
        <v>671513</v>
      </c>
      <c r="B3721" t="s">
        <v>4100</v>
      </c>
      <c r="C3721" t="s">
        <v>7872</v>
      </c>
      <c r="D3721">
        <v>1</v>
      </c>
      <c r="E3721" t="s">
        <v>4100</v>
      </c>
      <c r="G3721" s="3"/>
      <c r="H3721" s="21">
        <v>0</v>
      </c>
      <c r="I3721" s="21">
        <v>0</v>
      </c>
      <c r="J3721" s="21">
        <v>0</v>
      </c>
      <c r="K3721" s="21">
        <v>0</v>
      </c>
      <c r="L3721" s="3">
        <f t="shared" si="162"/>
        <v>0</v>
      </c>
      <c r="M3721" s="3"/>
      <c r="N3721" s="3">
        <f t="shared" si="161"/>
        <v>0</v>
      </c>
      <c r="R3721" s="89"/>
      <c r="S3721" s="89">
        <f>100%-Table34[[#This Row],[PDF_initial fee]]</f>
        <v>1</v>
      </c>
      <c r="T3721" s="89"/>
      <c r="U3721" s="26"/>
    </row>
    <row r="3722" spans="1:21" hidden="1" x14ac:dyDescent="0.25">
      <c r="A3722">
        <v>671527</v>
      </c>
      <c r="B3722" t="s">
        <v>4101</v>
      </c>
      <c r="C3722" t="s">
        <v>7028</v>
      </c>
      <c r="D3722">
        <v>4</v>
      </c>
      <c r="E3722" t="s">
        <v>4101</v>
      </c>
      <c r="G3722" s="3"/>
      <c r="H3722" s="21">
        <v>0</v>
      </c>
      <c r="I3722" s="21">
        <v>0</v>
      </c>
      <c r="J3722" s="21">
        <v>0</v>
      </c>
      <c r="K3722" s="21">
        <v>0</v>
      </c>
      <c r="L3722" s="3">
        <f t="shared" si="162"/>
        <v>0</v>
      </c>
      <c r="M3722" s="3"/>
      <c r="N3722" s="3">
        <f t="shared" si="161"/>
        <v>0</v>
      </c>
      <c r="R3722" s="89"/>
      <c r="S3722" s="89">
        <f>100%-Table34[[#This Row],[PDF_initial fee]]</f>
        <v>1</v>
      </c>
      <c r="T3722" s="89"/>
      <c r="U3722" s="26"/>
    </row>
    <row r="3723" spans="1:21" hidden="1" x14ac:dyDescent="0.25">
      <c r="A3723">
        <v>671601</v>
      </c>
      <c r="B3723" t="s">
        <v>4102</v>
      </c>
      <c r="C3723" t="s">
        <v>6958</v>
      </c>
      <c r="D3723">
        <v>4</v>
      </c>
      <c r="E3723" t="s">
        <v>4102</v>
      </c>
      <c r="F3723" t="s">
        <v>6958</v>
      </c>
      <c r="G3723" s="3"/>
      <c r="H3723" s="21">
        <v>0</v>
      </c>
      <c r="I3723" s="21">
        <v>0</v>
      </c>
      <c r="J3723" s="21">
        <v>0</v>
      </c>
      <c r="K3723" s="21">
        <v>0</v>
      </c>
      <c r="L3723" s="3">
        <f t="shared" si="162"/>
        <v>0</v>
      </c>
      <c r="M3723" s="3"/>
      <c r="N3723" s="3">
        <f t="shared" si="161"/>
        <v>0</v>
      </c>
      <c r="R3723" s="89"/>
      <c r="S3723" s="89">
        <f>100%-Table34[[#This Row],[PDF_initial fee]]</f>
        <v>1</v>
      </c>
      <c r="T3723" s="89"/>
      <c r="U3723" s="26"/>
    </row>
    <row r="3724" spans="1:21" hidden="1" x14ac:dyDescent="0.25">
      <c r="A3724">
        <v>671726</v>
      </c>
      <c r="B3724" t="s">
        <v>4103</v>
      </c>
      <c r="C3724" t="s">
        <v>11606</v>
      </c>
      <c r="D3724">
        <v>5</v>
      </c>
      <c r="E3724" t="s">
        <v>4103</v>
      </c>
      <c r="G3724" s="3"/>
      <c r="H3724" s="3">
        <v>0</v>
      </c>
      <c r="I3724" s="3">
        <v>0</v>
      </c>
      <c r="J3724" s="3">
        <v>0</v>
      </c>
      <c r="K3724" s="3">
        <v>0</v>
      </c>
      <c r="L3724" s="3">
        <f t="shared" si="162"/>
        <v>0</v>
      </c>
      <c r="M3724" s="3"/>
      <c r="N3724" s="3">
        <f t="shared" si="161"/>
        <v>0</v>
      </c>
      <c r="R3724" s="89"/>
      <c r="S3724" s="89">
        <f>100%-Table34[[#This Row],[PDF_initial fee]]</f>
        <v>1</v>
      </c>
      <c r="T3724" s="89"/>
      <c r="U3724" s="26"/>
    </row>
    <row r="3725" spans="1:21" hidden="1" x14ac:dyDescent="0.25">
      <c r="A3725">
        <v>671841</v>
      </c>
      <c r="B3725" t="s">
        <v>4104</v>
      </c>
      <c r="C3725" t="s">
        <v>30790</v>
      </c>
      <c r="D3725">
        <v>5</v>
      </c>
      <c r="E3725" t="s">
        <v>4104</v>
      </c>
      <c r="G3725" s="3"/>
      <c r="H3725" s="3">
        <v>0</v>
      </c>
      <c r="I3725" s="3">
        <v>0</v>
      </c>
      <c r="J3725" s="3">
        <v>0</v>
      </c>
      <c r="K3725" s="3">
        <v>0</v>
      </c>
      <c r="L3725" s="3">
        <f t="shared" si="162"/>
        <v>0</v>
      </c>
      <c r="M3725" s="3"/>
      <c r="N3725" s="3">
        <f t="shared" si="161"/>
        <v>0</v>
      </c>
      <c r="R3725" s="89"/>
      <c r="S3725" s="89">
        <f>100%-Table34[[#This Row],[PDF_initial fee]]</f>
        <v>1</v>
      </c>
      <c r="T3725" s="89"/>
      <c r="U3725" s="26"/>
    </row>
    <row r="3726" spans="1:21" hidden="1" x14ac:dyDescent="0.25">
      <c r="A3726">
        <v>672022</v>
      </c>
      <c r="B3726" t="s">
        <v>4105</v>
      </c>
      <c r="C3726" t="s">
        <v>8892</v>
      </c>
      <c r="D3726">
        <v>15</v>
      </c>
      <c r="E3726" t="s">
        <v>4105</v>
      </c>
      <c r="G3726" s="3"/>
      <c r="L3726" s="3">
        <f t="shared" si="162"/>
        <v>0</v>
      </c>
      <c r="M3726" s="3"/>
      <c r="N3726" s="3">
        <f t="shared" si="161"/>
        <v>0</v>
      </c>
      <c r="R3726" s="89"/>
      <c r="S3726" s="89">
        <f>100%-Table34[[#This Row],[PDF_initial fee]]</f>
        <v>1</v>
      </c>
      <c r="T3726" s="89"/>
      <c r="U3726" s="26"/>
    </row>
    <row r="3727" spans="1:21" hidden="1" x14ac:dyDescent="0.25">
      <c r="A3727">
        <v>672212</v>
      </c>
      <c r="B3727" t="s">
        <v>4106</v>
      </c>
      <c r="C3727" t="s">
        <v>6958</v>
      </c>
      <c r="D3727">
        <v>1</v>
      </c>
      <c r="E3727" t="s">
        <v>4106</v>
      </c>
      <c r="F3727" t="s">
        <v>6958</v>
      </c>
      <c r="G3727" s="3"/>
      <c r="H3727" s="21">
        <v>0</v>
      </c>
      <c r="I3727" s="21">
        <v>0</v>
      </c>
      <c r="J3727" s="21">
        <v>0</v>
      </c>
      <c r="K3727" s="21">
        <v>0</v>
      </c>
      <c r="L3727" s="3">
        <f t="shared" si="162"/>
        <v>0</v>
      </c>
      <c r="M3727" s="3"/>
      <c r="N3727" s="3">
        <f t="shared" si="161"/>
        <v>0</v>
      </c>
      <c r="R3727" s="89"/>
      <c r="S3727" s="89">
        <f>100%-Table34[[#This Row],[PDF_initial fee]]</f>
        <v>1</v>
      </c>
      <c r="T3727" s="89"/>
      <c r="U3727" s="26"/>
    </row>
    <row r="3728" spans="1:21" hidden="1" x14ac:dyDescent="0.25">
      <c r="A3728">
        <v>672213</v>
      </c>
      <c r="B3728" t="s">
        <v>4107</v>
      </c>
      <c r="C3728" t="s">
        <v>9292</v>
      </c>
      <c r="D3728">
        <v>1</v>
      </c>
      <c r="E3728" t="s">
        <v>4107</v>
      </c>
      <c r="G3728" s="3"/>
      <c r="H3728" s="21">
        <v>0</v>
      </c>
      <c r="I3728" s="21">
        <v>0</v>
      </c>
      <c r="J3728" s="21">
        <v>0</v>
      </c>
      <c r="K3728" s="21">
        <v>0</v>
      </c>
      <c r="L3728" s="3">
        <f t="shared" si="162"/>
        <v>0</v>
      </c>
      <c r="M3728" s="3"/>
      <c r="N3728" s="3">
        <f t="shared" si="161"/>
        <v>0</v>
      </c>
      <c r="R3728" s="89"/>
      <c r="S3728" s="89">
        <f>100%-Table34[[#This Row],[PDF_initial fee]]</f>
        <v>1</v>
      </c>
      <c r="T3728" s="89"/>
      <c r="U3728" s="26"/>
    </row>
    <row r="3729" spans="1:21" hidden="1" x14ac:dyDescent="0.25">
      <c r="A3729">
        <v>672250</v>
      </c>
      <c r="B3729" t="s">
        <v>4108</v>
      </c>
      <c r="C3729" t="s">
        <v>11161</v>
      </c>
      <c r="D3729">
        <v>1</v>
      </c>
      <c r="E3729" t="s">
        <v>4108</v>
      </c>
      <c r="G3729" s="3"/>
      <c r="H3729" s="3">
        <v>0</v>
      </c>
      <c r="I3729" s="3">
        <v>0</v>
      </c>
      <c r="J3729" s="3">
        <v>0</v>
      </c>
      <c r="K3729" s="3">
        <v>0</v>
      </c>
      <c r="L3729" s="3">
        <f t="shared" si="162"/>
        <v>0</v>
      </c>
      <c r="M3729" s="3"/>
      <c r="N3729" s="3">
        <f t="shared" si="161"/>
        <v>0</v>
      </c>
      <c r="R3729" s="89"/>
      <c r="S3729" s="89">
        <f>100%-Table34[[#This Row],[PDF_initial fee]]</f>
        <v>1</v>
      </c>
      <c r="T3729" s="89"/>
      <c r="U3729" s="26"/>
    </row>
    <row r="3730" spans="1:21" hidden="1" x14ac:dyDescent="0.25">
      <c r="A3730">
        <v>672287</v>
      </c>
      <c r="B3730" t="s">
        <v>4109</v>
      </c>
      <c r="C3730" t="s">
        <v>10068</v>
      </c>
      <c r="D3730">
        <v>1</v>
      </c>
      <c r="E3730" t="s">
        <v>4109</v>
      </c>
      <c r="G3730" s="3"/>
      <c r="H3730" s="3">
        <v>0</v>
      </c>
      <c r="I3730" s="3">
        <v>0</v>
      </c>
      <c r="J3730" s="3">
        <v>0</v>
      </c>
      <c r="K3730" s="3">
        <v>0</v>
      </c>
      <c r="L3730" s="3">
        <f t="shared" si="162"/>
        <v>0</v>
      </c>
      <c r="M3730" s="3"/>
      <c r="N3730" s="3">
        <f t="shared" si="161"/>
        <v>0</v>
      </c>
      <c r="R3730" s="89"/>
      <c r="S3730" s="89">
        <f>100%-Table34[[#This Row],[PDF_initial fee]]</f>
        <v>1</v>
      </c>
      <c r="T3730" s="89"/>
      <c r="U3730" s="26"/>
    </row>
    <row r="3731" spans="1:21" hidden="1" x14ac:dyDescent="0.25">
      <c r="A3731">
        <v>672288</v>
      </c>
      <c r="B3731" t="s">
        <v>4110</v>
      </c>
      <c r="C3731" t="s">
        <v>12581</v>
      </c>
      <c r="D3731">
        <v>1</v>
      </c>
      <c r="E3731" t="s">
        <v>4110</v>
      </c>
      <c r="G3731" s="3"/>
      <c r="H3731" s="3">
        <v>0</v>
      </c>
      <c r="I3731" s="3">
        <v>0</v>
      </c>
      <c r="J3731" s="3">
        <v>0</v>
      </c>
      <c r="K3731" s="3">
        <v>0</v>
      </c>
      <c r="L3731" s="3">
        <f t="shared" si="162"/>
        <v>0</v>
      </c>
      <c r="M3731" s="3"/>
      <c r="N3731" s="3">
        <f t="shared" si="161"/>
        <v>0</v>
      </c>
      <c r="R3731" s="89"/>
      <c r="S3731" s="89">
        <f>100%-Table34[[#This Row],[PDF_initial fee]]</f>
        <v>1</v>
      </c>
      <c r="T3731" s="89"/>
      <c r="U3731" s="26"/>
    </row>
    <row r="3732" spans="1:21" hidden="1" x14ac:dyDescent="0.25">
      <c r="A3732">
        <v>672406</v>
      </c>
      <c r="B3732" t="s">
        <v>4111</v>
      </c>
      <c r="C3732" t="s">
        <v>10830</v>
      </c>
      <c r="D3732">
        <v>3</v>
      </c>
      <c r="E3732" t="s">
        <v>4111</v>
      </c>
      <c r="G3732" s="3"/>
      <c r="H3732" s="3">
        <v>0</v>
      </c>
      <c r="I3732" s="3">
        <v>0</v>
      </c>
      <c r="J3732" s="3">
        <v>0</v>
      </c>
      <c r="K3732" s="3">
        <v>0</v>
      </c>
      <c r="L3732" s="3">
        <f t="shared" si="162"/>
        <v>0</v>
      </c>
      <c r="M3732" s="3"/>
      <c r="N3732" s="3">
        <f t="shared" si="161"/>
        <v>0</v>
      </c>
      <c r="R3732" s="89"/>
      <c r="S3732" s="89">
        <f>100%-Table34[[#This Row],[PDF_initial fee]]</f>
        <v>1</v>
      </c>
      <c r="T3732" s="89"/>
      <c r="U3732" s="26"/>
    </row>
    <row r="3733" spans="1:21" hidden="1" x14ac:dyDescent="0.25">
      <c r="A3733">
        <v>672416</v>
      </c>
      <c r="B3733" t="s">
        <v>4112</v>
      </c>
      <c r="C3733" t="s">
        <v>8869</v>
      </c>
      <c r="D3733">
        <v>1</v>
      </c>
      <c r="E3733" t="s">
        <v>4112</v>
      </c>
      <c r="G3733" s="3"/>
      <c r="H3733" s="21">
        <v>0</v>
      </c>
      <c r="I3733" s="21">
        <v>0</v>
      </c>
      <c r="J3733" s="21">
        <v>0</v>
      </c>
      <c r="K3733" s="21">
        <v>0</v>
      </c>
      <c r="L3733" s="3">
        <f t="shared" si="162"/>
        <v>0</v>
      </c>
      <c r="M3733" s="3"/>
      <c r="N3733" s="3">
        <f t="shared" si="161"/>
        <v>0</v>
      </c>
      <c r="R3733" s="89"/>
      <c r="S3733" s="89">
        <f>100%-Table34[[#This Row],[PDF_initial fee]]</f>
        <v>1</v>
      </c>
      <c r="T3733" s="89"/>
      <c r="U3733" s="26"/>
    </row>
    <row r="3734" spans="1:21" hidden="1" x14ac:dyDescent="0.25">
      <c r="A3734">
        <v>672429</v>
      </c>
      <c r="B3734" t="s">
        <v>4113</v>
      </c>
      <c r="C3734" t="s">
        <v>6958</v>
      </c>
      <c r="D3734">
        <v>3</v>
      </c>
      <c r="E3734" t="s">
        <v>4113</v>
      </c>
      <c r="F3734" t="s">
        <v>6958</v>
      </c>
      <c r="G3734" s="3"/>
      <c r="H3734" s="21">
        <v>0</v>
      </c>
      <c r="I3734" s="21">
        <v>0</v>
      </c>
      <c r="J3734" s="21">
        <v>0</v>
      </c>
      <c r="K3734" s="21">
        <v>0</v>
      </c>
      <c r="L3734" s="3">
        <f t="shared" si="162"/>
        <v>0</v>
      </c>
      <c r="M3734" s="3"/>
      <c r="N3734" s="3">
        <f t="shared" si="161"/>
        <v>0</v>
      </c>
      <c r="R3734" s="89"/>
      <c r="S3734" s="89">
        <f>100%-Table34[[#This Row],[PDF_initial fee]]</f>
        <v>1</v>
      </c>
      <c r="T3734" s="89"/>
      <c r="U3734" s="26"/>
    </row>
    <row r="3735" spans="1:21" hidden="1" x14ac:dyDescent="0.25">
      <c r="A3735">
        <v>672490</v>
      </c>
      <c r="B3735" t="s">
        <v>4114</v>
      </c>
      <c r="C3735" t="s">
        <v>7365</v>
      </c>
      <c r="D3735">
        <v>2</v>
      </c>
      <c r="E3735" t="s">
        <v>4114</v>
      </c>
      <c r="G3735" s="3"/>
      <c r="H3735" s="21">
        <v>0</v>
      </c>
      <c r="I3735" s="21">
        <v>0</v>
      </c>
      <c r="J3735" s="21">
        <v>0</v>
      </c>
      <c r="K3735" s="21">
        <v>0</v>
      </c>
      <c r="L3735" s="3">
        <f t="shared" si="162"/>
        <v>0</v>
      </c>
      <c r="M3735" s="3"/>
      <c r="N3735" s="3">
        <f t="shared" si="161"/>
        <v>0</v>
      </c>
      <c r="O3735" s="21"/>
      <c r="R3735" s="89"/>
      <c r="S3735" s="89">
        <f>100%-Table34[[#This Row],[PDF_initial fee]]</f>
        <v>1</v>
      </c>
      <c r="T3735" s="89"/>
      <c r="U3735" s="26"/>
    </row>
    <row r="3736" spans="1:21" hidden="1" x14ac:dyDescent="0.25">
      <c r="A3736">
        <v>672780</v>
      </c>
      <c r="B3736" t="s">
        <v>4115</v>
      </c>
      <c r="C3736" t="s">
        <v>12056</v>
      </c>
      <c r="D3736">
        <v>2</v>
      </c>
      <c r="E3736" t="s">
        <v>4115</v>
      </c>
      <c r="G3736" s="3"/>
      <c r="H3736" s="3">
        <v>0</v>
      </c>
      <c r="I3736" s="3">
        <v>0</v>
      </c>
      <c r="J3736" s="3">
        <v>0</v>
      </c>
      <c r="K3736" s="3">
        <v>0</v>
      </c>
      <c r="L3736" s="3">
        <f t="shared" si="162"/>
        <v>0</v>
      </c>
      <c r="M3736" s="3"/>
      <c r="N3736" s="3">
        <f t="shared" si="161"/>
        <v>0</v>
      </c>
      <c r="R3736" s="89"/>
      <c r="S3736" s="89">
        <f>100%-Table34[[#This Row],[PDF_initial fee]]</f>
        <v>1</v>
      </c>
      <c r="T3736" s="89"/>
      <c r="U3736" s="26"/>
    </row>
    <row r="3737" spans="1:21" hidden="1" x14ac:dyDescent="0.25">
      <c r="A3737">
        <v>672972</v>
      </c>
      <c r="B3737" t="s">
        <v>4116</v>
      </c>
      <c r="C3737" t="s">
        <v>11713</v>
      </c>
      <c r="D3737">
        <v>3</v>
      </c>
      <c r="E3737" t="s">
        <v>4116</v>
      </c>
      <c r="G3737" s="3"/>
      <c r="H3737" s="3"/>
      <c r="I3737" s="3"/>
      <c r="J3737" s="3"/>
      <c r="K3737" s="3"/>
      <c r="L3737" s="3">
        <f t="shared" si="162"/>
        <v>0</v>
      </c>
      <c r="M3737" s="3"/>
      <c r="N3737" s="3">
        <f t="shared" si="161"/>
        <v>0</v>
      </c>
      <c r="R3737" s="89"/>
      <c r="S3737" s="89">
        <f>100%-Table34[[#This Row],[PDF_initial fee]]</f>
        <v>1</v>
      </c>
      <c r="T3737" s="89"/>
      <c r="U3737" s="26"/>
    </row>
    <row r="3738" spans="1:21" hidden="1" x14ac:dyDescent="0.25">
      <c r="A3738">
        <v>673112</v>
      </c>
      <c r="B3738" t="s">
        <v>4117</v>
      </c>
      <c r="C3738" t="s">
        <v>30791</v>
      </c>
      <c r="D3738">
        <v>1</v>
      </c>
      <c r="E3738" t="s">
        <v>4117</v>
      </c>
      <c r="G3738" s="3"/>
      <c r="H3738" s="3">
        <v>0</v>
      </c>
      <c r="I3738" s="3">
        <v>0</v>
      </c>
      <c r="J3738" s="3">
        <v>0</v>
      </c>
      <c r="K3738" s="3">
        <v>0</v>
      </c>
      <c r="L3738" s="3">
        <f t="shared" si="162"/>
        <v>0</v>
      </c>
      <c r="M3738" s="3"/>
      <c r="N3738" s="3">
        <f t="shared" si="161"/>
        <v>0</v>
      </c>
      <c r="R3738" s="89"/>
      <c r="S3738" s="89">
        <f>100%-Table34[[#This Row],[PDF_initial fee]]</f>
        <v>1</v>
      </c>
      <c r="T3738" s="89"/>
      <c r="U3738" s="26"/>
    </row>
    <row r="3739" spans="1:21" hidden="1" x14ac:dyDescent="0.25">
      <c r="A3739">
        <v>675510</v>
      </c>
      <c r="B3739" t="s">
        <v>4118</v>
      </c>
      <c r="C3739" t="s">
        <v>6958</v>
      </c>
      <c r="D3739">
        <v>1</v>
      </c>
      <c r="E3739" t="s">
        <v>4118</v>
      </c>
      <c r="F3739" t="s">
        <v>6958</v>
      </c>
      <c r="G3739" s="3"/>
      <c r="H3739" s="21">
        <v>0</v>
      </c>
      <c r="I3739" s="21">
        <v>0</v>
      </c>
      <c r="J3739" s="21">
        <v>0</v>
      </c>
      <c r="K3739" s="21">
        <v>0</v>
      </c>
      <c r="L3739" s="3">
        <f t="shared" si="162"/>
        <v>0</v>
      </c>
      <c r="M3739" s="3"/>
      <c r="N3739" s="3">
        <f t="shared" si="161"/>
        <v>0</v>
      </c>
      <c r="R3739" s="89"/>
      <c r="S3739" s="89">
        <f>100%-Table34[[#This Row],[PDF_initial fee]]</f>
        <v>1</v>
      </c>
      <c r="T3739" s="89"/>
      <c r="U3739" s="26"/>
    </row>
    <row r="3740" spans="1:21" hidden="1" x14ac:dyDescent="0.25">
      <c r="A3740">
        <v>676331</v>
      </c>
      <c r="B3740" t="s">
        <v>4119</v>
      </c>
      <c r="C3740" t="s">
        <v>6958</v>
      </c>
      <c r="D3740">
        <v>0</v>
      </c>
      <c r="E3740" t="s">
        <v>4119</v>
      </c>
      <c r="F3740" t="s">
        <v>6958</v>
      </c>
      <c r="G3740" s="3"/>
      <c r="H3740" s="21">
        <v>0</v>
      </c>
      <c r="I3740" s="21">
        <v>0</v>
      </c>
      <c r="J3740" s="21">
        <v>0</v>
      </c>
      <c r="K3740" s="21">
        <v>0</v>
      </c>
      <c r="L3740" s="3">
        <f t="shared" si="162"/>
        <v>0</v>
      </c>
      <c r="M3740" s="3"/>
      <c r="N3740" s="3">
        <f t="shared" si="161"/>
        <v>0</v>
      </c>
      <c r="R3740" s="89"/>
      <c r="S3740" s="89">
        <f>100%-Table34[[#This Row],[PDF_initial fee]]</f>
        <v>1</v>
      </c>
      <c r="T3740" s="89"/>
      <c r="U3740" s="26"/>
    </row>
    <row r="3741" spans="1:21" hidden="1" x14ac:dyDescent="0.25">
      <c r="A3741">
        <v>676461</v>
      </c>
      <c r="B3741" t="s">
        <v>4120</v>
      </c>
      <c r="C3741" t="s">
        <v>6958</v>
      </c>
      <c r="D3741">
        <v>1</v>
      </c>
      <c r="E3741" t="s">
        <v>4120</v>
      </c>
      <c r="F3741" t="s">
        <v>6958</v>
      </c>
      <c r="G3741" s="3"/>
      <c r="H3741" s="21">
        <v>0</v>
      </c>
      <c r="I3741" s="21">
        <v>0</v>
      </c>
      <c r="J3741" s="21">
        <v>0</v>
      </c>
      <c r="K3741" s="21">
        <v>0</v>
      </c>
      <c r="L3741" s="3">
        <f t="shared" si="162"/>
        <v>0</v>
      </c>
      <c r="M3741" s="3"/>
      <c r="N3741" s="3">
        <f t="shared" si="161"/>
        <v>0</v>
      </c>
      <c r="R3741" s="89"/>
      <c r="S3741" s="89">
        <f>100%-Table34[[#This Row],[PDF_initial fee]]</f>
        <v>1</v>
      </c>
      <c r="T3741" s="89"/>
      <c r="U3741" s="26"/>
    </row>
    <row r="3742" spans="1:21" hidden="1" x14ac:dyDescent="0.25">
      <c r="A3742">
        <v>676480</v>
      </c>
      <c r="B3742" t="s">
        <v>4121</v>
      </c>
      <c r="C3742" t="s">
        <v>30792</v>
      </c>
      <c r="D3742">
        <v>1</v>
      </c>
      <c r="E3742" t="s">
        <v>4121</v>
      </c>
      <c r="G3742" s="3"/>
      <c r="H3742" s="3">
        <v>0</v>
      </c>
      <c r="I3742" s="3">
        <v>0</v>
      </c>
      <c r="J3742" s="3">
        <v>0</v>
      </c>
      <c r="K3742" s="3">
        <v>0</v>
      </c>
      <c r="L3742" s="3">
        <f t="shared" si="162"/>
        <v>0</v>
      </c>
      <c r="M3742" s="3"/>
      <c r="N3742" s="3">
        <f t="shared" si="161"/>
        <v>0</v>
      </c>
      <c r="R3742" s="89"/>
      <c r="S3742" s="89">
        <f>100%-Table34[[#This Row],[PDF_initial fee]]</f>
        <v>1</v>
      </c>
      <c r="T3742" s="89"/>
      <c r="U3742" s="26"/>
    </row>
    <row r="3743" spans="1:21" hidden="1" x14ac:dyDescent="0.25">
      <c r="A3743">
        <v>677055</v>
      </c>
      <c r="B3743" t="s">
        <v>4122</v>
      </c>
      <c r="C3743" t="s">
        <v>6958</v>
      </c>
      <c r="D3743">
        <v>14</v>
      </c>
      <c r="E3743" t="s">
        <v>4122</v>
      </c>
      <c r="F3743" t="s">
        <v>6958</v>
      </c>
      <c r="G3743" s="3"/>
      <c r="H3743" s="21">
        <v>0</v>
      </c>
      <c r="I3743" s="21">
        <v>0</v>
      </c>
      <c r="J3743" s="21">
        <v>0</v>
      </c>
      <c r="K3743" s="21">
        <v>0</v>
      </c>
      <c r="L3743" s="3">
        <f t="shared" si="162"/>
        <v>0</v>
      </c>
      <c r="M3743" s="3"/>
      <c r="N3743" s="3">
        <f t="shared" si="161"/>
        <v>0</v>
      </c>
      <c r="R3743" s="89"/>
      <c r="S3743" s="89">
        <f>100%-Table34[[#This Row],[PDF_initial fee]]</f>
        <v>1</v>
      </c>
      <c r="T3743" s="89"/>
      <c r="U3743" s="26"/>
    </row>
    <row r="3744" spans="1:21" hidden="1" x14ac:dyDescent="0.25">
      <c r="A3744">
        <v>677641</v>
      </c>
      <c r="B3744" t="s">
        <v>4123</v>
      </c>
      <c r="C3744" t="s">
        <v>7459</v>
      </c>
      <c r="D3744">
        <v>5</v>
      </c>
      <c r="E3744" t="s">
        <v>4123</v>
      </c>
      <c r="G3744" s="3"/>
      <c r="I3744" s="3"/>
      <c r="L3744" s="3">
        <f t="shared" si="162"/>
        <v>0</v>
      </c>
      <c r="M3744" s="3"/>
      <c r="N3744" s="3">
        <f t="shared" si="161"/>
        <v>0</v>
      </c>
      <c r="R3744" s="89"/>
      <c r="S3744" s="89">
        <f>100%-Table34[[#This Row],[PDF_initial fee]]</f>
        <v>1</v>
      </c>
      <c r="T3744" s="89"/>
      <c r="U3744" s="26"/>
    </row>
    <row r="3745" spans="1:27" x14ac:dyDescent="0.25">
      <c r="A3745">
        <v>929372</v>
      </c>
      <c r="B3745" t="s">
        <v>332</v>
      </c>
      <c r="C3745" t="s">
        <v>30793</v>
      </c>
      <c r="D3745">
        <v>3</v>
      </c>
      <c r="E3745" t="s">
        <v>332</v>
      </c>
      <c r="F3745" t="s">
        <v>3</v>
      </c>
      <c r="G3745" s="3">
        <v>1.4E-3</v>
      </c>
      <c r="H3745" s="3">
        <v>0.02</v>
      </c>
      <c r="I3745" s="3">
        <v>7.4999999999999997E-3</v>
      </c>
      <c r="J3745" s="6"/>
      <c r="K3745" s="6"/>
      <c r="L3745" s="3">
        <f t="shared" si="162"/>
        <v>2.75E-2</v>
      </c>
      <c r="M3745" s="3"/>
      <c r="N3745" s="3">
        <f t="shared" si="161"/>
        <v>2.8899999999999999E-2</v>
      </c>
      <c r="P3745" s="31" t="s">
        <v>30794</v>
      </c>
      <c r="Q3745" t="s">
        <v>31787</v>
      </c>
      <c r="R3745" s="89">
        <v>0.33333333333333348</v>
      </c>
      <c r="S3745" s="89">
        <f>100%-Table34[[#This Row],[InitialFee]]</f>
        <v>0.98</v>
      </c>
      <c r="T3745" s="89">
        <f>(1-Table34[[#This Row],[OngoingFee (plus Platform fee)]])^5</f>
        <v>0.9630582970465823</v>
      </c>
      <c r="U3745" s="26">
        <f>(1+Table34[[#This Row],[Net 5yrs return (mostly up to 28th of Feb 2026)]])*Table34[[#This Row],[Investment after initial charge]]*Table34[[#This Row],[Cummulative 5yrs ongoing advice charge]]-1</f>
        <v>0.2583961748075343</v>
      </c>
      <c r="V3745">
        <f>42596+34478</f>
        <v>77074</v>
      </c>
      <c r="W3745" t="s">
        <v>29051</v>
      </c>
      <c r="X3745" s="9">
        <v>40651</v>
      </c>
      <c r="Y3745" s="30">
        <f>X3745/V3745</f>
        <v>0.52742818589926566</v>
      </c>
      <c r="AA3745" s="1" t="s">
        <v>30795</v>
      </c>
    </row>
    <row r="3746" spans="1:27" hidden="1" x14ac:dyDescent="0.25">
      <c r="A3746">
        <v>677842</v>
      </c>
      <c r="B3746" t="s">
        <v>4124</v>
      </c>
      <c r="C3746" t="s">
        <v>30796</v>
      </c>
      <c r="D3746">
        <v>1</v>
      </c>
      <c r="E3746" t="s">
        <v>4124</v>
      </c>
      <c r="G3746" s="3"/>
      <c r="H3746" s="3">
        <v>0</v>
      </c>
      <c r="I3746" s="3">
        <v>0</v>
      </c>
      <c r="J3746" s="3">
        <v>0</v>
      </c>
      <c r="K3746" s="3">
        <v>0</v>
      </c>
      <c r="L3746" s="3">
        <f t="shared" si="162"/>
        <v>0</v>
      </c>
      <c r="M3746" s="3"/>
      <c r="N3746" s="3">
        <f t="shared" si="161"/>
        <v>0</v>
      </c>
      <c r="R3746" s="89"/>
      <c r="S3746" s="89">
        <f>100%-Table34[[#This Row],[PDF_initial fee]]</f>
        <v>1</v>
      </c>
      <c r="T3746" s="89"/>
      <c r="U3746" s="26"/>
    </row>
    <row r="3747" spans="1:27" hidden="1" x14ac:dyDescent="0.25">
      <c r="A3747">
        <v>677869</v>
      </c>
      <c r="B3747" t="s">
        <v>4125</v>
      </c>
      <c r="C3747" t="s">
        <v>30797</v>
      </c>
      <c r="D3747">
        <v>7</v>
      </c>
      <c r="E3747" t="s">
        <v>4125</v>
      </c>
      <c r="G3747" s="3"/>
      <c r="H3747" s="3">
        <v>0</v>
      </c>
      <c r="I3747" s="3">
        <v>0</v>
      </c>
      <c r="J3747" s="3">
        <v>0</v>
      </c>
      <c r="K3747" s="3">
        <v>0</v>
      </c>
      <c r="L3747" s="3">
        <f t="shared" si="162"/>
        <v>0</v>
      </c>
      <c r="M3747" s="3"/>
      <c r="N3747" s="3">
        <f t="shared" si="161"/>
        <v>0</v>
      </c>
      <c r="R3747" s="89"/>
      <c r="S3747" s="89">
        <f>100%-Table34[[#This Row],[PDF_initial fee]]</f>
        <v>1</v>
      </c>
      <c r="T3747" s="89"/>
      <c r="U3747" s="26"/>
    </row>
    <row r="3748" spans="1:27" hidden="1" x14ac:dyDescent="0.25">
      <c r="A3748">
        <v>677967</v>
      </c>
      <c r="B3748" t="s">
        <v>4126</v>
      </c>
      <c r="C3748" t="s">
        <v>6958</v>
      </c>
      <c r="D3748">
        <v>1</v>
      </c>
      <c r="E3748" t="s">
        <v>4126</v>
      </c>
      <c r="F3748" t="s">
        <v>6958</v>
      </c>
      <c r="G3748" s="3"/>
      <c r="L3748" s="3">
        <f t="shared" si="162"/>
        <v>0</v>
      </c>
      <c r="M3748" s="3"/>
      <c r="N3748" s="3">
        <f t="shared" si="161"/>
        <v>0</v>
      </c>
      <c r="R3748" s="89"/>
      <c r="S3748" s="89">
        <f>100%-Table34[[#This Row],[PDF_initial fee]]</f>
        <v>1</v>
      </c>
      <c r="T3748" s="89"/>
      <c r="U3748" s="26"/>
    </row>
    <row r="3749" spans="1:27" x14ac:dyDescent="0.25">
      <c r="A3749">
        <v>820559</v>
      </c>
      <c r="B3749" t="s">
        <v>309</v>
      </c>
      <c r="C3749" t="s">
        <v>10387</v>
      </c>
      <c r="D3749">
        <v>1</v>
      </c>
      <c r="E3749" t="s">
        <v>309</v>
      </c>
      <c r="F3749" t="s">
        <v>3</v>
      </c>
      <c r="G3749" s="3">
        <v>1.4E-3</v>
      </c>
      <c r="H3749" s="3">
        <v>1.7500000000000002E-2</v>
      </c>
      <c r="I3749" s="3">
        <v>7.4999999999999997E-3</v>
      </c>
      <c r="J3749" s="6"/>
      <c r="K3749" s="6"/>
      <c r="L3749" s="3">
        <f t="shared" si="162"/>
        <v>2.5000000000000001E-2</v>
      </c>
      <c r="M3749" s="3"/>
      <c r="N3749" s="3">
        <f t="shared" si="161"/>
        <v>2.64E-2</v>
      </c>
      <c r="P3749" s="31" t="s">
        <v>30798</v>
      </c>
      <c r="Q3749" t="s">
        <v>31787</v>
      </c>
      <c r="R3749" s="89">
        <v>0.33333333333333348</v>
      </c>
      <c r="S3749" s="89">
        <f>100%-Table34[[#This Row],[InitialFee]]</f>
        <v>0.98250000000000004</v>
      </c>
      <c r="T3749" s="89">
        <f>(1-Table34[[#This Row],[OngoingFee (plus Platform fee)]])^5</f>
        <v>0.9630582970465823</v>
      </c>
      <c r="U3749" s="26">
        <f>(1+Table34[[#This Row],[Net 5yrs return (mostly up to 28th of Feb 2026)]])*Table34[[#This Row],[Investment after initial charge]]*Table34[[#This Row],[Cummulative 5yrs ongoing advice charge]]-1</f>
        <v>0.26160636913102309</v>
      </c>
      <c r="V3749">
        <f>29130+35176</f>
        <v>64306</v>
      </c>
      <c r="W3749" t="s">
        <v>29051</v>
      </c>
      <c r="X3749" s="9">
        <v>12640</v>
      </c>
      <c r="Y3749" s="30">
        <f>X3749/V3749</f>
        <v>0.19656019656019655</v>
      </c>
      <c r="AA3749" s="1" t="s">
        <v>30799</v>
      </c>
    </row>
    <row r="3750" spans="1:27" hidden="1" x14ac:dyDescent="0.25">
      <c r="A3750">
        <v>678996</v>
      </c>
      <c r="B3750" t="s">
        <v>4127</v>
      </c>
      <c r="C3750" t="s">
        <v>12588</v>
      </c>
      <c r="D3750">
        <v>2</v>
      </c>
      <c r="E3750" t="s">
        <v>4127</v>
      </c>
      <c r="G3750" s="3"/>
      <c r="H3750" s="3">
        <v>0</v>
      </c>
      <c r="I3750" s="3">
        <v>0</v>
      </c>
      <c r="J3750" s="3">
        <v>0</v>
      </c>
      <c r="K3750" s="3">
        <v>0</v>
      </c>
      <c r="L3750" s="3">
        <f t="shared" si="162"/>
        <v>0</v>
      </c>
      <c r="M3750" s="3"/>
      <c r="N3750" s="3">
        <f t="shared" si="161"/>
        <v>0</v>
      </c>
      <c r="R3750" s="89"/>
      <c r="S3750" s="89">
        <f>100%-Table34[[#This Row],[PDF_initial fee]]</f>
        <v>1</v>
      </c>
      <c r="T3750" s="89"/>
      <c r="U3750" s="26"/>
    </row>
    <row r="3751" spans="1:27" hidden="1" x14ac:dyDescent="0.25">
      <c r="A3751">
        <v>679003</v>
      </c>
      <c r="B3751" t="s">
        <v>4128</v>
      </c>
      <c r="C3751" t="s">
        <v>30800</v>
      </c>
      <c r="D3751">
        <v>1</v>
      </c>
      <c r="E3751" t="s">
        <v>4128</v>
      </c>
      <c r="G3751" s="3"/>
      <c r="H3751" s="3">
        <v>0</v>
      </c>
      <c r="I3751" s="3">
        <v>0</v>
      </c>
      <c r="J3751" s="3">
        <v>0</v>
      </c>
      <c r="K3751" s="3">
        <v>0</v>
      </c>
      <c r="L3751" s="3">
        <f t="shared" si="162"/>
        <v>0</v>
      </c>
      <c r="M3751" s="3"/>
      <c r="N3751" s="3">
        <f t="shared" si="161"/>
        <v>0</v>
      </c>
      <c r="R3751" s="89"/>
      <c r="S3751" s="89">
        <f>100%-Table34[[#This Row],[PDF_initial fee]]</f>
        <v>1</v>
      </c>
      <c r="T3751" s="89"/>
      <c r="U3751" s="26"/>
    </row>
    <row r="3752" spans="1:27" hidden="1" x14ac:dyDescent="0.25">
      <c r="A3752">
        <v>679171</v>
      </c>
      <c r="B3752" t="s">
        <v>4129</v>
      </c>
      <c r="C3752" t="s">
        <v>30801</v>
      </c>
      <c r="D3752">
        <v>0</v>
      </c>
      <c r="E3752" t="s">
        <v>4129</v>
      </c>
      <c r="F3752" t="s">
        <v>3</v>
      </c>
      <c r="G3752" s="3"/>
      <c r="H3752" s="3">
        <v>0</v>
      </c>
      <c r="I3752" s="3">
        <v>0</v>
      </c>
      <c r="J3752" s="3">
        <v>0</v>
      </c>
      <c r="K3752" s="3">
        <v>0</v>
      </c>
      <c r="L3752" s="3">
        <f t="shared" si="162"/>
        <v>0</v>
      </c>
      <c r="M3752" s="3"/>
      <c r="N3752" s="3">
        <f t="shared" si="161"/>
        <v>0</v>
      </c>
      <c r="R3752" s="89"/>
      <c r="S3752" s="89">
        <f>100%-Table34[[#This Row],[PDF_initial fee]]</f>
        <v>1</v>
      </c>
      <c r="T3752" s="89"/>
      <c r="U3752" s="26"/>
    </row>
    <row r="3753" spans="1:27" hidden="1" x14ac:dyDescent="0.25">
      <c r="A3753">
        <v>679371</v>
      </c>
      <c r="B3753" t="s">
        <v>4130</v>
      </c>
      <c r="C3753" t="s">
        <v>30802</v>
      </c>
      <c r="D3753">
        <v>1</v>
      </c>
      <c r="E3753" t="s">
        <v>4130</v>
      </c>
      <c r="G3753" s="3"/>
      <c r="H3753" s="3">
        <v>0</v>
      </c>
      <c r="I3753" s="3">
        <v>0</v>
      </c>
      <c r="J3753" s="3">
        <v>0</v>
      </c>
      <c r="K3753" s="3">
        <v>0</v>
      </c>
      <c r="L3753" s="3">
        <f t="shared" si="162"/>
        <v>0</v>
      </c>
      <c r="M3753" s="3"/>
      <c r="N3753" s="3">
        <f t="shared" si="161"/>
        <v>0</v>
      </c>
      <c r="R3753" s="89"/>
      <c r="S3753" s="89">
        <f>100%-Table34[[#This Row],[PDF_initial fee]]</f>
        <v>1</v>
      </c>
      <c r="T3753" s="89"/>
      <c r="U3753" s="26"/>
    </row>
    <row r="3754" spans="1:27" hidden="1" x14ac:dyDescent="0.25">
      <c r="A3754">
        <v>679623</v>
      </c>
      <c r="B3754" t="s">
        <v>4131</v>
      </c>
      <c r="C3754" t="s">
        <v>6958</v>
      </c>
      <c r="D3754">
        <v>1</v>
      </c>
      <c r="E3754" t="s">
        <v>4131</v>
      </c>
      <c r="F3754" t="s">
        <v>6958</v>
      </c>
      <c r="G3754" s="3"/>
      <c r="H3754" s="21">
        <v>0</v>
      </c>
      <c r="I3754" s="21">
        <v>0</v>
      </c>
      <c r="J3754" s="21">
        <v>0</v>
      </c>
      <c r="K3754" s="21">
        <v>0</v>
      </c>
      <c r="L3754" s="3">
        <f t="shared" si="162"/>
        <v>0</v>
      </c>
      <c r="M3754" s="3"/>
      <c r="N3754" s="3">
        <f t="shared" si="161"/>
        <v>0</v>
      </c>
      <c r="R3754" s="89"/>
      <c r="S3754" s="89">
        <f>100%-Table34[[#This Row],[PDF_initial fee]]</f>
        <v>1</v>
      </c>
      <c r="T3754" s="89"/>
      <c r="U3754" s="26"/>
    </row>
    <row r="3755" spans="1:27" hidden="1" x14ac:dyDescent="0.25">
      <c r="A3755">
        <v>679903</v>
      </c>
      <c r="B3755" t="s">
        <v>4132</v>
      </c>
      <c r="C3755" t="s">
        <v>10342</v>
      </c>
      <c r="D3755">
        <v>3</v>
      </c>
      <c r="E3755" t="s">
        <v>4132</v>
      </c>
      <c r="G3755" s="3"/>
      <c r="H3755" s="3"/>
      <c r="I3755" s="3"/>
      <c r="J3755" s="3"/>
      <c r="K3755" s="3"/>
      <c r="L3755" s="3">
        <f t="shared" si="162"/>
        <v>0</v>
      </c>
      <c r="M3755" s="3"/>
      <c r="N3755" s="3">
        <f t="shared" si="161"/>
        <v>0</v>
      </c>
      <c r="R3755" s="89"/>
      <c r="S3755" s="89">
        <f>100%-Table34[[#This Row],[PDF_initial fee]]</f>
        <v>1</v>
      </c>
      <c r="T3755" s="89"/>
      <c r="U3755" s="26"/>
    </row>
    <row r="3756" spans="1:27" hidden="1" x14ac:dyDescent="0.25">
      <c r="A3756">
        <v>680116</v>
      </c>
      <c r="B3756" t="s">
        <v>4133</v>
      </c>
      <c r="C3756" t="s">
        <v>6958</v>
      </c>
      <c r="D3756">
        <v>1</v>
      </c>
      <c r="E3756" t="s">
        <v>4133</v>
      </c>
      <c r="F3756" t="s">
        <v>6958</v>
      </c>
      <c r="G3756" s="3"/>
      <c r="H3756" s="21">
        <v>0</v>
      </c>
      <c r="I3756" s="21">
        <v>0</v>
      </c>
      <c r="J3756" s="21">
        <v>0</v>
      </c>
      <c r="K3756" s="21">
        <v>0</v>
      </c>
      <c r="L3756" s="3">
        <f t="shared" si="162"/>
        <v>0</v>
      </c>
      <c r="M3756" s="3"/>
      <c r="N3756" s="3">
        <f t="shared" si="161"/>
        <v>0</v>
      </c>
      <c r="R3756" s="89"/>
      <c r="S3756" s="89">
        <f>100%-Table34[[#This Row],[PDF_initial fee]]</f>
        <v>1</v>
      </c>
      <c r="T3756" s="89"/>
      <c r="U3756" s="26"/>
    </row>
    <row r="3757" spans="1:27" hidden="1" x14ac:dyDescent="0.25">
      <c r="A3757">
        <v>680804</v>
      </c>
      <c r="B3757" t="s">
        <v>4134</v>
      </c>
      <c r="C3757" t="s">
        <v>6958</v>
      </c>
      <c r="D3757">
        <v>2</v>
      </c>
      <c r="E3757" t="s">
        <v>4134</v>
      </c>
      <c r="F3757" t="s">
        <v>6958</v>
      </c>
      <c r="G3757" s="3"/>
      <c r="H3757" s="21">
        <v>0</v>
      </c>
      <c r="I3757" s="21">
        <v>0</v>
      </c>
      <c r="J3757" s="21">
        <v>0</v>
      </c>
      <c r="K3757" s="21">
        <v>0</v>
      </c>
      <c r="L3757" s="3">
        <f t="shared" si="162"/>
        <v>0</v>
      </c>
      <c r="M3757" s="3"/>
      <c r="N3757" s="3">
        <f t="shared" si="161"/>
        <v>0</v>
      </c>
      <c r="R3757" s="89"/>
      <c r="S3757" s="89">
        <f>100%-Table34[[#This Row],[PDF_initial fee]]</f>
        <v>1</v>
      </c>
      <c r="T3757" s="89"/>
      <c r="U3757" s="26"/>
    </row>
    <row r="3758" spans="1:27" hidden="1" x14ac:dyDescent="0.25">
      <c r="A3758">
        <v>680893</v>
      </c>
      <c r="B3758" t="s">
        <v>4135</v>
      </c>
      <c r="C3758" t="s">
        <v>7022</v>
      </c>
      <c r="D3758">
        <v>2</v>
      </c>
      <c r="E3758" t="s">
        <v>4135</v>
      </c>
      <c r="G3758" s="3"/>
      <c r="H3758" s="21">
        <v>0</v>
      </c>
      <c r="I3758" s="21">
        <v>0</v>
      </c>
      <c r="J3758" s="21">
        <v>0</v>
      </c>
      <c r="K3758" s="21">
        <v>0</v>
      </c>
      <c r="L3758" s="3">
        <f t="shared" si="162"/>
        <v>0</v>
      </c>
      <c r="M3758" s="3"/>
      <c r="N3758" s="3">
        <f t="shared" si="161"/>
        <v>0</v>
      </c>
      <c r="R3758" s="89"/>
      <c r="S3758" s="89">
        <f>100%-Table34[[#This Row],[PDF_initial fee]]</f>
        <v>1</v>
      </c>
      <c r="T3758" s="89"/>
      <c r="U3758" s="26"/>
    </row>
    <row r="3759" spans="1:27" hidden="1" x14ac:dyDescent="0.25">
      <c r="A3759">
        <v>681264</v>
      </c>
      <c r="B3759" t="s">
        <v>4136</v>
      </c>
      <c r="C3759" t="s">
        <v>6958</v>
      </c>
      <c r="D3759">
        <v>2</v>
      </c>
      <c r="E3759" t="s">
        <v>4136</v>
      </c>
      <c r="F3759" t="s">
        <v>6958</v>
      </c>
      <c r="G3759" s="3"/>
      <c r="H3759" s="21">
        <v>0</v>
      </c>
      <c r="I3759" s="21">
        <v>0</v>
      </c>
      <c r="J3759" s="21">
        <v>0</v>
      </c>
      <c r="K3759" s="21">
        <v>0</v>
      </c>
      <c r="L3759" s="3">
        <f t="shared" si="162"/>
        <v>0</v>
      </c>
      <c r="M3759" s="3"/>
      <c r="N3759" s="3">
        <f t="shared" ref="N3759:N3822" si="163">L3759+G3759</f>
        <v>0</v>
      </c>
      <c r="R3759" s="89"/>
      <c r="S3759" s="89">
        <f>100%-Table34[[#This Row],[PDF_initial fee]]</f>
        <v>1</v>
      </c>
      <c r="T3759" s="89"/>
      <c r="U3759" s="26"/>
    </row>
    <row r="3760" spans="1:27" hidden="1" x14ac:dyDescent="0.25">
      <c r="A3760">
        <v>681433</v>
      </c>
      <c r="B3760" t="s">
        <v>4137</v>
      </c>
      <c r="C3760" t="s">
        <v>6958</v>
      </c>
      <c r="D3760">
        <v>1</v>
      </c>
      <c r="E3760" t="s">
        <v>4137</v>
      </c>
      <c r="F3760" t="s">
        <v>6958</v>
      </c>
      <c r="G3760" s="3"/>
      <c r="H3760" s="21">
        <v>0</v>
      </c>
      <c r="I3760" s="21">
        <v>0</v>
      </c>
      <c r="J3760" s="21">
        <v>0</v>
      </c>
      <c r="K3760" s="21">
        <v>0</v>
      </c>
      <c r="L3760" s="3">
        <f t="shared" si="162"/>
        <v>0</v>
      </c>
      <c r="M3760" s="3"/>
      <c r="N3760" s="3">
        <f t="shared" si="163"/>
        <v>0</v>
      </c>
      <c r="R3760" s="89"/>
      <c r="S3760" s="89">
        <f>100%-Table34[[#This Row],[PDF_initial fee]]</f>
        <v>1</v>
      </c>
      <c r="T3760" s="89"/>
      <c r="U3760" s="26"/>
    </row>
    <row r="3761" spans="1:27" hidden="1" x14ac:dyDescent="0.25">
      <c r="A3761">
        <v>681730</v>
      </c>
      <c r="B3761" t="s">
        <v>4138</v>
      </c>
      <c r="C3761" t="s">
        <v>10776</v>
      </c>
      <c r="D3761">
        <v>3</v>
      </c>
      <c r="E3761" t="s">
        <v>4138</v>
      </c>
      <c r="G3761" s="3"/>
      <c r="H3761" s="3">
        <v>0</v>
      </c>
      <c r="I3761" s="3">
        <v>0</v>
      </c>
      <c r="J3761" s="3">
        <v>0</v>
      </c>
      <c r="K3761" s="3">
        <v>0</v>
      </c>
      <c r="L3761" s="3">
        <f t="shared" si="162"/>
        <v>0</v>
      </c>
      <c r="M3761" s="3"/>
      <c r="N3761" s="3">
        <f t="shared" si="163"/>
        <v>0</v>
      </c>
      <c r="R3761" s="89"/>
      <c r="S3761" s="89">
        <f>100%-Table34[[#This Row],[PDF_initial fee]]</f>
        <v>1</v>
      </c>
      <c r="T3761" s="89"/>
      <c r="U3761" s="26"/>
    </row>
    <row r="3762" spans="1:27" hidden="1" x14ac:dyDescent="0.25">
      <c r="A3762">
        <v>681734</v>
      </c>
      <c r="B3762" t="s">
        <v>4139</v>
      </c>
      <c r="C3762" t="s">
        <v>8117</v>
      </c>
      <c r="D3762">
        <v>1</v>
      </c>
      <c r="E3762" t="s">
        <v>4139</v>
      </c>
      <c r="G3762" s="3"/>
      <c r="H3762" s="21">
        <v>0</v>
      </c>
      <c r="I3762" s="21">
        <v>0</v>
      </c>
      <c r="J3762" s="21">
        <v>0</v>
      </c>
      <c r="K3762" s="21">
        <v>0</v>
      </c>
      <c r="L3762" s="3">
        <f t="shared" si="162"/>
        <v>0</v>
      </c>
      <c r="M3762" s="3"/>
      <c r="N3762" s="3">
        <f t="shared" si="163"/>
        <v>0</v>
      </c>
      <c r="R3762" s="89"/>
      <c r="S3762" s="89">
        <f>100%-Table34[[#This Row],[PDF_initial fee]]</f>
        <v>1</v>
      </c>
      <c r="T3762" s="89"/>
      <c r="U3762" s="26"/>
    </row>
    <row r="3763" spans="1:27" hidden="1" x14ac:dyDescent="0.25">
      <c r="A3763">
        <v>684012</v>
      </c>
      <c r="B3763" t="s">
        <v>4140</v>
      </c>
      <c r="C3763" t="s">
        <v>30803</v>
      </c>
      <c r="D3763">
        <v>1</v>
      </c>
      <c r="E3763" t="s">
        <v>4140</v>
      </c>
      <c r="G3763" s="3"/>
      <c r="H3763" s="3">
        <v>0</v>
      </c>
      <c r="I3763" s="3">
        <v>0</v>
      </c>
      <c r="J3763" s="3">
        <v>0</v>
      </c>
      <c r="K3763" s="3">
        <v>0</v>
      </c>
      <c r="L3763" s="3">
        <f t="shared" si="162"/>
        <v>0</v>
      </c>
      <c r="M3763" s="3"/>
      <c r="N3763" s="3">
        <f t="shared" si="163"/>
        <v>0</v>
      </c>
      <c r="R3763" s="89"/>
      <c r="S3763" s="89">
        <f>100%-Table34[[#This Row],[PDF_initial fee]]</f>
        <v>1</v>
      </c>
      <c r="T3763" s="89"/>
      <c r="U3763" s="26"/>
    </row>
    <row r="3764" spans="1:27" hidden="1" x14ac:dyDescent="0.25">
      <c r="A3764">
        <v>684319</v>
      </c>
      <c r="B3764" t="s">
        <v>4141</v>
      </c>
      <c r="C3764" t="s">
        <v>6958</v>
      </c>
      <c r="D3764">
        <v>9</v>
      </c>
      <c r="E3764" t="s">
        <v>4141</v>
      </c>
      <c r="F3764" t="s">
        <v>6958</v>
      </c>
      <c r="G3764" s="3"/>
      <c r="H3764" s="21">
        <v>0</v>
      </c>
      <c r="I3764" s="21">
        <v>0</v>
      </c>
      <c r="J3764" s="21">
        <v>0</v>
      </c>
      <c r="K3764" s="21">
        <v>0</v>
      </c>
      <c r="L3764" s="3">
        <f t="shared" si="162"/>
        <v>0</v>
      </c>
      <c r="M3764" s="3"/>
      <c r="N3764" s="3">
        <f t="shared" si="163"/>
        <v>0</v>
      </c>
      <c r="R3764" s="89"/>
      <c r="S3764" s="89">
        <f>100%-Table34[[#This Row],[PDF_initial fee]]</f>
        <v>1</v>
      </c>
      <c r="T3764" s="89"/>
      <c r="U3764" s="26"/>
    </row>
    <row r="3765" spans="1:27" hidden="1" x14ac:dyDescent="0.25">
      <c r="A3765">
        <v>684341</v>
      </c>
      <c r="B3765" t="s">
        <v>4142</v>
      </c>
      <c r="C3765" t="s">
        <v>10097</v>
      </c>
      <c r="D3765">
        <v>3</v>
      </c>
      <c r="E3765" t="s">
        <v>4142</v>
      </c>
      <c r="G3765" s="3"/>
      <c r="H3765" s="3">
        <v>0</v>
      </c>
      <c r="I3765" s="3">
        <v>0</v>
      </c>
      <c r="J3765" s="3">
        <v>0</v>
      </c>
      <c r="K3765" s="3">
        <v>0</v>
      </c>
      <c r="L3765" s="3">
        <f t="shared" si="162"/>
        <v>0</v>
      </c>
      <c r="M3765" s="3"/>
      <c r="N3765" s="3">
        <f t="shared" si="163"/>
        <v>0</v>
      </c>
      <c r="R3765" s="89"/>
      <c r="S3765" s="89">
        <f>100%-Table34[[#This Row],[PDF_initial fee]]</f>
        <v>1</v>
      </c>
      <c r="T3765" s="89"/>
      <c r="U3765" s="26"/>
    </row>
    <row r="3766" spans="1:27" hidden="1" x14ac:dyDescent="0.25">
      <c r="A3766">
        <v>684887</v>
      </c>
      <c r="B3766" t="s">
        <v>4143</v>
      </c>
      <c r="C3766" t="s">
        <v>7068</v>
      </c>
      <c r="D3766">
        <v>1</v>
      </c>
      <c r="E3766" t="s">
        <v>4143</v>
      </c>
      <c r="G3766" s="3"/>
      <c r="H3766" s="21">
        <v>0</v>
      </c>
      <c r="I3766" s="21">
        <v>0</v>
      </c>
      <c r="J3766" s="21">
        <v>0</v>
      </c>
      <c r="K3766" s="21">
        <v>0</v>
      </c>
      <c r="L3766" s="3">
        <f t="shared" si="162"/>
        <v>0</v>
      </c>
      <c r="M3766" s="3"/>
      <c r="N3766" s="3">
        <f t="shared" si="163"/>
        <v>0</v>
      </c>
      <c r="R3766" s="89"/>
      <c r="S3766" s="89">
        <f>100%-Table34[[#This Row],[PDF_initial fee]]</f>
        <v>1</v>
      </c>
      <c r="T3766" s="89"/>
      <c r="U3766" s="26"/>
    </row>
    <row r="3767" spans="1:27" hidden="1" x14ac:dyDescent="0.25">
      <c r="A3767">
        <v>685037</v>
      </c>
      <c r="B3767" t="s">
        <v>4144</v>
      </c>
      <c r="C3767" t="s">
        <v>11192</v>
      </c>
      <c r="D3767">
        <v>1</v>
      </c>
      <c r="E3767" t="s">
        <v>4144</v>
      </c>
      <c r="G3767" s="3"/>
      <c r="H3767" s="3">
        <v>0</v>
      </c>
      <c r="I3767" s="3">
        <v>0</v>
      </c>
      <c r="J3767" s="3">
        <v>0</v>
      </c>
      <c r="K3767" s="3">
        <v>0</v>
      </c>
      <c r="L3767" s="3">
        <f t="shared" si="162"/>
        <v>0</v>
      </c>
      <c r="M3767" s="3"/>
      <c r="N3767" s="3">
        <f t="shared" si="163"/>
        <v>0</v>
      </c>
      <c r="R3767" s="89"/>
      <c r="S3767" s="89">
        <f>100%-Table34[[#This Row],[PDF_initial fee]]</f>
        <v>1</v>
      </c>
      <c r="T3767" s="89"/>
      <c r="U3767" s="26"/>
    </row>
    <row r="3768" spans="1:27" hidden="1" x14ac:dyDescent="0.25">
      <c r="A3768">
        <v>685248</v>
      </c>
      <c r="B3768" t="s">
        <v>4145</v>
      </c>
      <c r="C3768" t="s">
        <v>30804</v>
      </c>
      <c r="D3768">
        <v>2</v>
      </c>
      <c r="E3768" t="s">
        <v>4145</v>
      </c>
      <c r="G3768" s="3"/>
      <c r="H3768" s="3">
        <v>0</v>
      </c>
      <c r="I3768" s="3">
        <v>0</v>
      </c>
      <c r="J3768" s="3">
        <v>0</v>
      </c>
      <c r="K3768" s="3">
        <v>0</v>
      </c>
      <c r="L3768" s="3">
        <f t="shared" si="162"/>
        <v>0</v>
      </c>
      <c r="M3768" s="3"/>
      <c r="N3768" s="3">
        <f t="shared" si="163"/>
        <v>0</v>
      </c>
      <c r="R3768" s="89"/>
      <c r="S3768" s="89">
        <f>100%-Table34[[#This Row],[PDF_initial fee]]</f>
        <v>1</v>
      </c>
      <c r="T3768" s="89"/>
      <c r="U3768" s="26"/>
    </row>
    <row r="3769" spans="1:27" hidden="1" x14ac:dyDescent="0.25">
      <c r="A3769">
        <v>685262</v>
      </c>
      <c r="B3769" t="s">
        <v>4146</v>
      </c>
      <c r="C3769" t="s">
        <v>30805</v>
      </c>
      <c r="D3769">
        <v>0</v>
      </c>
      <c r="E3769" t="s">
        <v>4146</v>
      </c>
      <c r="F3769" t="s">
        <v>29136</v>
      </c>
      <c r="G3769" s="3"/>
      <c r="H3769" s="21">
        <v>0</v>
      </c>
      <c r="I3769" s="3">
        <v>0</v>
      </c>
      <c r="J3769" s="3">
        <v>0</v>
      </c>
      <c r="K3769">
        <v>0</v>
      </c>
      <c r="L3769" s="3">
        <f t="shared" si="162"/>
        <v>0</v>
      </c>
      <c r="M3769" s="3"/>
      <c r="N3769" s="3">
        <f t="shared" si="163"/>
        <v>0</v>
      </c>
      <c r="R3769" s="89"/>
      <c r="S3769" s="89">
        <f>100%-Table34[[#This Row],[PDF_initial fee]]</f>
        <v>1</v>
      </c>
      <c r="T3769" s="89"/>
      <c r="U3769" s="26"/>
    </row>
    <row r="3770" spans="1:27" hidden="1" x14ac:dyDescent="0.25">
      <c r="A3770">
        <v>685841</v>
      </c>
      <c r="B3770" t="s">
        <v>4147</v>
      </c>
      <c r="C3770" t="s">
        <v>9032</v>
      </c>
      <c r="D3770">
        <v>1</v>
      </c>
      <c r="E3770" t="s">
        <v>4147</v>
      </c>
      <c r="G3770" s="3"/>
      <c r="H3770" s="21">
        <v>0</v>
      </c>
      <c r="I3770" s="21">
        <v>0</v>
      </c>
      <c r="J3770" s="21">
        <v>0</v>
      </c>
      <c r="K3770" s="21">
        <v>0</v>
      </c>
      <c r="L3770" s="3">
        <f t="shared" si="162"/>
        <v>0</v>
      </c>
      <c r="M3770" s="3"/>
      <c r="N3770" s="3">
        <f t="shared" si="163"/>
        <v>0</v>
      </c>
      <c r="R3770" s="89"/>
      <c r="S3770" s="89">
        <f>100%-Table34[[#This Row],[PDF_initial fee]]</f>
        <v>1</v>
      </c>
      <c r="T3770" s="89"/>
      <c r="U3770" s="26"/>
    </row>
    <row r="3771" spans="1:27" hidden="1" x14ac:dyDescent="0.25">
      <c r="A3771">
        <v>687472</v>
      </c>
      <c r="B3771" t="s">
        <v>4148</v>
      </c>
      <c r="C3771" t="s">
        <v>8424</v>
      </c>
      <c r="D3771">
        <v>1</v>
      </c>
      <c r="E3771" t="s">
        <v>4148</v>
      </c>
      <c r="G3771" s="3"/>
      <c r="H3771" s="21">
        <v>0</v>
      </c>
      <c r="I3771" s="21">
        <v>0</v>
      </c>
      <c r="J3771" s="21">
        <v>0</v>
      </c>
      <c r="K3771" s="21">
        <v>0</v>
      </c>
      <c r="L3771" s="3">
        <f t="shared" si="162"/>
        <v>0</v>
      </c>
      <c r="M3771" s="3"/>
      <c r="N3771" s="3">
        <f t="shared" si="163"/>
        <v>0</v>
      </c>
      <c r="R3771" s="89"/>
      <c r="S3771" s="89">
        <f>100%-Table34[[#This Row],[PDF_initial fee]]</f>
        <v>1</v>
      </c>
      <c r="T3771" s="89"/>
      <c r="U3771" s="26"/>
    </row>
    <row r="3772" spans="1:27" hidden="1" x14ac:dyDescent="0.25">
      <c r="A3772">
        <v>688100</v>
      </c>
      <c r="B3772" t="s">
        <v>4149</v>
      </c>
      <c r="C3772" t="s">
        <v>7304</v>
      </c>
      <c r="D3772">
        <v>1</v>
      </c>
      <c r="E3772" t="s">
        <v>4149</v>
      </c>
      <c r="G3772" s="3"/>
      <c r="H3772" s="21">
        <v>0</v>
      </c>
      <c r="I3772" s="21">
        <v>0</v>
      </c>
      <c r="J3772" s="21">
        <v>0</v>
      </c>
      <c r="K3772" s="21">
        <v>0</v>
      </c>
      <c r="L3772" s="3">
        <f t="shared" ref="L3772:L3835" si="164">SUM(H3772:K3772)</f>
        <v>0</v>
      </c>
      <c r="M3772" s="3"/>
      <c r="N3772" s="3">
        <f t="shared" si="163"/>
        <v>0</v>
      </c>
      <c r="R3772" s="89"/>
      <c r="S3772" s="89">
        <f>100%-Table34[[#This Row],[PDF_initial fee]]</f>
        <v>1</v>
      </c>
      <c r="T3772" s="89"/>
      <c r="U3772" s="26"/>
    </row>
    <row r="3773" spans="1:27" hidden="1" x14ac:dyDescent="0.25">
      <c r="A3773">
        <v>688217</v>
      </c>
      <c r="B3773" t="s">
        <v>4150</v>
      </c>
      <c r="C3773" t="s">
        <v>10609</v>
      </c>
      <c r="D3773">
        <v>2</v>
      </c>
      <c r="E3773" t="s">
        <v>4150</v>
      </c>
      <c r="G3773" s="3"/>
      <c r="H3773" s="3"/>
      <c r="I3773" s="3"/>
      <c r="J3773" s="3"/>
      <c r="K3773" s="3"/>
      <c r="L3773" s="3">
        <f t="shared" si="164"/>
        <v>0</v>
      </c>
      <c r="M3773" s="3"/>
      <c r="N3773" s="3">
        <f t="shared" si="163"/>
        <v>0</v>
      </c>
      <c r="R3773" s="89"/>
      <c r="S3773" s="89">
        <f>100%-Table34[[#This Row],[PDF_initial fee]]</f>
        <v>1</v>
      </c>
      <c r="T3773" s="89"/>
      <c r="U3773" s="26"/>
    </row>
    <row r="3774" spans="1:27" hidden="1" x14ac:dyDescent="0.25">
      <c r="A3774">
        <v>690603</v>
      </c>
      <c r="B3774" t="s">
        <v>4151</v>
      </c>
      <c r="C3774" t="s">
        <v>8979</v>
      </c>
      <c r="D3774">
        <v>1</v>
      </c>
      <c r="E3774" t="s">
        <v>4151</v>
      </c>
      <c r="G3774" s="3"/>
      <c r="H3774" s="21">
        <v>0</v>
      </c>
      <c r="I3774" s="21">
        <v>0</v>
      </c>
      <c r="J3774" s="21">
        <v>0</v>
      </c>
      <c r="K3774" s="21">
        <v>0</v>
      </c>
      <c r="L3774" s="3">
        <f t="shared" si="164"/>
        <v>0</v>
      </c>
      <c r="M3774" s="3"/>
      <c r="N3774" s="3">
        <f t="shared" si="163"/>
        <v>0</v>
      </c>
      <c r="R3774" s="89"/>
      <c r="S3774" s="89">
        <f>100%-Table34[[#This Row],[PDF_initial fee]]</f>
        <v>1</v>
      </c>
      <c r="T3774" s="89"/>
      <c r="U3774" s="26"/>
    </row>
    <row r="3775" spans="1:27" hidden="1" x14ac:dyDescent="0.25">
      <c r="A3775">
        <v>690631</v>
      </c>
      <c r="B3775" t="s">
        <v>4152</v>
      </c>
      <c r="C3775" t="s">
        <v>6958</v>
      </c>
      <c r="D3775">
        <v>1</v>
      </c>
      <c r="E3775" t="s">
        <v>4152</v>
      </c>
      <c r="F3775" t="s">
        <v>6958</v>
      </c>
      <c r="G3775" s="3"/>
      <c r="H3775" s="21">
        <v>0</v>
      </c>
      <c r="I3775" s="21">
        <v>0</v>
      </c>
      <c r="J3775" s="21">
        <v>0</v>
      </c>
      <c r="K3775" s="21">
        <v>0</v>
      </c>
      <c r="L3775" s="3">
        <f t="shared" si="164"/>
        <v>0</v>
      </c>
      <c r="M3775" s="3"/>
      <c r="N3775" s="3">
        <f t="shared" si="163"/>
        <v>0</v>
      </c>
      <c r="R3775" s="89"/>
      <c r="S3775" s="89">
        <f>100%-Table34[[#This Row],[PDF_initial fee]]</f>
        <v>1</v>
      </c>
      <c r="T3775" s="89"/>
      <c r="U3775" s="26"/>
    </row>
    <row r="3776" spans="1:27" x14ac:dyDescent="0.25">
      <c r="A3776">
        <v>445967</v>
      </c>
      <c r="B3776" t="s">
        <v>165</v>
      </c>
      <c r="C3776" t="s">
        <v>10615</v>
      </c>
      <c r="D3776">
        <v>1</v>
      </c>
      <c r="E3776" t="s">
        <v>165</v>
      </c>
      <c r="F3776" t="s">
        <v>3</v>
      </c>
      <c r="G3776" s="3">
        <v>1.4E-3</v>
      </c>
      <c r="H3776" s="3">
        <v>0.03</v>
      </c>
      <c r="I3776" s="3">
        <v>5.0000000000000001E-3</v>
      </c>
      <c r="J3776" s="6"/>
      <c r="K3776" s="6"/>
      <c r="L3776" s="3">
        <f t="shared" si="164"/>
        <v>3.4999999999999996E-2</v>
      </c>
      <c r="M3776" s="3"/>
      <c r="N3776" s="3">
        <f t="shared" si="163"/>
        <v>3.6399999999999995E-2</v>
      </c>
      <c r="P3776" s="31" t="s">
        <v>30798</v>
      </c>
      <c r="Q3776" t="s">
        <v>31787</v>
      </c>
      <c r="R3776" s="89">
        <v>0.33333333333333348</v>
      </c>
      <c r="S3776" s="89">
        <f>100%-Table34[[#This Row],[InitialFee]]</f>
        <v>0.97</v>
      </c>
      <c r="T3776" s="89">
        <f>(1-Table34[[#This Row],[OngoingFee (plus Platform fee)]])^5</f>
        <v>0.97524875312187509</v>
      </c>
      <c r="U3776" s="26">
        <f>(1+Table34[[#This Row],[Net 5yrs return (mostly up to 28th of Feb 2026)]])*Table34[[#This Row],[Investment after initial charge]]*Table34[[#This Row],[Cummulative 5yrs ongoing advice charge]]-1</f>
        <v>0.26132172070429194</v>
      </c>
      <c r="V3776">
        <f>72759+9743</f>
        <v>82502</v>
      </c>
      <c r="W3776" t="s">
        <v>29051</v>
      </c>
      <c r="X3776" s="9">
        <v>72759</v>
      </c>
      <c r="Y3776" s="30">
        <f>X3776/V3776</f>
        <v>0.88190589319046808</v>
      </c>
      <c r="AA3776" s="1" t="s">
        <v>30806</v>
      </c>
    </row>
    <row r="3777" spans="1:21" hidden="1" x14ac:dyDescent="0.25">
      <c r="A3777">
        <v>692447</v>
      </c>
      <c r="B3777" t="s">
        <v>4153</v>
      </c>
      <c r="C3777" t="s">
        <v>30807</v>
      </c>
      <c r="D3777">
        <v>0</v>
      </c>
      <c r="E3777" t="s">
        <v>4153</v>
      </c>
      <c r="F3777" t="s">
        <v>29136</v>
      </c>
      <c r="G3777" s="3"/>
      <c r="H3777" s="21">
        <v>0</v>
      </c>
      <c r="I3777" s="21">
        <v>0</v>
      </c>
      <c r="J3777" s="21">
        <v>0</v>
      </c>
      <c r="K3777" s="21">
        <v>0</v>
      </c>
      <c r="L3777" s="3">
        <f t="shared" si="164"/>
        <v>0</v>
      </c>
      <c r="M3777" s="3"/>
      <c r="N3777" s="3">
        <f t="shared" si="163"/>
        <v>0</v>
      </c>
      <c r="O3777" s="21"/>
      <c r="R3777" s="89"/>
      <c r="S3777" s="89">
        <f>100%-Table34[[#This Row],[PDF_initial fee]]</f>
        <v>1</v>
      </c>
      <c r="T3777" s="89"/>
      <c r="U3777" s="26"/>
    </row>
    <row r="3778" spans="1:21" hidden="1" x14ac:dyDescent="0.25">
      <c r="A3778">
        <v>692552</v>
      </c>
      <c r="B3778" t="s">
        <v>4154</v>
      </c>
      <c r="C3778" t="s">
        <v>30808</v>
      </c>
      <c r="D3778">
        <v>4</v>
      </c>
      <c r="E3778" t="s">
        <v>4154</v>
      </c>
      <c r="G3778" s="3"/>
      <c r="H3778" s="3">
        <v>0</v>
      </c>
      <c r="I3778" s="3">
        <v>0</v>
      </c>
      <c r="J3778" s="3">
        <v>0</v>
      </c>
      <c r="K3778" s="3">
        <v>0</v>
      </c>
      <c r="L3778" s="3">
        <f t="shared" si="164"/>
        <v>0</v>
      </c>
      <c r="M3778" s="3"/>
      <c r="N3778" s="3">
        <f t="shared" si="163"/>
        <v>0</v>
      </c>
      <c r="R3778" s="89"/>
      <c r="S3778" s="89">
        <f>100%-Table34[[#This Row],[PDF_initial fee]]</f>
        <v>1</v>
      </c>
      <c r="T3778" s="89"/>
      <c r="U3778" s="26"/>
    </row>
    <row r="3779" spans="1:21" hidden="1" x14ac:dyDescent="0.25">
      <c r="A3779">
        <v>692645</v>
      </c>
      <c r="B3779" t="s">
        <v>4155</v>
      </c>
      <c r="C3779" t="s">
        <v>9536</v>
      </c>
      <c r="D3779">
        <v>1</v>
      </c>
      <c r="E3779" t="s">
        <v>4155</v>
      </c>
      <c r="G3779" s="3"/>
      <c r="H3779" s="3">
        <v>0</v>
      </c>
      <c r="I3779" s="3">
        <v>0</v>
      </c>
      <c r="J3779" s="3">
        <v>0</v>
      </c>
      <c r="K3779" s="3">
        <v>0</v>
      </c>
      <c r="L3779" s="3">
        <f t="shared" si="164"/>
        <v>0</v>
      </c>
      <c r="M3779" s="3"/>
      <c r="N3779" s="3">
        <f t="shared" si="163"/>
        <v>0</v>
      </c>
      <c r="R3779" s="89"/>
      <c r="S3779" s="89">
        <f>100%-Table34[[#This Row],[PDF_initial fee]]</f>
        <v>1</v>
      </c>
      <c r="T3779" s="89"/>
      <c r="U3779" s="26"/>
    </row>
    <row r="3780" spans="1:21" hidden="1" x14ac:dyDescent="0.25">
      <c r="A3780">
        <v>694856</v>
      </c>
      <c r="B3780" t="s">
        <v>4156</v>
      </c>
      <c r="C3780" t="s">
        <v>7420</v>
      </c>
      <c r="D3780">
        <v>3</v>
      </c>
      <c r="E3780" t="s">
        <v>4156</v>
      </c>
      <c r="G3780" s="3"/>
      <c r="H3780" s="21">
        <v>0</v>
      </c>
      <c r="I3780" s="21">
        <v>0</v>
      </c>
      <c r="J3780" s="21">
        <v>0</v>
      </c>
      <c r="K3780" s="21">
        <v>0</v>
      </c>
      <c r="L3780" s="3">
        <f t="shared" si="164"/>
        <v>0</v>
      </c>
      <c r="M3780" s="3"/>
      <c r="N3780" s="3">
        <f t="shared" si="163"/>
        <v>0</v>
      </c>
      <c r="R3780" s="89"/>
      <c r="S3780" s="89">
        <f>100%-Table34[[#This Row],[PDF_initial fee]]</f>
        <v>1</v>
      </c>
      <c r="T3780" s="89"/>
      <c r="U3780" s="26"/>
    </row>
    <row r="3781" spans="1:21" hidden="1" x14ac:dyDescent="0.25">
      <c r="A3781">
        <v>694976</v>
      </c>
      <c r="B3781" t="s">
        <v>4157</v>
      </c>
      <c r="C3781" t="s">
        <v>6958</v>
      </c>
      <c r="D3781">
        <v>4</v>
      </c>
      <c r="E3781" t="s">
        <v>4157</v>
      </c>
      <c r="F3781" t="s">
        <v>6958</v>
      </c>
      <c r="G3781" s="3"/>
      <c r="H3781" s="21">
        <v>0</v>
      </c>
      <c r="I3781" s="21">
        <v>0</v>
      </c>
      <c r="J3781" s="21">
        <v>0</v>
      </c>
      <c r="K3781" s="21">
        <v>0</v>
      </c>
      <c r="L3781" s="3">
        <f t="shared" si="164"/>
        <v>0</v>
      </c>
      <c r="M3781" s="3"/>
      <c r="N3781" s="3">
        <f t="shared" si="163"/>
        <v>0</v>
      </c>
      <c r="R3781" s="89"/>
      <c r="S3781" s="89">
        <f>100%-Table34[[#This Row],[PDF_initial fee]]</f>
        <v>1</v>
      </c>
      <c r="T3781" s="89"/>
      <c r="U3781" s="26"/>
    </row>
    <row r="3782" spans="1:21" hidden="1" x14ac:dyDescent="0.25">
      <c r="A3782">
        <v>696226</v>
      </c>
      <c r="B3782" t="s">
        <v>4158</v>
      </c>
      <c r="C3782" t="s">
        <v>10344</v>
      </c>
      <c r="D3782">
        <v>11</v>
      </c>
      <c r="E3782" t="s">
        <v>4158</v>
      </c>
      <c r="G3782" s="3"/>
      <c r="H3782" s="3">
        <v>0</v>
      </c>
      <c r="I3782" s="3">
        <v>0</v>
      </c>
      <c r="J3782" s="3">
        <v>0</v>
      </c>
      <c r="K3782" s="3">
        <v>0</v>
      </c>
      <c r="L3782" s="3">
        <f t="shared" si="164"/>
        <v>0</v>
      </c>
      <c r="M3782" s="3"/>
      <c r="N3782" s="3">
        <f t="shared" si="163"/>
        <v>0</v>
      </c>
      <c r="R3782" s="89"/>
      <c r="S3782" s="89">
        <f>100%-Table34[[#This Row],[PDF_initial fee]]</f>
        <v>1</v>
      </c>
      <c r="T3782" s="89"/>
      <c r="U3782" s="26"/>
    </row>
    <row r="3783" spans="1:21" hidden="1" x14ac:dyDescent="0.25">
      <c r="A3783">
        <v>697369</v>
      </c>
      <c r="B3783" t="s">
        <v>4159</v>
      </c>
      <c r="C3783" t="s">
        <v>6958</v>
      </c>
      <c r="D3783">
        <v>1</v>
      </c>
      <c r="E3783" t="s">
        <v>4159</v>
      </c>
      <c r="F3783" t="s">
        <v>6958</v>
      </c>
      <c r="G3783" s="3"/>
      <c r="H3783" s="21">
        <v>0</v>
      </c>
      <c r="I3783" s="21">
        <v>0</v>
      </c>
      <c r="J3783" s="21">
        <v>0</v>
      </c>
      <c r="K3783" s="21">
        <v>0</v>
      </c>
      <c r="L3783" s="3">
        <f t="shared" si="164"/>
        <v>0</v>
      </c>
      <c r="M3783" s="3"/>
      <c r="N3783" s="3">
        <f t="shared" si="163"/>
        <v>0</v>
      </c>
      <c r="R3783" s="89"/>
      <c r="S3783" s="89">
        <f>100%-Table34[[#This Row],[PDF_initial fee]]</f>
        <v>1</v>
      </c>
      <c r="T3783" s="89"/>
      <c r="U3783" s="26"/>
    </row>
    <row r="3784" spans="1:21" hidden="1" x14ac:dyDescent="0.25">
      <c r="A3784">
        <v>697372</v>
      </c>
      <c r="B3784" t="s">
        <v>4160</v>
      </c>
      <c r="C3784" t="s">
        <v>12509</v>
      </c>
      <c r="D3784">
        <v>3</v>
      </c>
      <c r="E3784" t="s">
        <v>4160</v>
      </c>
      <c r="G3784" s="3"/>
      <c r="H3784" s="3">
        <v>0</v>
      </c>
      <c r="I3784" s="3">
        <v>0</v>
      </c>
      <c r="J3784" s="3">
        <v>0</v>
      </c>
      <c r="K3784" s="3">
        <v>0</v>
      </c>
      <c r="L3784" s="3">
        <f t="shared" si="164"/>
        <v>0</v>
      </c>
      <c r="M3784" s="3"/>
      <c r="N3784" s="3">
        <f t="shared" si="163"/>
        <v>0</v>
      </c>
      <c r="R3784" s="89"/>
      <c r="S3784" s="89">
        <f>100%-Table34[[#This Row],[PDF_initial fee]]</f>
        <v>1</v>
      </c>
      <c r="T3784" s="89"/>
      <c r="U3784" s="26"/>
    </row>
    <row r="3785" spans="1:21" hidden="1" x14ac:dyDescent="0.25">
      <c r="A3785">
        <v>697398</v>
      </c>
      <c r="B3785" t="s">
        <v>4161</v>
      </c>
      <c r="C3785" t="s">
        <v>6958</v>
      </c>
      <c r="D3785">
        <v>3</v>
      </c>
      <c r="E3785" t="s">
        <v>4161</v>
      </c>
      <c r="F3785" t="s">
        <v>6958</v>
      </c>
      <c r="G3785" s="3"/>
      <c r="H3785" s="21">
        <v>0</v>
      </c>
      <c r="I3785" s="21">
        <v>0</v>
      </c>
      <c r="J3785" s="21">
        <v>0</v>
      </c>
      <c r="K3785" s="21">
        <v>0</v>
      </c>
      <c r="L3785" s="3">
        <f t="shared" si="164"/>
        <v>0</v>
      </c>
      <c r="M3785" s="3"/>
      <c r="N3785" s="3">
        <f t="shared" si="163"/>
        <v>0</v>
      </c>
      <c r="R3785" s="89"/>
      <c r="S3785" s="89">
        <f>100%-Table34[[#This Row],[PDF_initial fee]]</f>
        <v>1</v>
      </c>
      <c r="T3785" s="89"/>
      <c r="U3785" s="26"/>
    </row>
    <row r="3786" spans="1:21" hidden="1" x14ac:dyDescent="0.25">
      <c r="A3786">
        <v>697420</v>
      </c>
      <c r="B3786" t="s">
        <v>4162</v>
      </c>
      <c r="C3786" t="s">
        <v>6958</v>
      </c>
      <c r="D3786">
        <v>2</v>
      </c>
      <c r="E3786" t="s">
        <v>4162</v>
      </c>
      <c r="F3786" t="s">
        <v>6958</v>
      </c>
      <c r="G3786" s="3"/>
      <c r="H3786" s="21">
        <v>0</v>
      </c>
      <c r="I3786" s="21">
        <v>0</v>
      </c>
      <c r="J3786" s="21">
        <v>0</v>
      </c>
      <c r="K3786" s="21">
        <v>0</v>
      </c>
      <c r="L3786" s="3">
        <f t="shared" si="164"/>
        <v>0</v>
      </c>
      <c r="M3786" s="3"/>
      <c r="N3786" s="3">
        <f t="shared" si="163"/>
        <v>0</v>
      </c>
      <c r="R3786" s="89"/>
      <c r="S3786" s="89">
        <f>100%-Table34[[#This Row],[PDF_initial fee]]</f>
        <v>1</v>
      </c>
      <c r="T3786" s="89"/>
      <c r="U3786" s="26"/>
    </row>
    <row r="3787" spans="1:21" hidden="1" x14ac:dyDescent="0.25">
      <c r="A3787">
        <v>697452</v>
      </c>
      <c r="B3787" t="s">
        <v>4163</v>
      </c>
      <c r="C3787" t="s">
        <v>8516</v>
      </c>
      <c r="D3787">
        <v>2</v>
      </c>
      <c r="E3787" t="s">
        <v>4163</v>
      </c>
      <c r="G3787" s="3"/>
      <c r="H3787" s="21">
        <v>0</v>
      </c>
      <c r="I3787" s="21">
        <v>0</v>
      </c>
      <c r="J3787" s="21">
        <v>0</v>
      </c>
      <c r="K3787" s="21">
        <v>0</v>
      </c>
      <c r="L3787" s="3">
        <f t="shared" si="164"/>
        <v>0</v>
      </c>
      <c r="M3787" s="3"/>
      <c r="N3787" s="3">
        <f t="shared" si="163"/>
        <v>0</v>
      </c>
      <c r="R3787" s="89"/>
      <c r="S3787" s="89">
        <f>100%-Table34[[#This Row],[PDF_initial fee]]</f>
        <v>1</v>
      </c>
      <c r="T3787" s="89"/>
      <c r="U3787" s="26"/>
    </row>
    <row r="3788" spans="1:21" hidden="1" x14ac:dyDescent="0.25">
      <c r="A3788">
        <v>697491</v>
      </c>
      <c r="B3788" t="s">
        <v>4164</v>
      </c>
      <c r="C3788" t="s">
        <v>9259</v>
      </c>
      <c r="D3788">
        <v>1</v>
      </c>
      <c r="E3788" t="s">
        <v>4164</v>
      </c>
      <c r="G3788" s="3"/>
      <c r="H3788" s="21">
        <v>0</v>
      </c>
      <c r="I3788" s="21">
        <v>0</v>
      </c>
      <c r="J3788" s="21">
        <v>0</v>
      </c>
      <c r="K3788" s="21">
        <v>0</v>
      </c>
      <c r="L3788" s="3">
        <f t="shared" si="164"/>
        <v>0</v>
      </c>
      <c r="M3788" s="3"/>
      <c r="N3788" s="3">
        <f t="shared" si="163"/>
        <v>0</v>
      </c>
      <c r="R3788" s="89"/>
      <c r="S3788" s="89">
        <f>100%-Table34[[#This Row],[PDF_initial fee]]</f>
        <v>1</v>
      </c>
      <c r="T3788" s="89"/>
      <c r="U3788" s="26"/>
    </row>
    <row r="3789" spans="1:21" hidden="1" x14ac:dyDescent="0.25">
      <c r="A3789">
        <v>697885</v>
      </c>
      <c r="B3789" t="s">
        <v>4165</v>
      </c>
      <c r="C3789" t="s">
        <v>6958</v>
      </c>
      <c r="D3789">
        <v>1</v>
      </c>
      <c r="E3789" t="s">
        <v>4165</v>
      </c>
      <c r="F3789" t="s">
        <v>6958</v>
      </c>
      <c r="G3789" s="3"/>
      <c r="H3789" s="21">
        <v>0</v>
      </c>
      <c r="I3789" s="21">
        <v>0</v>
      </c>
      <c r="J3789" s="21">
        <v>0</v>
      </c>
      <c r="K3789" s="21">
        <v>0</v>
      </c>
      <c r="L3789" s="3">
        <f t="shared" si="164"/>
        <v>0</v>
      </c>
      <c r="M3789" s="3"/>
      <c r="N3789" s="3">
        <f t="shared" si="163"/>
        <v>0</v>
      </c>
      <c r="R3789" s="89"/>
      <c r="S3789" s="89">
        <f>100%-Table34[[#This Row],[PDF_initial fee]]</f>
        <v>1</v>
      </c>
      <c r="T3789" s="89"/>
      <c r="U3789" s="26"/>
    </row>
    <row r="3790" spans="1:21" hidden="1" x14ac:dyDescent="0.25">
      <c r="A3790">
        <v>698342</v>
      </c>
      <c r="B3790" t="s">
        <v>4166</v>
      </c>
      <c r="C3790" t="s">
        <v>30809</v>
      </c>
      <c r="D3790">
        <v>1</v>
      </c>
      <c r="E3790" t="s">
        <v>4166</v>
      </c>
      <c r="G3790" s="3"/>
      <c r="H3790" s="3">
        <v>0</v>
      </c>
      <c r="I3790" s="3">
        <v>0</v>
      </c>
      <c r="J3790" s="3">
        <v>0</v>
      </c>
      <c r="K3790" s="3">
        <v>0</v>
      </c>
      <c r="L3790" s="3">
        <f t="shared" si="164"/>
        <v>0</v>
      </c>
      <c r="M3790" s="3"/>
      <c r="N3790" s="3">
        <f t="shared" si="163"/>
        <v>0</v>
      </c>
      <c r="R3790" s="89"/>
      <c r="S3790" s="89">
        <f>100%-Table34[[#This Row],[PDF_initial fee]]</f>
        <v>1</v>
      </c>
      <c r="T3790" s="89"/>
      <c r="U3790" s="26"/>
    </row>
    <row r="3791" spans="1:21" hidden="1" x14ac:dyDescent="0.25">
      <c r="A3791">
        <v>700077</v>
      </c>
      <c r="B3791" t="s">
        <v>4167</v>
      </c>
      <c r="C3791" t="s">
        <v>6958</v>
      </c>
      <c r="D3791">
        <v>3</v>
      </c>
      <c r="E3791" t="s">
        <v>4167</v>
      </c>
      <c r="F3791" t="s">
        <v>6958</v>
      </c>
      <c r="G3791" s="3"/>
      <c r="H3791" s="21">
        <v>0</v>
      </c>
      <c r="I3791" s="21">
        <v>0</v>
      </c>
      <c r="J3791" s="21">
        <v>0</v>
      </c>
      <c r="K3791" s="21">
        <v>0</v>
      </c>
      <c r="L3791" s="3">
        <f t="shared" si="164"/>
        <v>0</v>
      </c>
      <c r="M3791" s="3"/>
      <c r="N3791" s="3">
        <f t="shared" si="163"/>
        <v>0</v>
      </c>
      <c r="R3791" s="89"/>
      <c r="S3791" s="89">
        <f>100%-Table34[[#This Row],[PDF_initial fee]]</f>
        <v>1</v>
      </c>
      <c r="T3791" s="89"/>
      <c r="U3791" s="26"/>
    </row>
    <row r="3792" spans="1:21" hidden="1" x14ac:dyDescent="0.25">
      <c r="A3792">
        <v>702579</v>
      </c>
      <c r="B3792" t="s">
        <v>4168</v>
      </c>
      <c r="C3792" t="s">
        <v>8467</v>
      </c>
      <c r="D3792">
        <v>3</v>
      </c>
      <c r="E3792" t="s">
        <v>4168</v>
      </c>
      <c r="G3792" s="3"/>
      <c r="H3792" s="21">
        <v>0</v>
      </c>
      <c r="I3792" s="21">
        <v>0</v>
      </c>
      <c r="J3792" s="21">
        <v>0</v>
      </c>
      <c r="K3792" s="21">
        <v>0</v>
      </c>
      <c r="L3792" s="3">
        <f t="shared" si="164"/>
        <v>0</v>
      </c>
      <c r="M3792" s="3"/>
      <c r="N3792" s="3">
        <f t="shared" si="163"/>
        <v>0</v>
      </c>
      <c r="R3792" s="89"/>
      <c r="S3792" s="89">
        <f>100%-Table34[[#This Row],[PDF_initial fee]]</f>
        <v>1</v>
      </c>
      <c r="T3792" s="89"/>
      <c r="U3792" s="26"/>
    </row>
    <row r="3793" spans="1:21" hidden="1" x14ac:dyDescent="0.25">
      <c r="A3793">
        <v>702709</v>
      </c>
      <c r="B3793" t="s">
        <v>4169</v>
      </c>
      <c r="C3793" t="s">
        <v>9683</v>
      </c>
      <c r="D3793">
        <v>1</v>
      </c>
      <c r="E3793" t="s">
        <v>4169</v>
      </c>
      <c r="G3793" s="3"/>
      <c r="H3793" s="3">
        <v>0</v>
      </c>
      <c r="I3793" s="3">
        <v>0</v>
      </c>
      <c r="J3793" s="3">
        <v>0</v>
      </c>
      <c r="K3793" s="3">
        <v>0</v>
      </c>
      <c r="L3793" s="3">
        <f t="shared" si="164"/>
        <v>0</v>
      </c>
      <c r="M3793" s="3"/>
      <c r="N3793" s="3">
        <f t="shared" si="163"/>
        <v>0</v>
      </c>
      <c r="R3793" s="89"/>
      <c r="S3793" s="89">
        <f>100%-Table34[[#This Row],[PDF_initial fee]]</f>
        <v>1</v>
      </c>
      <c r="T3793" s="89"/>
      <c r="U3793" s="26"/>
    </row>
    <row r="3794" spans="1:21" hidden="1" x14ac:dyDescent="0.25">
      <c r="A3794">
        <v>702710</v>
      </c>
      <c r="B3794" t="s">
        <v>4170</v>
      </c>
      <c r="C3794" t="s">
        <v>7786</v>
      </c>
      <c r="D3794">
        <v>1</v>
      </c>
      <c r="E3794" t="s">
        <v>4170</v>
      </c>
      <c r="G3794" s="3"/>
      <c r="H3794" s="21">
        <v>0</v>
      </c>
      <c r="I3794" s="21">
        <v>0</v>
      </c>
      <c r="J3794" s="21">
        <v>0</v>
      </c>
      <c r="K3794" s="21">
        <v>0</v>
      </c>
      <c r="L3794" s="3">
        <f t="shared" si="164"/>
        <v>0</v>
      </c>
      <c r="M3794" s="3"/>
      <c r="N3794" s="3">
        <f t="shared" si="163"/>
        <v>0</v>
      </c>
      <c r="R3794" s="89"/>
      <c r="S3794" s="89">
        <f>100%-Table34[[#This Row],[PDF_initial fee]]</f>
        <v>1</v>
      </c>
      <c r="T3794" s="89"/>
      <c r="U3794" s="26"/>
    </row>
    <row r="3795" spans="1:21" hidden="1" x14ac:dyDescent="0.25">
      <c r="A3795">
        <v>703508</v>
      </c>
      <c r="B3795" t="s">
        <v>4172</v>
      </c>
      <c r="C3795" t="s">
        <v>30810</v>
      </c>
      <c r="D3795">
        <v>7</v>
      </c>
      <c r="E3795" t="s">
        <v>4172</v>
      </c>
      <c r="G3795" s="3"/>
      <c r="H3795" s="3">
        <v>0</v>
      </c>
      <c r="I3795" s="3">
        <v>0</v>
      </c>
      <c r="J3795" s="3">
        <v>0</v>
      </c>
      <c r="K3795" s="3">
        <v>0</v>
      </c>
      <c r="L3795" s="3">
        <f t="shared" si="164"/>
        <v>0</v>
      </c>
      <c r="M3795" s="3"/>
      <c r="N3795" s="3">
        <f t="shared" si="163"/>
        <v>0</v>
      </c>
      <c r="R3795" s="89"/>
      <c r="S3795" s="89">
        <f>100%-Table34[[#This Row],[PDF_initial fee]]</f>
        <v>1</v>
      </c>
      <c r="T3795" s="89"/>
      <c r="U3795" s="26"/>
    </row>
    <row r="3796" spans="1:21" hidden="1" x14ac:dyDescent="0.25">
      <c r="A3796">
        <v>705061</v>
      </c>
      <c r="B3796" t="s">
        <v>4173</v>
      </c>
      <c r="C3796" t="s">
        <v>8985</v>
      </c>
      <c r="D3796">
        <v>1</v>
      </c>
      <c r="E3796" t="s">
        <v>4173</v>
      </c>
      <c r="G3796" s="3"/>
      <c r="L3796" s="3">
        <f t="shared" si="164"/>
        <v>0</v>
      </c>
      <c r="M3796" s="3"/>
      <c r="N3796" s="3">
        <f t="shared" si="163"/>
        <v>0</v>
      </c>
      <c r="R3796" s="89"/>
      <c r="S3796" s="89">
        <f>100%-Table34[[#This Row],[PDF_initial fee]]</f>
        <v>1</v>
      </c>
      <c r="T3796" s="89"/>
      <c r="U3796" s="26"/>
    </row>
    <row r="3797" spans="1:21" hidden="1" x14ac:dyDescent="0.25">
      <c r="A3797">
        <v>705072</v>
      </c>
      <c r="B3797" t="s">
        <v>4174</v>
      </c>
      <c r="C3797" t="s">
        <v>12472</v>
      </c>
      <c r="D3797">
        <v>1</v>
      </c>
      <c r="E3797" t="s">
        <v>4174</v>
      </c>
      <c r="G3797" s="3"/>
      <c r="H3797" s="3">
        <v>0</v>
      </c>
      <c r="I3797" s="3">
        <v>0</v>
      </c>
      <c r="J3797" s="3">
        <v>0</v>
      </c>
      <c r="K3797" s="3">
        <v>0</v>
      </c>
      <c r="L3797" s="3">
        <f t="shared" si="164"/>
        <v>0</v>
      </c>
      <c r="M3797" s="3"/>
      <c r="N3797" s="3">
        <f t="shared" si="163"/>
        <v>0</v>
      </c>
      <c r="R3797" s="89"/>
      <c r="S3797" s="89">
        <f>100%-Table34[[#This Row],[PDF_initial fee]]</f>
        <v>1</v>
      </c>
      <c r="T3797" s="89"/>
      <c r="U3797" s="26"/>
    </row>
    <row r="3798" spans="1:21" hidden="1" x14ac:dyDescent="0.25">
      <c r="A3798">
        <v>705110</v>
      </c>
      <c r="B3798" t="s">
        <v>4175</v>
      </c>
      <c r="C3798" t="s">
        <v>12661</v>
      </c>
      <c r="D3798">
        <v>1</v>
      </c>
      <c r="E3798" t="s">
        <v>4175</v>
      </c>
      <c r="G3798" s="3"/>
      <c r="H3798" s="3"/>
      <c r="I3798" s="3"/>
      <c r="J3798" s="3"/>
      <c r="K3798" s="3"/>
      <c r="L3798" s="3">
        <f t="shared" si="164"/>
        <v>0</v>
      </c>
      <c r="M3798" s="3"/>
      <c r="N3798" s="3">
        <f t="shared" si="163"/>
        <v>0</v>
      </c>
      <c r="R3798" s="89"/>
      <c r="S3798" s="89">
        <f>100%-Table34[[#This Row],[PDF_initial fee]]</f>
        <v>1</v>
      </c>
      <c r="T3798" s="89"/>
      <c r="U3798" s="26"/>
    </row>
    <row r="3799" spans="1:21" hidden="1" x14ac:dyDescent="0.25">
      <c r="A3799">
        <v>705132</v>
      </c>
      <c r="B3799" t="s">
        <v>4176</v>
      </c>
      <c r="C3799" t="s">
        <v>30811</v>
      </c>
      <c r="D3799">
        <v>12</v>
      </c>
      <c r="E3799" t="s">
        <v>4176</v>
      </c>
      <c r="G3799" s="3"/>
      <c r="H3799" s="3">
        <v>0</v>
      </c>
      <c r="I3799" s="3">
        <v>0</v>
      </c>
      <c r="J3799" s="3">
        <v>0</v>
      </c>
      <c r="K3799" s="3">
        <v>0</v>
      </c>
      <c r="L3799" s="3">
        <f t="shared" si="164"/>
        <v>0</v>
      </c>
      <c r="M3799" s="3"/>
      <c r="N3799" s="3">
        <f t="shared" si="163"/>
        <v>0</v>
      </c>
      <c r="R3799" s="89"/>
      <c r="S3799" s="89">
        <f>100%-Table34[[#This Row],[PDF_initial fee]]</f>
        <v>1</v>
      </c>
      <c r="T3799" s="89"/>
      <c r="U3799" s="26"/>
    </row>
    <row r="3800" spans="1:21" hidden="1" x14ac:dyDescent="0.25">
      <c r="A3800">
        <v>705150</v>
      </c>
      <c r="B3800" t="s">
        <v>4177</v>
      </c>
      <c r="C3800" t="s">
        <v>10824</v>
      </c>
      <c r="D3800">
        <v>1</v>
      </c>
      <c r="E3800" t="s">
        <v>4177</v>
      </c>
      <c r="G3800" s="3"/>
      <c r="H3800" s="3">
        <v>0</v>
      </c>
      <c r="I3800" s="3">
        <v>0</v>
      </c>
      <c r="J3800" s="3">
        <v>0</v>
      </c>
      <c r="K3800" s="3">
        <v>0</v>
      </c>
      <c r="L3800" s="3">
        <f t="shared" si="164"/>
        <v>0</v>
      </c>
      <c r="M3800" s="3"/>
      <c r="N3800" s="3">
        <f t="shared" si="163"/>
        <v>0</v>
      </c>
      <c r="R3800" s="89"/>
      <c r="S3800" s="89">
        <f>100%-Table34[[#This Row],[PDF_initial fee]]</f>
        <v>1</v>
      </c>
      <c r="T3800" s="89"/>
      <c r="U3800" s="26"/>
    </row>
    <row r="3801" spans="1:21" hidden="1" x14ac:dyDescent="0.25">
      <c r="A3801">
        <v>705566</v>
      </c>
      <c r="B3801" t="s">
        <v>4178</v>
      </c>
      <c r="C3801" t="s">
        <v>7457</v>
      </c>
      <c r="D3801">
        <v>1</v>
      </c>
      <c r="E3801" t="s">
        <v>4178</v>
      </c>
      <c r="G3801" s="3"/>
      <c r="H3801" s="21">
        <v>0</v>
      </c>
      <c r="I3801" s="21">
        <v>0</v>
      </c>
      <c r="J3801" s="21">
        <v>0</v>
      </c>
      <c r="K3801" s="21">
        <v>0</v>
      </c>
      <c r="L3801" s="3">
        <f t="shared" si="164"/>
        <v>0</v>
      </c>
      <c r="M3801" s="3"/>
      <c r="N3801" s="3">
        <f t="shared" si="163"/>
        <v>0</v>
      </c>
      <c r="R3801" s="89"/>
      <c r="S3801" s="89">
        <f>100%-Table34[[#This Row],[PDF_initial fee]]</f>
        <v>1</v>
      </c>
      <c r="T3801" s="89"/>
      <c r="U3801" s="26"/>
    </row>
    <row r="3802" spans="1:21" hidden="1" x14ac:dyDescent="0.25">
      <c r="A3802">
        <v>705578</v>
      </c>
      <c r="B3802" t="s">
        <v>4179</v>
      </c>
      <c r="C3802" t="s">
        <v>30812</v>
      </c>
      <c r="D3802">
        <v>1</v>
      </c>
      <c r="E3802" t="s">
        <v>4179</v>
      </c>
      <c r="G3802" s="3"/>
      <c r="H3802" s="21">
        <v>0</v>
      </c>
      <c r="I3802" s="21">
        <v>0</v>
      </c>
      <c r="J3802" s="21">
        <v>0</v>
      </c>
      <c r="K3802" s="21">
        <v>0</v>
      </c>
      <c r="L3802" s="3">
        <f t="shared" si="164"/>
        <v>0</v>
      </c>
      <c r="M3802" s="3"/>
      <c r="N3802" s="3">
        <f t="shared" si="163"/>
        <v>0</v>
      </c>
      <c r="O3802" s="21"/>
      <c r="R3802" s="89"/>
      <c r="S3802" s="89">
        <f>100%-Table34[[#This Row],[PDF_initial fee]]</f>
        <v>1</v>
      </c>
      <c r="T3802" s="89"/>
      <c r="U3802" s="26"/>
    </row>
    <row r="3803" spans="1:21" hidden="1" x14ac:dyDescent="0.25">
      <c r="A3803">
        <v>705589</v>
      </c>
      <c r="B3803" t="s">
        <v>4180</v>
      </c>
      <c r="C3803" t="s">
        <v>6958</v>
      </c>
      <c r="D3803">
        <v>1</v>
      </c>
      <c r="E3803" t="s">
        <v>4180</v>
      </c>
      <c r="F3803" t="s">
        <v>6958</v>
      </c>
      <c r="G3803" s="3"/>
      <c r="H3803" s="21">
        <v>0</v>
      </c>
      <c r="I3803" s="21">
        <v>0</v>
      </c>
      <c r="J3803" s="21">
        <v>0</v>
      </c>
      <c r="K3803" s="21">
        <v>0</v>
      </c>
      <c r="L3803" s="3">
        <f t="shared" si="164"/>
        <v>0</v>
      </c>
      <c r="M3803" s="3"/>
      <c r="N3803" s="3">
        <f t="shared" si="163"/>
        <v>0</v>
      </c>
      <c r="R3803" s="89"/>
      <c r="S3803" s="89">
        <f>100%-Table34[[#This Row],[PDF_initial fee]]</f>
        <v>1</v>
      </c>
      <c r="T3803" s="89"/>
      <c r="U3803" s="26"/>
    </row>
    <row r="3804" spans="1:21" hidden="1" x14ac:dyDescent="0.25">
      <c r="A3804">
        <v>705758</v>
      </c>
      <c r="B3804" t="s">
        <v>4182</v>
      </c>
      <c r="C3804" t="s">
        <v>8708</v>
      </c>
      <c r="D3804">
        <v>4</v>
      </c>
      <c r="E3804" t="s">
        <v>4182</v>
      </c>
      <c r="G3804" s="3"/>
      <c r="L3804" s="3">
        <f t="shared" si="164"/>
        <v>0</v>
      </c>
      <c r="M3804" s="3"/>
      <c r="N3804" s="3">
        <f t="shared" si="163"/>
        <v>0</v>
      </c>
      <c r="R3804" s="89"/>
      <c r="S3804" s="89">
        <f>100%-Table34[[#This Row],[PDF_initial fee]]</f>
        <v>1</v>
      </c>
      <c r="T3804" s="89"/>
      <c r="U3804" s="26"/>
    </row>
    <row r="3805" spans="1:21" hidden="1" x14ac:dyDescent="0.25">
      <c r="A3805">
        <v>705772</v>
      </c>
      <c r="B3805" t="s">
        <v>4183</v>
      </c>
      <c r="C3805" t="s">
        <v>6958</v>
      </c>
      <c r="D3805">
        <v>1</v>
      </c>
      <c r="E3805" t="s">
        <v>4183</v>
      </c>
      <c r="F3805" t="s">
        <v>6958</v>
      </c>
      <c r="G3805" s="3"/>
      <c r="H3805" s="21">
        <v>0</v>
      </c>
      <c r="I3805" s="21">
        <v>0</v>
      </c>
      <c r="J3805" s="21">
        <v>0</v>
      </c>
      <c r="K3805" s="21">
        <v>0</v>
      </c>
      <c r="L3805" s="3">
        <f t="shared" si="164"/>
        <v>0</v>
      </c>
      <c r="M3805" s="3"/>
      <c r="N3805" s="3">
        <f t="shared" si="163"/>
        <v>0</v>
      </c>
      <c r="R3805" s="89"/>
      <c r="S3805" s="89">
        <f>100%-Table34[[#This Row],[PDF_initial fee]]</f>
        <v>1</v>
      </c>
      <c r="T3805" s="89"/>
      <c r="U3805" s="26"/>
    </row>
    <row r="3806" spans="1:21" hidden="1" x14ac:dyDescent="0.25">
      <c r="A3806">
        <v>705785</v>
      </c>
      <c r="B3806" t="s">
        <v>4184</v>
      </c>
      <c r="C3806" t="s">
        <v>10927</v>
      </c>
      <c r="D3806">
        <v>2</v>
      </c>
      <c r="E3806" t="s">
        <v>4184</v>
      </c>
      <c r="G3806" s="3"/>
      <c r="H3806" s="3">
        <v>0</v>
      </c>
      <c r="I3806" s="3">
        <v>0</v>
      </c>
      <c r="J3806" s="3">
        <v>0</v>
      </c>
      <c r="K3806" s="3">
        <v>0</v>
      </c>
      <c r="L3806" s="3">
        <f t="shared" si="164"/>
        <v>0</v>
      </c>
      <c r="M3806" s="3"/>
      <c r="N3806" s="3">
        <f t="shared" si="163"/>
        <v>0</v>
      </c>
      <c r="R3806" s="89"/>
      <c r="S3806" s="89">
        <f>100%-Table34[[#This Row],[PDF_initial fee]]</f>
        <v>1</v>
      </c>
      <c r="T3806" s="89"/>
      <c r="U3806" s="26"/>
    </row>
    <row r="3807" spans="1:21" hidden="1" x14ac:dyDescent="0.25">
      <c r="A3807">
        <v>705843</v>
      </c>
      <c r="B3807" t="s">
        <v>4185</v>
      </c>
      <c r="C3807" t="s">
        <v>12531</v>
      </c>
      <c r="D3807">
        <v>1</v>
      </c>
      <c r="E3807" t="s">
        <v>4185</v>
      </c>
      <c r="G3807" s="3"/>
      <c r="H3807" s="3">
        <v>0</v>
      </c>
      <c r="I3807" s="3">
        <v>0</v>
      </c>
      <c r="J3807" s="3">
        <v>0</v>
      </c>
      <c r="K3807" s="3">
        <v>0</v>
      </c>
      <c r="L3807" s="3">
        <f t="shared" si="164"/>
        <v>0</v>
      </c>
      <c r="M3807" s="3"/>
      <c r="N3807" s="3">
        <f t="shared" si="163"/>
        <v>0</v>
      </c>
      <c r="R3807" s="89"/>
      <c r="S3807" s="89">
        <f>100%-Table34[[#This Row],[PDF_initial fee]]</f>
        <v>1</v>
      </c>
      <c r="T3807" s="89"/>
      <c r="U3807" s="26"/>
    </row>
    <row r="3808" spans="1:21" hidden="1" x14ac:dyDescent="0.25">
      <c r="A3808">
        <v>705850</v>
      </c>
      <c r="B3808" t="s">
        <v>4186</v>
      </c>
      <c r="C3808" t="s">
        <v>30813</v>
      </c>
      <c r="D3808">
        <v>1</v>
      </c>
      <c r="E3808" t="s">
        <v>4186</v>
      </c>
      <c r="G3808" s="3"/>
      <c r="H3808" s="3">
        <v>0</v>
      </c>
      <c r="I3808" s="3">
        <v>0</v>
      </c>
      <c r="J3808" s="3">
        <v>0</v>
      </c>
      <c r="K3808" s="3">
        <v>0</v>
      </c>
      <c r="L3808" s="3">
        <f t="shared" si="164"/>
        <v>0</v>
      </c>
      <c r="M3808" s="3"/>
      <c r="N3808" s="3">
        <f t="shared" si="163"/>
        <v>0</v>
      </c>
      <c r="R3808" s="89"/>
      <c r="S3808" s="89">
        <f>100%-Table34[[#This Row],[PDF_initial fee]]</f>
        <v>1</v>
      </c>
      <c r="T3808" s="89"/>
      <c r="U3808" s="26"/>
    </row>
    <row r="3809" spans="1:28" hidden="1" x14ac:dyDescent="0.25">
      <c r="A3809">
        <v>705852</v>
      </c>
      <c r="B3809" t="s">
        <v>4187</v>
      </c>
      <c r="C3809" t="s">
        <v>30814</v>
      </c>
      <c r="D3809">
        <v>1</v>
      </c>
      <c r="E3809" t="s">
        <v>4187</v>
      </c>
      <c r="G3809" s="3"/>
      <c r="H3809" s="3"/>
      <c r="I3809" s="3"/>
      <c r="J3809" s="3"/>
      <c r="K3809" s="3"/>
      <c r="L3809" s="3">
        <f t="shared" si="164"/>
        <v>0</v>
      </c>
      <c r="M3809" s="3"/>
      <c r="N3809" s="3">
        <f t="shared" si="163"/>
        <v>0</v>
      </c>
      <c r="R3809" s="89"/>
      <c r="S3809" s="89">
        <f>100%-Table34[[#This Row],[PDF_initial fee]]</f>
        <v>1</v>
      </c>
      <c r="T3809" s="89"/>
      <c r="U3809" s="26"/>
    </row>
    <row r="3810" spans="1:28" hidden="1" x14ac:dyDescent="0.25">
      <c r="A3810">
        <v>706119</v>
      </c>
      <c r="B3810" t="s">
        <v>4188</v>
      </c>
      <c r="C3810" t="s">
        <v>10957</v>
      </c>
      <c r="D3810">
        <v>1</v>
      </c>
      <c r="E3810" t="s">
        <v>4188</v>
      </c>
      <c r="G3810" s="3"/>
      <c r="H3810" s="3">
        <v>0</v>
      </c>
      <c r="I3810" s="3">
        <v>0</v>
      </c>
      <c r="J3810" s="3">
        <v>0</v>
      </c>
      <c r="K3810" s="3">
        <v>0</v>
      </c>
      <c r="L3810" s="3">
        <f t="shared" si="164"/>
        <v>0</v>
      </c>
      <c r="M3810" s="3"/>
      <c r="N3810" s="3">
        <f t="shared" si="163"/>
        <v>0</v>
      </c>
      <c r="R3810" s="89"/>
      <c r="S3810" s="89">
        <f>100%-Table34[[#This Row],[PDF_initial fee]]</f>
        <v>1</v>
      </c>
      <c r="T3810" s="89"/>
      <c r="U3810" s="26"/>
    </row>
    <row r="3811" spans="1:28" hidden="1" x14ac:dyDescent="0.25">
      <c r="A3811">
        <v>706237</v>
      </c>
      <c r="B3811" t="s">
        <v>4189</v>
      </c>
      <c r="C3811" t="s">
        <v>11468</v>
      </c>
      <c r="D3811">
        <v>1</v>
      </c>
      <c r="E3811" t="s">
        <v>4189</v>
      </c>
      <c r="G3811" s="3"/>
      <c r="H3811" s="3">
        <v>0</v>
      </c>
      <c r="I3811" s="3">
        <v>0</v>
      </c>
      <c r="J3811" s="3">
        <v>0</v>
      </c>
      <c r="K3811" s="3">
        <v>0</v>
      </c>
      <c r="L3811" s="3">
        <f t="shared" si="164"/>
        <v>0</v>
      </c>
      <c r="M3811" s="3"/>
      <c r="N3811" s="3">
        <f t="shared" si="163"/>
        <v>0</v>
      </c>
      <c r="R3811" s="89"/>
      <c r="S3811" s="89">
        <f>100%-Table34[[#This Row],[PDF_initial fee]]</f>
        <v>1</v>
      </c>
      <c r="T3811" s="89"/>
      <c r="U3811" s="26"/>
    </row>
    <row r="3812" spans="1:28" hidden="1" x14ac:dyDescent="0.25">
      <c r="A3812">
        <v>706248</v>
      </c>
      <c r="B3812" t="s">
        <v>4190</v>
      </c>
      <c r="C3812" t="s">
        <v>10390</v>
      </c>
      <c r="D3812">
        <v>1</v>
      </c>
      <c r="E3812" t="s">
        <v>4190</v>
      </c>
      <c r="G3812" s="3"/>
      <c r="H3812" s="3">
        <v>0</v>
      </c>
      <c r="I3812" s="3">
        <v>0</v>
      </c>
      <c r="J3812" s="3">
        <v>0</v>
      </c>
      <c r="K3812" s="3">
        <v>0</v>
      </c>
      <c r="L3812" s="3">
        <f t="shared" si="164"/>
        <v>0</v>
      </c>
      <c r="M3812" s="3"/>
      <c r="N3812" s="3">
        <f t="shared" si="163"/>
        <v>0</v>
      </c>
      <c r="R3812" s="89"/>
      <c r="S3812" s="89">
        <f>100%-Table34[[#This Row],[PDF_initial fee]]</f>
        <v>1</v>
      </c>
      <c r="T3812" s="89"/>
      <c r="U3812" s="26"/>
    </row>
    <row r="3813" spans="1:28" hidden="1" x14ac:dyDescent="0.25">
      <c r="A3813">
        <v>706327</v>
      </c>
      <c r="B3813" t="s">
        <v>4191</v>
      </c>
      <c r="C3813" t="s">
        <v>30815</v>
      </c>
      <c r="D3813">
        <v>1</v>
      </c>
      <c r="E3813" t="s">
        <v>4191</v>
      </c>
      <c r="G3813" s="3"/>
      <c r="H3813" s="3">
        <v>0</v>
      </c>
      <c r="I3813" s="3">
        <v>0</v>
      </c>
      <c r="J3813" s="3">
        <v>0</v>
      </c>
      <c r="K3813" s="3">
        <v>0</v>
      </c>
      <c r="L3813" s="3">
        <f t="shared" si="164"/>
        <v>0</v>
      </c>
      <c r="M3813" s="3"/>
      <c r="N3813" s="3">
        <f t="shared" si="163"/>
        <v>0</v>
      </c>
      <c r="R3813" s="89"/>
      <c r="S3813" s="89">
        <f>100%-Table34[[#This Row],[PDF_initial fee]]</f>
        <v>1</v>
      </c>
      <c r="T3813" s="89"/>
      <c r="U3813" s="26"/>
    </row>
    <row r="3814" spans="1:28" hidden="1" x14ac:dyDescent="0.25">
      <c r="A3814">
        <v>706413</v>
      </c>
      <c r="B3814" t="s">
        <v>4192</v>
      </c>
      <c r="C3814" t="s">
        <v>6958</v>
      </c>
      <c r="D3814">
        <v>1</v>
      </c>
      <c r="E3814" t="s">
        <v>4192</v>
      </c>
      <c r="F3814" t="s">
        <v>6958</v>
      </c>
      <c r="G3814" s="3"/>
      <c r="L3814" s="3">
        <f t="shared" si="164"/>
        <v>0</v>
      </c>
      <c r="M3814" s="3"/>
      <c r="N3814" s="3">
        <f t="shared" si="163"/>
        <v>0</v>
      </c>
      <c r="R3814" s="89"/>
      <c r="S3814" s="89">
        <f>100%-Table34[[#This Row],[PDF_initial fee]]</f>
        <v>1</v>
      </c>
      <c r="T3814" s="89"/>
      <c r="U3814" s="26"/>
    </row>
    <row r="3815" spans="1:28" hidden="1" x14ac:dyDescent="0.25">
      <c r="A3815">
        <v>706509</v>
      </c>
      <c r="B3815" t="s">
        <v>4193</v>
      </c>
      <c r="C3815" t="s">
        <v>9629</v>
      </c>
      <c r="D3815">
        <v>1</v>
      </c>
      <c r="E3815" t="s">
        <v>4193</v>
      </c>
      <c r="G3815" s="3"/>
      <c r="H3815" s="3">
        <v>0</v>
      </c>
      <c r="I3815" s="3">
        <v>0</v>
      </c>
      <c r="J3815" s="3">
        <v>0</v>
      </c>
      <c r="K3815" s="3">
        <v>0</v>
      </c>
      <c r="L3815" s="3">
        <f t="shared" si="164"/>
        <v>0</v>
      </c>
      <c r="M3815" s="3"/>
      <c r="N3815" s="3">
        <f t="shared" si="163"/>
        <v>0</v>
      </c>
      <c r="R3815" s="89"/>
      <c r="S3815" s="89">
        <f>100%-Table34[[#This Row],[PDF_initial fee]]</f>
        <v>1</v>
      </c>
      <c r="T3815" s="89"/>
      <c r="U3815" s="26"/>
    </row>
    <row r="3816" spans="1:28" hidden="1" x14ac:dyDescent="0.25">
      <c r="A3816">
        <v>706520</v>
      </c>
      <c r="B3816" t="s">
        <v>4194</v>
      </c>
      <c r="C3816" t="s">
        <v>7468</v>
      </c>
      <c r="D3816">
        <v>1</v>
      </c>
      <c r="E3816" t="s">
        <v>4194</v>
      </c>
      <c r="G3816" s="3"/>
      <c r="H3816" s="21">
        <v>0</v>
      </c>
      <c r="I3816" s="21">
        <v>0</v>
      </c>
      <c r="J3816" s="21">
        <v>0</v>
      </c>
      <c r="K3816" s="21">
        <v>0</v>
      </c>
      <c r="L3816" s="3">
        <f t="shared" si="164"/>
        <v>0</v>
      </c>
      <c r="M3816" s="3"/>
      <c r="N3816" s="3">
        <f t="shared" si="163"/>
        <v>0</v>
      </c>
      <c r="R3816" s="89"/>
      <c r="S3816" s="89">
        <f>100%-Table34[[#This Row],[PDF_initial fee]]</f>
        <v>1</v>
      </c>
      <c r="T3816" s="89"/>
      <c r="U3816" s="26"/>
    </row>
    <row r="3817" spans="1:28" hidden="1" x14ac:dyDescent="0.25">
      <c r="A3817">
        <v>706535</v>
      </c>
      <c r="B3817" t="s">
        <v>4195</v>
      </c>
      <c r="C3817" t="s">
        <v>7114</v>
      </c>
      <c r="D3817">
        <v>10</v>
      </c>
      <c r="E3817" t="s">
        <v>4195</v>
      </c>
      <c r="G3817" s="3"/>
      <c r="H3817" s="21">
        <v>0</v>
      </c>
      <c r="I3817" s="21">
        <v>0</v>
      </c>
      <c r="J3817" s="21">
        <v>0</v>
      </c>
      <c r="K3817" s="21">
        <v>0</v>
      </c>
      <c r="L3817" s="3">
        <f t="shared" si="164"/>
        <v>0</v>
      </c>
      <c r="M3817" s="3"/>
      <c r="N3817" s="3">
        <f t="shared" si="163"/>
        <v>0</v>
      </c>
      <c r="R3817" s="89"/>
      <c r="S3817" s="89">
        <f>100%-Table34[[#This Row],[PDF_initial fee]]</f>
        <v>1</v>
      </c>
      <c r="T3817" s="89"/>
      <c r="U3817" s="26"/>
    </row>
    <row r="3818" spans="1:28" hidden="1" x14ac:dyDescent="0.25">
      <c r="A3818">
        <v>706656</v>
      </c>
      <c r="B3818" t="s">
        <v>4196</v>
      </c>
      <c r="C3818" t="s">
        <v>9011</v>
      </c>
      <c r="D3818">
        <v>2</v>
      </c>
      <c r="E3818" t="s">
        <v>4196</v>
      </c>
      <c r="G3818" s="3"/>
      <c r="L3818" s="3">
        <f t="shared" si="164"/>
        <v>0</v>
      </c>
      <c r="M3818" s="3"/>
      <c r="N3818" s="3">
        <f t="shared" si="163"/>
        <v>0</v>
      </c>
      <c r="R3818" s="89"/>
      <c r="S3818" s="89">
        <f>100%-Table34[[#This Row],[PDF_initial fee]]</f>
        <v>1</v>
      </c>
      <c r="T3818" s="89"/>
      <c r="U3818" s="26"/>
    </row>
    <row r="3819" spans="1:28" hidden="1" x14ac:dyDescent="0.25">
      <c r="A3819">
        <v>706681</v>
      </c>
      <c r="B3819" t="s">
        <v>4197</v>
      </c>
      <c r="C3819" t="s">
        <v>6958</v>
      </c>
      <c r="D3819">
        <v>1</v>
      </c>
      <c r="E3819" t="s">
        <v>4197</v>
      </c>
      <c r="F3819" t="s">
        <v>6958</v>
      </c>
      <c r="G3819" s="3"/>
      <c r="H3819" s="21">
        <v>0</v>
      </c>
      <c r="I3819" s="21">
        <v>0</v>
      </c>
      <c r="J3819" s="21">
        <v>0</v>
      </c>
      <c r="K3819" s="21">
        <v>0</v>
      </c>
      <c r="L3819" s="3">
        <f t="shared" si="164"/>
        <v>0</v>
      </c>
      <c r="M3819" s="3"/>
      <c r="N3819" s="3">
        <f t="shared" si="163"/>
        <v>0</v>
      </c>
      <c r="R3819" s="89"/>
      <c r="S3819" s="89">
        <f>100%-Table34[[#This Row],[PDF_initial fee]]</f>
        <v>1</v>
      </c>
      <c r="T3819" s="89"/>
      <c r="U3819" s="26"/>
    </row>
    <row r="3820" spans="1:28" hidden="1" x14ac:dyDescent="0.25">
      <c r="A3820">
        <v>706689</v>
      </c>
      <c r="B3820" t="s">
        <v>4198</v>
      </c>
      <c r="C3820" t="s">
        <v>30816</v>
      </c>
      <c r="D3820">
        <v>11</v>
      </c>
      <c r="E3820" t="s">
        <v>4198</v>
      </c>
      <c r="G3820" s="3"/>
      <c r="H3820" s="21">
        <v>0</v>
      </c>
      <c r="I3820" s="21">
        <v>0</v>
      </c>
      <c r="J3820" s="21">
        <v>0</v>
      </c>
      <c r="K3820" s="21">
        <v>0</v>
      </c>
      <c r="L3820" s="3">
        <f t="shared" si="164"/>
        <v>0</v>
      </c>
      <c r="M3820" s="3"/>
      <c r="N3820" s="3">
        <f t="shared" si="163"/>
        <v>0</v>
      </c>
      <c r="O3820" s="21"/>
      <c r="R3820" s="89"/>
      <c r="S3820" s="89">
        <f>100%-Table34[[#This Row],[PDF_initial fee]]</f>
        <v>1</v>
      </c>
      <c r="T3820" s="89"/>
      <c r="U3820" s="26"/>
    </row>
    <row r="3821" spans="1:28" hidden="1" x14ac:dyDescent="0.25">
      <c r="A3821">
        <v>706697</v>
      </c>
      <c r="B3821" t="s">
        <v>4199</v>
      </c>
      <c r="C3821" t="s">
        <v>30817</v>
      </c>
      <c r="D3821">
        <v>0</v>
      </c>
      <c r="E3821" t="s">
        <v>4199</v>
      </c>
      <c r="F3821" t="s">
        <v>29136</v>
      </c>
      <c r="G3821" s="3"/>
      <c r="H3821" s="21">
        <v>0</v>
      </c>
      <c r="I3821" s="21">
        <v>0</v>
      </c>
      <c r="J3821" s="21">
        <v>0</v>
      </c>
      <c r="K3821" s="21">
        <v>0</v>
      </c>
      <c r="L3821" s="3">
        <f t="shared" si="164"/>
        <v>0</v>
      </c>
      <c r="M3821" s="3"/>
      <c r="N3821" s="3">
        <f t="shared" si="163"/>
        <v>0</v>
      </c>
      <c r="O3821" s="21"/>
      <c r="R3821" s="89"/>
      <c r="S3821" s="89">
        <f>100%-Table34[[#This Row],[PDF_initial fee]]</f>
        <v>1</v>
      </c>
      <c r="T3821" s="89"/>
      <c r="U3821" s="26"/>
    </row>
    <row r="3822" spans="1:28" x14ac:dyDescent="0.25">
      <c r="A3822">
        <v>189652</v>
      </c>
      <c r="B3822" t="s">
        <v>95</v>
      </c>
      <c r="C3822" t="s">
        <v>7044</v>
      </c>
      <c r="D3822">
        <v>5</v>
      </c>
      <c r="E3822" t="s">
        <v>95</v>
      </c>
      <c r="F3822" t="s">
        <v>3</v>
      </c>
      <c r="G3822" s="3">
        <v>1.4E-3</v>
      </c>
      <c r="H3822" s="3">
        <v>0.03</v>
      </c>
      <c r="I3822" s="3">
        <v>2.6700000000000002E-2</v>
      </c>
      <c r="J3822" s="21">
        <v>0</v>
      </c>
      <c r="K3822" s="21">
        <v>0</v>
      </c>
      <c r="L3822" s="3">
        <f t="shared" si="164"/>
        <v>5.67E-2</v>
      </c>
      <c r="M3822" s="3"/>
      <c r="N3822" s="3">
        <f t="shared" si="163"/>
        <v>5.8099999999999999E-2</v>
      </c>
      <c r="P3822" s="1" t="s">
        <v>30818</v>
      </c>
      <c r="Q3822" t="s">
        <v>31787</v>
      </c>
      <c r="R3822" s="89">
        <v>0.33333333333333348</v>
      </c>
      <c r="S3822" s="89">
        <f>100%-Table34[[#This Row],[InitialFee]]</f>
        <v>0.97</v>
      </c>
      <c r="T3822" s="89">
        <f>(1-Table34[[#This Row],[OngoingFee (plus Platform fee)]])^5</f>
        <v>0.87344108586149627</v>
      </c>
      <c r="U3822" s="26">
        <f>(1+Table34[[#This Row],[Net 5yrs return (mostly up to 28th of Feb 2026)]])*Table34[[#This Row],[Investment after initial charge]]*Table34[[#This Row],[Cummulative 5yrs ongoing advice charge]]-1</f>
        <v>0.12965047104753524</v>
      </c>
      <c r="V3822" s="10">
        <f>239878+78741</f>
        <v>318619</v>
      </c>
      <c r="W3822" t="s">
        <v>29051</v>
      </c>
      <c r="X3822" s="10">
        <v>236942</v>
      </c>
      <c r="Y3822" s="30">
        <f>X3822/V3822</f>
        <v>0.74365307781394074</v>
      </c>
      <c r="AA3822" s="1" t="s">
        <v>30819</v>
      </c>
      <c r="AB3822" t="s">
        <v>29349</v>
      </c>
    </row>
    <row r="3823" spans="1:28" hidden="1" x14ac:dyDescent="0.25">
      <c r="A3823">
        <v>707014</v>
      </c>
      <c r="B3823" t="s">
        <v>4200</v>
      </c>
      <c r="C3823" t="s">
        <v>6958</v>
      </c>
      <c r="D3823">
        <v>1</v>
      </c>
      <c r="E3823" t="s">
        <v>4200</v>
      </c>
      <c r="F3823" t="s">
        <v>6958</v>
      </c>
      <c r="G3823" s="3"/>
      <c r="L3823" s="3">
        <f t="shared" si="164"/>
        <v>0</v>
      </c>
      <c r="M3823" s="3"/>
      <c r="N3823" s="3">
        <f t="shared" ref="N3823:N3886" si="165">L3823+G3823</f>
        <v>0</v>
      </c>
      <c r="R3823" s="89"/>
      <c r="S3823" s="89">
        <f>100%-Table34[[#This Row],[PDF_initial fee]]</f>
        <v>1</v>
      </c>
      <c r="T3823" s="89"/>
      <c r="U3823" s="26"/>
    </row>
    <row r="3824" spans="1:28" hidden="1" x14ac:dyDescent="0.25">
      <c r="A3824">
        <v>707141</v>
      </c>
      <c r="B3824" t="s">
        <v>4201</v>
      </c>
      <c r="C3824" t="s">
        <v>11005</v>
      </c>
      <c r="D3824">
        <v>1</v>
      </c>
      <c r="E3824" t="s">
        <v>4201</v>
      </c>
      <c r="G3824" s="3"/>
      <c r="H3824" s="3">
        <v>0</v>
      </c>
      <c r="I3824" s="3">
        <v>0</v>
      </c>
      <c r="J3824" s="3">
        <v>0</v>
      </c>
      <c r="K3824" s="3">
        <v>0</v>
      </c>
      <c r="L3824" s="3">
        <f t="shared" si="164"/>
        <v>0</v>
      </c>
      <c r="M3824" s="3"/>
      <c r="N3824" s="3">
        <f t="shared" si="165"/>
        <v>0</v>
      </c>
      <c r="R3824" s="89"/>
      <c r="S3824" s="89">
        <f>100%-Table34[[#This Row],[PDF_initial fee]]</f>
        <v>1</v>
      </c>
      <c r="T3824" s="89"/>
      <c r="U3824" s="26"/>
    </row>
    <row r="3825" spans="1:27" hidden="1" x14ac:dyDescent="0.25">
      <c r="A3825">
        <v>707292</v>
      </c>
      <c r="B3825" t="s">
        <v>4202</v>
      </c>
      <c r="C3825" t="s">
        <v>8460</v>
      </c>
      <c r="D3825">
        <v>2</v>
      </c>
      <c r="E3825" t="s">
        <v>4202</v>
      </c>
      <c r="G3825" s="3"/>
      <c r="H3825" s="21">
        <v>0</v>
      </c>
      <c r="I3825" s="21">
        <v>0</v>
      </c>
      <c r="J3825" s="21">
        <v>0</v>
      </c>
      <c r="K3825" s="21">
        <v>0</v>
      </c>
      <c r="L3825" s="3">
        <f t="shared" si="164"/>
        <v>0</v>
      </c>
      <c r="M3825" s="3"/>
      <c r="N3825" s="3">
        <f t="shared" si="165"/>
        <v>0</v>
      </c>
      <c r="R3825" s="89"/>
      <c r="S3825" s="89">
        <f>100%-Table34[[#This Row],[PDF_initial fee]]</f>
        <v>1</v>
      </c>
      <c r="T3825" s="89"/>
      <c r="U3825" s="26"/>
    </row>
    <row r="3826" spans="1:27" hidden="1" x14ac:dyDescent="0.25">
      <c r="A3826">
        <v>707296</v>
      </c>
      <c r="B3826" t="s">
        <v>4203</v>
      </c>
      <c r="C3826" t="s">
        <v>30820</v>
      </c>
      <c r="D3826">
        <v>2</v>
      </c>
      <c r="E3826" t="s">
        <v>4203</v>
      </c>
      <c r="G3826" s="3"/>
      <c r="H3826" s="21">
        <v>0</v>
      </c>
      <c r="I3826" s="21">
        <v>0</v>
      </c>
      <c r="J3826" s="21">
        <v>0</v>
      </c>
      <c r="K3826" s="21">
        <v>0</v>
      </c>
      <c r="L3826" s="3">
        <f t="shared" si="164"/>
        <v>0</v>
      </c>
      <c r="M3826" s="3"/>
      <c r="N3826" s="3">
        <f t="shared" si="165"/>
        <v>0</v>
      </c>
      <c r="O3826" s="21"/>
      <c r="R3826" s="89"/>
      <c r="S3826" s="89">
        <f>100%-Table34[[#This Row],[PDF_initial fee]]</f>
        <v>1</v>
      </c>
      <c r="T3826" s="89"/>
      <c r="U3826" s="26"/>
    </row>
    <row r="3827" spans="1:27" hidden="1" x14ac:dyDescent="0.25">
      <c r="A3827">
        <v>707389</v>
      </c>
      <c r="B3827" t="s">
        <v>4204</v>
      </c>
      <c r="C3827" t="s">
        <v>6958</v>
      </c>
      <c r="D3827">
        <v>5</v>
      </c>
      <c r="E3827" t="s">
        <v>4204</v>
      </c>
      <c r="F3827" t="s">
        <v>6958</v>
      </c>
      <c r="G3827" s="3"/>
      <c r="H3827" s="21">
        <v>0</v>
      </c>
      <c r="I3827" s="21">
        <v>0</v>
      </c>
      <c r="J3827" s="21">
        <v>0</v>
      </c>
      <c r="K3827" s="21">
        <v>0</v>
      </c>
      <c r="L3827" s="3">
        <f t="shared" si="164"/>
        <v>0</v>
      </c>
      <c r="M3827" s="3"/>
      <c r="N3827" s="3">
        <f t="shared" si="165"/>
        <v>0</v>
      </c>
      <c r="R3827" s="89"/>
      <c r="S3827" s="89">
        <f>100%-Table34[[#This Row],[PDF_initial fee]]</f>
        <v>1</v>
      </c>
      <c r="T3827" s="89"/>
      <c r="U3827" s="26"/>
    </row>
    <row r="3828" spans="1:27" hidden="1" x14ac:dyDescent="0.25">
      <c r="A3828">
        <v>707424</v>
      </c>
      <c r="B3828" t="s">
        <v>4205</v>
      </c>
      <c r="C3828" t="s">
        <v>8549</v>
      </c>
      <c r="D3828">
        <v>6</v>
      </c>
      <c r="E3828" t="s">
        <v>4205</v>
      </c>
      <c r="G3828" s="3"/>
      <c r="H3828" s="21">
        <v>0</v>
      </c>
      <c r="I3828" s="21">
        <v>0</v>
      </c>
      <c r="J3828" s="21">
        <v>0</v>
      </c>
      <c r="K3828" s="21">
        <v>0</v>
      </c>
      <c r="L3828" s="3">
        <f t="shared" si="164"/>
        <v>0</v>
      </c>
      <c r="M3828" s="3"/>
      <c r="N3828" s="3">
        <f t="shared" si="165"/>
        <v>0</v>
      </c>
      <c r="R3828" s="89"/>
      <c r="S3828" s="89">
        <f>100%-Table34[[#This Row],[PDF_initial fee]]</f>
        <v>1</v>
      </c>
      <c r="T3828" s="89"/>
      <c r="U3828" s="26"/>
    </row>
    <row r="3829" spans="1:27" hidden="1" x14ac:dyDescent="0.25">
      <c r="A3829">
        <v>707491</v>
      </c>
      <c r="B3829" t="s">
        <v>4206</v>
      </c>
      <c r="C3829" t="s">
        <v>30821</v>
      </c>
      <c r="D3829">
        <v>1</v>
      </c>
      <c r="E3829" t="s">
        <v>4206</v>
      </c>
      <c r="G3829" s="3"/>
      <c r="H3829" s="3"/>
      <c r="I3829" s="3"/>
      <c r="J3829" s="3"/>
      <c r="K3829" s="3"/>
      <c r="L3829" s="3">
        <f t="shared" si="164"/>
        <v>0</v>
      </c>
      <c r="M3829" s="3"/>
      <c r="N3829" s="3">
        <f t="shared" si="165"/>
        <v>0</v>
      </c>
      <c r="R3829" s="89"/>
      <c r="S3829" s="89">
        <f>100%-Table34[[#This Row],[PDF_initial fee]]</f>
        <v>1</v>
      </c>
      <c r="T3829" s="89"/>
      <c r="U3829" s="26"/>
    </row>
    <row r="3830" spans="1:27" hidden="1" x14ac:dyDescent="0.25">
      <c r="A3830">
        <v>707499</v>
      </c>
      <c r="B3830" t="s">
        <v>4207</v>
      </c>
      <c r="C3830" t="s">
        <v>30822</v>
      </c>
      <c r="D3830">
        <v>2</v>
      </c>
      <c r="E3830" t="s">
        <v>4207</v>
      </c>
      <c r="G3830" s="3"/>
      <c r="H3830" s="3">
        <v>0</v>
      </c>
      <c r="I3830" s="3">
        <v>0</v>
      </c>
      <c r="J3830" s="3">
        <v>0</v>
      </c>
      <c r="K3830" s="3">
        <v>0</v>
      </c>
      <c r="L3830" s="3">
        <f t="shared" si="164"/>
        <v>0</v>
      </c>
      <c r="M3830" s="3"/>
      <c r="N3830" s="3">
        <f t="shared" si="165"/>
        <v>0</v>
      </c>
      <c r="R3830" s="89"/>
      <c r="S3830" s="89">
        <f>100%-Table34[[#This Row],[PDF_initial fee]]</f>
        <v>1</v>
      </c>
      <c r="T3830" s="89"/>
      <c r="U3830" s="26"/>
    </row>
    <row r="3831" spans="1:27" hidden="1" x14ac:dyDescent="0.25">
      <c r="A3831">
        <v>707505</v>
      </c>
      <c r="B3831" t="s">
        <v>4209</v>
      </c>
      <c r="C3831" t="s">
        <v>6958</v>
      </c>
      <c r="D3831">
        <v>1</v>
      </c>
      <c r="E3831" t="s">
        <v>4209</v>
      </c>
      <c r="F3831" t="s">
        <v>6958</v>
      </c>
      <c r="G3831" s="3"/>
      <c r="H3831" s="21">
        <v>0</v>
      </c>
      <c r="I3831" s="21">
        <v>0</v>
      </c>
      <c r="J3831" s="21">
        <v>0</v>
      </c>
      <c r="K3831" s="21">
        <v>0</v>
      </c>
      <c r="L3831" s="3">
        <f t="shared" si="164"/>
        <v>0</v>
      </c>
      <c r="M3831" s="3"/>
      <c r="N3831" s="3">
        <f t="shared" si="165"/>
        <v>0</v>
      </c>
      <c r="R3831" s="89"/>
      <c r="S3831" s="89">
        <f>100%-Table34[[#This Row],[PDF_initial fee]]</f>
        <v>1</v>
      </c>
      <c r="T3831" s="89"/>
      <c r="U3831" s="26"/>
    </row>
    <row r="3832" spans="1:27" hidden="1" x14ac:dyDescent="0.25">
      <c r="A3832">
        <v>707510</v>
      </c>
      <c r="B3832" t="s">
        <v>4210</v>
      </c>
      <c r="C3832" t="s">
        <v>12672</v>
      </c>
      <c r="D3832">
        <v>1</v>
      </c>
      <c r="E3832" t="s">
        <v>4210</v>
      </c>
      <c r="G3832" s="3"/>
      <c r="H3832" s="3">
        <v>0</v>
      </c>
      <c r="I3832" s="3">
        <v>0</v>
      </c>
      <c r="J3832" s="3">
        <v>0</v>
      </c>
      <c r="K3832" s="3">
        <v>0</v>
      </c>
      <c r="L3832" s="3">
        <f t="shared" si="164"/>
        <v>0</v>
      </c>
      <c r="M3832" s="3"/>
      <c r="N3832" s="3">
        <f t="shared" si="165"/>
        <v>0</v>
      </c>
      <c r="R3832" s="89"/>
      <c r="S3832" s="89">
        <f>100%-Table34[[#This Row],[PDF_initial fee]]</f>
        <v>1</v>
      </c>
      <c r="T3832" s="89"/>
      <c r="U3832" s="26"/>
    </row>
    <row r="3833" spans="1:27" hidden="1" x14ac:dyDescent="0.25">
      <c r="A3833">
        <v>707549</v>
      </c>
      <c r="B3833" t="s">
        <v>4211</v>
      </c>
      <c r="C3833" t="s">
        <v>30823</v>
      </c>
      <c r="D3833">
        <v>4</v>
      </c>
      <c r="E3833" t="s">
        <v>4211</v>
      </c>
      <c r="G3833" s="3"/>
      <c r="H3833" s="3">
        <v>0</v>
      </c>
      <c r="I3833" s="3">
        <v>0</v>
      </c>
      <c r="J3833" s="3">
        <v>0</v>
      </c>
      <c r="K3833" s="3">
        <v>0</v>
      </c>
      <c r="L3833" s="3">
        <f t="shared" si="164"/>
        <v>0</v>
      </c>
      <c r="M3833" s="3"/>
      <c r="N3833" s="3">
        <f t="shared" si="165"/>
        <v>0</v>
      </c>
      <c r="R3833" s="89"/>
      <c r="S3833" s="89">
        <f>100%-Table34[[#This Row],[PDF_initial fee]]</f>
        <v>1</v>
      </c>
      <c r="T3833" s="89"/>
      <c r="U3833" s="26"/>
    </row>
    <row r="3834" spans="1:27" hidden="1" x14ac:dyDescent="0.25">
      <c r="A3834">
        <v>707560</v>
      </c>
      <c r="B3834" t="s">
        <v>4212</v>
      </c>
      <c r="C3834" t="s">
        <v>9762</v>
      </c>
      <c r="D3834">
        <v>1</v>
      </c>
      <c r="E3834" t="s">
        <v>4212</v>
      </c>
      <c r="G3834" s="3"/>
      <c r="H3834" s="3">
        <v>0</v>
      </c>
      <c r="I3834" s="3">
        <v>0</v>
      </c>
      <c r="J3834" s="3">
        <v>0</v>
      </c>
      <c r="K3834" s="3">
        <v>0</v>
      </c>
      <c r="L3834" s="3">
        <f t="shared" si="164"/>
        <v>0</v>
      </c>
      <c r="M3834" s="3"/>
      <c r="N3834" s="3">
        <f t="shared" si="165"/>
        <v>0</v>
      </c>
      <c r="R3834" s="89"/>
      <c r="S3834" s="89">
        <f>100%-Table34[[#This Row],[PDF_initial fee]]</f>
        <v>1</v>
      </c>
      <c r="T3834" s="89"/>
      <c r="U3834" s="26"/>
    </row>
    <row r="3835" spans="1:27" hidden="1" x14ac:dyDescent="0.25">
      <c r="A3835">
        <v>707566</v>
      </c>
      <c r="B3835" t="s">
        <v>4213</v>
      </c>
      <c r="C3835" t="s">
        <v>11320</v>
      </c>
      <c r="D3835">
        <v>2</v>
      </c>
      <c r="E3835" t="s">
        <v>4213</v>
      </c>
      <c r="G3835" s="3"/>
      <c r="H3835" s="3">
        <v>0</v>
      </c>
      <c r="I3835" s="3">
        <v>0</v>
      </c>
      <c r="J3835" s="3">
        <v>0</v>
      </c>
      <c r="K3835" s="3">
        <v>0</v>
      </c>
      <c r="L3835" s="3">
        <f t="shared" si="164"/>
        <v>0</v>
      </c>
      <c r="M3835" s="3"/>
      <c r="N3835" s="3">
        <f t="shared" si="165"/>
        <v>0</v>
      </c>
      <c r="R3835" s="89"/>
      <c r="S3835" s="89">
        <f>100%-Table34[[#This Row],[PDF_initial fee]]</f>
        <v>1</v>
      </c>
      <c r="T3835" s="89"/>
      <c r="U3835" s="26"/>
    </row>
    <row r="3836" spans="1:27" hidden="1" x14ac:dyDescent="0.25">
      <c r="A3836">
        <v>707844</v>
      </c>
      <c r="B3836" t="s">
        <v>4215</v>
      </c>
      <c r="C3836" t="s">
        <v>6958</v>
      </c>
      <c r="D3836">
        <v>2</v>
      </c>
      <c r="E3836" t="s">
        <v>4215</v>
      </c>
      <c r="F3836" t="s">
        <v>6958</v>
      </c>
      <c r="G3836" s="3"/>
      <c r="H3836" s="21">
        <v>0</v>
      </c>
      <c r="I3836" s="21">
        <v>0</v>
      </c>
      <c r="J3836" s="21">
        <v>0</v>
      </c>
      <c r="K3836" s="21">
        <v>0</v>
      </c>
      <c r="L3836" s="3">
        <f t="shared" ref="L3836:L3899" si="166">SUM(H3836:K3836)</f>
        <v>0</v>
      </c>
      <c r="M3836" s="3"/>
      <c r="N3836" s="3">
        <f t="shared" si="165"/>
        <v>0</v>
      </c>
      <c r="R3836" s="89"/>
      <c r="S3836" s="89">
        <f>100%-Table34[[#This Row],[PDF_initial fee]]</f>
        <v>1</v>
      </c>
      <c r="T3836" s="89"/>
      <c r="U3836" s="26"/>
    </row>
    <row r="3837" spans="1:27" hidden="1" x14ac:dyDescent="0.25">
      <c r="A3837">
        <v>707853</v>
      </c>
      <c r="B3837" t="s">
        <v>4216</v>
      </c>
      <c r="C3837" t="s">
        <v>8394</v>
      </c>
      <c r="D3837">
        <v>1</v>
      </c>
      <c r="E3837" t="s">
        <v>4216</v>
      </c>
      <c r="G3837" s="3"/>
      <c r="H3837" s="21">
        <v>0</v>
      </c>
      <c r="I3837" s="21">
        <v>0</v>
      </c>
      <c r="J3837" s="21">
        <v>0</v>
      </c>
      <c r="K3837" s="21">
        <v>0</v>
      </c>
      <c r="L3837" s="3">
        <f t="shared" si="166"/>
        <v>0</v>
      </c>
      <c r="M3837" s="3"/>
      <c r="N3837" s="3">
        <f t="shared" si="165"/>
        <v>0</v>
      </c>
      <c r="R3837" s="89"/>
      <c r="S3837" s="89">
        <f>100%-Table34[[#This Row],[PDF_initial fee]]</f>
        <v>1</v>
      </c>
      <c r="T3837" s="89"/>
      <c r="U3837" s="26"/>
    </row>
    <row r="3838" spans="1:27" x14ac:dyDescent="0.25">
      <c r="A3838">
        <v>577360</v>
      </c>
      <c r="B3838" t="s">
        <v>229</v>
      </c>
      <c r="C3838" t="s">
        <v>7177</v>
      </c>
      <c r="D3838">
        <v>5</v>
      </c>
      <c r="E3838" t="s">
        <v>229</v>
      </c>
      <c r="F3838" t="s">
        <v>3</v>
      </c>
      <c r="G3838" s="3">
        <v>1.4E-3</v>
      </c>
      <c r="H3838" s="3">
        <f>(0.5%+3%)/2</f>
        <v>1.7499999999999998E-2</v>
      </c>
      <c r="I3838" s="3">
        <f>1.5%/2</f>
        <v>7.4999999999999997E-3</v>
      </c>
      <c r="J3838" s="6"/>
      <c r="K3838" s="6"/>
      <c r="L3838" s="3">
        <f t="shared" si="166"/>
        <v>2.4999999999999998E-2</v>
      </c>
      <c r="M3838" s="3"/>
      <c r="N3838" s="3">
        <f t="shared" si="165"/>
        <v>2.6399999999999996E-2</v>
      </c>
      <c r="P3838" s="1" t="s">
        <v>30824</v>
      </c>
      <c r="Q3838" t="s">
        <v>31787</v>
      </c>
      <c r="R3838" s="89">
        <v>0.33333333333333348</v>
      </c>
      <c r="S3838" s="89">
        <f>100%-Table34[[#This Row],[InitialFee]]</f>
        <v>0.98250000000000004</v>
      </c>
      <c r="T3838" s="89">
        <f>(1-Table34[[#This Row],[OngoingFee (plus Platform fee)]])^5</f>
        <v>0.9630582970465823</v>
      </c>
      <c r="U3838" s="26">
        <f>(1+Table34[[#This Row],[Net 5yrs return (mostly up to 28th of Feb 2026)]])*Table34[[#This Row],[Investment after initial charge]]*Table34[[#This Row],[Cummulative 5yrs ongoing advice charge]]-1</f>
        <v>0.26160636913102309</v>
      </c>
      <c r="V3838" s="10">
        <f>125132+127088</f>
        <v>252220</v>
      </c>
      <c r="W3838" t="s">
        <v>29051</v>
      </c>
      <c r="X3838" s="10">
        <v>122660</v>
      </c>
      <c r="Y3838" s="30">
        <f>X3838/V3838</f>
        <v>0.48632146538736026</v>
      </c>
      <c r="AA3838" s="1" t="s">
        <v>30825</v>
      </c>
    </row>
    <row r="3839" spans="1:27" hidden="1" x14ac:dyDescent="0.25">
      <c r="A3839">
        <v>708027</v>
      </c>
      <c r="B3839" t="s">
        <v>4217</v>
      </c>
      <c r="C3839" t="s">
        <v>6958</v>
      </c>
      <c r="D3839">
        <v>1</v>
      </c>
      <c r="E3839" t="s">
        <v>4217</v>
      </c>
      <c r="F3839" t="s">
        <v>6958</v>
      </c>
      <c r="G3839" s="3"/>
      <c r="L3839" s="3">
        <f t="shared" si="166"/>
        <v>0</v>
      </c>
      <c r="M3839" s="3"/>
      <c r="N3839" s="3">
        <f t="shared" si="165"/>
        <v>0</v>
      </c>
      <c r="R3839" s="89"/>
      <c r="S3839" s="89">
        <f>100%-Table34[[#This Row],[PDF_initial fee]]</f>
        <v>1</v>
      </c>
      <c r="T3839" s="89"/>
      <c r="U3839" s="26"/>
    </row>
    <row r="3840" spans="1:27" hidden="1" x14ac:dyDescent="0.25">
      <c r="A3840">
        <v>708033</v>
      </c>
      <c r="B3840" t="s">
        <v>4218</v>
      </c>
      <c r="C3840" t="s">
        <v>6958</v>
      </c>
      <c r="D3840">
        <v>1</v>
      </c>
      <c r="E3840" t="s">
        <v>4218</v>
      </c>
      <c r="F3840" t="s">
        <v>6958</v>
      </c>
      <c r="G3840" s="3"/>
      <c r="H3840" s="21">
        <v>0</v>
      </c>
      <c r="I3840" s="21">
        <v>0</v>
      </c>
      <c r="J3840" s="21">
        <v>0</v>
      </c>
      <c r="K3840" s="21">
        <v>0</v>
      </c>
      <c r="L3840" s="3">
        <f t="shared" si="166"/>
        <v>0</v>
      </c>
      <c r="M3840" s="3"/>
      <c r="N3840" s="3">
        <f t="shared" si="165"/>
        <v>0</v>
      </c>
      <c r="R3840" s="89"/>
      <c r="S3840" s="89">
        <f>100%-Table34[[#This Row],[PDF_initial fee]]</f>
        <v>1</v>
      </c>
      <c r="T3840" s="89"/>
      <c r="U3840" s="26"/>
    </row>
    <row r="3841" spans="1:21" hidden="1" x14ac:dyDescent="0.25">
      <c r="A3841">
        <v>708063</v>
      </c>
      <c r="B3841" t="s">
        <v>4219</v>
      </c>
      <c r="C3841" t="s">
        <v>6958</v>
      </c>
      <c r="D3841">
        <v>3</v>
      </c>
      <c r="E3841" t="s">
        <v>4219</v>
      </c>
      <c r="F3841" t="s">
        <v>6958</v>
      </c>
      <c r="G3841" s="3"/>
      <c r="H3841" s="21">
        <v>0</v>
      </c>
      <c r="I3841" s="21">
        <v>0</v>
      </c>
      <c r="J3841" s="21">
        <v>0</v>
      </c>
      <c r="K3841" s="21">
        <v>0</v>
      </c>
      <c r="L3841" s="3">
        <f t="shared" si="166"/>
        <v>0</v>
      </c>
      <c r="M3841" s="3"/>
      <c r="N3841" s="3">
        <f t="shared" si="165"/>
        <v>0</v>
      </c>
      <c r="R3841" s="89"/>
      <c r="S3841" s="89">
        <f>100%-Table34[[#This Row],[PDF_initial fee]]</f>
        <v>1</v>
      </c>
      <c r="T3841" s="89"/>
      <c r="U3841" s="26"/>
    </row>
    <row r="3842" spans="1:21" hidden="1" x14ac:dyDescent="0.25">
      <c r="A3842">
        <v>708307</v>
      </c>
      <c r="B3842" t="s">
        <v>4220</v>
      </c>
      <c r="C3842" t="s">
        <v>10179</v>
      </c>
      <c r="D3842">
        <v>0</v>
      </c>
      <c r="E3842" t="s">
        <v>4220</v>
      </c>
      <c r="F3842" t="s">
        <v>29136</v>
      </c>
      <c r="G3842" s="3"/>
      <c r="H3842" s="3">
        <v>0</v>
      </c>
      <c r="I3842" s="3">
        <v>0</v>
      </c>
      <c r="J3842" s="3">
        <v>0</v>
      </c>
      <c r="K3842" s="3">
        <v>0</v>
      </c>
      <c r="L3842" s="3">
        <f t="shared" si="166"/>
        <v>0</v>
      </c>
      <c r="M3842" s="3"/>
      <c r="N3842" s="3">
        <f t="shared" si="165"/>
        <v>0</v>
      </c>
      <c r="R3842" s="89"/>
      <c r="S3842" s="89">
        <f>100%-Table34[[#This Row],[PDF_initial fee]]</f>
        <v>1</v>
      </c>
      <c r="T3842" s="89"/>
      <c r="U3842" s="26"/>
    </row>
    <row r="3843" spans="1:21" hidden="1" x14ac:dyDescent="0.25">
      <c r="A3843">
        <v>708386</v>
      </c>
      <c r="B3843" t="s">
        <v>4221</v>
      </c>
      <c r="C3843" t="s">
        <v>30826</v>
      </c>
      <c r="D3843">
        <v>4</v>
      </c>
      <c r="E3843" t="s">
        <v>4221</v>
      </c>
      <c r="G3843" s="3"/>
      <c r="H3843" s="3">
        <v>0</v>
      </c>
      <c r="I3843" s="3">
        <v>0</v>
      </c>
      <c r="J3843" s="3">
        <v>0</v>
      </c>
      <c r="K3843" s="3">
        <v>0</v>
      </c>
      <c r="L3843" s="3">
        <f t="shared" si="166"/>
        <v>0</v>
      </c>
      <c r="M3843" s="3"/>
      <c r="N3843" s="3">
        <f t="shared" si="165"/>
        <v>0</v>
      </c>
      <c r="R3843" s="89"/>
      <c r="S3843" s="89">
        <f>100%-Table34[[#This Row],[PDF_initial fee]]</f>
        <v>1</v>
      </c>
      <c r="T3843" s="89"/>
      <c r="U3843" s="26"/>
    </row>
    <row r="3844" spans="1:21" hidden="1" x14ac:dyDescent="0.25">
      <c r="A3844">
        <v>708406</v>
      </c>
      <c r="B3844" t="s">
        <v>4222</v>
      </c>
      <c r="C3844" t="s">
        <v>6958</v>
      </c>
      <c r="D3844">
        <v>1</v>
      </c>
      <c r="E3844" t="s">
        <v>4222</v>
      </c>
      <c r="F3844" t="s">
        <v>6958</v>
      </c>
      <c r="G3844" s="3"/>
      <c r="H3844" s="21">
        <v>0</v>
      </c>
      <c r="I3844" s="21">
        <v>0</v>
      </c>
      <c r="J3844" s="21">
        <v>0</v>
      </c>
      <c r="K3844" s="21">
        <v>0</v>
      </c>
      <c r="L3844" s="3">
        <f t="shared" si="166"/>
        <v>0</v>
      </c>
      <c r="M3844" s="3"/>
      <c r="N3844" s="3">
        <f t="shared" si="165"/>
        <v>0</v>
      </c>
      <c r="R3844" s="89"/>
      <c r="S3844" s="89">
        <f>100%-Table34[[#This Row],[PDF_initial fee]]</f>
        <v>1</v>
      </c>
      <c r="T3844" s="89"/>
      <c r="U3844" s="26"/>
    </row>
    <row r="3845" spans="1:21" hidden="1" x14ac:dyDescent="0.25">
      <c r="A3845">
        <v>708527</v>
      </c>
      <c r="B3845" t="s">
        <v>4223</v>
      </c>
      <c r="C3845" t="s">
        <v>30827</v>
      </c>
      <c r="D3845">
        <v>2</v>
      </c>
      <c r="E3845" t="s">
        <v>4223</v>
      </c>
      <c r="G3845" s="3"/>
      <c r="H3845" s="3">
        <v>0</v>
      </c>
      <c r="I3845" s="3">
        <v>0</v>
      </c>
      <c r="J3845" s="3">
        <v>0</v>
      </c>
      <c r="K3845" s="3">
        <v>0</v>
      </c>
      <c r="L3845" s="3">
        <f t="shared" si="166"/>
        <v>0</v>
      </c>
      <c r="M3845" s="3"/>
      <c r="N3845" s="3">
        <f t="shared" si="165"/>
        <v>0</v>
      </c>
      <c r="R3845" s="89"/>
      <c r="S3845" s="89">
        <f>100%-Table34[[#This Row],[PDF_initial fee]]</f>
        <v>1</v>
      </c>
      <c r="T3845" s="89"/>
      <c r="U3845" s="26"/>
    </row>
    <row r="3846" spans="1:21" hidden="1" x14ac:dyDescent="0.25">
      <c r="A3846">
        <v>708582</v>
      </c>
      <c r="B3846" t="s">
        <v>4224</v>
      </c>
      <c r="C3846" t="s">
        <v>8107</v>
      </c>
      <c r="D3846">
        <v>4</v>
      </c>
      <c r="E3846" t="s">
        <v>4224</v>
      </c>
      <c r="G3846" s="3"/>
      <c r="H3846" s="21">
        <v>0</v>
      </c>
      <c r="I3846" s="21">
        <v>0</v>
      </c>
      <c r="J3846" s="21">
        <v>0</v>
      </c>
      <c r="K3846" s="21">
        <v>0</v>
      </c>
      <c r="L3846" s="3">
        <f t="shared" si="166"/>
        <v>0</v>
      </c>
      <c r="M3846" s="3"/>
      <c r="N3846" s="3">
        <f t="shared" si="165"/>
        <v>0</v>
      </c>
      <c r="R3846" s="89"/>
      <c r="S3846" s="89">
        <f>100%-Table34[[#This Row],[PDF_initial fee]]</f>
        <v>1</v>
      </c>
      <c r="T3846" s="89"/>
      <c r="U3846" s="26"/>
    </row>
    <row r="3847" spans="1:21" hidden="1" x14ac:dyDescent="0.25">
      <c r="A3847">
        <v>708666</v>
      </c>
      <c r="B3847" t="s">
        <v>4225</v>
      </c>
      <c r="C3847" t="s">
        <v>30828</v>
      </c>
      <c r="D3847">
        <v>0</v>
      </c>
      <c r="E3847" t="s">
        <v>4225</v>
      </c>
      <c r="F3847" t="s">
        <v>29136</v>
      </c>
      <c r="G3847" s="3"/>
      <c r="H3847" s="21">
        <v>0</v>
      </c>
      <c r="I3847" s="21">
        <v>0</v>
      </c>
      <c r="J3847" s="21">
        <v>0</v>
      </c>
      <c r="K3847" s="21">
        <v>0</v>
      </c>
      <c r="L3847" s="3">
        <f t="shared" si="166"/>
        <v>0</v>
      </c>
      <c r="M3847" s="3"/>
      <c r="N3847" s="3">
        <f t="shared" si="165"/>
        <v>0</v>
      </c>
      <c r="O3847" s="21"/>
      <c r="R3847" s="89"/>
      <c r="S3847" s="89">
        <f>100%-Table34[[#This Row],[PDF_initial fee]]</f>
        <v>1</v>
      </c>
      <c r="T3847" s="89"/>
      <c r="U3847" s="26"/>
    </row>
    <row r="3848" spans="1:21" hidden="1" x14ac:dyDescent="0.25">
      <c r="A3848">
        <v>708668</v>
      </c>
      <c r="B3848" t="s">
        <v>4226</v>
      </c>
      <c r="C3848" t="s">
        <v>8271</v>
      </c>
      <c r="D3848">
        <v>2</v>
      </c>
      <c r="E3848" t="s">
        <v>4226</v>
      </c>
      <c r="G3848" s="3"/>
      <c r="H3848" s="21">
        <v>0</v>
      </c>
      <c r="I3848" s="21">
        <v>0</v>
      </c>
      <c r="J3848" s="21">
        <v>0</v>
      </c>
      <c r="K3848" s="21">
        <v>0</v>
      </c>
      <c r="L3848" s="3">
        <f t="shared" si="166"/>
        <v>0</v>
      </c>
      <c r="M3848" s="3"/>
      <c r="N3848" s="3">
        <f t="shared" si="165"/>
        <v>0</v>
      </c>
      <c r="R3848" s="89"/>
      <c r="S3848" s="89">
        <f>100%-Table34[[#This Row],[PDF_initial fee]]</f>
        <v>1</v>
      </c>
      <c r="T3848" s="89"/>
      <c r="U3848" s="26"/>
    </row>
    <row r="3849" spans="1:21" hidden="1" x14ac:dyDescent="0.25">
      <c r="A3849">
        <v>708736</v>
      </c>
      <c r="B3849" t="s">
        <v>4227</v>
      </c>
      <c r="C3849" t="s">
        <v>8177</v>
      </c>
      <c r="D3849">
        <v>1</v>
      </c>
      <c r="E3849" t="s">
        <v>4227</v>
      </c>
      <c r="G3849" s="3"/>
      <c r="H3849" s="21">
        <v>0</v>
      </c>
      <c r="I3849" s="21">
        <v>0</v>
      </c>
      <c r="J3849" s="21">
        <v>0</v>
      </c>
      <c r="K3849" s="21">
        <v>0</v>
      </c>
      <c r="L3849" s="3">
        <f t="shared" si="166"/>
        <v>0</v>
      </c>
      <c r="M3849" s="3"/>
      <c r="N3849" s="3">
        <f t="shared" si="165"/>
        <v>0</v>
      </c>
      <c r="R3849" s="89"/>
      <c r="S3849" s="89">
        <f>100%-Table34[[#This Row],[PDF_initial fee]]</f>
        <v>1</v>
      </c>
      <c r="T3849" s="89"/>
      <c r="U3849" s="26"/>
    </row>
    <row r="3850" spans="1:21" hidden="1" x14ac:dyDescent="0.25">
      <c r="A3850">
        <v>708789</v>
      </c>
      <c r="B3850" t="s">
        <v>4228</v>
      </c>
      <c r="C3850" t="s">
        <v>10840</v>
      </c>
      <c r="D3850">
        <v>1</v>
      </c>
      <c r="E3850" t="s">
        <v>4228</v>
      </c>
      <c r="G3850" s="3"/>
      <c r="H3850" s="3">
        <v>0</v>
      </c>
      <c r="I3850" s="3">
        <v>0</v>
      </c>
      <c r="J3850" s="3">
        <v>0</v>
      </c>
      <c r="K3850" s="3">
        <v>0</v>
      </c>
      <c r="L3850" s="3">
        <f t="shared" si="166"/>
        <v>0</v>
      </c>
      <c r="M3850" s="3"/>
      <c r="N3850" s="3">
        <f t="shared" si="165"/>
        <v>0</v>
      </c>
      <c r="R3850" s="89"/>
      <c r="S3850" s="89">
        <f>100%-Table34[[#This Row],[PDF_initial fee]]</f>
        <v>1</v>
      </c>
      <c r="T3850" s="89"/>
      <c r="U3850" s="26"/>
    </row>
    <row r="3851" spans="1:21" hidden="1" x14ac:dyDescent="0.25">
      <c r="A3851">
        <v>708813</v>
      </c>
      <c r="B3851" t="s">
        <v>4229</v>
      </c>
      <c r="C3851" t="s">
        <v>10425</v>
      </c>
      <c r="D3851">
        <v>1</v>
      </c>
      <c r="E3851" t="s">
        <v>4229</v>
      </c>
      <c r="G3851" s="3"/>
      <c r="H3851" s="3">
        <v>0</v>
      </c>
      <c r="I3851" s="3">
        <v>0</v>
      </c>
      <c r="J3851" s="3">
        <v>0</v>
      </c>
      <c r="K3851" s="3">
        <v>0</v>
      </c>
      <c r="L3851" s="3">
        <f t="shared" si="166"/>
        <v>0</v>
      </c>
      <c r="M3851" s="3"/>
      <c r="N3851" s="3">
        <f t="shared" si="165"/>
        <v>0</v>
      </c>
      <c r="R3851" s="89"/>
      <c r="S3851" s="89">
        <f>100%-Table34[[#This Row],[PDF_initial fee]]</f>
        <v>1</v>
      </c>
      <c r="T3851" s="89"/>
      <c r="U3851" s="26"/>
    </row>
    <row r="3852" spans="1:21" hidden="1" x14ac:dyDescent="0.25">
      <c r="A3852">
        <v>708839</v>
      </c>
      <c r="B3852" t="s">
        <v>4230</v>
      </c>
      <c r="C3852" t="s">
        <v>9687</v>
      </c>
      <c r="D3852">
        <v>2</v>
      </c>
      <c r="E3852" t="s">
        <v>4230</v>
      </c>
      <c r="G3852" s="3"/>
      <c r="H3852" s="3"/>
      <c r="I3852" s="3"/>
      <c r="J3852" s="3"/>
      <c r="K3852" s="3"/>
      <c r="L3852" s="3">
        <f t="shared" si="166"/>
        <v>0</v>
      </c>
      <c r="M3852" s="3"/>
      <c r="N3852" s="3">
        <f t="shared" si="165"/>
        <v>0</v>
      </c>
      <c r="R3852" s="89"/>
      <c r="S3852" s="89">
        <f>100%-Table34[[#This Row],[PDF_initial fee]]</f>
        <v>1</v>
      </c>
      <c r="T3852" s="89"/>
      <c r="U3852" s="26"/>
    </row>
    <row r="3853" spans="1:21" hidden="1" x14ac:dyDescent="0.25">
      <c r="A3853">
        <v>709091</v>
      </c>
      <c r="B3853" t="s">
        <v>4231</v>
      </c>
      <c r="C3853" t="s">
        <v>6958</v>
      </c>
      <c r="D3853">
        <v>1</v>
      </c>
      <c r="E3853" t="s">
        <v>4231</v>
      </c>
      <c r="F3853" t="s">
        <v>6958</v>
      </c>
      <c r="G3853" s="3"/>
      <c r="H3853" s="21">
        <v>0</v>
      </c>
      <c r="I3853" s="21">
        <v>0</v>
      </c>
      <c r="J3853" s="21">
        <v>0</v>
      </c>
      <c r="K3853" s="21">
        <v>0</v>
      </c>
      <c r="L3853" s="3">
        <f t="shared" si="166"/>
        <v>0</v>
      </c>
      <c r="M3853" s="3"/>
      <c r="N3853" s="3">
        <f t="shared" si="165"/>
        <v>0</v>
      </c>
      <c r="R3853" s="89"/>
      <c r="S3853" s="89">
        <f>100%-Table34[[#This Row],[PDF_initial fee]]</f>
        <v>1</v>
      </c>
      <c r="T3853" s="89"/>
      <c r="U3853" s="26"/>
    </row>
    <row r="3854" spans="1:21" hidden="1" x14ac:dyDescent="0.25">
      <c r="A3854">
        <v>709479</v>
      </c>
      <c r="B3854" t="s">
        <v>4232</v>
      </c>
      <c r="C3854" t="s">
        <v>12171</v>
      </c>
      <c r="D3854">
        <v>1</v>
      </c>
      <c r="E3854" t="s">
        <v>4232</v>
      </c>
      <c r="G3854" s="3"/>
      <c r="H3854" s="3">
        <v>0</v>
      </c>
      <c r="I3854" s="3">
        <v>0</v>
      </c>
      <c r="J3854" s="3">
        <v>0</v>
      </c>
      <c r="K3854" s="3">
        <v>0</v>
      </c>
      <c r="L3854" s="3">
        <f t="shared" si="166"/>
        <v>0</v>
      </c>
      <c r="M3854" s="3"/>
      <c r="N3854" s="3">
        <f t="shared" si="165"/>
        <v>0</v>
      </c>
      <c r="R3854" s="89"/>
      <c r="S3854" s="89">
        <f>100%-Table34[[#This Row],[PDF_initial fee]]</f>
        <v>1</v>
      </c>
      <c r="T3854" s="89"/>
      <c r="U3854" s="26"/>
    </row>
    <row r="3855" spans="1:21" hidden="1" x14ac:dyDescent="0.25">
      <c r="A3855">
        <v>709492</v>
      </c>
      <c r="B3855" t="s">
        <v>4233</v>
      </c>
      <c r="C3855" t="s">
        <v>11154</v>
      </c>
      <c r="D3855">
        <v>2</v>
      </c>
      <c r="E3855" t="s">
        <v>4233</v>
      </c>
      <c r="G3855" s="3"/>
      <c r="H3855" s="3">
        <v>0</v>
      </c>
      <c r="I3855" s="3">
        <v>0</v>
      </c>
      <c r="J3855" s="3">
        <v>0</v>
      </c>
      <c r="K3855" s="3">
        <v>0</v>
      </c>
      <c r="L3855" s="3">
        <f t="shared" si="166"/>
        <v>0</v>
      </c>
      <c r="M3855" s="3"/>
      <c r="N3855" s="3">
        <f t="shared" si="165"/>
        <v>0</v>
      </c>
      <c r="R3855" s="89"/>
      <c r="S3855" s="89">
        <f>100%-Table34[[#This Row],[PDF_initial fee]]</f>
        <v>1</v>
      </c>
      <c r="T3855" s="89"/>
      <c r="U3855" s="26"/>
    </row>
    <row r="3856" spans="1:21" hidden="1" x14ac:dyDescent="0.25">
      <c r="A3856">
        <v>709493</v>
      </c>
      <c r="B3856" t="s">
        <v>4234</v>
      </c>
      <c r="C3856" t="s">
        <v>6958</v>
      </c>
      <c r="D3856">
        <v>1</v>
      </c>
      <c r="E3856" t="s">
        <v>4234</v>
      </c>
      <c r="F3856" t="s">
        <v>6958</v>
      </c>
      <c r="G3856" s="3"/>
      <c r="H3856" s="21">
        <v>0</v>
      </c>
      <c r="I3856" s="21">
        <v>0</v>
      </c>
      <c r="J3856" s="21">
        <v>0</v>
      </c>
      <c r="K3856" s="21">
        <v>0</v>
      </c>
      <c r="L3856" s="3">
        <f t="shared" si="166"/>
        <v>0</v>
      </c>
      <c r="M3856" s="3"/>
      <c r="N3856" s="3">
        <f t="shared" si="165"/>
        <v>0</v>
      </c>
      <c r="R3856" s="89"/>
      <c r="S3856" s="89">
        <f>100%-Table34[[#This Row],[PDF_initial fee]]</f>
        <v>1</v>
      </c>
      <c r="T3856" s="89"/>
      <c r="U3856" s="26"/>
    </row>
    <row r="3857" spans="1:21" hidden="1" x14ac:dyDescent="0.25">
      <c r="A3857">
        <v>709533</v>
      </c>
      <c r="B3857" t="s">
        <v>4235</v>
      </c>
      <c r="C3857" t="s">
        <v>6958</v>
      </c>
      <c r="D3857">
        <v>1</v>
      </c>
      <c r="E3857" t="s">
        <v>4235</v>
      </c>
      <c r="F3857" t="s">
        <v>6958</v>
      </c>
      <c r="G3857" s="3"/>
      <c r="H3857" s="21">
        <v>0</v>
      </c>
      <c r="I3857" s="21">
        <v>0</v>
      </c>
      <c r="J3857" s="21">
        <v>0</v>
      </c>
      <c r="K3857" s="21">
        <v>0</v>
      </c>
      <c r="L3857" s="3">
        <f t="shared" si="166"/>
        <v>0</v>
      </c>
      <c r="M3857" s="3"/>
      <c r="N3857" s="3">
        <f t="shared" si="165"/>
        <v>0</v>
      </c>
      <c r="R3857" s="89"/>
      <c r="S3857" s="89">
        <f>100%-Table34[[#This Row],[PDF_initial fee]]</f>
        <v>1</v>
      </c>
      <c r="T3857" s="89"/>
      <c r="U3857" s="26"/>
    </row>
    <row r="3858" spans="1:21" hidden="1" x14ac:dyDescent="0.25">
      <c r="A3858">
        <v>709538</v>
      </c>
      <c r="B3858" t="s">
        <v>4236</v>
      </c>
      <c r="C3858" t="s">
        <v>11361</v>
      </c>
      <c r="D3858">
        <v>1</v>
      </c>
      <c r="E3858" t="s">
        <v>4236</v>
      </c>
      <c r="G3858" s="3"/>
      <c r="H3858" s="3">
        <v>0</v>
      </c>
      <c r="I3858" s="3">
        <v>0</v>
      </c>
      <c r="J3858" s="3">
        <v>0</v>
      </c>
      <c r="K3858" s="3">
        <v>0</v>
      </c>
      <c r="L3858" s="3">
        <f t="shared" si="166"/>
        <v>0</v>
      </c>
      <c r="M3858" s="3"/>
      <c r="N3858" s="3">
        <f t="shared" si="165"/>
        <v>0</v>
      </c>
      <c r="R3858" s="89"/>
      <c r="S3858" s="89">
        <f>100%-Table34[[#This Row],[PDF_initial fee]]</f>
        <v>1</v>
      </c>
      <c r="T3858" s="89"/>
      <c r="U3858" s="26"/>
    </row>
    <row r="3859" spans="1:21" hidden="1" x14ac:dyDescent="0.25">
      <c r="A3859">
        <v>709682</v>
      </c>
      <c r="B3859" t="s">
        <v>4237</v>
      </c>
      <c r="C3859" t="s">
        <v>8469</v>
      </c>
      <c r="D3859">
        <v>2</v>
      </c>
      <c r="E3859" t="s">
        <v>4237</v>
      </c>
      <c r="G3859" s="3"/>
      <c r="H3859" s="21">
        <v>0</v>
      </c>
      <c r="I3859" s="21">
        <v>0</v>
      </c>
      <c r="J3859" s="21">
        <v>0</v>
      </c>
      <c r="K3859" s="21">
        <v>0</v>
      </c>
      <c r="L3859" s="3">
        <f t="shared" si="166"/>
        <v>0</v>
      </c>
      <c r="M3859" s="3"/>
      <c r="N3859" s="3">
        <f t="shared" si="165"/>
        <v>0</v>
      </c>
      <c r="R3859" s="89"/>
      <c r="S3859" s="89">
        <f>100%-Table34[[#This Row],[PDF_initial fee]]</f>
        <v>1</v>
      </c>
      <c r="T3859" s="89"/>
      <c r="U3859" s="26"/>
    </row>
    <row r="3860" spans="1:21" hidden="1" x14ac:dyDescent="0.25">
      <c r="A3860">
        <v>709689</v>
      </c>
      <c r="B3860" t="s">
        <v>4238</v>
      </c>
      <c r="C3860" t="s">
        <v>30829</v>
      </c>
      <c r="D3860">
        <v>1</v>
      </c>
      <c r="E3860" t="s">
        <v>4238</v>
      </c>
      <c r="G3860" s="3"/>
      <c r="H3860" s="21">
        <v>0</v>
      </c>
      <c r="I3860" s="21">
        <v>0</v>
      </c>
      <c r="J3860" s="21">
        <v>0</v>
      </c>
      <c r="K3860" s="21">
        <v>0</v>
      </c>
      <c r="L3860" s="3">
        <f t="shared" si="166"/>
        <v>0</v>
      </c>
      <c r="M3860" s="3"/>
      <c r="N3860" s="3">
        <f t="shared" si="165"/>
        <v>0</v>
      </c>
      <c r="O3860" s="21"/>
      <c r="R3860" s="89"/>
      <c r="S3860" s="89">
        <f>100%-Table34[[#This Row],[PDF_initial fee]]</f>
        <v>1</v>
      </c>
      <c r="T3860" s="89"/>
      <c r="U3860" s="26"/>
    </row>
    <row r="3861" spans="1:21" hidden="1" x14ac:dyDescent="0.25">
      <c r="A3861">
        <v>710026</v>
      </c>
      <c r="B3861" t="s">
        <v>4239</v>
      </c>
      <c r="C3861" s="1" t="s">
        <v>12676</v>
      </c>
      <c r="D3861">
        <v>1</v>
      </c>
      <c r="E3861" t="s">
        <v>4239</v>
      </c>
      <c r="G3861" s="3"/>
      <c r="H3861" s="3">
        <v>0</v>
      </c>
      <c r="I3861" s="3">
        <v>0</v>
      </c>
      <c r="J3861" s="3">
        <v>0</v>
      </c>
      <c r="K3861" s="3">
        <v>0</v>
      </c>
      <c r="L3861" s="3">
        <f t="shared" si="166"/>
        <v>0</v>
      </c>
      <c r="M3861" s="3"/>
      <c r="N3861" s="3">
        <f t="shared" si="165"/>
        <v>0</v>
      </c>
      <c r="R3861" s="89"/>
      <c r="S3861" s="89">
        <f>100%-Table34[[#This Row],[PDF_initial fee]]</f>
        <v>1</v>
      </c>
      <c r="T3861" s="89"/>
      <c r="U3861" s="26"/>
    </row>
    <row r="3862" spans="1:21" hidden="1" x14ac:dyDescent="0.25">
      <c r="A3862">
        <v>710272</v>
      </c>
      <c r="B3862" t="s">
        <v>4240</v>
      </c>
      <c r="C3862" t="s">
        <v>9991</v>
      </c>
      <c r="D3862">
        <v>5</v>
      </c>
      <c r="E3862" t="s">
        <v>4240</v>
      </c>
      <c r="G3862" s="3"/>
      <c r="H3862" s="3">
        <v>0</v>
      </c>
      <c r="I3862" s="3">
        <v>0</v>
      </c>
      <c r="J3862" s="3">
        <v>0</v>
      </c>
      <c r="K3862" s="3">
        <v>0</v>
      </c>
      <c r="L3862" s="3">
        <f t="shared" si="166"/>
        <v>0</v>
      </c>
      <c r="M3862" s="3"/>
      <c r="N3862" s="3">
        <f t="shared" si="165"/>
        <v>0</v>
      </c>
      <c r="R3862" s="89"/>
      <c r="S3862" s="89">
        <f>100%-Table34[[#This Row],[PDF_initial fee]]</f>
        <v>1</v>
      </c>
      <c r="T3862" s="89"/>
      <c r="U3862" s="26"/>
    </row>
    <row r="3863" spans="1:21" hidden="1" x14ac:dyDescent="0.25">
      <c r="A3863">
        <v>710277</v>
      </c>
      <c r="B3863" t="s">
        <v>4241</v>
      </c>
      <c r="C3863" t="s">
        <v>10939</v>
      </c>
      <c r="D3863">
        <v>4</v>
      </c>
      <c r="E3863" t="s">
        <v>4241</v>
      </c>
      <c r="G3863" s="3"/>
      <c r="H3863" s="3"/>
      <c r="I3863" s="3"/>
      <c r="J3863" s="3"/>
      <c r="K3863" s="3"/>
      <c r="L3863" s="3">
        <f t="shared" si="166"/>
        <v>0</v>
      </c>
      <c r="M3863" s="3"/>
      <c r="N3863" s="3">
        <f t="shared" si="165"/>
        <v>0</v>
      </c>
      <c r="R3863" s="89"/>
      <c r="S3863" s="89">
        <f>100%-Table34[[#This Row],[PDF_initial fee]]</f>
        <v>1</v>
      </c>
      <c r="T3863" s="89"/>
      <c r="U3863" s="26"/>
    </row>
    <row r="3864" spans="1:21" hidden="1" x14ac:dyDescent="0.25">
      <c r="A3864">
        <v>710280</v>
      </c>
      <c r="B3864" t="s">
        <v>4242</v>
      </c>
      <c r="C3864" t="s">
        <v>30830</v>
      </c>
      <c r="D3864">
        <v>18</v>
      </c>
      <c r="E3864" t="s">
        <v>4242</v>
      </c>
      <c r="G3864" s="3"/>
      <c r="H3864" s="21">
        <v>0</v>
      </c>
      <c r="I3864" s="21">
        <v>0</v>
      </c>
      <c r="J3864" s="21">
        <v>0</v>
      </c>
      <c r="K3864" s="21">
        <v>0</v>
      </c>
      <c r="L3864" s="3">
        <f t="shared" si="166"/>
        <v>0</v>
      </c>
      <c r="M3864" s="3"/>
      <c r="N3864" s="3">
        <f t="shared" si="165"/>
        <v>0</v>
      </c>
      <c r="O3864" s="21"/>
      <c r="R3864" s="89"/>
      <c r="S3864" s="89">
        <f>100%-Table34[[#This Row],[PDF_initial fee]]</f>
        <v>1</v>
      </c>
      <c r="T3864" s="89"/>
      <c r="U3864" s="26"/>
    </row>
    <row r="3865" spans="1:21" hidden="1" x14ac:dyDescent="0.25">
      <c r="A3865">
        <v>710283</v>
      </c>
      <c r="B3865" t="s">
        <v>4243</v>
      </c>
      <c r="C3865" t="s">
        <v>30831</v>
      </c>
      <c r="D3865">
        <v>1</v>
      </c>
      <c r="E3865" t="s">
        <v>4243</v>
      </c>
      <c r="G3865" s="3"/>
      <c r="H3865" s="3">
        <v>0</v>
      </c>
      <c r="I3865" s="3">
        <v>0</v>
      </c>
      <c r="J3865" s="3">
        <v>0</v>
      </c>
      <c r="K3865" s="3">
        <v>0</v>
      </c>
      <c r="L3865" s="3">
        <f t="shared" si="166"/>
        <v>0</v>
      </c>
      <c r="M3865" s="3"/>
      <c r="N3865" s="3">
        <f t="shared" si="165"/>
        <v>0</v>
      </c>
      <c r="R3865" s="89"/>
      <c r="S3865" s="89">
        <f>100%-Table34[[#This Row],[PDF_initial fee]]</f>
        <v>1</v>
      </c>
      <c r="T3865" s="89"/>
      <c r="U3865" s="26"/>
    </row>
    <row r="3866" spans="1:21" hidden="1" x14ac:dyDescent="0.25">
      <c r="A3866">
        <v>710286</v>
      </c>
      <c r="B3866" t="s">
        <v>4244</v>
      </c>
      <c r="C3866" t="s">
        <v>9406</v>
      </c>
      <c r="D3866">
        <v>2</v>
      </c>
      <c r="E3866" t="s">
        <v>4244</v>
      </c>
      <c r="G3866" s="3"/>
      <c r="H3866" s="3">
        <v>0</v>
      </c>
      <c r="I3866" s="3">
        <v>0</v>
      </c>
      <c r="J3866" s="3">
        <v>0</v>
      </c>
      <c r="K3866" s="3">
        <v>0</v>
      </c>
      <c r="L3866" s="3">
        <f t="shared" si="166"/>
        <v>0</v>
      </c>
      <c r="M3866" s="3"/>
      <c r="N3866" s="3">
        <f t="shared" si="165"/>
        <v>0</v>
      </c>
      <c r="R3866" s="89"/>
      <c r="S3866" s="89">
        <f>100%-Table34[[#This Row],[PDF_initial fee]]</f>
        <v>1</v>
      </c>
      <c r="T3866" s="89"/>
      <c r="U3866" s="26"/>
    </row>
    <row r="3867" spans="1:21" hidden="1" x14ac:dyDescent="0.25">
      <c r="A3867">
        <v>710323</v>
      </c>
      <c r="B3867" t="s">
        <v>4245</v>
      </c>
      <c r="C3867" t="s">
        <v>30832</v>
      </c>
      <c r="D3867">
        <v>2</v>
      </c>
      <c r="E3867" t="s">
        <v>4245</v>
      </c>
      <c r="G3867" s="3"/>
      <c r="H3867" s="3">
        <v>0</v>
      </c>
      <c r="I3867" s="3">
        <v>0</v>
      </c>
      <c r="J3867" s="3">
        <v>0</v>
      </c>
      <c r="K3867" s="3">
        <v>0</v>
      </c>
      <c r="L3867" s="3">
        <f t="shared" si="166"/>
        <v>0</v>
      </c>
      <c r="M3867" s="3"/>
      <c r="N3867" s="3">
        <f t="shared" si="165"/>
        <v>0</v>
      </c>
      <c r="R3867" s="89"/>
      <c r="S3867" s="89">
        <f>100%-Table34[[#This Row],[PDF_initial fee]]</f>
        <v>1</v>
      </c>
      <c r="T3867" s="89"/>
      <c r="U3867" s="26"/>
    </row>
    <row r="3868" spans="1:21" hidden="1" x14ac:dyDescent="0.25">
      <c r="A3868">
        <v>710745</v>
      </c>
      <c r="B3868" t="s">
        <v>4246</v>
      </c>
      <c r="C3868" t="s">
        <v>30833</v>
      </c>
      <c r="D3868">
        <v>2</v>
      </c>
      <c r="E3868" t="s">
        <v>4246</v>
      </c>
      <c r="G3868" s="3"/>
      <c r="H3868" s="21">
        <v>0</v>
      </c>
      <c r="I3868" s="21">
        <v>0</v>
      </c>
      <c r="J3868" s="21">
        <v>0</v>
      </c>
      <c r="K3868" s="21">
        <v>0</v>
      </c>
      <c r="L3868" s="3">
        <f t="shared" si="166"/>
        <v>0</v>
      </c>
      <c r="M3868" s="3"/>
      <c r="N3868" s="3">
        <f t="shared" si="165"/>
        <v>0</v>
      </c>
      <c r="O3868" s="21"/>
      <c r="R3868" s="89"/>
      <c r="S3868" s="89">
        <f>100%-Table34[[#This Row],[PDF_initial fee]]</f>
        <v>1</v>
      </c>
      <c r="T3868" s="89"/>
      <c r="U3868" s="26"/>
    </row>
    <row r="3869" spans="1:21" hidden="1" x14ac:dyDescent="0.25">
      <c r="A3869">
        <v>710768</v>
      </c>
      <c r="B3869" t="s">
        <v>4247</v>
      </c>
      <c r="C3869" t="s">
        <v>6958</v>
      </c>
      <c r="D3869">
        <v>5</v>
      </c>
      <c r="E3869" t="s">
        <v>4247</v>
      </c>
      <c r="F3869" t="s">
        <v>6958</v>
      </c>
      <c r="G3869" s="3"/>
      <c r="H3869" s="3"/>
      <c r="I3869" s="3"/>
      <c r="J3869" s="3"/>
      <c r="K3869" s="3"/>
      <c r="L3869" s="3">
        <f t="shared" si="166"/>
        <v>0</v>
      </c>
      <c r="M3869" s="3"/>
      <c r="N3869" s="3">
        <f t="shared" si="165"/>
        <v>0</v>
      </c>
      <c r="R3869" s="89"/>
      <c r="S3869" s="89">
        <f>100%-Table34[[#This Row],[PDF_initial fee]]</f>
        <v>1</v>
      </c>
      <c r="T3869" s="89"/>
      <c r="U3869" s="26"/>
    </row>
    <row r="3870" spans="1:21" hidden="1" x14ac:dyDescent="0.25">
      <c r="A3870">
        <v>710850</v>
      </c>
      <c r="B3870" t="s">
        <v>4248</v>
      </c>
      <c r="C3870" t="s">
        <v>6958</v>
      </c>
      <c r="D3870">
        <v>1</v>
      </c>
      <c r="E3870" t="s">
        <v>4248</v>
      </c>
      <c r="F3870" t="s">
        <v>6958</v>
      </c>
      <c r="G3870" s="3"/>
      <c r="H3870" s="21">
        <v>0</v>
      </c>
      <c r="I3870" s="21">
        <v>0</v>
      </c>
      <c r="J3870" s="21">
        <v>0</v>
      </c>
      <c r="K3870" s="21">
        <v>0</v>
      </c>
      <c r="L3870" s="3">
        <f t="shared" si="166"/>
        <v>0</v>
      </c>
      <c r="M3870" s="3"/>
      <c r="N3870" s="3">
        <f t="shared" si="165"/>
        <v>0</v>
      </c>
      <c r="R3870" s="89"/>
      <c r="S3870" s="89">
        <f>100%-Table34[[#This Row],[PDF_initial fee]]</f>
        <v>1</v>
      </c>
      <c r="T3870" s="89"/>
      <c r="U3870" s="26"/>
    </row>
    <row r="3871" spans="1:21" hidden="1" x14ac:dyDescent="0.25">
      <c r="A3871">
        <v>711046</v>
      </c>
      <c r="B3871" t="s">
        <v>4249</v>
      </c>
      <c r="C3871" t="s">
        <v>6958</v>
      </c>
      <c r="D3871">
        <v>1</v>
      </c>
      <c r="E3871" t="s">
        <v>4249</v>
      </c>
      <c r="F3871" t="s">
        <v>6958</v>
      </c>
      <c r="G3871" s="3"/>
      <c r="H3871" s="21">
        <v>0</v>
      </c>
      <c r="I3871" s="21">
        <v>0</v>
      </c>
      <c r="J3871" s="21">
        <v>0</v>
      </c>
      <c r="K3871" s="21">
        <v>0</v>
      </c>
      <c r="L3871" s="3">
        <f t="shared" si="166"/>
        <v>0</v>
      </c>
      <c r="M3871" s="3"/>
      <c r="N3871" s="3">
        <f t="shared" si="165"/>
        <v>0</v>
      </c>
      <c r="R3871" s="89"/>
      <c r="S3871" s="89">
        <f>100%-Table34[[#This Row],[PDF_initial fee]]</f>
        <v>1</v>
      </c>
      <c r="T3871" s="89"/>
      <c r="U3871" s="26"/>
    </row>
    <row r="3872" spans="1:21" hidden="1" x14ac:dyDescent="0.25">
      <c r="A3872">
        <v>711070</v>
      </c>
      <c r="B3872" t="s">
        <v>4251</v>
      </c>
      <c r="C3872" t="s">
        <v>9306</v>
      </c>
      <c r="D3872">
        <v>2</v>
      </c>
      <c r="E3872" t="s">
        <v>4251</v>
      </c>
      <c r="G3872" s="3"/>
      <c r="H3872" s="21">
        <v>0</v>
      </c>
      <c r="I3872" s="21">
        <v>0</v>
      </c>
      <c r="J3872" s="21">
        <v>0</v>
      </c>
      <c r="K3872" s="21">
        <v>0</v>
      </c>
      <c r="L3872" s="3">
        <f t="shared" si="166"/>
        <v>0</v>
      </c>
      <c r="M3872" s="3"/>
      <c r="N3872" s="3">
        <f t="shared" si="165"/>
        <v>0</v>
      </c>
      <c r="R3872" s="89"/>
      <c r="S3872" s="89">
        <f>100%-Table34[[#This Row],[PDF_initial fee]]</f>
        <v>1</v>
      </c>
      <c r="T3872" s="89"/>
      <c r="U3872" s="26"/>
    </row>
    <row r="3873" spans="1:28" hidden="1" x14ac:dyDescent="0.25">
      <c r="A3873">
        <v>711110</v>
      </c>
      <c r="B3873" t="s">
        <v>4252</v>
      </c>
      <c r="C3873" t="s">
        <v>30834</v>
      </c>
      <c r="D3873">
        <v>7</v>
      </c>
      <c r="E3873" t="s">
        <v>4252</v>
      </c>
      <c r="G3873" s="3"/>
      <c r="H3873" s="3">
        <v>0</v>
      </c>
      <c r="I3873" s="3">
        <v>0</v>
      </c>
      <c r="J3873" s="3">
        <v>0</v>
      </c>
      <c r="K3873" s="3">
        <v>0</v>
      </c>
      <c r="L3873" s="3">
        <f t="shared" si="166"/>
        <v>0</v>
      </c>
      <c r="M3873" s="3"/>
      <c r="N3873" s="3">
        <f t="shared" si="165"/>
        <v>0</v>
      </c>
      <c r="R3873" s="89"/>
      <c r="S3873" s="89">
        <f>100%-Table34[[#This Row],[PDF_initial fee]]</f>
        <v>1</v>
      </c>
      <c r="T3873" s="89"/>
      <c r="U3873" s="26"/>
    </row>
    <row r="3874" spans="1:28" hidden="1" x14ac:dyDescent="0.25">
      <c r="A3874">
        <v>711124</v>
      </c>
      <c r="B3874" t="s">
        <v>4253</v>
      </c>
      <c r="C3874" t="s">
        <v>6958</v>
      </c>
      <c r="D3874">
        <v>2</v>
      </c>
      <c r="E3874" t="s">
        <v>4253</v>
      </c>
      <c r="F3874" t="s">
        <v>6958</v>
      </c>
      <c r="G3874" s="3"/>
      <c r="H3874" s="21">
        <v>0</v>
      </c>
      <c r="I3874" s="21">
        <v>0</v>
      </c>
      <c r="J3874" s="21">
        <v>0</v>
      </c>
      <c r="K3874" s="21">
        <v>0</v>
      </c>
      <c r="L3874" s="3">
        <f t="shared" si="166"/>
        <v>0</v>
      </c>
      <c r="M3874" s="3"/>
      <c r="N3874" s="3">
        <f t="shared" si="165"/>
        <v>0</v>
      </c>
      <c r="R3874" s="89"/>
      <c r="S3874" s="89">
        <f>100%-Table34[[#This Row],[PDF_initial fee]]</f>
        <v>1</v>
      </c>
      <c r="T3874" s="89"/>
      <c r="U3874" s="26"/>
    </row>
    <row r="3875" spans="1:28" hidden="1" x14ac:dyDescent="0.25">
      <c r="A3875">
        <v>711243</v>
      </c>
      <c r="B3875" t="s">
        <v>4254</v>
      </c>
      <c r="C3875" t="s">
        <v>7488</v>
      </c>
      <c r="D3875">
        <v>1</v>
      </c>
      <c r="E3875" t="s">
        <v>4254</v>
      </c>
      <c r="G3875" s="3"/>
      <c r="H3875" s="21">
        <v>0</v>
      </c>
      <c r="I3875" s="21">
        <v>0</v>
      </c>
      <c r="J3875" s="21">
        <v>0</v>
      </c>
      <c r="K3875" s="21">
        <v>0</v>
      </c>
      <c r="L3875" s="3">
        <f t="shared" si="166"/>
        <v>0</v>
      </c>
      <c r="M3875" s="3"/>
      <c r="N3875" s="3">
        <f t="shared" si="165"/>
        <v>0</v>
      </c>
      <c r="R3875" s="89"/>
      <c r="S3875" s="89">
        <f>100%-Table34[[#This Row],[PDF_initial fee]]</f>
        <v>1</v>
      </c>
      <c r="T3875" s="89"/>
      <c r="U3875" s="26"/>
    </row>
    <row r="3876" spans="1:28" hidden="1" x14ac:dyDescent="0.25">
      <c r="A3876">
        <v>711305</v>
      </c>
      <c r="B3876" t="s">
        <v>4255</v>
      </c>
      <c r="C3876" t="s">
        <v>6958</v>
      </c>
      <c r="D3876">
        <v>0</v>
      </c>
      <c r="E3876" t="s">
        <v>4255</v>
      </c>
      <c r="F3876" t="s">
        <v>6958</v>
      </c>
      <c r="G3876" s="3"/>
      <c r="H3876" s="21">
        <v>0</v>
      </c>
      <c r="I3876" s="21">
        <v>0</v>
      </c>
      <c r="J3876" s="21">
        <v>0</v>
      </c>
      <c r="K3876" s="21">
        <v>0</v>
      </c>
      <c r="L3876" s="3">
        <f t="shared" si="166"/>
        <v>0</v>
      </c>
      <c r="M3876" s="3"/>
      <c r="N3876" s="3">
        <f t="shared" si="165"/>
        <v>0</v>
      </c>
      <c r="R3876" s="89"/>
      <c r="S3876" s="89">
        <f>100%-Table34[[#This Row],[PDF_initial fee]]</f>
        <v>1</v>
      </c>
      <c r="T3876" s="89"/>
      <c r="U3876" s="26"/>
    </row>
    <row r="3877" spans="1:28" hidden="1" x14ac:dyDescent="0.25">
      <c r="A3877">
        <v>711711</v>
      </c>
      <c r="B3877" t="s">
        <v>4257</v>
      </c>
      <c r="C3877" t="s">
        <v>10471</v>
      </c>
      <c r="D3877">
        <v>2</v>
      </c>
      <c r="E3877" t="s">
        <v>4257</v>
      </c>
      <c r="G3877" s="3"/>
      <c r="H3877" s="3">
        <v>0</v>
      </c>
      <c r="I3877" s="3">
        <v>0</v>
      </c>
      <c r="J3877" s="3">
        <v>0</v>
      </c>
      <c r="K3877" s="3">
        <v>0</v>
      </c>
      <c r="L3877" s="3">
        <f t="shared" si="166"/>
        <v>0</v>
      </c>
      <c r="M3877" s="3"/>
      <c r="N3877" s="3">
        <f t="shared" si="165"/>
        <v>0</v>
      </c>
      <c r="R3877" s="89"/>
      <c r="S3877" s="89">
        <f>100%-Table34[[#This Row],[PDF_initial fee]]</f>
        <v>1</v>
      </c>
      <c r="T3877" s="89"/>
      <c r="U3877" s="26"/>
    </row>
    <row r="3878" spans="1:28" hidden="1" x14ac:dyDescent="0.25">
      <c r="A3878">
        <v>711846</v>
      </c>
      <c r="B3878" t="s">
        <v>4259</v>
      </c>
      <c r="C3878" t="s">
        <v>6958</v>
      </c>
      <c r="D3878">
        <v>2</v>
      </c>
      <c r="E3878" t="s">
        <v>4259</v>
      </c>
      <c r="F3878" t="s">
        <v>6958</v>
      </c>
      <c r="G3878" s="3"/>
      <c r="L3878" s="3">
        <f t="shared" si="166"/>
        <v>0</v>
      </c>
      <c r="M3878" s="3"/>
      <c r="N3878" s="3">
        <f t="shared" si="165"/>
        <v>0</v>
      </c>
      <c r="R3878" s="89"/>
      <c r="S3878" s="89">
        <f>100%-Table34[[#This Row],[PDF_initial fee]]</f>
        <v>1</v>
      </c>
      <c r="T3878" s="89"/>
      <c r="U3878" s="26"/>
    </row>
    <row r="3879" spans="1:28" hidden="1" x14ac:dyDescent="0.25">
      <c r="A3879">
        <v>711851</v>
      </c>
      <c r="B3879" t="s">
        <v>4260</v>
      </c>
      <c r="C3879" t="s">
        <v>6958</v>
      </c>
      <c r="D3879">
        <v>1</v>
      </c>
      <c r="E3879" t="s">
        <v>4260</v>
      </c>
      <c r="F3879" t="s">
        <v>6958</v>
      </c>
      <c r="G3879" s="3"/>
      <c r="H3879" s="21">
        <v>0</v>
      </c>
      <c r="I3879" s="21">
        <v>0</v>
      </c>
      <c r="J3879" s="21">
        <v>0</v>
      </c>
      <c r="K3879" s="21">
        <v>0</v>
      </c>
      <c r="L3879" s="3">
        <f t="shared" si="166"/>
        <v>0</v>
      </c>
      <c r="M3879" s="3"/>
      <c r="N3879" s="3">
        <f t="shared" si="165"/>
        <v>0</v>
      </c>
      <c r="R3879" s="89"/>
      <c r="S3879" s="89">
        <f>100%-Table34[[#This Row],[PDF_initial fee]]</f>
        <v>1</v>
      </c>
      <c r="T3879" s="89"/>
      <c r="U3879" s="26"/>
    </row>
    <row r="3880" spans="1:28" hidden="1" x14ac:dyDescent="0.25">
      <c r="A3880">
        <v>711931</v>
      </c>
      <c r="B3880" t="s">
        <v>4261</v>
      </c>
      <c r="C3880" t="s">
        <v>30835</v>
      </c>
      <c r="D3880">
        <v>3</v>
      </c>
      <c r="E3880" t="s">
        <v>4261</v>
      </c>
      <c r="G3880" s="3"/>
      <c r="H3880" s="3">
        <v>0</v>
      </c>
      <c r="I3880" s="3">
        <v>0</v>
      </c>
      <c r="J3880" s="3">
        <v>0</v>
      </c>
      <c r="K3880" s="3">
        <v>0</v>
      </c>
      <c r="L3880" s="3">
        <f t="shared" si="166"/>
        <v>0</v>
      </c>
      <c r="M3880" s="3"/>
      <c r="N3880" s="3">
        <f t="shared" si="165"/>
        <v>0</v>
      </c>
      <c r="R3880" s="89"/>
      <c r="S3880" s="89">
        <f>100%-Table34[[#This Row],[PDF_initial fee]]</f>
        <v>1</v>
      </c>
      <c r="T3880" s="89"/>
      <c r="U3880" s="26"/>
    </row>
    <row r="3881" spans="1:28" hidden="1" x14ac:dyDescent="0.25">
      <c r="A3881">
        <v>711969</v>
      </c>
      <c r="B3881" t="s">
        <v>4262</v>
      </c>
      <c r="C3881" t="s">
        <v>11784</v>
      </c>
      <c r="D3881">
        <v>2</v>
      </c>
      <c r="E3881" t="s">
        <v>4262</v>
      </c>
      <c r="G3881" s="3"/>
      <c r="H3881" s="3">
        <v>0</v>
      </c>
      <c r="I3881" s="3">
        <v>0</v>
      </c>
      <c r="J3881" s="3">
        <v>0</v>
      </c>
      <c r="K3881" s="3">
        <v>0</v>
      </c>
      <c r="L3881" s="3">
        <f t="shared" si="166"/>
        <v>0</v>
      </c>
      <c r="M3881" s="3"/>
      <c r="N3881" s="3">
        <f t="shared" si="165"/>
        <v>0</v>
      </c>
      <c r="R3881" s="89"/>
      <c r="S3881" s="89">
        <f>100%-Table34[[#This Row],[PDF_initial fee]]</f>
        <v>1</v>
      </c>
      <c r="T3881" s="89"/>
      <c r="U3881" s="26"/>
    </row>
    <row r="3882" spans="1:28" x14ac:dyDescent="0.25">
      <c r="A3882">
        <v>499311</v>
      </c>
      <c r="B3882" t="s">
        <v>197</v>
      </c>
      <c r="C3882" t="s">
        <v>30836</v>
      </c>
      <c r="D3882">
        <v>4</v>
      </c>
      <c r="E3882" t="s">
        <v>197</v>
      </c>
      <c r="F3882" t="s">
        <v>3</v>
      </c>
      <c r="G3882" s="3">
        <v>1.4E-3</v>
      </c>
      <c r="H3882" s="6">
        <f>((250+125+75)*10)/100000</f>
        <v>4.4999999999999998E-2</v>
      </c>
      <c r="I3882" s="3">
        <f>2.35%/2</f>
        <v>1.175E-2</v>
      </c>
      <c r="J3882" s="6">
        <v>0</v>
      </c>
      <c r="K3882" s="6"/>
      <c r="L3882" s="3">
        <f t="shared" si="166"/>
        <v>5.6749999999999995E-2</v>
      </c>
      <c r="M3882" s="3"/>
      <c r="N3882" s="3">
        <f t="shared" si="165"/>
        <v>5.8149999999999993E-2</v>
      </c>
      <c r="P3882" s="31" t="s">
        <v>30837</v>
      </c>
      <c r="Q3882" t="s">
        <v>31787</v>
      </c>
      <c r="R3882" s="89">
        <v>0.33333333333333348</v>
      </c>
      <c r="S3882" s="89">
        <f>100%-Table34[[#This Row],[InitialFee]]</f>
        <v>0.95499999999999996</v>
      </c>
      <c r="T3882" s="89">
        <f>(1-Table34[[#This Row],[OngoingFee (plus Platform fee)]])^5</f>
        <v>0.94261449773854977</v>
      </c>
      <c r="U3882" s="26">
        <f>(1+Table34[[#This Row],[Net 5yrs return (mostly up to 28th of Feb 2026)]])*Table34[[#This Row],[Investment after initial charge]]*Table34[[#This Row],[Cummulative 5yrs ongoing advice charge]]-1</f>
        <v>0.20026246045375351</v>
      </c>
      <c r="V3882" s="10">
        <v>1842409</v>
      </c>
      <c r="W3882" t="s">
        <v>29051</v>
      </c>
      <c r="X3882" s="9">
        <v>1310223</v>
      </c>
      <c r="Y3882" s="30">
        <f>X3882/V3882</f>
        <v>0.71114665636131824</v>
      </c>
      <c r="AA3882" s="1" t="s">
        <v>30838</v>
      </c>
      <c r="AB3882" t="s">
        <v>30839</v>
      </c>
    </row>
    <row r="3883" spans="1:28" hidden="1" x14ac:dyDescent="0.25">
      <c r="A3883">
        <v>712189</v>
      </c>
      <c r="B3883" t="s">
        <v>4264</v>
      </c>
      <c r="C3883" t="s">
        <v>8448</v>
      </c>
      <c r="D3883">
        <v>2</v>
      </c>
      <c r="E3883" t="s">
        <v>4264</v>
      </c>
      <c r="G3883" s="3"/>
      <c r="H3883" s="21">
        <v>0</v>
      </c>
      <c r="I3883" s="21">
        <v>0</v>
      </c>
      <c r="J3883" s="21">
        <v>0</v>
      </c>
      <c r="K3883" s="21">
        <v>0</v>
      </c>
      <c r="L3883" s="3">
        <f t="shared" si="166"/>
        <v>0</v>
      </c>
      <c r="M3883" s="3"/>
      <c r="N3883" s="3">
        <f t="shared" si="165"/>
        <v>0</v>
      </c>
      <c r="R3883" s="89"/>
      <c r="S3883" s="89">
        <f>100%-Table34[[#This Row],[PDF_initial fee]]</f>
        <v>1</v>
      </c>
      <c r="T3883" s="89"/>
      <c r="U3883" s="26"/>
    </row>
    <row r="3884" spans="1:28" hidden="1" x14ac:dyDescent="0.25">
      <c r="A3884">
        <v>712259</v>
      </c>
      <c r="B3884" t="s">
        <v>4265</v>
      </c>
      <c r="C3884" t="s">
        <v>6958</v>
      </c>
      <c r="D3884">
        <v>1</v>
      </c>
      <c r="E3884" t="s">
        <v>4265</v>
      </c>
      <c r="F3884" t="s">
        <v>6958</v>
      </c>
      <c r="G3884" s="3"/>
      <c r="H3884" s="21">
        <v>0</v>
      </c>
      <c r="I3884" s="21">
        <v>0</v>
      </c>
      <c r="J3884" s="21">
        <v>0</v>
      </c>
      <c r="K3884" s="21">
        <v>0</v>
      </c>
      <c r="L3884" s="3">
        <f t="shared" si="166"/>
        <v>0</v>
      </c>
      <c r="M3884" s="3"/>
      <c r="N3884" s="3">
        <f t="shared" si="165"/>
        <v>0</v>
      </c>
      <c r="R3884" s="89"/>
      <c r="S3884" s="89">
        <f>100%-Table34[[#This Row],[PDF_initial fee]]</f>
        <v>1</v>
      </c>
      <c r="T3884" s="89"/>
      <c r="U3884" s="26"/>
    </row>
    <row r="3885" spans="1:28" hidden="1" x14ac:dyDescent="0.25">
      <c r="A3885">
        <v>712630</v>
      </c>
      <c r="B3885" t="s">
        <v>4266</v>
      </c>
      <c r="C3885" t="s">
        <v>30840</v>
      </c>
      <c r="D3885">
        <v>1</v>
      </c>
      <c r="E3885" t="s">
        <v>4266</v>
      </c>
      <c r="G3885" s="3"/>
      <c r="H3885" s="21">
        <v>0</v>
      </c>
      <c r="I3885" s="21">
        <v>0</v>
      </c>
      <c r="J3885" s="21">
        <v>0</v>
      </c>
      <c r="K3885" s="21">
        <v>0</v>
      </c>
      <c r="L3885" s="3">
        <f t="shared" si="166"/>
        <v>0</v>
      </c>
      <c r="M3885" s="3"/>
      <c r="N3885" s="3">
        <f t="shared" si="165"/>
        <v>0</v>
      </c>
      <c r="O3885" s="21"/>
      <c r="R3885" s="89"/>
      <c r="S3885" s="89">
        <f>100%-Table34[[#This Row],[PDF_initial fee]]</f>
        <v>1</v>
      </c>
      <c r="T3885" s="89"/>
      <c r="U3885" s="26"/>
    </row>
    <row r="3886" spans="1:28" hidden="1" x14ac:dyDescent="0.25">
      <c r="A3886">
        <v>712643</v>
      </c>
      <c r="B3886" t="s">
        <v>4267</v>
      </c>
      <c r="C3886" t="s">
        <v>8125</v>
      </c>
      <c r="D3886">
        <v>1</v>
      </c>
      <c r="E3886" t="s">
        <v>4267</v>
      </c>
      <c r="G3886" s="3"/>
      <c r="H3886" s="21">
        <v>0</v>
      </c>
      <c r="I3886" s="21">
        <v>0</v>
      </c>
      <c r="J3886" s="21">
        <v>0</v>
      </c>
      <c r="K3886" s="21">
        <v>0</v>
      </c>
      <c r="L3886" s="3">
        <f t="shared" si="166"/>
        <v>0</v>
      </c>
      <c r="M3886" s="3"/>
      <c r="N3886" s="3">
        <f t="shared" si="165"/>
        <v>0</v>
      </c>
      <c r="R3886" s="89"/>
      <c r="S3886" s="89">
        <f>100%-Table34[[#This Row],[PDF_initial fee]]</f>
        <v>1</v>
      </c>
      <c r="T3886" s="89"/>
      <c r="U3886" s="26"/>
    </row>
    <row r="3887" spans="1:28" hidden="1" x14ac:dyDescent="0.25">
      <c r="A3887">
        <v>712797</v>
      </c>
      <c r="B3887" t="s">
        <v>4268</v>
      </c>
      <c r="C3887" t="s">
        <v>6958</v>
      </c>
      <c r="D3887">
        <v>1</v>
      </c>
      <c r="E3887" t="s">
        <v>4268</v>
      </c>
      <c r="F3887" t="s">
        <v>6958</v>
      </c>
      <c r="G3887" s="3"/>
      <c r="H3887" s="21">
        <v>0</v>
      </c>
      <c r="I3887" s="21">
        <v>0</v>
      </c>
      <c r="J3887" s="21">
        <v>0</v>
      </c>
      <c r="K3887" s="21">
        <v>0</v>
      </c>
      <c r="L3887" s="3">
        <f t="shared" si="166"/>
        <v>0</v>
      </c>
      <c r="M3887" s="3"/>
      <c r="N3887" s="3">
        <f t="shared" ref="N3887:N3950" si="167">L3887+G3887</f>
        <v>0</v>
      </c>
      <c r="O3887" s="21"/>
      <c r="R3887" s="89"/>
      <c r="S3887" s="89">
        <f>100%-Table34[[#This Row],[PDF_initial fee]]</f>
        <v>1</v>
      </c>
      <c r="T3887" s="89"/>
      <c r="U3887" s="26"/>
    </row>
    <row r="3888" spans="1:28" hidden="1" x14ac:dyDescent="0.25">
      <c r="A3888">
        <v>712976</v>
      </c>
      <c r="B3888" t="s">
        <v>4269</v>
      </c>
      <c r="C3888" t="s">
        <v>7013</v>
      </c>
      <c r="D3888">
        <v>1</v>
      </c>
      <c r="E3888" t="s">
        <v>4269</v>
      </c>
      <c r="G3888" s="3"/>
      <c r="H3888" s="21">
        <v>0</v>
      </c>
      <c r="I3888" s="21">
        <v>0</v>
      </c>
      <c r="J3888" s="21">
        <v>0</v>
      </c>
      <c r="K3888" s="21">
        <v>0</v>
      </c>
      <c r="L3888" s="3">
        <f t="shared" si="166"/>
        <v>0</v>
      </c>
      <c r="M3888" s="3"/>
      <c r="N3888" s="3">
        <f t="shared" si="167"/>
        <v>0</v>
      </c>
      <c r="R3888" s="89"/>
      <c r="S3888" s="89">
        <f>100%-Table34[[#This Row],[PDF_initial fee]]</f>
        <v>1</v>
      </c>
      <c r="T3888" s="89"/>
      <c r="U3888" s="26"/>
    </row>
    <row r="3889" spans="1:21" hidden="1" x14ac:dyDescent="0.25">
      <c r="A3889">
        <v>713035</v>
      </c>
      <c r="B3889" t="s">
        <v>4270</v>
      </c>
      <c r="C3889" t="s">
        <v>10468</v>
      </c>
      <c r="D3889">
        <v>8</v>
      </c>
      <c r="E3889" t="s">
        <v>4270</v>
      </c>
      <c r="G3889" s="3"/>
      <c r="H3889" s="3">
        <v>0</v>
      </c>
      <c r="I3889" s="3">
        <v>0</v>
      </c>
      <c r="J3889" s="3">
        <v>0</v>
      </c>
      <c r="K3889" s="3">
        <v>0</v>
      </c>
      <c r="L3889" s="3">
        <f t="shared" si="166"/>
        <v>0</v>
      </c>
      <c r="M3889" s="3"/>
      <c r="N3889" s="3">
        <f t="shared" si="167"/>
        <v>0</v>
      </c>
      <c r="R3889" s="89"/>
      <c r="S3889" s="89">
        <f>100%-Table34[[#This Row],[PDF_initial fee]]</f>
        <v>1</v>
      </c>
      <c r="T3889" s="89"/>
      <c r="U3889" s="26"/>
    </row>
    <row r="3890" spans="1:21" hidden="1" x14ac:dyDescent="0.25">
      <c r="A3890">
        <v>713044</v>
      </c>
      <c r="B3890" t="s">
        <v>4271</v>
      </c>
      <c r="C3890" t="s">
        <v>30841</v>
      </c>
      <c r="D3890">
        <v>1</v>
      </c>
      <c r="E3890" t="s">
        <v>4271</v>
      </c>
      <c r="G3890" s="3"/>
      <c r="H3890" s="3">
        <v>0</v>
      </c>
      <c r="I3890" s="3">
        <v>0</v>
      </c>
      <c r="J3890" s="3">
        <v>0</v>
      </c>
      <c r="K3890" s="3">
        <v>0</v>
      </c>
      <c r="L3890" s="3">
        <f t="shared" si="166"/>
        <v>0</v>
      </c>
      <c r="M3890" s="3"/>
      <c r="N3890" s="3">
        <f t="shared" si="167"/>
        <v>0</v>
      </c>
      <c r="R3890" s="89"/>
      <c r="S3890" s="89">
        <f>100%-Table34[[#This Row],[PDF_initial fee]]</f>
        <v>1</v>
      </c>
      <c r="T3890" s="89"/>
      <c r="U3890" s="26"/>
    </row>
    <row r="3891" spans="1:21" hidden="1" x14ac:dyDescent="0.25">
      <c r="A3891">
        <v>713053</v>
      </c>
      <c r="B3891" t="s">
        <v>4272</v>
      </c>
      <c r="C3891" t="s">
        <v>6958</v>
      </c>
      <c r="D3891">
        <v>1</v>
      </c>
      <c r="E3891" t="s">
        <v>4272</v>
      </c>
      <c r="F3891" t="s">
        <v>6958</v>
      </c>
      <c r="G3891" s="3"/>
      <c r="H3891" s="21">
        <v>0</v>
      </c>
      <c r="I3891" s="21">
        <v>0</v>
      </c>
      <c r="J3891" s="21">
        <v>0</v>
      </c>
      <c r="K3891" s="21">
        <v>0</v>
      </c>
      <c r="L3891" s="3">
        <f t="shared" si="166"/>
        <v>0</v>
      </c>
      <c r="M3891" s="3"/>
      <c r="N3891" s="3">
        <f t="shared" si="167"/>
        <v>0</v>
      </c>
      <c r="R3891" s="89"/>
      <c r="S3891" s="89">
        <f>100%-Table34[[#This Row],[PDF_initial fee]]</f>
        <v>1</v>
      </c>
      <c r="T3891" s="89"/>
      <c r="U3891" s="26"/>
    </row>
    <row r="3892" spans="1:21" hidden="1" x14ac:dyDescent="0.25">
      <c r="A3892">
        <v>713063</v>
      </c>
      <c r="B3892" t="s">
        <v>4273</v>
      </c>
      <c r="C3892" t="s">
        <v>30842</v>
      </c>
      <c r="D3892">
        <v>3</v>
      </c>
      <c r="E3892" t="s">
        <v>4273</v>
      </c>
      <c r="G3892" s="3"/>
      <c r="H3892" s="21">
        <v>0</v>
      </c>
      <c r="I3892" s="21">
        <v>0</v>
      </c>
      <c r="J3892" s="21">
        <v>0</v>
      </c>
      <c r="K3892" s="21">
        <v>0</v>
      </c>
      <c r="L3892" s="3">
        <f t="shared" si="166"/>
        <v>0</v>
      </c>
      <c r="M3892" s="3"/>
      <c r="N3892" s="3">
        <f t="shared" si="167"/>
        <v>0</v>
      </c>
      <c r="O3892" s="21"/>
      <c r="R3892" s="89"/>
      <c r="S3892" s="89">
        <f>100%-Table34[[#This Row],[PDF_initial fee]]</f>
        <v>1</v>
      </c>
      <c r="T3892" s="89"/>
      <c r="U3892" s="26"/>
    </row>
    <row r="3893" spans="1:21" hidden="1" x14ac:dyDescent="0.25">
      <c r="A3893">
        <v>713216</v>
      </c>
      <c r="B3893" t="s">
        <v>4275</v>
      </c>
      <c r="C3893" t="s">
        <v>6958</v>
      </c>
      <c r="D3893">
        <v>1</v>
      </c>
      <c r="E3893" t="s">
        <v>4275</v>
      </c>
      <c r="F3893" t="s">
        <v>6958</v>
      </c>
      <c r="G3893" s="3"/>
      <c r="H3893" s="21">
        <v>0</v>
      </c>
      <c r="I3893" s="21">
        <v>0</v>
      </c>
      <c r="J3893" s="21">
        <v>0</v>
      </c>
      <c r="K3893" s="21">
        <v>0</v>
      </c>
      <c r="L3893" s="3">
        <f t="shared" si="166"/>
        <v>0</v>
      </c>
      <c r="M3893" s="3"/>
      <c r="N3893" s="3">
        <f t="shared" si="167"/>
        <v>0</v>
      </c>
      <c r="R3893" s="89"/>
      <c r="S3893" s="89">
        <f>100%-Table34[[#This Row],[PDF_initial fee]]</f>
        <v>1</v>
      </c>
      <c r="T3893" s="89"/>
      <c r="U3893" s="26"/>
    </row>
    <row r="3894" spans="1:21" hidden="1" x14ac:dyDescent="0.25">
      <c r="A3894">
        <v>713294</v>
      </c>
      <c r="B3894" t="s">
        <v>4276</v>
      </c>
      <c r="C3894" t="s">
        <v>6958</v>
      </c>
      <c r="D3894">
        <v>1</v>
      </c>
      <c r="E3894" t="s">
        <v>4276</v>
      </c>
      <c r="F3894" t="s">
        <v>6958</v>
      </c>
      <c r="G3894" s="3"/>
      <c r="H3894" s="21">
        <v>0</v>
      </c>
      <c r="I3894" s="21">
        <v>0</v>
      </c>
      <c r="J3894" s="21">
        <v>0</v>
      </c>
      <c r="K3894" s="21">
        <v>0</v>
      </c>
      <c r="L3894" s="3">
        <f t="shared" si="166"/>
        <v>0</v>
      </c>
      <c r="M3894" s="3"/>
      <c r="N3894" s="3">
        <f t="shared" si="167"/>
        <v>0</v>
      </c>
      <c r="R3894" s="89"/>
      <c r="S3894" s="89">
        <f>100%-Table34[[#This Row],[PDF_initial fee]]</f>
        <v>1</v>
      </c>
      <c r="T3894" s="89"/>
      <c r="U3894" s="26"/>
    </row>
    <row r="3895" spans="1:21" hidden="1" x14ac:dyDescent="0.25">
      <c r="A3895">
        <v>713421</v>
      </c>
      <c r="B3895" t="s">
        <v>4277</v>
      </c>
      <c r="C3895" t="s">
        <v>8945</v>
      </c>
      <c r="D3895">
        <v>3</v>
      </c>
      <c r="E3895" t="s">
        <v>4277</v>
      </c>
      <c r="G3895" s="3"/>
      <c r="H3895" s="21">
        <v>0</v>
      </c>
      <c r="I3895" s="21">
        <v>0</v>
      </c>
      <c r="J3895" s="21">
        <v>0</v>
      </c>
      <c r="K3895" s="21">
        <v>0</v>
      </c>
      <c r="L3895" s="3">
        <f t="shared" si="166"/>
        <v>0</v>
      </c>
      <c r="M3895" s="3"/>
      <c r="N3895" s="3">
        <f t="shared" si="167"/>
        <v>0</v>
      </c>
      <c r="R3895" s="89"/>
      <c r="S3895" s="89">
        <f>100%-Table34[[#This Row],[PDF_initial fee]]</f>
        <v>1</v>
      </c>
      <c r="T3895" s="89"/>
      <c r="U3895" s="26"/>
    </row>
    <row r="3896" spans="1:21" hidden="1" x14ac:dyDescent="0.25">
      <c r="A3896">
        <v>713438</v>
      </c>
      <c r="B3896" t="s">
        <v>4278</v>
      </c>
      <c r="C3896" t="s">
        <v>11011</v>
      </c>
      <c r="D3896">
        <v>5</v>
      </c>
      <c r="E3896" t="s">
        <v>4278</v>
      </c>
      <c r="G3896" s="3"/>
      <c r="H3896" s="3"/>
      <c r="I3896" s="3"/>
      <c r="J3896" s="3"/>
      <c r="K3896" s="3"/>
      <c r="L3896" s="3">
        <f t="shared" si="166"/>
        <v>0</v>
      </c>
      <c r="M3896" s="3"/>
      <c r="N3896" s="3">
        <f t="shared" si="167"/>
        <v>0</v>
      </c>
      <c r="R3896" s="89"/>
      <c r="S3896" s="89">
        <f>100%-Table34[[#This Row],[PDF_initial fee]]</f>
        <v>1</v>
      </c>
      <c r="T3896" s="89"/>
      <c r="U3896" s="26"/>
    </row>
    <row r="3897" spans="1:21" hidden="1" x14ac:dyDescent="0.25">
      <c r="A3897">
        <v>713439</v>
      </c>
      <c r="B3897" t="s">
        <v>4279</v>
      </c>
      <c r="C3897" t="s">
        <v>8487</v>
      </c>
      <c r="D3897">
        <v>3</v>
      </c>
      <c r="E3897" t="s">
        <v>4279</v>
      </c>
      <c r="G3897" s="3"/>
      <c r="H3897" s="21">
        <v>0</v>
      </c>
      <c r="I3897" s="21">
        <v>0</v>
      </c>
      <c r="J3897" s="21">
        <v>0</v>
      </c>
      <c r="K3897" s="21">
        <v>0</v>
      </c>
      <c r="L3897" s="3">
        <f t="shared" si="166"/>
        <v>0</v>
      </c>
      <c r="M3897" s="3"/>
      <c r="N3897" s="3">
        <f t="shared" si="167"/>
        <v>0</v>
      </c>
      <c r="R3897" s="89"/>
      <c r="S3897" s="89">
        <f>100%-Table34[[#This Row],[PDF_initial fee]]</f>
        <v>1</v>
      </c>
      <c r="T3897" s="89"/>
      <c r="U3897" s="26"/>
    </row>
    <row r="3898" spans="1:21" hidden="1" x14ac:dyDescent="0.25">
      <c r="A3898">
        <v>713442</v>
      </c>
      <c r="B3898" t="s">
        <v>4280</v>
      </c>
      <c r="C3898" t="s">
        <v>10754</v>
      </c>
      <c r="D3898">
        <v>5</v>
      </c>
      <c r="E3898" t="s">
        <v>4280</v>
      </c>
      <c r="G3898" s="3"/>
      <c r="H3898" s="3">
        <v>0</v>
      </c>
      <c r="I3898" s="3">
        <v>0</v>
      </c>
      <c r="J3898" s="3">
        <v>0</v>
      </c>
      <c r="K3898" s="3">
        <v>0</v>
      </c>
      <c r="L3898" s="3">
        <f t="shared" si="166"/>
        <v>0</v>
      </c>
      <c r="M3898" s="3"/>
      <c r="N3898" s="3">
        <f t="shared" si="167"/>
        <v>0</v>
      </c>
      <c r="R3898" s="89"/>
      <c r="S3898" s="89">
        <f>100%-Table34[[#This Row],[PDF_initial fee]]</f>
        <v>1</v>
      </c>
      <c r="T3898" s="89"/>
      <c r="U3898" s="26"/>
    </row>
    <row r="3899" spans="1:21" hidden="1" x14ac:dyDescent="0.25">
      <c r="A3899">
        <v>713637</v>
      </c>
      <c r="B3899" t="s">
        <v>4281</v>
      </c>
      <c r="C3899" t="s">
        <v>6958</v>
      </c>
      <c r="D3899">
        <v>1</v>
      </c>
      <c r="E3899" t="s">
        <v>4281</v>
      </c>
      <c r="F3899" t="s">
        <v>6958</v>
      </c>
      <c r="G3899" s="3"/>
      <c r="H3899" s="21">
        <v>0</v>
      </c>
      <c r="I3899" s="21">
        <v>0</v>
      </c>
      <c r="J3899" s="21">
        <v>0</v>
      </c>
      <c r="K3899" s="21">
        <v>0</v>
      </c>
      <c r="L3899" s="3">
        <f t="shared" si="166"/>
        <v>0</v>
      </c>
      <c r="M3899" s="3"/>
      <c r="N3899" s="3">
        <f t="shared" si="167"/>
        <v>0</v>
      </c>
      <c r="R3899" s="89"/>
      <c r="S3899" s="89">
        <f>100%-Table34[[#This Row],[PDF_initial fee]]</f>
        <v>1</v>
      </c>
      <c r="T3899" s="89"/>
      <c r="U3899" s="26"/>
    </row>
    <row r="3900" spans="1:21" hidden="1" x14ac:dyDescent="0.25">
      <c r="A3900">
        <v>713714</v>
      </c>
      <c r="B3900" t="s">
        <v>4282</v>
      </c>
      <c r="C3900" t="s">
        <v>12385</v>
      </c>
      <c r="D3900">
        <v>1</v>
      </c>
      <c r="E3900" t="s">
        <v>4282</v>
      </c>
      <c r="G3900" s="3"/>
      <c r="H3900" s="3">
        <v>0</v>
      </c>
      <c r="I3900" s="3">
        <v>0</v>
      </c>
      <c r="J3900" s="3">
        <v>0</v>
      </c>
      <c r="K3900" s="3">
        <v>0</v>
      </c>
      <c r="L3900" s="3">
        <f t="shared" ref="L3900:L3963" si="168">SUM(H3900:K3900)</f>
        <v>0</v>
      </c>
      <c r="M3900" s="3"/>
      <c r="N3900" s="3">
        <f t="shared" si="167"/>
        <v>0</v>
      </c>
      <c r="R3900" s="89"/>
      <c r="S3900" s="89">
        <f>100%-Table34[[#This Row],[PDF_initial fee]]</f>
        <v>1</v>
      </c>
      <c r="T3900" s="89"/>
      <c r="U3900" s="26"/>
    </row>
    <row r="3901" spans="1:21" hidden="1" x14ac:dyDescent="0.25">
      <c r="A3901">
        <v>713784</v>
      </c>
      <c r="B3901" t="s">
        <v>4283</v>
      </c>
      <c r="C3901" t="s">
        <v>6973</v>
      </c>
      <c r="D3901">
        <v>1</v>
      </c>
      <c r="E3901" t="s">
        <v>4283</v>
      </c>
      <c r="G3901" s="3"/>
      <c r="L3901" s="3">
        <f t="shared" si="168"/>
        <v>0</v>
      </c>
      <c r="M3901" s="3"/>
      <c r="N3901" s="3">
        <f t="shared" si="167"/>
        <v>0</v>
      </c>
      <c r="R3901" s="89"/>
      <c r="S3901" s="89">
        <f>100%-Table34[[#This Row],[PDF_initial fee]]</f>
        <v>1</v>
      </c>
      <c r="T3901" s="89"/>
      <c r="U3901" s="26"/>
    </row>
    <row r="3902" spans="1:21" hidden="1" x14ac:dyDescent="0.25">
      <c r="A3902">
        <v>713801</v>
      </c>
      <c r="B3902" t="s">
        <v>4284</v>
      </c>
      <c r="C3902" t="s">
        <v>7598</v>
      </c>
      <c r="D3902">
        <v>2</v>
      </c>
      <c r="E3902" t="s">
        <v>4284</v>
      </c>
      <c r="G3902" s="3"/>
      <c r="H3902" s="21">
        <v>0</v>
      </c>
      <c r="I3902" s="21">
        <v>0</v>
      </c>
      <c r="J3902" s="21">
        <v>0</v>
      </c>
      <c r="K3902" s="21">
        <v>0</v>
      </c>
      <c r="L3902" s="3">
        <f t="shared" si="168"/>
        <v>0</v>
      </c>
      <c r="M3902" s="3"/>
      <c r="N3902" s="3">
        <f t="shared" si="167"/>
        <v>0</v>
      </c>
      <c r="R3902" s="89"/>
      <c r="S3902" s="89">
        <f>100%-Table34[[#This Row],[PDF_initial fee]]</f>
        <v>1</v>
      </c>
      <c r="T3902" s="89"/>
      <c r="U3902" s="26"/>
    </row>
    <row r="3903" spans="1:21" hidden="1" x14ac:dyDescent="0.25">
      <c r="A3903">
        <v>713818</v>
      </c>
      <c r="B3903" t="s">
        <v>4285</v>
      </c>
      <c r="C3903" t="s">
        <v>30843</v>
      </c>
      <c r="D3903">
        <v>1</v>
      </c>
      <c r="E3903" t="s">
        <v>4285</v>
      </c>
      <c r="G3903" s="3"/>
      <c r="H3903" s="3">
        <v>0</v>
      </c>
      <c r="I3903" s="3">
        <v>0</v>
      </c>
      <c r="J3903" s="3">
        <v>0</v>
      </c>
      <c r="K3903" s="3">
        <v>0</v>
      </c>
      <c r="L3903" s="3">
        <f t="shared" si="168"/>
        <v>0</v>
      </c>
      <c r="M3903" s="3"/>
      <c r="N3903" s="3">
        <f t="shared" si="167"/>
        <v>0</v>
      </c>
      <c r="R3903" s="89"/>
      <c r="S3903" s="89">
        <f>100%-Table34[[#This Row],[PDF_initial fee]]</f>
        <v>1</v>
      </c>
      <c r="T3903" s="89"/>
      <c r="U3903" s="26"/>
    </row>
    <row r="3904" spans="1:21" hidden="1" x14ac:dyDescent="0.25">
      <c r="A3904">
        <v>713851</v>
      </c>
      <c r="B3904" t="s">
        <v>4286</v>
      </c>
      <c r="C3904" t="s">
        <v>6958</v>
      </c>
      <c r="D3904">
        <v>1</v>
      </c>
      <c r="E3904" t="s">
        <v>4286</v>
      </c>
      <c r="F3904" t="s">
        <v>6958</v>
      </c>
      <c r="G3904" s="3"/>
      <c r="L3904" s="3">
        <f t="shared" si="168"/>
        <v>0</v>
      </c>
      <c r="M3904" s="3"/>
      <c r="N3904" s="3">
        <f t="shared" si="167"/>
        <v>0</v>
      </c>
      <c r="R3904" s="89"/>
      <c r="S3904" s="89">
        <f>100%-Table34[[#This Row],[PDF_initial fee]]</f>
        <v>1</v>
      </c>
      <c r="T3904" s="89"/>
      <c r="U3904" s="26"/>
    </row>
    <row r="3905" spans="1:27" hidden="1" x14ac:dyDescent="0.25">
      <c r="A3905">
        <v>713967</v>
      </c>
      <c r="B3905" t="s">
        <v>4288</v>
      </c>
      <c r="C3905" t="s">
        <v>30844</v>
      </c>
      <c r="D3905">
        <v>1</v>
      </c>
      <c r="E3905" t="s">
        <v>4288</v>
      </c>
      <c r="G3905" s="3"/>
      <c r="H3905" s="3">
        <v>0</v>
      </c>
      <c r="I3905" s="3">
        <v>0</v>
      </c>
      <c r="J3905" s="3">
        <v>0</v>
      </c>
      <c r="K3905" s="3">
        <v>0</v>
      </c>
      <c r="L3905" s="3">
        <f t="shared" si="168"/>
        <v>0</v>
      </c>
      <c r="M3905" s="3"/>
      <c r="N3905" s="3">
        <f t="shared" si="167"/>
        <v>0</v>
      </c>
      <c r="R3905" s="89"/>
      <c r="S3905" s="89">
        <f>100%-Table34[[#This Row],[PDF_initial fee]]</f>
        <v>1</v>
      </c>
      <c r="T3905" s="89"/>
      <c r="U3905" s="26"/>
    </row>
    <row r="3906" spans="1:27" hidden="1" x14ac:dyDescent="0.25">
      <c r="A3906">
        <v>713975</v>
      </c>
      <c r="B3906" t="s">
        <v>4289</v>
      </c>
      <c r="C3906" t="s">
        <v>6958</v>
      </c>
      <c r="D3906">
        <v>2</v>
      </c>
      <c r="E3906" t="s">
        <v>4289</v>
      </c>
      <c r="F3906" t="s">
        <v>6958</v>
      </c>
      <c r="G3906" s="3"/>
      <c r="H3906" s="21">
        <v>0</v>
      </c>
      <c r="I3906" s="21">
        <v>0</v>
      </c>
      <c r="J3906" s="21">
        <v>0</v>
      </c>
      <c r="K3906" s="21">
        <v>0</v>
      </c>
      <c r="L3906" s="3">
        <f t="shared" si="168"/>
        <v>0</v>
      </c>
      <c r="M3906" s="3"/>
      <c r="N3906" s="3">
        <f t="shared" si="167"/>
        <v>0</v>
      </c>
      <c r="O3906" s="21"/>
      <c r="R3906" s="89"/>
      <c r="S3906" s="89">
        <f>100%-Table34[[#This Row],[PDF_initial fee]]</f>
        <v>1</v>
      </c>
      <c r="T3906" s="89"/>
      <c r="U3906" s="26"/>
    </row>
    <row r="3907" spans="1:27" hidden="1" x14ac:dyDescent="0.25">
      <c r="A3907">
        <v>713979</v>
      </c>
      <c r="B3907" t="s">
        <v>4290</v>
      </c>
      <c r="C3907" t="s">
        <v>11331</v>
      </c>
      <c r="D3907">
        <v>2</v>
      </c>
      <c r="E3907" t="s">
        <v>4290</v>
      </c>
      <c r="G3907" s="3"/>
      <c r="H3907" s="3">
        <v>0</v>
      </c>
      <c r="I3907" s="3">
        <v>0</v>
      </c>
      <c r="J3907" s="3">
        <v>0</v>
      </c>
      <c r="K3907" s="3">
        <v>0</v>
      </c>
      <c r="L3907" s="3">
        <f t="shared" si="168"/>
        <v>0</v>
      </c>
      <c r="M3907" s="3"/>
      <c r="N3907" s="3">
        <f t="shared" si="167"/>
        <v>0</v>
      </c>
      <c r="R3907" s="89"/>
      <c r="S3907" s="89">
        <f>100%-Table34[[#This Row],[PDF_initial fee]]</f>
        <v>1</v>
      </c>
      <c r="T3907" s="89"/>
      <c r="U3907" s="26"/>
    </row>
    <row r="3908" spans="1:27" hidden="1" x14ac:dyDescent="0.25">
      <c r="A3908">
        <v>714004</v>
      </c>
      <c r="B3908" t="s">
        <v>4291</v>
      </c>
      <c r="C3908" t="s">
        <v>6958</v>
      </c>
      <c r="D3908">
        <v>1</v>
      </c>
      <c r="E3908" t="s">
        <v>4291</v>
      </c>
      <c r="F3908" t="s">
        <v>6958</v>
      </c>
      <c r="G3908" s="3"/>
      <c r="H3908" s="21">
        <v>0</v>
      </c>
      <c r="I3908" s="21">
        <v>0</v>
      </c>
      <c r="J3908" s="21">
        <v>0</v>
      </c>
      <c r="K3908" s="21">
        <v>0</v>
      </c>
      <c r="L3908" s="3">
        <f t="shared" si="168"/>
        <v>0</v>
      </c>
      <c r="M3908" s="3"/>
      <c r="N3908" s="3">
        <f t="shared" si="167"/>
        <v>0</v>
      </c>
      <c r="R3908" s="89"/>
      <c r="S3908" s="89">
        <f>100%-Table34[[#This Row],[PDF_initial fee]]</f>
        <v>1</v>
      </c>
      <c r="T3908" s="89"/>
      <c r="U3908" s="26"/>
    </row>
    <row r="3909" spans="1:27" hidden="1" x14ac:dyDescent="0.25">
      <c r="A3909">
        <v>714162</v>
      </c>
      <c r="B3909" t="s">
        <v>4292</v>
      </c>
      <c r="C3909" t="s">
        <v>10317</v>
      </c>
      <c r="D3909">
        <v>1</v>
      </c>
      <c r="E3909" t="s">
        <v>4292</v>
      </c>
      <c r="G3909" s="3"/>
      <c r="H3909" s="3">
        <v>0</v>
      </c>
      <c r="I3909" s="3">
        <v>0</v>
      </c>
      <c r="J3909" s="3">
        <v>0</v>
      </c>
      <c r="K3909" s="3">
        <v>0</v>
      </c>
      <c r="L3909" s="3">
        <f t="shared" si="168"/>
        <v>0</v>
      </c>
      <c r="M3909" s="3"/>
      <c r="N3909" s="3">
        <f t="shared" si="167"/>
        <v>0</v>
      </c>
      <c r="R3909" s="89"/>
      <c r="S3909" s="89">
        <f>100%-Table34[[#This Row],[PDF_initial fee]]</f>
        <v>1</v>
      </c>
      <c r="T3909" s="89"/>
      <c r="U3909" s="26"/>
    </row>
    <row r="3910" spans="1:27" hidden="1" x14ac:dyDescent="0.25">
      <c r="A3910">
        <v>714199</v>
      </c>
      <c r="B3910" t="s">
        <v>4293</v>
      </c>
      <c r="C3910" t="s">
        <v>12370</v>
      </c>
      <c r="D3910">
        <v>1</v>
      </c>
      <c r="E3910" t="s">
        <v>4293</v>
      </c>
      <c r="G3910" s="3"/>
      <c r="H3910" s="3">
        <v>0</v>
      </c>
      <c r="I3910" s="3">
        <v>0</v>
      </c>
      <c r="J3910" s="3">
        <v>0</v>
      </c>
      <c r="K3910" s="3">
        <v>0</v>
      </c>
      <c r="L3910" s="3">
        <f t="shared" si="168"/>
        <v>0</v>
      </c>
      <c r="M3910" s="3"/>
      <c r="N3910" s="3">
        <f t="shared" si="167"/>
        <v>0</v>
      </c>
      <c r="R3910" s="89"/>
      <c r="S3910" s="89">
        <f>100%-Table34[[#This Row],[PDF_initial fee]]</f>
        <v>1</v>
      </c>
      <c r="T3910" s="89"/>
      <c r="U3910" s="26"/>
    </row>
    <row r="3911" spans="1:27" x14ac:dyDescent="0.25">
      <c r="A3911">
        <v>913373</v>
      </c>
      <c r="B3911" t="s">
        <v>324</v>
      </c>
      <c r="C3911" t="s">
        <v>7953</v>
      </c>
      <c r="D3911">
        <v>2</v>
      </c>
      <c r="E3911" t="s">
        <v>324</v>
      </c>
      <c r="F3911" t="s">
        <v>3</v>
      </c>
      <c r="G3911" s="3">
        <v>1.4E-3</v>
      </c>
      <c r="H3911" s="3">
        <v>1.7500000000000002E-2</v>
      </c>
      <c r="I3911" s="3">
        <v>1.9E-2</v>
      </c>
      <c r="J3911" s="6"/>
      <c r="K3911" s="6"/>
      <c r="L3911" s="3">
        <f t="shared" si="168"/>
        <v>3.6500000000000005E-2</v>
      </c>
      <c r="M3911" s="3"/>
      <c r="N3911" s="3">
        <f t="shared" si="167"/>
        <v>3.7900000000000003E-2</v>
      </c>
      <c r="P3911" s="31" t="s">
        <v>30845</v>
      </c>
      <c r="Q3911" t="s">
        <v>31787</v>
      </c>
      <c r="R3911" s="89">
        <v>0.33333333333333348</v>
      </c>
      <c r="S3911" s="89">
        <f>100%-Table34[[#This Row],[InitialFee]]</f>
        <v>0.98250000000000004</v>
      </c>
      <c r="T3911" s="89">
        <f>(1-Table34[[#This Row],[OngoingFee (plus Platform fee)]])^5</f>
        <v>0.90854205912890107</v>
      </c>
      <c r="U3911" s="26">
        <f>(1+Table34[[#This Row],[Net 5yrs return (mostly up to 28th of Feb 2026)]])*Table34[[#This Row],[Investment after initial charge]]*Table34[[#This Row],[Cummulative 5yrs ongoing advice charge]]-1</f>
        <v>0.19019009745886062</v>
      </c>
      <c r="V3911" s="10">
        <f>68292+3927</f>
        <v>72219</v>
      </c>
      <c r="W3911" t="s">
        <v>29051</v>
      </c>
      <c r="X3911" s="9">
        <v>49386</v>
      </c>
      <c r="Y3911" s="30">
        <f>X3911/V3911</f>
        <v>0.68383666348190919</v>
      </c>
      <c r="AA3911" s="1" t="s">
        <v>30846</v>
      </c>
    </row>
    <row r="3912" spans="1:27" hidden="1" x14ac:dyDescent="0.25">
      <c r="A3912">
        <v>714305</v>
      </c>
      <c r="B3912" t="s">
        <v>4296</v>
      </c>
      <c r="C3912" t="s">
        <v>11574</v>
      </c>
      <c r="D3912">
        <v>1</v>
      </c>
      <c r="E3912" t="s">
        <v>4296</v>
      </c>
      <c r="G3912" s="3"/>
      <c r="H3912" s="3">
        <v>0</v>
      </c>
      <c r="I3912" s="3">
        <v>0</v>
      </c>
      <c r="J3912" s="3">
        <v>0</v>
      </c>
      <c r="K3912" s="3">
        <v>0</v>
      </c>
      <c r="L3912" s="3">
        <f t="shared" si="168"/>
        <v>0</v>
      </c>
      <c r="M3912" s="3"/>
      <c r="N3912" s="3">
        <f t="shared" si="167"/>
        <v>0</v>
      </c>
      <c r="R3912" s="89"/>
      <c r="S3912" s="89">
        <f>100%-Table34[[#This Row],[PDF_initial fee]]</f>
        <v>1</v>
      </c>
      <c r="T3912" s="89"/>
      <c r="U3912" s="26"/>
    </row>
    <row r="3913" spans="1:27" hidden="1" x14ac:dyDescent="0.25">
      <c r="A3913">
        <v>714320</v>
      </c>
      <c r="B3913" t="s">
        <v>4297</v>
      </c>
      <c r="C3913" t="s">
        <v>6951</v>
      </c>
      <c r="D3913">
        <v>1</v>
      </c>
      <c r="E3913" t="s">
        <v>4297</v>
      </c>
      <c r="G3913" s="3"/>
      <c r="H3913" s="21">
        <v>0</v>
      </c>
      <c r="I3913" s="21">
        <v>0</v>
      </c>
      <c r="J3913" s="21">
        <v>0</v>
      </c>
      <c r="K3913" s="21">
        <v>0</v>
      </c>
      <c r="L3913" s="3">
        <f t="shared" si="168"/>
        <v>0</v>
      </c>
      <c r="M3913" s="3"/>
      <c r="N3913" s="3">
        <f t="shared" si="167"/>
        <v>0</v>
      </c>
      <c r="R3913" s="89"/>
      <c r="S3913" s="89">
        <f>100%-Table34[[#This Row],[PDF_initial fee]]</f>
        <v>1</v>
      </c>
      <c r="T3913" s="89"/>
      <c r="U3913" s="26"/>
    </row>
    <row r="3914" spans="1:27" hidden="1" x14ac:dyDescent="0.25">
      <c r="A3914">
        <v>714405</v>
      </c>
      <c r="B3914" t="s">
        <v>4298</v>
      </c>
      <c r="C3914" t="s">
        <v>6958</v>
      </c>
      <c r="D3914">
        <v>1</v>
      </c>
      <c r="E3914" t="s">
        <v>4298</v>
      </c>
      <c r="F3914" t="s">
        <v>6958</v>
      </c>
      <c r="G3914" s="3"/>
      <c r="L3914" s="3">
        <f t="shared" si="168"/>
        <v>0</v>
      </c>
      <c r="M3914" s="3"/>
      <c r="N3914" s="3">
        <f t="shared" si="167"/>
        <v>0</v>
      </c>
      <c r="R3914" s="89"/>
      <c r="S3914" s="89">
        <f>100%-Table34[[#This Row],[PDF_initial fee]]</f>
        <v>1</v>
      </c>
      <c r="T3914" s="89"/>
      <c r="U3914" s="26"/>
    </row>
    <row r="3915" spans="1:27" hidden="1" x14ac:dyDescent="0.25">
      <c r="A3915">
        <v>714652</v>
      </c>
      <c r="B3915" t="s">
        <v>4299</v>
      </c>
      <c r="C3915" t="s">
        <v>6958</v>
      </c>
      <c r="D3915">
        <v>1</v>
      </c>
      <c r="E3915" t="s">
        <v>4299</v>
      </c>
      <c r="F3915" t="s">
        <v>6958</v>
      </c>
      <c r="G3915" s="3"/>
      <c r="H3915" s="21">
        <v>0</v>
      </c>
      <c r="I3915" s="21">
        <v>0</v>
      </c>
      <c r="J3915" s="21">
        <v>0</v>
      </c>
      <c r="K3915" s="21">
        <v>0</v>
      </c>
      <c r="L3915" s="3">
        <f t="shared" si="168"/>
        <v>0</v>
      </c>
      <c r="M3915" s="3"/>
      <c r="N3915" s="3">
        <f t="shared" si="167"/>
        <v>0</v>
      </c>
      <c r="R3915" s="89"/>
      <c r="S3915" s="89">
        <f>100%-Table34[[#This Row],[PDF_initial fee]]</f>
        <v>1</v>
      </c>
      <c r="T3915" s="89"/>
      <c r="U3915" s="26"/>
    </row>
    <row r="3916" spans="1:27" hidden="1" x14ac:dyDescent="0.25">
      <c r="A3916">
        <v>714664</v>
      </c>
      <c r="B3916" t="s">
        <v>4300</v>
      </c>
      <c r="C3916" t="s">
        <v>6958</v>
      </c>
      <c r="D3916">
        <v>1</v>
      </c>
      <c r="E3916" t="s">
        <v>4300</v>
      </c>
      <c r="F3916" t="s">
        <v>6958</v>
      </c>
      <c r="G3916" s="3"/>
      <c r="H3916" s="21">
        <v>0</v>
      </c>
      <c r="I3916" s="21">
        <v>0</v>
      </c>
      <c r="J3916" s="21">
        <v>0</v>
      </c>
      <c r="K3916" s="21">
        <v>0</v>
      </c>
      <c r="L3916" s="3">
        <f t="shared" si="168"/>
        <v>0</v>
      </c>
      <c r="M3916" s="3"/>
      <c r="N3916" s="3">
        <f t="shared" si="167"/>
        <v>0</v>
      </c>
      <c r="R3916" s="89"/>
      <c r="S3916" s="89">
        <f>100%-Table34[[#This Row],[PDF_initial fee]]</f>
        <v>1</v>
      </c>
      <c r="T3916" s="89"/>
      <c r="U3916" s="26"/>
    </row>
    <row r="3917" spans="1:27" hidden="1" x14ac:dyDescent="0.25">
      <c r="A3917">
        <v>714672</v>
      </c>
      <c r="B3917" t="s">
        <v>4301</v>
      </c>
      <c r="C3917" t="s">
        <v>6958</v>
      </c>
      <c r="D3917">
        <v>1</v>
      </c>
      <c r="E3917" t="s">
        <v>4301</v>
      </c>
      <c r="F3917" t="s">
        <v>6958</v>
      </c>
      <c r="G3917" s="3"/>
      <c r="H3917" s="21">
        <v>0</v>
      </c>
      <c r="I3917" s="21">
        <v>0</v>
      </c>
      <c r="J3917" s="21">
        <v>0</v>
      </c>
      <c r="K3917" s="21">
        <v>0</v>
      </c>
      <c r="L3917" s="3">
        <f t="shared" si="168"/>
        <v>0</v>
      </c>
      <c r="M3917" s="3"/>
      <c r="N3917" s="3">
        <f t="shared" si="167"/>
        <v>0</v>
      </c>
      <c r="R3917" s="89"/>
      <c r="S3917" s="89">
        <f>100%-Table34[[#This Row],[PDF_initial fee]]</f>
        <v>1</v>
      </c>
      <c r="T3917" s="89"/>
      <c r="U3917" s="26"/>
    </row>
    <row r="3918" spans="1:27" hidden="1" x14ac:dyDescent="0.25">
      <c r="A3918">
        <v>714717</v>
      </c>
      <c r="B3918" t="s">
        <v>4302</v>
      </c>
      <c r="C3918" t="s">
        <v>30847</v>
      </c>
      <c r="D3918">
        <v>2</v>
      </c>
      <c r="E3918" t="s">
        <v>4302</v>
      </c>
      <c r="G3918" s="3"/>
      <c r="H3918" s="3"/>
      <c r="I3918" s="3"/>
      <c r="J3918" s="3"/>
      <c r="K3918" s="3"/>
      <c r="L3918" s="3">
        <f t="shared" si="168"/>
        <v>0</v>
      </c>
      <c r="M3918" s="3"/>
      <c r="N3918" s="3">
        <f t="shared" si="167"/>
        <v>0</v>
      </c>
      <c r="R3918" s="89"/>
      <c r="S3918" s="89">
        <f>100%-Table34[[#This Row],[PDF_initial fee]]</f>
        <v>1</v>
      </c>
      <c r="T3918" s="89"/>
      <c r="U3918" s="26"/>
    </row>
    <row r="3919" spans="1:27" hidden="1" x14ac:dyDescent="0.25">
      <c r="A3919">
        <v>714745</v>
      </c>
      <c r="B3919" t="s">
        <v>4303</v>
      </c>
      <c r="C3919" t="s">
        <v>9980</v>
      </c>
      <c r="D3919">
        <v>2</v>
      </c>
      <c r="E3919" t="s">
        <v>4303</v>
      </c>
      <c r="G3919" s="3"/>
      <c r="H3919" s="3">
        <v>0</v>
      </c>
      <c r="I3919" s="3">
        <v>0</v>
      </c>
      <c r="J3919" s="3">
        <v>0</v>
      </c>
      <c r="K3919" s="3">
        <v>0</v>
      </c>
      <c r="L3919" s="3">
        <f t="shared" si="168"/>
        <v>0</v>
      </c>
      <c r="M3919" s="3"/>
      <c r="N3919" s="3">
        <f t="shared" si="167"/>
        <v>0</v>
      </c>
      <c r="R3919" s="89"/>
      <c r="S3919" s="89">
        <f>100%-Table34[[#This Row],[PDF_initial fee]]</f>
        <v>1</v>
      </c>
      <c r="T3919" s="89"/>
      <c r="U3919" s="26"/>
    </row>
    <row r="3920" spans="1:27" hidden="1" x14ac:dyDescent="0.25">
      <c r="A3920">
        <v>714833</v>
      </c>
      <c r="B3920" t="s">
        <v>4304</v>
      </c>
      <c r="C3920" t="s">
        <v>10886</v>
      </c>
      <c r="D3920">
        <v>3</v>
      </c>
      <c r="E3920" t="s">
        <v>4304</v>
      </c>
      <c r="G3920" s="3"/>
      <c r="H3920" s="3">
        <v>0</v>
      </c>
      <c r="I3920" s="3">
        <v>0</v>
      </c>
      <c r="J3920" s="3">
        <v>0</v>
      </c>
      <c r="K3920" s="3">
        <v>0</v>
      </c>
      <c r="L3920" s="3">
        <f t="shared" si="168"/>
        <v>0</v>
      </c>
      <c r="M3920" s="3"/>
      <c r="N3920" s="3">
        <f t="shared" si="167"/>
        <v>0</v>
      </c>
      <c r="R3920" s="89"/>
      <c r="S3920" s="89">
        <f>100%-Table34[[#This Row],[PDF_initial fee]]</f>
        <v>1</v>
      </c>
      <c r="T3920" s="89"/>
      <c r="U3920" s="26"/>
    </row>
    <row r="3921" spans="1:21" hidden="1" x14ac:dyDescent="0.25">
      <c r="A3921">
        <v>714847</v>
      </c>
      <c r="B3921" t="s">
        <v>4305</v>
      </c>
      <c r="C3921" t="s">
        <v>9156</v>
      </c>
      <c r="D3921">
        <v>1</v>
      </c>
      <c r="E3921" t="s">
        <v>4305</v>
      </c>
      <c r="G3921" s="3"/>
      <c r="H3921" s="21">
        <v>0</v>
      </c>
      <c r="I3921" s="21">
        <v>0</v>
      </c>
      <c r="J3921" s="21">
        <v>0</v>
      </c>
      <c r="K3921" s="21">
        <v>0</v>
      </c>
      <c r="L3921" s="3">
        <f t="shared" si="168"/>
        <v>0</v>
      </c>
      <c r="M3921" s="3"/>
      <c r="N3921" s="3">
        <f t="shared" si="167"/>
        <v>0</v>
      </c>
      <c r="R3921" s="89"/>
      <c r="S3921" s="89">
        <f>100%-Table34[[#This Row],[PDF_initial fee]]</f>
        <v>1</v>
      </c>
      <c r="T3921" s="89"/>
      <c r="U3921" s="26"/>
    </row>
    <row r="3922" spans="1:21" hidden="1" x14ac:dyDescent="0.25">
      <c r="A3922">
        <v>714940</v>
      </c>
      <c r="B3922" t="s">
        <v>4306</v>
      </c>
      <c r="C3922" t="s">
        <v>7955</v>
      </c>
      <c r="D3922">
        <v>1</v>
      </c>
      <c r="E3922" t="s">
        <v>4306</v>
      </c>
      <c r="G3922" s="3"/>
      <c r="L3922" s="3">
        <f t="shared" si="168"/>
        <v>0</v>
      </c>
      <c r="M3922" s="3"/>
      <c r="N3922" s="3">
        <f t="shared" si="167"/>
        <v>0</v>
      </c>
      <c r="R3922" s="89"/>
      <c r="S3922" s="89">
        <f>100%-Table34[[#This Row],[PDF_initial fee]]</f>
        <v>1</v>
      </c>
      <c r="T3922" s="89"/>
      <c r="U3922" s="26"/>
    </row>
    <row r="3923" spans="1:21" hidden="1" x14ac:dyDescent="0.25">
      <c r="A3923">
        <v>715058</v>
      </c>
      <c r="B3923" t="s">
        <v>4307</v>
      </c>
      <c r="C3923" t="s">
        <v>6958</v>
      </c>
      <c r="D3923">
        <v>2</v>
      </c>
      <c r="E3923" t="s">
        <v>4307</v>
      </c>
      <c r="F3923" t="s">
        <v>6958</v>
      </c>
      <c r="G3923" s="3"/>
      <c r="H3923" s="21">
        <v>0</v>
      </c>
      <c r="I3923" s="21">
        <v>0</v>
      </c>
      <c r="J3923" s="21">
        <v>0</v>
      </c>
      <c r="K3923" s="21">
        <v>0</v>
      </c>
      <c r="L3923" s="3">
        <f t="shared" si="168"/>
        <v>0</v>
      </c>
      <c r="M3923" s="3"/>
      <c r="N3923" s="3">
        <f t="shared" si="167"/>
        <v>0</v>
      </c>
      <c r="R3923" s="89"/>
      <c r="S3923" s="89">
        <f>100%-Table34[[#This Row],[PDF_initial fee]]</f>
        <v>1</v>
      </c>
      <c r="T3923" s="89"/>
      <c r="U3923" s="26"/>
    </row>
    <row r="3924" spans="1:21" hidden="1" x14ac:dyDescent="0.25">
      <c r="A3924">
        <v>715105</v>
      </c>
      <c r="B3924" t="s">
        <v>4308</v>
      </c>
      <c r="C3924" t="s">
        <v>6958</v>
      </c>
      <c r="D3924">
        <v>1</v>
      </c>
      <c r="E3924" t="s">
        <v>4308</v>
      </c>
      <c r="F3924" t="s">
        <v>6958</v>
      </c>
      <c r="G3924" s="3"/>
      <c r="L3924" s="3">
        <f t="shared" si="168"/>
        <v>0</v>
      </c>
      <c r="M3924" s="3"/>
      <c r="N3924" s="3">
        <f t="shared" si="167"/>
        <v>0</v>
      </c>
      <c r="R3924" s="89"/>
      <c r="S3924" s="89">
        <f>100%-Table34[[#This Row],[PDF_initial fee]]</f>
        <v>1</v>
      </c>
      <c r="T3924" s="89"/>
      <c r="U3924" s="26"/>
    </row>
    <row r="3925" spans="1:21" hidden="1" x14ac:dyDescent="0.25">
      <c r="A3925">
        <v>715396</v>
      </c>
      <c r="B3925" t="s">
        <v>4309</v>
      </c>
      <c r="C3925" t="s">
        <v>6958</v>
      </c>
      <c r="D3925">
        <v>0</v>
      </c>
      <c r="E3925" t="s">
        <v>4309</v>
      </c>
      <c r="F3925" t="s">
        <v>6958</v>
      </c>
      <c r="G3925" s="3"/>
      <c r="H3925" s="21">
        <v>0</v>
      </c>
      <c r="I3925" s="21">
        <v>0</v>
      </c>
      <c r="J3925" s="21">
        <v>0</v>
      </c>
      <c r="K3925" s="21">
        <v>0</v>
      </c>
      <c r="L3925" s="3">
        <f t="shared" si="168"/>
        <v>0</v>
      </c>
      <c r="M3925" s="3"/>
      <c r="N3925" s="3">
        <f t="shared" si="167"/>
        <v>0</v>
      </c>
      <c r="R3925" s="89"/>
      <c r="S3925" s="89">
        <f>100%-Table34[[#This Row],[PDF_initial fee]]</f>
        <v>1</v>
      </c>
      <c r="T3925" s="89"/>
      <c r="U3925" s="26"/>
    </row>
    <row r="3926" spans="1:21" hidden="1" x14ac:dyDescent="0.25">
      <c r="A3926">
        <v>715670</v>
      </c>
      <c r="B3926" t="s">
        <v>4310</v>
      </c>
      <c r="C3926" t="s">
        <v>6958</v>
      </c>
      <c r="D3926">
        <v>1</v>
      </c>
      <c r="E3926" t="s">
        <v>4310</v>
      </c>
      <c r="F3926" t="s">
        <v>6958</v>
      </c>
      <c r="G3926" s="3"/>
      <c r="H3926" s="21">
        <v>0</v>
      </c>
      <c r="I3926" s="21">
        <v>0</v>
      </c>
      <c r="J3926" s="21">
        <v>0</v>
      </c>
      <c r="K3926" s="21">
        <v>0</v>
      </c>
      <c r="L3926" s="3">
        <f t="shared" si="168"/>
        <v>0</v>
      </c>
      <c r="M3926" s="3"/>
      <c r="N3926" s="3">
        <f t="shared" si="167"/>
        <v>0</v>
      </c>
      <c r="R3926" s="89"/>
      <c r="S3926" s="89">
        <f>100%-Table34[[#This Row],[PDF_initial fee]]</f>
        <v>1</v>
      </c>
      <c r="T3926" s="89"/>
      <c r="U3926" s="26"/>
    </row>
    <row r="3927" spans="1:21" hidden="1" x14ac:dyDescent="0.25">
      <c r="A3927">
        <v>715678</v>
      </c>
      <c r="B3927" t="s">
        <v>4311</v>
      </c>
      <c r="C3927" t="s">
        <v>30848</v>
      </c>
      <c r="D3927">
        <v>5</v>
      </c>
      <c r="E3927" t="s">
        <v>4311</v>
      </c>
      <c r="G3927" s="3"/>
      <c r="H3927" s="3">
        <v>0</v>
      </c>
      <c r="I3927" s="3">
        <v>0</v>
      </c>
      <c r="J3927" s="3">
        <v>0</v>
      </c>
      <c r="K3927" s="3">
        <v>0</v>
      </c>
      <c r="L3927" s="3">
        <f t="shared" si="168"/>
        <v>0</v>
      </c>
      <c r="M3927" s="3"/>
      <c r="N3927" s="3">
        <f t="shared" si="167"/>
        <v>0</v>
      </c>
      <c r="R3927" s="89"/>
      <c r="S3927" s="89">
        <f>100%-Table34[[#This Row],[PDF_initial fee]]</f>
        <v>1</v>
      </c>
      <c r="T3927" s="89"/>
      <c r="U3927" s="26"/>
    </row>
    <row r="3928" spans="1:21" hidden="1" x14ac:dyDescent="0.25">
      <c r="A3928">
        <v>715787</v>
      </c>
      <c r="B3928" t="s">
        <v>4312</v>
      </c>
      <c r="C3928" t="s">
        <v>6958</v>
      </c>
      <c r="D3928">
        <v>2</v>
      </c>
      <c r="E3928" t="s">
        <v>4312</v>
      </c>
      <c r="F3928" t="s">
        <v>6958</v>
      </c>
      <c r="G3928" s="3"/>
      <c r="H3928" s="21">
        <v>0</v>
      </c>
      <c r="I3928" s="21">
        <v>0</v>
      </c>
      <c r="J3928" s="21">
        <v>0</v>
      </c>
      <c r="K3928" s="21">
        <v>0</v>
      </c>
      <c r="L3928" s="3">
        <f t="shared" si="168"/>
        <v>0</v>
      </c>
      <c r="M3928" s="3"/>
      <c r="N3928" s="3">
        <f t="shared" si="167"/>
        <v>0</v>
      </c>
      <c r="R3928" s="89"/>
      <c r="S3928" s="89">
        <f>100%-Table34[[#This Row],[PDF_initial fee]]</f>
        <v>1</v>
      </c>
      <c r="T3928" s="89"/>
      <c r="U3928" s="26"/>
    </row>
    <row r="3929" spans="1:21" hidden="1" x14ac:dyDescent="0.25">
      <c r="A3929">
        <v>715797</v>
      </c>
      <c r="B3929" t="s">
        <v>4313</v>
      </c>
      <c r="C3929" t="s">
        <v>6958</v>
      </c>
      <c r="D3929">
        <v>1</v>
      </c>
      <c r="E3929" t="s">
        <v>4313</v>
      </c>
      <c r="F3929" t="s">
        <v>6958</v>
      </c>
      <c r="G3929" s="3"/>
      <c r="H3929" s="21">
        <v>0</v>
      </c>
      <c r="I3929" s="21">
        <v>0</v>
      </c>
      <c r="J3929" s="21">
        <v>0</v>
      </c>
      <c r="K3929" s="21">
        <v>0</v>
      </c>
      <c r="L3929" s="3">
        <f t="shared" si="168"/>
        <v>0</v>
      </c>
      <c r="M3929" s="3"/>
      <c r="N3929" s="3">
        <f t="shared" si="167"/>
        <v>0</v>
      </c>
      <c r="R3929" s="89"/>
      <c r="S3929" s="89">
        <f>100%-Table34[[#This Row],[PDF_initial fee]]</f>
        <v>1</v>
      </c>
      <c r="T3929" s="89"/>
      <c r="U3929" s="26"/>
    </row>
    <row r="3930" spans="1:21" hidden="1" x14ac:dyDescent="0.25">
      <c r="A3930">
        <v>715854</v>
      </c>
      <c r="B3930" t="s">
        <v>4314</v>
      </c>
      <c r="C3930" s="1" t="s">
        <v>30849</v>
      </c>
      <c r="D3930">
        <v>1</v>
      </c>
      <c r="E3930" t="s">
        <v>4314</v>
      </c>
      <c r="G3930" s="3"/>
      <c r="H3930" s="3">
        <v>0</v>
      </c>
      <c r="I3930" s="3">
        <v>0</v>
      </c>
      <c r="J3930" s="3">
        <v>0</v>
      </c>
      <c r="K3930" s="3">
        <v>0</v>
      </c>
      <c r="L3930" s="3">
        <f t="shared" si="168"/>
        <v>0</v>
      </c>
      <c r="M3930" s="3"/>
      <c r="N3930" s="3">
        <f t="shared" si="167"/>
        <v>0</v>
      </c>
      <c r="R3930" s="89"/>
      <c r="S3930" s="89">
        <f>100%-Table34[[#This Row],[PDF_initial fee]]</f>
        <v>1</v>
      </c>
      <c r="T3930" s="89"/>
      <c r="U3930" s="26"/>
    </row>
    <row r="3931" spans="1:21" hidden="1" x14ac:dyDescent="0.25">
      <c r="A3931">
        <v>715880</v>
      </c>
      <c r="B3931" t="s">
        <v>4315</v>
      </c>
      <c r="C3931" t="s">
        <v>6958</v>
      </c>
      <c r="D3931">
        <v>1</v>
      </c>
      <c r="E3931" t="s">
        <v>4315</v>
      </c>
      <c r="F3931" t="s">
        <v>6958</v>
      </c>
      <c r="G3931" s="3"/>
      <c r="H3931" s="21">
        <v>0</v>
      </c>
      <c r="I3931" s="21">
        <v>0</v>
      </c>
      <c r="J3931" s="21">
        <v>0</v>
      </c>
      <c r="K3931" s="21">
        <v>0</v>
      </c>
      <c r="L3931" s="3">
        <f t="shared" si="168"/>
        <v>0</v>
      </c>
      <c r="M3931" s="3"/>
      <c r="N3931" s="3">
        <f t="shared" si="167"/>
        <v>0</v>
      </c>
      <c r="R3931" s="89"/>
      <c r="S3931" s="89">
        <f>100%-Table34[[#This Row],[PDF_initial fee]]</f>
        <v>1</v>
      </c>
      <c r="T3931" s="89"/>
      <c r="U3931" s="26"/>
    </row>
    <row r="3932" spans="1:21" hidden="1" x14ac:dyDescent="0.25">
      <c r="A3932">
        <v>716330</v>
      </c>
      <c r="B3932" t="s">
        <v>4316</v>
      </c>
      <c r="C3932" t="s">
        <v>30850</v>
      </c>
      <c r="D3932">
        <v>1</v>
      </c>
      <c r="E3932" t="s">
        <v>4316</v>
      </c>
      <c r="G3932" s="3"/>
      <c r="H3932" s="21">
        <v>0</v>
      </c>
      <c r="I3932" s="21">
        <v>0</v>
      </c>
      <c r="J3932" s="21">
        <v>0</v>
      </c>
      <c r="K3932" s="21">
        <v>0</v>
      </c>
      <c r="L3932" s="3">
        <f t="shared" si="168"/>
        <v>0</v>
      </c>
      <c r="M3932" s="3"/>
      <c r="N3932" s="3">
        <f t="shared" si="167"/>
        <v>0</v>
      </c>
      <c r="O3932" s="21"/>
      <c r="R3932" s="89"/>
      <c r="S3932" s="89">
        <f>100%-Table34[[#This Row],[PDF_initial fee]]</f>
        <v>1</v>
      </c>
      <c r="T3932" s="89"/>
      <c r="U3932" s="26"/>
    </row>
    <row r="3933" spans="1:21" hidden="1" x14ac:dyDescent="0.25">
      <c r="A3933">
        <v>716367</v>
      </c>
      <c r="B3933" t="s">
        <v>4317</v>
      </c>
      <c r="C3933" t="s">
        <v>9411</v>
      </c>
      <c r="D3933">
        <v>1</v>
      </c>
      <c r="E3933" t="s">
        <v>4317</v>
      </c>
      <c r="G3933" s="3"/>
      <c r="H3933" s="3">
        <v>0</v>
      </c>
      <c r="I3933" s="3">
        <v>0</v>
      </c>
      <c r="J3933" s="3">
        <v>0</v>
      </c>
      <c r="K3933" s="3">
        <v>0</v>
      </c>
      <c r="L3933" s="3">
        <f t="shared" si="168"/>
        <v>0</v>
      </c>
      <c r="M3933" s="3"/>
      <c r="N3933" s="3">
        <f t="shared" si="167"/>
        <v>0</v>
      </c>
      <c r="R3933" s="89"/>
      <c r="S3933" s="89">
        <f>100%-Table34[[#This Row],[PDF_initial fee]]</f>
        <v>1</v>
      </c>
      <c r="T3933" s="89"/>
      <c r="U3933" s="26"/>
    </row>
    <row r="3934" spans="1:21" hidden="1" x14ac:dyDescent="0.25">
      <c r="A3934">
        <v>716526</v>
      </c>
      <c r="B3934" t="s">
        <v>4318</v>
      </c>
      <c r="C3934" t="s">
        <v>8981</v>
      </c>
      <c r="D3934">
        <v>1</v>
      </c>
      <c r="E3934" t="s">
        <v>4318</v>
      </c>
      <c r="G3934" s="3"/>
      <c r="L3934" s="3">
        <f t="shared" si="168"/>
        <v>0</v>
      </c>
      <c r="M3934" s="3"/>
      <c r="N3934" s="3">
        <f t="shared" si="167"/>
        <v>0</v>
      </c>
      <c r="R3934" s="89"/>
      <c r="S3934" s="89">
        <f>100%-Table34[[#This Row],[PDF_initial fee]]</f>
        <v>1</v>
      </c>
      <c r="T3934" s="89"/>
      <c r="U3934" s="26"/>
    </row>
    <row r="3935" spans="1:21" hidden="1" x14ac:dyDescent="0.25">
      <c r="A3935">
        <v>716700</v>
      </c>
      <c r="B3935" t="s">
        <v>4319</v>
      </c>
      <c r="C3935" t="s">
        <v>11864</v>
      </c>
      <c r="D3935">
        <v>1</v>
      </c>
      <c r="E3935" t="s">
        <v>4319</v>
      </c>
      <c r="G3935" s="3"/>
      <c r="H3935" s="3">
        <v>0</v>
      </c>
      <c r="I3935" s="3">
        <v>0</v>
      </c>
      <c r="J3935" s="3">
        <v>0</v>
      </c>
      <c r="K3935" s="3">
        <v>0</v>
      </c>
      <c r="L3935" s="3">
        <f t="shared" si="168"/>
        <v>0</v>
      </c>
      <c r="M3935" s="3"/>
      <c r="N3935" s="3">
        <f t="shared" si="167"/>
        <v>0</v>
      </c>
      <c r="R3935" s="89"/>
      <c r="S3935" s="89">
        <f>100%-Table34[[#This Row],[PDF_initial fee]]</f>
        <v>1</v>
      </c>
      <c r="T3935" s="89"/>
      <c r="U3935" s="26"/>
    </row>
    <row r="3936" spans="1:21" hidden="1" x14ac:dyDescent="0.25">
      <c r="A3936">
        <v>716709</v>
      </c>
      <c r="B3936" t="s">
        <v>4320</v>
      </c>
      <c r="C3936" t="s">
        <v>30851</v>
      </c>
      <c r="D3936">
        <v>1</v>
      </c>
      <c r="E3936" t="s">
        <v>4320</v>
      </c>
      <c r="G3936" s="3"/>
      <c r="H3936" s="3">
        <v>0</v>
      </c>
      <c r="I3936" s="3">
        <v>0</v>
      </c>
      <c r="J3936" s="3">
        <v>0</v>
      </c>
      <c r="K3936" s="3">
        <v>0</v>
      </c>
      <c r="L3936" s="3">
        <f t="shared" si="168"/>
        <v>0</v>
      </c>
      <c r="M3936" s="3"/>
      <c r="N3936" s="3">
        <f t="shared" si="167"/>
        <v>0</v>
      </c>
      <c r="R3936" s="89"/>
      <c r="S3936" s="89">
        <f>100%-Table34[[#This Row],[PDF_initial fee]]</f>
        <v>1</v>
      </c>
      <c r="T3936" s="89"/>
      <c r="U3936" s="26"/>
    </row>
    <row r="3937" spans="1:27" hidden="1" x14ac:dyDescent="0.25">
      <c r="A3937">
        <v>716741</v>
      </c>
      <c r="B3937" t="s">
        <v>4321</v>
      </c>
      <c r="C3937" t="s">
        <v>6958</v>
      </c>
      <c r="D3937">
        <v>1</v>
      </c>
      <c r="E3937" t="s">
        <v>4321</v>
      </c>
      <c r="F3937" t="s">
        <v>6958</v>
      </c>
      <c r="G3937" s="3"/>
      <c r="H3937" s="21">
        <v>0</v>
      </c>
      <c r="I3937" s="21">
        <v>0</v>
      </c>
      <c r="J3937" s="21">
        <v>0</v>
      </c>
      <c r="K3937" s="21">
        <v>0</v>
      </c>
      <c r="L3937" s="3">
        <f t="shared" si="168"/>
        <v>0</v>
      </c>
      <c r="M3937" s="3"/>
      <c r="N3937" s="3">
        <f t="shared" si="167"/>
        <v>0</v>
      </c>
      <c r="R3937" s="89"/>
      <c r="S3937" s="89">
        <f>100%-Table34[[#This Row],[PDF_initial fee]]</f>
        <v>1</v>
      </c>
      <c r="T3937" s="89"/>
      <c r="U3937" s="26"/>
    </row>
    <row r="3938" spans="1:27" hidden="1" x14ac:dyDescent="0.25">
      <c r="A3938">
        <v>717296</v>
      </c>
      <c r="B3938" t="s">
        <v>4322</v>
      </c>
      <c r="C3938" t="s">
        <v>6958</v>
      </c>
      <c r="D3938">
        <v>1</v>
      </c>
      <c r="E3938" t="s">
        <v>4322</v>
      </c>
      <c r="F3938" t="s">
        <v>6958</v>
      </c>
      <c r="G3938" s="3"/>
      <c r="H3938" s="21">
        <v>0</v>
      </c>
      <c r="I3938" s="21">
        <v>0</v>
      </c>
      <c r="J3938" s="21">
        <v>0</v>
      </c>
      <c r="K3938" s="21">
        <v>0</v>
      </c>
      <c r="L3938" s="3">
        <f t="shared" si="168"/>
        <v>0</v>
      </c>
      <c r="M3938" s="3"/>
      <c r="N3938" s="3">
        <f t="shared" si="167"/>
        <v>0</v>
      </c>
      <c r="R3938" s="89"/>
      <c r="S3938" s="89">
        <f>100%-Table34[[#This Row],[PDF_initial fee]]</f>
        <v>1</v>
      </c>
      <c r="T3938" s="89"/>
      <c r="U3938" s="26"/>
    </row>
    <row r="3939" spans="1:27" hidden="1" x14ac:dyDescent="0.25">
      <c r="A3939">
        <v>717307</v>
      </c>
      <c r="B3939" t="s">
        <v>4323</v>
      </c>
      <c r="C3939" t="s">
        <v>30852</v>
      </c>
      <c r="D3939">
        <v>7</v>
      </c>
      <c r="E3939" t="s">
        <v>4323</v>
      </c>
      <c r="G3939" s="3"/>
      <c r="H3939" s="3">
        <v>0</v>
      </c>
      <c r="I3939" s="3">
        <v>0</v>
      </c>
      <c r="J3939" s="3">
        <v>0</v>
      </c>
      <c r="K3939" s="3">
        <v>0</v>
      </c>
      <c r="L3939" s="3">
        <f t="shared" si="168"/>
        <v>0</v>
      </c>
      <c r="M3939" s="3"/>
      <c r="N3939" s="3">
        <f t="shared" si="167"/>
        <v>0</v>
      </c>
      <c r="R3939" s="89"/>
      <c r="S3939" s="89">
        <f>100%-Table34[[#This Row],[PDF_initial fee]]</f>
        <v>1</v>
      </c>
      <c r="T3939" s="89"/>
      <c r="U3939" s="26"/>
    </row>
    <row r="3940" spans="1:27" hidden="1" x14ac:dyDescent="0.25">
      <c r="A3940">
        <v>717312</v>
      </c>
      <c r="B3940" t="s">
        <v>4324</v>
      </c>
      <c r="C3940" t="s">
        <v>6958</v>
      </c>
      <c r="D3940">
        <v>1</v>
      </c>
      <c r="E3940" t="s">
        <v>4324</v>
      </c>
      <c r="F3940" t="s">
        <v>6958</v>
      </c>
      <c r="G3940" s="3"/>
      <c r="H3940" s="21">
        <v>0</v>
      </c>
      <c r="I3940" s="21">
        <v>0</v>
      </c>
      <c r="J3940" s="21">
        <v>0</v>
      </c>
      <c r="K3940" s="21">
        <v>0</v>
      </c>
      <c r="L3940" s="3">
        <f t="shared" si="168"/>
        <v>0</v>
      </c>
      <c r="M3940" s="3"/>
      <c r="N3940" s="3">
        <f t="shared" si="167"/>
        <v>0</v>
      </c>
      <c r="R3940" s="89"/>
      <c r="S3940" s="89">
        <f>100%-Table34[[#This Row],[PDF_initial fee]]</f>
        <v>1</v>
      </c>
      <c r="T3940" s="89"/>
      <c r="U3940" s="26"/>
    </row>
    <row r="3941" spans="1:27" hidden="1" x14ac:dyDescent="0.25">
      <c r="A3941">
        <v>717351</v>
      </c>
      <c r="B3941" t="s">
        <v>4325</v>
      </c>
      <c r="C3941" t="s">
        <v>6958</v>
      </c>
      <c r="D3941">
        <v>1</v>
      </c>
      <c r="E3941" t="s">
        <v>4325</v>
      </c>
      <c r="F3941" t="s">
        <v>6958</v>
      </c>
      <c r="G3941" s="3"/>
      <c r="H3941" s="21">
        <v>0</v>
      </c>
      <c r="I3941" s="21">
        <v>0</v>
      </c>
      <c r="J3941" s="21">
        <v>0</v>
      </c>
      <c r="K3941" s="21">
        <v>0</v>
      </c>
      <c r="L3941" s="3">
        <f t="shared" si="168"/>
        <v>0</v>
      </c>
      <c r="M3941" s="3"/>
      <c r="N3941" s="3">
        <f t="shared" si="167"/>
        <v>0</v>
      </c>
      <c r="R3941" s="89"/>
      <c r="S3941" s="89">
        <f>100%-Table34[[#This Row],[PDF_initial fee]]</f>
        <v>1</v>
      </c>
      <c r="T3941" s="89"/>
      <c r="U3941" s="26"/>
    </row>
    <row r="3942" spans="1:27" hidden="1" x14ac:dyDescent="0.25">
      <c r="A3942">
        <v>717535</v>
      </c>
      <c r="B3942" t="s">
        <v>4326</v>
      </c>
      <c r="C3942" t="s">
        <v>8139</v>
      </c>
      <c r="D3942">
        <v>3</v>
      </c>
      <c r="E3942" t="s">
        <v>4326</v>
      </c>
      <c r="G3942" s="3"/>
      <c r="H3942" s="21">
        <v>0</v>
      </c>
      <c r="I3942" s="21">
        <v>0</v>
      </c>
      <c r="J3942" s="21">
        <v>0</v>
      </c>
      <c r="K3942" s="21">
        <v>0</v>
      </c>
      <c r="L3942" s="3">
        <f t="shared" si="168"/>
        <v>0</v>
      </c>
      <c r="M3942" s="3"/>
      <c r="N3942" s="3">
        <f t="shared" si="167"/>
        <v>0</v>
      </c>
      <c r="R3942" s="89"/>
      <c r="S3942" s="89">
        <f>100%-Table34[[#This Row],[PDF_initial fee]]</f>
        <v>1</v>
      </c>
      <c r="T3942" s="89"/>
      <c r="U3942" s="26"/>
    </row>
    <row r="3943" spans="1:27" hidden="1" x14ac:dyDescent="0.25">
      <c r="A3943">
        <v>717555</v>
      </c>
      <c r="B3943" t="s">
        <v>4327</v>
      </c>
      <c r="C3943" t="s">
        <v>12273</v>
      </c>
      <c r="D3943">
        <v>2</v>
      </c>
      <c r="E3943" t="s">
        <v>4327</v>
      </c>
      <c r="G3943" s="3"/>
      <c r="H3943" s="3">
        <v>0</v>
      </c>
      <c r="I3943" s="3">
        <v>0</v>
      </c>
      <c r="J3943" s="3">
        <v>0</v>
      </c>
      <c r="K3943" s="3">
        <v>0</v>
      </c>
      <c r="L3943" s="3">
        <f t="shared" si="168"/>
        <v>0</v>
      </c>
      <c r="M3943" s="3"/>
      <c r="N3943" s="3">
        <f t="shared" si="167"/>
        <v>0</v>
      </c>
      <c r="R3943" s="89"/>
      <c r="S3943" s="89">
        <f>100%-Table34[[#This Row],[PDF_initial fee]]</f>
        <v>1</v>
      </c>
      <c r="T3943" s="89"/>
      <c r="U3943" s="26"/>
    </row>
    <row r="3944" spans="1:27" x14ac:dyDescent="0.25">
      <c r="A3944">
        <v>459515</v>
      </c>
      <c r="B3944" t="s">
        <v>179</v>
      </c>
      <c r="C3944" t="s">
        <v>8297</v>
      </c>
      <c r="D3944">
        <v>4</v>
      </c>
      <c r="E3944" t="s">
        <v>179</v>
      </c>
      <c r="F3944" t="s">
        <v>3</v>
      </c>
      <c r="G3944" s="3">
        <v>1.4E-3</v>
      </c>
      <c r="H3944" s="3">
        <v>2.5000000000000001E-2</v>
      </c>
      <c r="I3944" s="3">
        <v>0.01</v>
      </c>
      <c r="J3944" s="6">
        <v>0</v>
      </c>
      <c r="K3944" s="6">
        <v>0</v>
      </c>
      <c r="L3944" s="3">
        <f t="shared" si="168"/>
        <v>3.5000000000000003E-2</v>
      </c>
      <c r="M3944" s="3"/>
      <c r="N3944" s="3">
        <f t="shared" si="167"/>
        <v>3.6400000000000002E-2</v>
      </c>
      <c r="P3944" s="31" t="s">
        <v>30853</v>
      </c>
      <c r="Q3944" t="s">
        <v>31787</v>
      </c>
      <c r="R3944" s="89">
        <v>0.33333333333333348</v>
      </c>
      <c r="S3944" s="89">
        <f>100%-Table34[[#This Row],[InitialFee]]</f>
        <v>0.97499999999999998</v>
      </c>
      <c r="T3944" s="89">
        <f>(1-Table34[[#This Row],[OngoingFee (plus Platform fee)]])^5</f>
        <v>0.95099004989999991</v>
      </c>
      <c r="U3944" s="26">
        <f>(1+Table34[[#This Row],[Net 5yrs return (mostly up to 28th of Feb 2026)]])*Table34[[#This Row],[Investment after initial charge]]*Table34[[#This Row],[Cummulative 5yrs ongoing advice charge]]-1</f>
        <v>0.23628706486999995</v>
      </c>
      <c r="V3944" s="10">
        <f>252835+39905</f>
        <v>292740</v>
      </c>
      <c r="W3944" t="s">
        <v>29051</v>
      </c>
      <c r="X3944" s="9">
        <v>247749</v>
      </c>
      <c r="Y3944" s="30">
        <f>X3944/V3944</f>
        <v>0.84631071940971514</v>
      </c>
      <c r="AA3944" s="1" t="s">
        <v>30854</v>
      </c>
    </row>
    <row r="3945" spans="1:27" hidden="1" x14ac:dyDescent="0.25">
      <c r="A3945">
        <v>717860</v>
      </c>
      <c r="B3945" t="s">
        <v>4328</v>
      </c>
      <c r="C3945" t="s">
        <v>10838</v>
      </c>
      <c r="D3945">
        <v>1</v>
      </c>
      <c r="E3945" t="s">
        <v>4328</v>
      </c>
      <c r="G3945" s="3"/>
      <c r="H3945" s="3">
        <v>0</v>
      </c>
      <c r="I3945" s="3">
        <v>0</v>
      </c>
      <c r="J3945" s="3">
        <v>0</v>
      </c>
      <c r="K3945" s="3">
        <v>0</v>
      </c>
      <c r="L3945" s="3">
        <f t="shared" si="168"/>
        <v>0</v>
      </c>
      <c r="M3945" s="3"/>
      <c r="N3945" s="3">
        <f t="shared" si="167"/>
        <v>0</v>
      </c>
      <c r="R3945" s="89"/>
      <c r="S3945" s="89">
        <f>100%-Table34[[#This Row],[PDF_initial fee]]</f>
        <v>1</v>
      </c>
      <c r="T3945" s="89"/>
      <c r="U3945" s="26"/>
    </row>
    <row r="3946" spans="1:27" hidden="1" x14ac:dyDescent="0.25">
      <c r="A3946">
        <v>717863</v>
      </c>
      <c r="B3946" t="s">
        <v>4329</v>
      </c>
      <c r="C3946" t="s">
        <v>8072</v>
      </c>
      <c r="D3946">
        <v>1</v>
      </c>
      <c r="E3946" t="s">
        <v>4329</v>
      </c>
      <c r="G3946" s="3"/>
      <c r="H3946" s="21">
        <v>0</v>
      </c>
      <c r="I3946" s="21">
        <v>0</v>
      </c>
      <c r="J3946" s="21">
        <v>0</v>
      </c>
      <c r="K3946" s="21">
        <v>0</v>
      </c>
      <c r="L3946" s="3">
        <f t="shared" si="168"/>
        <v>0</v>
      </c>
      <c r="M3946" s="3"/>
      <c r="N3946" s="3">
        <f t="shared" si="167"/>
        <v>0</v>
      </c>
      <c r="R3946" s="89"/>
      <c r="S3946" s="89">
        <f>100%-Table34[[#This Row],[PDF_initial fee]]</f>
        <v>1</v>
      </c>
      <c r="T3946" s="89"/>
      <c r="U3946" s="26"/>
    </row>
    <row r="3947" spans="1:27" hidden="1" x14ac:dyDescent="0.25">
      <c r="A3947">
        <v>717874</v>
      </c>
      <c r="B3947" t="s">
        <v>4330</v>
      </c>
      <c r="C3947" t="s">
        <v>12513</v>
      </c>
      <c r="D3947">
        <v>2</v>
      </c>
      <c r="E3947" t="s">
        <v>4330</v>
      </c>
      <c r="G3947" s="3"/>
      <c r="H3947" s="3">
        <v>0</v>
      </c>
      <c r="I3947" s="3">
        <v>0</v>
      </c>
      <c r="J3947" s="3">
        <v>0</v>
      </c>
      <c r="K3947" s="3">
        <v>0</v>
      </c>
      <c r="L3947" s="3">
        <f t="shared" si="168"/>
        <v>0</v>
      </c>
      <c r="M3947" s="3"/>
      <c r="N3947" s="3">
        <f t="shared" si="167"/>
        <v>0</v>
      </c>
      <c r="R3947" s="89"/>
      <c r="S3947" s="89">
        <f>100%-Table34[[#This Row],[PDF_initial fee]]</f>
        <v>1</v>
      </c>
      <c r="T3947" s="89"/>
      <c r="U3947" s="26"/>
    </row>
    <row r="3948" spans="1:27" hidden="1" x14ac:dyDescent="0.25">
      <c r="A3948">
        <v>717892</v>
      </c>
      <c r="B3948" t="s">
        <v>4331</v>
      </c>
      <c r="C3948" t="s">
        <v>6958</v>
      </c>
      <c r="D3948">
        <v>5</v>
      </c>
      <c r="E3948" t="s">
        <v>4331</v>
      </c>
      <c r="F3948" t="s">
        <v>6958</v>
      </c>
      <c r="G3948" s="3"/>
      <c r="H3948" s="21">
        <v>0</v>
      </c>
      <c r="I3948" s="21">
        <v>0</v>
      </c>
      <c r="J3948" s="21">
        <v>0</v>
      </c>
      <c r="K3948" s="21">
        <v>0</v>
      </c>
      <c r="L3948" s="3">
        <f t="shared" si="168"/>
        <v>0</v>
      </c>
      <c r="M3948" s="3"/>
      <c r="N3948" s="3">
        <f t="shared" si="167"/>
        <v>0</v>
      </c>
      <c r="R3948" s="89"/>
      <c r="S3948" s="89">
        <f>100%-Table34[[#This Row],[PDF_initial fee]]</f>
        <v>1</v>
      </c>
      <c r="T3948" s="89"/>
      <c r="U3948" s="26"/>
    </row>
    <row r="3949" spans="1:27" hidden="1" x14ac:dyDescent="0.25">
      <c r="A3949">
        <v>717987</v>
      </c>
      <c r="B3949" t="s">
        <v>4332</v>
      </c>
      <c r="C3949" t="s">
        <v>6958</v>
      </c>
      <c r="D3949">
        <v>1</v>
      </c>
      <c r="E3949" t="s">
        <v>4332</v>
      </c>
      <c r="F3949" t="s">
        <v>6958</v>
      </c>
      <c r="G3949" s="3"/>
      <c r="H3949" s="21">
        <v>0</v>
      </c>
      <c r="I3949" s="21">
        <v>0</v>
      </c>
      <c r="J3949" s="21">
        <v>0</v>
      </c>
      <c r="K3949" s="21">
        <v>0</v>
      </c>
      <c r="L3949" s="3">
        <f t="shared" si="168"/>
        <v>0</v>
      </c>
      <c r="M3949" s="3"/>
      <c r="N3949" s="3">
        <f t="shared" si="167"/>
        <v>0</v>
      </c>
      <c r="R3949" s="89"/>
      <c r="S3949" s="89">
        <f>100%-Table34[[#This Row],[PDF_initial fee]]</f>
        <v>1</v>
      </c>
      <c r="T3949" s="89"/>
      <c r="U3949" s="26"/>
    </row>
    <row r="3950" spans="1:27" x14ac:dyDescent="0.25">
      <c r="A3950">
        <v>530750</v>
      </c>
      <c r="B3950" t="s">
        <v>216</v>
      </c>
      <c r="C3950" s="1" t="s">
        <v>30855</v>
      </c>
      <c r="D3950">
        <v>25</v>
      </c>
      <c r="E3950" t="s">
        <v>216</v>
      </c>
      <c r="F3950" t="s">
        <v>3</v>
      </c>
      <c r="G3950" s="3">
        <v>1.4E-3</v>
      </c>
      <c r="H3950" s="3">
        <v>1.7500000000000002E-2</v>
      </c>
      <c r="I3950" s="3">
        <v>0.01</v>
      </c>
      <c r="J3950" s="6">
        <v>0</v>
      </c>
      <c r="K3950" s="6">
        <v>0</v>
      </c>
      <c r="L3950" s="3">
        <f t="shared" si="168"/>
        <v>2.7500000000000004E-2</v>
      </c>
      <c r="M3950" s="3"/>
      <c r="N3950" s="3">
        <f t="shared" si="167"/>
        <v>2.8900000000000002E-2</v>
      </c>
      <c r="P3950" s="31" t="s">
        <v>30856</v>
      </c>
      <c r="Q3950" t="s">
        <v>31787</v>
      </c>
      <c r="R3950" s="89">
        <v>0.33333333333333348</v>
      </c>
      <c r="S3950" s="89">
        <f>100%-Table34[[#This Row],[InitialFee]]</f>
        <v>0.98250000000000004</v>
      </c>
      <c r="T3950" s="89">
        <f>(1-Table34[[#This Row],[OngoingFee (plus Platform fee)]])^5</f>
        <v>0.95099004989999991</v>
      </c>
      <c r="U3950" s="26">
        <f>(1+Table34[[#This Row],[Net 5yrs return (mostly up to 28th of Feb 2026)]])*Table34[[#This Row],[Investment after initial charge]]*Table34[[#This Row],[Cummulative 5yrs ongoing advice charge]]-1</f>
        <v>0.2457969653690002</v>
      </c>
      <c r="V3950" s="10">
        <f>57168+8023</f>
        <v>65191</v>
      </c>
      <c r="W3950" t="s">
        <v>29051</v>
      </c>
      <c r="X3950" s="9">
        <v>23619</v>
      </c>
      <c r="Y3950" s="30">
        <f>X3950/V3950</f>
        <v>0.36230461259989877</v>
      </c>
      <c r="AA3950" s="1" t="s">
        <v>30857</v>
      </c>
    </row>
    <row r="3951" spans="1:27" hidden="1" x14ac:dyDescent="0.25">
      <c r="A3951">
        <v>718072</v>
      </c>
      <c r="B3951" t="s">
        <v>4333</v>
      </c>
      <c r="C3951" t="s">
        <v>7651</v>
      </c>
      <c r="D3951">
        <v>1</v>
      </c>
      <c r="E3951" t="s">
        <v>4333</v>
      </c>
      <c r="G3951" s="3"/>
      <c r="H3951" s="39"/>
      <c r="I3951" s="39"/>
      <c r="J3951" s="39"/>
      <c r="K3951" s="39"/>
      <c r="L3951" s="3">
        <f t="shared" si="168"/>
        <v>0</v>
      </c>
      <c r="M3951" s="3"/>
      <c r="N3951" s="3">
        <f t="shared" ref="N3951:N4015" si="169">L3951+G3951</f>
        <v>0</v>
      </c>
      <c r="R3951" s="89"/>
      <c r="S3951" s="89">
        <f>100%-Table34[[#This Row],[PDF_initial fee]]</f>
        <v>1</v>
      </c>
      <c r="T3951" s="89"/>
      <c r="U3951" s="26"/>
    </row>
    <row r="3952" spans="1:27" hidden="1" x14ac:dyDescent="0.25">
      <c r="A3952">
        <v>718073</v>
      </c>
      <c r="B3952" t="s">
        <v>4334</v>
      </c>
      <c r="C3952" t="s">
        <v>30858</v>
      </c>
      <c r="D3952">
        <v>2</v>
      </c>
      <c r="E3952" t="s">
        <v>4334</v>
      </c>
      <c r="G3952" s="3"/>
      <c r="H3952" s="21">
        <v>0</v>
      </c>
      <c r="I3952" s="21">
        <v>0</v>
      </c>
      <c r="J3952" s="21">
        <v>0</v>
      </c>
      <c r="K3952" s="21">
        <v>0</v>
      </c>
      <c r="L3952" s="3">
        <f t="shared" si="168"/>
        <v>0</v>
      </c>
      <c r="M3952" s="3"/>
      <c r="N3952" s="3">
        <f t="shared" si="169"/>
        <v>0</v>
      </c>
      <c r="O3952" s="21"/>
      <c r="R3952" s="89"/>
      <c r="S3952" s="89">
        <f>100%-Table34[[#This Row],[PDF_initial fee]]</f>
        <v>1</v>
      </c>
      <c r="T3952" s="89"/>
      <c r="U3952" s="26"/>
    </row>
    <row r="3953" spans="1:21" hidden="1" x14ac:dyDescent="0.25">
      <c r="A3953">
        <v>718256</v>
      </c>
      <c r="B3953" t="s">
        <v>4336</v>
      </c>
      <c r="C3953" t="s">
        <v>30859</v>
      </c>
      <c r="D3953">
        <v>1</v>
      </c>
      <c r="E3953" t="s">
        <v>4336</v>
      </c>
      <c r="G3953" s="3"/>
      <c r="H3953" s="21">
        <v>0</v>
      </c>
      <c r="I3953" s="21">
        <v>0</v>
      </c>
      <c r="J3953" s="21">
        <v>0</v>
      </c>
      <c r="K3953" s="21">
        <v>0</v>
      </c>
      <c r="L3953" s="3">
        <f t="shared" si="168"/>
        <v>0</v>
      </c>
      <c r="M3953" s="3"/>
      <c r="N3953" s="3">
        <f t="shared" si="169"/>
        <v>0</v>
      </c>
      <c r="O3953" s="21"/>
      <c r="R3953" s="89"/>
      <c r="S3953" s="89">
        <f>100%-Table34[[#This Row],[PDF_initial fee]]</f>
        <v>1</v>
      </c>
      <c r="T3953" s="89"/>
      <c r="U3953" s="26"/>
    </row>
    <row r="3954" spans="1:21" hidden="1" x14ac:dyDescent="0.25">
      <c r="A3954">
        <v>718394</v>
      </c>
      <c r="B3954" t="s">
        <v>4337</v>
      </c>
      <c r="C3954" t="s">
        <v>30860</v>
      </c>
      <c r="D3954">
        <v>3</v>
      </c>
      <c r="E3954" t="s">
        <v>4337</v>
      </c>
      <c r="G3954" s="3"/>
      <c r="H3954" s="21">
        <v>0</v>
      </c>
      <c r="I3954" s="3">
        <v>0</v>
      </c>
      <c r="J3954" s="3">
        <v>0</v>
      </c>
      <c r="K3954">
        <v>0</v>
      </c>
      <c r="L3954" s="3">
        <f t="shared" si="168"/>
        <v>0</v>
      </c>
      <c r="M3954" s="3"/>
      <c r="N3954" s="3">
        <f t="shared" si="169"/>
        <v>0</v>
      </c>
      <c r="R3954" s="89"/>
      <c r="S3954" s="89">
        <f>100%-Table34[[#This Row],[PDF_initial fee]]</f>
        <v>1</v>
      </c>
      <c r="T3954" s="89"/>
      <c r="U3954" s="26"/>
    </row>
    <row r="3955" spans="1:21" hidden="1" x14ac:dyDescent="0.25">
      <c r="A3955">
        <v>718558</v>
      </c>
      <c r="B3955" t="s">
        <v>4338</v>
      </c>
      <c r="C3955" t="s">
        <v>30861</v>
      </c>
      <c r="D3955">
        <v>2</v>
      </c>
      <c r="E3955" t="s">
        <v>4338</v>
      </c>
      <c r="G3955" s="3"/>
      <c r="H3955" s="21">
        <v>0</v>
      </c>
      <c r="I3955" s="21">
        <v>0</v>
      </c>
      <c r="J3955" s="21">
        <v>0</v>
      </c>
      <c r="K3955" s="21">
        <v>0</v>
      </c>
      <c r="L3955" s="3">
        <f t="shared" si="168"/>
        <v>0</v>
      </c>
      <c r="M3955" s="3"/>
      <c r="N3955" s="3">
        <f t="shared" si="169"/>
        <v>0</v>
      </c>
      <c r="O3955" s="21"/>
      <c r="R3955" s="89"/>
      <c r="S3955" s="89">
        <f>100%-Table34[[#This Row],[PDF_initial fee]]</f>
        <v>1</v>
      </c>
      <c r="T3955" s="89"/>
      <c r="U3955" s="26"/>
    </row>
    <row r="3956" spans="1:21" hidden="1" x14ac:dyDescent="0.25">
      <c r="A3956">
        <v>718755</v>
      </c>
      <c r="B3956" t="s">
        <v>4339</v>
      </c>
      <c r="C3956" t="s">
        <v>30862</v>
      </c>
      <c r="D3956">
        <v>2</v>
      </c>
      <c r="E3956" t="s">
        <v>4339</v>
      </c>
      <c r="G3956" s="3"/>
      <c r="H3956" s="3">
        <v>0</v>
      </c>
      <c r="I3956" s="3">
        <v>0</v>
      </c>
      <c r="J3956" s="3">
        <v>0</v>
      </c>
      <c r="K3956" s="3">
        <v>0</v>
      </c>
      <c r="L3956" s="3">
        <f t="shared" si="168"/>
        <v>0</v>
      </c>
      <c r="M3956" s="3"/>
      <c r="N3956" s="3">
        <f t="shared" si="169"/>
        <v>0</v>
      </c>
      <c r="R3956" s="89"/>
      <c r="S3956" s="89">
        <f>100%-Table34[[#This Row],[PDF_initial fee]]</f>
        <v>1</v>
      </c>
      <c r="T3956" s="89"/>
      <c r="U3956" s="26"/>
    </row>
    <row r="3957" spans="1:21" hidden="1" x14ac:dyDescent="0.25">
      <c r="A3957">
        <v>719064</v>
      </c>
      <c r="B3957" t="s">
        <v>4340</v>
      </c>
      <c r="C3957" t="s">
        <v>8625</v>
      </c>
      <c r="D3957">
        <v>1</v>
      </c>
      <c r="E3957" t="s">
        <v>4340</v>
      </c>
      <c r="G3957" s="3"/>
      <c r="H3957" s="21">
        <v>0</v>
      </c>
      <c r="I3957" s="21">
        <v>0</v>
      </c>
      <c r="J3957" s="21">
        <v>0</v>
      </c>
      <c r="K3957" s="21">
        <v>0</v>
      </c>
      <c r="L3957" s="3">
        <f t="shared" si="168"/>
        <v>0</v>
      </c>
      <c r="M3957" s="3"/>
      <c r="N3957" s="3">
        <f t="shared" si="169"/>
        <v>0</v>
      </c>
      <c r="R3957" s="89"/>
      <c r="S3957" s="89">
        <f>100%-Table34[[#This Row],[PDF_initial fee]]</f>
        <v>1</v>
      </c>
      <c r="T3957" s="89"/>
      <c r="U3957" s="26"/>
    </row>
    <row r="3958" spans="1:21" hidden="1" x14ac:dyDescent="0.25">
      <c r="A3958">
        <v>719066</v>
      </c>
      <c r="B3958" t="s">
        <v>4341</v>
      </c>
      <c r="C3958" t="s">
        <v>6958</v>
      </c>
      <c r="D3958">
        <v>1</v>
      </c>
      <c r="E3958" t="s">
        <v>4341</v>
      </c>
      <c r="F3958" t="s">
        <v>6958</v>
      </c>
      <c r="G3958" s="3"/>
      <c r="H3958" s="21">
        <v>0</v>
      </c>
      <c r="I3958" s="21">
        <v>0</v>
      </c>
      <c r="J3958" s="21">
        <v>0</v>
      </c>
      <c r="K3958" s="21">
        <v>0</v>
      </c>
      <c r="L3958" s="3">
        <f t="shared" si="168"/>
        <v>0</v>
      </c>
      <c r="M3958" s="3"/>
      <c r="N3958" s="3">
        <f t="shared" si="169"/>
        <v>0</v>
      </c>
      <c r="O3958" s="21"/>
      <c r="R3958" s="89"/>
      <c r="S3958" s="89">
        <f>100%-Table34[[#This Row],[PDF_initial fee]]</f>
        <v>1</v>
      </c>
      <c r="T3958" s="89"/>
      <c r="U3958" s="26"/>
    </row>
    <row r="3959" spans="1:21" hidden="1" x14ac:dyDescent="0.25">
      <c r="A3959">
        <v>719086</v>
      </c>
      <c r="B3959" t="s">
        <v>4342</v>
      </c>
      <c r="C3959" t="s">
        <v>7280</v>
      </c>
      <c r="D3959">
        <v>0</v>
      </c>
      <c r="E3959" t="s">
        <v>4342</v>
      </c>
      <c r="F3959" t="s">
        <v>3</v>
      </c>
      <c r="G3959" s="3"/>
      <c r="H3959" s="21">
        <v>0</v>
      </c>
      <c r="I3959" s="21">
        <v>0</v>
      </c>
      <c r="J3959" s="21">
        <v>0</v>
      </c>
      <c r="K3959" s="21">
        <v>0</v>
      </c>
      <c r="L3959" s="3">
        <f t="shared" si="168"/>
        <v>0</v>
      </c>
      <c r="M3959" s="3"/>
      <c r="N3959" s="3">
        <f t="shared" si="169"/>
        <v>0</v>
      </c>
      <c r="R3959" s="89"/>
      <c r="S3959" s="89">
        <f>100%-Table34[[#This Row],[PDF_initial fee]]</f>
        <v>1</v>
      </c>
      <c r="T3959" s="89"/>
      <c r="U3959" s="26"/>
    </row>
    <row r="3960" spans="1:21" hidden="1" x14ac:dyDescent="0.25">
      <c r="A3960">
        <v>719170</v>
      </c>
      <c r="B3960" t="s">
        <v>4343</v>
      </c>
      <c r="C3960" t="s">
        <v>6958</v>
      </c>
      <c r="D3960">
        <v>3</v>
      </c>
      <c r="E3960" t="s">
        <v>4343</v>
      </c>
      <c r="F3960" t="s">
        <v>6958</v>
      </c>
      <c r="G3960" s="3"/>
      <c r="H3960" s="21">
        <v>0</v>
      </c>
      <c r="I3960" s="21">
        <v>0</v>
      </c>
      <c r="J3960" s="21">
        <v>0</v>
      </c>
      <c r="K3960" s="21">
        <v>0</v>
      </c>
      <c r="L3960" s="3">
        <f t="shared" si="168"/>
        <v>0</v>
      </c>
      <c r="M3960" s="3"/>
      <c r="N3960" s="3">
        <f t="shared" si="169"/>
        <v>0</v>
      </c>
      <c r="R3960" s="89"/>
      <c r="S3960" s="89">
        <f>100%-Table34[[#This Row],[PDF_initial fee]]</f>
        <v>1</v>
      </c>
      <c r="T3960" s="89"/>
      <c r="U3960" s="26"/>
    </row>
    <row r="3961" spans="1:21" hidden="1" x14ac:dyDescent="0.25">
      <c r="A3961">
        <v>719208</v>
      </c>
      <c r="B3961" t="s">
        <v>4344</v>
      </c>
      <c r="C3961" t="s">
        <v>6958</v>
      </c>
      <c r="D3961">
        <v>1</v>
      </c>
      <c r="E3961" t="s">
        <v>4344</v>
      </c>
      <c r="F3961" t="s">
        <v>6958</v>
      </c>
      <c r="G3961" s="3"/>
      <c r="H3961" s="21">
        <v>0</v>
      </c>
      <c r="I3961" s="21">
        <v>0</v>
      </c>
      <c r="J3961" s="21">
        <v>0</v>
      </c>
      <c r="K3961" s="21">
        <v>0</v>
      </c>
      <c r="L3961" s="3">
        <f t="shared" si="168"/>
        <v>0</v>
      </c>
      <c r="M3961" s="3"/>
      <c r="N3961" s="3">
        <f t="shared" si="169"/>
        <v>0</v>
      </c>
      <c r="R3961" s="89"/>
      <c r="S3961" s="89">
        <f>100%-Table34[[#This Row],[PDF_initial fee]]</f>
        <v>1</v>
      </c>
      <c r="T3961" s="89"/>
      <c r="U3961" s="26"/>
    </row>
    <row r="3962" spans="1:21" hidden="1" x14ac:dyDescent="0.25">
      <c r="A3962">
        <v>719241</v>
      </c>
      <c r="B3962" t="s">
        <v>4345</v>
      </c>
      <c r="C3962" t="s">
        <v>11937</v>
      </c>
      <c r="D3962">
        <v>2</v>
      </c>
      <c r="E3962" t="s">
        <v>4345</v>
      </c>
      <c r="G3962" s="3"/>
      <c r="H3962" s="3"/>
      <c r="I3962" s="3"/>
      <c r="J3962" s="3"/>
      <c r="K3962" s="3"/>
      <c r="L3962" s="3">
        <f t="shared" si="168"/>
        <v>0</v>
      </c>
      <c r="M3962" s="3"/>
      <c r="N3962" s="3">
        <f t="shared" si="169"/>
        <v>0</v>
      </c>
      <c r="R3962" s="89"/>
      <c r="S3962" s="89">
        <f>100%-Table34[[#This Row],[PDF_initial fee]]</f>
        <v>1</v>
      </c>
      <c r="T3962" s="89"/>
      <c r="U3962" s="26"/>
    </row>
    <row r="3963" spans="1:21" hidden="1" x14ac:dyDescent="0.25">
      <c r="A3963">
        <v>719377</v>
      </c>
      <c r="B3963" t="s">
        <v>4346</v>
      </c>
      <c r="C3963" t="s">
        <v>7823</v>
      </c>
      <c r="D3963">
        <v>0</v>
      </c>
      <c r="E3963" t="s">
        <v>4346</v>
      </c>
      <c r="F3963" t="s">
        <v>3</v>
      </c>
      <c r="G3963" s="3"/>
      <c r="H3963" s="21">
        <v>0</v>
      </c>
      <c r="I3963" s="21">
        <v>0</v>
      </c>
      <c r="J3963" s="21">
        <v>0</v>
      </c>
      <c r="K3963" s="21">
        <v>0</v>
      </c>
      <c r="L3963" s="3">
        <f t="shared" si="168"/>
        <v>0</v>
      </c>
      <c r="M3963" s="3"/>
      <c r="N3963" s="3">
        <f t="shared" si="169"/>
        <v>0</v>
      </c>
      <c r="R3963" s="89"/>
      <c r="S3963" s="89">
        <f>100%-Table34[[#This Row],[PDF_initial fee]]</f>
        <v>1</v>
      </c>
      <c r="T3963" s="89"/>
      <c r="U3963" s="26"/>
    </row>
    <row r="3964" spans="1:21" hidden="1" x14ac:dyDescent="0.25">
      <c r="A3964">
        <v>719403</v>
      </c>
      <c r="B3964" t="s">
        <v>4347</v>
      </c>
      <c r="C3964" t="s">
        <v>6958</v>
      </c>
      <c r="D3964">
        <v>1</v>
      </c>
      <c r="E3964" t="s">
        <v>4347</v>
      </c>
      <c r="F3964" t="s">
        <v>6958</v>
      </c>
      <c r="G3964" s="3"/>
      <c r="H3964" s="21">
        <v>0</v>
      </c>
      <c r="I3964" s="21">
        <v>0</v>
      </c>
      <c r="J3964" s="21">
        <v>0</v>
      </c>
      <c r="K3964" s="21">
        <v>0</v>
      </c>
      <c r="L3964" s="3">
        <f t="shared" ref="L3964:L4015" si="170">SUM(H3964:K3964)</f>
        <v>0</v>
      </c>
      <c r="M3964" s="3"/>
      <c r="N3964" s="3">
        <f t="shared" si="169"/>
        <v>0</v>
      </c>
      <c r="R3964" s="89"/>
      <c r="S3964" s="89">
        <f>100%-Table34[[#This Row],[PDF_initial fee]]</f>
        <v>1</v>
      </c>
      <c r="T3964" s="89"/>
      <c r="U3964" s="26"/>
    </row>
    <row r="3965" spans="1:21" hidden="1" x14ac:dyDescent="0.25">
      <c r="A3965">
        <v>719536</v>
      </c>
      <c r="B3965" t="s">
        <v>4348</v>
      </c>
      <c r="C3965" t="s">
        <v>7394</v>
      </c>
      <c r="D3965">
        <v>1</v>
      </c>
      <c r="E3965" t="s">
        <v>4348</v>
      </c>
      <c r="G3965" s="3"/>
      <c r="H3965" s="21">
        <v>0</v>
      </c>
      <c r="I3965" s="21">
        <v>0</v>
      </c>
      <c r="J3965" s="21">
        <v>0</v>
      </c>
      <c r="K3965" s="21">
        <v>0</v>
      </c>
      <c r="L3965" s="3">
        <f t="shared" si="170"/>
        <v>0</v>
      </c>
      <c r="M3965" s="3"/>
      <c r="N3965" s="3">
        <f t="shared" si="169"/>
        <v>0</v>
      </c>
      <c r="R3965" s="89"/>
      <c r="S3965" s="89">
        <f>100%-Table34[[#This Row],[PDF_initial fee]]</f>
        <v>1</v>
      </c>
      <c r="T3965" s="89"/>
      <c r="U3965" s="26"/>
    </row>
    <row r="3966" spans="1:21" hidden="1" x14ac:dyDescent="0.25">
      <c r="A3966">
        <v>719732</v>
      </c>
      <c r="B3966" t="s">
        <v>4350</v>
      </c>
      <c r="C3966" t="s">
        <v>6958</v>
      </c>
      <c r="D3966">
        <v>2</v>
      </c>
      <c r="E3966" t="s">
        <v>4350</v>
      </c>
      <c r="F3966" t="s">
        <v>6958</v>
      </c>
      <c r="G3966" s="3"/>
      <c r="H3966" s="21">
        <v>0</v>
      </c>
      <c r="I3966" s="21">
        <v>0</v>
      </c>
      <c r="J3966" s="21">
        <v>0</v>
      </c>
      <c r="K3966" s="21">
        <v>0</v>
      </c>
      <c r="L3966" s="3">
        <f t="shared" si="170"/>
        <v>0</v>
      </c>
      <c r="M3966" s="3"/>
      <c r="N3966" s="3">
        <f t="shared" si="169"/>
        <v>0</v>
      </c>
      <c r="R3966" s="89"/>
      <c r="S3966" s="89">
        <f>100%-Table34[[#This Row],[PDF_initial fee]]</f>
        <v>1</v>
      </c>
      <c r="T3966" s="89"/>
      <c r="U3966" s="26"/>
    </row>
    <row r="3967" spans="1:21" hidden="1" x14ac:dyDescent="0.25">
      <c r="A3967">
        <v>719977</v>
      </c>
      <c r="B3967" t="s">
        <v>4351</v>
      </c>
      <c r="C3967" t="s">
        <v>6958</v>
      </c>
      <c r="D3967">
        <v>1</v>
      </c>
      <c r="E3967" t="s">
        <v>4351</v>
      </c>
      <c r="F3967" t="s">
        <v>6958</v>
      </c>
      <c r="G3967" s="3"/>
      <c r="H3967" s="21">
        <v>0</v>
      </c>
      <c r="I3967" s="21">
        <v>0</v>
      </c>
      <c r="J3967" s="21">
        <v>0</v>
      </c>
      <c r="K3967" s="21">
        <v>0</v>
      </c>
      <c r="L3967" s="3">
        <f t="shared" si="170"/>
        <v>0</v>
      </c>
      <c r="M3967" s="3"/>
      <c r="N3967" s="3">
        <f t="shared" si="169"/>
        <v>0</v>
      </c>
      <c r="O3967" s="21"/>
      <c r="R3967" s="89"/>
      <c r="S3967" s="89">
        <f>100%-Table34[[#This Row],[PDF_initial fee]]</f>
        <v>1</v>
      </c>
      <c r="T3967" s="89"/>
      <c r="U3967" s="26"/>
    </row>
    <row r="3968" spans="1:21" hidden="1" x14ac:dyDescent="0.25">
      <c r="A3968">
        <v>719991</v>
      </c>
      <c r="B3968" t="s">
        <v>4352</v>
      </c>
      <c r="C3968" t="s">
        <v>30863</v>
      </c>
      <c r="D3968">
        <v>2</v>
      </c>
      <c r="E3968" t="s">
        <v>4352</v>
      </c>
      <c r="G3968" s="3"/>
      <c r="H3968" s="3"/>
      <c r="I3968" s="3"/>
      <c r="J3968" s="3"/>
      <c r="K3968" s="3"/>
      <c r="L3968" s="3">
        <f t="shared" si="170"/>
        <v>0</v>
      </c>
      <c r="M3968" s="3"/>
      <c r="N3968" s="3">
        <f t="shared" si="169"/>
        <v>0</v>
      </c>
      <c r="R3968" s="89"/>
      <c r="S3968" s="89">
        <f>100%-Table34[[#This Row],[PDF_initial fee]]</f>
        <v>1</v>
      </c>
      <c r="T3968" s="89"/>
      <c r="U3968" s="26"/>
    </row>
    <row r="3969" spans="1:27" hidden="1" x14ac:dyDescent="0.25">
      <c r="A3969">
        <v>720102</v>
      </c>
      <c r="B3969" t="s">
        <v>4353</v>
      </c>
      <c r="C3969" t="s">
        <v>6958</v>
      </c>
      <c r="D3969">
        <v>0</v>
      </c>
      <c r="E3969" t="s">
        <v>4353</v>
      </c>
      <c r="F3969" t="s">
        <v>6958</v>
      </c>
      <c r="G3969" s="3"/>
      <c r="H3969" s="21">
        <v>0</v>
      </c>
      <c r="I3969" s="21">
        <v>0</v>
      </c>
      <c r="J3969" s="21">
        <v>0</v>
      </c>
      <c r="K3969" s="21">
        <v>0</v>
      </c>
      <c r="L3969" s="3">
        <f t="shared" si="170"/>
        <v>0</v>
      </c>
      <c r="M3969" s="3"/>
      <c r="N3969" s="3">
        <f t="shared" si="169"/>
        <v>0</v>
      </c>
      <c r="R3969" s="89"/>
      <c r="S3969" s="89">
        <f>100%-Table34[[#This Row],[PDF_initial fee]]</f>
        <v>1</v>
      </c>
      <c r="T3969" s="89"/>
      <c r="U3969" s="26"/>
    </row>
    <row r="3970" spans="1:27" hidden="1" x14ac:dyDescent="0.25">
      <c r="A3970">
        <v>720105</v>
      </c>
      <c r="B3970" t="s">
        <v>4354</v>
      </c>
      <c r="C3970" t="s">
        <v>30864</v>
      </c>
      <c r="D3970">
        <v>1</v>
      </c>
      <c r="E3970" t="s">
        <v>4354</v>
      </c>
      <c r="G3970" s="3"/>
      <c r="H3970" s="3">
        <v>0</v>
      </c>
      <c r="I3970" s="3">
        <v>0</v>
      </c>
      <c r="J3970" s="3">
        <v>0</v>
      </c>
      <c r="K3970" s="3">
        <v>0</v>
      </c>
      <c r="L3970" s="3">
        <f t="shared" si="170"/>
        <v>0</v>
      </c>
      <c r="M3970" s="3"/>
      <c r="N3970" s="3">
        <f t="shared" si="169"/>
        <v>0</v>
      </c>
      <c r="R3970" s="89"/>
      <c r="S3970" s="89">
        <f>100%-Table34[[#This Row],[PDF_initial fee]]</f>
        <v>1</v>
      </c>
      <c r="T3970" s="89"/>
      <c r="U3970" s="26"/>
    </row>
    <row r="3971" spans="1:27" hidden="1" x14ac:dyDescent="0.25">
      <c r="A3971">
        <v>720217</v>
      </c>
      <c r="B3971" t="s">
        <v>4356</v>
      </c>
      <c r="C3971" t="s">
        <v>30865</v>
      </c>
      <c r="D3971">
        <v>0</v>
      </c>
      <c r="E3971" t="s">
        <v>4356</v>
      </c>
      <c r="F3971" t="s">
        <v>29136</v>
      </c>
      <c r="G3971" s="3"/>
      <c r="H3971" s="21">
        <v>0</v>
      </c>
      <c r="I3971" s="21">
        <v>0</v>
      </c>
      <c r="J3971" s="21">
        <v>0</v>
      </c>
      <c r="K3971" s="21">
        <v>0</v>
      </c>
      <c r="L3971" s="3">
        <f t="shared" si="170"/>
        <v>0</v>
      </c>
      <c r="M3971" s="3"/>
      <c r="N3971" s="3">
        <f t="shared" si="169"/>
        <v>0</v>
      </c>
      <c r="O3971" s="21"/>
      <c r="R3971" s="89"/>
      <c r="S3971" s="89">
        <f>100%-Table34[[#This Row],[PDF_initial fee]]</f>
        <v>1</v>
      </c>
      <c r="T3971" s="89"/>
      <c r="U3971" s="26"/>
    </row>
    <row r="3972" spans="1:27" hidden="1" x14ac:dyDescent="0.25">
      <c r="A3972">
        <v>720230</v>
      </c>
      <c r="B3972" t="s">
        <v>4357</v>
      </c>
      <c r="C3972" s="1" t="s">
        <v>30866</v>
      </c>
      <c r="D3972">
        <v>1</v>
      </c>
      <c r="E3972" t="s">
        <v>4357</v>
      </c>
      <c r="G3972" s="3"/>
      <c r="H3972" s="3">
        <v>0</v>
      </c>
      <c r="I3972" s="3">
        <v>0</v>
      </c>
      <c r="J3972" s="3">
        <v>0</v>
      </c>
      <c r="K3972" s="3">
        <v>0</v>
      </c>
      <c r="L3972" s="3">
        <f t="shared" si="170"/>
        <v>0</v>
      </c>
      <c r="M3972" s="3"/>
      <c r="N3972" s="3">
        <f t="shared" si="169"/>
        <v>0</v>
      </c>
      <c r="R3972" s="89"/>
      <c r="S3972" s="89">
        <f>100%-Table34[[#This Row],[PDF_initial fee]]</f>
        <v>1</v>
      </c>
      <c r="T3972" s="89"/>
      <c r="U3972" s="26"/>
    </row>
    <row r="3973" spans="1:27" hidden="1" x14ac:dyDescent="0.25">
      <c r="A3973">
        <v>720238</v>
      </c>
      <c r="B3973" t="s">
        <v>4358</v>
      </c>
      <c r="C3973" t="s">
        <v>9843</v>
      </c>
      <c r="D3973">
        <v>6</v>
      </c>
      <c r="E3973" t="s">
        <v>4358</v>
      </c>
      <c r="G3973" s="3"/>
      <c r="H3973" s="3">
        <v>0</v>
      </c>
      <c r="I3973" s="3">
        <v>0</v>
      </c>
      <c r="J3973" s="3">
        <v>0</v>
      </c>
      <c r="K3973" s="3">
        <v>0</v>
      </c>
      <c r="L3973" s="3">
        <f t="shared" si="170"/>
        <v>0</v>
      </c>
      <c r="M3973" s="3"/>
      <c r="N3973" s="3">
        <f t="shared" si="169"/>
        <v>0</v>
      </c>
      <c r="R3973" s="89"/>
      <c r="S3973" s="89">
        <f>100%-Table34[[#This Row],[PDF_initial fee]]</f>
        <v>1</v>
      </c>
      <c r="T3973" s="89"/>
      <c r="U3973" s="26"/>
    </row>
    <row r="3974" spans="1:27" hidden="1" x14ac:dyDescent="0.25">
      <c r="A3974">
        <v>720807</v>
      </c>
      <c r="B3974" t="s">
        <v>4359</v>
      </c>
      <c r="C3974" t="s">
        <v>6958</v>
      </c>
      <c r="D3974">
        <v>3</v>
      </c>
      <c r="E3974" t="s">
        <v>4359</v>
      </c>
      <c r="F3974" t="s">
        <v>6958</v>
      </c>
      <c r="G3974" s="3"/>
      <c r="H3974" s="21">
        <v>0</v>
      </c>
      <c r="I3974" s="21">
        <v>0</v>
      </c>
      <c r="J3974" s="21">
        <v>0</v>
      </c>
      <c r="K3974" s="21">
        <v>0</v>
      </c>
      <c r="L3974" s="3">
        <f t="shared" si="170"/>
        <v>0</v>
      </c>
      <c r="M3974" s="3"/>
      <c r="N3974" s="3">
        <f t="shared" si="169"/>
        <v>0</v>
      </c>
      <c r="R3974" s="89"/>
      <c r="S3974" s="89">
        <f>100%-Table34[[#This Row],[PDF_initial fee]]</f>
        <v>1</v>
      </c>
      <c r="T3974" s="89"/>
      <c r="U3974" s="26"/>
    </row>
    <row r="3975" spans="1:27" x14ac:dyDescent="0.25">
      <c r="A3975">
        <v>533004</v>
      </c>
      <c r="B3975" t="s">
        <v>365</v>
      </c>
      <c r="C3975" t="s">
        <v>30867</v>
      </c>
      <c r="D3975">
        <v>1</v>
      </c>
      <c r="E3975" t="s">
        <v>365</v>
      </c>
      <c r="F3975" t="s">
        <v>6</v>
      </c>
      <c r="G3975" s="3">
        <v>9.1000000000000004E-3</v>
      </c>
      <c r="H3975" s="3">
        <v>0.03</v>
      </c>
      <c r="I3975" s="3">
        <v>0.01</v>
      </c>
      <c r="J3975" s="6">
        <v>0</v>
      </c>
      <c r="K3975" s="6"/>
      <c r="L3975" s="3">
        <f t="shared" si="170"/>
        <v>0.04</v>
      </c>
      <c r="M3975" s="3"/>
      <c r="N3975" s="3">
        <f t="shared" si="169"/>
        <v>4.9100000000000005E-2</v>
      </c>
      <c r="O3975" s="3" t="s">
        <v>30868</v>
      </c>
      <c r="P3975" s="31" t="s">
        <v>30869</v>
      </c>
      <c r="Q3975" s="1" t="s">
        <v>31799</v>
      </c>
      <c r="R3975" s="89">
        <v>0.2828</v>
      </c>
      <c r="S3975" s="89">
        <f>100%-Table34[[#This Row],[InitialFee]]</f>
        <v>0.97</v>
      </c>
      <c r="T3975" s="89">
        <f>(1-Table34[[#This Row],[OngoingFee (plus Platform fee)]])^5</f>
        <v>0.95099004989999991</v>
      </c>
      <c r="U3975" s="26">
        <f>(1+Table34[[#This Row],[Net 5yrs return (mostly up to 28th of Feb 2026)]])*Table34[[#This Row],[Investment after initial charge]]*Table34[[#This Row],[Cummulative 5yrs ongoing advice charge]]-1</f>
        <v>0.18333213493136835</v>
      </c>
      <c r="V3975" s="10">
        <f>21895536+2032833</f>
        <v>23928369</v>
      </c>
      <c r="W3975" t="s">
        <v>29051</v>
      </c>
      <c r="X3975" s="10">
        <v>21891619</v>
      </c>
      <c r="Y3975" s="30">
        <f>X3975/V3975</f>
        <v>0.91488136947403309</v>
      </c>
      <c r="AA3975" s="1" t="s">
        <v>29823</v>
      </c>
    </row>
    <row r="3976" spans="1:27" hidden="1" x14ac:dyDescent="0.25">
      <c r="A3976">
        <v>721501</v>
      </c>
      <c r="B3976" t="s">
        <v>4360</v>
      </c>
      <c r="C3976" t="s">
        <v>6958</v>
      </c>
      <c r="D3976">
        <v>1</v>
      </c>
      <c r="E3976" t="s">
        <v>4360</v>
      </c>
      <c r="F3976" t="s">
        <v>6958</v>
      </c>
      <c r="G3976" s="3"/>
      <c r="H3976" s="21">
        <v>0</v>
      </c>
      <c r="I3976" s="21">
        <v>0</v>
      </c>
      <c r="J3976" s="21">
        <v>0</v>
      </c>
      <c r="K3976" s="21">
        <v>0</v>
      </c>
      <c r="L3976" s="3">
        <f t="shared" si="170"/>
        <v>0</v>
      </c>
      <c r="M3976" s="3"/>
      <c r="N3976" s="3">
        <f t="shared" si="169"/>
        <v>0</v>
      </c>
      <c r="R3976" s="89"/>
      <c r="S3976" s="89">
        <f>100%-Table34[[#This Row],[PDF_initial fee]]</f>
        <v>1</v>
      </c>
      <c r="T3976" s="89"/>
      <c r="U3976" s="26"/>
    </row>
    <row r="3977" spans="1:27" hidden="1" x14ac:dyDescent="0.25">
      <c r="A3977">
        <v>721539</v>
      </c>
      <c r="B3977" t="s">
        <v>4361</v>
      </c>
      <c r="C3977" t="s">
        <v>6958</v>
      </c>
      <c r="D3977">
        <v>1</v>
      </c>
      <c r="E3977" t="s">
        <v>4361</v>
      </c>
      <c r="F3977" t="s">
        <v>6958</v>
      </c>
      <c r="G3977" s="3"/>
      <c r="L3977" s="3">
        <f t="shared" si="170"/>
        <v>0</v>
      </c>
      <c r="M3977" s="3"/>
      <c r="N3977" s="3">
        <f t="shared" si="169"/>
        <v>0</v>
      </c>
      <c r="R3977" s="89"/>
      <c r="S3977" s="89">
        <f>100%-Table34[[#This Row],[PDF_initial fee]]</f>
        <v>1</v>
      </c>
      <c r="T3977" s="89"/>
      <c r="U3977" s="26"/>
    </row>
    <row r="3978" spans="1:27" hidden="1" x14ac:dyDescent="0.25">
      <c r="A3978">
        <v>722559</v>
      </c>
      <c r="B3978" t="s">
        <v>4362</v>
      </c>
      <c r="C3978" t="s">
        <v>12228</v>
      </c>
      <c r="D3978">
        <v>2</v>
      </c>
      <c r="E3978" t="s">
        <v>4362</v>
      </c>
      <c r="G3978" s="3"/>
      <c r="H3978" s="3">
        <v>0</v>
      </c>
      <c r="I3978" s="3">
        <v>0</v>
      </c>
      <c r="J3978" s="3">
        <v>0</v>
      </c>
      <c r="K3978" s="3">
        <v>0</v>
      </c>
      <c r="L3978" s="3">
        <f t="shared" si="170"/>
        <v>0</v>
      </c>
      <c r="M3978" s="3"/>
      <c r="N3978" s="3">
        <f t="shared" si="169"/>
        <v>0</v>
      </c>
      <c r="R3978" s="89"/>
      <c r="S3978" s="89">
        <f>100%-Table34[[#This Row],[PDF_initial fee]]</f>
        <v>1</v>
      </c>
      <c r="T3978" s="89"/>
      <c r="U3978" s="26"/>
    </row>
    <row r="3979" spans="1:27" hidden="1" x14ac:dyDescent="0.25">
      <c r="A3979">
        <v>722573</v>
      </c>
      <c r="B3979" t="s">
        <v>4363</v>
      </c>
      <c r="C3979" s="1" t="s">
        <v>30870</v>
      </c>
      <c r="D3979">
        <v>4</v>
      </c>
      <c r="E3979" t="s">
        <v>4363</v>
      </c>
      <c r="G3979" s="3"/>
      <c r="H3979" s="3">
        <v>0</v>
      </c>
      <c r="I3979" s="3">
        <v>0</v>
      </c>
      <c r="J3979" s="3">
        <v>0</v>
      </c>
      <c r="K3979" s="3">
        <v>0</v>
      </c>
      <c r="L3979" s="3">
        <f t="shared" si="170"/>
        <v>0</v>
      </c>
      <c r="M3979" s="3"/>
      <c r="N3979" s="3">
        <f t="shared" si="169"/>
        <v>0</v>
      </c>
      <c r="R3979" s="89"/>
      <c r="S3979" s="89">
        <f>100%-Table34[[#This Row],[PDF_initial fee]]</f>
        <v>1</v>
      </c>
      <c r="T3979" s="89"/>
      <c r="U3979" s="26"/>
    </row>
    <row r="3980" spans="1:27" hidden="1" x14ac:dyDescent="0.25">
      <c r="A3980">
        <v>722670</v>
      </c>
      <c r="B3980" t="s">
        <v>4364</v>
      </c>
      <c r="C3980" t="s">
        <v>7400</v>
      </c>
      <c r="D3980">
        <v>1</v>
      </c>
      <c r="E3980" t="s">
        <v>4364</v>
      </c>
      <c r="G3980" s="3"/>
      <c r="H3980" s="21">
        <v>0</v>
      </c>
      <c r="I3980" s="21">
        <v>0</v>
      </c>
      <c r="J3980" s="21">
        <v>0</v>
      </c>
      <c r="K3980" s="21">
        <v>0</v>
      </c>
      <c r="L3980" s="3">
        <f t="shared" si="170"/>
        <v>0</v>
      </c>
      <c r="M3980" s="3"/>
      <c r="N3980" s="3">
        <f t="shared" si="169"/>
        <v>0</v>
      </c>
      <c r="R3980" s="89"/>
      <c r="S3980" s="89">
        <f>100%-Table34[[#This Row],[PDF_initial fee]]</f>
        <v>1</v>
      </c>
      <c r="T3980" s="89"/>
      <c r="U3980" s="26"/>
    </row>
    <row r="3981" spans="1:27" hidden="1" x14ac:dyDescent="0.25">
      <c r="A3981">
        <v>722685</v>
      </c>
      <c r="B3981" t="s">
        <v>4365</v>
      </c>
      <c r="C3981" t="s">
        <v>30871</v>
      </c>
      <c r="D3981">
        <v>1</v>
      </c>
      <c r="E3981" t="s">
        <v>4365</v>
      </c>
      <c r="G3981" s="3"/>
      <c r="H3981" s="3"/>
      <c r="I3981" s="3"/>
      <c r="J3981" s="3"/>
      <c r="K3981" s="3"/>
      <c r="L3981" s="3">
        <f t="shared" si="170"/>
        <v>0</v>
      </c>
      <c r="M3981" s="3"/>
      <c r="N3981" s="3">
        <f t="shared" si="169"/>
        <v>0</v>
      </c>
      <c r="R3981" s="89"/>
      <c r="S3981" s="89">
        <f>100%-Table34[[#This Row],[PDF_initial fee]]</f>
        <v>1</v>
      </c>
      <c r="T3981" s="89"/>
      <c r="U3981" s="26"/>
    </row>
    <row r="3982" spans="1:27" x14ac:dyDescent="0.25">
      <c r="A3982">
        <v>608678</v>
      </c>
      <c r="B3982" t="s">
        <v>251</v>
      </c>
      <c r="C3982" s="1" t="s">
        <v>8878</v>
      </c>
      <c r="D3982">
        <v>8</v>
      </c>
      <c r="E3982" t="s">
        <v>251</v>
      </c>
      <c r="F3982" t="s">
        <v>3</v>
      </c>
      <c r="G3982" s="3">
        <v>1.4E-3</v>
      </c>
      <c r="H3982" s="3">
        <v>0.02</v>
      </c>
      <c r="I3982" s="3">
        <v>0.01</v>
      </c>
      <c r="J3982" s="6"/>
      <c r="K3982" s="6"/>
      <c r="L3982" s="3">
        <f t="shared" si="170"/>
        <v>0.03</v>
      </c>
      <c r="M3982" s="3"/>
      <c r="N3982" s="3">
        <f t="shared" si="169"/>
        <v>3.1399999999999997E-2</v>
      </c>
      <c r="P3982" s="31" t="s">
        <v>30872</v>
      </c>
      <c r="Q3982" t="s">
        <v>31787</v>
      </c>
      <c r="R3982" s="89">
        <v>0.33333333333333348</v>
      </c>
      <c r="S3982" s="89">
        <f>100%-Table34[[#This Row],[InitialFee]]</f>
        <v>0.98</v>
      </c>
      <c r="T3982" s="89">
        <f>(1-Table34[[#This Row],[OngoingFee (plus Platform fee)]])^5</f>
        <v>0.95099004989999991</v>
      </c>
      <c r="U3982" s="26">
        <f>(1+Table34[[#This Row],[Net 5yrs return (mostly up to 28th of Feb 2026)]])*Table34[[#This Row],[Investment after initial charge]]*Table34[[#This Row],[Cummulative 5yrs ongoing advice charge]]-1</f>
        <v>0.24262699853600012</v>
      </c>
      <c r="V3982">
        <f>276399+769610</f>
        <v>1046009</v>
      </c>
      <c r="W3982" t="s">
        <v>29051</v>
      </c>
      <c r="X3982" s="9">
        <v>871196</v>
      </c>
      <c r="Y3982" s="30">
        <f>X3982/V3982</f>
        <v>0.83287619896195919</v>
      </c>
      <c r="AA3982" s="1" t="s">
        <v>30873</v>
      </c>
    </row>
    <row r="3983" spans="1:27" hidden="1" x14ac:dyDescent="0.25">
      <c r="A3983">
        <v>722840</v>
      </c>
      <c r="B3983" t="s">
        <v>4366</v>
      </c>
      <c r="C3983" t="s">
        <v>30874</v>
      </c>
      <c r="D3983">
        <v>1</v>
      </c>
      <c r="E3983" t="s">
        <v>4366</v>
      </c>
      <c r="G3983" s="3"/>
      <c r="H3983" s="21">
        <v>0</v>
      </c>
      <c r="I3983" s="21">
        <v>0</v>
      </c>
      <c r="J3983" s="21">
        <v>0</v>
      </c>
      <c r="K3983" s="21">
        <v>0</v>
      </c>
      <c r="L3983" s="3">
        <f t="shared" si="170"/>
        <v>0</v>
      </c>
      <c r="M3983" s="3"/>
      <c r="N3983" s="3">
        <f t="shared" si="169"/>
        <v>0</v>
      </c>
      <c r="O3983" s="21"/>
      <c r="R3983" s="89"/>
      <c r="S3983" s="89">
        <f>100%-Table34[[#This Row],[PDF_initial fee]]</f>
        <v>1</v>
      </c>
      <c r="T3983" s="89"/>
      <c r="U3983" s="26"/>
    </row>
    <row r="3984" spans="1:27" hidden="1" x14ac:dyDescent="0.25">
      <c r="A3984">
        <v>723097</v>
      </c>
      <c r="B3984" t="s">
        <v>4367</v>
      </c>
      <c r="C3984" t="s">
        <v>30875</v>
      </c>
      <c r="D3984">
        <v>2</v>
      </c>
      <c r="E3984" t="s">
        <v>4367</v>
      </c>
      <c r="G3984" s="3"/>
      <c r="H3984" s="3"/>
      <c r="I3984" s="3"/>
      <c r="J3984" s="3"/>
      <c r="K3984" s="3"/>
      <c r="L3984" s="3">
        <f t="shared" si="170"/>
        <v>0</v>
      </c>
      <c r="M3984" s="3"/>
      <c r="N3984" s="3">
        <f t="shared" si="169"/>
        <v>0</v>
      </c>
      <c r="R3984" s="89"/>
      <c r="S3984" s="89">
        <f>100%-Table34[[#This Row],[PDF_initial fee]]</f>
        <v>1</v>
      </c>
      <c r="T3984" s="89"/>
      <c r="U3984" s="26"/>
    </row>
    <row r="3985" spans="1:21" hidden="1" x14ac:dyDescent="0.25">
      <c r="A3985">
        <v>723127</v>
      </c>
      <c r="B3985" t="s">
        <v>4368</v>
      </c>
      <c r="C3985" t="s">
        <v>6958</v>
      </c>
      <c r="D3985">
        <v>2</v>
      </c>
      <c r="E3985" t="s">
        <v>4368</v>
      </c>
      <c r="F3985" t="s">
        <v>6958</v>
      </c>
      <c r="G3985" s="3"/>
      <c r="H3985" s="21">
        <v>0</v>
      </c>
      <c r="I3985" s="21">
        <v>0</v>
      </c>
      <c r="J3985" s="21">
        <v>0</v>
      </c>
      <c r="K3985" s="21">
        <v>0</v>
      </c>
      <c r="L3985" s="3">
        <f t="shared" si="170"/>
        <v>0</v>
      </c>
      <c r="M3985" s="3"/>
      <c r="N3985" s="3">
        <f t="shared" si="169"/>
        <v>0</v>
      </c>
      <c r="O3985" s="21"/>
      <c r="R3985" s="89"/>
      <c r="S3985" s="89">
        <f>100%-Table34[[#This Row],[PDF_initial fee]]</f>
        <v>1</v>
      </c>
      <c r="T3985" s="89"/>
      <c r="U3985" s="26"/>
    </row>
    <row r="3986" spans="1:21" hidden="1" x14ac:dyDescent="0.25">
      <c r="A3986">
        <v>723906</v>
      </c>
      <c r="B3986" t="s">
        <v>4369</v>
      </c>
      <c r="C3986" t="s">
        <v>8213</v>
      </c>
      <c r="D3986">
        <v>1</v>
      </c>
      <c r="E3986" t="s">
        <v>4369</v>
      </c>
      <c r="G3986" s="3"/>
      <c r="H3986" s="21">
        <v>0</v>
      </c>
      <c r="I3986" s="21">
        <v>0</v>
      </c>
      <c r="J3986" s="21">
        <v>0</v>
      </c>
      <c r="K3986" s="21">
        <v>0</v>
      </c>
      <c r="L3986" s="3">
        <f t="shared" si="170"/>
        <v>0</v>
      </c>
      <c r="M3986" s="3"/>
      <c r="N3986" s="3">
        <f t="shared" si="169"/>
        <v>0</v>
      </c>
      <c r="R3986" s="89"/>
      <c r="S3986" s="89">
        <f>100%-Table34[[#This Row],[PDF_initial fee]]</f>
        <v>1</v>
      </c>
      <c r="T3986" s="89"/>
      <c r="U3986" s="26"/>
    </row>
    <row r="3987" spans="1:21" hidden="1" x14ac:dyDescent="0.25">
      <c r="A3987">
        <v>723966</v>
      </c>
      <c r="B3987" t="s">
        <v>4370</v>
      </c>
      <c r="C3987" t="s">
        <v>6958</v>
      </c>
      <c r="D3987">
        <v>1</v>
      </c>
      <c r="E3987" t="s">
        <v>4370</v>
      </c>
      <c r="F3987" t="s">
        <v>6958</v>
      </c>
      <c r="G3987" s="3"/>
      <c r="H3987" s="21">
        <v>0</v>
      </c>
      <c r="I3987" s="21">
        <v>0</v>
      </c>
      <c r="J3987" s="21">
        <v>0</v>
      </c>
      <c r="K3987" s="21">
        <v>0</v>
      </c>
      <c r="L3987" s="3">
        <f t="shared" si="170"/>
        <v>0</v>
      </c>
      <c r="M3987" s="3"/>
      <c r="N3987" s="3">
        <f t="shared" si="169"/>
        <v>0</v>
      </c>
      <c r="R3987" s="89"/>
      <c r="S3987" s="89">
        <f>100%-Table34[[#This Row],[PDF_initial fee]]</f>
        <v>1</v>
      </c>
      <c r="T3987" s="89"/>
      <c r="U3987" s="26"/>
    </row>
    <row r="3988" spans="1:21" hidden="1" x14ac:dyDescent="0.25">
      <c r="A3988">
        <v>724139</v>
      </c>
      <c r="B3988" t="s">
        <v>4371</v>
      </c>
      <c r="C3988" t="s">
        <v>30876</v>
      </c>
      <c r="D3988">
        <v>2</v>
      </c>
      <c r="E3988" t="s">
        <v>4371</v>
      </c>
      <c r="G3988" s="3"/>
      <c r="H3988" s="3">
        <v>0</v>
      </c>
      <c r="I3988" s="3">
        <v>0</v>
      </c>
      <c r="J3988" s="3">
        <v>0</v>
      </c>
      <c r="K3988" s="3">
        <v>0</v>
      </c>
      <c r="L3988" s="3">
        <f t="shared" si="170"/>
        <v>0</v>
      </c>
      <c r="M3988" s="3"/>
      <c r="N3988" s="3">
        <f t="shared" si="169"/>
        <v>0</v>
      </c>
      <c r="R3988" s="89"/>
      <c r="S3988" s="89">
        <f>100%-Table34[[#This Row],[PDF_initial fee]]</f>
        <v>1</v>
      </c>
      <c r="T3988" s="89"/>
      <c r="U3988" s="26"/>
    </row>
    <row r="3989" spans="1:21" hidden="1" x14ac:dyDescent="0.25">
      <c r="A3989">
        <v>724303</v>
      </c>
      <c r="B3989" t="s">
        <v>4372</v>
      </c>
      <c r="C3989" t="s">
        <v>6958</v>
      </c>
      <c r="D3989">
        <v>1</v>
      </c>
      <c r="E3989" t="s">
        <v>4372</v>
      </c>
      <c r="F3989" t="s">
        <v>6958</v>
      </c>
      <c r="G3989" s="3"/>
      <c r="H3989" s="21">
        <v>0</v>
      </c>
      <c r="I3989" s="21">
        <v>0</v>
      </c>
      <c r="J3989" s="21">
        <v>0</v>
      </c>
      <c r="K3989" s="21">
        <v>0</v>
      </c>
      <c r="L3989" s="3">
        <f t="shared" si="170"/>
        <v>0</v>
      </c>
      <c r="M3989" s="3"/>
      <c r="N3989" s="3">
        <f t="shared" si="169"/>
        <v>0</v>
      </c>
      <c r="R3989" s="89"/>
      <c r="S3989" s="89">
        <f>100%-Table34[[#This Row],[PDF_initial fee]]</f>
        <v>1</v>
      </c>
      <c r="T3989" s="89"/>
      <c r="U3989" s="26"/>
    </row>
    <row r="3990" spans="1:21" hidden="1" x14ac:dyDescent="0.25">
      <c r="A3990">
        <v>724401</v>
      </c>
      <c r="B3990" t="s">
        <v>4373</v>
      </c>
      <c r="C3990" t="s">
        <v>6958</v>
      </c>
      <c r="D3990">
        <v>1</v>
      </c>
      <c r="E3990" t="s">
        <v>4373</v>
      </c>
      <c r="F3990" t="s">
        <v>6958</v>
      </c>
      <c r="G3990" s="3"/>
      <c r="H3990" s="21">
        <v>0</v>
      </c>
      <c r="I3990" s="21">
        <v>0</v>
      </c>
      <c r="J3990" s="21">
        <v>0</v>
      </c>
      <c r="K3990" s="21">
        <v>0</v>
      </c>
      <c r="L3990" s="3">
        <f t="shared" si="170"/>
        <v>0</v>
      </c>
      <c r="M3990" s="3"/>
      <c r="N3990" s="3">
        <f t="shared" si="169"/>
        <v>0</v>
      </c>
      <c r="R3990" s="89"/>
      <c r="S3990" s="89">
        <f>100%-Table34[[#This Row],[PDF_initial fee]]</f>
        <v>1</v>
      </c>
      <c r="T3990" s="89"/>
      <c r="U3990" s="26"/>
    </row>
    <row r="3991" spans="1:21" hidden="1" x14ac:dyDescent="0.25">
      <c r="A3991">
        <v>724525</v>
      </c>
      <c r="B3991" t="s">
        <v>4374</v>
      </c>
      <c r="C3991" t="s">
        <v>30877</v>
      </c>
      <c r="D3991">
        <v>3</v>
      </c>
      <c r="E3991" t="s">
        <v>4374</v>
      </c>
      <c r="G3991" s="3"/>
      <c r="H3991" s="3"/>
      <c r="I3991" s="3"/>
      <c r="J3991" s="3"/>
      <c r="K3991" s="3"/>
      <c r="L3991" s="3">
        <f t="shared" si="170"/>
        <v>0</v>
      </c>
      <c r="M3991" s="3"/>
      <c r="N3991" s="3">
        <f t="shared" si="169"/>
        <v>0</v>
      </c>
      <c r="R3991" s="89"/>
      <c r="S3991" s="89">
        <f>100%-Table34[[#This Row],[PDF_initial fee]]</f>
        <v>1</v>
      </c>
      <c r="T3991" s="89"/>
      <c r="U3991" s="26"/>
    </row>
    <row r="3992" spans="1:21" hidden="1" x14ac:dyDescent="0.25">
      <c r="A3992">
        <v>724852</v>
      </c>
      <c r="B3992" t="s">
        <v>4375</v>
      </c>
      <c r="C3992" t="s">
        <v>6958</v>
      </c>
      <c r="D3992">
        <v>1</v>
      </c>
      <c r="E3992" t="s">
        <v>4375</v>
      </c>
      <c r="F3992" t="s">
        <v>6958</v>
      </c>
      <c r="G3992" s="3"/>
      <c r="H3992" s="21">
        <v>0</v>
      </c>
      <c r="I3992" s="21">
        <v>0</v>
      </c>
      <c r="J3992" s="21">
        <v>0</v>
      </c>
      <c r="K3992" s="21">
        <v>0</v>
      </c>
      <c r="L3992" s="3">
        <f t="shared" si="170"/>
        <v>0</v>
      </c>
      <c r="M3992" s="3"/>
      <c r="N3992" s="3">
        <f t="shared" si="169"/>
        <v>0</v>
      </c>
      <c r="R3992" s="89"/>
      <c r="S3992" s="89">
        <f>100%-Table34[[#This Row],[PDF_initial fee]]</f>
        <v>1</v>
      </c>
      <c r="T3992" s="89"/>
      <c r="U3992" s="26"/>
    </row>
    <row r="3993" spans="1:21" hidden="1" x14ac:dyDescent="0.25">
      <c r="A3993">
        <v>724878</v>
      </c>
      <c r="B3993" t="s">
        <v>4376</v>
      </c>
      <c r="C3993" t="s">
        <v>6958</v>
      </c>
      <c r="D3993">
        <v>2</v>
      </c>
      <c r="E3993" t="s">
        <v>4376</v>
      </c>
      <c r="F3993" t="s">
        <v>6958</v>
      </c>
      <c r="G3993" s="3"/>
      <c r="H3993" s="21">
        <v>0</v>
      </c>
      <c r="I3993" s="21">
        <v>0</v>
      </c>
      <c r="J3993" s="21">
        <v>0</v>
      </c>
      <c r="K3993" s="21">
        <v>0</v>
      </c>
      <c r="L3993" s="3">
        <f t="shared" si="170"/>
        <v>0</v>
      </c>
      <c r="M3993" s="3"/>
      <c r="N3993" s="3">
        <f t="shared" si="169"/>
        <v>0</v>
      </c>
      <c r="R3993" s="89"/>
      <c r="S3993" s="89">
        <f>100%-Table34[[#This Row],[PDF_initial fee]]</f>
        <v>1</v>
      </c>
      <c r="T3993" s="89"/>
      <c r="U3993" s="26"/>
    </row>
    <row r="3994" spans="1:21" hidden="1" x14ac:dyDescent="0.25">
      <c r="A3994">
        <v>725129</v>
      </c>
      <c r="B3994" t="s">
        <v>4377</v>
      </c>
      <c r="C3994" t="s">
        <v>9742</v>
      </c>
      <c r="D3994">
        <v>1</v>
      </c>
      <c r="E3994" t="s">
        <v>4377</v>
      </c>
      <c r="G3994" s="3"/>
      <c r="H3994" s="3">
        <v>0</v>
      </c>
      <c r="I3994" s="3">
        <v>0</v>
      </c>
      <c r="J3994" s="3">
        <v>0</v>
      </c>
      <c r="K3994" s="3">
        <v>0</v>
      </c>
      <c r="L3994" s="3">
        <f t="shared" si="170"/>
        <v>0</v>
      </c>
      <c r="M3994" s="3"/>
      <c r="N3994" s="3">
        <f t="shared" si="169"/>
        <v>0</v>
      </c>
      <c r="R3994" s="89"/>
      <c r="S3994" s="89">
        <f>100%-Table34[[#This Row],[PDF_initial fee]]</f>
        <v>1</v>
      </c>
      <c r="T3994" s="89"/>
      <c r="U3994" s="26"/>
    </row>
    <row r="3995" spans="1:21" hidden="1" x14ac:dyDescent="0.25">
      <c r="A3995">
        <v>725689</v>
      </c>
      <c r="B3995" t="s">
        <v>4378</v>
      </c>
      <c r="C3995" t="s">
        <v>12173</v>
      </c>
      <c r="D3995">
        <v>1</v>
      </c>
      <c r="E3995" t="s">
        <v>4378</v>
      </c>
      <c r="G3995" s="3"/>
      <c r="H3995" s="3">
        <v>0</v>
      </c>
      <c r="I3995" s="3">
        <v>0</v>
      </c>
      <c r="J3995" s="3">
        <v>0</v>
      </c>
      <c r="K3995" s="3">
        <v>0</v>
      </c>
      <c r="L3995" s="3">
        <f t="shared" si="170"/>
        <v>0</v>
      </c>
      <c r="M3995" s="3"/>
      <c r="N3995" s="3">
        <f t="shared" si="169"/>
        <v>0</v>
      </c>
      <c r="R3995" s="89"/>
      <c r="S3995" s="89">
        <f>100%-Table34[[#This Row],[PDF_initial fee]]</f>
        <v>1</v>
      </c>
      <c r="T3995" s="89"/>
      <c r="U3995" s="26"/>
    </row>
    <row r="3996" spans="1:21" hidden="1" x14ac:dyDescent="0.25">
      <c r="A3996">
        <v>725992</v>
      </c>
      <c r="B3996" t="s">
        <v>4379</v>
      </c>
      <c r="C3996" t="s">
        <v>30878</v>
      </c>
      <c r="D3996">
        <v>0</v>
      </c>
      <c r="E3996" t="s">
        <v>4379</v>
      </c>
      <c r="F3996" t="s">
        <v>29136</v>
      </c>
      <c r="G3996" s="3"/>
      <c r="H3996" s="21">
        <v>0</v>
      </c>
      <c r="I3996" s="21">
        <v>0</v>
      </c>
      <c r="J3996" s="21">
        <v>0</v>
      </c>
      <c r="K3996" s="21">
        <v>0</v>
      </c>
      <c r="L3996" s="3">
        <f t="shared" si="170"/>
        <v>0</v>
      </c>
      <c r="M3996" s="3"/>
      <c r="N3996" s="3">
        <f t="shared" si="169"/>
        <v>0</v>
      </c>
      <c r="O3996" s="21"/>
      <c r="R3996" s="89"/>
      <c r="S3996" s="89">
        <f>100%-Table34[[#This Row],[PDF_initial fee]]</f>
        <v>1</v>
      </c>
      <c r="T3996" s="89"/>
      <c r="U3996" s="26"/>
    </row>
    <row r="3997" spans="1:21" hidden="1" x14ac:dyDescent="0.25">
      <c r="A3997">
        <v>725999</v>
      </c>
      <c r="B3997" t="s">
        <v>4380</v>
      </c>
      <c r="C3997" t="s">
        <v>30879</v>
      </c>
      <c r="D3997">
        <v>1</v>
      </c>
      <c r="E3997" t="s">
        <v>4380</v>
      </c>
      <c r="G3997" s="3"/>
      <c r="H3997" s="3">
        <v>0</v>
      </c>
      <c r="I3997" s="3">
        <v>0</v>
      </c>
      <c r="J3997" s="3">
        <v>0</v>
      </c>
      <c r="K3997" s="3">
        <v>0</v>
      </c>
      <c r="L3997" s="3">
        <f t="shared" si="170"/>
        <v>0</v>
      </c>
      <c r="M3997" s="3"/>
      <c r="N3997" s="3">
        <f t="shared" si="169"/>
        <v>0</v>
      </c>
      <c r="R3997" s="89"/>
      <c r="S3997" s="89">
        <f>100%-Table34[[#This Row],[PDF_initial fee]]</f>
        <v>1</v>
      </c>
      <c r="T3997" s="89"/>
      <c r="U3997" s="26"/>
    </row>
    <row r="3998" spans="1:21" hidden="1" x14ac:dyDescent="0.25">
      <c r="A3998">
        <v>726052</v>
      </c>
      <c r="B3998" t="s">
        <v>4381</v>
      </c>
      <c r="C3998" t="s">
        <v>6958</v>
      </c>
      <c r="D3998">
        <v>1</v>
      </c>
      <c r="E3998" t="s">
        <v>4381</v>
      </c>
      <c r="F3998" t="s">
        <v>6958</v>
      </c>
      <c r="G3998" s="3"/>
      <c r="L3998" s="3">
        <f t="shared" si="170"/>
        <v>0</v>
      </c>
      <c r="M3998" s="3"/>
      <c r="N3998" s="3">
        <f t="shared" si="169"/>
        <v>0</v>
      </c>
      <c r="R3998" s="89"/>
      <c r="S3998" s="89">
        <f>100%-Table34[[#This Row],[PDF_initial fee]]</f>
        <v>1</v>
      </c>
      <c r="T3998" s="89"/>
      <c r="U3998" s="26"/>
    </row>
    <row r="3999" spans="1:21" hidden="1" x14ac:dyDescent="0.25">
      <c r="A3999">
        <v>726090</v>
      </c>
      <c r="B3999" t="s">
        <v>4382</v>
      </c>
      <c r="C3999" t="s">
        <v>8317</v>
      </c>
      <c r="D3999">
        <v>4</v>
      </c>
      <c r="E3999" t="s">
        <v>4382</v>
      </c>
      <c r="G3999" s="3"/>
      <c r="H3999" s="21">
        <v>0</v>
      </c>
      <c r="I3999" s="21">
        <v>0</v>
      </c>
      <c r="J3999" s="21">
        <v>0</v>
      </c>
      <c r="K3999" s="21">
        <v>0</v>
      </c>
      <c r="L3999" s="3">
        <f t="shared" si="170"/>
        <v>0</v>
      </c>
      <c r="M3999" s="3"/>
      <c r="N3999" s="3">
        <f t="shared" si="169"/>
        <v>0</v>
      </c>
      <c r="R3999" s="89"/>
      <c r="S3999" s="89">
        <f>100%-Table34[[#This Row],[PDF_initial fee]]</f>
        <v>1</v>
      </c>
      <c r="T3999" s="89"/>
      <c r="U3999" s="26"/>
    </row>
    <row r="4000" spans="1:21" hidden="1" x14ac:dyDescent="0.25">
      <c r="A4000">
        <v>726137</v>
      </c>
      <c r="B4000" t="s">
        <v>4383</v>
      </c>
      <c r="C4000" t="s">
        <v>30880</v>
      </c>
      <c r="D4000">
        <v>3</v>
      </c>
      <c r="E4000" t="s">
        <v>4383</v>
      </c>
      <c r="G4000" s="3"/>
      <c r="H4000" s="21">
        <v>0</v>
      </c>
      <c r="I4000" s="21">
        <v>0</v>
      </c>
      <c r="J4000" s="21">
        <v>0</v>
      </c>
      <c r="K4000" s="21">
        <v>0</v>
      </c>
      <c r="L4000" s="3">
        <f t="shared" si="170"/>
        <v>0</v>
      </c>
      <c r="M4000" s="3"/>
      <c r="N4000" s="3">
        <f t="shared" si="169"/>
        <v>0</v>
      </c>
      <c r="O4000" s="21"/>
      <c r="R4000" s="89"/>
      <c r="S4000" s="89">
        <f>100%-Table34[[#This Row],[PDF_initial fee]]</f>
        <v>1</v>
      </c>
      <c r="T4000" s="89"/>
      <c r="U4000" s="26"/>
    </row>
    <row r="4001" spans="1:21" hidden="1" x14ac:dyDescent="0.25">
      <c r="A4001">
        <v>726208</v>
      </c>
      <c r="B4001" t="s">
        <v>4384</v>
      </c>
      <c r="C4001" t="s">
        <v>12321</v>
      </c>
      <c r="D4001">
        <v>2</v>
      </c>
      <c r="E4001" t="s">
        <v>4384</v>
      </c>
      <c r="G4001" s="3"/>
      <c r="H4001" s="3">
        <v>0</v>
      </c>
      <c r="I4001" s="3">
        <v>0</v>
      </c>
      <c r="J4001" s="3">
        <v>0</v>
      </c>
      <c r="K4001" s="3">
        <v>0</v>
      </c>
      <c r="L4001" s="3">
        <f t="shared" si="170"/>
        <v>0</v>
      </c>
      <c r="M4001" s="3"/>
      <c r="N4001" s="3">
        <f t="shared" si="169"/>
        <v>0</v>
      </c>
      <c r="R4001" s="89"/>
      <c r="S4001" s="89">
        <f>100%-Table34[[#This Row],[PDF_initial fee]]</f>
        <v>1</v>
      </c>
      <c r="T4001" s="89"/>
      <c r="U4001" s="26"/>
    </row>
    <row r="4002" spans="1:21" hidden="1" x14ac:dyDescent="0.25">
      <c r="A4002">
        <v>726352</v>
      </c>
      <c r="B4002" t="s">
        <v>4385</v>
      </c>
      <c r="C4002" t="s">
        <v>8565</v>
      </c>
      <c r="D4002">
        <v>2</v>
      </c>
      <c r="E4002" t="s">
        <v>4385</v>
      </c>
      <c r="G4002" s="3"/>
      <c r="H4002" s="21">
        <v>0</v>
      </c>
      <c r="I4002" s="21">
        <v>0</v>
      </c>
      <c r="J4002" s="21">
        <v>0</v>
      </c>
      <c r="K4002" s="21">
        <v>0</v>
      </c>
      <c r="L4002" s="3">
        <f t="shared" si="170"/>
        <v>0</v>
      </c>
      <c r="M4002" s="3"/>
      <c r="N4002" s="3">
        <f t="shared" si="169"/>
        <v>0</v>
      </c>
      <c r="R4002" s="89"/>
      <c r="S4002" s="89">
        <f>100%-Table34[[#This Row],[PDF_initial fee]]</f>
        <v>1</v>
      </c>
      <c r="T4002" s="89"/>
      <c r="U4002" s="26"/>
    </row>
    <row r="4003" spans="1:21" hidden="1" x14ac:dyDescent="0.25">
      <c r="A4003">
        <v>726448</v>
      </c>
      <c r="B4003" t="s">
        <v>4386</v>
      </c>
      <c r="C4003" t="s">
        <v>6958</v>
      </c>
      <c r="D4003">
        <v>1</v>
      </c>
      <c r="E4003" t="s">
        <v>4386</v>
      </c>
      <c r="F4003" t="s">
        <v>6958</v>
      </c>
      <c r="G4003" s="3"/>
      <c r="H4003" s="21">
        <v>0</v>
      </c>
      <c r="I4003" s="21">
        <v>0</v>
      </c>
      <c r="J4003" s="21">
        <v>0</v>
      </c>
      <c r="K4003" s="21">
        <v>0</v>
      </c>
      <c r="L4003" s="3">
        <f t="shared" si="170"/>
        <v>0</v>
      </c>
      <c r="M4003" s="3"/>
      <c r="N4003" s="3">
        <f t="shared" si="169"/>
        <v>0</v>
      </c>
      <c r="R4003" s="89"/>
      <c r="S4003" s="89">
        <f>100%-Table34[[#This Row],[PDF_initial fee]]</f>
        <v>1</v>
      </c>
      <c r="T4003" s="89"/>
      <c r="U4003" s="26"/>
    </row>
    <row r="4004" spans="1:21" hidden="1" x14ac:dyDescent="0.25">
      <c r="A4004">
        <v>726620</v>
      </c>
      <c r="B4004" t="s">
        <v>4387</v>
      </c>
      <c r="C4004" t="s">
        <v>8010</v>
      </c>
      <c r="D4004">
        <v>9</v>
      </c>
      <c r="E4004" t="s">
        <v>4387</v>
      </c>
      <c r="G4004" s="3"/>
      <c r="H4004" s="21">
        <v>0</v>
      </c>
      <c r="I4004" s="21">
        <v>0</v>
      </c>
      <c r="J4004" s="21">
        <v>0</v>
      </c>
      <c r="K4004" s="21">
        <v>0</v>
      </c>
      <c r="L4004" s="3">
        <f t="shared" si="170"/>
        <v>0</v>
      </c>
      <c r="M4004" s="3"/>
      <c r="N4004" s="3">
        <f t="shared" si="169"/>
        <v>0</v>
      </c>
      <c r="R4004" s="89"/>
      <c r="S4004" s="89">
        <f>100%-Table34[[#This Row],[PDF_initial fee]]</f>
        <v>1</v>
      </c>
      <c r="T4004" s="89"/>
      <c r="U4004" s="26"/>
    </row>
    <row r="4005" spans="1:21" hidden="1" x14ac:dyDescent="0.25">
      <c r="A4005">
        <v>727212</v>
      </c>
      <c r="B4005" t="s">
        <v>4388</v>
      </c>
      <c r="C4005" t="s">
        <v>6958</v>
      </c>
      <c r="D4005">
        <v>2</v>
      </c>
      <c r="E4005" t="s">
        <v>4388</v>
      </c>
      <c r="F4005" t="s">
        <v>6958</v>
      </c>
      <c r="G4005" s="3"/>
      <c r="H4005" s="21">
        <v>0</v>
      </c>
      <c r="I4005" s="21">
        <v>0</v>
      </c>
      <c r="J4005" s="21">
        <v>0</v>
      </c>
      <c r="K4005" s="21">
        <v>0</v>
      </c>
      <c r="L4005" s="3">
        <f t="shared" si="170"/>
        <v>0</v>
      </c>
      <c r="M4005" s="3"/>
      <c r="N4005" s="3">
        <f t="shared" si="169"/>
        <v>0</v>
      </c>
      <c r="R4005" s="89"/>
      <c r="S4005" s="89">
        <f>100%-Table34[[#This Row],[PDF_initial fee]]</f>
        <v>1</v>
      </c>
      <c r="T4005" s="89"/>
      <c r="U4005" s="26"/>
    </row>
    <row r="4006" spans="1:21" hidden="1" x14ac:dyDescent="0.25">
      <c r="A4006">
        <v>727583</v>
      </c>
      <c r="B4006" t="s">
        <v>4390</v>
      </c>
      <c r="C4006" t="s">
        <v>6958</v>
      </c>
      <c r="D4006">
        <v>5</v>
      </c>
      <c r="E4006" t="s">
        <v>4390</v>
      </c>
      <c r="F4006" t="s">
        <v>6958</v>
      </c>
      <c r="G4006" s="3"/>
      <c r="H4006" s="21">
        <v>0</v>
      </c>
      <c r="I4006" s="21">
        <v>0</v>
      </c>
      <c r="J4006" s="21">
        <v>0</v>
      </c>
      <c r="K4006" s="21">
        <v>0</v>
      </c>
      <c r="L4006" s="3">
        <f t="shared" si="170"/>
        <v>0</v>
      </c>
      <c r="M4006" s="3"/>
      <c r="N4006" s="3">
        <f t="shared" si="169"/>
        <v>0</v>
      </c>
      <c r="R4006" s="89"/>
      <c r="S4006" s="89">
        <f>100%-Table34[[#This Row],[PDF_initial fee]]</f>
        <v>1</v>
      </c>
      <c r="T4006" s="89"/>
      <c r="U4006" s="26"/>
    </row>
    <row r="4007" spans="1:21" hidden="1" x14ac:dyDescent="0.25">
      <c r="A4007">
        <v>727691</v>
      </c>
      <c r="B4007" t="s">
        <v>4391</v>
      </c>
      <c r="C4007" t="s">
        <v>6958</v>
      </c>
      <c r="D4007">
        <v>1</v>
      </c>
      <c r="E4007" t="s">
        <v>4391</v>
      </c>
      <c r="F4007" t="s">
        <v>6958</v>
      </c>
      <c r="G4007" s="3"/>
      <c r="H4007" s="21">
        <v>0</v>
      </c>
      <c r="I4007" s="21">
        <v>0</v>
      </c>
      <c r="J4007" s="21">
        <v>0</v>
      </c>
      <c r="K4007" s="21">
        <v>0</v>
      </c>
      <c r="L4007" s="3">
        <f t="shared" si="170"/>
        <v>0</v>
      </c>
      <c r="M4007" s="3"/>
      <c r="N4007" s="3">
        <f t="shared" si="169"/>
        <v>0</v>
      </c>
      <c r="R4007" s="89"/>
      <c r="S4007" s="89">
        <f>100%-Table34[[#This Row],[PDF_initial fee]]</f>
        <v>1</v>
      </c>
      <c r="T4007" s="89"/>
      <c r="U4007" s="26"/>
    </row>
    <row r="4008" spans="1:21" hidden="1" x14ac:dyDescent="0.25">
      <c r="A4008">
        <v>728107</v>
      </c>
      <c r="B4008" t="s">
        <v>4392</v>
      </c>
      <c r="C4008" t="s">
        <v>30881</v>
      </c>
      <c r="D4008">
        <v>2</v>
      </c>
      <c r="E4008" t="s">
        <v>4392</v>
      </c>
      <c r="G4008" s="3"/>
      <c r="H4008" s="3">
        <v>0</v>
      </c>
      <c r="I4008" s="3">
        <v>0</v>
      </c>
      <c r="J4008" s="3">
        <v>0</v>
      </c>
      <c r="K4008" s="3">
        <v>0</v>
      </c>
      <c r="L4008" s="3">
        <f t="shared" si="170"/>
        <v>0</v>
      </c>
      <c r="M4008" s="3"/>
      <c r="N4008" s="3">
        <f t="shared" si="169"/>
        <v>0</v>
      </c>
      <c r="R4008" s="89"/>
      <c r="S4008" s="89">
        <f>100%-Table34[[#This Row],[PDF_initial fee]]</f>
        <v>1</v>
      </c>
      <c r="T4008" s="89"/>
      <c r="U4008" s="26"/>
    </row>
    <row r="4009" spans="1:21" hidden="1" x14ac:dyDescent="0.25">
      <c r="A4009">
        <v>728136</v>
      </c>
      <c r="B4009" t="s">
        <v>4393</v>
      </c>
      <c r="C4009" t="s">
        <v>10601</v>
      </c>
      <c r="D4009">
        <v>2</v>
      </c>
      <c r="E4009" t="s">
        <v>4393</v>
      </c>
      <c r="G4009" s="3"/>
      <c r="H4009" s="3">
        <v>0</v>
      </c>
      <c r="I4009" s="3">
        <v>0</v>
      </c>
      <c r="J4009" s="3">
        <v>0</v>
      </c>
      <c r="K4009" s="3">
        <v>0</v>
      </c>
      <c r="L4009" s="3">
        <f t="shared" si="170"/>
        <v>0</v>
      </c>
      <c r="M4009" s="3"/>
      <c r="N4009" s="3">
        <f t="shared" si="169"/>
        <v>0</v>
      </c>
      <c r="R4009" s="89"/>
      <c r="S4009" s="89">
        <f>100%-Table34[[#This Row],[PDF_initial fee]]</f>
        <v>1</v>
      </c>
      <c r="T4009" s="89"/>
      <c r="U4009" s="26"/>
    </row>
    <row r="4010" spans="1:21" hidden="1" x14ac:dyDescent="0.25">
      <c r="A4010">
        <v>728490</v>
      </c>
      <c r="B4010" t="s">
        <v>4394</v>
      </c>
      <c r="C4010" t="s">
        <v>30882</v>
      </c>
      <c r="D4010">
        <v>1</v>
      </c>
      <c r="E4010" t="s">
        <v>4394</v>
      </c>
      <c r="G4010" s="3"/>
      <c r="H4010" s="21">
        <v>0</v>
      </c>
      <c r="I4010" s="3">
        <v>0</v>
      </c>
      <c r="J4010" s="3">
        <v>0</v>
      </c>
      <c r="K4010">
        <v>0</v>
      </c>
      <c r="L4010" s="3">
        <f t="shared" si="170"/>
        <v>0</v>
      </c>
      <c r="M4010" s="3"/>
      <c r="N4010" s="3">
        <f t="shared" si="169"/>
        <v>0</v>
      </c>
      <c r="R4010" s="89"/>
      <c r="S4010" s="89">
        <f>100%-Table34[[#This Row],[PDF_initial fee]]</f>
        <v>1</v>
      </c>
      <c r="T4010" s="89"/>
      <c r="U4010" s="26"/>
    </row>
    <row r="4011" spans="1:21" hidden="1" x14ac:dyDescent="0.25">
      <c r="A4011">
        <v>728707</v>
      </c>
      <c r="B4011" t="s">
        <v>4395</v>
      </c>
      <c r="C4011" t="s">
        <v>9409</v>
      </c>
      <c r="D4011">
        <v>4</v>
      </c>
      <c r="E4011" t="s">
        <v>4395</v>
      </c>
      <c r="G4011" s="3"/>
      <c r="H4011" s="3"/>
      <c r="I4011" s="3"/>
      <c r="J4011" s="3"/>
      <c r="K4011" s="3"/>
      <c r="L4011" s="3">
        <f t="shared" si="170"/>
        <v>0</v>
      </c>
      <c r="M4011" s="3"/>
      <c r="N4011" s="3">
        <f t="shared" si="169"/>
        <v>0</v>
      </c>
      <c r="R4011" s="89"/>
      <c r="S4011" s="89">
        <f>100%-Table34[[#This Row],[PDF_initial fee]]</f>
        <v>1</v>
      </c>
      <c r="T4011" s="89"/>
      <c r="U4011" s="26"/>
    </row>
    <row r="4012" spans="1:21" hidden="1" x14ac:dyDescent="0.25">
      <c r="A4012">
        <v>729066</v>
      </c>
      <c r="B4012" t="s">
        <v>4396</v>
      </c>
      <c r="C4012" t="s">
        <v>30883</v>
      </c>
      <c r="D4012">
        <v>1</v>
      </c>
      <c r="E4012" t="s">
        <v>4396</v>
      </c>
      <c r="G4012" s="3"/>
      <c r="H4012" s="3">
        <v>0</v>
      </c>
      <c r="I4012" s="3">
        <v>0</v>
      </c>
      <c r="J4012" s="3">
        <v>0</v>
      </c>
      <c r="K4012" s="3">
        <v>0</v>
      </c>
      <c r="L4012" s="3">
        <f t="shared" si="170"/>
        <v>0</v>
      </c>
      <c r="M4012" s="3"/>
      <c r="N4012" s="3">
        <f t="shared" si="169"/>
        <v>0</v>
      </c>
      <c r="R4012" s="89"/>
      <c r="S4012" s="89">
        <f>100%-Table34[[#This Row],[PDF_initial fee]]</f>
        <v>1</v>
      </c>
      <c r="T4012" s="89"/>
      <c r="U4012" s="26"/>
    </row>
    <row r="4013" spans="1:21" hidden="1" x14ac:dyDescent="0.25">
      <c r="A4013">
        <v>729282</v>
      </c>
      <c r="B4013" t="s">
        <v>4397</v>
      </c>
      <c r="C4013" t="s">
        <v>6958</v>
      </c>
      <c r="D4013">
        <v>3</v>
      </c>
      <c r="E4013" t="s">
        <v>4397</v>
      </c>
      <c r="F4013" t="s">
        <v>6958</v>
      </c>
      <c r="G4013" s="3"/>
      <c r="H4013" s="21">
        <v>0</v>
      </c>
      <c r="I4013" s="21">
        <v>0</v>
      </c>
      <c r="J4013" s="21">
        <v>0</v>
      </c>
      <c r="K4013" s="21">
        <v>0</v>
      </c>
      <c r="L4013" s="3">
        <f t="shared" si="170"/>
        <v>0</v>
      </c>
      <c r="M4013" s="3"/>
      <c r="N4013" s="3">
        <f t="shared" si="169"/>
        <v>0</v>
      </c>
      <c r="R4013" s="89"/>
      <c r="S4013" s="89">
        <f>100%-Table34[[#This Row],[PDF_initial fee]]</f>
        <v>1</v>
      </c>
      <c r="T4013" s="89"/>
      <c r="U4013" s="26"/>
    </row>
    <row r="4014" spans="1:21" hidden="1" x14ac:dyDescent="0.25">
      <c r="A4014">
        <v>729419</v>
      </c>
      <c r="B4014" t="s">
        <v>4398</v>
      </c>
      <c r="C4014" t="s">
        <v>7593</v>
      </c>
      <c r="D4014">
        <v>1</v>
      </c>
      <c r="E4014" t="s">
        <v>4398</v>
      </c>
      <c r="G4014" s="3"/>
      <c r="H4014" s="21">
        <v>0</v>
      </c>
      <c r="I4014" s="21">
        <v>0</v>
      </c>
      <c r="J4014" s="21">
        <v>0</v>
      </c>
      <c r="K4014" s="21">
        <v>0</v>
      </c>
      <c r="L4014" s="3">
        <f t="shared" si="170"/>
        <v>0</v>
      </c>
      <c r="M4014" s="3"/>
      <c r="N4014" s="3">
        <f t="shared" si="169"/>
        <v>0</v>
      </c>
      <c r="R4014" s="89"/>
      <c r="S4014" s="89">
        <f>100%-Table34[[#This Row],[PDF_initial fee]]</f>
        <v>1</v>
      </c>
      <c r="T4014" s="89"/>
      <c r="U4014" s="26"/>
    </row>
    <row r="4015" spans="1:21" hidden="1" x14ac:dyDescent="0.25">
      <c r="A4015">
        <v>729441</v>
      </c>
      <c r="B4015" t="s">
        <v>4399</v>
      </c>
      <c r="C4015" t="s">
        <v>6958</v>
      </c>
      <c r="D4015">
        <v>1</v>
      </c>
      <c r="E4015" t="s">
        <v>4399</v>
      </c>
      <c r="F4015" t="s">
        <v>6958</v>
      </c>
      <c r="G4015" s="3"/>
      <c r="H4015" s="21">
        <v>0</v>
      </c>
      <c r="I4015" s="21">
        <v>0</v>
      </c>
      <c r="J4015" s="21">
        <v>0</v>
      </c>
      <c r="K4015" s="21">
        <v>0</v>
      </c>
      <c r="L4015" s="3">
        <f t="shared" si="170"/>
        <v>0</v>
      </c>
      <c r="M4015" s="3"/>
      <c r="N4015" s="3">
        <f t="shared" si="169"/>
        <v>0</v>
      </c>
      <c r="R4015" s="89"/>
      <c r="S4015" s="89">
        <f>100%-Table34[[#This Row],[PDF_initial fee]]</f>
        <v>1</v>
      </c>
      <c r="T4015" s="89"/>
      <c r="U4015" s="26"/>
    </row>
    <row r="4016" spans="1:21" hidden="1" x14ac:dyDescent="0.25">
      <c r="A4016">
        <v>729444</v>
      </c>
      <c r="B4016" t="s">
        <v>4400</v>
      </c>
      <c r="C4016" t="s">
        <v>30884</v>
      </c>
      <c r="D4016">
        <v>1</v>
      </c>
      <c r="E4016" t="s">
        <v>4400</v>
      </c>
      <c r="F4016" t="s">
        <v>29503</v>
      </c>
      <c r="G4016" s="3"/>
      <c r="H4016" s="3"/>
      <c r="I4016" s="3"/>
      <c r="J4016" s="6"/>
      <c r="K4016" s="6"/>
      <c r="L4016" s="3"/>
      <c r="M4016" s="3"/>
      <c r="N4016" s="3"/>
      <c r="O4016" t="s">
        <v>30885</v>
      </c>
      <c r="R4016" s="89"/>
      <c r="S4016" s="89">
        <f>100%-Table34[[#This Row],[PDF_initial fee]]</f>
        <v>1</v>
      </c>
      <c r="T4016" s="89"/>
      <c r="U4016" s="26"/>
    </row>
    <row r="4017" spans="1:27" hidden="1" x14ac:dyDescent="0.25">
      <c r="A4017">
        <v>729853</v>
      </c>
      <c r="B4017" t="s">
        <v>4401</v>
      </c>
      <c r="C4017" s="1" t="s">
        <v>30886</v>
      </c>
      <c r="D4017">
        <v>11</v>
      </c>
      <c r="E4017" t="s">
        <v>4401</v>
      </c>
      <c r="G4017" s="3"/>
      <c r="L4017" s="3">
        <f t="shared" ref="L4017:L4048" si="171">SUM(H4017:K4017)</f>
        <v>0</v>
      </c>
      <c r="M4017" s="3"/>
      <c r="N4017" s="3">
        <f t="shared" ref="N4017:N4048" si="172">L4017+G4017</f>
        <v>0</v>
      </c>
      <c r="R4017" s="89"/>
      <c r="S4017" s="89">
        <f>100%-Table34[[#This Row],[PDF_initial fee]]</f>
        <v>1</v>
      </c>
      <c r="T4017" s="89"/>
      <c r="U4017" s="26"/>
    </row>
    <row r="4018" spans="1:27" hidden="1" x14ac:dyDescent="0.25">
      <c r="A4018">
        <v>730427</v>
      </c>
      <c r="B4018" t="s">
        <v>4402</v>
      </c>
      <c r="C4018" t="s">
        <v>30887</v>
      </c>
      <c r="D4018">
        <v>0</v>
      </c>
      <c r="E4018" t="s">
        <v>4402</v>
      </c>
      <c r="F4018" t="s">
        <v>29136</v>
      </c>
      <c r="G4018" s="3"/>
      <c r="H4018" s="21">
        <v>0</v>
      </c>
      <c r="I4018" s="21">
        <v>0</v>
      </c>
      <c r="J4018" s="21">
        <v>0</v>
      </c>
      <c r="K4018" s="21">
        <v>0</v>
      </c>
      <c r="L4018" s="3">
        <f t="shared" si="171"/>
        <v>0</v>
      </c>
      <c r="M4018" s="3"/>
      <c r="N4018" s="3">
        <f t="shared" si="172"/>
        <v>0</v>
      </c>
      <c r="O4018" s="21"/>
      <c r="R4018" s="89"/>
      <c r="S4018" s="89">
        <f>100%-Table34[[#This Row],[PDF_initial fee]]</f>
        <v>1</v>
      </c>
      <c r="T4018" s="89"/>
      <c r="U4018" s="26"/>
    </row>
    <row r="4019" spans="1:27" hidden="1" x14ac:dyDescent="0.25">
      <c r="A4019">
        <v>730591</v>
      </c>
      <c r="B4019" t="s">
        <v>4403</v>
      </c>
      <c r="C4019" t="s">
        <v>6958</v>
      </c>
      <c r="D4019">
        <v>1</v>
      </c>
      <c r="E4019" t="s">
        <v>4403</v>
      </c>
      <c r="F4019" t="s">
        <v>6958</v>
      </c>
      <c r="G4019" s="3"/>
      <c r="H4019" s="21">
        <v>0</v>
      </c>
      <c r="I4019" s="21">
        <v>0</v>
      </c>
      <c r="J4019" s="21">
        <v>0</v>
      </c>
      <c r="K4019" s="21">
        <v>0</v>
      </c>
      <c r="L4019" s="3">
        <f t="shared" si="171"/>
        <v>0</v>
      </c>
      <c r="M4019" s="3"/>
      <c r="N4019" s="3">
        <f t="shared" si="172"/>
        <v>0</v>
      </c>
      <c r="R4019" s="89"/>
      <c r="S4019" s="89">
        <f>100%-Table34[[#This Row],[PDF_initial fee]]</f>
        <v>1</v>
      </c>
      <c r="T4019" s="89"/>
      <c r="U4019" s="26"/>
    </row>
    <row r="4020" spans="1:27" hidden="1" x14ac:dyDescent="0.25">
      <c r="A4020">
        <v>731020</v>
      </c>
      <c r="B4020" t="s">
        <v>4406</v>
      </c>
      <c r="C4020" t="s">
        <v>8290</v>
      </c>
      <c r="D4020">
        <v>9</v>
      </c>
      <c r="E4020" t="s">
        <v>4406</v>
      </c>
      <c r="G4020" s="3"/>
      <c r="H4020" s="21">
        <v>0</v>
      </c>
      <c r="I4020" s="21">
        <v>0</v>
      </c>
      <c r="J4020" s="21">
        <v>0</v>
      </c>
      <c r="K4020" s="21">
        <v>0</v>
      </c>
      <c r="L4020" s="3">
        <f t="shared" si="171"/>
        <v>0</v>
      </c>
      <c r="M4020" s="3"/>
      <c r="N4020" s="3">
        <f t="shared" si="172"/>
        <v>0</v>
      </c>
      <c r="R4020" s="89"/>
      <c r="S4020" s="89">
        <f>100%-Table34[[#This Row],[PDF_initial fee]]</f>
        <v>1</v>
      </c>
      <c r="T4020" s="89"/>
      <c r="U4020" s="26"/>
    </row>
    <row r="4021" spans="1:27" x14ac:dyDescent="0.25">
      <c r="A4021">
        <v>590387</v>
      </c>
      <c r="B4021" t="s">
        <v>244</v>
      </c>
      <c r="C4021" t="s">
        <v>30888</v>
      </c>
      <c r="D4021">
        <v>2</v>
      </c>
      <c r="E4021" t="s">
        <v>244</v>
      </c>
      <c r="F4021" t="s">
        <v>3</v>
      </c>
      <c r="G4021" s="3">
        <v>1.4E-3</v>
      </c>
      <c r="H4021" s="3">
        <v>8.9999999999999993E-3</v>
      </c>
      <c r="I4021" s="3">
        <v>5.6639999999999998E-3</v>
      </c>
      <c r="J4021" s="6">
        <v>0</v>
      </c>
      <c r="K4021" s="6">
        <v>0</v>
      </c>
      <c r="L4021" s="3">
        <f t="shared" si="171"/>
        <v>1.4664E-2</v>
      </c>
      <c r="M4021" s="3"/>
      <c r="N4021" s="3">
        <f t="shared" si="172"/>
        <v>1.6063999999999998E-2</v>
      </c>
      <c r="P4021" s="31" t="s">
        <v>30889</v>
      </c>
      <c r="Q4021" t="s">
        <v>31787</v>
      </c>
      <c r="R4021" s="89">
        <v>0.33333333333333348</v>
      </c>
      <c r="S4021" s="89">
        <f>100%-Table34[[#This Row],[InitialFee]]</f>
        <v>0.99099999999999999</v>
      </c>
      <c r="T4021" s="89">
        <f>(1-Table34[[#This Row],[OngoingFee (plus Platform fee)]])^5</f>
        <v>0.97199899703814074</v>
      </c>
      <c r="U4021" s="26">
        <f>(1+Table34[[#This Row],[Net 5yrs return (mostly up to 28th of Feb 2026)]])*Table34[[#This Row],[Investment after initial charge]]*Table34[[#This Row],[Cummulative 5yrs ongoing advice charge]]-1</f>
        <v>0.28433467475306351</v>
      </c>
      <c r="V4021" s="10">
        <f>62510+56643</f>
        <v>119153</v>
      </c>
      <c r="W4021" t="s">
        <v>29051</v>
      </c>
      <c r="X4021" s="9">
        <v>90986</v>
      </c>
      <c r="Y4021" s="30">
        <f>X4021/V4021</f>
        <v>0.76360645556553342</v>
      </c>
      <c r="AA4021" s="1" t="s">
        <v>30890</v>
      </c>
    </row>
    <row r="4022" spans="1:27" hidden="1" x14ac:dyDescent="0.25">
      <c r="A4022">
        <v>731132</v>
      </c>
      <c r="B4022" t="s">
        <v>4407</v>
      </c>
      <c r="C4022" t="s">
        <v>30891</v>
      </c>
      <c r="D4022">
        <v>1</v>
      </c>
      <c r="E4022" t="s">
        <v>4407</v>
      </c>
      <c r="G4022" s="3"/>
      <c r="H4022" s="3">
        <v>0</v>
      </c>
      <c r="I4022" s="3">
        <v>0</v>
      </c>
      <c r="J4022" s="3">
        <v>0</v>
      </c>
      <c r="K4022" s="3">
        <v>0</v>
      </c>
      <c r="L4022" s="3">
        <f t="shared" si="171"/>
        <v>0</v>
      </c>
      <c r="M4022" s="3"/>
      <c r="N4022" s="3">
        <f t="shared" si="172"/>
        <v>0</v>
      </c>
      <c r="R4022" s="89"/>
      <c r="S4022" s="89">
        <f>100%-Table34[[#This Row],[PDF_initial fee]]</f>
        <v>1</v>
      </c>
      <c r="T4022" s="89"/>
      <c r="U4022" s="26"/>
    </row>
    <row r="4023" spans="1:27" hidden="1" x14ac:dyDescent="0.25">
      <c r="A4023">
        <v>731359</v>
      </c>
      <c r="B4023" t="s">
        <v>4408</v>
      </c>
      <c r="C4023" t="s">
        <v>9303</v>
      </c>
      <c r="D4023">
        <v>1</v>
      </c>
      <c r="E4023" t="s">
        <v>4408</v>
      </c>
      <c r="G4023" s="3"/>
      <c r="H4023" s="21">
        <v>0</v>
      </c>
      <c r="I4023" s="21">
        <v>0</v>
      </c>
      <c r="J4023" s="21">
        <v>0</v>
      </c>
      <c r="K4023" s="21">
        <v>0</v>
      </c>
      <c r="L4023" s="3">
        <f t="shared" si="171"/>
        <v>0</v>
      </c>
      <c r="M4023" s="3"/>
      <c r="N4023" s="3">
        <f t="shared" si="172"/>
        <v>0</v>
      </c>
      <c r="R4023" s="89"/>
      <c r="S4023" s="89">
        <f>100%-Table34[[#This Row],[PDF_initial fee]]</f>
        <v>1</v>
      </c>
      <c r="T4023" s="89"/>
      <c r="U4023" s="26"/>
    </row>
    <row r="4024" spans="1:27" hidden="1" x14ac:dyDescent="0.25">
      <c r="A4024">
        <v>731380</v>
      </c>
      <c r="B4024" t="s">
        <v>4409</v>
      </c>
      <c r="C4024" t="s">
        <v>11556</v>
      </c>
      <c r="D4024">
        <v>3</v>
      </c>
      <c r="E4024" t="s">
        <v>4409</v>
      </c>
      <c r="G4024" s="3"/>
      <c r="H4024" s="3"/>
      <c r="I4024" s="3"/>
      <c r="J4024" s="3"/>
      <c r="K4024" s="3"/>
      <c r="L4024" s="3">
        <f t="shared" si="171"/>
        <v>0</v>
      </c>
      <c r="M4024" s="3"/>
      <c r="N4024" s="3">
        <f t="shared" si="172"/>
        <v>0</v>
      </c>
      <c r="R4024" s="89"/>
      <c r="S4024" s="89">
        <f>100%-Table34[[#This Row],[PDF_initial fee]]</f>
        <v>1</v>
      </c>
      <c r="T4024" s="89"/>
      <c r="U4024" s="26"/>
    </row>
    <row r="4025" spans="1:27" hidden="1" x14ac:dyDescent="0.25">
      <c r="A4025">
        <v>731610</v>
      </c>
      <c r="B4025" t="s">
        <v>4411</v>
      </c>
      <c r="C4025" t="s">
        <v>10019</v>
      </c>
      <c r="D4025">
        <v>2</v>
      </c>
      <c r="E4025" t="s">
        <v>4411</v>
      </c>
      <c r="G4025" s="3"/>
      <c r="H4025" s="3"/>
      <c r="I4025" s="3"/>
      <c r="J4025" s="3"/>
      <c r="K4025" s="3"/>
      <c r="L4025" s="3">
        <f t="shared" si="171"/>
        <v>0</v>
      </c>
      <c r="M4025" s="3"/>
      <c r="N4025" s="3">
        <f t="shared" si="172"/>
        <v>0</v>
      </c>
      <c r="R4025" s="89"/>
      <c r="S4025" s="89">
        <f>100%-Table34[[#This Row],[PDF_initial fee]]</f>
        <v>1</v>
      </c>
      <c r="T4025" s="89"/>
      <c r="U4025" s="26"/>
    </row>
    <row r="4026" spans="1:27" hidden="1" x14ac:dyDescent="0.25">
      <c r="A4026">
        <v>732088</v>
      </c>
      <c r="B4026" t="s">
        <v>4412</v>
      </c>
      <c r="C4026" t="s">
        <v>9003</v>
      </c>
      <c r="D4026">
        <v>1</v>
      </c>
      <c r="E4026" t="s">
        <v>4412</v>
      </c>
      <c r="G4026" s="3"/>
      <c r="H4026" s="21">
        <v>0</v>
      </c>
      <c r="I4026" s="21">
        <v>0</v>
      </c>
      <c r="J4026" s="21">
        <v>0</v>
      </c>
      <c r="K4026" s="21">
        <v>0</v>
      </c>
      <c r="L4026" s="3">
        <f t="shared" si="171"/>
        <v>0</v>
      </c>
      <c r="M4026" s="3"/>
      <c r="N4026" s="3">
        <f t="shared" si="172"/>
        <v>0</v>
      </c>
      <c r="R4026" s="89"/>
      <c r="S4026" s="89">
        <f>100%-Table34[[#This Row],[PDF_initial fee]]</f>
        <v>1</v>
      </c>
      <c r="T4026" s="89"/>
      <c r="U4026" s="26"/>
    </row>
    <row r="4027" spans="1:27" hidden="1" x14ac:dyDescent="0.25">
      <c r="A4027">
        <v>732303</v>
      </c>
      <c r="B4027" t="s">
        <v>4413</v>
      </c>
      <c r="C4027" t="s">
        <v>6958</v>
      </c>
      <c r="D4027">
        <v>1</v>
      </c>
      <c r="E4027" t="s">
        <v>4413</v>
      </c>
      <c r="F4027" t="s">
        <v>6958</v>
      </c>
      <c r="G4027" s="3"/>
      <c r="H4027" s="21">
        <v>0</v>
      </c>
      <c r="I4027" s="21">
        <v>0</v>
      </c>
      <c r="J4027" s="21">
        <v>0</v>
      </c>
      <c r="K4027" s="21">
        <v>0</v>
      </c>
      <c r="L4027" s="3">
        <f t="shared" si="171"/>
        <v>0</v>
      </c>
      <c r="M4027" s="3"/>
      <c r="N4027" s="3">
        <f t="shared" si="172"/>
        <v>0</v>
      </c>
      <c r="R4027" s="89"/>
      <c r="S4027" s="89">
        <f>100%-Table34[[#This Row],[PDF_initial fee]]</f>
        <v>1</v>
      </c>
      <c r="T4027" s="89"/>
      <c r="U4027" s="26"/>
    </row>
    <row r="4028" spans="1:27" hidden="1" x14ac:dyDescent="0.25">
      <c r="A4028">
        <v>732318</v>
      </c>
      <c r="B4028" t="s">
        <v>4414</v>
      </c>
      <c r="C4028" t="s">
        <v>6959</v>
      </c>
      <c r="D4028">
        <v>6</v>
      </c>
      <c r="E4028" t="s">
        <v>4414</v>
      </c>
      <c r="G4028" s="3"/>
      <c r="H4028" s="21">
        <v>0</v>
      </c>
      <c r="I4028" s="21">
        <v>0</v>
      </c>
      <c r="J4028" s="21">
        <v>0</v>
      </c>
      <c r="K4028" s="21">
        <v>0</v>
      </c>
      <c r="L4028" s="3">
        <f t="shared" si="171"/>
        <v>0</v>
      </c>
      <c r="M4028" s="3"/>
      <c r="N4028" s="3">
        <f t="shared" si="172"/>
        <v>0</v>
      </c>
      <c r="R4028" s="89"/>
      <c r="S4028" s="89">
        <f>100%-Table34[[#This Row],[PDF_initial fee]]</f>
        <v>1</v>
      </c>
      <c r="T4028" s="89"/>
      <c r="U4028" s="26"/>
    </row>
    <row r="4029" spans="1:27" hidden="1" x14ac:dyDescent="0.25">
      <c r="A4029">
        <v>732521</v>
      </c>
      <c r="B4029" t="s">
        <v>4415</v>
      </c>
      <c r="C4029" t="s">
        <v>6958</v>
      </c>
      <c r="D4029">
        <v>1</v>
      </c>
      <c r="E4029" t="s">
        <v>4415</v>
      </c>
      <c r="F4029" t="s">
        <v>6958</v>
      </c>
      <c r="G4029" s="3"/>
      <c r="L4029" s="3">
        <f t="shared" si="171"/>
        <v>0</v>
      </c>
      <c r="M4029" s="3"/>
      <c r="N4029" s="3">
        <f t="shared" si="172"/>
        <v>0</v>
      </c>
      <c r="R4029" s="89"/>
      <c r="S4029" s="89">
        <f>100%-Table34[[#This Row],[PDF_initial fee]]</f>
        <v>1</v>
      </c>
      <c r="T4029" s="89"/>
      <c r="U4029" s="26"/>
    </row>
    <row r="4030" spans="1:27" hidden="1" x14ac:dyDescent="0.25">
      <c r="A4030">
        <v>732532</v>
      </c>
      <c r="B4030" t="s">
        <v>4416</v>
      </c>
      <c r="C4030" t="s">
        <v>6958</v>
      </c>
      <c r="D4030">
        <v>1</v>
      </c>
      <c r="E4030" t="s">
        <v>4416</v>
      </c>
      <c r="F4030" t="s">
        <v>6958</v>
      </c>
      <c r="G4030" s="3"/>
      <c r="H4030" s="21">
        <v>0</v>
      </c>
      <c r="I4030" s="21">
        <v>0</v>
      </c>
      <c r="J4030" s="21">
        <v>0</v>
      </c>
      <c r="K4030" s="21">
        <v>0</v>
      </c>
      <c r="L4030" s="3">
        <f t="shared" si="171"/>
        <v>0</v>
      </c>
      <c r="M4030" s="3"/>
      <c r="N4030" s="3">
        <f t="shared" si="172"/>
        <v>0</v>
      </c>
      <c r="R4030" s="89"/>
      <c r="S4030" s="89">
        <f>100%-Table34[[#This Row],[PDF_initial fee]]</f>
        <v>1</v>
      </c>
      <c r="T4030" s="89"/>
      <c r="U4030" s="26"/>
    </row>
    <row r="4031" spans="1:27" hidden="1" x14ac:dyDescent="0.25">
      <c r="A4031">
        <v>732710</v>
      </c>
      <c r="B4031" t="s">
        <v>4417</v>
      </c>
      <c r="C4031" t="s">
        <v>30892</v>
      </c>
      <c r="D4031">
        <v>2</v>
      </c>
      <c r="E4031" t="s">
        <v>4417</v>
      </c>
      <c r="G4031" s="3"/>
      <c r="H4031" s="3">
        <v>0</v>
      </c>
      <c r="I4031" s="3">
        <v>0</v>
      </c>
      <c r="J4031" s="3">
        <v>0</v>
      </c>
      <c r="K4031" s="3">
        <v>0</v>
      </c>
      <c r="L4031" s="3">
        <f t="shared" si="171"/>
        <v>0</v>
      </c>
      <c r="M4031" s="3"/>
      <c r="N4031" s="3">
        <f t="shared" si="172"/>
        <v>0</v>
      </c>
      <c r="R4031" s="89"/>
      <c r="S4031" s="89">
        <f>100%-Table34[[#This Row],[PDF_initial fee]]</f>
        <v>1</v>
      </c>
      <c r="T4031" s="89"/>
      <c r="U4031" s="26"/>
    </row>
    <row r="4032" spans="1:27" hidden="1" x14ac:dyDescent="0.25">
      <c r="A4032">
        <v>732724</v>
      </c>
      <c r="B4032" t="s">
        <v>4418</v>
      </c>
      <c r="C4032" t="s">
        <v>8937</v>
      </c>
      <c r="D4032">
        <v>1</v>
      </c>
      <c r="E4032" t="s">
        <v>4418</v>
      </c>
      <c r="G4032" s="3"/>
      <c r="H4032" s="21">
        <v>0</v>
      </c>
      <c r="I4032" s="21">
        <v>0</v>
      </c>
      <c r="J4032" s="21">
        <v>0</v>
      </c>
      <c r="K4032" s="21">
        <v>0</v>
      </c>
      <c r="L4032" s="3">
        <f t="shared" si="171"/>
        <v>0</v>
      </c>
      <c r="M4032" s="3"/>
      <c r="N4032" s="3">
        <f t="shared" si="172"/>
        <v>0</v>
      </c>
      <c r="R4032" s="89"/>
      <c r="S4032" s="89">
        <f>100%-Table34[[#This Row],[PDF_initial fee]]</f>
        <v>1</v>
      </c>
      <c r="T4032" s="89"/>
      <c r="U4032" s="26"/>
    </row>
    <row r="4033" spans="1:27" hidden="1" x14ac:dyDescent="0.25">
      <c r="A4033">
        <v>733137</v>
      </c>
      <c r="B4033" t="s">
        <v>4419</v>
      </c>
      <c r="C4033" t="s">
        <v>30893</v>
      </c>
      <c r="D4033">
        <v>1</v>
      </c>
      <c r="E4033" t="s">
        <v>4419</v>
      </c>
      <c r="G4033" s="3"/>
      <c r="H4033" s="21">
        <v>0</v>
      </c>
      <c r="I4033" s="21">
        <v>0</v>
      </c>
      <c r="J4033" s="21">
        <v>0</v>
      </c>
      <c r="K4033" s="21">
        <v>0</v>
      </c>
      <c r="L4033" s="3">
        <f t="shared" si="171"/>
        <v>0</v>
      </c>
      <c r="M4033" s="3"/>
      <c r="N4033" s="3">
        <f t="shared" si="172"/>
        <v>0</v>
      </c>
      <c r="O4033" s="21"/>
      <c r="R4033" s="89"/>
      <c r="S4033" s="89">
        <f>100%-Table34[[#This Row],[PDF_initial fee]]</f>
        <v>1</v>
      </c>
      <c r="T4033" s="89"/>
      <c r="U4033" s="26"/>
    </row>
    <row r="4034" spans="1:27" hidden="1" x14ac:dyDescent="0.25">
      <c r="A4034">
        <v>733685</v>
      </c>
      <c r="B4034" t="s">
        <v>4420</v>
      </c>
      <c r="C4034" t="s">
        <v>6958</v>
      </c>
      <c r="D4034">
        <v>1</v>
      </c>
      <c r="E4034" t="s">
        <v>4420</v>
      </c>
      <c r="F4034" t="s">
        <v>6958</v>
      </c>
      <c r="G4034" s="3"/>
      <c r="H4034" s="21">
        <v>0</v>
      </c>
      <c r="I4034" s="21">
        <v>0</v>
      </c>
      <c r="J4034" s="21">
        <v>0</v>
      </c>
      <c r="K4034" s="21">
        <v>0</v>
      </c>
      <c r="L4034" s="3">
        <f t="shared" si="171"/>
        <v>0</v>
      </c>
      <c r="M4034" s="3"/>
      <c r="N4034" s="3">
        <f t="shared" si="172"/>
        <v>0</v>
      </c>
      <c r="O4034" s="21"/>
      <c r="R4034" s="89"/>
      <c r="S4034" s="89">
        <f>100%-Table34[[#This Row],[PDF_initial fee]]</f>
        <v>1</v>
      </c>
      <c r="T4034" s="89"/>
      <c r="U4034" s="26"/>
    </row>
    <row r="4035" spans="1:27" hidden="1" x14ac:dyDescent="0.25">
      <c r="A4035">
        <v>733735</v>
      </c>
      <c r="B4035" t="s">
        <v>4421</v>
      </c>
      <c r="C4035" t="s">
        <v>7977</v>
      </c>
      <c r="D4035">
        <v>9</v>
      </c>
      <c r="E4035" t="s">
        <v>4421</v>
      </c>
      <c r="G4035" s="3"/>
      <c r="L4035" s="3">
        <f t="shared" si="171"/>
        <v>0</v>
      </c>
      <c r="M4035" s="3"/>
      <c r="N4035" s="3">
        <f t="shared" si="172"/>
        <v>0</v>
      </c>
      <c r="R4035" s="89"/>
      <c r="S4035" s="89">
        <f>100%-Table34[[#This Row],[PDF_initial fee]]</f>
        <v>1</v>
      </c>
      <c r="T4035" s="89"/>
      <c r="U4035" s="26"/>
    </row>
    <row r="4036" spans="1:27" hidden="1" x14ac:dyDescent="0.25">
      <c r="A4036">
        <v>734033</v>
      </c>
      <c r="B4036" t="s">
        <v>4422</v>
      </c>
      <c r="C4036" t="s">
        <v>30894</v>
      </c>
      <c r="D4036">
        <v>0</v>
      </c>
      <c r="E4036" t="s">
        <v>4422</v>
      </c>
      <c r="F4036" t="s">
        <v>29136</v>
      </c>
      <c r="G4036" s="3"/>
      <c r="H4036" s="21">
        <v>0</v>
      </c>
      <c r="I4036" s="21">
        <v>0</v>
      </c>
      <c r="J4036" s="21">
        <v>0</v>
      </c>
      <c r="K4036" s="21">
        <v>0</v>
      </c>
      <c r="L4036" s="3">
        <f t="shared" si="171"/>
        <v>0</v>
      </c>
      <c r="M4036" s="3"/>
      <c r="N4036" s="3">
        <f t="shared" si="172"/>
        <v>0</v>
      </c>
      <c r="O4036" s="21"/>
      <c r="R4036" s="89"/>
      <c r="S4036" s="89">
        <f>100%-Table34[[#This Row],[PDF_initial fee]]</f>
        <v>1</v>
      </c>
      <c r="T4036" s="89"/>
      <c r="U4036" s="26"/>
    </row>
    <row r="4037" spans="1:27" hidden="1" x14ac:dyDescent="0.25">
      <c r="A4037">
        <v>734371</v>
      </c>
      <c r="B4037" t="s">
        <v>4423</v>
      </c>
      <c r="C4037" t="s">
        <v>30895</v>
      </c>
      <c r="D4037">
        <v>1</v>
      </c>
      <c r="E4037" t="s">
        <v>4423</v>
      </c>
      <c r="G4037" s="3"/>
      <c r="H4037" s="21">
        <v>0</v>
      </c>
      <c r="I4037" s="21">
        <v>0</v>
      </c>
      <c r="J4037" s="21">
        <v>0</v>
      </c>
      <c r="K4037" s="21">
        <v>0</v>
      </c>
      <c r="L4037" s="3">
        <f t="shared" si="171"/>
        <v>0</v>
      </c>
      <c r="M4037" s="3"/>
      <c r="N4037" s="3">
        <f t="shared" si="172"/>
        <v>0</v>
      </c>
      <c r="O4037" s="21"/>
      <c r="R4037" s="89"/>
      <c r="S4037" s="89">
        <f>100%-Table34[[#This Row],[PDF_initial fee]]</f>
        <v>1</v>
      </c>
      <c r="T4037" s="89"/>
      <c r="U4037" s="26"/>
    </row>
    <row r="4038" spans="1:27" hidden="1" x14ac:dyDescent="0.25">
      <c r="A4038">
        <v>734432</v>
      </c>
      <c r="B4038" t="s">
        <v>4424</v>
      </c>
      <c r="C4038" t="s">
        <v>9142</v>
      </c>
      <c r="D4038">
        <v>1</v>
      </c>
      <c r="E4038" t="s">
        <v>4424</v>
      </c>
      <c r="G4038" s="3"/>
      <c r="H4038" s="21">
        <v>0</v>
      </c>
      <c r="I4038" s="21">
        <v>0</v>
      </c>
      <c r="J4038" s="21">
        <v>0</v>
      </c>
      <c r="K4038" s="21">
        <v>0</v>
      </c>
      <c r="L4038" s="3">
        <f t="shared" si="171"/>
        <v>0</v>
      </c>
      <c r="M4038" s="3"/>
      <c r="N4038" s="3">
        <f t="shared" si="172"/>
        <v>0</v>
      </c>
      <c r="R4038" s="89"/>
      <c r="S4038" s="89">
        <f>100%-Table34[[#This Row],[PDF_initial fee]]</f>
        <v>1</v>
      </c>
      <c r="T4038" s="89"/>
      <c r="U4038" s="26"/>
    </row>
    <row r="4039" spans="1:27" hidden="1" x14ac:dyDescent="0.25">
      <c r="A4039">
        <v>734532</v>
      </c>
      <c r="B4039" t="s">
        <v>4425</v>
      </c>
      <c r="C4039" t="s">
        <v>6958</v>
      </c>
      <c r="D4039">
        <v>2</v>
      </c>
      <c r="E4039" t="s">
        <v>4425</v>
      </c>
      <c r="F4039" t="s">
        <v>6958</v>
      </c>
      <c r="G4039" s="3"/>
      <c r="H4039" s="21">
        <v>0</v>
      </c>
      <c r="I4039" s="21">
        <v>0</v>
      </c>
      <c r="J4039" s="21">
        <v>0</v>
      </c>
      <c r="K4039" s="21">
        <v>0</v>
      </c>
      <c r="L4039" s="3">
        <f t="shared" si="171"/>
        <v>0</v>
      </c>
      <c r="M4039" s="3"/>
      <c r="N4039" s="3">
        <f t="shared" si="172"/>
        <v>0</v>
      </c>
      <c r="R4039" s="89"/>
      <c r="S4039" s="89">
        <f>100%-Table34[[#This Row],[PDF_initial fee]]</f>
        <v>1</v>
      </c>
      <c r="T4039" s="89"/>
      <c r="U4039" s="26"/>
    </row>
    <row r="4040" spans="1:27" x14ac:dyDescent="0.25">
      <c r="A4040">
        <v>440858</v>
      </c>
      <c r="B4040" t="s">
        <v>164</v>
      </c>
      <c r="C4040" t="s">
        <v>30896</v>
      </c>
      <c r="D4040">
        <v>2</v>
      </c>
      <c r="E4040" t="s">
        <v>164</v>
      </c>
      <c r="F4040" t="s">
        <v>3</v>
      </c>
      <c r="G4040" s="3">
        <v>1.4E-3</v>
      </c>
      <c r="H4040" s="3">
        <v>0.02</v>
      </c>
      <c r="I4040" s="3">
        <v>7.4999999999999997E-3</v>
      </c>
      <c r="J4040" s="6">
        <v>0</v>
      </c>
      <c r="K4040" s="6">
        <v>0</v>
      </c>
      <c r="L4040" s="3">
        <f t="shared" si="171"/>
        <v>2.75E-2</v>
      </c>
      <c r="M4040" s="3"/>
      <c r="N4040" s="3">
        <f t="shared" si="172"/>
        <v>2.8899999999999999E-2</v>
      </c>
      <c r="P4040" s="31" t="s">
        <v>30897</v>
      </c>
      <c r="Q4040" t="s">
        <v>31787</v>
      </c>
      <c r="R4040" s="89">
        <v>0.33333333333333348</v>
      </c>
      <c r="S4040" s="89">
        <f>100%-Table34[[#This Row],[InitialFee]]</f>
        <v>0.98</v>
      </c>
      <c r="T4040" s="89">
        <f>(1-Table34[[#This Row],[OngoingFee (plus Platform fee)]])^5</f>
        <v>0.9630582970465823</v>
      </c>
      <c r="U4040" s="26">
        <f>(1+Table34[[#This Row],[Net 5yrs return (mostly up to 28th of Feb 2026)]])*Table34[[#This Row],[Investment after initial charge]]*Table34[[#This Row],[Cummulative 5yrs ongoing advice charge]]-1</f>
        <v>0.2583961748075343</v>
      </c>
      <c r="V4040">
        <f>476605+103536</f>
        <v>580141</v>
      </c>
      <c r="W4040" t="s">
        <v>29051</v>
      </c>
      <c r="X4040" s="9">
        <v>461315</v>
      </c>
      <c r="Y4040" s="30">
        <f>X4040/V4040</f>
        <v>0.7951773792922755</v>
      </c>
      <c r="AA4040" s="1" t="s">
        <v>30898</v>
      </c>
    </row>
    <row r="4041" spans="1:27" hidden="1" x14ac:dyDescent="0.25">
      <c r="A4041">
        <v>734694</v>
      </c>
      <c r="B4041" t="s">
        <v>4426</v>
      </c>
      <c r="C4041" t="s">
        <v>30899</v>
      </c>
      <c r="D4041">
        <v>0</v>
      </c>
      <c r="E4041" t="s">
        <v>4426</v>
      </c>
      <c r="F4041" t="s">
        <v>29136</v>
      </c>
      <c r="G4041" s="3"/>
      <c r="H4041" s="3">
        <v>0</v>
      </c>
      <c r="I4041" s="3">
        <v>0</v>
      </c>
      <c r="J4041" s="3">
        <v>0</v>
      </c>
      <c r="K4041" s="3">
        <v>0</v>
      </c>
      <c r="L4041" s="3">
        <f t="shared" si="171"/>
        <v>0</v>
      </c>
      <c r="M4041" s="3"/>
      <c r="N4041" s="3">
        <f t="shared" si="172"/>
        <v>0</v>
      </c>
      <c r="R4041" s="89"/>
      <c r="S4041" s="89">
        <f>100%-Table34[[#This Row],[PDF_initial fee]]</f>
        <v>1</v>
      </c>
      <c r="T4041" s="89"/>
      <c r="U4041" s="26"/>
    </row>
    <row r="4042" spans="1:27" hidden="1" x14ac:dyDescent="0.25">
      <c r="A4042">
        <v>734863</v>
      </c>
      <c r="B4042" t="s">
        <v>4427</v>
      </c>
      <c r="C4042" t="s">
        <v>30900</v>
      </c>
      <c r="D4042">
        <v>5</v>
      </c>
      <c r="E4042" t="s">
        <v>4427</v>
      </c>
      <c r="G4042" s="3"/>
      <c r="H4042" s="3">
        <v>0</v>
      </c>
      <c r="I4042" s="3">
        <v>0</v>
      </c>
      <c r="J4042" s="3">
        <v>0</v>
      </c>
      <c r="K4042" s="3">
        <v>0</v>
      </c>
      <c r="L4042" s="3">
        <f t="shared" si="171"/>
        <v>0</v>
      </c>
      <c r="M4042" s="3"/>
      <c r="N4042" s="3">
        <f t="shared" si="172"/>
        <v>0</v>
      </c>
      <c r="R4042" s="89"/>
      <c r="S4042" s="89">
        <f>100%-Table34[[#This Row],[PDF_initial fee]]</f>
        <v>1</v>
      </c>
      <c r="T4042" s="89"/>
      <c r="U4042" s="26"/>
    </row>
    <row r="4043" spans="1:27" hidden="1" x14ac:dyDescent="0.25">
      <c r="A4043">
        <v>734887</v>
      </c>
      <c r="B4043" t="s">
        <v>4428</v>
      </c>
      <c r="C4043" t="s">
        <v>8385</v>
      </c>
      <c r="D4043">
        <v>1</v>
      </c>
      <c r="E4043" t="s">
        <v>4428</v>
      </c>
      <c r="G4043" s="3"/>
      <c r="H4043" s="21">
        <v>0</v>
      </c>
      <c r="I4043" s="21">
        <v>0</v>
      </c>
      <c r="J4043" s="21">
        <v>0</v>
      </c>
      <c r="K4043" s="21">
        <v>0</v>
      </c>
      <c r="L4043" s="3">
        <f t="shared" si="171"/>
        <v>0</v>
      </c>
      <c r="M4043" s="3"/>
      <c r="N4043" s="3">
        <f t="shared" si="172"/>
        <v>0</v>
      </c>
      <c r="R4043" s="89"/>
      <c r="S4043" s="89">
        <f>100%-Table34[[#This Row],[PDF_initial fee]]</f>
        <v>1</v>
      </c>
      <c r="T4043" s="89"/>
      <c r="U4043" s="26"/>
    </row>
    <row r="4044" spans="1:27" hidden="1" x14ac:dyDescent="0.25">
      <c r="A4044">
        <v>734905</v>
      </c>
      <c r="B4044" t="s">
        <v>4429</v>
      </c>
      <c r="C4044" t="s">
        <v>6958</v>
      </c>
      <c r="D4044">
        <v>1</v>
      </c>
      <c r="E4044" t="s">
        <v>4429</v>
      </c>
      <c r="F4044" t="s">
        <v>6958</v>
      </c>
      <c r="G4044" s="3"/>
      <c r="H4044" s="21">
        <v>0</v>
      </c>
      <c r="I4044" s="21">
        <v>0</v>
      </c>
      <c r="J4044" s="21">
        <v>0</v>
      </c>
      <c r="K4044" s="21">
        <v>0</v>
      </c>
      <c r="L4044" s="3">
        <f t="shared" si="171"/>
        <v>0</v>
      </c>
      <c r="M4044" s="3"/>
      <c r="N4044" s="3">
        <f t="shared" si="172"/>
        <v>0</v>
      </c>
      <c r="R4044" s="89"/>
      <c r="S4044" s="89">
        <f>100%-Table34[[#This Row],[PDF_initial fee]]</f>
        <v>1</v>
      </c>
      <c r="T4044" s="89"/>
      <c r="U4044" s="26"/>
    </row>
    <row r="4045" spans="1:27" hidden="1" x14ac:dyDescent="0.25">
      <c r="A4045">
        <v>734968</v>
      </c>
      <c r="B4045" t="s">
        <v>4430</v>
      </c>
      <c r="C4045" t="s">
        <v>8082</v>
      </c>
      <c r="D4045">
        <v>2</v>
      </c>
      <c r="E4045" t="s">
        <v>4430</v>
      </c>
      <c r="G4045" s="3"/>
      <c r="L4045" s="3">
        <f t="shared" si="171"/>
        <v>0</v>
      </c>
      <c r="M4045" s="3"/>
      <c r="N4045" s="3">
        <f t="shared" si="172"/>
        <v>0</v>
      </c>
      <c r="R4045" s="89"/>
      <c r="S4045" s="89">
        <f>100%-Table34[[#This Row],[PDF_initial fee]]</f>
        <v>1</v>
      </c>
      <c r="T4045" s="89"/>
      <c r="U4045" s="26"/>
    </row>
    <row r="4046" spans="1:27" hidden="1" x14ac:dyDescent="0.25">
      <c r="A4046">
        <v>735333</v>
      </c>
      <c r="B4046" t="s">
        <v>4432</v>
      </c>
      <c r="C4046" t="s">
        <v>6958</v>
      </c>
      <c r="D4046">
        <v>1</v>
      </c>
      <c r="E4046" t="s">
        <v>4432</v>
      </c>
      <c r="F4046" t="s">
        <v>6958</v>
      </c>
      <c r="G4046" s="3"/>
      <c r="L4046" s="3">
        <f t="shared" si="171"/>
        <v>0</v>
      </c>
      <c r="M4046" s="3"/>
      <c r="N4046" s="3">
        <f t="shared" si="172"/>
        <v>0</v>
      </c>
      <c r="R4046" s="89"/>
      <c r="S4046" s="89">
        <f>100%-Table34[[#This Row],[PDF_initial fee]]</f>
        <v>1</v>
      </c>
      <c r="T4046" s="89"/>
      <c r="U4046" s="26"/>
    </row>
    <row r="4047" spans="1:27" hidden="1" x14ac:dyDescent="0.25">
      <c r="A4047">
        <v>735704</v>
      </c>
      <c r="B4047" t="s">
        <v>4433</v>
      </c>
      <c r="C4047" t="s">
        <v>6958</v>
      </c>
      <c r="D4047">
        <v>1</v>
      </c>
      <c r="E4047" t="s">
        <v>4433</v>
      </c>
      <c r="F4047" t="s">
        <v>6958</v>
      </c>
      <c r="G4047" s="3"/>
      <c r="H4047" s="21">
        <v>0</v>
      </c>
      <c r="I4047" s="21">
        <v>0</v>
      </c>
      <c r="J4047" s="21">
        <v>0</v>
      </c>
      <c r="K4047" s="21">
        <v>0</v>
      </c>
      <c r="L4047" s="3">
        <f t="shared" si="171"/>
        <v>0</v>
      </c>
      <c r="M4047" s="3"/>
      <c r="N4047" s="3">
        <f t="shared" si="172"/>
        <v>0</v>
      </c>
      <c r="R4047" s="89"/>
      <c r="S4047" s="89">
        <f>100%-Table34[[#This Row],[PDF_initial fee]]</f>
        <v>1</v>
      </c>
      <c r="T4047" s="89"/>
      <c r="U4047" s="26"/>
    </row>
    <row r="4048" spans="1:27" hidden="1" x14ac:dyDescent="0.25">
      <c r="A4048">
        <v>736240</v>
      </c>
      <c r="B4048" t="s">
        <v>4434</v>
      </c>
      <c r="C4048" t="s">
        <v>8987</v>
      </c>
      <c r="D4048">
        <v>1</v>
      </c>
      <c r="E4048" t="s">
        <v>4434</v>
      </c>
      <c r="G4048" s="3"/>
      <c r="H4048" s="21">
        <v>0</v>
      </c>
      <c r="I4048" s="21">
        <v>0</v>
      </c>
      <c r="J4048" s="21">
        <v>0</v>
      </c>
      <c r="K4048" s="21">
        <v>0</v>
      </c>
      <c r="L4048" s="3">
        <f t="shared" si="171"/>
        <v>0</v>
      </c>
      <c r="M4048" s="3"/>
      <c r="N4048" s="3">
        <f t="shared" si="172"/>
        <v>0</v>
      </c>
      <c r="R4048" s="89"/>
      <c r="S4048" s="89">
        <f>100%-Table34[[#This Row],[PDF_initial fee]]</f>
        <v>1</v>
      </c>
      <c r="T4048" s="89"/>
      <c r="U4048" s="26"/>
    </row>
    <row r="4049" spans="1:21" hidden="1" x14ac:dyDescent="0.25">
      <c r="A4049">
        <v>736842</v>
      </c>
      <c r="B4049" t="s">
        <v>4435</v>
      </c>
      <c r="C4049" t="s">
        <v>30298</v>
      </c>
      <c r="D4049">
        <v>2</v>
      </c>
      <c r="E4049" t="s">
        <v>4435</v>
      </c>
      <c r="G4049" s="3"/>
      <c r="H4049" s="3">
        <v>0</v>
      </c>
      <c r="I4049" s="3">
        <v>0</v>
      </c>
      <c r="J4049" s="3">
        <v>0</v>
      </c>
      <c r="K4049" s="3">
        <v>0</v>
      </c>
      <c r="L4049" s="3">
        <f t="shared" ref="L4049:L4080" si="173">SUM(H4049:K4049)</f>
        <v>0</v>
      </c>
      <c r="M4049" s="3"/>
      <c r="N4049" s="3">
        <f t="shared" ref="N4049:N4080" si="174">L4049+G4049</f>
        <v>0</v>
      </c>
      <c r="R4049" s="89"/>
      <c r="S4049" s="89">
        <f>100%-Table34[[#This Row],[PDF_initial fee]]</f>
        <v>1</v>
      </c>
      <c r="T4049" s="89"/>
      <c r="U4049" s="26"/>
    </row>
    <row r="4050" spans="1:21" hidden="1" x14ac:dyDescent="0.25">
      <c r="A4050">
        <v>736855</v>
      </c>
      <c r="B4050" t="s">
        <v>4436</v>
      </c>
      <c r="C4050" t="s">
        <v>9780</v>
      </c>
      <c r="D4050">
        <v>4</v>
      </c>
      <c r="E4050" t="s">
        <v>4436</v>
      </c>
      <c r="G4050" s="3"/>
      <c r="H4050" s="3">
        <v>0</v>
      </c>
      <c r="I4050" s="3">
        <v>0</v>
      </c>
      <c r="J4050" s="3">
        <v>0</v>
      </c>
      <c r="K4050" s="3">
        <v>0</v>
      </c>
      <c r="L4050" s="3">
        <f t="shared" si="173"/>
        <v>0</v>
      </c>
      <c r="M4050" s="3"/>
      <c r="N4050" s="3">
        <f t="shared" si="174"/>
        <v>0</v>
      </c>
      <c r="R4050" s="89"/>
      <c r="S4050" s="89">
        <f>100%-Table34[[#This Row],[PDF_initial fee]]</f>
        <v>1</v>
      </c>
      <c r="T4050" s="89"/>
      <c r="U4050" s="26"/>
    </row>
    <row r="4051" spans="1:21" hidden="1" x14ac:dyDescent="0.25">
      <c r="A4051">
        <v>737323</v>
      </c>
      <c r="B4051" t="s">
        <v>4437</v>
      </c>
      <c r="C4051" t="s">
        <v>6958</v>
      </c>
      <c r="D4051">
        <v>1</v>
      </c>
      <c r="E4051" t="s">
        <v>4437</v>
      </c>
      <c r="F4051" t="s">
        <v>6958</v>
      </c>
      <c r="G4051" s="3"/>
      <c r="H4051" s="21">
        <v>0</v>
      </c>
      <c r="I4051" s="21">
        <v>0</v>
      </c>
      <c r="J4051" s="21">
        <v>0</v>
      </c>
      <c r="K4051" s="21">
        <v>0</v>
      </c>
      <c r="L4051" s="3">
        <f t="shared" si="173"/>
        <v>0</v>
      </c>
      <c r="M4051" s="3"/>
      <c r="N4051" s="3">
        <f t="shared" si="174"/>
        <v>0</v>
      </c>
      <c r="R4051" s="89"/>
      <c r="S4051" s="89">
        <f>100%-Table34[[#This Row],[PDF_initial fee]]</f>
        <v>1</v>
      </c>
      <c r="T4051" s="89"/>
      <c r="U4051" s="26"/>
    </row>
    <row r="4052" spans="1:21" hidden="1" x14ac:dyDescent="0.25">
      <c r="A4052">
        <v>737344</v>
      </c>
      <c r="B4052" t="s">
        <v>4438</v>
      </c>
      <c r="C4052" t="s">
        <v>6958</v>
      </c>
      <c r="D4052">
        <v>2</v>
      </c>
      <c r="E4052" t="s">
        <v>4438</v>
      </c>
      <c r="F4052" t="s">
        <v>6958</v>
      </c>
      <c r="G4052" s="3"/>
      <c r="H4052" s="21">
        <v>0</v>
      </c>
      <c r="I4052" s="21">
        <v>0</v>
      </c>
      <c r="J4052" s="21">
        <v>0</v>
      </c>
      <c r="K4052" s="21">
        <v>0</v>
      </c>
      <c r="L4052" s="3">
        <f t="shared" si="173"/>
        <v>0</v>
      </c>
      <c r="M4052" s="3"/>
      <c r="N4052" s="3">
        <f t="shared" si="174"/>
        <v>0</v>
      </c>
      <c r="R4052" s="89"/>
      <c r="S4052" s="89">
        <f>100%-Table34[[#This Row],[PDF_initial fee]]</f>
        <v>1</v>
      </c>
      <c r="T4052" s="89"/>
      <c r="U4052" s="26"/>
    </row>
    <row r="4053" spans="1:21" hidden="1" x14ac:dyDescent="0.25">
      <c r="A4053">
        <v>737351</v>
      </c>
      <c r="B4053" t="s">
        <v>4439</v>
      </c>
      <c r="C4053" t="s">
        <v>8416</v>
      </c>
      <c r="D4053">
        <v>1</v>
      </c>
      <c r="E4053" t="s">
        <v>4439</v>
      </c>
      <c r="G4053" s="3"/>
      <c r="H4053" s="21">
        <v>0</v>
      </c>
      <c r="I4053" s="21">
        <v>0</v>
      </c>
      <c r="J4053" s="21">
        <v>0</v>
      </c>
      <c r="K4053" s="21">
        <v>0</v>
      </c>
      <c r="L4053" s="3">
        <f t="shared" si="173"/>
        <v>0</v>
      </c>
      <c r="M4053" s="3"/>
      <c r="N4053" s="3">
        <f t="shared" si="174"/>
        <v>0</v>
      </c>
      <c r="R4053" s="89"/>
      <c r="S4053" s="89">
        <f>100%-Table34[[#This Row],[PDF_initial fee]]</f>
        <v>1</v>
      </c>
      <c r="T4053" s="89"/>
      <c r="U4053" s="26"/>
    </row>
    <row r="4054" spans="1:21" hidden="1" x14ac:dyDescent="0.25">
      <c r="A4054">
        <v>737373</v>
      </c>
      <c r="B4054" t="s">
        <v>4440</v>
      </c>
      <c r="C4054" t="s">
        <v>8723</v>
      </c>
      <c r="D4054">
        <v>1</v>
      </c>
      <c r="E4054" t="s">
        <v>4440</v>
      </c>
      <c r="G4054" s="3"/>
      <c r="H4054" s="21">
        <v>0</v>
      </c>
      <c r="I4054" s="21">
        <v>0</v>
      </c>
      <c r="J4054" s="21">
        <v>0</v>
      </c>
      <c r="K4054" s="21">
        <v>0</v>
      </c>
      <c r="L4054" s="3">
        <f t="shared" si="173"/>
        <v>0</v>
      </c>
      <c r="M4054" s="3"/>
      <c r="N4054" s="3">
        <f t="shared" si="174"/>
        <v>0</v>
      </c>
      <c r="R4054" s="89"/>
      <c r="S4054" s="89">
        <f>100%-Table34[[#This Row],[PDF_initial fee]]</f>
        <v>1</v>
      </c>
      <c r="T4054" s="89"/>
      <c r="U4054" s="26"/>
    </row>
    <row r="4055" spans="1:21" hidden="1" x14ac:dyDescent="0.25">
      <c r="A4055">
        <v>737468</v>
      </c>
      <c r="B4055" t="s">
        <v>4441</v>
      </c>
      <c r="C4055" t="s">
        <v>10826</v>
      </c>
      <c r="D4055">
        <v>5</v>
      </c>
      <c r="E4055" t="s">
        <v>4441</v>
      </c>
      <c r="G4055" s="3"/>
      <c r="H4055" s="3"/>
      <c r="I4055" s="3"/>
      <c r="J4055" s="3"/>
      <c r="K4055" s="3"/>
      <c r="L4055" s="3">
        <f t="shared" si="173"/>
        <v>0</v>
      </c>
      <c r="M4055" s="3"/>
      <c r="N4055" s="3">
        <f t="shared" si="174"/>
        <v>0</v>
      </c>
      <c r="R4055" s="89"/>
      <c r="S4055" s="89">
        <f>100%-Table34[[#This Row],[PDF_initial fee]]</f>
        <v>1</v>
      </c>
      <c r="T4055" s="89"/>
      <c r="U4055" s="26"/>
    </row>
    <row r="4056" spans="1:21" hidden="1" x14ac:dyDescent="0.25">
      <c r="A4056">
        <v>737512</v>
      </c>
      <c r="B4056" t="s">
        <v>4442</v>
      </c>
      <c r="C4056" t="s">
        <v>9211</v>
      </c>
      <c r="D4056">
        <v>0</v>
      </c>
      <c r="E4056" t="s">
        <v>4442</v>
      </c>
      <c r="F4056" t="s">
        <v>29136</v>
      </c>
      <c r="G4056" s="3"/>
      <c r="H4056" s="21">
        <v>0</v>
      </c>
      <c r="I4056" s="21">
        <v>0</v>
      </c>
      <c r="J4056" s="21">
        <v>0</v>
      </c>
      <c r="K4056" s="21">
        <v>0</v>
      </c>
      <c r="L4056" s="3">
        <f t="shared" si="173"/>
        <v>0</v>
      </c>
      <c r="M4056" s="3"/>
      <c r="N4056" s="3">
        <f t="shared" si="174"/>
        <v>0</v>
      </c>
      <c r="R4056" s="89"/>
      <c r="S4056" s="89">
        <f>100%-Table34[[#This Row],[PDF_initial fee]]</f>
        <v>1</v>
      </c>
      <c r="T4056" s="89"/>
      <c r="U4056" s="26"/>
    </row>
    <row r="4057" spans="1:21" hidden="1" x14ac:dyDescent="0.25">
      <c r="A4057">
        <v>737641</v>
      </c>
      <c r="B4057" t="s">
        <v>4443</v>
      </c>
      <c r="C4057" t="s">
        <v>11546</v>
      </c>
      <c r="D4057">
        <v>3</v>
      </c>
      <c r="E4057" t="s">
        <v>4443</v>
      </c>
      <c r="G4057" s="3"/>
      <c r="H4057" s="3"/>
      <c r="I4057" s="3"/>
      <c r="J4057" s="3"/>
      <c r="K4057" s="3"/>
      <c r="L4057" s="3">
        <f t="shared" si="173"/>
        <v>0</v>
      </c>
      <c r="M4057" s="3"/>
      <c r="N4057" s="3">
        <f t="shared" si="174"/>
        <v>0</v>
      </c>
      <c r="R4057" s="89"/>
      <c r="S4057" s="89">
        <f>100%-Table34[[#This Row],[PDF_initial fee]]</f>
        <v>1</v>
      </c>
      <c r="T4057" s="89"/>
      <c r="U4057" s="26"/>
    </row>
    <row r="4058" spans="1:21" hidden="1" x14ac:dyDescent="0.25">
      <c r="A4058">
        <v>737736</v>
      </c>
      <c r="B4058" t="s">
        <v>4444</v>
      </c>
      <c r="C4058" t="s">
        <v>30901</v>
      </c>
      <c r="D4058">
        <v>3</v>
      </c>
      <c r="E4058" t="s">
        <v>4444</v>
      </c>
      <c r="G4058" s="3"/>
      <c r="H4058" s="3">
        <v>0</v>
      </c>
      <c r="I4058" s="3">
        <v>0</v>
      </c>
      <c r="J4058" s="3">
        <v>0</v>
      </c>
      <c r="K4058" s="3">
        <v>0</v>
      </c>
      <c r="L4058" s="3">
        <f t="shared" si="173"/>
        <v>0</v>
      </c>
      <c r="M4058" s="3"/>
      <c r="N4058" s="3">
        <f t="shared" si="174"/>
        <v>0</v>
      </c>
      <c r="R4058" s="89"/>
      <c r="S4058" s="89">
        <f>100%-Table34[[#This Row],[PDF_initial fee]]</f>
        <v>1</v>
      </c>
      <c r="T4058" s="89"/>
      <c r="U4058" s="26"/>
    </row>
    <row r="4059" spans="1:21" hidden="1" x14ac:dyDescent="0.25">
      <c r="A4059">
        <v>738070</v>
      </c>
      <c r="B4059" t="s">
        <v>4445</v>
      </c>
      <c r="C4059" t="s">
        <v>11812</v>
      </c>
      <c r="D4059">
        <v>7</v>
      </c>
      <c r="E4059" t="s">
        <v>4445</v>
      </c>
      <c r="G4059" s="3"/>
      <c r="H4059" s="3">
        <v>0</v>
      </c>
      <c r="I4059" s="3">
        <v>0</v>
      </c>
      <c r="J4059" s="3">
        <v>0</v>
      </c>
      <c r="K4059" s="3">
        <v>0</v>
      </c>
      <c r="L4059" s="3">
        <f t="shared" si="173"/>
        <v>0</v>
      </c>
      <c r="M4059" s="3"/>
      <c r="N4059" s="3">
        <f t="shared" si="174"/>
        <v>0</v>
      </c>
      <c r="R4059" s="89"/>
      <c r="S4059" s="89">
        <f>100%-Table34[[#This Row],[PDF_initial fee]]</f>
        <v>1</v>
      </c>
      <c r="T4059" s="89"/>
      <c r="U4059" s="26"/>
    </row>
    <row r="4060" spans="1:21" hidden="1" x14ac:dyDescent="0.25">
      <c r="A4060">
        <v>738074</v>
      </c>
      <c r="B4060" t="s">
        <v>4446</v>
      </c>
      <c r="C4060" t="s">
        <v>6958</v>
      </c>
      <c r="D4060">
        <v>3</v>
      </c>
      <c r="E4060" t="s">
        <v>4446</v>
      </c>
      <c r="F4060" t="s">
        <v>6958</v>
      </c>
      <c r="G4060" s="3"/>
      <c r="H4060" s="21">
        <v>0</v>
      </c>
      <c r="I4060" s="21">
        <v>0</v>
      </c>
      <c r="J4060" s="21">
        <v>0</v>
      </c>
      <c r="K4060" s="21">
        <v>0</v>
      </c>
      <c r="L4060" s="3">
        <f t="shared" si="173"/>
        <v>0</v>
      </c>
      <c r="M4060" s="3"/>
      <c r="N4060" s="3">
        <f t="shared" si="174"/>
        <v>0</v>
      </c>
      <c r="R4060" s="89"/>
      <c r="S4060" s="89">
        <f>100%-Table34[[#This Row],[PDF_initial fee]]</f>
        <v>1</v>
      </c>
      <c r="T4060" s="89"/>
      <c r="U4060" s="26"/>
    </row>
    <row r="4061" spans="1:21" hidden="1" x14ac:dyDescent="0.25">
      <c r="A4061">
        <v>738159</v>
      </c>
      <c r="B4061" t="s">
        <v>4447</v>
      </c>
      <c r="C4061" t="s">
        <v>9090</v>
      </c>
      <c r="D4061">
        <v>4</v>
      </c>
      <c r="E4061" t="s">
        <v>4447</v>
      </c>
      <c r="G4061" s="3"/>
      <c r="H4061" s="21">
        <v>0</v>
      </c>
      <c r="I4061" s="21">
        <v>0</v>
      </c>
      <c r="J4061" s="21">
        <v>0</v>
      </c>
      <c r="K4061" s="21">
        <v>0</v>
      </c>
      <c r="L4061" s="3">
        <f t="shared" si="173"/>
        <v>0</v>
      </c>
      <c r="M4061" s="3"/>
      <c r="N4061" s="3">
        <f t="shared" si="174"/>
        <v>0</v>
      </c>
      <c r="R4061" s="89"/>
      <c r="S4061" s="89">
        <f>100%-Table34[[#This Row],[PDF_initial fee]]</f>
        <v>1</v>
      </c>
      <c r="T4061" s="89"/>
      <c r="U4061" s="26"/>
    </row>
    <row r="4062" spans="1:21" hidden="1" x14ac:dyDescent="0.25">
      <c r="A4062">
        <v>738512</v>
      </c>
      <c r="B4062" t="s">
        <v>4448</v>
      </c>
      <c r="C4062" t="s">
        <v>7542</v>
      </c>
      <c r="D4062">
        <v>5</v>
      </c>
      <c r="E4062" t="s">
        <v>4448</v>
      </c>
      <c r="G4062" s="3"/>
      <c r="H4062" s="21">
        <v>0</v>
      </c>
      <c r="I4062" s="21">
        <v>0</v>
      </c>
      <c r="J4062" s="21">
        <v>0</v>
      </c>
      <c r="K4062" s="21">
        <v>0</v>
      </c>
      <c r="L4062" s="3">
        <f t="shared" si="173"/>
        <v>0</v>
      </c>
      <c r="M4062" s="3"/>
      <c r="N4062" s="3">
        <f t="shared" si="174"/>
        <v>0</v>
      </c>
      <c r="R4062" s="89"/>
      <c r="S4062" s="89">
        <f>100%-Table34[[#This Row],[PDF_initial fee]]</f>
        <v>1</v>
      </c>
      <c r="T4062" s="89"/>
      <c r="U4062" s="26"/>
    </row>
    <row r="4063" spans="1:21" hidden="1" x14ac:dyDescent="0.25">
      <c r="A4063">
        <v>739470</v>
      </c>
      <c r="B4063" t="s">
        <v>4450</v>
      </c>
      <c r="C4063" t="s">
        <v>30902</v>
      </c>
      <c r="D4063">
        <v>0</v>
      </c>
      <c r="E4063" t="s">
        <v>4450</v>
      </c>
      <c r="F4063" t="s">
        <v>29136</v>
      </c>
      <c r="G4063" s="3"/>
      <c r="H4063" s="21">
        <v>0</v>
      </c>
      <c r="I4063" s="21">
        <v>0</v>
      </c>
      <c r="J4063" s="21">
        <v>0</v>
      </c>
      <c r="K4063" s="21">
        <v>0</v>
      </c>
      <c r="L4063" s="3">
        <f t="shared" si="173"/>
        <v>0</v>
      </c>
      <c r="M4063" s="3"/>
      <c r="N4063" s="3">
        <f t="shared" si="174"/>
        <v>0</v>
      </c>
      <c r="O4063" s="21"/>
      <c r="R4063" s="89"/>
      <c r="S4063" s="89">
        <f>100%-Table34[[#This Row],[PDF_initial fee]]</f>
        <v>1</v>
      </c>
      <c r="T4063" s="89"/>
      <c r="U4063" s="26"/>
    </row>
    <row r="4064" spans="1:21" hidden="1" x14ac:dyDescent="0.25">
      <c r="A4064">
        <v>739528</v>
      </c>
      <c r="B4064" t="s">
        <v>4451</v>
      </c>
      <c r="C4064" t="s">
        <v>6958</v>
      </c>
      <c r="D4064">
        <v>1</v>
      </c>
      <c r="E4064" t="s">
        <v>4451</v>
      </c>
      <c r="F4064" t="s">
        <v>6958</v>
      </c>
      <c r="G4064" s="3"/>
      <c r="H4064" s="21">
        <v>0</v>
      </c>
      <c r="I4064" s="21">
        <v>0</v>
      </c>
      <c r="J4064" s="21">
        <v>0</v>
      </c>
      <c r="K4064" s="21">
        <v>0</v>
      </c>
      <c r="L4064" s="3">
        <f t="shared" si="173"/>
        <v>0</v>
      </c>
      <c r="M4064" s="3"/>
      <c r="N4064" s="3">
        <f t="shared" si="174"/>
        <v>0</v>
      </c>
      <c r="R4064" s="89"/>
      <c r="S4064" s="89">
        <f>100%-Table34[[#This Row],[PDF_initial fee]]</f>
        <v>1</v>
      </c>
      <c r="T4064" s="89"/>
      <c r="U4064" s="26"/>
    </row>
    <row r="4065" spans="1:27" hidden="1" x14ac:dyDescent="0.25">
      <c r="A4065">
        <v>739532</v>
      </c>
      <c r="B4065" t="s">
        <v>4452</v>
      </c>
      <c r="C4065" t="s">
        <v>6958</v>
      </c>
      <c r="D4065">
        <v>4</v>
      </c>
      <c r="E4065" t="s">
        <v>4452</v>
      </c>
      <c r="F4065" t="s">
        <v>6958</v>
      </c>
      <c r="G4065" s="3"/>
      <c r="H4065" s="21">
        <v>0</v>
      </c>
      <c r="I4065" s="21">
        <v>0</v>
      </c>
      <c r="J4065" s="21">
        <v>0</v>
      </c>
      <c r="K4065" s="21">
        <v>0</v>
      </c>
      <c r="L4065" s="3">
        <f t="shared" si="173"/>
        <v>0</v>
      </c>
      <c r="M4065" s="3"/>
      <c r="N4065" s="3">
        <f t="shared" si="174"/>
        <v>0</v>
      </c>
      <c r="R4065" s="89"/>
      <c r="S4065" s="89">
        <f>100%-Table34[[#This Row],[PDF_initial fee]]</f>
        <v>1</v>
      </c>
      <c r="T4065" s="89"/>
      <c r="U4065" s="26"/>
    </row>
    <row r="4066" spans="1:27" hidden="1" x14ac:dyDescent="0.25">
      <c r="A4066">
        <v>739922</v>
      </c>
      <c r="B4066" t="s">
        <v>4453</v>
      </c>
      <c r="C4066" t="s">
        <v>11014</v>
      </c>
      <c r="D4066">
        <v>3</v>
      </c>
      <c r="E4066" t="s">
        <v>4453</v>
      </c>
      <c r="G4066" s="3"/>
      <c r="H4066" s="3">
        <v>0</v>
      </c>
      <c r="I4066" s="3">
        <v>0</v>
      </c>
      <c r="J4066" s="3">
        <v>0</v>
      </c>
      <c r="K4066" s="3">
        <v>0</v>
      </c>
      <c r="L4066" s="3">
        <f t="shared" si="173"/>
        <v>0</v>
      </c>
      <c r="M4066" s="3"/>
      <c r="N4066" s="3">
        <f t="shared" si="174"/>
        <v>0</v>
      </c>
      <c r="R4066" s="89"/>
      <c r="S4066" s="89">
        <f>100%-Table34[[#This Row],[PDF_initial fee]]</f>
        <v>1</v>
      </c>
      <c r="T4066" s="89"/>
      <c r="U4066" s="26"/>
    </row>
    <row r="4067" spans="1:27" hidden="1" x14ac:dyDescent="0.25">
      <c r="A4067">
        <v>739938</v>
      </c>
      <c r="B4067" t="s">
        <v>4454</v>
      </c>
      <c r="C4067" t="s">
        <v>9858</v>
      </c>
      <c r="D4067">
        <v>8</v>
      </c>
      <c r="E4067" t="s">
        <v>4454</v>
      </c>
      <c r="G4067" s="3"/>
      <c r="H4067" s="3"/>
      <c r="I4067" s="3"/>
      <c r="J4067" s="3"/>
      <c r="K4067" s="3"/>
      <c r="L4067" s="3">
        <f t="shared" si="173"/>
        <v>0</v>
      </c>
      <c r="M4067" s="3"/>
      <c r="N4067" s="3">
        <f t="shared" si="174"/>
        <v>0</v>
      </c>
      <c r="R4067" s="89"/>
      <c r="S4067" s="89">
        <f>100%-Table34[[#This Row],[PDF_initial fee]]</f>
        <v>1</v>
      </c>
      <c r="T4067" s="89"/>
      <c r="U4067" s="26"/>
    </row>
    <row r="4068" spans="1:27" hidden="1" x14ac:dyDescent="0.25">
      <c r="A4068">
        <v>739963</v>
      </c>
      <c r="B4068" t="s">
        <v>4455</v>
      </c>
      <c r="C4068" t="s">
        <v>12442</v>
      </c>
      <c r="D4068">
        <v>3</v>
      </c>
      <c r="E4068" t="s">
        <v>4455</v>
      </c>
      <c r="G4068" s="3"/>
      <c r="H4068" s="3">
        <v>0</v>
      </c>
      <c r="I4068" s="3">
        <v>0</v>
      </c>
      <c r="J4068" s="3">
        <v>0</v>
      </c>
      <c r="K4068" s="3">
        <v>0</v>
      </c>
      <c r="L4068" s="3">
        <f t="shared" si="173"/>
        <v>0</v>
      </c>
      <c r="M4068" s="3"/>
      <c r="N4068" s="3">
        <f t="shared" si="174"/>
        <v>0</v>
      </c>
      <c r="R4068" s="89"/>
      <c r="S4068" s="89">
        <f>100%-Table34[[#This Row],[PDF_initial fee]]</f>
        <v>1</v>
      </c>
      <c r="T4068" s="89"/>
      <c r="U4068" s="26"/>
    </row>
    <row r="4069" spans="1:27" hidden="1" x14ac:dyDescent="0.25">
      <c r="A4069">
        <v>740030</v>
      </c>
      <c r="B4069" t="s">
        <v>4456</v>
      </c>
      <c r="C4069" t="s">
        <v>11371</v>
      </c>
      <c r="D4069">
        <v>1</v>
      </c>
      <c r="E4069" t="s">
        <v>4456</v>
      </c>
      <c r="G4069" s="3"/>
      <c r="H4069" s="3">
        <v>0</v>
      </c>
      <c r="I4069" s="3">
        <v>0</v>
      </c>
      <c r="J4069" s="3">
        <v>0</v>
      </c>
      <c r="K4069" s="3">
        <v>0</v>
      </c>
      <c r="L4069" s="3">
        <f t="shared" si="173"/>
        <v>0</v>
      </c>
      <c r="M4069" s="3"/>
      <c r="N4069" s="3">
        <f t="shared" si="174"/>
        <v>0</v>
      </c>
      <c r="R4069" s="89"/>
      <c r="S4069" s="89">
        <f>100%-Table34[[#This Row],[PDF_initial fee]]</f>
        <v>1</v>
      </c>
      <c r="T4069" s="89"/>
      <c r="U4069" s="26"/>
    </row>
    <row r="4070" spans="1:27" hidden="1" x14ac:dyDescent="0.25">
      <c r="A4070">
        <v>740108</v>
      </c>
      <c r="B4070" t="s">
        <v>4457</v>
      </c>
      <c r="C4070" t="s">
        <v>12103</v>
      </c>
      <c r="D4070">
        <v>1</v>
      </c>
      <c r="E4070" t="s">
        <v>4457</v>
      </c>
      <c r="G4070" s="3"/>
      <c r="H4070" s="3">
        <v>0</v>
      </c>
      <c r="I4070" s="3">
        <v>0</v>
      </c>
      <c r="J4070" s="3">
        <v>0</v>
      </c>
      <c r="K4070" s="3">
        <v>0</v>
      </c>
      <c r="L4070" s="3">
        <f t="shared" si="173"/>
        <v>0</v>
      </c>
      <c r="M4070" s="3"/>
      <c r="N4070" s="3">
        <f t="shared" si="174"/>
        <v>0</v>
      </c>
      <c r="R4070" s="89"/>
      <c r="S4070" s="89">
        <f>100%-Table34[[#This Row],[PDF_initial fee]]</f>
        <v>1</v>
      </c>
      <c r="T4070" s="89"/>
      <c r="U4070" s="26"/>
    </row>
    <row r="4071" spans="1:27" hidden="1" x14ac:dyDescent="0.25">
      <c r="A4071">
        <v>740111</v>
      </c>
      <c r="B4071" t="s">
        <v>4458</v>
      </c>
      <c r="C4071" t="s">
        <v>6958</v>
      </c>
      <c r="D4071">
        <v>1</v>
      </c>
      <c r="E4071" t="s">
        <v>4458</v>
      </c>
      <c r="F4071" t="s">
        <v>6958</v>
      </c>
      <c r="G4071" s="3"/>
      <c r="H4071" s="21">
        <v>0</v>
      </c>
      <c r="I4071" s="21">
        <v>0</v>
      </c>
      <c r="J4071" s="21">
        <v>0</v>
      </c>
      <c r="K4071" s="21">
        <v>0</v>
      </c>
      <c r="L4071" s="3">
        <f t="shared" si="173"/>
        <v>0</v>
      </c>
      <c r="M4071" s="3"/>
      <c r="N4071" s="3">
        <f t="shared" si="174"/>
        <v>0</v>
      </c>
      <c r="R4071" s="89"/>
      <c r="S4071" s="89">
        <f>100%-Table34[[#This Row],[PDF_initial fee]]</f>
        <v>1</v>
      </c>
      <c r="T4071" s="89"/>
      <c r="U4071" s="26"/>
    </row>
    <row r="4072" spans="1:27" hidden="1" x14ac:dyDescent="0.25">
      <c r="A4072">
        <v>740345</v>
      </c>
      <c r="B4072" t="s">
        <v>4460</v>
      </c>
      <c r="C4072" t="s">
        <v>30903</v>
      </c>
      <c r="D4072">
        <v>3</v>
      </c>
      <c r="E4072" t="s">
        <v>4460</v>
      </c>
      <c r="G4072" s="3"/>
      <c r="H4072" s="3">
        <v>0</v>
      </c>
      <c r="I4072" s="3">
        <v>0</v>
      </c>
      <c r="J4072" s="3">
        <v>0</v>
      </c>
      <c r="K4072" s="3">
        <v>0</v>
      </c>
      <c r="L4072" s="3">
        <f t="shared" si="173"/>
        <v>0</v>
      </c>
      <c r="M4072" s="3"/>
      <c r="N4072" s="3">
        <f t="shared" si="174"/>
        <v>0</v>
      </c>
      <c r="R4072" s="89"/>
      <c r="S4072" s="89">
        <f>100%-Table34[[#This Row],[PDF_initial fee]]</f>
        <v>1</v>
      </c>
      <c r="T4072" s="89"/>
      <c r="U4072" s="26"/>
    </row>
    <row r="4073" spans="1:27" hidden="1" x14ac:dyDescent="0.25">
      <c r="A4073">
        <v>740490</v>
      </c>
      <c r="B4073" t="s">
        <v>4461</v>
      </c>
      <c r="C4073" t="s">
        <v>30904</v>
      </c>
      <c r="D4073">
        <v>4</v>
      </c>
      <c r="E4073" t="s">
        <v>4461</v>
      </c>
      <c r="G4073" s="3"/>
      <c r="H4073" s="3">
        <v>0</v>
      </c>
      <c r="I4073" s="3">
        <v>0</v>
      </c>
      <c r="J4073" s="3">
        <v>0</v>
      </c>
      <c r="K4073" s="3">
        <v>0</v>
      </c>
      <c r="L4073" s="3">
        <f t="shared" si="173"/>
        <v>0</v>
      </c>
      <c r="M4073" s="3"/>
      <c r="N4073" s="3">
        <f t="shared" si="174"/>
        <v>0</v>
      </c>
      <c r="R4073" s="89"/>
      <c r="S4073" s="89">
        <f>100%-Table34[[#This Row],[PDF_initial fee]]</f>
        <v>1</v>
      </c>
      <c r="T4073" s="89"/>
      <c r="U4073" s="26"/>
    </row>
    <row r="4074" spans="1:27" hidden="1" x14ac:dyDescent="0.25">
      <c r="A4074">
        <v>740528</v>
      </c>
      <c r="B4074" t="s">
        <v>4462</v>
      </c>
      <c r="C4074" t="s">
        <v>29134</v>
      </c>
      <c r="D4074">
        <v>0</v>
      </c>
      <c r="E4074" t="s">
        <v>4462</v>
      </c>
      <c r="F4074" t="s">
        <v>29136</v>
      </c>
      <c r="G4074" s="3"/>
      <c r="H4074" s="3">
        <v>0</v>
      </c>
      <c r="I4074" s="3">
        <v>0</v>
      </c>
      <c r="J4074" s="3">
        <v>0</v>
      </c>
      <c r="K4074" s="3">
        <v>0</v>
      </c>
      <c r="L4074" s="3">
        <f t="shared" si="173"/>
        <v>0</v>
      </c>
      <c r="M4074" s="3"/>
      <c r="N4074" s="3">
        <f t="shared" si="174"/>
        <v>0</v>
      </c>
      <c r="R4074" s="89"/>
      <c r="S4074" s="89">
        <f>100%-Table34[[#This Row],[PDF_initial fee]]</f>
        <v>1</v>
      </c>
      <c r="T4074" s="89"/>
      <c r="U4074" s="26"/>
    </row>
    <row r="4075" spans="1:27" x14ac:dyDescent="0.25">
      <c r="A4075">
        <v>131459</v>
      </c>
      <c r="B4075" t="s">
        <v>38</v>
      </c>
      <c r="C4075" s="1" t="s">
        <v>10247</v>
      </c>
      <c r="D4075">
        <v>3</v>
      </c>
      <c r="E4075" t="s">
        <v>38</v>
      </c>
      <c r="F4075" t="s">
        <v>3</v>
      </c>
      <c r="G4075" s="3">
        <v>1.4E-3</v>
      </c>
      <c r="H4075" s="3">
        <v>0.01</v>
      </c>
      <c r="I4075" s="3">
        <v>0.01</v>
      </c>
      <c r="J4075" s="6"/>
      <c r="K4075" s="6"/>
      <c r="L4075" s="3">
        <f t="shared" si="173"/>
        <v>0.02</v>
      </c>
      <c r="M4075" s="3"/>
      <c r="N4075" s="3">
        <f t="shared" si="174"/>
        <v>2.1399999999999999E-2</v>
      </c>
      <c r="P4075" s="1" t="s">
        <v>30905</v>
      </c>
      <c r="Q4075" t="s">
        <v>31787</v>
      </c>
      <c r="R4075" s="89">
        <v>0.33333333333333348</v>
      </c>
      <c r="S4075" s="89">
        <f>100%-Table34[[#This Row],[InitialFee]]</f>
        <v>0.99</v>
      </c>
      <c r="T4075" s="89">
        <f>(1-Table34[[#This Row],[OngoingFee (plus Platform fee)]])^5</f>
        <v>0.95099004989999991</v>
      </c>
      <c r="U4075" s="26">
        <f>(1+Table34[[#This Row],[Net 5yrs return (mostly up to 28th of Feb 2026)]])*Table34[[#This Row],[Investment after initial charge]]*Table34[[#This Row],[Cummulative 5yrs ongoing advice charge]]-1</f>
        <v>0.255306865868</v>
      </c>
      <c r="V4075" s="10">
        <v>1022875</v>
      </c>
      <c r="W4075" t="s">
        <v>29051</v>
      </c>
      <c r="X4075" s="10">
        <v>1015786</v>
      </c>
      <c r="Y4075" s="30">
        <f>X4075/V4075</f>
        <v>0.99306953440058654</v>
      </c>
      <c r="AA4075" s="1" t="s">
        <v>30906</v>
      </c>
    </row>
    <row r="4076" spans="1:27" hidden="1" x14ac:dyDescent="0.25">
      <c r="A4076">
        <v>741551</v>
      </c>
      <c r="B4076" t="s">
        <v>4463</v>
      </c>
      <c r="C4076" t="s">
        <v>6958</v>
      </c>
      <c r="D4076">
        <v>4</v>
      </c>
      <c r="E4076" t="s">
        <v>4463</v>
      </c>
      <c r="F4076" t="s">
        <v>6958</v>
      </c>
      <c r="G4076" s="3"/>
      <c r="H4076" s="21">
        <v>0</v>
      </c>
      <c r="I4076" s="21">
        <v>0</v>
      </c>
      <c r="J4076" s="21">
        <v>0</v>
      </c>
      <c r="K4076" s="21">
        <v>0</v>
      </c>
      <c r="L4076" s="3">
        <f t="shared" si="173"/>
        <v>0</v>
      </c>
      <c r="M4076" s="3"/>
      <c r="N4076" s="3">
        <f t="shared" si="174"/>
        <v>0</v>
      </c>
      <c r="R4076" s="89"/>
      <c r="S4076" s="89">
        <f>100%-Table34[[#This Row],[PDF_initial fee]]</f>
        <v>1</v>
      </c>
      <c r="T4076" s="89"/>
      <c r="U4076" s="26"/>
    </row>
    <row r="4077" spans="1:27" hidden="1" x14ac:dyDescent="0.25">
      <c r="A4077">
        <v>741579</v>
      </c>
      <c r="B4077" t="s">
        <v>4464</v>
      </c>
      <c r="C4077" t="s">
        <v>30907</v>
      </c>
      <c r="D4077">
        <v>2</v>
      </c>
      <c r="E4077" t="s">
        <v>4464</v>
      </c>
      <c r="G4077" s="3"/>
      <c r="H4077" s="3">
        <v>0</v>
      </c>
      <c r="I4077" s="3">
        <v>0</v>
      </c>
      <c r="J4077" s="3">
        <v>0</v>
      </c>
      <c r="K4077" s="3">
        <v>0</v>
      </c>
      <c r="L4077" s="3">
        <f t="shared" si="173"/>
        <v>0</v>
      </c>
      <c r="M4077" s="3"/>
      <c r="N4077" s="3">
        <f t="shared" si="174"/>
        <v>0</v>
      </c>
      <c r="R4077" s="89"/>
      <c r="S4077" s="89">
        <f>100%-Table34[[#This Row],[PDF_initial fee]]</f>
        <v>1</v>
      </c>
      <c r="T4077" s="89"/>
      <c r="U4077" s="26"/>
    </row>
    <row r="4078" spans="1:27" hidden="1" x14ac:dyDescent="0.25">
      <c r="A4078">
        <v>741929</v>
      </c>
      <c r="B4078" t="s">
        <v>4465</v>
      </c>
      <c r="C4078" t="s">
        <v>30908</v>
      </c>
      <c r="D4078">
        <v>2</v>
      </c>
      <c r="E4078" t="s">
        <v>4465</v>
      </c>
      <c r="G4078" s="3"/>
      <c r="H4078" s="3">
        <v>0</v>
      </c>
      <c r="I4078" s="3">
        <v>0</v>
      </c>
      <c r="J4078" s="3">
        <v>0</v>
      </c>
      <c r="K4078" s="3">
        <v>0</v>
      </c>
      <c r="L4078" s="3">
        <f t="shared" si="173"/>
        <v>0</v>
      </c>
      <c r="M4078" s="3"/>
      <c r="N4078" s="3">
        <f t="shared" si="174"/>
        <v>0</v>
      </c>
      <c r="R4078" s="89"/>
      <c r="S4078" s="89">
        <f>100%-Table34[[#This Row],[PDF_initial fee]]</f>
        <v>1</v>
      </c>
      <c r="T4078" s="89"/>
      <c r="U4078" s="26"/>
    </row>
    <row r="4079" spans="1:27" hidden="1" x14ac:dyDescent="0.25">
      <c r="A4079">
        <v>742054</v>
      </c>
      <c r="B4079" t="s">
        <v>4466</v>
      </c>
      <c r="C4079" t="s">
        <v>10737</v>
      </c>
      <c r="D4079">
        <v>1</v>
      </c>
      <c r="E4079" t="s">
        <v>4466</v>
      </c>
      <c r="G4079" s="3"/>
      <c r="H4079" s="3">
        <v>0</v>
      </c>
      <c r="I4079" s="3">
        <v>0</v>
      </c>
      <c r="J4079" s="3">
        <v>0</v>
      </c>
      <c r="K4079" s="3">
        <v>0</v>
      </c>
      <c r="L4079" s="3">
        <f t="shared" si="173"/>
        <v>0</v>
      </c>
      <c r="M4079" s="3"/>
      <c r="N4079" s="3">
        <f t="shared" si="174"/>
        <v>0</v>
      </c>
      <c r="R4079" s="89"/>
      <c r="S4079" s="89">
        <f>100%-Table34[[#This Row],[PDF_initial fee]]</f>
        <v>1</v>
      </c>
      <c r="T4079" s="89"/>
      <c r="U4079" s="26"/>
    </row>
    <row r="4080" spans="1:27" hidden="1" x14ac:dyDescent="0.25">
      <c r="A4080">
        <v>742575</v>
      </c>
      <c r="B4080" t="s">
        <v>4467</v>
      </c>
      <c r="C4080" t="s">
        <v>6958</v>
      </c>
      <c r="D4080">
        <v>1</v>
      </c>
      <c r="E4080" t="s">
        <v>4467</v>
      </c>
      <c r="F4080" t="s">
        <v>6958</v>
      </c>
      <c r="G4080" s="3"/>
      <c r="H4080" s="21">
        <v>0</v>
      </c>
      <c r="I4080" s="21">
        <v>0</v>
      </c>
      <c r="J4080" s="21">
        <v>0</v>
      </c>
      <c r="K4080" s="21">
        <v>0</v>
      </c>
      <c r="L4080" s="3">
        <f t="shared" si="173"/>
        <v>0</v>
      </c>
      <c r="M4080" s="3"/>
      <c r="N4080" s="3">
        <f t="shared" si="174"/>
        <v>0</v>
      </c>
      <c r="R4080" s="89"/>
      <c r="S4080" s="89">
        <f>100%-Table34[[#This Row],[PDF_initial fee]]</f>
        <v>1</v>
      </c>
      <c r="T4080" s="89"/>
      <c r="U4080" s="26"/>
    </row>
    <row r="4081" spans="1:21" hidden="1" x14ac:dyDescent="0.25">
      <c r="A4081">
        <v>742739</v>
      </c>
      <c r="B4081" t="s">
        <v>4468</v>
      </c>
      <c r="C4081" t="s">
        <v>30909</v>
      </c>
      <c r="D4081">
        <v>2</v>
      </c>
      <c r="E4081" t="s">
        <v>4468</v>
      </c>
      <c r="G4081" s="3"/>
      <c r="H4081" s="3">
        <v>0</v>
      </c>
      <c r="I4081" s="3">
        <v>0</v>
      </c>
      <c r="J4081" s="3">
        <v>0</v>
      </c>
      <c r="K4081" s="3">
        <v>0</v>
      </c>
      <c r="L4081" s="3">
        <f t="shared" ref="L4081:L4112" si="175">SUM(H4081:K4081)</f>
        <v>0</v>
      </c>
      <c r="M4081" s="3"/>
      <c r="N4081" s="3">
        <f t="shared" ref="N4081:N4112" si="176">L4081+G4081</f>
        <v>0</v>
      </c>
      <c r="R4081" s="89"/>
      <c r="S4081" s="89">
        <f>100%-Table34[[#This Row],[PDF_initial fee]]</f>
        <v>1</v>
      </c>
      <c r="T4081" s="89"/>
      <c r="U4081" s="26"/>
    </row>
    <row r="4082" spans="1:21" hidden="1" x14ac:dyDescent="0.25">
      <c r="A4082">
        <v>742957</v>
      </c>
      <c r="B4082" t="s">
        <v>4469</v>
      </c>
      <c r="C4082" t="s">
        <v>30910</v>
      </c>
      <c r="D4082">
        <v>1</v>
      </c>
      <c r="E4082" t="s">
        <v>4469</v>
      </c>
      <c r="G4082" s="3"/>
      <c r="H4082" s="3">
        <v>0</v>
      </c>
      <c r="I4082" s="3">
        <v>0</v>
      </c>
      <c r="J4082" s="3">
        <v>0</v>
      </c>
      <c r="K4082" s="3">
        <v>0</v>
      </c>
      <c r="L4082" s="3">
        <f t="shared" si="175"/>
        <v>0</v>
      </c>
      <c r="M4082" s="3"/>
      <c r="N4082" s="3">
        <f t="shared" si="176"/>
        <v>0</v>
      </c>
      <c r="R4082" s="89"/>
      <c r="S4082" s="89">
        <f>100%-Table34[[#This Row],[PDF_initial fee]]</f>
        <v>1</v>
      </c>
      <c r="T4082" s="89"/>
      <c r="U4082" s="26"/>
    </row>
    <row r="4083" spans="1:21" hidden="1" x14ac:dyDescent="0.25">
      <c r="A4083">
        <v>743512</v>
      </c>
      <c r="B4083" t="s">
        <v>4470</v>
      </c>
      <c r="C4083" t="s">
        <v>30911</v>
      </c>
      <c r="D4083">
        <v>2</v>
      </c>
      <c r="E4083" t="s">
        <v>4470</v>
      </c>
      <c r="G4083" s="3"/>
      <c r="H4083" s="21">
        <v>0</v>
      </c>
      <c r="I4083" s="21">
        <v>0</v>
      </c>
      <c r="J4083" s="21">
        <v>0</v>
      </c>
      <c r="K4083" s="21">
        <v>0</v>
      </c>
      <c r="L4083" s="3">
        <f t="shared" si="175"/>
        <v>0</v>
      </c>
      <c r="M4083" s="3"/>
      <c r="N4083" s="3">
        <f t="shared" si="176"/>
        <v>0</v>
      </c>
      <c r="O4083" s="21"/>
      <c r="R4083" s="89"/>
      <c r="S4083" s="89">
        <f>100%-Table34[[#This Row],[PDF_initial fee]]</f>
        <v>1</v>
      </c>
      <c r="T4083" s="89"/>
      <c r="U4083" s="26"/>
    </row>
    <row r="4084" spans="1:21" hidden="1" x14ac:dyDescent="0.25">
      <c r="A4084">
        <v>744163</v>
      </c>
      <c r="B4084" t="s">
        <v>4471</v>
      </c>
      <c r="C4084" t="s">
        <v>12665</v>
      </c>
      <c r="D4084">
        <v>2</v>
      </c>
      <c r="E4084" t="s">
        <v>4471</v>
      </c>
      <c r="G4084" s="3"/>
      <c r="H4084" s="3">
        <v>0</v>
      </c>
      <c r="I4084" s="3">
        <v>0</v>
      </c>
      <c r="J4084" s="3">
        <v>0</v>
      </c>
      <c r="K4084" s="3">
        <v>0</v>
      </c>
      <c r="L4084" s="3">
        <f t="shared" si="175"/>
        <v>0</v>
      </c>
      <c r="M4084" s="3"/>
      <c r="N4084" s="3">
        <f t="shared" si="176"/>
        <v>0</v>
      </c>
      <c r="R4084" s="89"/>
      <c r="S4084" s="89">
        <f>100%-Table34[[#This Row],[PDF_initial fee]]</f>
        <v>1</v>
      </c>
      <c r="T4084" s="89"/>
      <c r="U4084" s="26"/>
    </row>
    <row r="4085" spans="1:21" hidden="1" x14ac:dyDescent="0.25">
      <c r="A4085">
        <v>744333</v>
      </c>
      <c r="B4085" t="s">
        <v>4472</v>
      </c>
      <c r="C4085" t="s">
        <v>30912</v>
      </c>
      <c r="D4085">
        <v>1</v>
      </c>
      <c r="E4085" t="s">
        <v>4472</v>
      </c>
      <c r="G4085" s="3"/>
      <c r="H4085" s="3">
        <v>0</v>
      </c>
      <c r="I4085" s="3">
        <v>0</v>
      </c>
      <c r="J4085" s="3">
        <v>0</v>
      </c>
      <c r="K4085" s="3">
        <v>0</v>
      </c>
      <c r="L4085" s="3">
        <f t="shared" si="175"/>
        <v>0</v>
      </c>
      <c r="M4085" s="3"/>
      <c r="N4085" s="3">
        <f t="shared" si="176"/>
        <v>0</v>
      </c>
      <c r="R4085" s="89"/>
      <c r="S4085" s="89">
        <f>100%-Table34[[#This Row],[PDF_initial fee]]</f>
        <v>1</v>
      </c>
      <c r="T4085" s="89"/>
      <c r="U4085" s="26"/>
    </row>
    <row r="4086" spans="1:21" hidden="1" x14ac:dyDescent="0.25">
      <c r="A4086">
        <v>744359</v>
      </c>
      <c r="B4086" t="s">
        <v>4473</v>
      </c>
      <c r="C4086" t="s">
        <v>30913</v>
      </c>
      <c r="D4086">
        <v>4</v>
      </c>
      <c r="E4086" t="s">
        <v>4473</v>
      </c>
      <c r="G4086" s="3"/>
      <c r="H4086" s="3">
        <v>0</v>
      </c>
      <c r="I4086" s="3">
        <v>0</v>
      </c>
      <c r="J4086" s="3">
        <v>0</v>
      </c>
      <c r="K4086" s="3">
        <v>0</v>
      </c>
      <c r="L4086" s="3">
        <f t="shared" si="175"/>
        <v>0</v>
      </c>
      <c r="M4086" s="3"/>
      <c r="N4086" s="3">
        <f t="shared" si="176"/>
        <v>0</v>
      </c>
      <c r="R4086" s="89"/>
      <c r="S4086" s="89">
        <f>100%-Table34[[#This Row],[PDF_initial fee]]</f>
        <v>1</v>
      </c>
      <c r="T4086" s="89"/>
      <c r="U4086" s="26"/>
    </row>
    <row r="4087" spans="1:21" hidden="1" x14ac:dyDescent="0.25">
      <c r="A4087">
        <v>744391</v>
      </c>
      <c r="B4087" t="s">
        <v>4474</v>
      </c>
      <c r="C4087" t="s">
        <v>30914</v>
      </c>
      <c r="D4087">
        <v>2</v>
      </c>
      <c r="E4087" t="s">
        <v>4474</v>
      </c>
      <c r="G4087" s="3"/>
      <c r="H4087" s="3">
        <v>0</v>
      </c>
      <c r="I4087" s="3">
        <v>0</v>
      </c>
      <c r="J4087" s="3">
        <v>0</v>
      </c>
      <c r="K4087" s="3">
        <v>0</v>
      </c>
      <c r="L4087" s="3">
        <f t="shared" si="175"/>
        <v>0</v>
      </c>
      <c r="M4087" s="3"/>
      <c r="N4087" s="3">
        <f t="shared" si="176"/>
        <v>0</v>
      </c>
      <c r="R4087" s="89"/>
      <c r="S4087" s="89">
        <f>100%-Table34[[#This Row],[PDF_initial fee]]</f>
        <v>1</v>
      </c>
      <c r="T4087" s="89"/>
      <c r="U4087" s="26"/>
    </row>
    <row r="4088" spans="1:21" hidden="1" x14ac:dyDescent="0.25">
      <c r="A4088">
        <v>744928</v>
      </c>
      <c r="B4088" t="s">
        <v>4476</v>
      </c>
      <c r="C4088" t="s">
        <v>30915</v>
      </c>
      <c r="D4088">
        <v>0</v>
      </c>
      <c r="E4088" t="s">
        <v>4476</v>
      </c>
      <c r="F4088" t="s">
        <v>29136</v>
      </c>
      <c r="G4088" s="3"/>
      <c r="H4088" s="21">
        <v>0</v>
      </c>
      <c r="I4088" s="21">
        <v>0</v>
      </c>
      <c r="J4088" s="21">
        <v>0</v>
      </c>
      <c r="K4088" s="21">
        <v>0</v>
      </c>
      <c r="L4088" s="3">
        <f t="shared" si="175"/>
        <v>0</v>
      </c>
      <c r="M4088" s="3"/>
      <c r="N4088" s="3">
        <f t="shared" si="176"/>
        <v>0</v>
      </c>
      <c r="O4088" s="21"/>
      <c r="R4088" s="89"/>
      <c r="S4088" s="89">
        <f>100%-Table34[[#This Row],[PDF_initial fee]]</f>
        <v>1</v>
      </c>
      <c r="T4088" s="89"/>
      <c r="U4088" s="26"/>
    </row>
    <row r="4089" spans="1:21" hidden="1" x14ac:dyDescent="0.25">
      <c r="A4089">
        <v>744938</v>
      </c>
      <c r="B4089" t="s">
        <v>4477</v>
      </c>
      <c r="C4089" t="s">
        <v>6958</v>
      </c>
      <c r="D4089">
        <v>3</v>
      </c>
      <c r="E4089" t="s">
        <v>4477</v>
      </c>
      <c r="F4089" t="s">
        <v>6958</v>
      </c>
      <c r="G4089" s="3"/>
      <c r="H4089" s="21">
        <v>0</v>
      </c>
      <c r="I4089" s="21">
        <v>0</v>
      </c>
      <c r="J4089" s="21">
        <v>0</v>
      </c>
      <c r="K4089" s="21">
        <v>0</v>
      </c>
      <c r="L4089" s="3">
        <f t="shared" si="175"/>
        <v>0</v>
      </c>
      <c r="M4089" s="3"/>
      <c r="N4089" s="3">
        <f t="shared" si="176"/>
        <v>0</v>
      </c>
      <c r="R4089" s="89"/>
      <c r="S4089" s="89">
        <f>100%-Table34[[#This Row],[PDF_initial fee]]</f>
        <v>1</v>
      </c>
      <c r="T4089" s="89"/>
      <c r="U4089" s="26"/>
    </row>
    <row r="4090" spans="1:21" hidden="1" x14ac:dyDescent="0.25">
      <c r="A4090">
        <v>745085</v>
      </c>
      <c r="B4090" t="s">
        <v>4478</v>
      </c>
      <c r="C4090" t="s">
        <v>9972</v>
      </c>
      <c r="D4090">
        <v>2</v>
      </c>
      <c r="E4090" t="s">
        <v>4478</v>
      </c>
      <c r="G4090" s="3"/>
      <c r="H4090" s="3">
        <v>0</v>
      </c>
      <c r="I4090" s="3">
        <v>0</v>
      </c>
      <c r="J4090" s="3">
        <v>0</v>
      </c>
      <c r="K4090" s="3">
        <v>0</v>
      </c>
      <c r="L4090" s="3">
        <f t="shared" si="175"/>
        <v>0</v>
      </c>
      <c r="M4090" s="3"/>
      <c r="N4090" s="3">
        <f t="shared" si="176"/>
        <v>0</v>
      </c>
      <c r="R4090" s="89"/>
      <c r="S4090" s="89">
        <f>100%-Table34[[#This Row],[PDF_initial fee]]</f>
        <v>1</v>
      </c>
      <c r="T4090" s="89"/>
      <c r="U4090" s="26"/>
    </row>
    <row r="4091" spans="1:21" hidden="1" x14ac:dyDescent="0.25">
      <c r="A4091">
        <v>745204</v>
      </c>
      <c r="B4091" t="s">
        <v>4479</v>
      </c>
      <c r="C4091" t="s">
        <v>30916</v>
      </c>
      <c r="D4091">
        <v>2</v>
      </c>
      <c r="E4091" t="s">
        <v>4479</v>
      </c>
      <c r="G4091" s="3"/>
      <c r="H4091" s="3">
        <v>0</v>
      </c>
      <c r="I4091" s="3">
        <v>0</v>
      </c>
      <c r="J4091" s="3">
        <v>0</v>
      </c>
      <c r="K4091" s="3">
        <v>0</v>
      </c>
      <c r="L4091" s="3">
        <f t="shared" si="175"/>
        <v>0</v>
      </c>
      <c r="M4091" s="3"/>
      <c r="N4091" s="3">
        <f t="shared" si="176"/>
        <v>0</v>
      </c>
      <c r="R4091" s="89"/>
      <c r="S4091" s="89">
        <f>100%-Table34[[#This Row],[PDF_initial fee]]</f>
        <v>1</v>
      </c>
      <c r="T4091" s="89"/>
      <c r="U4091" s="26"/>
    </row>
    <row r="4092" spans="1:21" hidden="1" x14ac:dyDescent="0.25">
      <c r="A4092">
        <v>745347</v>
      </c>
      <c r="B4092" t="s">
        <v>4480</v>
      </c>
      <c r="C4092" t="s">
        <v>6958</v>
      </c>
      <c r="D4092">
        <v>5</v>
      </c>
      <c r="E4092" t="s">
        <v>4480</v>
      </c>
      <c r="F4092" t="s">
        <v>6958</v>
      </c>
      <c r="G4092" s="3"/>
      <c r="L4092" s="3">
        <f t="shared" si="175"/>
        <v>0</v>
      </c>
      <c r="M4092" s="3"/>
      <c r="N4092" s="3">
        <f t="shared" si="176"/>
        <v>0</v>
      </c>
      <c r="R4092" s="89"/>
      <c r="S4092" s="89">
        <f>100%-Table34[[#This Row],[PDF_initial fee]]</f>
        <v>1</v>
      </c>
      <c r="T4092" s="89"/>
      <c r="U4092" s="26"/>
    </row>
    <row r="4093" spans="1:21" hidden="1" x14ac:dyDescent="0.25">
      <c r="A4093">
        <v>745384</v>
      </c>
      <c r="B4093" t="s">
        <v>4481</v>
      </c>
      <c r="C4093" t="s">
        <v>6958</v>
      </c>
      <c r="D4093">
        <v>3</v>
      </c>
      <c r="E4093" t="s">
        <v>4481</v>
      </c>
      <c r="F4093" t="s">
        <v>6958</v>
      </c>
      <c r="G4093" s="3"/>
      <c r="H4093" s="21">
        <v>0</v>
      </c>
      <c r="I4093" s="21">
        <v>0</v>
      </c>
      <c r="J4093" s="21">
        <v>0</v>
      </c>
      <c r="K4093" s="21">
        <v>0</v>
      </c>
      <c r="L4093" s="3">
        <f t="shared" si="175"/>
        <v>0</v>
      </c>
      <c r="M4093" s="3"/>
      <c r="N4093" s="3">
        <f t="shared" si="176"/>
        <v>0</v>
      </c>
      <c r="R4093" s="89"/>
      <c r="S4093" s="89">
        <f>100%-Table34[[#This Row],[PDF_initial fee]]</f>
        <v>1</v>
      </c>
      <c r="T4093" s="89"/>
      <c r="U4093" s="26"/>
    </row>
    <row r="4094" spans="1:21" hidden="1" x14ac:dyDescent="0.25">
      <c r="A4094">
        <v>745621</v>
      </c>
      <c r="B4094" t="s">
        <v>4482</v>
      </c>
      <c r="C4094" t="s">
        <v>6958</v>
      </c>
      <c r="D4094">
        <v>2</v>
      </c>
      <c r="E4094" t="s">
        <v>4482</v>
      </c>
      <c r="F4094" t="s">
        <v>6958</v>
      </c>
      <c r="G4094" s="3"/>
      <c r="H4094" s="21">
        <v>0</v>
      </c>
      <c r="I4094" s="21">
        <v>0</v>
      </c>
      <c r="J4094" s="21">
        <v>0</v>
      </c>
      <c r="K4094" s="21">
        <v>0</v>
      </c>
      <c r="L4094" s="3">
        <f t="shared" si="175"/>
        <v>0</v>
      </c>
      <c r="M4094" s="3"/>
      <c r="N4094" s="3">
        <f t="shared" si="176"/>
        <v>0</v>
      </c>
      <c r="R4094" s="89"/>
      <c r="S4094" s="89">
        <f>100%-Table34[[#This Row],[PDF_initial fee]]</f>
        <v>1</v>
      </c>
      <c r="T4094" s="89"/>
      <c r="U4094" s="26"/>
    </row>
    <row r="4095" spans="1:21" hidden="1" x14ac:dyDescent="0.25">
      <c r="A4095">
        <v>745837</v>
      </c>
      <c r="B4095" t="s">
        <v>4483</v>
      </c>
      <c r="C4095" t="s">
        <v>30917</v>
      </c>
      <c r="D4095">
        <v>3</v>
      </c>
      <c r="E4095" t="s">
        <v>4483</v>
      </c>
      <c r="G4095" s="3"/>
      <c r="H4095" s="3">
        <v>0</v>
      </c>
      <c r="I4095" s="3">
        <v>0</v>
      </c>
      <c r="J4095" s="3">
        <v>0</v>
      </c>
      <c r="K4095" s="3">
        <v>0</v>
      </c>
      <c r="L4095" s="3">
        <f t="shared" si="175"/>
        <v>0</v>
      </c>
      <c r="M4095" s="3"/>
      <c r="N4095" s="3">
        <f t="shared" si="176"/>
        <v>0</v>
      </c>
      <c r="R4095" s="89"/>
      <c r="S4095" s="89">
        <f>100%-Table34[[#This Row],[PDF_initial fee]]</f>
        <v>1</v>
      </c>
      <c r="T4095" s="89"/>
      <c r="U4095" s="26"/>
    </row>
    <row r="4096" spans="1:21" hidden="1" x14ac:dyDescent="0.25">
      <c r="A4096">
        <v>745901</v>
      </c>
      <c r="B4096" t="s">
        <v>4484</v>
      </c>
      <c r="C4096" t="s">
        <v>12160</v>
      </c>
      <c r="D4096">
        <v>12</v>
      </c>
      <c r="E4096" t="s">
        <v>4484</v>
      </c>
      <c r="G4096" s="3"/>
      <c r="H4096" s="3">
        <v>0</v>
      </c>
      <c r="I4096" s="3">
        <v>0</v>
      </c>
      <c r="J4096" s="3">
        <v>0</v>
      </c>
      <c r="K4096" s="3">
        <v>0</v>
      </c>
      <c r="L4096" s="3">
        <f t="shared" si="175"/>
        <v>0</v>
      </c>
      <c r="M4096" s="3"/>
      <c r="N4096" s="3">
        <f t="shared" si="176"/>
        <v>0</v>
      </c>
      <c r="R4096" s="89"/>
      <c r="S4096" s="89">
        <f>100%-Table34[[#This Row],[PDF_initial fee]]</f>
        <v>1</v>
      </c>
      <c r="T4096" s="89"/>
      <c r="U4096" s="26"/>
    </row>
    <row r="4097" spans="1:27" hidden="1" x14ac:dyDescent="0.25">
      <c r="A4097">
        <v>746000</v>
      </c>
      <c r="B4097" t="s">
        <v>4485</v>
      </c>
      <c r="C4097" t="s">
        <v>30918</v>
      </c>
      <c r="D4097">
        <v>1</v>
      </c>
      <c r="E4097" t="s">
        <v>4485</v>
      </c>
      <c r="G4097" s="3"/>
      <c r="H4097" s="3">
        <v>0</v>
      </c>
      <c r="I4097" s="3">
        <v>0</v>
      </c>
      <c r="J4097" s="3">
        <v>0</v>
      </c>
      <c r="K4097" s="3">
        <v>0</v>
      </c>
      <c r="L4097" s="3">
        <f t="shared" si="175"/>
        <v>0</v>
      </c>
      <c r="M4097" s="3"/>
      <c r="N4097" s="3">
        <f t="shared" si="176"/>
        <v>0</v>
      </c>
      <c r="R4097" s="89"/>
      <c r="S4097" s="89">
        <f>100%-Table34[[#This Row],[PDF_initial fee]]</f>
        <v>1</v>
      </c>
      <c r="T4097" s="89"/>
      <c r="U4097" s="26"/>
    </row>
    <row r="4098" spans="1:27" hidden="1" x14ac:dyDescent="0.25">
      <c r="A4098">
        <v>746267</v>
      </c>
      <c r="B4098" t="s">
        <v>4486</v>
      </c>
      <c r="C4098" t="s">
        <v>30919</v>
      </c>
      <c r="D4098">
        <v>7</v>
      </c>
      <c r="E4098" t="s">
        <v>4486</v>
      </c>
      <c r="G4098" s="3"/>
      <c r="H4098" s="3">
        <v>0</v>
      </c>
      <c r="I4098" s="3">
        <v>0</v>
      </c>
      <c r="J4098" s="3">
        <v>0</v>
      </c>
      <c r="K4098" s="3">
        <v>0</v>
      </c>
      <c r="L4098" s="3">
        <f t="shared" si="175"/>
        <v>0</v>
      </c>
      <c r="M4098" s="3"/>
      <c r="N4098" s="3">
        <f t="shared" si="176"/>
        <v>0</v>
      </c>
      <c r="R4098" s="89"/>
      <c r="S4098" s="89">
        <f>100%-Table34[[#This Row],[PDF_initial fee]]</f>
        <v>1</v>
      </c>
      <c r="T4098" s="89"/>
      <c r="U4098" s="26"/>
    </row>
    <row r="4099" spans="1:27" hidden="1" x14ac:dyDescent="0.25">
      <c r="A4099">
        <v>746390</v>
      </c>
      <c r="B4099" t="s">
        <v>4487</v>
      </c>
      <c r="C4099" t="s">
        <v>6958</v>
      </c>
      <c r="D4099">
        <v>2</v>
      </c>
      <c r="E4099" t="s">
        <v>4487</v>
      </c>
      <c r="F4099" t="s">
        <v>6958</v>
      </c>
      <c r="G4099" s="3"/>
      <c r="H4099" s="21">
        <v>0</v>
      </c>
      <c r="I4099" s="21">
        <v>0</v>
      </c>
      <c r="J4099" s="21">
        <v>0</v>
      </c>
      <c r="K4099" s="21">
        <v>0</v>
      </c>
      <c r="L4099" s="3">
        <f t="shared" si="175"/>
        <v>0</v>
      </c>
      <c r="M4099" s="3"/>
      <c r="N4099" s="3">
        <f t="shared" si="176"/>
        <v>0</v>
      </c>
      <c r="R4099" s="89"/>
      <c r="S4099" s="89">
        <f>100%-Table34[[#This Row],[PDF_initial fee]]</f>
        <v>1</v>
      </c>
      <c r="T4099" s="89"/>
      <c r="U4099" s="26"/>
    </row>
    <row r="4100" spans="1:27" hidden="1" x14ac:dyDescent="0.25">
      <c r="A4100">
        <v>746440</v>
      </c>
      <c r="B4100" t="s">
        <v>4488</v>
      </c>
      <c r="C4100" t="s">
        <v>30920</v>
      </c>
      <c r="D4100">
        <v>3</v>
      </c>
      <c r="E4100" t="s">
        <v>4488</v>
      </c>
      <c r="G4100" s="3"/>
      <c r="H4100" s="3">
        <v>0</v>
      </c>
      <c r="I4100" s="3">
        <v>0</v>
      </c>
      <c r="J4100" s="3">
        <v>0</v>
      </c>
      <c r="K4100" s="3">
        <v>0</v>
      </c>
      <c r="L4100" s="3">
        <f t="shared" si="175"/>
        <v>0</v>
      </c>
      <c r="M4100" s="3"/>
      <c r="N4100" s="3">
        <f t="shared" si="176"/>
        <v>0</v>
      </c>
      <c r="R4100" s="89"/>
      <c r="S4100" s="89">
        <f>100%-Table34[[#This Row],[PDF_initial fee]]</f>
        <v>1</v>
      </c>
      <c r="T4100" s="89"/>
      <c r="U4100" s="26"/>
    </row>
    <row r="4101" spans="1:27" x14ac:dyDescent="0.25">
      <c r="A4101">
        <v>605911</v>
      </c>
      <c r="B4101" t="s">
        <v>249</v>
      </c>
      <c r="C4101" s="1" t="s">
        <v>30921</v>
      </c>
      <c r="D4101">
        <v>7</v>
      </c>
      <c r="E4101" t="s">
        <v>249</v>
      </c>
      <c r="F4101" t="s">
        <v>3</v>
      </c>
      <c r="G4101" s="3">
        <v>1.4E-3</v>
      </c>
      <c r="H4101" s="3">
        <v>2.9749999999999999E-2</v>
      </c>
      <c r="I4101" s="3">
        <v>0</v>
      </c>
      <c r="J4101" s="6">
        <v>0</v>
      </c>
      <c r="K4101" s="6">
        <v>0</v>
      </c>
      <c r="L4101" s="3">
        <f t="shared" si="175"/>
        <v>2.9749999999999999E-2</v>
      </c>
      <c r="M4101" s="3"/>
      <c r="N4101" s="3">
        <f t="shared" si="176"/>
        <v>3.1149999999999997E-2</v>
      </c>
      <c r="O4101" t="s">
        <v>30922</v>
      </c>
      <c r="P4101" s="31" t="s">
        <v>30923</v>
      </c>
      <c r="Q4101" t="s">
        <v>31787</v>
      </c>
      <c r="R4101" s="89">
        <v>0.33333333333333348</v>
      </c>
      <c r="S4101" s="89">
        <f>100%-Table34[[#This Row],[InitialFee]]</f>
        <v>0.97025000000000006</v>
      </c>
      <c r="T4101" s="89">
        <f>(1-Table34[[#This Row],[PDF ongoing fee]])^5</f>
        <v>1</v>
      </c>
      <c r="U4101" s="26">
        <f>(1+Table34[[#This Row],[Net 5yrs return (mostly up to 28th of Feb 2026)]])*Table34[[#This Row],[Investment after initial charge]]*Table34[[#This Row],[Cummulative 5yrs ongoing advice charge]]-1</f>
        <v>0.29366666666666696</v>
      </c>
      <c r="V4101" s="10">
        <f>170813+249496</f>
        <v>420309</v>
      </c>
      <c r="W4101" t="s">
        <v>29051</v>
      </c>
      <c r="X4101" s="9">
        <v>191140</v>
      </c>
      <c r="Y4101" s="30">
        <f>X4101/V4101</f>
        <v>0.45476066417802141</v>
      </c>
      <c r="AA4101" s="1" t="s">
        <v>30924</v>
      </c>
    </row>
    <row r="4102" spans="1:27" hidden="1" x14ac:dyDescent="0.25">
      <c r="A4102">
        <v>746548</v>
      </c>
      <c r="B4102" t="s">
        <v>4490</v>
      </c>
      <c r="C4102" t="s">
        <v>8699</v>
      </c>
      <c r="D4102">
        <v>2</v>
      </c>
      <c r="E4102" t="s">
        <v>4490</v>
      </c>
      <c r="G4102" s="3"/>
      <c r="H4102" s="21">
        <v>0</v>
      </c>
      <c r="I4102" s="21">
        <v>0</v>
      </c>
      <c r="J4102" s="21">
        <v>0</v>
      </c>
      <c r="K4102" s="21">
        <v>0</v>
      </c>
      <c r="L4102" s="3">
        <f t="shared" si="175"/>
        <v>0</v>
      </c>
      <c r="M4102" s="3"/>
      <c r="N4102" s="3">
        <f t="shared" si="176"/>
        <v>0</v>
      </c>
      <c r="R4102" s="89"/>
      <c r="S4102" s="89">
        <f>100%-Table34[[#This Row],[PDF_initial fee]]</f>
        <v>1</v>
      </c>
      <c r="T4102" s="89"/>
      <c r="U4102" s="26"/>
    </row>
    <row r="4103" spans="1:27" hidden="1" x14ac:dyDescent="0.25">
      <c r="A4103">
        <v>746672</v>
      </c>
      <c r="B4103" t="s">
        <v>4491</v>
      </c>
      <c r="C4103" t="s">
        <v>6958</v>
      </c>
      <c r="D4103">
        <v>2</v>
      </c>
      <c r="E4103" t="s">
        <v>4491</v>
      </c>
      <c r="F4103" t="s">
        <v>6958</v>
      </c>
      <c r="G4103" s="3"/>
      <c r="H4103" s="21">
        <v>0</v>
      </c>
      <c r="I4103" s="21">
        <v>0</v>
      </c>
      <c r="J4103" s="21">
        <v>0</v>
      </c>
      <c r="K4103" s="21">
        <v>0</v>
      </c>
      <c r="L4103" s="3">
        <f t="shared" si="175"/>
        <v>0</v>
      </c>
      <c r="M4103" s="3"/>
      <c r="N4103" s="3">
        <f t="shared" si="176"/>
        <v>0</v>
      </c>
      <c r="R4103" s="89"/>
      <c r="S4103" s="89">
        <f>100%-Table34[[#This Row],[PDF_initial fee]]</f>
        <v>1</v>
      </c>
      <c r="T4103" s="89"/>
      <c r="U4103" s="26"/>
    </row>
    <row r="4104" spans="1:27" hidden="1" x14ac:dyDescent="0.25">
      <c r="A4104">
        <v>747216</v>
      </c>
      <c r="B4104" t="s">
        <v>4493</v>
      </c>
      <c r="C4104" t="s">
        <v>30925</v>
      </c>
      <c r="D4104">
        <v>1</v>
      </c>
      <c r="E4104" t="s">
        <v>4493</v>
      </c>
      <c r="G4104" s="3"/>
      <c r="H4104" s="21">
        <v>0</v>
      </c>
      <c r="I4104" s="21">
        <v>0</v>
      </c>
      <c r="J4104" s="21">
        <v>0</v>
      </c>
      <c r="K4104" s="21">
        <v>0</v>
      </c>
      <c r="L4104" s="3">
        <f t="shared" si="175"/>
        <v>0</v>
      </c>
      <c r="M4104" s="3"/>
      <c r="N4104" s="3">
        <f t="shared" si="176"/>
        <v>0</v>
      </c>
      <c r="O4104" s="21"/>
      <c r="R4104" s="89"/>
      <c r="S4104" s="89">
        <f>100%-Table34[[#This Row],[PDF_initial fee]]</f>
        <v>1</v>
      </c>
      <c r="T4104" s="89"/>
      <c r="U4104" s="26"/>
    </row>
    <row r="4105" spans="1:27" hidden="1" x14ac:dyDescent="0.25">
      <c r="A4105">
        <v>747633</v>
      </c>
      <c r="B4105" t="s">
        <v>4495</v>
      </c>
      <c r="C4105" t="s">
        <v>6958</v>
      </c>
      <c r="D4105">
        <v>1</v>
      </c>
      <c r="E4105" t="s">
        <v>4495</v>
      </c>
      <c r="F4105" t="s">
        <v>6958</v>
      </c>
      <c r="G4105" s="3"/>
      <c r="H4105" s="21">
        <v>0</v>
      </c>
      <c r="I4105" s="21">
        <v>0</v>
      </c>
      <c r="J4105" s="21">
        <v>0</v>
      </c>
      <c r="K4105" s="21">
        <v>0</v>
      </c>
      <c r="L4105" s="3">
        <f t="shared" si="175"/>
        <v>0</v>
      </c>
      <c r="M4105" s="3"/>
      <c r="N4105" s="3">
        <f t="shared" si="176"/>
        <v>0</v>
      </c>
      <c r="R4105" s="89"/>
      <c r="S4105" s="89">
        <f>100%-Table34[[#This Row],[PDF_initial fee]]</f>
        <v>1</v>
      </c>
      <c r="T4105" s="89"/>
      <c r="U4105" s="26"/>
    </row>
    <row r="4106" spans="1:27" hidden="1" x14ac:dyDescent="0.25">
      <c r="A4106">
        <v>747648</v>
      </c>
      <c r="B4106" t="s">
        <v>4496</v>
      </c>
      <c r="C4106" t="s">
        <v>10662</v>
      </c>
      <c r="D4106">
        <v>4</v>
      </c>
      <c r="E4106" t="s">
        <v>4496</v>
      </c>
      <c r="G4106" s="3"/>
      <c r="H4106" s="3">
        <v>0</v>
      </c>
      <c r="I4106" s="3">
        <v>0</v>
      </c>
      <c r="J4106" s="3">
        <v>0</v>
      </c>
      <c r="K4106" s="3">
        <v>0</v>
      </c>
      <c r="L4106" s="3">
        <f t="shared" si="175"/>
        <v>0</v>
      </c>
      <c r="M4106" s="3"/>
      <c r="N4106" s="3">
        <f t="shared" si="176"/>
        <v>0</v>
      </c>
      <c r="R4106" s="89"/>
      <c r="S4106" s="89">
        <f>100%-Table34[[#This Row],[PDF_initial fee]]</f>
        <v>1</v>
      </c>
      <c r="T4106" s="89"/>
      <c r="U4106" s="26"/>
    </row>
    <row r="4107" spans="1:27" hidden="1" x14ac:dyDescent="0.25">
      <c r="A4107">
        <v>747664</v>
      </c>
      <c r="B4107" t="s">
        <v>4497</v>
      </c>
      <c r="C4107" t="s">
        <v>10876</v>
      </c>
      <c r="D4107">
        <v>1</v>
      </c>
      <c r="E4107" t="s">
        <v>4497</v>
      </c>
      <c r="G4107" s="3"/>
      <c r="H4107" s="3">
        <v>0</v>
      </c>
      <c r="I4107" s="3">
        <v>0</v>
      </c>
      <c r="J4107" s="3">
        <v>0</v>
      </c>
      <c r="K4107" s="3">
        <v>0</v>
      </c>
      <c r="L4107" s="3">
        <f t="shared" si="175"/>
        <v>0</v>
      </c>
      <c r="M4107" s="3"/>
      <c r="N4107" s="3">
        <f t="shared" si="176"/>
        <v>0</v>
      </c>
      <c r="R4107" s="89"/>
      <c r="S4107" s="89">
        <f>100%-Table34[[#This Row],[PDF_initial fee]]</f>
        <v>1</v>
      </c>
      <c r="T4107" s="89"/>
      <c r="U4107" s="26"/>
    </row>
    <row r="4108" spans="1:27" hidden="1" x14ac:dyDescent="0.25">
      <c r="A4108">
        <v>747766</v>
      </c>
      <c r="B4108" t="s">
        <v>4498</v>
      </c>
      <c r="C4108" t="s">
        <v>11368</v>
      </c>
      <c r="D4108">
        <v>1</v>
      </c>
      <c r="E4108" t="s">
        <v>4498</v>
      </c>
      <c r="G4108" s="3"/>
      <c r="H4108" s="3">
        <v>0</v>
      </c>
      <c r="I4108" s="3">
        <v>0</v>
      </c>
      <c r="J4108" s="3">
        <v>0</v>
      </c>
      <c r="K4108" s="3">
        <v>0</v>
      </c>
      <c r="L4108" s="3">
        <f t="shared" si="175"/>
        <v>0</v>
      </c>
      <c r="M4108" s="3"/>
      <c r="N4108" s="3">
        <f t="shared" si="176"/>
        <v>0</v>
      </c>
      <c r="R4108" s="89"/>
      <c r="S4108" s="89">
        <f>100%-Table34[[#This Row],[PDF_initial fee]]</f>
        <v>1</v>
      </c>
      <c r="T4108" s="89"/>
      <c r="U4108" s="26"/>
    </row>
    <row r="4109" spans="1:27" hidden="1" x14ac:dyDescent="0.25">
      <c r="A4109">
        <v>748172</v>
      </c>
      <c r="B4109" t="s">
        <v>4500</v>
      </c>
      <c r="C4109" t="s">
        <v>6958</v>
      </c>
      <c r="D4109">
        <v>2</v>
      </c>
      <c r="E4109" t="s">
        <v>4500</v>
      </c>
      <c r="F4109" t="s">
        <v>6958</v>
      </c>
      <c r="G4109" s="3"/>
      <c r="H4109" s="21">
        <v>0</v>
      </c>
      <c r="I4109" s="21">
        <v>0</v>
      </c>
      <c r="J4109" s="21">
        <v>0</v>
      </c>
      <c r="K4109" s="21">
        <v>0</v>
      </c>
      <c r="L4109" s="3">
        <f t="shared" si="175"/>
        <v>0</v>
      </c>
      <c r="M4109" s="3"/>
      <c r="N4109" s="3">
        <f t="shared" si="176"/>
        <v>0</v>
      </c>
      <c r="R4109" s="89"/>
      <c r="S4109" s="89">
        <f>100%-Table34[[#This Row],[PDF_initial fee]]</f>
        <v>1</v>
      </c>
      <c r="T4109" s="89"/>
      <c r="U4109" s="26"/>
    </row>
    <row r="4110" spans="1:27" hidden="1" x14ac:dyDescent="0.25">
      <c r="A4110">
        <v>748243</v>
      </c>
      <c r="B4110" t="s">
        <v>4501</v>
      </c>
      <c r="C4110" t="s">
        <v>6958</v>
      </c>
      <c r="D4110">
        <v>2</v>
      </c>
      <c r="E4110" t="s">
        <v>4501</v>
      </c>
      <c r="F4110" t="s">
        <v>6958</v>
      </c>
      <c r="G4110" s="3"/>
      <c r="H4110" s="21">
        <v>0</v>
      </c>
      <c r="I4110" s="21">
        <v>0</v>
      </c>
      <c r="J4110" s="21">
        <v>0</v>
      </c>
      <c r="K4110" s="21">
        <v>0</v>
      </c>
      <c r="L4110" s="3">
        <f t="shared" si="175"/>
        <v>0</v>
      </c>
      <c r="M4110" s="3"/>
      <c r="N4110" s="3">
        <f t="shared" si="176"/>
        <v>0</v>
      </c>
      <c r="R4110" s="89"/>
      <c r="S4110" s="89">
        <f>100%-Table34[[#This Row],[PDF_initial fee]]</f>
        <v>1</v>
      </c>
      <c r="T4110" s="89"/>
      <c r="U4110" s="26"/>
    </row>
    <row r="4111" spans="1:27" hidden="1" x14ac:dyDescent="0.25">
      <c r="A4111">
        <v>748261</v>
      </c>
      <c r="B4111" t="s">
        <v>4502</v>
      </c>
      <c r="C4111" t="s">
        <v>30926</v>
      </c>
      <c r="D4111">
        <v>4</v>
      </c>
      <c r="E4111" t="s">
        <v>4502</v>
      </c>
      <c r="G4111" s="3"/>
      <c r="H4111" s="3">
        <v>0</v>
      </c>
      <c r="I4111" s="3">
        <v>0</v>
      </c>
      <c r="J4111" s="3">
        <v>0</v>
      </c>
      <c r="K4111" s="3">
        <v>0</v>
      </c>
      <c r="L4111" s="3">
        <f t="shared" si="175"/>
        <v>0</v>
      </c>
      <c r="M4111" s="3"/>
      <c r="N4111" s="3">
        <f t="shared" si="176"/>
        <v>0</v>
      </c>
      <c r="R4111" s="89"/>
      <c r="S4111" s="89">
        <f>100%-Table34[[#This Row],[PDF_initial fee]]</f>
        <v>1</v>
      </c>
      <c r="T4111" s="89"/>
      <c r="U4111" s="26"/>
    </row>
    <row r="4112" spans="1:27" hidden="1" x14ac:dyDescent="0.25">
      <c r="A4112">
        <v>748565</v>
      </c>
      <c r="B4112" t="s">
        <v>4503</v>
      </c>
      <c r="C4112" t="s">
        <v>8915</v>
      </c>
      <c r="D4112">
        <v>0</v>
      </c>
      <c r="E4112" t="s">
        <v>4503</v>
      </c>
      <c r="F4112" t="s">
        <v>3</v>
      </c>
      <c r="G4112" s="3"/>
      <c r="H4112" s="21">
        <v>0</v>
      </c>
      <c r="I4112" s="21">
        <v>0</v>
      </c>
      <c r="J4112" s="21">
        <v>0</v>
      </c>
      <c r="K4112" s="21">
        <v>0</v>
      </c>
      <c r="L4112" s="3">
        <f t="shared" si="175"/>
        <v>0</v>
      </c>
      <c r="M4112" s="3"/>
      <c r="N4112" s="3">
        <f t="shared" si="176"/>
        <v>0</v>
      </c>
      <c r="R4112" s="89"/>
      <c r="S4112" s="89">
        <f>100%-Table34[[#This Row],[PDF_initial fee]]</f>
        <v>1</v>
      </c>
      <c r="T4112" s="89"/>
      <c r="U4112" s="26"/>
    </row>
    <row r="4113" spans="1:30" hidden="1" x14ac:dyDescent="0.25">
      <c r="A4113">
        <v>748732</v>
      </c>
      <c r="B4113" t="s">
        <v>4504</v>
      </c>
      <c r="C4113" t="s">
        <v>30927</v>
      </c>
      <c r="D4113">
        <v>1</v>
      </c>
      <c r="E4113" t="s">
        <v>4504</v>
      </c>
      <c r="G4113" s="3"/>
      <c r="H4113" s="3">
        <v>0</v>
      </c>
      <c r="I4113" s="3">
        <v>0</v>
      </c>
      <c r="J4113" s="3">
        <v>0</v>
      </c>
      <c r="K4113" s="3">
        <v>0</v>
      </c>
      <c r="L4113" s="3">
        <f t="shared" ref="L4113:L4144" si="177">SUM(H4113:K4113)</f>
        <v>0</v>
      </c>
      <c r="M4113" s="3"/>
      <c r="N4113" s="3">
        <f t="shared" ref="N4113:N4144" si="178">L4113+G4113</f>
        <v>0</v>
      </c>
      <c r="R4113" s="89"/>
      <c r="S4113" s="89">
        <f>100%-Table34[[#This Row],[PDF_initial fee]]</f>
        <v>1</v>
      </c>
      <c r="T4113" s="89"/>
      <c r="U4113" s="26"/>
    </row>
    <row r="4114" spans="1:30" hidden="1" x14ac:dyDescent="0.25">
      <c r="A4114">
        <v>748895</v>
      </c>
      <c r="B4114" t="s">
        <v>4505</v>
      </c>
      <c r="C4114" t="s">
        <v>8186</v>
      </c>
      <c r="D4114">
        <v>2</v>
      </c>
      <c r="E4114" t="s">
        <v>4505</v>
      </c>
      <c r="G4114" s="3"/>
      <c r="H4114" s="21">
        <v>0</v>
      </c>
      <c r="I4114" s="21">
        <v>0</v>
      </c>
      <c r="J4114" s="21">
        <v>0</v>
      </c>
      <c r="K4114" s="21">
        <v>0</v>
      </c>
      <c r="L4114" s="3">
        <f t="shared" si="177"/>
        <v>0</v>
      </c>
      <c r="M4114" s="3"/>
      <c r="N4114" s="3">
        <f t="shared" si="178"/>
        <v>0</v>
      </c>
      <c r="R4114" s="89"/>
      <c r="S4114" s="89">
        <f>100%-Table34[[#This Row],[PDF_initial fee]]</f>
        <v>1</v>
      </c>
      <c r="T4114" s="89"/>
      <c r="U4114" s="26"/>
    </row>
    <row r="4115" spans="1:30" hidden="1" x14ac:dyDescent="0.25">
      <c r="A4115">
        <v>749167</v>
      </c>
      <c r="B4115" t="s">
        <v>4506</v>
      </c>
      <c r="C4115" t="s">
        <v>6958</v>
      </c>
      <c r="D4115">
        <v>1</v>
      </c>
      <c r="E4115" t="s">
        <v>4506</v>
      </c>
      <c r="F4115" t="s">
        <v>6958</v>
      </c>
      <c r="G4115" s="3"/>
      <c r="L4115" s="3">
        <f t="shared" si="177"/>
        <v>0</v>
      </c>
      <c r="M4115" s="3"/>
      <c r="N4115" s="3">
        <f t="shared" si="178"/>
        <v>0</v>
      </c>
      <c r="R4115" s="89"/>
      <c r="S4115" s="89">
        <f>100%-Table34[[#This Row],[PDF_initial fee]]</f>
        <v>1</v>
      </c>
      <c r="T4115" s="89"/>
      <c r="U4115" s="26"/>
    </row>
    <row r="4116" spans="1:30" hidden="1" x14ac:dyDescent="0.25">
      <c r="A4116">
        <v>749371</v>
      </c>
      <c r="B4116" t="s">
        <v>4507</v>
      </c>
      <c r="C4116" t="s">
        <v>6958</v>
      </c>
      <c r="D4116">
        <v>1</v>
      </c>
      <c r="E4116" t="s">
        <v>4507</v>
      </c>
      <c r="F4116" t="s">
        <v>6958</v>
      </c>
      <c r="G4116" s="3"/>
      <c r="H4116" s="21">
        <v>0</v>
      </c>
      <c r="I4116" s="21">
        <v>0</v>
      </c>
      <c r="J4116" s="21">
        <v>0</v>
      </c>
      <c r="K4116" s="21">
        <v>0</v>
      </c>
      <c r="L4116" s="3">
        <f t="shared" si="177"/>
        <v>0</v>
      </c>
      <c r="M4116" s="3"/>
      <c r="N4116" s="3">
        <f t="shared" si="178"/>
        <v>0</v>
      </c>
      <c r="R4116" s="89"/>
      <c r="S4116" s="89">
        <f>100%-Table34[[#This Row],[PDF_initial fee]]</f>
        <v>1</v>
      </c>
      <c r="T4116" s="89"/>
      <c r="U4116" s="26"/>
    </row>
    <row r="4117" spans="1:30" hidden="1" x14ac:dyDescent="0.25">
      <c r="A4117">
        <v>749494</v>
      </c>
      <c r="B4117" t="s">
        <v>4508</v>
      </c>
      <c r="C4117" t="s">
        <v>6958</v>
      </c>
      <c r="D4117">
        <v>1</v>
      </c>
      <c r="E4117" t="s">
        <v>4508</v>
      </c>
      <c r="F4117" t="s">
        <v>6958</v>
      </c>
      <c r="G4117" s="3"/>
      <c r="L4117" s="3">
        <f t="shared" si="177"/>
        <v>0</v>
      </c>
      <c r="M4117" s="3"/>
      <c r="N4117" s="3">
        <f t="shared" si="178"/>
        <v>0</v>
      </c>
      <c r="R4117" s="89"/>
      <c r="S4117" s="89">
        <f>100%-Table34[[#This Row],[PDF_initial fee]]</f>
        <v>1</v>
      </c>
      <c r="T4117" s="89"/>
      <c r="U4117" s="26"/>
    </row>
    <row r="4118" spans="1:30" hidden="1" x14ac:dyDescent="0.25">
      <c r="A4118">
        <v>937583</v>
      </c>
      <c r="B4118" t="s">
        <v>335</v>
      </c>
      <c r="C4118" s="1" t="s">
        <v>30928</v>
      </c>
      <c r="D4118">
        <v>1</v>
      </c>
      <c r="E4118" t="s">
        <v>335</v>
      </c>
      <c r="F4118" t="s">
        <v>6</v>
      </c>
      <c r="G4118" s="3">
        <v>0</v>
      </c>
      <c r="H4118" s="3">
        <v>0</v>
      </c>
      <c r="I4118" s="3">
        <v>0.01</v>
      </c>
      <c r="J4118" s="3"/>
      <c r="K4118" s="3"/>
      <c r="L4118" s="3">
        <f t="shared" si="177"/>
        <v>0.01</v>
      </c>
      <c r="M4118" s="3"/>
      <c r="N4118" s="3">
        <f t="shared" si="178"/>
        <v>0.01</v>
      </c>
      <c r="O4118" t="s">
        <v>30929</v>
      </c>
      <c r="P4118" s="1" t="s">
        <v>30930</v>
      </c>
      <c r="R4118" s="89"/>
      <c r="S4118" s="89">
        <f>100%-Table34[[#This Row],[PDF_initial fee]]</f>
        <v>1</v>
      </c>
      <c r="T4118" s="89"/>
      <c r="U4118" s="26"/>
      <c r="V4118" s="10">
        <f>X4118+47616</f>
        <v>485769</v>
      </c>
      <c r="W4118" t="s">
        <v>29051</v>
      </c>
      <c r="X4118" s="9">
        <v>438153</v>
      </c>
      <c r="Y4118" s="30">
        <f>X4118/V4118</f>
        <v>0.90197810070218565</v>
      </c>
      <c r="AA4118" s="1" t="s">
        <v>30931</v>
      </c>
      <c r="AC4118" t="s">
        <v>30932</v>
      </c>
      <c r="AD4118" s="3" t="s">
        <v>30933</v>
      </c>
    </row>
    <row r="4119" spans="1:30" hidden="1" x14ac:dyDescent="0.25">
      <c r="A4119">
        <v>749893</v>
      </c>
      <c r="B4119" t="s">
        <v>4509</v>
      </c>
      <c r="C4119" t="s">
        <v>30934</v>
      </c>
      <c r="D4119">
        <v>0</v>
      </c>
      <c r="E4119" t="s">
        <v>4509</v>
      </c>
      <c r="F4119" t="s">
        <v>29136</v>
      </c>
      <c r="G4119" s="3"/>
      <c r="H4119" s="21">
        <v>0</v>
      </c>
      <c r="I4119" s="21">
        <v>0</v>
      </c>
      <c r="J4119" s="21">
        <v>0</v>
      </c>
      <c r="K4119" s="21">
        <v>0</v>
      </c>
      <c r="L4119" s="3">
        <f t="shared" si="177"/>
        <v>0</v>
      </c>
      <c r="M4119" s="3"/>
      <c r="N4119" s="3">
        <f t="shared" si="178"/>
        <v>0</v>
      </c>
      <c r="O4119" s="21"/>
      <c r="R4119" s="89"/>
      <c r="S4119" s="89">
        <f>100%-Table34[[#This Row],[PDF_initial fee]]</f>
        <v>1</v>
      </c>
      <c r="T4119" s="89"/>
      <c r="U4119" s="26"/>
    </row>
    <row r="4120" spans="1:30" hidden="1" x14ac:dyDescent="0.25">
      <c r="A4120">
        <v>749927</v>
      </c>
      <c r="B4120" t="s">
        <v>4510</v>
      </c>
      <c r="C4120" t="s">
        <v>6958</v>
      </c>
      <c r="D4120">
        <v>1</v>
      </c>
      <c r="E4120" t="s">
        <v>4510</v>
      </c>
      <c r="F4120" t="s">
        <v>6958</v>
      </c>
      <c r="G4120" s="3"/>
      <c r="H4120" s="21">
        <v>0</v>
      </c>
      <c r="I4120" s="21">
        <v>0</v>
      </c>
      <c r="J4120" s="21">
        <v>0</v>
      </c>
      <c r="K4120" s="21">
        <v>0</v>
      </c>
      <c r="L4120" s="3">
        <f t="shared" si="177"/>
        <v>0</v>
      </c>
      <c r="M4120" s="3"/>
      <c r="N4120" s="3">
        <f t="shared" si="178"/>
        <v>0</v>
      </c>
      <c r="R4120" s="89"/>
      <c r="S4120" s="89">
        <f>100%-Table34[[#This Row],[PDF_initial fee]]</f>
        <v>1</v>
      </c>
      <c r="T4120" s="89"/>
      <c r="U4120" s="26"/>
    </row>
    <row r="4121" spans="1:30" hidden="1" x14ac:dyDescent="0.25">
      <c r="A4121">
        <v>750001</v>
      </c>
      <c r="B4121" t="s">
        <v>4511</v>
      </c>
      <c r="C4121" t="s">
        <v>6958</v>
      </c>
      <c r="D4121">
        <v>2</v>
      </c>
      <c r="E4121" t="s">
        <v>4511</v>
      </c>
      <c r="F4121" t="s">
        <v>6958</v>
      </c>
      <c r="G4121" s="3"/>
      <c r="H4121" s="21">
        <v>0</v>
      </c>
      <c r="I4121" s="21">
        <v>0</v>
      </c>
      <c r="J4121" s="21">
        <v>0</v>
      </c>
      <c r="K4121" s="21">
        <v>0</v>
      </c>
      <c r="L4121" s="3">
        <f t="shared" si="177"/>
        <v>0</v>
      </c>
      <c r="M4121" s="3"/>
      <c r="N4121" s="3">
        <f t="shared" si="178"/>
        <v>0</v>
      </c>
      <c r="R4121" s="89"/>
      <c r="S4121" s="89">
        <f>100%-Table34[[#This Row],[PDF_initial fee]]</f>
        <v>1</v>
      </c>
      <c r="T4121" s="89"/>
      <c r="U4121" s="26"/>
    </row>
    <row r="4122" spans="1:30" hidden="1" x14ac:dyDescent="0.25">
      <c r="A4122">
        <v>750005</v>
      </c>
      <c r="B4122" t="s">
        <v>4512</v>
      </c>
      <c r="C4122" t="s">
        <v>6958</v>
      </c>
      <c r="D4122">
        <v>1</v>
      </c>
      <c r="E4122" t="s">
        <v>4512</v>
      </c>
      <c r="F4122" t="s">
        <v>6958</v>
      </c>
      <c r="G4122" s="3"/>
      <c r="L4122" s="3">
        <f t="shared" si="177"/>
        <v>0</v>
      </c>
      <c r="M4122" s="3"/>
      <c r="N4122" s="3">
        <f t="shared" si="178"/>
        <v>0</v>
      </c>
      <c r="R4122" s="89"/>
      <c r="S4122" s="89">
        <f>100%-Table34[[#This Row],[PDF_initial fee]]</f>
        <v>1</v>
      </c>
      <c r="T4122" s="89"/>
      <c r="U4122" s="26"/>
    </row>
    <row r="4123" spans="1:30" hidden="1" x14ac:dyDescent="0.25">
      <c r="A4123">
        <v>750069</v>
      </c>
      <c r="B4123" t="s">
        <v>4513</v>
      </c>
      <c r="C4123" t="s">
        <v>30935</v>
      </c>
      <c r="D4123">
        <v>2</v>
      </c>
      <c r="E4123" t="s">
        <v>4513</v>
      </c>
      <c r="G4123" s="3"/>
      <c r="H4123" s="3">
        <v>0</v>
      </c>
      <c r="I4123" s="3">
        <v>0</v>
      </c>
      <c r="J4123" s="3">
        <v>0</v>
      </c>
      <c r="K4123" s="3">
        <v>0</v>
      </c>
      <c r="L4123" s="3">
        <f t="shared" si="177"/>
        <v>0</v>
      </c>
      <c r="M4123" s="3"/>
      <c r="N4123" s="3">
        <f t="shared" si="178"/>
        <v>0</v>
      </c>
      <c r="R4123" s="89"/>
      <c r="S4123" s="89">
        <f>100%-Table34[[#This Row],[PDF_initial fee]]</f>
        <v>1</v>
      </c>
      <c r="T4123" s="89"/>
      <c r="U4123" s="26"/>
    </row>
    <row r="4124" spans="1:30" hidden="1" x14ac:dyDescent="0.25">
      <c r="A4124">
        <v>750260</v>
      </c>
      <c r="B4124" t="s">
        <v>4514</v>
      </c>
      <c r="C4124" t="s">
        <v>10811</v>
      </c>
      <c r="D4124">
        <v>2</v>
      </c>
      <c r="E4124" t="s">
        <v>4514</v>
      </c>
      <c r="G4124" s="3"/>
      <c r="H4124" s="3">
        <v>0</v>
      </c>
      <c r="I4124" s="3">
        <v>0</v>
      </c>
      <c r="J4124" s="3">
        <v>0</v>
      </c>
      <c r="K4124" s="3">
        <v>0</v>
      </c>
      <c r="L4124" s="3">
        <f t="shared" si="177"/>
        <v>0</v>
      </c>
      <c r="M4124" s="3"/>
      <c r="N4124" s="3">
        <f t="shared" si="178"/>
        <v>0</v>
      </c>
      <c r="R4124" s="89"/>
      <c r="S4124" s="89">
        <f>100%-Table34[[#This Row],[PDF_initial fee]]</f>
        <v>1</v>
      </c>
      <c r="T4124" s="89"/>
      <c r="U4124" s="26"/>
    </row>
    <row r="4125" spans="1:30" hidden="1" x14ac:dyDescent="0.25">
      <c r="A4125">
        <v>750294</v>
      </c>
      <c r="B4125" t="s">
        <v>4515</v>
      </c>
      <c r="C4125" t="s">
        <v>9009</v>
      </c>
      <c r="D4125">
        <v>2</v>
      </c>
      <c r="E4125" t="s">
        <v>4515</v>
      </c>
      <c r="G4125" s="3"/>
      <c r="H4125" s="21">
        <v>0</v>
      </c>
      <c r="I4125" s="21">
        <v>0</v>
      </c>
      <c r="J4125" s="21">
        <v>0</v>
      </c>
      <c r="K4125" s="21">
        <v>0</v>
      </c>
      <c r="L4125" s="3">
        <f t="shared" si="177"/>
        <v>0</v>
      </c>
      <c r="M4125" s="3"/>
      <c r="N4125" s="3">
        <f t="shared" si="178"/>
        <v>0</v>
      </c>
      <c r="R4125" s="89"/>
      <c r="S4125" s="89">
        <f>100%-Table34[[#This Row],[PDF_initial fee]]</f>
        <v>1</v>
      </c>
      <c r="T4125" s="89"/>
      <c r="U4125" s="26"/>
    </row>
    <row r="4126" spans="1:30" hidden="1" x14ac:dyDescent="0.25">
      <c r="A4126">
        <v>750602</v>
      </c>
      <c r="B4126" t="s">
        <v>4516</v>
      </c>
      <c r="C4126" t="s">
        <v>30936</v>
      </c>
      <c r="D4126">
        <v>1</v>
      </c>
      <c r="E4126" t="s">
        <v>4516</v>
      </c>
      <c r="G4126" s="3"/>
      <c r="H4126" s="3"/>
      <c r="I4126" s="3"/>
      <c r="J4126" s="3"/>
      <c r="K4126" s="3"/>
      <c r="L4126" s="3">
        <f t="shared" si="177"/>
        <v>0</v>
      </c>
      <c r="M4126" s="3"/>
      <c r="N4126" s="3">
        <f t="shared" si="178"/>
        <v>0</v>
      </c>
      <c r="R4126" s="89"/>
      <c r="S4126" s="89">
        <f>100%-Table34[[#This Row],[PDF_initial fee]]</f>
        <v>1</v>
      </c>
      <c r="T4126" s="89"/>
      <c r="U4126" s="26"/>
    </row>
    <row r="4127" spans="1:30" hidden="1" x14ac:dyDescent="0.25">
      <c r="A4127">
        <v>750786</v>
      </c>
      <c r="B4127" t="s">
        <v>4517</v>
      </c>
      <c r="C4127" t="s">
        <v>30937</v>
      </c>
      <c r="D4127">
        <v>6</v>
      </c>
      <c r="E4127" t="s">
        <v>4517</v>
      </c>
      <c r="G4127" s="3"/>
      <c r="H4127" s="3">
        <v>0</v>
      </c>
      <c r="I4127" s="3">
        <v>0</v>
      </c>
      <c r="J4127" s="3">
        <v>0</v>
      </c>
      <c r="K4127" s="3">
        <v>0</v>
      </c>
      <c r="L4127" s="3">
        <f t="shared" si="177"/>
        <v>0</v>
      </c>
      <c r="M4127" s="3"/>
      <c r="N4127" s="3">
        <f t="shared" si="178"/>
        <v>0</v>
      </c>
      <c r="R4127" s="89"/>
      <c r="S4127" s="89">
        <f>100%-Table34[[#This Row],[PDF_initial fee]]</f>
        <v>1</v>
      </c>
      <c r="T4127" s="89"/>
      <c r="U4127" s="26"/>
    </row>
    <row r="4128" spans="1:30" hidden="1" x14ac:dyDescent="0.25">
      <c r="A4128">
        <v>750804</v>
      </c>
      <c r="B4128" t="s">
        <v>4518</v>
      </c>
      <c r="C4128" t="s">
        <v>7247</v>
      </c>
      <c r="D4128">
        <v>1</v>
      </c>
      <c r="E4128" t="s">
        <v>4518</v>
      </c>
      <c r="G4128" s="3"/>
      <c r="H4128" s="39"/>
      <c r="I4128" s="39"/>
      <c r="J4128" s="39"/>
      <c r="K4128" s="39"/>
      <c r="L4128" s="3">
        <f t="shared" si="177"/>
        <v>0</v>
      </c>
      <c r="M4128" s="3"/>
      <c r="N4128" s="3">
        <f t="shared" si="178"/>
        <v>0</v>
      </c>
      <c r="R4128" s="89"/>
      <c r="S4128" s="89">
        <f>100%-Table34[[#This Row],[PDF_initial fee]]</f>
        <v>1</v>
      </c>
      <c r="T4128" s="89"/>
      <c r="U4128" s="26"/>
    </row>
    <row r="4129" spans="1:21" hidden="1" x14ac:dyDescent="0.25">
      <c r="A4129">
        <v>750928</v>
      </c>
      <c r="B4129" t="s">
        <v>4519</v>
      </c>
      <c r="C4129" t="s">
        <v>6958</v>
      </c>
      <c r="D4129">
        <v>1</v>
      </c>
      <c r="E4129" t="s">
        <v>4519</v>
      </c>
      <c r="F4129" t="s">
        <v>6958</v>
      </c>
      <c r="G4129" s="3"/>
      <c r="H4129" s="21">
        <v>0</v>
      </c>
      <c r="I4129" s="21">
        <v>0</v>
      </c>
      <c r="J4129" s="21">
        <v>0</v>
      </c>
      <c r="K4129" s="21">
        <v>0</v>
      </c>
      <c r="L4129" s="3">
        <f t="shared" si="177"/>
        <v>0</v>
      </c>
      <c r="M4129" s="3"/>
      <c r="N4129" s="3">
        <f t="shared" si="178"/>
        <v>0</v>
      </c>
      <c r="R4129" s="89"/>
      <c r="S4129" s="89">
        <f>100%-Table34[[#This Row],[PDF_initial fee]]</f>
        <v>1</v>
      </c>
      <c r="T4129" s="89"/>
      <c r="U4129" s="26"/>
    </row>
    <row r="4130" spans="1:21" hidden="1" x14ac:dyDescent="0.25">
      <c r="A4130">
        <v>750933</v>
      </c>
      <c r="B4130" t="s">
        <v>4520</v>
      </c>
      <c r="C4130" t="s">
        <v>11588</v>
      </c>
      <c r="D4130">
        <v>8</v>
      </c>
      <c r="E4130" t="s">
        <v>4520</v>
      </c>
      <c r="G4130" s="3"/>
      <c r="H4130" s="3">
        <v>0</v>
      </c>
      <c r="I4130" s="3">
        <v>0</v>
      </c>
      <c r="J4130" s="3">
        <v>0</v>
      </c>
      <c r="K4130" s="3">
        <v>0</v>
      </c>
      <c r="L4130" s="3">
        <f t="shared" si="177"/>
        <v>0</v>
      </c>
      <c r="M4130" s="3"/>
      <c r="N4130" s="3">
        <f t="shared" si="178"/>
        <v>0</v>
      </c>
      <c r="R4130" s="89"/>
      <c r="S4130" s="89">
        <f>100%-Table34[[#This Row],[PDF_initial fee]]</f>
        <v>1</v>
      </c>
      <c r="T4130" s="89"/>
      <c r="U4130" s="26"/>
    </row>
    <row r="4131" spans="1:21" hidden="1" x14ac:dyDescent="0.25">
      <c r="A4131">
        <v>751017</v>
      </c>
      <c r="B4131" t="s">
        <v>4521</v>
      </c>
      <c r="C4131" t="s">
        <v>12547</v>
      </c>
      <c r="D4131">
        <v>0</v>
      </c>
      <c r="E4131" t="s">
        <v>4521</v>
      </c>
      <c r="F4131" t="s">
        <v>29136</v>
      </c>
      <c r="G4131" s="3"/>
      <c r="H4131" s="3">
        <v>0</v>
      </c>
      <c r="I4131" s="3">
        <v>0</v>
      </c>
      <c r="J4131" s="3">
        <v>0</v>
      </c>
      <c r="K4131" s="3">
        <v>0</v>
      </c>
      <c r="L4131" s="3">
        <f t="shared" si="177"/>
        <v>0</v>
      </c>
      <c r="M4131" s="3"/>
      <c r="N4131" s="3">
        <f t="shared" si="178"/>
        <v>0</v>
      </c>
      <c r="R4131" s="89"/>
      <c r="S4131" s="89">
        <f>100%-Table34[[#This Row],[PDF_initial fee]]</f>
        <v>1</v>
      </c>
      <c r="T4131" s="89"/>
      <c r="U4131" s="26"/>
    </row>
    <row r="4132" spans="1:21" hidden="1" x14ac:dyDescent="0.25">
      <c r="A4132">
        <v>751087</v>
      </c>
      <c r="B4132" t="s">
        <v>4522</v>
      </c>
      <c r="C4132" t="s">
        <v>30938</v>
      </c>
      <c r="D4132">
        <v>0</v>
      </c>
      <c r="E4132" t="s">
        <v>4522</v>
      </c>
      <c r="F4132" t="s">
        <v>30939</v>
      </c>
      <c r="G4132" s="3"/>
      <c r="H4132" s="3">
        <v>0</v>
      </c>
      <c r="I4132" s="3">
        <v>0</v>
      </c>
      <c r="J4132" s="3">
        <v>0</v>
      </c>
      <c r="K4132" s="3">
        <v>0</v>
      </c>
      <c r="L4132" s="3">
        <f t="shared" si="177"/>
        <v>0</v>
      </c>
      <c r="M4132" s="3"/>
      <c r="N4132" s="3">
        <f t="shared" si="178"/>
        <v>0</v>
      </c>
      <c r="R4132" s="89"/>
      <c r="S4132" s="89">
        <f>100%-Table34[[#This Row],[PDF_initial fee]]</f>
        <v>1</v>
      </c>
      <c r="T4132" s="89"/>
      <c r="U4132" s="26"/>
    </row>
    <row r="4133" spans="1:21" hidden="1" x14ac:dyDescent="0.25">
      <c r="A4133">
        <v>751222</v>
      </c>
      <c r="B4133" t="s">
        <v>4524</v>
      </c>
      <c r="C4133" t="s">
        <v>30940</v>
      </c>
      <c r="D4133">
        <v>2</v>
      </c>
      <c r="E4133" t="s">
        <v>4524</v>
      </c>
      <c r="G4133" s="3"/>
      <c r="H4133" s="3">
        <v>0</v>
      </c>
      <c r="I4133" s="3">
        <v>0</v>
      </c>
      <c r="J4133" s="3">
        <v>0</v>
      </c>
      <c r="K4133" s="3">
        <v>0</v>
      </c>
      <c r="L4133" s="3">
        <f t="shared" si="177"/>
        <v>0</v>
      </c>
      <c r="M4133" s="3"/>
      <c r="N4133" s="3">
        <f t="shared" si="178"/>
        <v>0</v>
      </c>
      <c r="R4133" s="89"/>
      <c r="S4133" s="89">
        <f>100%-Table34[[#This Row],[PDF_initial fee]]</f>
        <v>1</v>
      </c>
      <c r="T4133" s="89"/>
      <c r="U4133" s="26"/>
    </row>
    <row r="4134" spans="1:21" hidden="1" x14ac:dyDescent="0.25">
      <c r="A4134">
        <v>751572</v>
      </c>
      <c r="B4134" t="s">
        <v>4525</v>
      </c>
      <c r="C4134" t="s">
        <v>7698</v>
      </c>
      <c r="D4134">
        <v>1</v>
      </c>
      <c r="E4134" t="s">
        <v>4525</v>
      </c>
      <c r="G4134" s="3"/>
      <c r="H4134" s="21">
        <v>0</v>
      </c>
      <c r="I4134" s="21">
        <v>0</v>
      </c>
      <c r="J4134" s="21">
        <v>0</v>
      </c>
      <c r="K4134" s="21">
        <v>0</v>
      </c>
      <c r="L4134" s="3">
        <f t="shared" si="177"/>
        <v>0</v>
      </c>
      <c r="M4134" s="3"/>
      <c r="N4134" s="3">
        <f t="shared" si="178"/>
        <v>0</v>
      </c>
      <c r="R4134" s="89"/>
      <c r="S4134" s="89">
        <f>100%-Table34[[#This Row],[PDF_initial fee]]</f>
        <v>1</v>
      </c>
      <c r="T4134" s="89"/>
      <c r="U4134" s="26"/>
    </row>
    <row r="4135" spans="1:21" hidden="1" x14ac:dyDescent="0.25">
      <c r="A4135">
        <v>751579</v>
      </c>
      <c r="B4135" t="s">
        <v>4526</v>
      </c>
      <c r="C4135" t="s">
        <v>9669</v>
      </c>
      <c r="D4135">
        <v>3</v>
      </c>
      <c r="E4135" t="s">
        <v>4526</v>
      </c>
      <c r="G4135" s="3"/>
      <c r="H4135" s="3">
        <v>0</v>
      </c>
      <c r="I4135" s="3">
        <v>0</v>
      </c>
      <c r="J4135" s="3">
        <v>0</v>
      </c>
      <c r="K4135" s="3">
        <v>0</v>
      </c>
      <c r="L4135" s="3">
        <f t="shared" si="177"/>
        <v>0</v>
      </c>
      <c r="M4135" s="3"/>
      <c r="N4135" s="3">
        <f t="shared" si="178"/>
        <v>0</v>
      </c>
      <c r="R4135" s="89"/>
      <c r="S4135" s="89">
        <f>100%-Table34[[#This Row],[PDF_initial fee]]</f>
        <v>1</v>
      </c>
      <c r="T4135" s="89"/>
      <c r="U4135" s="26"/>
    </row>
    <row r="4136" spans="1:21" hidden="1" x14ac:dyDescent="0.25">
      <c r="A4136">
        <v>752005</v>
      </c>
      <c r="B4136" t="s">
        <v>4527</v>
      </c>
      <c r="C4136" t="s">
        <v>30941</v>
      </c>
      <c r="D4136">
        <v>9</v>
      </c>
      <c r="E4136" t="s">
        <v>4527</v>
      </c>
      <c r="G4136" s="3"/>
      <c r="H4136" s="3">
        <v>0</v>
      </c>
      <c r="I4136" s="3">
        <v>0</v>
      </c>
      <c r="J4136" s="3">
        <v>0</v>
      </c>
      <c r="K4136" s="3">
        <v>0</v>
      </c>
      <c r="L4136" s="3">
        <f t="shared" si="177"/>
        <v>0</v>
      </c>
      <c r="M4136" s="3"/>
      <c r="N4136" s="3">
        <f t="shared" si="178"/>
        <v>0</v>
      </c>
      <c r="R4136" s="89"/>
      <c r="S4136" s="89">
        <f>100%-Table34[[#This Row],[PDF_initial fee]]</f>
        <v>1</v>
      </c>
      <c r="T4136" s="89"/>
      <c r="U4136" s="26"/>
    </row>
    <row r="4137" spans="1:21" hidden="1" x14ac:dyDescent="0.25">
      <c r="A4137">
        <v>752191</v>
      </c>
      <c r="B4137" t="s">
        <v>4528</v>
      </c>
      <c r="C4137" t="s">
        <v>12680</v>
      </c>
      <c r="D4137">
        <v>1</v>
      </c>
      <c r="E4137" t="s">
        <v>4528</v>
      </c>
      <c r="G4137" s="3"/>
      <c r="H4137" s="3">
        <v>0</v>
      </c>
      <c r="I4137" s="3">
        <v>0</v>
      </c>
      <c r="J4137" s="3">
        <v>0</v>
      </c>
      <c r="K4137" s="3">
        <v>0</v>
      </c>
      <c r="L4137" s="3">
        <f t="shared" si="177"/>
        <v>0</v>
      </c>
      <c r="M4137" s="3"/>
      <c r="N4137" s="3">
        <f t="shared" si="178"/>
        <v>0</v>
      </c>
      <c r="R4137" s="89"/>
      <c r="S4137" s="89">
        <f>100%-Table34[[#This Row],[PDF_initial fee]]</f>
        <v>1</v>
      </c>
      <c r="T4137" s="89"/>
      <c r="U4137" s="26"/>
    </row>
    <row r="4138" spans="1:21" hidden="1" x14ac:dyDescent="0.25">
      <c r="A4138">
        <v>752596</v>
      </c>
      <c r="B4138" t="s">
        <v>4529</v>
      </c>
      <c r="C4138" t="s">
        <v>8100</v>
      </c>
      <c r="D4138">
        <v>1</v>
      </c>
      <c r="E4138" t="s">
        <v>4529</v>
      </c>
      <c r="G4138" s="3"/>
      <c r="H4138" s="21">
        <v>0</v>
      </c>
      <c r="I4138" s="21">
        <v>0</v>
      </c>
      <c r="J4138" s="21">
        <v>0</v>
      </c>
      <c r="K4138" s="21">
        <v>0</v>
      </c>
      <c r="L4138" s="3">
        <f t="shared" si="177"/>
        <v>0</v>
      </c>
      <c r="M4138" s="3"/>
      <c r="N4138" s="3">
        <f t="shared" si="178"/>
        <v>0</v>
      </c>
      <c r="R4138" s="89"/>
      <c r="S4138" s="89">
        <f>100%-Table34[[#This Row],[PDF_initial fee]]</f>
        <v>1</v>
      </c>
      <c r="T4138" s="89"/>
      <c r="U4138" s="26"/>
    </row>
    <row r="4139" spans="1:21" hidden="1" x14ac:dyDescent="0.25">
      <c r="A4139">
        <v>752684</v>
      </c>
      <c r="B4139" t="s">
        <v>4530</v>
      </c>
      <c r="C4139" t="s">
        <v>12240</v>
      </c>
      <c r="D4139">
        <v>5</v>
      </c>
      <c r="E4139" t="s">
        <v>4530</v>
      </c>
      <c r="G4139" s="3"/>
      <c r="H4139" s="3">
        <v>0</v>
      </c>
      <c r="I4139" s="3">
        <v>0</v>
      </c>
      <c r="J4139" s="3">
        <v>0</v>
      </c>
      <c r="K4139" s="3">
        <v>0</v>
      </c>
      <c r="L4139" s="3">
        <f t="shared" si="177"/>
        <v>0</v>
      </c>
      <c r="M4139" s="3"/>
      <c r="N4139" s="3">
        <f t="shared" si="178"/>
        <v>0</v>
      </c>
      <c r="R4139" s="89"/>
      <c r="S4139" s="89">
        <f>100%-Table34[[#This Row],[PDF_initial fee]]</f>
        <v>1</v>
      </c>
      <c r="T4139" s="89"/>
      <c r="U4139" s="26"/>
    </row>
    <row r="4140" spans="1:21" hidden="1" x14ac:dyDescent="0.25">
      <c r="A4140">
        <v>753074</v>
      </c>
      <c r="B4140" t="s">
        <v>4531</v>
      </c>
      <c r="C4140" t="s">
        <v>6958</v>
      </c>
      <c r="D4140">
        <v>1</v>
      </c>
      <c r="E4140" t="s">
        <v>4531</v>
      </c>
      <c r="F4140" t="s">
        <v>6958</v>
      </c>
      <c r="G4140" s="3"/>
      <c r="H4140" s="21">
        <v>0</v>
      </c>
      <c r="I4140" s="21">
        <v>0</v>
      </c>
      <c r="J4140" s="21">
        <v>0</v>
      </c>
      <c r="K4140" s="21">
        <v>0</v>
      </c>
      <c r="L4140" s="3">
        <f t="shared" si="177"/>
        <v>0</v>
      </c>
      <c r="M4140" s="3"/>
      <c r="N4140" s="3">
        <f t="shared" si="178"/>
        <v>0</v>
      </c>
      <c r="R4140" s="89"/>
      <c r="S4140" s="89">
        <f>100%-Table34[[#This Row],[PDF_initial fee]]</f>
        <v>1</v>
      </c>
      <c r="T4140" s="89"/>
      <c r="U4140" s="26"/>
    </row>
    <row r="4141" spans="1:21" hidden="1" x14ac:dyDescent="0.25">
      <c r="A4141">
        <v>753489</v>
      </c>
      <c r="B4141" t="s">
        <v>4532</v>
      </c>
      <c r="C4141" t="s">
        <v>8800</v>
      </c>
      <c r="D4141">
        <v>4</v>
      </c>
      <c r="E4141" t="s">
        <v>4532</v>
      </c>
      <c r="G4141" s="3"/>
      <c r="L4141" s="3">
        <f t="shared" si="177"/>
        <v>0</v>
      </c>
      <c r="M4141" s="3"/>
      <c r="N4141" s="3">
        <f t="shared" si="178"/>
        <v>0</v>
      </c>
      <c r="R4141" s="89"/>
      <c r="S4141" s="89">
        <f>100%-Table34[[#This Row],[PDF_initial fee]]</f>
        <v>1</v>
      </c>
      <c r="T4141" s="89"/>
      <c r="U4141" s="26"/>
    </row>
    <row r="4142" spans="1:21" hidden="1" x14ac:dyDescent="0.25">
      <c r="A4142">
        <v>753701</v>
      </c>
      <c r="B4142" t="s">
        <v>4533</v>
      </c>
      <c r="C4142" t="s">
        <v>9927</v>
      </c>
      <c r="D4142">
        <v>1</v>
      </c>
      <c r="E4142" t="s">
        <v>4533</v>
      </c>
      <c r="G4142" s="3"/>
      <c r="H4142" s="3"/>
      <c r="I4142" s="3"/>
      <c r="J4142" s="3"/>
      <c r="K4142" s="3"/>
      <c r="L4142" s="3">
        <f t="shared" si="177"/>
        <v>0</v>
      </c>
      <c r="M4142" s="3"/>
      <c r="N4142" s="3">
        <f t="shared" si="178"/>
        <v>0</v>
      </c>
      <c r="R4142" s="89"/>
      <c r="S4142" s="89">
        <f>100%-Table34[[#This Row],[PDF_initial fee]]</f>
        <v>1</v>
      </c>
      <c r="T4142" s="89"/>
      <c r="U4142" s="26"/>
    </row>
    <row r="4143" spans="1:21" hidden="1" x14ac:dyDescent="0.25">
      <c r="A4143">
        <v>753915</v>
      </c>
      <c r="B4143" t="s">
        <v>4534</v>
      </c>
      <c r="C4143" s="1" t="s">
        <v>30942</v>
      </c>
      <c r="D4143">
        <v>1</v>
      </c>
      <c r="E4143" t="s">
        <v>4534</v>
      </c>
      <c r="G4143" s="3"/>
      <c r="H4143" s="3">
        <v>0</v>
      </c>
      <c r="I4143" s="3">
        <v>0</v>
      </c>
      <c r="J4143" s="3">
        <v>0</v>
      </c>
      <c r="K4143" s="3">
        <v>0</v>
      </c>
      <c r="L4143" s="3">
        <f t="shared" si="177"/>
        <v>0</v>
      </c>
      <c r="M4143" s="3"/>
      <c r="N4143" s="3">
        <f t="shared" si="178"/>
        <v>0</v>
      </c>
      <c r="R4143" s="89"/>
      <c r="S4143" s="89">
        <f>100%-Table34[[#This Row],[PDF_initial fee]]</f>
        <v>1</v>
      </c>
      <c r="T4143" s="89"/>
      <c r="U4143" s="26"/>
    </row>
    <row r="4144" spans="1:21" hidden="1" x14ac:dyDescent="0.25">
      <c r="A4144">
        <v>753975</v>
      </c>
      <c r="B4144" t="s">
        <v>4535</v>
      </c>
      <c r="C4144" t="s">
        <v>12107</v>
      </c>
      <c r="D4144">
        <v>2</v>
      </c>
      <c r="E4144" t="s">
        <v>4535</v>
      </c>
      <c r="G4144" s="3"/>
      <c r="H4144" s="3"/>
      <c r="I4144" s="3"/>
      <c r="J4144" s="3"/>
      <c r="K4144" s="3"/>
      <c r="L4144" s="3">
        <f t="shared" si="177"/>
        <v>0</v>
      </c>
      <c r="M4144" s="3"/>
      <c r="N4144" s="3">
        <f t="shared" si="178"/>
        <v>0</v>
      </c>
      <c r="R4144" s="89"/>
      <c r="S4144" s="89">
        <f>100%-Table34[[#This Row],[PDF_initial fee]]</f>
        <v>1</v>
      </c>
      <c r="T4144" s="89"/>
      <c r="U4144" s="26"/>
    </row>
    <row r="4145" spans="1:27" hidden="1" x14ac:dyDescent="0.25">
      <c r="A4145">
        <v>754112</v>
      </c>
      <c r="B4145" t="s">
        <v>4536</v>
      </c>
      <c r="C4145" t="s">
        <v>6958</v>
      </c>
      <c r="D4145">
        <v>1</v>
      </c>
      <c r="E4145" t="s">
        <v>4536</v>
      </c>
      <c r="F4145" t="s">
        <v>6958</v>
      </c>
      <c r="G4145" s="3"/>
      <c r="H4145" s="21">
        <v>0</v>
      </c>
      <c r="I4145" s="21">
        <v>0</v>
      </c>
      <c r="J4145" s="21">
        <v>0</v>
      </c>
      <c r="K4145" s="21">
        <v>0</v>
      </c>
      <c r="L4145" s="3">
        <f t="shared" ref="L4145:L4150" si="179">SUM(H4145:K4145)</f>
        <v>0</v>
      </c>
      <c r="M4145" s="3"/>
      <c r="N4145" s="3">
        <f t="shared" ref="N4145:N4150" si="180">L4145+G4145</f>
        <v>0</v>
      </c>
      <c r="R4145" s="89"/>
      <c r="S4145" s="89">
        <f>100%-Table34[[#This Row],[PDF_initial fee]]</f>
        <v>1</v>
      </c>
      <c r="T4145" s="89"/>
      <c r="U4145" s="26"/>
    </row>
    <row r="4146" spans="1:27" hidden="1" x14ac:dyDescent="0.25">
      <c r="A4146">
        <v>754511</v>
      </c>
      <c r="B4146" t="s">
        <v>4537</v>
      </c>
      <c r="C4146" t="s">
        <v>10769</v>
      </c>
      <c r="D4146">
        <v>3</v>
      </c>
      <c r="E4146" t="s">
        <v>4537</v>
      </c>
      <c r="G4146" s="3"/>
      <c r="H4146" s="3">
        <v>0</v>
      </c>
      <c r="I4146" s="3">
        <v>0</v>
      </c>
      <c r="J4146" s="3">
        <v>0</v>
      </c>
      <c r="K4146" s="3">
        <v>0</v>
      </c>
      <c r="L4146" s="3">
        <f t="shared" si="179"/>
        <v>0</v>
      </c>
      <c r="M4146" s="3"/>
      <c r="N4146" s="3">
        <f t="shared" si="180"/>
        <v>0</v>
      </c>
      <c r="R4146" s="89"/>
      <c r="S4146" s="89">
        <f>100%-Table34[[#This Row],[PDF_initial fee]]</f>
        <v>1</v>
      </c>
      <c r="T4146" s="89"/>
      <c r="U4146" s="26"/>
    </row>
    <row r="4147" spans="1:27" hidden="1" x14ac:dyDescent="0.25">
      <c r="A4147">
        <v>754546</v>
      </c>
      <c r="B4147" t="s">
        <v>4538</v>
      </c>
      <c r="C4147" t="s">
        <v>6958</v>
      </c>
      <c r="D4147">
        <v>3</v>
      </c>
      <c r="E4147" t="s">
        <v>4538</v>
      </c>
      <c r="F4147" t="s">
        <v>6958</v>
      </c>
      <c r="G4147" s="3"/>
      <c r="H4147" s="21">
        <v>0</v>
      </c>
      <c r="I4147" s="21">
        <v>0</v>
      </c>
      <c r="J4147" s="21">
        <v>0</v>
      </c>
      <c r="K4147" s="21">
        <v>0</v>
      </c>
      <c r="L4147" s="3">
        <f t="shared" si="179"/>
        <v>0</v>
      </c>
      <c r="M4147" s="3"/>
      <c r="N4147" s="3">
        <f t="shared" si="180"/>
        <v>0</v>
      </c>
      <c r="R4147" s="89"/>
      <c r="S4147" s="89">
        <f>100%-Table34[[#This Row],[PDF_initial fee]]</f>
        <v>1</v>
      </c>
      <c r="T4147" s="89"/>
      <c r="U4147" s="26"/>
    </row>
    <row r="4148" spans="1:27" hidden="1" x14ac:dyDescent="0.25">
      <c r="A4148">
        <v>754580</v>
      </c>
      <c r="B4148" t="s">
        <v>4540</v>
      </c>
      <c r="C4148" t="s">
        <v>6958</v>
      </c>
      <c r="D4148">
        <v>15</v>
      </c>
      <c r="E4148" t="s">
        <v>4540</v>
      </c>
      <c r="F4148" t="s">
        <v>6958</v>
      </c>
      <c r="G4148" s="3"/>
      <c r="H4148" s="21">
        <v>0</v>
      </c>
      <c r="I4148" s="21">
        <v>0</v>
      </c>
      <c r="J4148" s="21">
        <v>0</v>
      </c>
      <c r="K4148" s="21">
        <v>0</v>
      </c>
      <c r="L4148" s="3">
        <f t="shared" si="179"/>
        <v>0</v>
      </c>
      <c r="M4148" s="3"/>
      <c r="N4148" s="3">
        <f t="shared" si="180"/>
        <v>0</v>
      </c>
      <c r="R4148" s="89"/>
      <c r="S4148" s="89">
        <f>100%-Table34[[#This Row],[PDF_initial fee]]</f>
        <v>1</v>
      </c>
      <c r="T4148" s="89"/>
      <c r="U4148" s="26"/>
    </row>
    <row r="4149" spans="1:27" hidden="1" x14ac:dyDescent="0.25">
      <c r="A4149">
        <v>754665</v>
      </c>
      <c r="B4149" t="s">
        <v>4541</v>
      </c>
      <c r="C4149" t="s">
        <v>11016</v>
      </c>
      <c r="D4149">
        <v>6</v>
      </c>
      <c r="E4149" t="s">
        <v>4541</v>
      </c>
      <c r="G4149" s="3"/>
      <c r="H4149" s="3"/>
      <c r="I4149" s="3"/>
      <c r="J4149" s="3"/>
      <c r="K4149" s="3"/>
      <c r="L4149" s="3">
        <f t="shared" si="179"/>
        <v>0</v>
      </c>
      <c r="M4149" s="3"/>
      <c r="N4149" s="3">
        <f t="shared" si="180"/>
        <v>0</v>
      </c>
      <c r="R4149" s="89"/>
      <c r="S4149" s="89">
        <f>100%-Table34[[#This Row],[PDF_initial fee]]</f>
        <v>1</v>
      </c>
      <c r="T4149" s="89"/>
      <c r="U4149" s="26"/>
    </row>
    <row r="4150" spans="1:27" hidden="1" x14ac:dyDescent="0.25">
      <c r="A4150">
        <v>754841</v>
      </c>
      <c r="B4150" t="s">
        <v>4542</v>
      </c>
      <c r="C4150" t="s">
        <v>9470</v>
      </c>
      <c r="D4150">
        <v>1</v>
      </c>
      <c r="E4150" t="s">
        <v>4542</v>
      </c>
      <c r="G4150" s="3"/>
      <c r="H4150" s="3">
        <v>0</v>
      </c>
      <c r="I4150" s="3">
        <v>0</v>
      </c>
      <c r="J4150" s="3">
        <v>0</v>
      </c>
      <c r="K4150" s="3">
        <v>0</v>
      </c>
      <c r="L4150" s="3">
        <f t="shared" si="179"/>
        <v>0</v>
      </c>
      <c r="M4150" s="3"/>
      <c r="N4150" s="3">
        <f t="shared" si="180"/>
        <v>0</v>
      </c>
      <c r="R4150" s="89"/>
      <c r="S4150" s="89">
        <f>100%-Table34[[#This Row],[PDF_initial fee]]</f>
        <v>1</v>
      </c>
      <c r="T4150" s="89"/>
      <c r="U4150" s="26"/>
    </row>
    <row r="4151" spans="1:27" s="46" customFormat="1" hidden="1" x14ac:dyDescent="0.25">
      <c r="A4151" s="46">
        <v>456653</v>
      </c>
      <c r="B4151" s="46" t="s">
        <v>174</v>
      </c>
      <c r="C4151" s="46" t="s">
        <v>11772</v>
      </c>
      <c r="D4151" s="46">
        <v>2</v>
      </c>
      <c r="E4151" s="46" t="s">
        <v>174</v>
      </c>
      <c r="F4151" s="46" t="s">
        <v>3</v>
      </c>
      <c r="G4151" s="48"/>
      <c r="H4151" s="48"/>
      <c r="I4151" s="48"/>
      <c r="J4151" s="49"/>
      <c r="K4151" s="49"/>
      <c r="L4151" s="48"/>
      <c r="M4151" s="48"/>
      <c r="N4151" s="48"/>
      <c r="P4151" s="74" t="s">
        <v>30943</v>
      </c>
      <c r="R4151" s="89"/>
      <c r="S4151" s="89">
        <f>100%-Table34[[#This Row],[PDF_initial fee]]</f>
        <v>1</v>
      </c>
      <c r="T4151" s="89"/>
      <c r="U4151" s="26"/>
      <c r="V4151" s="46">
        <f>129978+18921</f>
        <v>148899</v>
      </c>
      <c r="W4151" s="46" t="s">
        <v>29051</v>
      </c>
      <c r="X4151" s="75">
        <v>-51034</v>
      </c>
      <c r="Y4151" s="50">
        <f>X4151/V4151</f>
        <v>-0.34274239585222199</v>
      </c>
      <c r="AA4151" s="47" t="s">
        <v>30944</v>
      </c>
    </row>
    <row r="4152" spans="1:27" hidden="1" x14ac:dyDescent="0.25">
      <c r="A4152">
        <v>755303</v>
      </c>
      <c r="B4152" t="s">
        <v>4544</v>
      </c>
      <c r="C4152" t="s">
        <v>8169</v>
      </c>
      <c r="D4152">
        <v>1</v>
      </c>
      <c r="E4152" t="s">
        <v>4544</v>
      </c>
      <c r="G4152" s="3"/>
      <c r="H4152" s="21">
        <v>0</v>
      </c>
      <c r="I4152" s="21">
        <v>0</v>
      </c>
      <c r="J4152" s="21">
        <v>0</v>
      </c>
      <c r="K4152" s="21">
        <v>0</v>
      </c>
      <c r="L4152" s="3">
        <f t="shared" ref="L4152:L4199" si="181">SUM(H4152:K4152)</f>
        <v>0</v>
      </c>
      <c r="M4152" s="3"/>
      <c r="N4152" s="3">
        <f t="shared" ref="N4152:N4199" si="182">L4152+G4152</f>
        <v>0</v>
      </c>
      <c r="R4152" s="89"/>
      <c r="S4152" s="89">
        <f>100%-Table34[[#This Row],[PDF_initial fee]]</f>
        <v>1</v>
      </c>
      <c r="T4152" s="89"/>
      <c r="U4152" s="26"/>
    </row>
    <row r="4153" spans="1:27" hidden="1" x14ac:dyDescent="0.25">
      <c r="A4153">
        <v>755327</v>
      </c>
      <c r="B4153" t="s">
        <v>4545</v>
      </c>
      <c r="C4153" t="s">
        <v>6958</v>
      </c>
      <c r="D4153">
        <v>1</v>
      </c>
      <c r="E4153" t="s">
        <v>4545</v>
      </c>
      <c r="F4153" t="s">
        <v>6958</v>
      </c>
      <c r="G4153" s="3"/>
      <c r="H4153" s="21">
        <v>0</v>
      </c>
      <c r="I4153" s="21">
        <v>0</v>
      </c>
      <c r="J4153" s="21">
        <v>0</v>
      </c>
      <c r="K4153" s="21">
        <v>0</v>
      </c>
      <c r="L4153" s="3">
        <f t="shared" si="181"/>
        <v>0</v>
      </c>
      <c r="M4153" s="3"/>
      <c r="N4153" s="3">
        <f t="shared" si="182"/>
        <v>0</v>
      </c>
      <c r="R4153" s="89"/>
      <c r="S4153" s="89">
        <f>100%-Table34[[#This Row],[PDF_initial fee]]</f>
        <v>1</v>
      </c>
      <c r="T4153" s="89"/>
      <c r="U4153" s="26"/>
    </row>
    <row r="4154" spans="1:27" hidden="1" x14ac:dyDescent="0.25">
      <c r="A4154">
        <v>755733</v>
      </c>
      <c r="B4154" t="s">
        <v>4546</v>
      </c>
      <c r="C4154" t="s">
        <v>7081</v>
      </c>
      <c r="D4154">
        <v>1</v>
      </c>
      <c r="E4154" t="s">
        <v>4546</v>
      </c>
      <c r="G4154" s="3"/>
      <c r="L4154" s="3">
        <f t="shared" si="181"/>
        <v>0</v>
      </c>
      <c r="M4154" s="3"/>
      <c r="N4154" s="3">
        <f t="shared" si="182"/>
        <v>0</v>
      </c>
      <c r="R4154" s="89"/>
      <c r="S4154" s="89">
        <f>100%-Table34[[#This Row],[PDF_initial fee]]</f>
        <v>1</v>
      </c>
      <c r="T4154" s="89"/>
      <c r="U4154" s="26"/>
    </row>
    <row r="4155" spans="1:27" hidden="1" x14ac:dyDescent="0.25">
      <c r="A4155">
        <v>756100</v>
      </c>
      <c r="B4155" t="s">
        <v>4547</v>
      </c>
      <c r="C4155" t="s">
        <v>12670</v>
      </c>
      <c r="D4155">
        <v>3</v>
      </c>
      <c r="E4155" t="s">
        <v>4547</v>
      </c>
      <c r="G4155" s="3"/>
      <c r="H4155" s="3"/>
      <c r="I4155" s="3"/>
      <c r="J4155" s="3"/>
      <c r="K4155" s="3"/>
      <c r="L4155" s="3">
        <f t="shared" si="181"/>
        <v>0</v>
      </c>
      <c r="M4155" s="3"/>
      <c r="N4155" s="3">
        <f t="shared" si="182"/>
        <v>0</v>
      </c>
      <c r="R4155" s="89"/>
      <c r="S4155" s="89">
        <f>100%-Table34[[#This Row],[PDF_initial fee]]</f>
        <v>1</v>
      </c>
      <c r="T4155" s="89"/>
      <c r="U4155" s="26"/>
    </row>
    <row r="4156" spans="1:27" hidden="1" x14ac:dyDescent="0.25">
      <c r="A4156">
        <v>756172</v>
      </c>
      <c r="B4156" t="s">
        <v>4548</v>
      </c>
      <c r="C4156" t="s">
        <v>30945</v>
      </c>
      <c r="D4156">
        <v>2</v>
      </c>
      <c r="E4156" t="s">
        <v>4548</v>
      </c>
      <c r="G4156" s="3"/>
      <c r="H4156" s="3"/>
      <c r="I4156" s="3"/>
      <c r="J4156" s="3"/>
      <c r="K4156" s="3"/>
      <c r="L4156" s="3">
        <f t="shared" si="181"/>
        <v>0</v>
      </c>
      <c r="M4156" s="3"/>
      <c r="N4156" s="3">
        <f t="shared" si="182"/>
        <v>0</v>
      </c>
      <c r="R4156" s="89"/>
      <c r="S4156" s="89">
        <f>100%-Table34[[#This Row],[PDF_initial fee]]</f>
        <v>1</v>
      </c>
      <c r="T4156" s="89"/>
      <c r="U4156" s="26"/>
    </row>
    <row r="4157" spans="1:27" hidden="1" x14ac:dyDescent="0.25">
      <c r="A4157">
        <v>756248</v>
      </c>
      <c r="B4157" t="s">
        <v>4549</v>
      </c>
      <c r="C4157" t="s">
        <v>30946</v>
      </c>
      <c r="D4157">
        <v>3</v>
      </c>
      <c r="E4157" t="s">
        <v>4549</v>
      </c>
      <c r="G4157" s="3"/>
      <c r="H4157" s="3">
        <v>0</v>
      </c>
      <c r="I4157" s="3">
        <v>0</v>
      </c>
      <c r="J4157" s="3">
        <v>0</v>
      </c>
      <c r="K4157" s="3">
        <v>0</v>
      </c>
      <c r="L4157" s="3">
        <f t="shared" si="181"/>
        <v>0</v>
      </c>
      <c r="M4157" s="3"/>
      <c r="N4157" s="3">
        <f t="shared" si="182"/>
        <v>0</v>
      </c>
      <c r="R4157" s="89"/>
      <c r="S4157" s="89">
        <f>100%-Table34[[#This Row],[PDF_initial fee]]</f>
        <v>1</v>
      </c>
      <c r="T4157" s="89"/>
      <c r="U4157" s="26"/>
    </row>
    <row r="4158" spans="1:27" hidden="1" x14ac:dyDescent="0.25">
      <c r="A4158">
        <v>756253</v>
      </c>
      <c r="B4158" t="s">
        <v>4550</v>
      </c>
      <c r="C4158" t="s">
        <v>6958</v>
      </c>
      <c r="D4158">
        <v>1</v>
      </c>
      <c r="E4158" t="s">
        <v>4550</v>
      </c>
      <c r="F4158" t="s">
        <v>6958</v>
      </c>
      <c r="G4158" s="3"/>
      <c r="L4158" s="3">
        <f t="shared" si="181"/>
        <v>0</v>
      </c>
      <c r="M4158" s="3"/>
      <c r="N4158" s="3">
        <f t="shared" si="182"/>
        <v>0</v>
      </c>
      <c r="R4158" s="89"/>
      <c r="S4158" s="89">
        <f>100%-Table34[[#This Row],[PDF_initial fee]]</f>
        <v>1</v>
      </c>
      <c r="T4158" s="89"/>
      <c r="U4158" s="26"/>
    </row>
    <row r="4159" spans="1:27" hidden="1" x14ac:dyDescent="0.25">
      <c r="A4159">
        <v>756411</v>
      </c>
      <c r="B4159" t="s">
        <v>4551</v>
      </c>
      <c r="C4159" t="s">
        <v>30947</v>
      </c>
      <c r="D4159">
        <v>8</v>
      </c>
      <c r="E4159" t="s">
        <v>4551</v>
      </c>
      <c r="G4159" s="3"/>
      <c r="H4159" s="21">
        <v>0</v>
      </c>
      <c r="I4159" s="21">
        <v>0</v>
      </c>
      <c r="J4159" s="21">
        <v>0</v>
      </c>
      <c r="K4159" s="21">
        <v>0</v>
      </c>
      <c r="L4159" s="3">
        <f t="shared" si="181"/>
        <v>0</v>
      </c>
      <c r="M4159" s="3"/>
      <c r="N4159" s="3">
        <f t="shared" si="182"/>
        <v>0</v>
      </c>
      <c r="O4159" s="21"/>
      <c r="R4159" s="89"/>
      <c r="S4159" s="89">
        <f>100%-Table34[[#This Row],[PDF_initial fee]]</f>
        <v>1</v>
      </c>
      <c r="T4159" s="89"/>
      <c r="U4159" s="26"/>
    </row>
    <row r="4160" spans="1:27" hidden="1" x14ac:dyDescent="0.25">
      <c r="A4160">
        <v>756596</v>
      </c>
      <c r="B4160" t="s">
        <v>4552</v>
      </c>
      <c r="C4160" t="s">
        <v>30948</v>
      </c>
      <c r="D4160">
        <v>2</v>
      </c>
      <c r="E4160" t="s">
        <v>4552</v>
      </c>
      <c r="G4160" s="3"/>
      <c r="H4160" s="3">
        <v>0</v>
      </c>
      <c r="I4160" s="3">
        <v>0</v>
      </c>
      <c r="J4160" s="3">
        <v>0</v>
      </c>
      <c r="K4160" s="3">
        <v>0</v>
      </c>
      <c r="L4160" s="3">
        <f t="shared" si="181"/>
        <v>0</v>
      </c>
      <c r="M4160" s="3"/>
      <c r="N4160" s="3">
        <f t="shared" si="182"/>
        <v>0</v>
      </c>
      <c r="R4160" s="89"/>
      <c r="S4160" s="89">
        <f>100%-Table34[[#This Row],[PDF_initial fee]]</f>
        <v>1</v>
      </c>
      <c r="T4160" s="89"/>
      <c r="U4160" s="26"/>
    </row>
    <row r="4161" spans="1:21" hidden="1" x14ac:dyDescent="0.25">
      <c r="A4161">
        <v>756672</v>
      </c>
      <c r="B4161" t="s">
        <v>4553</v>
      </c>
      <c r="C4161" t="s">
        <v>6958</v>
      </c>
      <c r="D4161">
        <v>1</v>
      </c>
      <c r="E4161" t="s">
        <v>4553</v>
      </c>
      <c r="F4161" t="s">
        <v>6958</v>
      </c>
      <c r="G4161" s="3"/>
      <c r="H4161" s="21">
        <v>0</v>
      </c>
      <c r="I4161" s="21">
        <v>0</v>
      </c>
      <c r="J4161" s="21">
        <v>0</v>
      </c>
      <c r="K4161" s="21">
        <v>0</v>
      </c>
      <c r="L4161" s="3">
        <f t="shared" si="181"/>
        <v>0</v>
      </c>
      <c r="M4161" s="3"/>
      <c r="N4161" s="3">
        <f t="shared" si="182"/>
        <v>0</v>
      </c>
      <c r="R4161" s="89"/>
      <c r="S4161" s="89">
        <f>100%-Table34[[#This Row],[PDF_initial fee]]</f>
        <v>1</v>
      </c>
      <c r="T4161" s="89"/>
      <c r="U4161" s="26"/>
    </row>
    <row r="4162" spans="1:21" hidden="1" x14ac:dyDescent="0.25">
      <c r="A4162">
        <v>757039</v>
      </c>
      <c r="B4162" t="s">
        <v>4554</v>
      </c>
      <c r="C4162" t="s">
        <v>6958</v>
      </c>
      <c r="D4162">
        <v>1</v>
      </c>
      <c r="E4162" t="s">
        <v>4554</v>
      </c>
      <c r="F4162" t="s">
        <v>6958</v>
      </c>
      <c r="G4162" s="3"/>
      <c r="H4162" s="21">
        <v>0</v>
      </c>
      <c r="I4162" s="21">
        <v>0</v>
      </c>
      <c r="J4162" s="21">
        <v>0</v>
      </c>
      <c r="K4162" s="21">
        <v>0</v>
      </c>
      <c r="L4162" s="3">
        <f t="shared" si="181"/>
        <v>0</v>
      </c>
      <c r="M4162" s="3"/>
      <c r="N4162" s="3">
        <f t="shared" si="182"/>
        <v>0</v>
      </c>
      <c r="R4162" s="89"/>
      <c r="S4162" s="89">
        <f>100%-Table34[[#This Row],[PDF_initial fee]]</f>
        <v>1</v>
      </c>
      <c r="T4162" s="89"/>
      <c r="U4162" s="26"/>
    </row>
    <row r="4163" spans="1:21" hidden="1" x14ac:dyDescent="0.25">
      <c r="A4163">
        <v>757113</v>
      </c>
      <c r="B4163" t="s">
        <v>4555</v>
      </c>
      <c r="C4163" t="s">
        <v>9385</v>
      </c>
      <c r="D4163">
        <v>1</v>
      </c>
      <c r="E4163" t="s">
        <v>4555</v>
      </c>
      <c r="G4163" s="3"/>
      <c r="H4163" s="3">
        <v>0</v>
      </c>
      <c r="I4163" s="3">
        <v>0</v>
      </c>
      <c r="J4163" s="3">
        <v>0</v>
      </c>
      <c r="K4163" s="3">
        <v>0</v>
      </c>
      <c r="L4163" s="3">
        <f t="shared" si="181"/>
        <v>0</v>
      </c>
      <c r="M4163" s="3"/>
      <c r="N4163" s="3">
        <f t="shared" si="182"/>
        <v>0</v>
      </c>
      <c r="R4163" s="89"/>
      <c r="S4163" s="89">
        <f>100%-Table34[[#This Row],[PDF_initial fee]]</f>
        <v>1</v>
      </c>
      <c r="T4163" s="89"/>
      <c r="U4163" s="26"/>
    </row>
    <row r="4164" spans="1:21" hidden="1" x14ac:dyDescent="0.25">
      <c r="A4164">
        <v>757722</v>
      </c>
      <c r="B4164" t="s">
        <v>4556</v>
      </c>
      <c r="C4164" t="s">
        <v>30949</v>
      </c>
      <c r="D4164">
        <v>4</v>
      </c>
      <c r="E4164" t="s">
        <v>4556</v>
      </c>
      <c r="G4164" s="3"/>
      <c r="H4164" s="3"/>
      <c r="I4164" s="3"/>
      <c r="J4164" s="3"/>
      <c r="K4164" s="3"/>
      <c r="L4164" s="3">
        <f t="shared" si="181"/>
        <v>0</v>
      </c>
      <c r="M4164" s="3"/>
      <c r="N4164" s="3">
        <f t="shared" si="182"/>
        <v>0</v>
      </c>
      <c r="R4164" s="89"/>
      <c r="S4164" s="89">
        <f>100%-Table34[[#This Row],[PDF_initial fee]]</f>
        <v>1</v>
      </c>
      <c r="T4164" s="89"/>
      <c r="U4164" s="26"/>
    </row>
    <row r="4165" spans="1:21" hidden="1" x14ac:dyDescent="0.25">
      <c r="A4165">
        <v>757727</v>
      </c>
      <c r="B4165" t="s">
        <v>4557</v>
      </c>
      <c r="C4165" t="s">
        <v>30950</v>
      </c>
      <c r="D4165">
        <v>17</v>
      </c>
      <c r="E4165" t="s">
        <v>4557</v>
      </c>
      <c r="G4165" s="3"/>
      <c r="H4165" s="21">
        <v>0</v>
      </c>
      <c r="I4165" s="21">
        <v>0</v>
      </c>
      <c r="J4165" s="21">
        <v>0</v>
      </c>
      <c r="K4165" s="21">
        <v>0</v>
      </c>
      <c r="L4165" s="3">
        <f t="shared" si="181"/>
        <v>0</v>
      </c>
      <c r="M4165" s="3"/>
      <c r="N4165" s="3">
        <f t="shared" si="182"/>
        <v>0</v>
      </c>
      <c r="O4165" s="21"/>
      <c r="R4165" s="89"/>
      <c r="S4165" s="89">
        <f>100%-Table34[[#This Row],[PDF_initial fee]]</f>
        <v>1</v>
      </c>
      <c r="T4165" s="89"/>
      <c r="U4165" s="26"/>
    </row>
    <row r="4166" spans="1:21" hidden="1" x14ac:dyDescent="0.25">
      <c r="A4166">
        <v>757816</v>
      </c>
      <c r="B4166" t="s">
        <v>4558</v>
      </c>
      <c r="C4166" t="s">
        <v>12608</v>
      </c>
      <c r="D4166">
        <v>2</v>
      </c>
      <c r="E4166" t="s">
        <v>4558</v>
      </c>
      <c r="G4166" s="3"/>
      <c r="H4166" s="3">
        <v>0</v>
      </c>
      <c r="I4166" s="3">
        <v>0</v>
      </c>
      <c r="J4166" s="3">
        <v>0</v>
      </c>
      <c r="K4166" s="3">
        <v>0</v>
      </c>
      <c r="L4166" s="3">
        <f t="shared" si="181"/>
        <v>0</v>
      </c>
      <c r="M4166" s="3"/>
      <c r="N4166" s="3">
        <f t="shared" si="182"/>
        <v>0</v>
      </c>
      <c r="R4166" s="89"/>
      <c r="S4166" s="89">
        <f>100%-Table34[[#This Row],[PDF_initial fee]]</f>
        <v>1</v>
      </c>
      <c r="T4166" s="89"/>
      <c r="U4166" s="26"/>
    </row>
    <row r="4167" spans="1:21" hidden="1" x14ac:dyDescent="0.25">
      <c r="A4167">
        <v>757953</v>
      </c>
      <c r="B4167" t="s">
        <v>4559</v>
      </c>
      <c r="C4167" t="s">
        <v>9805</v>
      </c>
      <c r="D4167">
        <v>2</v>
      </c>
      <c r="E4167" t="s">
        <v>4559</v>
      </c>
      <c r="G4167" s="3"/>
      <c r="H4167" s="3">
        <v>0</v>
      </c>
      <c r="I4167" s="3">
        <v>0</v>
      </c>
      <c r="J4167" s="3">
        <v>0</v>
      </c>
      <c r="K4167" s="3">
        <v>0</v>
      </c>
      <c r="L4167" s="3">
        <f t="shared" si="181"/>
        <v>0</v>
      </c>
      <c r="M4167" s="3"/>
      <c r="N4167" s="3">
        <f t="shared" si="182"/>
        <v>0</v>
      </c>
      <c r="R4167" s="89"/>
      <c r="S4167" s="89">
        <f>100%-Table34[[#This Row],[PDF_initial fee]]</f>
        <v>1</v>
      </c>
      <c r="T4167" s="89"/>
      <c r="U4167" s="26"/>
    </row>
    <row r="4168" spans="1:21" hidden="1" x14ac:dyDescent="0.25">
      <c r="A4168">
        <v>757991</v>
      </c>
      <c r="B4168" t="s">
        <v>4560</v>
      </c>
      <c r="C4168" t="s">
        <v>9255</v>
      </c>
      <c r="D4168">
        <v>7</v>
      </c>
      <c r="E4168" t="s">
        <v>4560</v>
      </c>
      <c r="G4168" s="3"/>
      <c r="H4168" s="21">
        <v>0</v>
      </c>
      <c r="I4168" s="21">
        <v>0</v>
      </c>
      <c r="J4168" s="21">
        <v>0</v>
      </c>
      <c r="K4168" s="21">
        <v>0</v>
      </c>
      <c r="L4168" s="3">
        <f t="shared" si="181"/>
        <v>0</v>
      </c>
      <c r="M4168" s="3"/>
      <c r="N4168" s="3">
        <f t="shared" si="182"/>
        <v>0</v>
      </c>
      <c r="R4168" s="89"/>
      <c r="S4168" s="89">
        <f>100%-Table34[[#This Row],[PDF_initial fee]]</f>
        <v>1</v>
      </c>
      <c r="T4168" s="89"/>
      <c r="U4168" s="26"/>
    </row>
    <row r="4169" spans="1:21" hidden="1" x14ac:dyDescent="0.25">
      <c r="A4169">
        <v>758218</v>
      </c>
      <c r="B4169" t="s">
        <v>4561</v>
      </c>
      <c r="C4169" t="s">
        <v>30951</v>
      </c>
      <c r="D4169">
        <v>1</v>
      </c>
      <c r="E4169" t="s">
        <v>4561</v>
      </c>
      <c r="G4169" s="3"/>
      <c r="H4169" s="3">
        <v>0</v>
      </c>
      <c r="I4169" s="3">
        <v>0</v>
      </c>
      <c r="J4169" s="3">
        <v>0</v>
      </c>
      <c r="K4169" s="3">
        <v>0</v>
      </c>
      <c r="L4169" s="3">
        <f t="shared" si="181"/>
        <v>0</v>
      </c>
      <c r="M4169" s="3"/>
      <c r="N4169" s="3">
        <f t="shared" si="182"/>
        <v>0</v>
      </c>
      <c r="R4169" s="89"/>
      <c r="S4169" s="89">
        <f>100%-Table34[[#This Row],[PDF_initial fee]]</f>
        <v>1</v>
      </c>
      <c r="T4169" s="89"/>
      <c r="U4169" s="26"/>
    </row>
    <row r="4170" spans="1:21" hidden="1" x14ac:dyDescent="0.25">
      <c r="A4170">
        <v>758444</v>
      </c>
      <c r="B4170" t="s">
        <v>4562</v>
      </c>
      <c r="C4170" s="1" t="s">
        <v>30952</v>
      </c>
      <c r="D4170">
        <v>3</v>
      </c>
      <c r="E4170" t="s">
        <v>4562</v>
      </c>
      <c r="G4170" s="3"/>
      <c r="H4170" s="3">
        <v>0</v>
      </c>
      <c r="I4170" s="3">
        <v>0</v>
      </c>
      <c r="J4170" s="3">
        <v>0</v>
      </c>
      <c r="K4170" s="3">
        <v>0</v>
      </c>
      <c r="L4170" s="3">
        <f t="shared" si="181"/>
        <v>0</v>
      </c>
      <c r="M4170" s="3"/>
      <c r="N4170" s="3">
        <f t="shared" si="182"/>
        <v>0</v>
      </c>
      <c r="R4170" s="89"/>
      <c r="S4170" s="89">
        <f>100%-Table34[[#This Row],[PDF_initial fee]]</f>
        <v>1</v>
      </c>
      <c r="T4170" s="89"/>
      <c r="U4170" s="26"/>
    </row>
    <row r="4171" spans="1:21" hidden="1" x14ac:dyDescent="0.25">
      <c r="A4171">
        <v>758548</v>
      </c>
      <c r="B4171" t="s">
        <v>4563</v>
      </c>
      <c r="C4171" t="s">
        <v>6958</v>
      </c>
      <c r="D4171">
        <v>1</v>
      </c>
      <c r="E4171" t="s">
        <v>4563</v>
      </c>
      <c r="F4171" t="s">
        <v>6958</v>
      </c>
      <c r="G4171" s="3"/>
      <c r="H4171" s="21">
        <v>0</v>
      </c>
      <c r="I4171" s="21">
        <v>0</v>
      </c>
      <c r="J4171" s="21">
        <v>0</v>
      </c>
      <c r="K4171" s="21">
        <v>0</v>
      </c>
      <c r="L4171" s="3">
        <f t="shared" si="181"/>
        <v>0</v>
      </c>
      <c r="M4171" s="3"/>
      <c r="N4171" s="3">
        <f t="shared" si="182"/>
        <v>0</v>
      </c>
      <c r="R4171" s="89"/>
      <c r="S4171" s="89">
        <f>100%-Table34[[#This Row],[PDF_initial fee]]</f>
        <v>1</v>
      </c>
      <c r="T4171" s="89"/>
      <c r="U4171" s="26"/>
    </row>
    <row r="4172" spans="1:21" hidden="1" x14ac:dyDescent="0.25">
      <c r="A4172">
        <v>758751</v>
      </c>
      <c r="B4172" t="s">
        <v>4564</v>
      </c>
      <c r="C4172" t="s">
        <v>11210</v>
      </c>
      <c r="D4172">
        <v>2</v>
      </c>
      <c r="E4172" t="s">
        <v>4564</v>
      </c>
      <c r="G4172" s="3"/>
      <c r="H4172" s="3">
        <v>0</v>
      </c>
      <c r="I4172" s="3">
        <v>0</v>
      </c>
      <c r="J4172" s="3">
        <v>0</v>
      </c>
      <c r="K4172" s="3">
        <v>0</v>
      </c>
      <c r="L4172" s="3">
        <f t="shared" si="181"/>
        <v>0</v>
      </c>
      <c r="M4172" s="3"/>
      <c r="N4172" s="3">
        <f t="shared" si="182"/>
        <v>0</v>
      </c>
      <c r="R4172" s="89"/>
      <c r="S4172" s="89">
        <f>100%-Table34[[#This Row],[PDF_initial fee]]</f>
        <v>1</v>
      </c>
      <c r="T4172" s="89"/>
      <c r="U4172" s="26"/>
    </row>
    <row r="4173" spans="1:21" hidden="1" x14ac:dyDescent="0.25">
      <c r="A4173">
        <v>758771</v>
      </c>
      <c r="B4173" t="s">
        <v>4565</v>
      </c>
      <c r="C4173" t="s">
        <v>8485</v>
      </c>
      <c r="D4173">
        <v>2</v>
      </c>
      <c r="E4173" t="s">
        <v>4565</v>
      </c>
      <c r="G4173" s="3"/>
      <c r="H4173" s="21">
        <v>0</v>
      </c>
      <c r="I4173" s="21">
        <v>0</v>
      </c>
      <c r="J4173" s="21">
        <v>0</v>
      </c>
      <c r="K4173" s="21">
        <v>0</v>
      </c>
      <c r="L4173" s="3">
        <f t="shared" si="181"/>
        <v>0</v>
      </c>
      <c r="M4173" s="3"/>
      <c r="N4173" s="3">
        <f t="shared" si="182"/>
        <v>0</v>
      </c>
      <c r="R4173" s="89"/>
      <c r="S4173" s="89">
        <f>100%-Table34[[#This Row],[PDF_initial fee]]</f>
        <v>1</v>
      </c>
      <c r="T4173" s="89"/>
      <c r="U4173" s="26"/>
    </row>
    <row r="4174" spans="1:21" hidden="1" x14ac:dyDescent="0.25">
      <c r="A4174">
        <v>758811</v>
      </c>
      <c r="B4174" t="s">
        <v>4566</v>
      </c>
      <c r="C4174" t="s">
        <v>6958</v>
      </c>
      <c r="D4174">
        <v>1</v>
      </c>
      <c r="E4174" t="s">
        <v>4566</v>
      </c>
      <c r="F4174" t="s">
        <v>6958</v>
      </c>
      <c r="G4174" s="3"/>
      <c r="H4174" s="21">
        <v>0</v>
      </c>
      <c r="I4174" s="21">
        <v>0</v>
      </c>
      <c r="J4174" s="21">
        <v>0</v>
      </c>
      <c r="K4174" s="21">
        <v>0</v>
      </c>
      <c r="L4174" s="3">
        <f t="shared" si="181"/>
        <v>0</v>
      </c>
      <c r="M4174" s="3"/>
      <c r="N4174" s="3">
        <f t="shared" si="182"/>
        <v>0</v>
      </c>
      <c r="R4174" s="89"/>
      <c r="S4174" s="89">
        <f>100%-Table34[[#This Row],[PDF_initial fee]]</f>
        <v>1</v>
      </c>
      <c r="T4174" s="89"/>
      <c r="U4174" s="26"/>
    </row>
    <row r="4175" spans="1:21" hidden="1" x14ac:dyDescent="0.25">
      <c r="A4175">
        <v>758941</v>
      </c>
      <c r="B4175" t="s">
        <v>4567</v>
      </c>
      <c r="C4175" t="s">
        <v>6958</v>
      </c>
      <c r="D4175">
        <v>2</v>
      </c>
      <c r="E4175" t="s">
        <v>4567</v>
      </c>
      <c r="F4175" t="s">
        <v>6958</v>
      </c>
      <c r="G4175" s="3"/>
      <c r="H4175" s="21">
        <v>0</v>
      </c>
      <c r="I4175" s="21">
        <v>0</v>
      </c>
      <c r="J4175" s="21">
        <v>0</v>
      </c>
      <c r="K4175" s="21">
        <v>0</v>
      </c>
      <c r="L4175" s="3">
        <f t="shared" si="181"/>
        <v>0</v>
      </c>
      <c r="M4175" s="3"/>
      <c r="N4175" s="3">
        <f t="shared" si="182"/>
        <v>0</v>
      </c>
      <c r="R4175" s="89"/>
      <c r="S4175" s="89">
        <f>100%-Table34[[#This Row],[PDF_initial fee]]</f>
        <v>1</v>
      </c>
      <c r="T4175" s="89"/>
      <c r="U4175" s="26"/>
    </row>
    <row r="4176" spans="1:21" hidden="1" x14ac:dyDescent="0.25">
      <c r="A4176">
        <v>759676</v>
      </c>
      <c r="B4176" t="s">
        <v>4568</v>
      </c>
      <c r="C4176" t="s">
        <v>30953</v>
      </c>
      <c r="D4176">
        <v>1</v>
      </c>
      <c r="E4176" t="s">
        <v>4568</v>
      </c>
      <c r="G4176" s="3"/>
      <c r="H4176" s="21">
        <v>0</v>
      </c>
      <c r="I4176" s="21">
        <v>0</v>
      </c>
      <c r="J4176" s="21">
        <v>0</v>
      </c>
      <c r="K4176" s="21">
        <v>0</v>
      </c>
      <c r="L4176" s="3">
        <f t="shared" si="181"/>
        <v>0</v>
      </c>
      <c r="M4176" s="3"/>
      <c r="N4176" s="3">
        <f t="shared" si="182"/>
        <v>0</v>
      </c>
      <c r="O4176" s="21"/>
      <c r="R4176" s="89"/>
      <c r="S4176" s="89">
        <f>100%-Table34[[#This Row],[PDF_initial fee]]</f>
        <v>1</v>
      </c>
      <c r="T4176" s="89"/>
      <c r="U4176" s="26"/>
    </row>
    <row r="4177" spans="1:21" hidden="1" x14ac:dyDescent="0.25">
      <c r="A4177">
        <v>759795</v>
      </c>
      <c r="B4177" t="s">
        <v>4569</v>
      </c>
      <c r="C4177" t="s">
        <v>30954</v>
      </c>
      <c r="D4177">
        <v>2</v>
      </c>
      <c r="E4177" t="s">
        <v>4569</v>
      </c>
      <c r="G4177" s="3"/>
      <c r="H4177" s="3">
        <v>0</v>
      </c>
      <c r="I4177" s="3">
        <v>0</v>
      </c>
      <c r="J4177" s="3">
        <v>0</v>
      </c>
      <c r="K4177" s="3">
        <v>0</v>
      </c>
      <c r="L4177" s="3">
        <f t="shared" si="181"/>
        <v>0</v>
      </c>
      <c r="M4177" s="3"/>
      <c r="N4177" s="3">
        <f t="shared" si="182"/>
        <v>0</v>
      </c>
      <c r="R4177" s="89"/>
      <c r="S4177" s="89">
        <f>100%-Table34[[#This Row],[PDF_initial fee]]</f>
        <v>1</v>
      </c>
      <c r="T4177" s="89"/>
      <c r="U4177" s="26"/>
    </row>
    <row r="4178" spans="1:21" hidden="1" x14ac:dyDescent="0.25">
      <c r="A4178">
        <v>760118</v>
      </c>
      <c r="B4178" t="s">
        <v>4571</v>
      </c>
      <c r="C4178" t="s">
        <v>11486</v>
      </c>
      <c r="D4178">
        <v>3</v>
      </c>
      <c r="E4178" t="s">
        <v>4571</v>
      </c>
      <c r="G4178" s="3"/>
      <c r="H4178" s="3">
        <v>0</v>
      </c>
      <c r="I4178" s="3">
        <v>0</v>
      </c>
      <c r="J4178" s="3">
        <v>0</v>
      </c>
      <c r="K4178" s="3">
        <v>0</v>
      </c>
      <c r="L4178" s="3">
        <f t="shared" si="181"/>
        <v>0</v>
      </c>
      <c r="M4178" s="3"/>
      <c r="N4178" s="3">
        <f t="shared" si="182"/>
        <v>0</v>
      </c>
      <c r="R4178" s="89"/>
      <c r="S4178" s="89">
        <f>100%-Table34[[#This Row],[PDF_initial fee]]</f>
        <v>1</v>
      </c>
      <c r="T4178" s="89"/>
      <c r="U4178" s="26"/>
    </row>
    <row r="4179" spans="1:21" hidden="1" x14ac:dyDescent="0.25">
      <c r="A4179">
        <v>760219</v>
      </c>
      <c r="B4179" t="s">
        <v>4572</v>
      </c>
      <c r="C4179" t="s">
        <v>6958</v>
      </c>
      <c r="D4179">
        <v>2</v>
      </c>
      <c r="E4179" t="s">
        <v>4572</v>
      </c>
      <c r="F4179" t="s">
        <v>6958</v>
      </c>
      <c r="G4179" s="3"/>
      <c r="H4179" s="21">
        <v>0</v>
      </c>
      <c r="I4179" s="21">
        <v>0</v>
      </c>
      <c r="J4179" s="21">
        <v>0</v>
      </c>
      <c r="K4179" s="21">
        <v>0</v>
      </c>
      <c r="L4179" s="3">
        <f t="shared" si="181"/>
        <v>0</v>
      </c>
      <c r="M4179" s="3"/>
      <c r="N4179" s="3">
        <f t="shared" si="182"/>
        <v>0</v>
      </c>
      <c r="R4179" s="89"/>
      <c r="S4179" s="89">
        <f>100%-Table34[[#This Row],[PDF_initial fee]]</f>
        <v>1</v>
      </c>
      <c r="T4179" s="89"/>
      <c r="U4179" s="26"/>
    </row>
    <row r="4180" spans="1:21" hidden="1" x14ac:dyDescent="0.25">
      <c r="A4180">
        <v>760506</v>
      </c>
      <c r="B4180" t="s">
        <v>4573</v>
      </c>
      <c r="C4180" t="s">
        <v>6958</v>
      </c>
      <c r="D4180">
        <v>2</v>
      </c>
      <c r="E4180" t="s">
        <v>4573</v>
      </c>
      <c r="F4180" t="s">
        <v>6958</v>
      </c>
      <c r="G4180" s="3"/>
      <c r="H4180" s="21">
        <v>0</v>
      </c>
      <c r="I4180" s="21">
        <v>0</v>
      </c>
      <c r="J4180" s="21">
        <v>0</v>
      </c>
      <c r="K4180" s="21">
        <v>0</v>
      </c>
      <c r="L4180" s="3">
        <f t="shared" si="181"/>
        <v>0</v>
      </c>
      <c r="M4180" s="3"/>
      <c r="N4180" s="3">
        <f t="shared" si="182"/>
        <v>0</v>
      </c>
      <c r="R4180" s="89"/>
      <c r="S4180" s="89">
        <f>100%-Table34[[#This Row],[PDF_initial fee]]</f>
        <v>1</v>
      </c>
      <c r="T4180" s="89"/>
      <c r="U4180" s="26"/>
    </row>
    <row r="4181" spans="1:21" hidden="1" x14ac:dyDescent="0.25">
      <c r="A4181">
        <v>760570</v>
      </c>
      <c r="B4181" t="s">
        <v>4574</v>
      </c>
      <c r="C4181" t="s">
        <v>7249</v>
      </c>
      <c r="D4181">
        <v>1</v>
      </c>
      <c r="E4181" t="s">
        <v>4574</v>
      </c>
      <c r="G4181" s="3"/>
      <c r="H4181" s="21">
        <v>0</v>
      </c>
      <c r="I4181" s="21">
        <v>0</v>
      </c>
      <c r="J4181" s="21">
        <v>0</v>
      </c>
      <c r="K4181" s="21">
        <v>0</v>
      </c>
      <c r="L4181" s="3">
        <f t="shared" si="181"/>
        <v>0</v>
      </c>
      <c r="M4181" s="3"/>
      <c r="N4181" s="3">
        <f t="shared" si="182"/>
        <v>0</v>
      </c>
      <c r="R4181" s="89"/>
      <c r="S4181" s="89">
        <f>100%-Table34[[#This Row],[PDF_initial fee]]</f>
        <v>1</v>
      </c>
      <c r="T4181" s="89"/>
      <c r="U4181" s="26"/>
    </row>
    <row r="4182" spans="1:21" hidden="1" x14ac:dyDescent="0.25">
      <c r="A4182">
        <v>760668</v>
      </c>
      <c r="B4182" t="s">
        <v>4575</v>
      </c>
      <c r="C4182" s="1" t="s">
        <v>30955</v>
      </c>
      <c r="D4182">
        <v>2</v>
      </c>
      <c r="E4182" t="s">
        <v>4575</v>
      </c>
      <c r="G4182" s="3"/>
      <c r="H4182" s="3">
        <v>0</v>
      </c>
      <c r="I4182" s="3">
        <v>0</v>
      </c>
      <c r="J4182" s="3">
        <v>0</v>
      </c>
      <c r="K4182" s="3">
        <v>0</v>
      </c>
      <c r="L4182" s="3">
        <f t="shared" si="181"/>
        <v>0</v>
      </c>
      <c r="M4182" s="3"/>
      <c r="N4182" s="3">
        <f t="shared" si="182"/>
        <v>0</v>
      </c>
      <c r="R4182" s="89"/>
      <c r="S4182" s="89">
        <f>100%-Table34[[#This Row],[PDF_initial fee]]</f>
        <v>1</v>
      </c>
      <c r="T4182" s="89"/>
      <c r="U4182" s="26"/>
    </row>
    <row r="4183" spans="1:21" hidden="1" x14ac:dyDescent="0.25">
      <c r="A4183">
        <v>760687</v>
      </c>
      <c r="B4183" t="s">
        <v>4576</v>
      </c>
      <c r="C4183" t="s">
        <v>12266</v>
      </c>
      <c r="D4183">
        <v>1</v>
      </c>
      <c r="E4183" t="s">
        <v>4576</v>
      </c>
      <c r="G4183" s="3"/>
      <c r="H4183" s="3"/>
      <c r="I4183" s="3"/>
      <c r="J4183" s="3"/>
      <c r="K4183" s="3"/>
      <c r="L4183" s="3">
        <f t="shared" si="181"/>
        <v>0</v>
      </c>
      <c r="M4183" s="3"/>
      <c r="N4183" s="3">
        <f t="shared" si="182"/>
        <v>0</v>
      </c>
      <c r="R4183" s="89"/>
      <c r="S4183" s="89">
        <f>100%-Table34[[#This Row],[PDF_initial fee]]</f>
        <v>1</v>
      </c>
      <c r="T4183" s="89"/>
      <c r="U4183" s="26"/>
    </row>
    <row r="4184" spans="1:21" hidden="1" x14ac:dyDescent="0.25">
      <c r="A4184">
        <v>760755</v>
      </c>
      <c r="B4184" t="s">
        <v>4577</v>
      </c>
      <c r="C4184" t="s">
        <v>6958</v>
      </c>
      <c r="D4184">
        <v>26</v>
      </c>
      <c r="E4184" t="s">
        <v>4577</v>
      </c>
      <c r="F4184" t="s">
        <v>29121</v>
      </c>
      <c r="G4184" s="3"/>
      <c r="H4184" s="21">
        <v>0</v>
      </c>
      <c r="I4184" s="21">
        <v>0</v>
      </c>
      <c r="J4184" s="21">
        <v>0</v>
      </c>
      <c r="K4184" s="21">
        <v>0</v>
      </c>
      <c r="L4184" s="3">
        <f t="shared" si="181"/>
        <v>0</v>
      </c>
      <c r="M4184" s="3"/>
      <c r="N4184" s="3">
        <f t="shared" si="182"/>
        <v>0</v>
      </c>
      <c r="O4184" s="21" t="s">
        <v>30956</v>
      </c>
      <c r="R4184" s="89"/>
      <c r="S4184" s="89">
        <f>100%-Table34[[#This Row],[PDF_initial fee]]</f>
        <v>1</v>
      </c>
      <c r="T4184" s="89"/>
      <c r="U4184" s="26"/>
    </row>
    <row r="4185" spans="1:21" hidden="1" x14ac:dyDescent="0.25">
      <c r="A4185">
        <v>760774</v>
      </c>
      <c r="B4185" t="s">
        <v>4578</v>
      </c>
      <c r="C4185" t="s">
        <v>30957</v>
      </c>
      <c r="D4185">
        <v>1</v>
      </c>
      <c r="E4185" t="s">
        <v>4578</v>
      </c>
      <c r="G4185" s="3"/>
      <c r="H4185" s="3">
        <v>0</v>
      </c>
      <c r="I4185" s="3">
        <v>0</v>
      </c>
      <c r="J4185" s="3">
        <v>0</v>
      </c>
      <c r="K4185" s="3">
        <v>0</v>
      </c>
      <c r="L4185" s="3">
        <f t="shared" si="181"/>
        <v>0</v>
      </c>
      <c r="M4185" s="3"/>
      <c r="N4185" s="3">
        <f t="shared" si="182"/>
        <v>0</v>
      </c>
      <c r="R4185" s="89"/>
      <c r="S4185" s="89">
        <f>100%-Table34[[#This Row],[PDF_initial fee]]</f>
        <v>1</v>
      </c>
      <c r="T4185" s="89"/>
      <c r="U4185" s="26"/>
    </row>
    <row r="4186" spans="1:21" hidden="1" x14ac:dyDescent="0.25">
      <c r="A4186">
        <v>760805</v>
      </c>
      <c r="B4186" t="s">
        <v>4579</v>
      </c>
      <c r="C4186" t="s">
        <v>11353</v>
      </c>
      <c r="D4186">
        <v>4</v>
      </c>
      <c r="E4186" t="s">
        <v>4579</v>
      </c>
      <c r="G4186" s="3"/>
      <c r="H4186" s="3"/>
      <c r="I4186" s="3"/>
      <c r="J4186" s="3"/>
      <c r="K4186" s="3"/>
      <c r="L4186" s="3">
        <f t="shared" si="181"/>
        <v>0</v>
      </c>
      <c r="M4186" s="3"/>
      <c r="N4186" s="3">
        <f t="shared" si="182"/>
        <v>0</v>
      </c>
      <c r="R4186" s="89"/>
      <c r="S4186" s="89">
        <f>100%-Table34[[#This Row],[PDF_initial fee]]</f>
        <v>1</v>
      </c>
      <c r="T4186" s="89"/>
      <c r="U4186" s="26"/>
    </row>
    <row r="4187" spans="1:21" hidden="1" x14ac:dyDescent="0.25">
      <c r="A4187">
        <v>760840</v>
      </c>
      <c r="B4187" t="s">
        <v>4580</v>
      </c>
      <c r="C4187" t="s">
        <v>7839</v>
      </c>
      <c r="D4187">
        <v>4</v>
      </c>
      <c r="E4187" t="s">
        <v>4580</v>
      </c>
      <c r="G4187" s="3"/>
      <c r="H4187" s="21">
        <v>0</v>
      </c>
      <c r="I4187" s="21">
        <v>0</v>
      </c>
      <c r="J4187" s="21">
        <v>0</v>
      </c>
      <c r="K4187" s="21">
        <v>0</v>
      </c>
      <c r="L4187" s="3">
        <f t="shared" si="181"/>
        <v>0</v>
      </c>
      <c r="M4187" s="3"/>
      <c r="N4187" s="3">
        <f t="shared" si="182"/>
        <v>0</v>
      </c>
      <c r="R4187" s="89"/>
      <c r="S4187" s="89">
        <f>100%-Table34[[#This Row],[PDF_initial fee]]</f>
        <v>1</v>
      </c>
      <c r="T4187" s="89"/>
      <c r="U4187" s="26"/>
    </row>
    <row r="4188" spans="1:21" hidden="1" x14ac:dyDescent="0.25">
      <c r="A4188">
        <v>760922</v>
      </c>
      <c r="B4188" t="s">
        <v>4581</v>
      </c>
      <c r="C4188" t="s">
        <v>6958</v>
      </c>
      <c r="D4188">
        <v>2</v>
      </c>
      <c r="E4188" t="s">
        <v>4581</v>
      </c>
      <c r="F4188" t="s">
        <v>6958</v>
      </c>
      <c r="G4188" s="3"/>
      <c r="H4188" s="21">
        <v>0</v>
      </c>
      <c r="I4188" s="21">
        <v>0</v>
      </c>
      <c r="J4188" s="21">
        <v>0</v>
      </c>
      <c r="K4188" s="21">
        <v>0</v>
      </c>
      <c r="L4188" s="3">
        <f t="shared" si="181"/>
        <v>0</v>
      </c>
      <c r="M4188" s="3"/>
      <c r="N4188" s="3">
        <f t="shared" si="182"/>
        <v>0</v>
      </c>
      <c r="R4188" s="89"/>
      <c r="S4188" s="89">
        <f>100%-Table34[[#This Row],[PDF_initial fee]]</f>
        <v>1</v>
      </c>
      <c r="T4188" s="89"/>
      <c r="U4188" s="26"/>
    </row>
    <row r="4189" spans="1:21" hidden="1" x14ac:dyDescent="0.25">
      <c r="A4189">
        <v>761091</v>
      </c>
      <c r="B4189" t="s">
        <v>4582</v>
      </c>
      <c r="C4189" t="s">
        <v>8327</v>
      </c>
      <c r="D4189">
        <v>2</v>
      </c>
      <c r="E4189" t="s">
        <v>4582</v>
      </c>
      <c r="G4189" s="3"/>
      <c r="H4189" s="21">
        <v>0</v>
      </c>
      <c r="I4189" s="21">
        <v>0</v>
      </c>
      <c r="J4189" s="21">
        <v>0</v>
      </c>
      <c r="K4189" s="21">
        <v>0</v>
      </c>
      <c r="L4189" s="3">
        <f t="shared" si="181"/>
        <v>0</v>
      </c>
      <c r="M4189" s="3"/>
      <c r="N4189" s="3">
        <f t="shared" si="182"/>
        <v>0</v>
      </c>
      <c r="R4189" s="89"/>
      <c r="S4189" s="89">
        <f>100%-Table34[[#This Row],[PDF_initial fee]]</f>
        <v>1</v>
      </c>
      <c r="T4189" s="89"/>
      <c r="U4189" s="26"/>
    </row>
    <row r="4190" spans="1:21" hidden="1" x14ac:dyDescent="0.25">
      <c r="A4190">
        <v>761140</v>
      </c>
      <c r="B4190" t="s">
        <v>4583</v>
      </c>
      <c r="C4190" t="s">
        <v>30958</v>
      </c>
      <c r="D4190">
        <v>8</v>
      </c>
      <c r="E4190" t="s">
        <v>4583</v>
      </c>
      <c r="G4190" s="3"/>
      <c r="H4190" s="3"/>
      <c r="I4190" s="3"/>
      <c r="J4190" s="3"/>
      <c r="K4190" s="3"/>
      <c r="L4190" s="3">
        <f t="shared" si="181"/>
        <v>0</v>
      </c>
      <c r="M4190" s="3"/>
      <c r="N4190" s="3">
        <f t="shared" si="182"/>
        <v>0</v>
      </c>
      <c r="O4190" s="39"/>
      <c r="R4190" s="89"/>
      <c r="S4190" s="89">
        <f>100%-Table34[[#This Row],[PDF_initial fee]]</f>
        <v>1</v>
      </c>
      <c r="T4190" s="89"/>
      <c r="U4190" s="26"/>
    </row>
    <row r="4191" spans="1:21" hidden="1" x14ac:dyDescent="0.25">
      <c r="A4191">
        <v>761954</v>
      </c>
      <c r="B4191" t="s">
        <v>4584</v>
      </c>
      <c r="C4191" t="s">
        <v>6958</v>
      </c>
      <c r="D4191">
        <v>2</v>
      </c>
      <c r="E4191" t="s">
        <v>4584</v>
      </c>
      <c r="F4191" t="s">
        <v>6958</v>
      </c>
      <c r="G4191" s="3"/>
      <c r="H4191" s="21">
        <v>0</v>
      </c>
      <c r="I4191" s="21">
        <v>0</v>
      </c>
      <c r="J4191" s="21">
        <v>0</v>
      </c>
      <c r="K4191" s="21">
        <v>0</v>
      </c>
      <c r="L4191" s="3">
        <f t="shared" si="181"/>
        <v>0</v>
      </c>
      <c r="M4191" s="3"/>
      <c r="N4191" s="3">
        <f t="shared" si="182"/>
        <v>0</v>
      </c>
      <c r="R4191" s="89"/>
      <c r="S4191" s="89">
        <f>100%-Table34[[#This Row],[PDF_initial fee]]</f>
        <v>1</v>
      </c>
      <c r="T4191" s="89"/>
      <c r="U4191" s="26"/>
    </row>
    <row r="4192" spans="1:21" hidden="1" x14ac:dyDescent="0.25">
      <c r="A4192">
        <v>762332</v>
      </c>
      <c r="B4192" t="s">
        <v>4585</v>
      </c>
      <c r="C4192" t="s">
        <v>30959</v>
      </c>
      <c r="D4192">
        <v>1</v>
      </c>
      <c r="E4192" t="s">
        <v>4585</v>
      </c>
      <c r="G4192" s="3"/>
      <c r="H4192" s="3">
        <v>0</v>
      </c>
      <c r="I4192" s="3">
        <v>0</v>
      </c>
      <c r="J4192" s="3">
        <v>0</v>
      </c>
      <c r="K4192" s="3">
        <v>0</v>
      </c>
      <c r="L4192" s="3">
        <f t="shared" si="181"/>
        <v>0</v>
      </c>
      <c r="M4192" s="3"/>
      <c r="N4192" s="3">
        <f t="shared" si="182"/>
        <v>0</v>
      </c>
      <c r="R4192" s="89"/>
      <c r="S4192" s="89">
        <f>100%-Table34[[#This Row],[PDF_initial fee]]</f>
        <v>1</v>
      </c>
      <c r="T4192" s="89"/>
      <c r="U4192" s="26"/>
    </row>
    <row r="4193" spans="1:29" hidden="1" x14ac:dyDescent="0.25">
      <c r="A4193">
        <v>762816</v>
      </c>
      <c r="B4193" t="s">
        <v>4586</v>
      </c>
      <c r="C4193" t="s">
        <v>8477</v>
      </c>
      <c r="D4193">
        <v>1</v>
      </c>
      <c r="E4193" t="s">
        <v>4586</v>
      </c>
      <c r="G4193" s="3"/>
      <c r="H4193" s="21">
        <v>0</v>
      </c>
      <c r="I4193" s="21">
        <v>0</v>
      </c>
      <c r="J4193" s="21">
        <v>0</v>
      </c>
      <c r="K4193" s="21">
        <v>0</v>
      </c>
      <c r="L4193" s="3">
        <f t="shared" si="181"/>
        <v>0</v>
      </c>
      <c r="M4193" s="3"/>
      <c r="N4193" s="3">
        <f t="shared" si="182"/>
        <v>0</v>
      </c>
      <c r="R4193" s="89"/>
      <c r="S4193" s="89">
        <f>100%-Table34[[#This Row],[PDF_initial fee]]</f>
        <v>1</v>
      </c>
      <c r="T4193" s="89"/>
      <c r="U4193" s="26"/>
    </row>
    <row r="4194" spans="1:29" hidden="1" x14ac:dyDescent="0.25">
      <c r="A4194">
        <v>762912</v>
      </c>
      <c r="B4194" t="s">
        <v>4587</v>
      </c>
      <c r="C4194" t="s">
        <v>6958</v>
      </c>
      <c r="D4194">
        <v>1</v>
      </c>
      <c r="E4194" t="s">
        <v>4587</v>
      </c>
      <c r="F4194" t="s">
        <v>6958</v>
      </c>
      <c r="G4194" s="3"/>
      <c r="H4194" s="21">
        <v>0</v>
      </c>
      <c r="I4194" s="21">
        <v>0</v>
      </c>
      <c r="J4194" s="21">
        <v>0</v>
      </c>
      <c r="K4194" s="21">
        <v>0</v>
      </c>
      <c r="L4194" s="3">
        <f t="shared" si="181"/>
        <v>0</v>
      </c>
      <c r="M4194" s="3"/>
      <c r="N4194" s="3">
        <f t="shared" si="182"/>
        <v>0</v>
      </c>
      <c r="R4194" s="89"/>
      <c r="S4194" s="89">
        <f>100%-Table34[[#This Row],[PDF_initial fee]]</f>
        <v>1</v>
      </c>
      <c r="T4194" s="89"/>
      <c r="U4194" s="26"/>
    </row>
    <row r="4195" spans="1:29" hidden="1" x14ac:dyDescent="0.25">
      <c r="A4195">
        <v>763183</v>
      </c>
      <c r="B4195" t="s">
        <v>4588</v>
      </c>
      <c r="C4195" t="s">
        <v>11391</v>
      </c>
      <c r="D4195">
        <v>1</v>
      </c>
      <c r="E4195" t="s">
        <v>4588</v>
      </c>
      <c r="G4195" s="3"/>
      <c r="H4195" s="3"/>
      <c r="I4195" s="3"/>
      <c r="J4195" s="3"/>
      <c r="K4195" s="3"/>
      <c r="L4195" s="3">
        <f t="shared" si="181"/>
        <v>0</v>
      </c>
      <c r="M4195" s="3"/>
      <c r="N4195" s="3">
        <f t="shared" si="182"/>
        <v>0</v>
      </c>
      <c r="R4195" s="89"/>
      <c r="S4195" s="89">
        <f>100%-Table34[[#This Row],[PDF_initial fee]]</f>
        <v>1</v>
      </c>
      <c r="T4195" s="89"/>
      <c r="U4195" s="26"/>
    </row>
    <row r="4196" spans="1:29" hidden="1" x14ac:dyDescent="0.25">
      <c r="A4196">
        <v>763256</v>
      </c>
      <c r="B4196" t="s">
        <v>4589</v>
      </c>
      <c r="C4196" t="s">
        <v>6958</v>
      </c>
      <c r="D4196">
        <v>0</v>
      </c>
      <c r="E4196" t="s">
        <v>4589</v>
      </c>
      <c r="F4196" t="s">
        <v>6958</v>
      </c>
      <c r="G4196" s="3"/>
      <c r="H4196" s="21">
        <v>0</v>
      </c>
      <c r="I4196" s="21">
        <v>0</v>
      </c>
      <c r="J4196" s="21">
        <v>0</v>
      </c>
      <c r="K4196" s="21">
        <v>0</v>
      </c>
      <c r="L4196" s="3">
        <f t="shared" si="181"/>
        <v>0</v>
      </c>
      <c r="M4196" s="3"/>
      <c r="N4196" s="3">
        <f t="shared" si="182"/>
        <v>0</v>
      </c>
      <c r="O4196" s="21"/>
      <c r="R4196" s="89"/>
      <c r="S4196" s="89">
        <f>100%-Table34[[#This Row],[PDF_initial fee]]</f>
        <v>1</v>
      </c>
      <c r="T4196" s="89"/>
      <c r="U4196" s="26"/>
    </row>
    <row r="4197" spans="1:29" hidden="1" x14ac:dyDescent="0.25">
      <c r="A4197">
        <v>763280</v>
      </c>
      <c r="B4197" t="s">
        <v>4590</v>
      </c>
      <c r="C4197" t="s">
        <v>11167</v>
      </c>
      <c r="D4197">
        <v>1</v>
      </c>
      <c r="E4197" t="s">
        <v>4590</v>
      </c>
      <c r="G4197" s="3"/>
      <c r="H4197" s="3">
        <v>0</v>
      </c>
      <c r="I4197" s="3">
        <v>0</v>
      </c>
      <c r="J4197" s="3">
        <v>0</v>
      </c>
      <c r="K4197" s="3">
        <v>0</v>
      </c>
      <c r="L4197" s="3">
        <f t="shared" si="181"/>
        <v>0</v>
      </c>
      <c r="M4197" s="3"/>
      <c r="N4197" s="3">
        <f t="shared" si="182"/>
        <v>0</v>
      </c>
      <c r="R4197" s="89"/>
      <c r="S4197" s="89">
        <f>100%-Table34[[#This Row],[PDF_initial fee]]</f>
        <v>1</v>
      </c>
      <c r="T4197" s="89"/>
      <c r="U4197" s="26"/>
    </row>
    <row r="4198" spans="1:29" hidden="1" x14ac:dyDescent="0.25">
      <c r="A4198">
        <v>763601</v>
      </c>
      <c r="B4198" t="s">
        <v>4591</v>
      </c>
      <c r="C4198" t="s">
        <v>30960</v>
      </c>
      <c r="D4198">
        <v>18</v>
      </c>
      <c r="E4198" t="s">
        <v>4591</v>
      </c>
      <c r="G4198" s="3"/>
      <c r="H4198" s="21">
        <v>0</v>
      </c>
      <c r="I4198" s="3">
        <v>0</v>
      </c>
      <c r="J4198" s="3">
        <v>0</v>
      </c>
      <c r="K4198">
        <v>0</v>
      </c>
      <c r="L4198" s="3">
        <f t="shared" si="181"/>
        <v>0</v>
      </c>
      <c r="M4198" s="3"/>
      <c r="N4198" s="3">
        <f t="shared" si="182"/>
        <v>0</v>
      </c>
      <c r="R4198" s="89"/>
      <c r="S4198" s="89">
        <f>100%-Table34[[#This Row],[PDF_initial fee]]</f>
        <v>1</v>
      </c>
      <c r="T4198" s="89"/>
      <c r="U4198" s="26"/>
    </row>
    <row r="4199" spans="1:29" hidden="1" x14ac:dyDescent="0.25">
      <c r="A4199">
        <v>763604</v>
      </c>
      <c r="B4199" t="s">
        <v>4592</v>
      </c>
      <c r="C4199" t="s">
        <v>8500</v>
      </c>
      <c r="D4199">
        <v>1</v>
      </c>
      <c r="E4199" t="s">
        <v>4592</v>
      </c>
      <c r="G4199" s="3"/>
      <c r="H4199" s="21">
        <v>0</v>
      </c>
      <c r="I4199" s="21">
        <v>0</v>
      </c>
      <c r="J4199" s="21">
        <v>0</v>
      </c>
      <c r="K4199" s="21">
        <v>0</v>
      </c>
      <c r="L4199" s="3">
        <f t="shared" si="181"/>
        <v>0</v>
      </c>
      <c r="M4199" s="3"/>
      <c r="N4199" s="3">
        <f t="shared" si="182"/>
        <v>0</v>
      </c>
      <c r="R4199" s="89"/>
      <c r="S4199" s="89">
        <f>100%-Table34[[#This Row],[PDF_initial fee]]</f>
        <v>1</v>
      </c>
      <c r="T4199" s="89"/>
      <c r="U4199" s="26"/>
    </row>
    <row r="4200" spans="1:29" s="76" customFormat="1" hidden="1" x14ac:dyDescent="0.25">
      <c r="A4200" s="76">
        <v>522193</v>
      </c>
      <c r="B4200" s="76" t="s">
        <v>208</v>
      </c>
      <c r="C4200" s="76" t="s">
        <v>7371</v>
      </c>
      <c r="D4200" s="76">
        <v>7</v>
      </c>
      <c r="E4200" s="76" t="s">
        <v>208</v>
      </c>
      <c r="F4200" s="76" t="s">
        <v>3</v>
      </c>
      <c r="G4200" s="71"/>
      <c r="H4200" s="71"/>
      <c r="I4200" s="71"/>
      <c r="J4200" s="77"/>
      <c r="K4200" s="77"/>
      <c r="L4200" s="71"/>
      <c r="M4200" s="68"/>
      <c r="N4200" s="71"/>
      <c r="O4200" s="76" t="s">
        <v>30242</v>
      </c>
      <c r="P4200" s="78" t="s">
        <v>30961</v>
      </c>
      <c r="R4200" s="89"/>
      <c r="S4200" s="89">
        <f>100%-Table34[[#This Row],[PDF_initial fee]]</f>
        <v>1</v>
      </c>
      <c r="T4200" s="89"/>
      <c r="U4200" s="26"/>
      <c r="W4200" s="76" t="s">
        <v>29051</v>
      </c>
      <c r="Y4200" s="79" t="e">
        <f>X4200/V4200</f>
        <v>#DIV/0!</v>
      </c>
      <c r="AC4200" s="76" t="s">
        <v>30245</v>
      </c>
    </row>
    <row r="4201" spans="1:29" hidden="1" x14ac:dyDescent="0.25">
      <c r="A4201">
        <v>763693</v>
      </c>
      <c r="B4201" t="s">
        <v>4595</v>
      </c>
      <c r="C4201" t="s">
        <v>10851</v>
      </c>
      <c r="D4201">
        <v>1</v>
      </c>
      <c r="E4201" t="s">
        <v>4595</v>
      </c>
      <c r="G4201" s="3"/>
      <c r="H4201" s="3">
        <v>0</v>
      </c>
      <c r="I4201" s="3">
        <v>0</v>
      </c>
      <c r="J4201" s="3">
        <v>0</v>
      </c>
      <c r="K4201" s="3">
        <v>0</v>
      </c>
      <c r="L4201" s="3">
        <f t="shared" ref="L4201:L4215" si="183">SUM(H4201:K4201)</f>
        <v>0</v>
      </c>
      <c r="M4201" s="3"/>
      <c r="N4201" s="3">
        <f t="shared" ref="N4201:N4229" si="184">L4201+G4201</f>
        <v>0</v>
      </c>
      <c r="R4201" s="89"/>
      <c r="S4201" s="89">
        <f>100%-Table34[[#This Row],[PDF_initial fee]]</f>
        <v>1</v>
      </c>
      <c r="T4201" s="89"/>
      <c r="U4201" s="26"/>
    </row>
    <row r="4202" spans="1:29" hidden="1" x14ac:dyDescent="0.25">
      <c r="A4202">
        <v>764300</v>
      </c>
      <c r="B4202" t="s">
        <v>4596</v>
      </c>
      <c r="C4202" t="s">
        <v>30962</v>
      </c>
      <c r="D4202">
        <v>3</v>
      </c>
      <c r="E4202" t="s">
        <v>4596</v>
      </c>
      <c r="G4202" s="3"/>
      <c r="H4202" s="3">
        <v>0</v>
      </c>
      <c r="I4202" s="3">
        <v>0</v>
      </c>
      <c r="J4202" s="3">
        <v>0</v>
      </c>
      <c r="K4202" s="3">
        <v>0</v>
      </c>
      <c r="L4202" s="3">
        <f t="shared" si="183"/>
        <v>0</v>
      </c>
      <c r="M4202" s="3"/>
      <c r="N4202" s="3">
        <f t="shared" si="184"/>
        <v>0</v>
      </c>
      <c r="R4202" s="89"/>
      <c r="S4202" s="89">
        <f>100%-Table34[[#This Row],[PDF_initial fee]]</f>
        <v>1</v>
      </c>
      <c r="T4202" s="89"/>
      <c r="U4202" s="26"/>
    </row>
    <row r="4203" spans="1:29" hidden="1" x14ac:dyDescent="0.25">
      <c r="A4203">
        <v>764562</v>
      </c>
      <c r="B4203" t="s">
        <v>4597</v>
      </c>
      <c r="C4203" t="s">
        <v>7312</v>
      </c>
      <c r="D4203">
        <v>3</v>
      </c>
      <c r="E4203" t="s">
        <v>4597</v>
      </c>
      <c r="G4203" s="3"/>
      <c r="H4203" s="21">
        <v>0</v>
      </c>
      <c r="I4203" s="21">
        <v>0</v>
      </c>
      <c r="J4203" s="21">
        <v>0</v>
      </c>
      <c r="K4203" s="21">
        <v>0</v>
      </c>
      <c r="L4203" s="3">
        <f t="shared" si="183"/>
        <v>0</v>
      </c>
      <c r="M4203" s="3"/>
      <c r="N4203" s="3">
        <f t="shared" si="184"/>
        <v>0</v>
      </c>
      <c r="O4203" s="21"/>
      <c r="R4203" s="89"/>
      <c r="S4203" s="89">
        <f>100%-Table34[[#This Row],[PDF_initial fee]]</f>
        <v>1</v>
      </c>
      <c r="T4203" s="89"/>
      <c r="U4203" s="26"/>
    </row>
    <row r="4204" spans="1:29" x14ac:dyDescent="0.25">
      <c r="A4204">
        <v>486776</v>
      </c>
      <c r="B4204" t="s">
        <v>194</v>
      </c>
      <c r="C4204" s="1" t="s">
        <v>12368</v>
      </c>
      <c r="D4204">
        <v>1</v>
      </c>
      <c r="E4204" t="s">
        <v>194</v>
      </c>
      <c r="F4204" t="s">
        <v>3</v>
      </c>
      <c r="G4204" s="3">
        <v>1.4E-3</v>
      </c>
      <c r="H4204" s="3"/>
      <c r="I4204" s="3">
        <v>0.03</v>
      </c>
      <c r="J4204" s="6">
        <v>0</v>
      </c>
      <c r="K4204" s="6"/>
      <c r="L4204" s="3">
        <f t="shared" si="183"/>
        <v>0.03</v>
      </c>
      <c r="M4204" s="3"/>
      <c r="N4204" s="3">
        <f t="shared" si="184"/>
        <v>3.1399999999999997E-2</v>
      </c>
      <c r="O4204" t="s">
        <v>30963</v>
      </c>
      <c r="P4204" s="31" t="s">
        <v>30964</v>
      </c>
      <c r="Q4204" t="s">
        <v>31787</v>
      </c>
      <c r="R4204" s="89">
        <v>0.33333333333333348</v>
      </c>
      <c r="S4204" s="99">
        <f>100%-Table34[[#This Row],[InitialFee]]</f>
        <v>1</v>
      </c>
      <c r="T4204" s="99">
        <f>(1-Table34[[#This Row],[OngoingFee (plus Platform fee)]])^5</f>
        <v>0.8587340256999999</v>
      </c>
      <c r="U4204" s="26">
        <f>(1+Table34[[#This Row],[Net 5yrs return (mostly up to 28th of Feb 2026)]])*Table34[[#This Row],[Investment after initial charge]]*Table34[[#This Row],[Cummulative 5yrs ongoing advice charge]]-1</f>
        <v>0.14497870093333343</v>
      </c>
      <c r="V4204" s="10">
        <f>72064+41029</f>
        <v>113093</v>
      </c>
      <c r="W4204" t="s">
        <v>29051</v>
      </c>
      <c r="X4204" s="9">
        <v>72064</v>
      </c>
      <c r="Y4204" s="30">
        <f>X4204/V4204</f>
        <v>0.63721008373639398</v>
      </c>
      <c r="AA4204" s="1" t="s">
        <v>30965</v>
      </c>
    </row>
    <row r="4205" spans="1:29" hidden="1" x14ac:dyDescent="0.25">
      <c r="A4205">
        <v>764760</v>
      </c>
      <c r="B4205" t="s">
        <v>4598</v>
      </c>
      <c r="C4205" t="s">
        <v>6958</v>
      </c>
      <c r="D4205">
        <v>2</v>
      </c>
      <c r="E4205" t="s">
        <v>4598</v>
      </c>
      <c r="F4205" t="s">
        <v>6958</v>
      </c>
      <c r="G4205" s="3"/>
      <c r="L4205" s="3">
        <f t="shared" si="183"/>
        <v>0</v>
      </c>
      <c r="M4205" s="3"/>
      <c r="N4205" s="3">
        <f t="shared" si="184"/>
        <v>0</v>
      </c>
      <c r="R4205" s="89"/>
      <c r="S4205" s="89">
        <f>100%-Table34[[#This Row],[PDF_initial fee]]</f>
        <v>1</v>
      </c>
      <c r="T4205" s="89"/>
      <c r="U4205" s="26"/>
    </row>
    <row r="4206" spans="1:29" x14ac:dyDescent="0.25">
      <c r="A4206">
        <v>525771</v>
      </c>
      <c r="B4206" t="s">
        <v>210</v>
      </c>
      <c r="C4206" t="s">
        <v>12392</v>
      </c>
      <c r="D4206">
        <v>4</v>
      </c>
      <c r="E4206" t="s">
        <v>210</v>
      </c>
      <c r="F4206" t="s">
        <v>3</v>
      </c>
      <c r="G4206" s="3">
        <v>1.4E-3</v>
      </c>
      <c r="H4206" s="3">
        <v>1.4999999999999999E-2</v>
      </c>
      <c r="I4206" s="3">
        <v>7.4999999999999997E-3</v>
      </c>
      <c r="J4206" s="6"/>
      <c r="K4206" s="6"/>
      <c r="L4206" s="3">
        <f t="shared" si="183"/>
        <v>2.2499999999999999E-2</v>
      </c>
      <c r="M4206" s="3"/>
      <c r="N4206" s="3">
        <f t="shared" si="184"/>
        <v>2.3899999999999998E-2</v>
      </c>
      <c r="P4206" s="31" t="s">
        <v>30966</v>
      </c>
      <c r="Q4206" t="s">
        <v>31787</v>
      </c>
      <c r="R4206" s="89">
        <v>0.33333333333333348</v>
      </c>
      <c r="S4206" s="89">
        <f>100%-Table34[[#This Row],[InitialFee]]</f>
        <v>0.98499999999999999</v>
      </c>
      <c r="T4206" s="89">
        <f>(1-Table34[[#This Row],[OngoingFee (plus Platform fee)]])^5</f>
        <v>0.9630582970465823</v>
      </c>
      <c r="U4206" s="26">
        <f>(1+Table34[[#This Row],[Net 5yrs return (mostly up to 28th of Feb 2026)]])*Table34[[#This Row],[Investment after initial charge]]*Table34[[#This Row],[Cummulative 5yrs ongoing advice charge]]-1</f>
        <v>0.26481656345451166</v>
      </c>
      <c r="V4206" s="10">
        <f>215807+172166</f>
        <v>387973</v>
      </c>
      <c r="W4206" t="s">
        <v>29051</v>
      </c>
      <c r="X4206" s="9">
        <v>195609</v>
      </c>
      <c r="Y4206" s="30">
        <f>X4206/V4206</f>
        <v>0.50418199204583825</v>
      </c>
      <c r="AA4206" s="1" t="s">
        <v>30967</v>
      </c>
    </row>
    <row r="4207" spans="1:29" hidden="1" x14ac:dyDescent="0.25">
      <c r="A4207">
        <v>765178</v>
      </c>
      <c r="B4207" t="s">
        <v>4601</v>
      </c>
      <c r="C4207" t="s">
        <v>11844</v>
      </c>
      <c r="D4207">
        <v>1</v>
      </c>
      <c r="E4207" t="s">
        <v>4601</v>
      </c>
      <c r="G4207" s="3"/>
      <c r="H4207" s="3"/>
      <c r="I4207" s="3"/>
      <c r="J4207" s="3"/>
      <c r="K4207" s="3"/>
      <c r="L4207" s="3">
        <f t="shared" si="183"/>
        <v>0</v>
      </c>
      <c r="M4207" s="3"/>
      <c r="N4207" s="3">
        <f t="shared" si="184"/>
        <v>0</v>
      </c>
      <c r="R4207" s="89"/>
      <c r="S4207" s="89">
        <f>100%-Table34[[#This Row],[PDF_initial fee]]</f>
        <v>1</v>
      </c>
      <c r="T4207" s="89"/>
      <c r="U4207" s="26"/>
    </row>
    <row r="4208" spans="1:29" hidden="1" x14ac:dyDescent="0.25">
      <c r="A4208">
        <v>765214</v>
      </c>
      <c r="B4208" t="s">
        <v>4602</v>
      </c>
      <c r="C4208" t="s">
        <v>30968</v>
      </c>
      <c r="D4208">
        <v>2</v>
      </c>
      <c r="E4208" t="s">
        <v>4602</v>
      </c>
      <c r="G4208" s="3"/>
      <c r="H4208" s="3"/>
      <c r="I4208" s="3"/>
      <c r="J4208" s="3"/>
      <c r="K4208" s="3"/>
      <c r="L4208" s="3">
        <f t="shared" si="183"/>
        <v>0</v>
      </c>
      <c r="M4208" s="3"/>
      <c r="N4208" s="3">
        <f t="shared" si="184"/>
        <v>0</v>
      </c>
      <c r="R4208" s="89"/>
      <c r="S4208" s="89">
        <f>100%-Table34[[#This Row],[PDF_initial fee]]</f>
        <v>1</v>
      </c>
      <c r="T4208" s="89"/>
      <c r="U4208" s="26"/>
    </row>
    <row r="4209" spans="1:27" hidden="1" x14ac:dyDescent="0.25">
      <c r="A4209">
        <v>765457</v>
      </c>
      <c r="B4209" t="s">
        <v>4603</v>
      </c>
      <c r="C4209" t="s">
        <v>30969</v>
      </c>
      <c r="D4209">
        <v>4</v>
      </c>
      <c r="E4209" t="s">
        <v>4603</v>
      </c>
      <c r="G4209" s="3"/>
      <c r="H4209" s="21">
        <v>0</v>
      </c>
      <c r="I4209" s="21">
        <v>0</v>
      </c>
      <c r="J4209" s="21">
        <v>0</v>
      </c>
      <c r="K4209" s="21">
        <v>0</v>
      </c>
      <c r="L4209" s="3">
        <f t="shared" si="183"/>
        <v>0</v>
      </c>
      <c r="M4209" s="3"/>
      <c r="N4209" s="3">
        <f t="shared" si="184"/>
        <v>0</v>
      </c>
      <c r="O4209" s="21"/>
      <c r="R4209" s="89"/>
      <c r="S4209" s="89">
        <f>100%-Table34[[#This Row],[PDF_initial fee]]</f>
        <v>1</v>
      </c>
      <c r="T4209" s="89"/>
      <c r="U4209" s="26"/>
    </row>
    <row r="4210" spans="1:27" hidden="1" x14ac:dyDescent="0.25">
      <c r="A4210">
        <v>765724</v>
      </c>
      <c r="B4210" t="s">
        <v>4604</v>
      </c>
      <c r="C4210" t="s">
        <v>6958</v>
      </c>
      <c r="D4210">
        <v>1</v>
      </c>
      <c r="E4210" t="s">
        <v>4604</v>
      </c>
      <c r="F4210" t="s">
        <v>6958</v>
      </c>
      <c r="G4210" s="3"/>
      <c r="H4210" s="21">
        <v>0</v>
      </c>
      <c r="I4210" s="21">
        <v>0</v>
      </c>
      <c r="J4210" s="21">
        <v>0</v>
      </c>
      <c r="K4210" s="21">
        <v>0</v>
      </c>
      <c r="L4210" s="3">
        <f t="shared" si="183"/>
        <v>0</v>
      </c>
      <c r="M4210" s="3"/>
      <c r="N4210" s="3">
        <f t="shared" si="184"/>
        <v>0</v>
      </c>
      <c r="R4210" s="89"/>
      <c r="S4210" s="89">
        <f>100%-Table34[[#This Row],[PDF_initial fee]]</f>
        <v>1</v>
      </c>
      <c r="T4210" s="89"/>
      <c r="U4210" s="26"/>
    </row>
    <row r="4211" spans="1:27" hidden="1" x14ac:dyDescent="0.25">
      <c r="A4211">
        <v>765815</v>
      </c>
      <c r="B4211" t="s">
        <v>4605</v>
      </c>
      <c r="C4211" t="s">
        <v>30970</v>
      </c>
      <c r="D4211">
        <v>1</v>
      </c>
      <c r="E4211" t="s">
        <v>4605</v>
      </c>
      <c r="G4211" s="3"/>
      <c r="H4211" s="3">
        <v>0</v>
      </c>
      <c r="I4211" s="3">
        <v>0</v>
      </c>
      <c r="J4211" s="3">
        <v>0</v>
      </c>
      <c r="K4211" s="3">
        <v>0</v>
      </c>
      <c r="L4211" s="3">
        <f t="shared" si="183"/>
        <v>0</v>
      </c>
      <c r="M4211" s="3"/>
      <c r="N4211" s="3">
        <f t="shared" si="184"/>
        <v>0</v>
      </c>
      <c r="R4211" s="89"/>
      <c r="S4211" s="89">
        <f>100%-Table34[[#This Row],[PDF_initial fee]]</f>
        <v>1</v>
      </c>
      <c r="T4211" s="89"/>
      <c r="U4211" s="26"/>
    </row>
    <row r="4212" spans="1:27" x14ac:dyDescent="0.25">
      <c r="A4212">
        <v>146719</v>
      </c>
      <c r="B4212" t="s">
        <v>65</v>
      </c>
      <c r="C4212" s="1" t="s">
        <v>9429</v>
      </c>
      <c r="D4212">
        <v>5</v>
      </c>
      <c r="E4212" t="s">
        <v>65</v>
      </c>
      <c r="F4212" t="s">
        <v>3</v>
      </c>
      <c r="G4212" s="3">
        <v>1.4E-3</v>
      </c>
      <c r="H4212" s="21">
        <v>0.02</v>
      </c>
      <c r="I4212" s="21">
        <v>0.01</v>
      </c>
      <c r="J4212" s="6">
        <v>0</v>
      </c>
      <c r="K4212" s="6">
        <v>0</v>
      </c>
      <c r="L4212" s="3">
        <f t="shared" si="183"/>
        <v>0.03</v>
      </c>
      <c r="M4212" s="3"/>
      <c r="N4212" s="3">
        <f t="shared" si="184"/>
        <v>3.1399999999999997E-2</v>
      </c>
      <c r="P4212" s="1" t="s">
        <v>30971</v>
      </c>
      <c r="Q4212" t="s">
        <v>31787</v>
      </c>
      <c r="R4212" s="89">
        <v>0.33333333333333348</v>
      </c>
      <c r="S4212" s="89">
        <f>100%-Table34[[#This Row],[InitialFee]]</f>
        <v>0.98</v>
      </c>
      <c r="T4212" s="89">
        <f>(1-Table34[[#This Row],[OngoingFee (plus Platform fee)]])^5</f>
        <v>0.95099004989999991</v>
      </c>
      <c r="U4212" s="26">
        <f>(1+Table34[[#This Row],[Net 5yrs return (mostly up to 28th of Feb 2026)]])*Table34[[#This Row],[Investment after initial charge]]*Table34[[#This Row],[Cummulative 5yrs ongoing advice charge]]-1</f>
        <v>0.24262699853600012</v>
      </c>
      <c r="V4212" s="10">
        <f>277285+58854</f>
        <v>336139</v>
      </c>
      <c r="W4212" t="s">
        <v>29051</v>
      </c>
      <c r="X4212" s="10">
        <v>252285</v>
      </c>
      <c r="Y4212" s="30">
        <f>X4212/V4212</f>
        <v>0.75053772397728324</v>
      </c>
      <c r="AA4212" s="1" t="s">
        <v>30972</v>
      </c>
    </row>
    <row r="4213" spans="1:27" hidden="1" x14ac:dyDescent="0.25">
      <c r="A4213">
        <v>766016</v>
      </c>
      <c r="B4213" t="s">
        <v>4606</v>
      </c>
      <c r="C4213" t="s">
        <v>6958</v>
      </c>
      <c r="D4213">
        <v>1</v>
      </c>
      <c r="E4213" t="s">
        <v>4606</v>
      </c>
      <c r="F4213" t="s">
        <v>6958</v>
      </c>
      <c r="G4213" s="3"/>
      <c r="H4213" s="21">
        <v>0</v>
      </c>
      <c r="I4213" s="21">
        <v>0</v>
      </c>
      <c r="J4213" s="21">
        <v>0</v>
      </c>
      <c r="K4213" s="21">
        <v>0</v>
      </c>
      <c r="L4213" s="3">
        <f t="shared" si="183"/>
        <v>0</v>
      </c>
      <c r="M4213" s="3"/>
      <c r="N4213" s="3">
        <f t="shared" si="184"/>
        <v>0</v>
      </c>
      <c r="R4213" s="89"/>
      <c r="S4213" s="89">
        <f>100%-Table34[[#This Row],[PDF_initial fee]]</f>
        <v>1</v>
      </c>
      <c r="T4213" s="89"/>
      <c r="U4213" s="26"/>
    </row>
    <row r="4214" spans="1:27" hidden="1" x14ac:dyDescent="0.25">
      <c r="A4214">
        <v>766136</v>
      </c>
      <c r="B4214" t="s">
        <v>4607</v>
      </c>
      <c r="C4214" t="s">
        <v>6962</v>
      </c>
      <c r="D4214">
        <v>1</v>
      </c>
      <c r="E4214" t="s">
        <v>4607</v>
      </c>
      <c r="G4214" s="3"/>
      <c r="H4214" s="21">
        <v>0</v>
      </c>
      <c r="I4214" s="21">
        <v>0</v>
      </c>
      <c r="J4214" s="21">
        <v>0</v>
      </c>
      <c r="K4214" s="21">
        <v>0</v>
      </c>
      <c r="L4214" s="3">
        <f t="shared" si="183"/>
        <v>0</v>
      </c>
      <c r="M4214" s="3"/>
      <c r="N4214" s="3">
        <f t="shared" si="184"/>
        <v>0</v>
      </c>
      <c r="R4214" s="89"/>
      <c r="S4214" s="89">
        <f>100%-Table34[[#This Row],[PDF_initial fee]]</f>
        <v>1</v>
      </c>
      <c r="T4214" s="89"/>
      <c r="U4214" s="26"/>
    </row>
    <row r="4215" spans="1:27" hidden="1" x14ac:dyDescent="0.25">
      <c r="A4215">
        <v>766148</v>
      </c>
      <c r="B4215" t="s">
        <v>4608</v>
      </c>
      <c r="C4215" t="s">
        <v>7998</v>
      </c>
      <c r="D4215">
        <v>6</v>
      </c>
      <c r="E4215" t="s">
        <v>4608</v>
      </c>
      <c r="G4215" s="3"/>
      <c r="H4215" s="21">
        <v>0</v>
      </c>
      <c r="I4215" s="21">
        <v>0</v>
      </c>
      <c r="J4215" s="21">
        <v>0</v>
      </c>
      <c r="K4215" s="21">
        <v>0</v>
      </c>
      <c r="L4215" s="3">
        <f t="shared" si="183"/>
        <v>0</v>
      </c>
      <c r="M4215" s="3"/>
      <c r="N4215" s="3">
        <f t="shared" si="184"/>
        <v>0</v>
      </c>
      <c r="R4215" s="89"/>
      <c r="S4215" s="89">
        <f>100%-Table34[[#This Row],[PDF_initial fee]]</f>
        <v>1</v>
      </c>
      <c r="T4215" s="89"/>
      <c r="U4215" s="26"/>
    </row>
    <row r="4216" spans="1:27" hidden="1" x14ac:dyDescent="0.25">
      <c r="A4216">
        <v>766211</v>
      </c>
      <c r="B4216" t="s">
        <v>4609</v>
      </c>
      <c r="C4216" s="1" t="s">
        <v>30973</v>
      </c>
      <c r="D4216">
        <v>3</v>
      </c>
      <c r="E4216" t="s">
        <v>4609</v>
      </c>
      <c r="F4216" t="s">
        <v>3</v>
      </c>
      <c r="G4216" s="3"/>
      <c r="H4216" s="3"/>
      <c r="I4216" s="3"/>
      <c r="J4216" s="3"/>
      <c r="K4216" s="3"/>
      <c r="L4216" s="3">
        <v>0</v>
      </c>
      <c r="M4216" s="3"/>
      <c r="N4216" s="3">
        <f t="shared" si="184"/>
        <v>0</v>
      </c>
      <c r="O4216" s="39"/>
      <c r="R4216" s="89"/>
      <c r="S4216" s="89">
        <f>100%-Table34[[#This Row],[PDF_initial fee]]</f>
        <v>1</v>
      </c>
      <c r="T4216" s="89"/>
      <c r="U4216" s="26"/>
    </row>
    <row r="4217" spans="1:27" hidden="1" x14ac:dyDescent="0.25">
      <c r="A4217">
        <v>766218</v>
      </c>
      <c r="B4217" t="s">
        <v>4610</v>
      </c>
      <c r="C4217" t="s">
        <v>30974</v>
      </c>
      <c r="D4217">
        <v>4</v>
      </c>
      <c r="E4217" t="s">
        <v>4610</v>
      </c>
      <c r="G4217" s="3"/>
      <c r="H4217" s="21">
        <v>0</v>
      </c>
      <c r="I4217" s="3">
        <v>0</v>
      </c>
      <c r="J4217" s="3">
        <v>0</v>
      </c>
      <c r="K4217">
        <v>0</v>
      </c>
      <c r="L4217" s="3">
        <f t="shared" ref="L4217:L4229" si="185">SUM(H4217:K4217)</f>
        <v>0</v>
      </c>
      <c r="M4217" s="3"/>
      <c r="N4217" s="3">
        <f t="shared" si="184"/>
        <v>0</v>
      </c>
      <c r="R4217" s="89"/>
      <c r="S4217" s="89">
        <f>100%-Table34[[#This Row],[PDF_initial fee]]</f>
        <v>1</v>
      </c>
      <c r="T4217" s="89"/>
      <c r="U4217" s="26"/>
    </row>
    <row r="4218" spans="1:27" hidden="1" x14ac:dyDescent="0.25">
      <c r="A4218">
        <v>766509</v>
      </c>
      <c r="B4218" t="s">
        <v>4611</v>
      </c>
      <c r="C4218" t="s">
        <v>12498</v>
      </c>
      <c r="D4218">
        <v>2</v>
      </c>
      <c r="E4218" t="s">
        <v>4611</v>
      </c>
      <c r="G4218" s="3"/>
      <c r="H4218" s="3"/>
      <c r="I4218" s="3"/>
      <c r="J4218" s="3"/>
      <c r="K4218" s="3"/>
      <c r="L4218" s="3">
        <f t="shared" si="185"/>
        <v>0</v>
      </c>
      <c r="M4218" s="3"/>
      <c r="N4218" s="3">
        <f t="shared" si="184"/>
        <v>0</v>
      </c>
      <c r="R4218" s="89"/>
      <c r="S4218" s="89">
        <f>100%-Table34[[#This Row],[PDF_initial fee]]</f>
        <v>1</v>
      </c>
      <c r="T4218" s="89"/>
      <c r="U4218" s="26"/>
    </row>
    <row r="4219" spans="1:27" hidden="1" x14ac:dyDescent="0.25">
      <c r="A4219">
        <v>766642</v>
      </c>
      <c r="B4219" t="s">
        <v>4612</v>
      </c>
      <c r="C4219" t="s">
        <v>30975</v>
      </c>
      <c r="D4219">
        <v>3</v>
      </c>
      <c r="E4219" t="s">
        <v>4612</v>
      </c>
      <c r="G4219" s="3"/>
      <c r="H4219" s="21">
        <v>0</v>
      </c>
      <c r="I4219" s="21">
        <v>0</v>
      </c>
      <c r="J4219" s="21">
        <v>0</v>
      </c>
      <c r="K4219" s="21">
        <v>0</v>
      </c>
      <c r="L4219" s="3">
        <f t="shared" si="185"/>
        <v>0</v>
      </c>
      <c r="M4219" s="3"/>
      <c r="N4219" s="3">
        <f t="shared" si="184"/>
        <v>0</v>
      </c>
      <c r="O4219" s="21"/>
      <c r="R4219" s="89"/>
      <c r="S4219" s="89">
        <f>100%-Table34[[#This Row],[PDF_initial fee]]</f>
        <v>1</v>
      </c>
      <c r="T4219" s="89"/>
      <c r="U4219" s="26"/>
    </row>
    <row r="4220" spans="1:27" hidden="1" x14ac:dyDescent="0.25">
      <c r="A4220">
        <v>766659</v>
      </c>
      <c r="B4220" t="s">
        <v>4613</v>
      </c>
      <c r="C4220" t="s">
        <v>6958</v>
      </c>
      <c r="D4220">
        <v>1</v>
      </c>
      <c r="E4220" t="s">
        <v>4613</v>
      </c>
      <c r="F4220" t="s">
        <v>6958</v>
      </c>
      <c r="G4220" s="3"/>
      <c r="H4220" s="21">
        <v>0</v>
      </c>
      <c r="I4220" s="21">
        <v>0</v>
      </c>
      <c r="J4220" s="21">
        <v>0</v>
      </c>
      <c r="K4220" s="21">
        <v>0</v>
      </c>
      <c r="L4220" s="3">
        <f t="shared" si="185"/>
        <v>0</v>
      </c>
      <c r="M4220" s="3"/>
      <c r="N4220" s="3">
        <f t="shared" si="184"/>
        <v>0</v>
      </c>
      <c r="R4220" s="89"/>
      <c r="S4220" s="89">
        <f>100%-Table34[[#This Row],[PDF_initial fee]]</f>
        <v>1</v>
      </c>
      <c r="T4220" s="89"/>
      <c r="U4220" s="26"/>
    </row>
    <row r="4221" spans="1:27" hidden="1" x14ac:dyDescent="0.25">
      <c r="A4221">
        <v>766665</v>
      </c>
      <c r="B4221" t="s">
        <v>4614</v>
      </c>
      <c r="C4221" t="s">
        <v>6958</v>
      </c>
      <c r="D4221">
        <v>1</v>
      </c>
      <c r="E4221" t="s">
        <v>4614</v>
      </c>
      <c r="F4221" t="s">
        <v>6958</v>
      </c>
      <c r="G4221" s="3"/>
      <c r="H4221" s="21">
        <v>0</v>
      </c>
      <c r="I4221" s="21">
        <v>0</v>
      </c>
      <c r="J4221" s="21">
        <v>0</v>
      </c>
      <c r="K4221" s="21">
        <v>0</v>
      </c>
      <c r="L4221" s="3">
        <f t="shared" si="185"/>
        <v>0</v>
      </c>
      <c r="M4221" s="3"/>
      <c r="N4221" s="3">
        <f t="shared" si="184"/>
        <v>0</v>
      </c>
      <c r="R4221" s="89"/>
      <c r="S4221" s="89">
        <f>100%-Table34[[#This Row],[PDF_initial fee]]</f>
        <v>1</v>
      </c>
      <c r="T4221" s="89"/>
      <c r="U4221" s="26"/>
    </row>
    <row r="4222" spans="1:27" hidden="1" x14ac:dyDescent="0.25">
      <c r="A4222">
        <v>767090</v>
      </c>
      <c r="B4222" t="s">
        <v>4616</v>
      </c>
      <c r="C4222" t="s">
        <v>10277</v>
      </c>
      <c r="D4222">
        <v>1</v>
      </c>
      <c r="E4222" t="s">
        <v>4616</v>
      </c>
      <c r="G4222" s="3"/>
      <c r="H4222" s="3">
        <v>0</v>
      </c>
      <c r="I4222" s="3">
        <v>0</v>
      </c>
      <c r="J4222" s="3">
        <v>0</v>
      </c>
      <c r="K4222" s="3">
        <v>0</v>
      </c>
      <c r="L4222" s="3">
        <f t="shared" si="185"/>
        <v>0</v>
      </c>
      <c r="M4222" s="3"/>
      <c r="N4222" s="3">
        <f t="shared" si="184"/>
        <v>0</v>
      </c>
      <c r="R4222" s="89"/>
      <c r="S4222" s="89">
        <f>100%-Table34[[#This Row],[PDF_initial fee]]</f>
        <v>1</v>
      </c>
      <c r="T4222" s="89"/>
      <c r="U4222" s="26"/>
    </row>
    <row r="4223" spans="1:27" hidden="1" x14ac:dyDescent="0.25">
      <c r="A4223">
        <v>767418</v>
      </c>
      <c r="B4223" t="s">
        <v>4617</v>
      </c>
      <c r="C4223" t="s">
        <v>6958</v>
      </c>
      <c r="D4223">
        <v>5</v>
      </c>
      <c r="E4223" t="s">
        <v>4617</v>
      </c>
      <c r="F4223" t="s">
        <v>6958</v>
      </c>
      <c r="G4223" s="3"/>
      <c r="L4223" s="3">
        <f t="shared" si="185"/>
        <v>0</v>
      </c>
      <c r="M4223" s="3"/>
      <c r="N4223" s="3">
        <f t="shared" si="184"/>
        <v>0</v>
      </c>
      <c r="R4223" s="89"/>
      <c r="S4223" s="89">
        <f>100%-Table34[[#This Row],[PDF_initial fee]]</f>
        <v>1</v>
      </c>
      <c r="T4223" s="89"/>
      <c r="U4223" s="26"/>
    </row>
    <row r="4224" spans="1:27" hidden="1" x14ac:dyDescent="0.25">
      <c r="A4224">
        <v>767639</v>
      </c>
      <c r="B4224" t="s">
        <v>4618</v>
      </c>
      <c r="C4224" t="s">
        <v>9144</v>
      </c>
      <c r="D4224">
        <v>0</v>
      </c>
      <c r="E4224" t="s">
        <v>4618</v>
      </c>
      <c r="F4224" t="s">
        <v>3</v>
      </c>
      <c r="G4224" s="3"/>
      <c r="L4224" s="3">
        <f t="shared" si="185"/>
        <v>0</v>
      </c>
      <c r="M4224" s="3"/>
      <c r="N4224" s="3">
        <f t="shared" si="184"/>
        <v>0</v>
      </c>
      <c r="R4224" s="89"/>
      <c r="S4224" s="89">
        <f>100%-Table34[[#This Row],[PDF_initial fee]]</f>
        <v>1</v>
      </c>
      <c r="T4224" s="89"/>
      <c r="U4224" s="26"/>
    </row>
    <row r="4225" spans="1:27" hidden="1" x14ac:dyDescent="0.25">
      <c r="A4225">
        <v>767654</v>
      </c>
      <c r="B4225" t="s">
        <v>4619</v>
      </c>
      <c r="C4225" t="s">
        <v>8753</v>
      </c>
      <c r="D4225">
        <v>1</v>
      </c>
      <c r="E4225" t="s">
        <v>4619</v>
      </c>
      <c r="G4225" s="3"/>
      <c r="H4225" s="21">
        <v>0</v>
      </c>
      <c r="I4225" s="21">
        <v>0</v>
      </c>
      <c r="J4225" s="21">
        <v>0</v>
      </c>
      <c r="K4225" s="21">
        <v>0</v>
      </c>
      <c r="L4225" s="3">
        <f t="shared" si="185"/>
        <v>0</v>
      </c>
      <c r="M4225" s="3"/>
      <c r="N4225" s="3">
        <f t="shared" si="184"/>
        <v>0</v>
      </c>
      <c r="R4225" s="89"/>
      <c r="S4225" s="89">
        <f>100%-Table34[[#This Row],[PDF_initial fee]]</f>
        <v>1</v>
      </c>
      <c r="T4225" s="89"/>
      <c r="U4225" s="26"/>
    </row>
    <row r="4226" spans="1:27" hidden="1" x14ac:dyDescent="0.25">
      <c r="A4226">
        <v>767690</v>
      </c>
      <c r="B4226" t="s">
        <v>4620</v>
      </c>
      <c r="C4226" t="s">
        <v>30976</v>
      </c>
      <c r="D4226">
        <v>1</v>
      </c>
      <c r="E4226" t="s">
        <v>4620</v>
      </c>
      <c r="G4226" s="3"/>
      <c r="H4226" s="3">
        <v>0</v>
      </c>
      <c r="I4226" s="3">
        <v>0</v>
      </c>
      <c r="J4226" s="3">
        <v>0</v>
      </c>
      <c r="K4226" s="3">
        <v>0</v>
      </c>
      <c r="L4226" s="3">
        <f t="shared" si="185"/>
        <v>0</v>
      </c>
      <c r="M4226" s="3"/>
      <c r="N4226" s="3">
        <f t="shared" si="184"/>
        <v>0</v>
      </c>
      <c r="R4226" s="89"/>
      <c r="S4226" s="89">
        <f>100%-Table34[[#This Row],[PDF_initial fee]]</f>
        <v>1</v>
      </c>
      <c r="T4226" s="89"/>
      <c r="U4226" s="26"/>
    </row>
    <row r="4227" spans="1:27" x14ac:dyDescent="0.25">
      <c r="A4227">
        <v>952534</v>
      </c>
      <c r="B4227" t="s">
        <v>344</v>
      </c>
      <c r="C4227" t="s">
        <v>12419</v>
      </c>
      <c r="D4227">
        <v>4</v>
      </c>
      <c r="E4227" t="s">
        <v>344</v>
      </c>
      <c r="F4227" t="s">
        <v>3</v>
      </c>
      <c r="G4227" s="3">
        <v>1.4E-3</v>
      </c>
      <c r="H4227" s="3">
        <v>0.03</v>
      </c>
      <c r="I4227" s="3">
        <v>0.01</v>
      </c>
      <c r="J4227" s="6"/>
      <c r="K4227" s="6"/>
      <c r="L4227" s="3">
        <f t="shared" si="185"/>
        <v>0.04</v>
      </c>
      <c r="M4227" s="3"/>
      <c r="N4227" s="3">
        <f t="shared" si="184"/>
        <v>4.1399999999999999E-2</v>
      </c>
      <c r="P4227" s="31" t="s">
        <v>30977</v>
      </c>
      <c r="Q4227" t="s">
        <v>31787</v>
      </c>
      <c r="R4227" s="89">
        <v>0.33333333333333348</v>
      </c>
      <c r="S4227" s="89">
        <f>100%-Table34[[#This Row],[InitialFee]]</f>
        <v>0.97</v>
      </c>
      <c r="T4227" s="89">
        <f>(1-Table34[[#This Row],[OngoingFee (plus Platform fee)]])^5</f>
        <v>0.95099004989999991</v>
      </c>
      <c r="U4227" s="26">
        <f>(1+Table34[[#This Row],[Net 5yrs return (mostly up to 28th of Feb 2026)]])*Table34[[#This Row],[Investment after initial charge]]*Table34[[#This Row],[Cummulative 5yrs ongoing advice charge]]-1</f>
        <v>0.22994713120400001</v>
      </c>
      <c r="V4227" s="10">
        <f>472745+149498</f>
        <v>622243</v>
      </c>
      <c r="W4227" t="s">
        <v>29051</v>
      </c>
      <c r="X4227" s="9">
        <v>471754</v>
      </c>
      <c r="Y4227" s="30">
        <f>X4227/V4227</f>
        <v>0.75815075460873005</v>
      </c>
      <c r="AA4227" s="1" t="s">
        <v>30978</v>
      </c>
    </row>
    <row r="4228" spans="1:27" hidden="1" x14ac:dyDescent="0.25">
      <c r="A4228">
        <v>767879</v>
      </c>
      <c r="B4228" t="s">
        <v>4621</v>
      </c>
      <c r="C4228" t="s">
        <v>11240</v>
      </c>
      <c r="D4228">
        <v>1</v>
      </c>
      <c r="E4228" t="s">
        <v>4621</v>
      </c>
      <c r="G4228" s="3"/>
      <c r="H4228" s="3">
        <v>0</v>
      </c>
      <c r="I4228" s="3">
        <v>0</v>
      </c>
      <c r="J4228" s="3">
        <v>0</v>
      </c>
      <c r="K4228" s="3">
        <v>0</v>
      </c>
      <c r="L4228" s="3">
        <f t="shared" si="185"/>
        <v>0</v>
      </c>
      <c r="M4228" s="3"/>
      <c r="N4228" s="3">
        <f t="shared" si="184"/>
        <v>0</v>
      </c>
      <c r="R4228" s="89"/>
      <c r="S4228" s="89">
        <f>100%-Table34[[#This Row],[PDF_initial fee]]</f>
        <v>1</v>
      </c>
      <c r="T4228" s="89"/>
      <c r="U4228" s="26"/>
      <c r="X4228" s="9"/>
    </row>
    <row r="4229" spans="1:27" hidden="1" x14ac:dyDescent="0.25">
      <c r="A4229">
        <v>767888</v>
      </c>
      <c r="B4229" t="s">
        <v>4622</v>
      </c>
      <c r="C4229" t="s">
        <v>12074</v>
      </c>
      <c r="D4229">
        <v>1</v>
      </c>
      <c r="E4229" t="s">
        <v>4622</v>
      </c>
      <c r="G4229" s="3"/>
      <c r="H4229" s="3">
        <v>0</v>
      </c>
      <c r="I4229" s="3">
        <v>0</v>
      </c>
      <c r="J4229" s="3">
        <v>0</v>
      </c>
      <c r="K4229" s="3">
        <v>0</v>
      </c>
      <c r="L4229" s="3">
        <f t="shared" si="185"/>
        <v>0</v>
      </c>
      <c r="M4229" s="3"/>
      <c r="N4229" s="3">
        <f t="shared" si="184"/>
        <v>0</v>
      </c>
      <c r="R4229" s="89"/>
      <c r="S4229" s="89">
        <f>100%-Table34[[#This Row],[PDF_initial fee]]</f>
        <v>1</v>
      </c>
      <c r="T4229" s="89"/>
      <c r="U4229" s="26"/>
      <c r="X4229" s="9"/>
    </row>
    <row r="4230" spans="1:27" s="34" customFormat="1" hidden="1" x14ac:dyDescent="0.25">
      <c r="A4230" s="34">
        <v>767956</v>
      </c>
      <c r="B4230" s="34" t="s">
        <v>4623</v>
      </c>
      <c r="C4230" s="35" t="s">
        <v>30979</v>
      </c>
      <c r="D4230" s="34">
        <v>12</v>
      </c>
      <c r="E4230" s="34" t="s">
        <v>4623</v>
      </c>
      <c r="F4230" s="34" t="s">
        <v>30980</v>
      </c>
      <c r="G4230" s="3">
        <v>2.2000000000000001E-3</v>
      </c>
      <c r="H4230" s="36">
        <v>2.5000000000000001E-2</v>
      </c>
      <c r="I4230" s="36">
        <v>0.01</v>
      </c>
      <c r="J4230" s="37">
        <v>0</v>
      </c>
      <c r="K4230" s="37">
        <v>0</v>
      </c>
      <c r="L4230" s="36"/>
      <c r="M4230" s="36"/>
      <c r="N4230" s="36"/>
      <c r="P4230" s="35" t="s">
        <v>29849</v>
      </c>
      <c r="R4230" s="89"/>
      <c r="S4230" s="89">
        <f>100%-Table34[[#This Row],[PDF_initial fee]]</f>
        <v>1</v>
      </c>
      <c r="T4230" s="89"/>
      <c r="U4230" s="26"/>
      <c r="X4230" s="9"/>
      <c r="Y4230" s="80" t="e">
        <f>X4230/V4230</f>
        <v>#DIV/0!</v>
      </c>
      <c r="AA4230" s="35"/>
    </row>
    <row r="4231" spans="1:27" s="69" customFormat="1" hidden="1" x14ac:dyDescent="0.25">
      <c r="A4231" s="69">
        <v>768168</v>
      </c>
      <c r="B4231" s="69" t="s">
        <v>4624</v>
      </c>
      <c r="C4231" s="69" t="s">
        <v>30981</v>
      </c>
      <c r="D4231" s="69">
        <v>0</v>
      </c>
      <c r="E4231" s="69" t="s">
        <v>4624</v>
      </c>
      <c r="F4231" s="69" t="s">
        <v>3</v>
      </c>
      <c r="G4231" s="3"/>
      <c r="H4231" s="70">
        <v>0</v>
      </c>
      <c r="I4231" s="70">
        <v>0</v>
      </c>
      <c r="J4231" s="70">
        <v>0</v>
      </c>
      <c r="K4231" s="70">
        <v>0</v>
      </c>
      <c r="L4231" s="3">
        <f t="shared" ref="L4231:L4294" si="186">SUM(H4231:K4231)</f>
        <v>0</v>
      </c>
      <c r="M4231" s="3"/>
      <c r="N4231" s="3">
        <f t="shared" ref="N4231:N4294" si="187">L4231+G4231</f>
        <v>0</v>
      </c>
      <c r="O4231" s="70"/>
      <c r="R4231" s="89"/>
      <c r="S4231" s="89">
        <f>100%-Table34[[#This Row],[PDF_initial fee]]</f>
        <v>1</v>
      </c>
      <c r="T4231" s="89"/>
      <c r="U4231" s="26"/>
      <c r="X4231" s="9"/>
      <c r="Y4231" s="30"/>
    </row>
    <row r="4232" spans="1:27" hidden="1" x14ac:dyDescent="0.25">
      <c r="A4232">
        <v>768197</v>
      </c>
      <c r="B4232" t="s">
        <v>4625</v>
      </c>
      <c r="C4232" t="s">
        <v>30982</v>
      </c>
      <c r="D4232">
        <v>1</v>
      </c>
      <c r="E4232" t="s">
        <v>4625</v>
      </c>
      <c r="G4232" s="3"/>
      <c r="H4232" s="21">
        <v>0</v>
      </c>
      <c r="I4232" s="21">
        <v>0</v>
      </c>
      <c r="J4232" s="21">
        <v>0</v>
      </c>
      <c r="K4232" s="21">
        <v>0</v>
      </c>
      <c r="L4232" s="3">
        <f t="shared" si="186"/>
        <v>0</v>
      </c>
      <c r="M4232" s="3"/>
      <c r="N4232" s="3">
        <f t="shared" si="187"/>
        <v>0</v>
      </c>
      <c r="O4232" s="21"/>
      <c r="R4232" s="89"/>
      <c r="S4232" s="89">
        <f>100%-Table34[[#This Row],[PDF_initial fee]]</f>
        <v>1</v>
      </c>
      <c r="T4232" s="89"/>
      <c r="U4232" s="26"/>
      <c r="X4232" s="9"/>
    </row>
    <row r="4233" spans="1:27" hidden="1" x14ac:dyDescent="0.25">
      <c r="A4233">
        <v>768336</v>
      </c>
      <c r="B4233" t="s">
        <v>4626</v>
      </c>
      <c r="C4233" t="s">
        <v>6958</v>
      </c>
      <c r="D4233">
        <v>1</v>
      </c>
      <c r="E4233" t="s">
        <v>4626</v>
      </c>
      <c r="F4233" t="s">
        <v>6958</v>
      </c>
      <c r="G4233" s="3"/>
      <c r="H4233" s="21">
        <v>0</v>
      </c>
      <c r="I4233" s="21">
        <v>0</v>
      </c>
      <c r="J4233" s="21">
        <v>0</v>
      </c>
      <c r="K4233" s="21">
        <v>0</v>
      </c>
      <c r="L4233" s="3">
        <f t="shared" si="186"/>
        <v>0</v>
      </c>
      <c r="M4233" s="3"/>
      <c r="N4233" s="3">
        <f t="shared" si="187"/>
        <v>0</v>
      </c>
      <c r="R4233" s="89"/>
      <c r="S4233" s="89">
        <f>100%-Table34[[#This Row],[PDF_initial fee]]</f>
        <v>1</v>
      </c>
      <c r="T4233" s="89"/>
      <c r="U4233" s="26"/>
      <c r="X4233" s="9"/>
    </row>
    <row r="4234" spans="1:27" hidden="1" x14ac:dyDescent="0.25">
      <c r="A4234">
        <v>768337</v>
      </c>
      <c r="B4234" t="s">
        <v>4627</v>
      </c>
      <c r="C4234" t="s">
        <v>10153</v>
      </c>
      <c r="D4234">
        <v>3</v>
      </c>
      <c r="E4234" t="s">
        <v>4627</v>
      </c>
      <c r="G4234" s="3"/>
      <c r="H4234" s="3">
        <v>0</v>
      </c>
      <c r="I4234" s="3">
        <v>0</v>
      </c>
      <c r="J4234" s="3">
        <v>0</v>
      </c>
      <c r="K4234" s="3">
        <v>0</v>
      </c>
      <c r="L4234" s="3">
        <f t="shared" si="186"/>
        <v>0</v>
      </c>
      <c r="M4234" s="3"/>
      <c r="N4234" s="3">
        <f t="shared" si="187"/>
        <v>0</v>
      </c>
      <c r="R4234" s="89"/>
      <c r="S4234" s="89">
        <f>100%-Table34[[#This Row],[PDF_initial fee]]</f>
        <v>1</v>
      </c>
      <c r="T4234" s="89"/>
      <c r="U4234" s="26"/>
      <c r="X4234" s="9"/>
    </row>
    <row r="4235" spans="1:27" hidden="1" x14ac:dyDescent="0.25">
      <c r="A4235">
        <v>768417</v>
      </c>
      <c r="B4235" t="s">
        <v>4628</v>
      </c>
      <c r="C4235" t="s">
        <v>30983</v>
      </c>
      <c r="D4235">
        <v>2</v>
      </c>
      <c r="E4235" t="s">
        <v>4628</v>
      </c>
      <c r="G4235" s="3"/>
      <c r="H4235" s="3">
        <v>0</v>
      </c>
      <c r="I4235" s="3">
        <v>0</v>
      </c>
      <c r="J4235" s="3">
        <v>0</v>
      </c>
      <c r="K4235" s="3">
        <v>0</v>
      </c>
      <c r="L4235" s="3">
        <f t="shared" si="186"/>
        <v>0</v>
      </c>
      <c r="M4235" s="3"/>
      <c r="N4235" s="3">
        <f t="shared" si="187"/>
        <v>0</v>
      </c>
      <c r="R4235" s="89"/>
      <c r="S4235" s="89">
        <f>100%-Table34[[#This Row],[PDF_initial fee]]</f>
        <v>1</v>
      </c>
      <c r="T4235" s="89"/>
      <c r="U4235" s="26"/>
      <c r="X4235" s="9"/>
    </row>
    <row r="4236" spans="1:27" hidden="1" x14ac:dyDescent="0.25">
      <c r="A4236">
        <v>768949</v>
      </c>
      <c r="B4236" t="s">
        <v>4629</v>
      </c>
      <c r="C4236" t="s">
        <v>30984</v>
      </c>
      <c r="D4236">
        <v>1</v>
      </c>
      <c r="E4236" t="s">
        <v>4629</v>
      </c>
      <c r="G4236" s="3"/>
      <c r="H4236" s="3">
        <v>0</v>
      </c>
      <c r="I4236" s="3">
        <v>0</v>
      </c>
      <c r="J4236" s="3">
        <v>0</v>
      </c>
      <c r="K4236" s="3">
        <v>0</v>
      </c>
      <c r="L4236" s="3">
        <f t="shared" si="186"/>
        <v>0</v>
      </c>
      <c r="M4236" s="3"/>
      <c r="N4236" s="3">
        <f t="shared" si="187"/>
        <v>0</v>
      </c>
      <c r="R4236" s="89"/>
      <c r="S4236" s="89">
        <f>100%-Table34[[#This Row],[PDF_initial fee]]</f>
        <v>1</v>
      </c>
      <c r="T4236" s="89"/>
      <c r="U4236" s="26"/>
      <c r="X4236" s="9"/>
    </row>
    <row r="4237" spans="1:27" hidden="1" x14ac:dyDescent="0.25">
      <c r="A4237">
        <v>768993</v>
      </c>
      <c r="B4237" t="s">
        <v>4630</v>
      </c>
      <c r="C4237" t="s">
        <v>30985</v>
      </c>
      <c r="D4237">
        <v>0</v>
      </c>
      <c r="E4237" t="s">
        <v>4630</v>
      </c>
      <c r="F4237" t="s">
        <v>29136</v>
      </c>
      <c r="G4237" s="3"/>
      <c r="H4237" s="3">
        <v>0</v>
      </c>
      <c r="I4237" s="3">
        <v>0</v>
      </c>
      <c r="J4237" s="3">
        <v>0</v>
      </c>
      <c r="K4237" s="3">
        <v>0</v>
      </c>
      <c r="L4237" s="3">
        <f t="shared" si="186"/>
        <v>0</v>
      </c>
      <c r="M4237" s="3"/>
      <c r="N4237" s="3">
        <f t="shared" si="187"/>
        <v>0</v>
      </c>
      <c r="R4237" s="89"/>
      <c r="S4237" s="89">
        <f>100%-Table34[[#This Row],[PDF_initial fee]]</f>
        <v>1</v>
      </c>
      <c r="T4237" s="89"/>
      <c r="U4237" s="26"/>
      <c r="X4237" s="9"/>
    </row>
    <row r="4238" spans="1:27" hidden="1" x14ac:dyDescent="0.25">
      <c r="A4238">
        <v>769030</v>
      </c>
      <c r="B4238" t="s">
        <v>4631</v>
      </c>
      <c r="C4238" t="s">
        <v>6958</v>
      </c>
      <c r="D4238">
        <v>1</v>
      </c>
      <c r="E4238" t="s">
        <v>4631</v>
      </c>
      <c r="F4238" t="s">
        <v>6958</v>
      </c>
      <c r="G4238" s="3"/>
      <c r="L4238" s="3">
        <f t="shared" si="186"/>
        <v>0</v>
      </c>
      <c r="M4238" s="3"/>
      <c r="N4238" s="3">
        <f t="shared" si="187"/>
        <v>0</v>
      </c>
      <c r="R4238" s="89"/>
      <c r="S4238" s="89">
        <f>100%-Table34[[#This Row],[PDF_initial fee]]</f>
        <v>1</v>
      </c>
      <c r="T4238" s="89"/>
      <c r="U4238" s="26"/>
      <c r="X4238" s="9"/>
    </row>
    <row r="4239" spans="1:27" x14ac:dyDescent="0.25">
      <c r="A4239">
        <v>435970</v>
      </c>
      <c r="B4239" t="s">
        <v>160</v>
      </c>
      <c r="C4239" s="1" t="s">
        <v>30986</v>
      </c>
      <c r="D4239">
        <v>67</v>
      </c>
      <c r="E4239" t="s">
        <v>160</v>
      </c>
      <c r="F4239" t="s">
        <v>6</v>
      </c>
      <c r="G4239" s="3">
        <v>9.4000000000000004E-3</v>
      </c>
      <c r="H4239" s="3">
        <v>0.03</v>
      </c>
      <c r="I4239" s="3">
        <v>0.01</v>
      </c>
      <c r="J4239" s="6">
        <v>0</v>
      </c>
      <c r="K4239" s="6">
        <v>0</v>
      </c>
      <c r="L4239" s="3">
        <f t="shared" si="186"/>
        <v>0.04</v>
      </c>
      <c r="M4239" s="3"/>
      <c r="N4239" s="3">
        <f t="shared" si="187"/>
        <v>4.9399999999999999E-2</v>
      </c>
      <c r="O4239" t="s">
        <v>30987</v>
      </c>
      <c r="P4239" s="1" t="s">
        <v>30988</v>
      </c>
      <c r="Q4239" s="1" t="s">
        <v>31792</v>
      </c>
      <c r="R4239" s="89">
        <v>0.19270000000000001</v>
      </c>
      <c r="S4239" s="89">
        <f>100%-Table34[[#This Row],[InitialFee]]</f>
        <v>0.97</v>
      </c>
      <c r="T4239" s="89">
        <f>(1-Table34[[#This Row],[OngoingFee (plus Platform fee)]])^5</f>
        <v>0.95099004989999991</v>
      </c>
      <c r="U4239" s="26">
        <f>(1+Table34[[#This Row],[Net 5yrs return (mostly up to 28th of Feb 2026)]])*Table34[[#This Row],[Investment after initial charge]]*Table34[[#This Row],[Cummulative 5yrs ongoing advice charge]]-1</f>
        <v>0.10021845754025804</v>
      </c>
      <c r="V4239" s="10">
        <v>169640000</v>
      </c>
      <c r="W4239" s="10" t="s">
        <v>29051</v>
      </c>
      <c r="X4239" s="10">
        <v>136930000</v>
      </c>
      <c r="Y4239" s="30">
        <f>X4239/V4239</f>
        <v>0.80717991039849091</v>
      </c>
      <c r="Z4239" s="10" t="s">
        <v>12692</v>
      </c>
      <c r="AA4239" s="1" t="s">
        <v>30989</v>
      </c>
    </row>
    <row r="4240" spans="1:27" hidden="1" x14ac:dyDescent="0.25">
      <c r="A4240">
        <v>769227</v>
      </c>
      <c r="B4240" t="s">
        <v>4632</v>
      </c>
      <c r="C4240" s="1" t="s">
        <v>30990</v>
      </c>
      <c r="D4240">
        <v>1</v>
      </c>
      <c r="E4240" t="s">
        <v>4632</v>
      </c>
      <c r="G4240" s="3"/>
      <c r="H4240" s="3">
        <v>0</v>
      </c>
      <c r="I4240" s="3">
        <v>0</v>
      </c>
      <c r="J4240" s="3">
        <v>0</v>
      </c>
      <c r="K4240" s="3">
        <v>0</v>
      </c>
      <c r="L4240" s="3">
        <f t="shared" si="186"/>
        <v>0</v>
      </c>
      <c r="M4240" s="3"/>
      <c r="N4240" s="3">
        <f t="shared" si="187"/>
        <v>0</v>
      </c>
      <c r="R4240" s="89"/>
      <c r="S4240" s="89">
        <f>100%-Table34[[#This Row],[PDF_initial fee]]</f>
        <v>1</v>
      </c>
      <c r="T4240" s="89"/>
      <c r="U4240" s="26"/>
      <c r="X4240" s="9"/>
    </row>
    <row r="4241" spans="1:27" hidden="1" x14ac:dyDescent="0.25">
      <c r="A4241">
        <v>769483</v>
      </c>
      <c r="B4241" t="s">
        <v>4633</v>
      </c>
      <c r="C4241" t="s">
        <v>10336</v>
      </c>
      <c r="D4241">
        <v>3</v>
      </c>
      <c r="E4241" t="s">
        <v>4633</v>
      </c>
      <c r="G4241" s="3"/>
      <c r="H4241" s="3">
        <v>0</v>
      </c>
      <c r="I4241" s="3">
        <v>0</v>
      </c>
      <c r="J4241" s="3">
        <v>0</v>
      </c>
      <c r="K4241" s="3">
        <v>0</v>
      </c>
      <c r="L4241" s="3">
        <f t="shared" si="186"/>
        <v>0</v>
      </c>
      <c r="M4241" s="3"/>
      <c r="N4241" s="3">
        <f t="shared" si="187"/>
        <v>0</v>
      </c>
      <c r="R4241" s="89"/>
      <c r="S4241" s="89">
        <f>100%-Table34[[#This Row],[PDF_initial fee]]</f>
        <v>1</v>
      </c>
      <c r="T4241" s="89"/>
      <c r="U4241" s="26"/>
      <c r="X4241" s="9"/>
    </row>
    <row r="4242" spans="1:27" x14ac:dyDescent="0.25">
      <c r="A4242">
        <v>120967</v>
      </c>
      <c r="B4242" t="s">
        <v>20</v>
      </c>
      <c r="C4242" s="1" t="s">
        <v>30991</v>
      </c>
      <c r="D4242">
        <v>5</v>
      </c>
      <c r="E4242" t="s">
        <v>20</v>
      </c>
      <c r="F4242" t="s">
        <v>6</v>
      </c>
      <c r="G4242" s="3">
        <v>9.7999999999999997E-3</v>
      </c>
      <c r="H4242" s="3">
        <v>0.03</v>
      </c>
      <c r="I4242" s="3">
        <v>0.01</v>
      </c>
      <c r="J4242" s="6">
        <v>0</v>
      </c>
      <c r="K4242" s="6">
        <v>0</v>
      </c>
      <c r="L4242" s="3">
        <f t="shared" si="186"/>
        <v>0.04</v>
      </c>
      <c r="M4242" s="3"/>
      <c r="N4242" s="3">
        <f t="shared" si="187"/>
        <v>4.9799999999999997E-2</v>
      </c>
      <c r="O4242" t="s">
        <v>30992</v>
      </c>
      <c r="P4242" s="1" t="s">
        <v>30988</v>
      </c>
      <c r="Q4242" s="1" t="s">
        <v>31792</v>
      </c>
      <c r="R4242" s="89">
        <v>0.19270000000000001</v>
      </c>
      <c r="S4242" s="89">
        <f>100%-Table34[[#This Row],[InitialFee]]</f>
        <v>0.97</v>
      </c>
      <c r="T4242" s="89">
        <f>(1-Table34[[#This Row],[OngoingFee (plus Platform fee)]])^5</f>
        <v>0.95099004989999991</v>
      </c>
      <c r="U4242" s="26">
        <f>(1+Table34[[#This Row],[Net 5yrs return (mostly up to 28th of Feb 2026)]])*Table34[[#This Row],[Investment after initial charge]]*Table34[[#This Row],[Cummulative 5yrs ongoing advice charge]]-1</f>
        <v>0.10021845754025804</v>
      </c>
      <c r="V4242" s="10">
        <v>169640000</v>
      </c>
      <c r="W4242" s="10" t="s">
        <v>29051</v>
      </c>
      <c r="X4242" s="10">
        <v>136930000</v>
      </c>
      <c r="Y4242" s="10">
        <f>X4242/V4242</f>
        <v>0.80717991039849091</v>
      </c>
      <c r="Z4242" s="10" t="s">
        <v>12692</v>
      </c>
      <c r="AA4242" s="1" t="s">
        <v>30989</v>
      </c>
    </row>
    <row r="4243" spans="1:27" hidden="1" x14ac:dyDescent="0.25">
      <c r="A4243">
        <v>769876</v>
      </c>
      <c r="B4243" t="s">
        <v>4635</v>
      </c>
      <c r="C4243" t="s">
        <v>30993</v>
      </c>
      <c r="D4243">
        <v>0</v>
      </c>
      <c r="E4243" t="s">
        <v>4635</v>
      </c>
      <c r="F4243" t="s">
        <v>29136</v>
      </c>
      <c r="G4243" s="3"/>
      <c r="H4243" s="21">
        <v>0</v>
      </c>
      <c r="I4243" s="21">
        <v>0</v>
      </c>
      <c r="J4243" s="21">
        <v>0</v>
      </c>
      <c r="K4243" s="21">
        <v>0</v>
      </c>
      <c r="L4243" s="3">
        <f t="shared" si="186"/>
        <v>0</v>
      </c>
      <c r="M4243" s="3"/>
      <c r="N4243" s="3">
        <f t="shared" si="187"/>
        <v>0</v>
      </c>
      <c r="O4243" s="21"/>
      <c r="R4243" s="89"/>
      <c r="S4243" s="89">
        <f>100%-Table34[[#This Row],[PDF_initial fee]]</f>
        <v>1</v>
      </c>
      <c r="T4243" s="89"/>
      <c r="U4243" s="26"/>
      <c r="X4243" s="9"/>
    </row>
    <row r="4244" spans="1:27" hidden="1" x14ac:dyDescent="0.25">
      <c r="A4244">
        <v>770375</v>
      </c>
      <c r="B4244" t="s">
        <v>4637</v>
      </c>
      <c r="C4244" t="s">
        <v>11814</v>
      </c>
      <c r="D4244">
        <v>7</v>
      </c>
      <c r="E4244" t="s">
        <v>4637</v>
      </c>
      <c r="G4244" s="3"/>
      <c r="H4244" s="3"/>
      <c r="I4244" s="3"/>
      <c r="J4244" s="3"/>
      <c r="K4244" s="3"/>
      <c r="L4244" s="3">
        <f t="shared" si="186"/>
        <v>0</v>
      </c>
      <c r="M4244" s="3"/>
      <c r="N4244" s="3">
        <f t="shared" si="187"/>
        <v>0</v>
      </c>
      <c r="R4244" s="89"/>
      <c r="S4244" s="89">
        <f>100%-Table34[[#This Row],[PDF_initial fee]]</f>
        <v>1</v>
      </c>
      <c r="T4244" s="89"/>
      <c r="U4244" s="26"/>
      <c r="X4244" s="9"/>
    </row>
    <row r="4245" spans="1:27" hidden="1" x14ac:dyDescent="0.25">
      <c r="A4245">
        <v>770385</v>
      </c>
      <c r="B4245" t="s">
        <v>4638</v>
      </c>
      <c r="C4245" t="s">
        <v>6958</v>
      </c>
      <c r="D4245">
        <v>1</v>
      </c>
      <c r="E4245" t="s">
        <v>4638</v>
      </c>
      <c r="F4245" t="s">
        <v>6958</v>
      </c>
      <c r="G4245" s="3"/>
      <c r="H4245" s="21">
        <v>0</v>
      </c>
      <c r="I4245" s="21">
        <v>0</v>
      </c>
      <c r="J4245" s="21">
        <v>0</v>
      </c>
      <c r="K4245" s="21">
        <v>0</v>
      </c>
      <c r="L4245" s="3">
        <f t="shared" si="186"/>
        <v>0</v>
      </c>
      <c r="M4245" s="3"/>
      <c r="N4245" s="3">
        <f t="shared" si="187"/>
        <v>0</v>
      </c>
      <c r="R4245" s="89"/>
      <c r="S4245" s="89">
        <f>100%-Table34[[#This Row],[PDF_initial fee]]</f>
        <v>1</v>
      </c>
      <c r="T4245" s="89"/>
      <c r="U4245" s="26"/>
      <c r="X4245" s="9"/>
    </row>
    <row r="4246" spans="1:27" hidden="1" x14ac:dyDescent="0.25">
      <c r="A4246">
        <v>770509</v>
      </c>
      <c r="B4246" t="s">
        <v>4639</v>
      </c>
      <c r="C4246" t="s">
        <v>30994</v>
      </c>
      <c r="D4246">
        <v>3</v>
      </c>
      <c r="E4246" t="s">
        <v>4639</v>
      </c>
      <c r="G4246" s="3"/>
      <c r="H4246" s="3">
        <v>0</v>
      </c>
      <c r="I4246" s="3">
        <v>0</v>
      </c>
      <c r="J4246" s="3">
        <v>0</v>
      </c>
      <c r="K4246" s="3">
        <v>0</v>
      </c>
      <c r="L4246" s="3">
        <f t="shared" si="186"/>
        <v>0</v>
      </c>
      <c r="M4246" s="3"/>
      <c r="N4246" s="3">
        <f t="shared" si="187"/>
        <v>0</v>
      </c>
      <c r="R4246" s="89"/>
      <c r="S4246" s="89">
        <f>100%-Table34[[#This Row],[PDF_initial fee]]</f>
        <v>1</v>
      </c>
      <c r="T4246" s="89"/>
      <c r="U4246" s="26"/>
      <c r="X4246" s="9"/>
    </row>
    <row r="4247" spans="1:27" hidden="1" x14ac:dyDescent="0.25">
      <c r="A4247">
        <v>770606</v>
      </c>
      <c r="B4247" t="s">
        <v>4640</v>
      </c>
      <c r="C4247" t="s">
        <v>12399</v>
      </c>
      <c r="D4247">
        <v>5</v>
      </c>
      <c r="E4247" t="s">
        <v>4640</v>
      </c>
      <c r="G4247" s="3"/>
      <c r="H4247" s="3">
        <v>0</v>
      </c>
      <c r="I4247" s="3">
        <v>0</v>
      </c>
      <c r="J4247" s="3">
        <v>0</v>
      </c>
      <c r="K4247" s="3">
        <v>0</v>
      </c>
      <c r="L4247" s="3">
        <f t="shared" si="186"/>
        <v>0</v>
      </c>
      <c r="M4247" s="3"/>
      <c r="N4247" s="3">
        <f t="shared" si="187"/>
        <v>0</v>
      </c>
      <c r="R4247" s="89"/>
      <c r="S4247" s="89">
        <f>100%-Table34[[#This Row],[PDF_initial fee]]</f>
        <v>1</v>
      </c>
      <c r="T4247" s="89"/>
      <c r="U4247" s="26"/>
      <c r="X4247" s="9"/>
    </row>
    <row r="4248" spans="1:27" hidden="1" x14ac:dyDescent="0.25">
      <c r="A4248">
        <v>770616</v>
      </c>
      <c r="B4248" t="s">
        <v>4641</v>
      </c>
      <c r="C4248" t="s">
        <v>30995</v>
      </c>
      <c r="D4248">
        <v>3</v>
      </c>
      <c r="E4248" t="s">
        <v>4641</v>
      </c>
      <c r="G4248" s="3"/>
      <c r="H4248" s="21">
        <v>0</v>
      </c>
      <c r="I4248" s="21">
        <v>0</v>
      </c>
      <c r="J4248" s="21">
        <v>0</v>
      </c>
      <c r="K4248" s="21">
        <v>0</v>
      </c>
      <c r="L4248" s="3">
        <f t="shared" si="186"/>
        <v>0</v>
      </c>
      <c r="M4248" s="3"/>
      <c r="N4248" s="3">
        <f t="shared" si="187"/>
        <v>0</v>
      </c>
      <c r="O4248" s="21"/>
      <c r="R4248" s="89"/>
      <c r="S4248" s="89">
        <f>100%-Table34[[#This Row],[PDF_initial fee]]</f>
        <v>1</v>
      </c>
      <c r="T4248" s="89"/>
      <c r="U4248" s="26"/>
      <c r="X4248" s="9"/>
    </row>
    <row r="4249" spans="1:27" hidden="1" x14ac:dyDescent="0.25">
      <c r="A4249">
        <v>770728</v>
      </c>
      <c r="B4249" t="s">
        <v>4642</v>
      </c>
      <c r="C4249" t="s">
        <v>7577</v>
      </c>
      <c r="D4249">
        <v>1</v>
      </c>
      <c r="E4249" t="s">
        <v>4642</v>
      </c>
      <c r="G4249" s="3"/>
      <c r="H4249" s="21">
        <v>0</v>
      </c>
      <c r="I4249" s="21">
        <v>0</v>
      </c>
      <c r="J4249" s="21">
        <v>0</v>
      </c>
      <c r="K4249" s="21">
        <v>0</v>
      </c>
      <c r="L4249" s="3">
        <f t="shared" si="186"/>
        <v>0</v>
      </c>
      <c r="M4249" s="3"/>
      <c r="N4249" s="3">
        <f t="shared" si="187"/>
        <v>0</v>
      </c>
      <c r="R4249" s="89"/>
      <c r="S4249" s="89">
        <f>100%-Table34[[#This Row],[PDF_initial fee]]</f>
        <v>1</v>
      </c>
      <c r="T4249" s="89"/>
      <c r="U4249" s="26"/>
      <c r="X4249" s="9"/>
    </row>
    <row r="4250" spans="1:27" hidden="1" x14ac:dyDescent="0.25">
      <c r="A4250">
        <v>771172</v>
      </c>
      <c r="B4250" t="s">
        <v>4643</v>
      </c>
      <c r="C4250" t="s">
        <v>6958</v>
      </c>
      <c r="D4250">
        <v>4</v>
      </c>
      <c r="E4250" t="s">
        <v>4643</v>
      </c>
      <c r="F4250" t="s">
        <v>6958</v>
      </c>
      <c r="G4250" s="3"/>
      <c r="H4250" s="21">
        <v>0</v>
      </c>
      <c r="I4250" s="21">
        <v>0</v>
      </c>
      <c r="J4250" s="21">
        <v>0</v>
      </c>
      <c r="K4250" s="21">
        <v>0</v>
      </c>
      <c r="L4250" s="3">
        <f t="shared" si="186"/>
        <v>0</v>
      </c>
      <c r="M4250" s="3"/>
      <c r="N4250" s="3">
        <f t="shared" si="187"/>
        <v>0</v>
      </c>
      <c r="R4250" s="89"/>
      <c r="S4250" s="89">
        <f>100%-Table34[[#This Row],[PDF_initial fee]]</f>
        <v>1</v>
      </c>
      <c r="T4250" s="89"/>
      <c r="U4250" s="26"/>
      <c r="X4250" s="9"/>
    </row>
    <row r="4251" spans="1:27" hidden="1" x14ac:dyDescent="0.25">
      <c r="A4251">
        <v>771182</v>
      </c>
      <c r="B4251" t="s">
        <v>4644</v>
      </c>
      <c r="C4251" t="s">
        <v>6958</v>
      </c>
      <c r="D4251">
        <v>1</v>
      </c>
      <c r="E4251" t="s">
        <v>4644</v>
      </c>
      <c r="F4251" t="s">
        <v>6958</v>
      </c>
      <c r="G4251" s="3"/>
      <c r="H4251" s="21">
        <v>0</v>
      </c>
      <c r="I4251" s="21">
        <v>0</v>
      </c>
      <c r="J4251" s="21">
        <v>0</v>
      </c>
      <c r="K4251" s="21">
        <v>0</v>
      </c>
      <c r="L4251" s="3">
        <f t="shared" si="186"/>
        <v>0</v>
      </c>
      <c r="M4251" s="3"/>
      <c r="N4251" s="3">
        <f t="shared" si="187"/>
        <v>0</v>
      </c>
      <c r="R4251" s="89"/>
      <c r="S4251" s="89">
        <f>100%-Table34[[#This Row],[PDF_initial fee]]</f>
        <v>1</v>
      </c>
      <c r="T4251" s="89"/>
      <c r="U4251" s="26"/>
      <c r="X4251" s="9"/>
    </row>
    <row r="4252" spans="1:27" hidden="1" x14ac:dyDescent="0.25">
      <c r="A4252">
        <v>771505</v>
      </c>
      <c r="B4252" t="s">
        <v>4645</v>
      </c>
      <c r="C4252" t="s">
        <v>30996</v>
      </c>
      <c r="D4252">
        <v>2</v>
      </c>
      <c r="E4252" t="s">
        <v>4645</v>
      </c>
      <c r="G4252" s="3"/>
      <c r="H4252" s="21">
        <v>0</v>
      </c>
      <c r="I4252" s="21">
        <v>0</v>
      </c>
      <c r="J4252" s="21">
        <v>0</v>
      </c>
      <c r="K4252" s="21">
        <v>0</v>
      </c>
      <c r="L4252" s="3">
        <f t="shared" si="186"/>
        <v>0</v>
      </c>
      <c r="M4252" s="3"/>
      <c r="N4252" s="3">
        <f t="shared" si="187"/>
        <v>0</v>
      </c>
      <c r="O4252" s="21"/>
      <c r="R4252" s="89"/>
      <c r="S4252" s="89">
        <f>100%-Table34[[#This Row],[PDF_initial fee]]</f>
        <v>1</v>
      </c>
      <c r="T4252" s="89"/>
      <c r="U4252" s="26"/>
      <c r="X4252" s="9"/>
    </row>
    <row r="4253" spans="1:27" hidden="1" x14ac:dyDescent="0.25">
      <c r="A4253">
        <v>771506</v>
      </c>
      <c r="B4253" t="s">
        <v>4646</v>
      </c>
      <c r="C4253" t="s">
        <v>30997</v>
      </c>
      <c r="D4253">
        <v>4</v>
      </c>
      <c r="E4253" t="s">
        <v>4646</v>
      </c>
      <c r="G4253" s="3"/>
      <c r="H4253" s="3">
        <v>0</v>
      </c>
      <c r="I4253" s="3">
        <v>0</v>
      </c>
      <c r="J4253" s="3">
        <v>0</v>
      </c>
      <c r="K4253" s="3">
        <v>0</v>
      </c>
      <c r="L4253" s="3">
        <f t="shared" si="186"/>
        <v>0</v>
      </c>
      <c r="M4253" s="3"/>
      <c r="N4253" s="3">
        <f t="shared" si="187"/>
        <v>0</v>
      </c>
      <c r="R4253" s="89"/>
      <c r="S4253" s="89">
        <f>100%-Table34[[#This Row],[PDF_initial fee]]</f>
        <v>1</v>
      </c>
      <c r="T4253" s="89"/>
      <c r="U4253" s="26"/>
      <c r="X4253" s="9"/>
    </row>
    <row r="4254" spans="1:27" hidden="1" x14ac:dyDescent="0.25">
      <c r="A4254">
        <v>771586</v>
      </c>
      <c r="B4254" t="s">
        <v>4647</v>
      </c>
      <c r="C4254" t="s">
        <v>6958</v>
      </c>
      <c r="D4254">
        <v>3</v>
      </c>
      <c r="E4254" t="s">
        <v>4647</v>
      </c>
      <c r="F4254" t="s">
        <v>6958</v>
      </c>
      <c r="G4254" s="3"/>
      <c r="H4254" s="21">
        <v>0</v>
      </c>
      <c r="I4254" s="21">
        <v>0</v>
      </c>
      <c r="J4254" s="21">
        <v>0</v>
      </c>
      <c r="K4254" s="21">
        <v>0</v>
      </c>
      <c r="L4254" s="3">
        <f t="shared" si="186"/>
        <v>0</v>
      </c>
      <c r="M4254" s="3"/>
      <c r="N4254" s="3">
        <f t="shared" si="187"/>
        <v>0</v>
      </c>
      <c r="R4254" s="89"/>
      <c r="S4254" s="89">
        <f>100%-Table34[[#This Row],[PDF_initial fee]]</f>
        <v>1</v>
      </c>
      <c r="T4254" s="89"/>
      <c r="U4254" s="26"/>
      <c r="X4254" s="9"/>
    </row>
    <row r="4255" spans="1:27" hidden="1" x14ac:dyDescent="0.25">
      <c r="A4255">
        <v>771963</v>
      </c>
      <c r="B4255" t="s">
        <v>4648</v>
      </c>
      <c r="C4255" t="s">
        <v>6958</v>
      </c>
      <c r="D4255">
        <v>2</v>
      </c>
      <c r="E4255" t="s">
        <v>4648</v>
      </c>
      <c r="F4255" t="s">
        <v>6958</v>
      </c>
      <c r="G4255" s="3"/>
      <c r="H4255" s="21">
        <v>0</v>
      </c>
      <c r="I4255" s="21">
        <v>0</v>
      </c>
      <c r="J4255" s="21">
        <v>0</v>
      </c>
      <c r="K4255" s="21">
        <v>0</v>
      </c>
      <c r="L4255" s="3">
        <f t="shared" si="186"/>
        <v>0</v>
      </c>
      <c r="M4255" s="3"/>
      <c r="N4255" s="3">
        <f t="shared" si="187"/>
        <v>0</v>
      </c>
      <c r="R4255" s="89"/>
      <c r="S4255" s="89">
        <f>100%-Table34[[#This Row],[PDF_initial fee]]</f>
        <v>1</v>
      </c>
      <c r="T4255" s="89"/>
      <c r="U4255" s="26"/>
      <c r="X4255" s="9"/>
    </row>
    <row r="4256" spans="1:27" hidden="1" x14ac:dyDescent="0.25">
      <c r="A4256">
        <v>772054</v>
      </c>
      <c r="B4256" t="s">
        <v>4649</v>
      </c>
      <c r="C4256" t="s">
        <v>30998</v>
      </c>
      <c r="D4256">
        <v>1</v>
      </c>
      <c r="E4256" t="s">
        <v>4649</v>
      </c>
      <c r="G4256" s="3"/>
      <c r="H4256" s="3">
        <v>0</v>
      </c>
      <c r="I4256" s="3">
        <v>0</v>
      </c>
      <c r="J4256" s="3">
        <v>0</v>
      </c>
      <c r="K4256" s="3">
        <v>0</v>
      </c>
      <c r="L4256" s="3">
        <f t="shared" si="186"/>
        <v>0</v>
      </c>
      <c r="M4256" s="3"/>
      <c r="N4256" s="3">
        <f t="shared" si="187"/>
        <v>0</v>
      </c>
      <c r="R4256" s="89"/>
      <c r="S4256" s="89">
        <f>100%-Table34[[#This Row],[PDF_initial fee]]</f>
        <v>1</v>
      </c>
      <c r="T4256" s="89"/>
      <c r="U4256" s="26"/>
      <c r="X4256" s="9"/>
    </row>
    <row r="4257" spans="1:27" hidden="1" x14ac:dyDescent="0.25">
      <c r="A4257">
        <v>772311</v>
      </c>
      <c r="B4257" t="s">
        <v>4650</v>
      </c>
      <c r="C4257" t="s">
        <v>30999</v>
      </c>
      <c r="D4257">
        <v>1</v>
      </c>
      <c r="E4257" t="s">
        <v>4650</v>
      </c>
      <c r="G4257" s="3"/>
      <c r="H4257" s="3">
        <v>0</v>
      </c>
      <c r="I4257" s="3">
        <v>0</v>
      </c>
      <c r="J4257" s="3">
        <v>0</v>
      </c>
      <c r="K4257" s="3">
        <v>0</v>
      </c>
      <c r="L4257" s="3">
        <f t="shared" si="186"/>
        <v>0</v>
      </c>
      <c r="M4257" s="3"/>
      <c r="N4257" s="3">
        <f t="shared" si="187"/>
        <v>0</v>
      </c>
      <c r="R4257" s="89"/>
      <c r="S4257" s="89">
        <f>100%-Table34[[#This Row],[PDF_initial fee]]</f>
        <v>1</v>
      </c>
      <c r="T4257" s="89"/>
      <c r="U4257" s="26"/>
      <c r="X4257" s="9"/>
    </row>
    <row r="4258" spans="1:27" hidden="1" x14ac:dyDescent="0.25">
      <c r="A4258">
        <v>772323</v>
      </c>
      <c r="B4258" t="s">
        <v>4651</v>
      </c>
      <c r="C4258" t="s">
        <v>6958</v>
      </c>
      <c r="D4258">
        <v>1</v>
      </c>
      <c r="E4258" t="s">
        <v>4651</v>
      </c>
      <c r="F4258" t="s">
        <v>6958</v>
      </c>
      <c r="G4258" s="3"/>
      <c r="L4258" s="3">
        <f t="shared" si="186"/>
        <v>0</v>
      </c>
      <c r="M4258" s="3"/>
      <c r="N4258" s="3">
        <f t="shared" si="187"/>
        <v>0</v>
      </c>
      <c r="R4258" s="89"/>
      <c r="S4258" s="89">
        <f>100%-Table34[[#This Row],[PDF_initial fee]]</f>
        <v>1</v>
      </c>
      <c r="T4258" s="89"/>
      <c r="U4258" s="26"/>
      <c r="X4258" s="9"/>
    </row>
    <row r="4259" spans="1:27" hidden="1" x14ac:dyDescent="0.25">
      <c r="A4259">
        <v>772349</v>
      </c>
      <c r="B4259" t="s">
        <v>4652</v>
      </c>
      <c r="C4259" t="s">
        <v>6958</v>
      </c>
      <c r="D4259">
        <v>1</v>
      </c>
      <c r="E4259" t="s">
        <v>4652</v>
      </c>
      <c r="F4259" t="s">
        <v>6958</v>
      </c>
      <c r="G4259" s="3"/>
      <c r="H4259" s="21">
        <v>0</v>
      </c>
      <c r="I4259" s="21">
        <v>0</v>
      </c>
      <c r="J4259" s="21">
        <v>0</v>
      </c>
      <c r="K4259" s="21">
        <v>0</v>
      </c>
      <c r="L4259" s="3">
        <f t="shared" si="186"/>
        <v>0</v>
      </c>
      <c r="M4259" s="3"/>
      <c r="N4259" s="3">
        <f t="shared" si="187"/>
        <v>0</v>
      </c>
      <c r="R4259" s="89"/>
      <c r="S4259" s="89">
        <f>100%-Table34[[#This Row],[PDF_initial fee]]</f>
        <v>1</v>
      </c>
      <c r="T4259" s="89"/>
      <c r="U4259" s="26"/>
      <c r="X4259" s="9"/>
    </row>
    <row r="4260" spans="1:27" x14ac:dyDescent="0.25">
      <c r="A4260">
        <v>144519</v>
      </c>
      <c r="B4260" t="s">
        <v>60</v>
      </c>
      <c r="C4260" s="1" t="s">
        <v>6987</v>
      </c>
      <c r="D4260">
        <v>67</v>
      </c>
      <c r="E4260" t="s">
        <v>60</v>
      </c>
      <c r="F4260" t="s">
        <v>6</v>
      </c>
      <c r="G4260" s="3">
        <v>9.7999999999999997E-3</v>
      </c>
      <c r="H4260" s="3">
        <v>0.03</v>
      </c>
      <c r="I4260" s="3">
        <v>0.01</v>
      </c>
      <c r="J4260" s="6">
        <v>0</v>
      </c>
      <c r="K4260" s="6">
        <v>0</v>
      </c>
      <c r="L4260" s="3">
        <f t="shared" si="186"/>
        <v>0.04</v>
      </c>
      <c r="M4260" s="3"/>
      <c r="N4260" s="3">
        <f t="shared" si="187"/>
        <v>4.9799999999999997E-2</v>
      </c>
      <c r="O4260" t="s">
        <v>31000</v>
      </c>
      <c r="P4260" s="1" t="s">
        <v>30988</v>
      </c>
      <c r="Q4260" s="1" t="s">
        <v>31792</v>
      </c>
      <c r="R4260" s="89">
        <v>0.19270000000000001</v>
      </c>
      <c r="S4260" s="89">
        <f>100%-Table34[[#This Row],[InitialFee]]</f>
        <v>0.97</v>
      </c>
      <c r="T4260" s="89">
        <f>(1-Table34[[#This Row],[OngoingFee (plus Platform fee)]])^5</f>
        <v>0.95099004989999991</v>
      </c>
      <c r="U4260" s="26">
        <f>(1+Table34[[#This Row],[Net 5yrs return (mostly up to 28th of Feb 2026)]])*Table34[[#This Row],[Investment after initial charge]]*Table34[[#This Row],[Cummulative 5yrs ongoing advice charge]]-1</f>
        <v>0.10021845754025804</v>
      </c>
      <c r="V4260" s="10">
        <v>169640000</v>
      </c>
      <c r="W4260" s="10" t="s">
        <v>29051</v>
      </c>
      <c r="X4260" s="10">
        <v>136930000</v>
      </c>
      <c r="Y4260" s="30">
        <f>X4260/V4260</f>
        <v>0.80717991039849091</v>
      </c>
      <c r="Z4260" s="10" t="s">
        <v>12692</v>
      </c>
      <c r="AA4260" s="1" t="s">
        <v>30989</v>
      </c>
    </row>
    <row r="4261" spans="1:27" hidden="1" x14ac:dyDescent="0.25">
      <c r="A4261">
        <v>772454</v>
      </c>
      <c r="B4261" t="s">
        <v>4654</v>
      </c>
      <c r="C4261" t="s">
        <v>7801</v>
      </c>
      <c r="D4261">
        <v>1</v>
      </c>
      <c r="E4261" t="s">
        <v>4654</v>
      </c>
      <c r="G4261" s="3"/>
      <c r="H4261" s="21">
        <v>0</v>
      </c>
      <c r="I4261" s="21">
        <v>0</v>
      </c>
      <c r="J4261" s="21">
        <v>0</v>
      </c>
      <c r="K4261" s="21">
        <v>0</v>
      </c>
      <c r="L4261" s="3">
        <f t="shared" si="186"/>
        <v>0</v>
      </c>
      <c r="M4261" s="3"/>
      <c r="N4261" s="3">
        <f t="shared" si="187"/>
        <v>0</v>
      </c>
      <c r="R4261" s="89"/>
      <c r="S4261" s="89">
        <f>100%-Table34[[#This Row],[PDF_initial fee]]</f>
        <v>1</v>
      </c>
      <c r="T4261" s="89"/>
      <c r="U4261" s="26"/>
    </row>
    <row r="4262" spans="1:27" hidden="1" x14ac:dyDescent="0.25">
      <c r="A4262">
        <v>772483</v>
      </c>
      <c r="B4262" t="s">
        <v>4655</v>
      </c>
      <c r="C4262" t="s">
        <v>11296</v>
      </c>
      <c r="D4262">
        <v>4</v>
      </c>
      <c r="E4262" t="s">
        <v>4655</v>
      </c>
      <c r="G4262" s="3"/>
      <c r="H4262" s="3"/>
      <c r="I4262" s="3"/>
      <c r="J4262" s="3"/>
      <c r="K4262" s="3"/>
      <c r="L4262" s="3">
        <f t="shared" si="186"/>
        <v>0</v>
      </c>
      <c r="M4262" s="3"/>
      <c r="N4262" s="3">
        <f t="shared" si="187"/>
        <v>0</v>
      </c>
      <c r="R4262" s="89"/>
      <c r="S4262" s="89">
        <f>100%-Table34[[#This Row],[PDF_initial fee]]</f>
        <v>1</v>
      </c>
      <c r="T4262" s="89"/>
      <c r="U4262" s="26"/>
    </row>
    <row r="4263" spans="1:27" hidden="1" x14ac:dyDescent="0.25">
      <c r="A4263">
        <v>772660</v>
      </c>
      <c r="B4263" t="s">
        <v>4656</v>
      </c>
      <c r="C4263" s="1" t="s">
        <v>31001</v>
      </c>
      <c r="D4263">
        <v>1</v>
      </c>
      <c r="E4263" t="s">
        <v>4656</v>
      </c>
      <c r="G4263" s="3"/>
      <c r="H4263" s="3">
        <v>0</v>
      </c>
      <c r="I4263" s="3">
        <v>0</v>
      </c>
      <c r="J4263" s="3">
        <v>0</v>
      </c>
      <c r="K4263" s="3">
        <v>0</v>
      </c>
      <c r="L4263" s="3">
        <f t="shared" si="186"/>
        <v>0</v>
      </c>
      <c r="M4263" s="3"/>
      <c r="N4263" s="3">
        <f t="shared" si="187"/>
        <v>0</v>
      </c>
      <c r="R4263" s="89"/>
      <c r="S4263" s="89">
        <f>100%-Table34[[#This Row],[PDF_initial fee]]</f>
        <v>1</v>
      </c>
      <c r="T4263" s="89"/>
      <c r="U4263" s="26"/>
    </row>
    <row r="4264" spans="1:27" hidden="1" x14ac:dyDescent="0.25">
      <c r="A4264">
        <v>772710</v>
      </c>
      <c r="B4264" t="s">
        <v>4657</v>
      </c>
      <c r="C4264" t="s">
        <v>7447</v>
      </c>
      <c r="D4264">
        <v>5</v>
      </c>
      <c r="E4264" t="s">
        <v>4657</v>
      </c>
      <c r="G4264" s="3"/>
      <c r="H4264" s="21">
        <v>0</v>
      </c>
      <c r="I4264" s="21">
        <v>0</v>
      </c>
      <c r="J4264" s="21">
        <v>0</v>
      </c>
      <c r="K4264" s="21">
        <v>0</v>
      </c>
      <c r="L4264" s="3">
        <f t="shared" si="186"/>
        <v>0</v>
      </c>
      <c r="M4264" s="3"/>
      <c r="N4264" s="3">
        <f t="shared" si="187"/>
        <v>0</v>
      </c>
      <c r="R4264" s="89"/>
      <c r="S4264" s="89">
        <f>100%-Table34[[#This Row],[PDF_initial fee]]</f>
        <v>1</v>
      </c>
      <c r="T4264" s="89"/>
      <c r="U4264" s="26"/>
    </row>
    <row r="4265" spans="1:27" hidden="1" x14ac:dyDescent="0.25">
      <c r="A4265">
        <v>772846</v>
      </c>
      <c r="B4265" t="s">
        <v>4658</v>
      </c>
      <c r="C4265" t="s">
        <v>10903</v>
      </c>
      <c r="D4265">
        <v>1</v>
      </c>
      <c r="E4265" t="s">
        <v>4658</v>
      </c>
      <c r="G4265" s="3"/>
      <c r="H4265" s="3">
        <v>0</v>
      </c>
      <c r="I4265" s="3">
        <v>0</v>
      </c>
      <c r="J4265" s="3">
        <v>0</v>
      </c>
      <c r="K4265" s="3">
        <v>0</v>
      </c>
      <c r="L4265" s="3">
        <f t="shared" si="186"/>
        <v>0</v>
      </c>
      <c r="M4265" s="3"/>
      <c r="N4265" s="3">
        <f t="shared" si="187"/>
        <v>0</v>
      </c>
      <c r="R4265" s="89"/>
      <c r="S4265" s="89">
        <f>100%-Table34[[#This Row],[PDF_initial fee]]</f>
        <v>1</v>
      </c>
      <c r="T4265" s="89"/>
      <c r="U4265" s="26"/>
    </row>
    <row r="4266" spans="1:27" hidden="1" x14ac:dyDescent="0.25">
      <c r="A4266">
        <v>773416</v>
      </c>
      <c r="B4266" t="s">
        <v>4659</v>
      </c>
      <c r="C4266" t="s">
        <v>31002</v>
      </c>
      <c r="D4266">
        <v>1</v>
      </c>
      <c r="E4266" t="s">
        <v>4659</v>
      </c>
      <c r="G4266" s="3"/>
      <c r="H4266" s="3">
        <v>0</v>
      </c>
      <c r="I4266" s="3">
        <v>0</v>
      </c>
      <c r="J4266" s="3">
        <v>0</v>
      </c>
      <c r="K4266" s="3">
        <v>0</v>
      </c>
      <c r="L4266" s="3">
        <f t="shared" si="186"/>
        <v>0</v>
      </c>
      <c r="M4266" s="3"/>
      <c r="N4266" s="3">
        <f t="shared" si="187"/>
        <v>0</v>
      </c>
      <c r="R4266" s="89"/>
      <c r="S4266" s="89">
        <f>100%-Table34[[#This Row],[PDF_initial fee]]</f>
        <v>1</v>
      </c>
      <c r="T4266" s="89"/>
      <c r="U4266" s="26"/>
    </row>
    <row r="4267" spans="1:27" hidden="1" x14ac:dyDescent="0.25">
      <c r="A4267">
        <v>773427</v>
      </c>
      <c r="B4267" t="s">
        <v>4660</v>
      </c>
      <c r="C4267" t="s">
        <v>6958</v>
      </c>
      <c r="D4267">
        <v>5</v>
      </c>
      <c r="E4267" t="s">
        <v>4660</v>
      </c>
      <c r="F4267" t="s">
        <v>6958</v>
      </c>
      <c r="G4267" s="3"/>
      <c r="H4267" s="21">
        <v>0</v>
      </c>
      <c r="I4267" s="21">
        <v>0</v>
      </c>
      <c r="J4267" s="21">
        <v>0</v>
      </c>
      <c r="K4267" s="21">
        <v>0</v>
      </c>
      <c r="L4267" s="3">
        <f t="shared" si="186"/>
        <v>0</v>
      </c>
      <c r="M4267" s="3"/>
      <c r="N4267" s="3">
        <f t="shared" si="187"/>
        <v>0</v>
      </c>
      <c r="R4267" s="89"/>
      <c r="S4267" s="89">
        <f>100%-Table34[[#This Row],[PDF_initial fee]]</f>
        <v>1</v>
      </c>
      <c r="T4267" s="89"/>
      <c r="U4267" s="26"/>
    </row>
    <row r="4268" spans="1:27" hidden="1" x14ac:dyDescent="0.25">
      <c r="A4268">
        <v>773429</v>
      </c>
      <c r="B4268" t="s">
        <v>4661</v>
      </c>
      <c r="C4268" t="s">
        <v>6958</v>
      </c>
      <c r="D4268">
        <v>1</v>
      </c>
      <c r="E4268" t="s">
        <v>4661</v>
      </c>
      <c r="F4268" t="s">
        <v>6958</v>
      </c>
      <c r="G4268" s="3"/>
      <c r="H4268" s="21">
        <v>0</v>
      </c>
      <c r="I4268" s="21">
        <v>0</v>
      </c>
      <c r="J4268" s="21">
        <v>0</v>
      </c>
      <c r="K4268" s="21">
        <v>0</v>
      </c>
      <c r="L4268" s="3">
        <f t="shared" si="186"/>
        <v>0</v>
      </c>
      <c r="M4268" s="3"/>
      <c r="N4268" s="3">
        <f t="shared" si="187"/>
        <v>0</v>
      </c>
      <c r="R4268" s="89"/>
      <c r="S4268" s="89">
        <f>100%-Table34[[#This Row],[PDF_initial fee]]</f>
        <v>1</v>
      </c>
      <c r="T4268" s="89"/>
      <c r="U4268" s="26"/>
    </row>
    <row r="4269" spans="1:27" hidden="1" x14ac:dyDescent="0.25">
      <c r="A4269">
        <v>773857</v>
      </c>
      <c r="B4269" t="s">
        <v>4662</v>
      </c>
      <c r="C4269" t="s">
        <v>6958</v>
      </c>
      <c r="D4269">
        <v>2</v>
      </c>
      <c r="E4269" t="s">
        <v>4662</v>
      </c>
      <c r="F4269" t="s">
        <v>6958</v>
      </c>
      <c r="G4269" s="3"/>
      <c r="H4269" s="21">
        <v>0</v>
      </c>
      <c r="I4269" s="21">
        <v>0</v>
      </c>
      <c r="J4269" s="21">
        <v>0</v>
      </c>
      <c r="K4269" s="21">
        <v>0</v>
      </c>
      <c r="L4269" s="3">
        <f t="shared" si="186"/>
        <v>0</v>
      </c>
      <c r="M4269" s="3"/>
      <c r="N4269" s="3">
        <f t="shared" si="187"/>
        <v>0</v>
      </c>
      <c r="R4269" s="89"/>
      <c r="S4269" s="89">
        <f>100%-Table34[[#This Row],[PDF_initial fee]]</f>
        <v>1</v>
      </c>
      <c r="T4269" s="89"/>
      <c r="U4269" s="26"/>
    </row>
    <row r="4270" spans="1:27" hidden="1" x14ac:dyDescent="0.25">
      <c r="A4270">
        <v>773901</v>
      </c>
      <c r="B4270" t="s">
        <v>4663</v>
      </c>
      <c r="C4270" t="s">
        <v>6958</v>
      </c>
      <c r="D4270">
        <v>1</v>
      </c>
      <c r="E4270" t="s">
        <v>4663</v>
      </c>
      <c r="F4270" t="s">
        <v>6958</v>
      </c>
      <c r="G4270" s="3"/>
      <c r="H4270" s="21">
        <v>0</v>
      </c>
      <c r="I4270" s="21">
        <v>0</v>
      </c>
      <c r="J4270" s="21">
        <v>0</v>
      </c>
      <c r="K4270" s="21">
        <v>0</v>
      </c>
      <c r="L4270" s="3">
        <f t="shared" si="186"/>
        <v>0</v>
      </c>
      <c r="M4270" s="3"/>
      <c r="N4270" s="3">
        <f t="shared" si="187"/>
        <v>0</v>
      </c>
      <c r="R4270" s="89"/>
      <c r="S4270" s="89">
        <f>100%-Table34[[#This Row],[PDF_initial fee]]</f>
        <v>1</v>
      </c>
      <c r="T4270" s="89"/>
      <c r="U4270" s="26"/>
    </row>
    <row r="4271" spans="1:27" hidden="1" x14ac:dyDescent="0.25">
      <c r="A4271">
        <v>774288</v>
      </c>
      <c r="B4271" t="s">
        <v>4664</v>
      </c>
      <c r="C4271" t="s">
        <v>6958</v>
      </c>
      <c r="D4271">
        <v>2</v>
      </c>
      <c r="E4271" t="s">
        <v>4664</v>
      </c>
      <c r="F4271" t="s">
        <v>6958</v>
      </c>
      <c r="G4271" s="3"/>
      <c r="L4271" s="3">
        <f t="shared" si="186"/>
        <v>0</v>
      </c>
      <c r="M4271" s="3"/>
      <c r="N4271" s="3">
        <f t="shared" si="187"/>
        <v>0</v>
      </c>
      <c r="R4271" s="89"/>
      <c r="S4271" s="89">
        <f>100%-Table34[[#This Row],[PDF_initial fee]]</f>
        <v>1</v>
      </c>
      <c r="T4271" s="89"/>
      <c r="U4271" s="26"/>
    </row>
    <row r="4272" spans="1:27" hidden="1" x14ac:dyDescent="0.25">
      <c r="A4272">
        <v>774324</v>
      </c>
      <c r="B4272" t="s">
        <v>4665</v>
      </c>
      <c r="C4272" t="s">
        <v>12354</v>
      </c>
      <c r="D4272">
        <v>3</v>
      </c>
      <c r="E4272" t="s">
        <v>4665</v>
      </c>
      <c r="G4272" s="3"/>
      <c r="H4272" s="3">
        <v>0</v>
      </c>
      <c r="I4272" s="3">
        <v>0</v>
      </c>
      <c r="J4272" s="3">
        <v>0</v>
      </c>
      <c r="K4272" s="3">
        <v>0</v>
      </c>
      <c r="L4272" s="3">
        <f t="shared" si="186"/>
        <v>0</v>
      </c>
      <c r="M4272" s="3"/>
      <c r="N4272" s="3">
        <f t="shared" si="187"/>
        <v>0</v>
      </c>
      <c r="R4272" s="89"/>
      <c r="S4272" s="89">
        <f>100%-Table34[[#This Row],[PDF_initial fee]]</f>
        <v>1</v>
      </c>
      <c r="T4272" s="89"/>
      <c r="U4272" s="26"/>
    </row>
    <row r="4273" spans="1:30" hidden="1" x14ac:dyDescent="0.25">
      <c r="A4273">
        <v>774450</v>
      </c>
      <c r="B4273" t="s">
        <v>4666</v>
      </c>
      <c r="C4273" t="s">
        <v>11201</v>
      </c>
      <c r="D4273">
        <v>2</v>
      </c>
      <c r="E4273" t="s">
        <v>4666</v>
      </c>
      <c r="G4273" s="3"/>
      <c r="H4273" s="3">
        <v>0</v>
      </c>
      <c r="I4273" s="3">
        <v>0</v>
      </c>
      <c r="J4273" s="3">
        <v>0</v>
      </c>
      <c r="K4273" s="3">
        <v>0</v>
      </c>
      <c r="L4273" s="3">
        <f t="shared" si="186"/>
        <v>0</v>
      </c>
      <c r="M4273" s="3"/>
      <c r="N4273" s="3">
        <f t="shared" si="187"/>
        <v>0</v>
      </c>
      <c r="R4273" s="89"/>
      <c r="S4273" s="89">
        <f>100%-Table34[[#This Row],[PDF_initial fee]]</f>
        <v>1</v>
      </c>
      <c r="T4273" s="89"/>
      <c r="U4273" s="26"/>
    </row>
    <row r="4274" spans="1:30" x14ac:dyDescent="0.25">
      <c r="A4274">
        <v>455542</v>
      </c>
      <c r="B4274" t="s">
        <v>173</v>
      </c>
      <c r="C4274" s="1" t="s">
        <v>30991</v>
      </c>
      <c r="D4274" s="1">
        <v>2</v>
      </c>
      <c r="E4274" t="s">
        <v>173</v>
      </c>
      <c r="F4274" t="s">
        <v>6</v>
      </c>
      <c r="G4274" s="3">
        <v>9.7999999999999997E-3</v>
      </c>
      <c r="H4274" s="3">
        <v>0.03</v>
      </c>
      <c r="I4274" s="3">
        <v>0.01</v>
      </c>
      <c r="J4274" s="6">
        <v>0</v>
      </c>
      <c r="K4274" s="6">
        <v>0</v>
      </c>
      <c r="L4274" s="3">
        <f t="shared" si="186"/>
        <v>0.04</v>
      </c>
      <c r="M4274" s="3"/>
      <c r="N4274" s="3">
        <f t="shared" si="187"/>
        <v>4.9799999999999997E-2</v>
      </c>
      <c r="O4274" t="s">
        <v>30992</v>
      </c>
      <c r="P4274" s="1" t="s">
        <v>30988</v>
      </c>
      <c r="Q4274" s="1" t="s">
        <v>31792</v>
      </c>
      <c r="R4274" s="89">
        <v>0.19270000000000001</v>
      </c>
      <c r="S4274" s="89">
        <f>100%-Table34[[#This Row],[InitialFee]]</f>
        <v>0.97</v>
      </c>
      <c r="T4274" s="89">
        <f>(1-Table34[[#This Row],[OngoingFee (plus Platform fee)]])^5</f>
        <v>0.95099004989999991</v>
      </c>
      <c r="U4274" s="26">
        <f>(1+Table34[[#This Row],[Net 5yrs return (mostly up to 28th of Feb 2026)]])*Table34[[#This Row],[Investment after initial charge]]*Table34[[#This Row],[Cummulative 5yrs ongoing advice charge]]-1</f>
        <v>0.10021845754025804</v>
      </c>
      <c r="V4274" s="10">
        <v>169640000</v>
      </c>
      <c r="W4274" s="10" t="s">
        <v>29051</v>
      </c>
      <c r="X4274" s="10">
        <v>136930000</v>
      </c>
      <c r="Y4274" s="30">
        <f>X4274/V4274</f>
        <v>0.80717991039849091</v>
      </c>
      <c r="Z4274" s="10" t="s">
        <v>12692</v>
      </c>
      <c r="AA4274" s="1" t="s">
        <v>30989</v>
      </c>
    </row>
    <row r="4275" spans="1:30" hidden="1" x14ac:dyDescent="0.25">
      <c r="A4275">
        <v>774566</v>
      </c>
      <c r="B4275" t="s">
        <v>4667</v>
      </c>
      <c r="C4275" t="s">
        <v>7621</v>
      </c>
      <c r="D4275">
        <v>3</v>
      </c>
      <c r="E4275" t="s">
        <v>4667</v>
      </c>
      <c r="G4275" s="3"/>
      <c r="H4275" s="21">
        <v>0</v>
      </c>
      <c r="I4275" s="21">
        <v>0</v>
      </c>
      <c r="J4275" s="21">
        <v>0</v>
      </c>
      <c r="K4275" s="21">
        <v>0</v>
      </c>
      <c r="L4275" s="3">
        <f t="shared" si="186"/>
        <v>0</v>
      </c>
      <c r="M4275" s="3"/>
      <c r="N4275" s="3">
        <f t="shared" si="187"/>
        <v>0</v>
      </c>
      <c r="R4275" s="89"/>
      <c r="S4275" s="89">
        <f>100%-Table34[[#This Row],[PDF_initial fee]]</f>
        <v>1</v>
      </c>
      <c r="T4275" s="89"/>
      <c r="U4275" s="26"/>
    </row>
    <row r="4276" spans="1:30" hidden="1" x14ac:dyDescent="0.25">
      <c r="A4276">
        <v>774649</v>
      </c>
      <c r="B4276" t="s">
        <v>4668</v>
      </c>
      <c r="C4276" t="s">
        <v>7007</v>
      </c>
      <c r="D4276">
        <v>1</v>
      </c>
      <c r="E4276" t="s">
        <v>4668</v>
      </c>
      <c r="G4276" s="3"/>
      <c r="L4276" s="3">
        <f t="shared" si="186"/>
        <v>0</v>
      </c>
      <c r="M4276" s="3"/>
      <c r="N4276" s="3">
        <f t="shared" si="187"/>
        <v>0</v>
      </c>
      <c r="R4276" s="89"/>
      <c r="S4276" s="89">
        <f>100%-Table34[[#This Row],[PDF_initial fee]]</f>
        <v>1</v>
      </c>
      <c r="T4276" s="89"/>
      <c r="U4276" s="26"/>
    </row>
    <row r="4277" spans="1:30" hidden="1" x14ac:dyDescent="0.25">
      <c r="A4277">
        <v>774841</v>
      </c>
      <c r="B4277" t="s">
        <v>4669</v>
      </c>
      <c r="C4277" t="s">
        <v>31003</v>
      </c>
      <c r="D4277">
        <v>2</v>
      </c>
      <c r="E4277" t="s">
        <v>4669</v>
      </c>
      <c r="G4277" s="3"/>
      <c r="H4277" s="3">
        <v>0</v>
      </c>
      <c r="I4277" s="3">
        <v>0</v>
      </c>
      <c r="J4277" s="3">
        <v>0</v>
      </c>
      <c r="K4277" s="3">
        <v>0</v>
      </c>
      <c r="L4277" s="3">
        <f t="shared" si="186"/>
        <v>0</v>
      </c>
      <c r="M4277" s="3"/>
      <c r="N4277" s="3">
        <f t="shared" si="187"/>
        <v>0</v>
      </c>
      <c r="R4277" s="89"/>
      <c r="S4277" s="89">
        <f>100%-Table34[[#This Row],[PDF_initial fee]]</f>
        <v>1</v>
      </c>
      <c r="T4277" s="89"/>
      <c r="U4277" s="26"/>
    </row>
    <row r="4278" spans="1:30" hidden="1" x14ac:dyDescent="0.25">
      <c r="A4278">
        <v>774881</v>
      </c>
      <c r="B4278" t="s">
        <v>4670</v>
      </c>
      <c r="C4278" t="s">
        <v>31004</v>
      </c>
      <c r="D4278">
        <v>3</v>
      </c>
      <c r="E4278" t="s">
        <v>4670</v>
      </c>
      <c r="G4278" s="3"/>
      <c r="H4278" s="3">
        <v>0</v>
      </c>
      <c r="I4278" s="3">
        <v>0</v>
      </c>
      <c r="J4278" s="3">
        <v>0</v>
      </c>
      <c r="K4278" s="3">
        <v>0</v>
      </c>
      <c r="L4278" s="3">
        <f t="shared" si="186"/>
        <v>0</v>
      </c>
      <c r="M4278" s="3"/>
      <c r="N4278" s="3">
        <f t="shared" si="187"/>
        <v>0</v>
      </c>
      <c r="R4278" s="89"/>
      <c r="S4278" s="89">
        <f>100%-Table34[[#This Row],[PDF_initial fee]]</f>
        <v>1</v>
      </c>
      <c r="T4278" s="89"/>
      <c r="U4278" s="26"/>
    </row>
    <row r="4279" spans="1:30" x14ac:dyDescent="0.25">
      <c r="A4279">
        <v>520631</v>
      </c>
      <c r="B4279" t="s">
        <v>206</v>
      </c>
      <c r="C4279" s="1" t="s">
        <v>30991</v>
      </c>
      <c r="D4279">
        <v>4</v>
      </c>
      <c r="E4279" t="s">
        <v>206</v>
      </c>
      <c r="F4279" t="s">
        <v>6</v>
      </c>
      <c r="G4279" s="3">
        <v>9.7999999999999997E-3</v>
      </c>
      <c r="H4279" s="3">
        <v>0.03</v>
      </c>
      <c r="I4279" s="3">
        <v>0.01</v>
      </c>
      <c r="J4279" s="6">
        <v>0</v>
      </c>
      <c r="K4279" s="6">
        <v>0</v>
      </c>
      <c r="L4279" s="3">
        <f t="shared" si="186"/>
        <v>0.04</v>
      </c>
      <c r="M4279" s="3"/>
      <c r="N4279" s="3">
        <f t="shared" si="187"/>
        <v>4.9799999999999997E-2</v>
      </c>
      <c r="O4279" t="s">
        <v>30992</v>
      </c>
      <c r="P4279" s="1" t="s">
        <v>30988</v>
      </c>
      <c r="Q4279" s="1" t="s">
        <v>31792</v>
      </c>
      <c r="R4279" s="89">
        <v>0.19270000000000001</v>
      </c>
      <c r="S4279" s="89">
        <f>100%-Table34[[#This Row],[InitialFee]]</f>
        <v>0.97</v>
      </c>
      <c r="T4279" s="89">
        <f>(1-Table34[[#This Row],[OngoingFee (plus Platform fee)]])^5</f>
        <v>0.95099004989999991</v>
      </c>
      <c r="U4279" s="26">
        <f>(1+Table34[[#This Row],[Net 5yrs return (mostly up to 28th of Feb 2026)]])*Table34[[#This Row],[Investment after initial charge]]*Table34[[#This Row],[Cummulative 5yrs ongoing advice charge]]-1</f>
        <v>0.10021845754025804</v>
      </c>
      <c r="V4279" s="10">
        <v>169640000</v>
      </c>
      <c r="W4279" s="10" t="s">
        <v>29051</v>
      </c>
      <c r="X4279" s="10">
        <v>136930000</v>
      </c>
      <c r="Y4279" s="30">
        <f>X4279/V4279</f>
        <v>0.80717991039849091</v>
      </c>
      <c r="Z4279" s="10" t="s">
        <v>12692</v>
      </c>
      <c r="AA4279" s="1" t="s">
        <v>30989</v>
      </c>
      <c r="AD4279" s="1"/>
    </row>
    <row r="4280" spans="1:30" hidden="1" x14ac:dyDescent="0.25">
      <c r="A4280">
        <v>775199</v>
      </c>
      <c r="B4280" t="s">
        <v>4671</v>
      </c>
      <c r="C4280" t="s">
        <v>6958</v>
      </c>
      <c r="D4280">
        <v>1</v>
      </c>
      <c r="E4280" t="s">
        <v>4671</v>
      </c>
      <c r="F4280" t="s">
        <v>6958</v>
      </c>
      <c r="G4280" s="3"/>
      <c r="L4280" s="3">
        <f t="shared" si="186"/>
        <v>0</v>
      </c>
      <c r="M4280" s="3"/>
      <c r="N4280" s="3">
        <f t="shared" si="187"/>
        <v>0</v>
      </c>
      <c r="R4280" s="89"/>
      <c r="S4280" s="89">
        <f>100%-Table34[[#This Row],[PDF_initial fee]]</f>
        <v>1</v>
      </c>
      <c r="T4280" s="89"/>
      <c r="U4280" s="26"/>
    </row>
    <row r="4281" spans="1:30" hidden="1" x14ac:dyDescent="0.25">
      <c r="A4281">
        <v>775263</v>
      </c>
      <c r="B4281" t="s">
        <v>4672</v>
      </c>
      <c r="C4281" t="s">
        <v>10385</v>
      </c>
      <c r="D4281">
        <v>1</v>
      </c>
      <c r="E4281" t="s">
        <v>4672</v>
      </c>
      <c r="G4281" s="3"/>
      <c r="H4281" s="3">
        <v>0</v>
      </c>
      <c r="I4281" s="3">
        <v>0</v>
      </c>
      <c r="J4281" s="3">
        <v>0</v>
      </c>
      <c r="K4281" s="3">
        <v>0</v>
      </c>
      <c r="L4281" s="3">
        <f t="shared" si="186"/>
        <v>0</v>
      </c>
      <c r="M4281" s="3"/>
      <c r="N4281" s="3">
        <f t="shared" si="187"/>
        <v>0</v>
      </c>
      <c r="R4281" s="89"/>
      <c r="S4281" s="89">
        <f>100%-Table34[[#This Row],[PDF_initial fee]]</f>
        <v>1</v>
      </c>
      <c r="T4281" s="89"/>
      <c r="U4281" s="26"/>
    </row>
    <row r="4282" spans="1:30" hidden="1" x14ac:dyDescent="0.25">
      <c r="A4282">
        <v>775330</v>
      </c>
      <c r="B4282" t="s">
        <v>4673</v>
      </c>
      <c r="C4282" t="s">
        <v>31005</v>
      </c>
      <c r="D4282">
        <v>2</v>
      </c>
      <c r="E4282" t="s">
        <v>4673</v>
      </c>
      <c r="G4282" s="3"/>
      <c r="H4282" s="21">
        <v>0</v>
      </c>
      <c r="I4282" s="21">
        <v>0</v>
      </c>
      <c r="J4282" s="21">
        <v>0</v>
      </c>
      <c r="K4282" s="21">
        <v>0</v>
      </c>
      <c r="L4282" s="3">
        <f t="shared" si="186"/>
        <v>0</v>
      </c>
      <c r="M4282" s="3"/>
      <c r="N4282" s="3">
        <f t="shared" si="187"/>
        <v>0</v>
      </c>
      <c r="O4282" s="21"/>
      <c r="R4282" s="89"/>
      <c r="S4282" s="89">
        <f>100%-Table34[[#This Row],[PDF_initial fee]]</f>
        <v>1</v>
      </c>
      <c r="T4282" s="89"/>
      <c r="U4282" s="26"/>
    </row>
    <row r="4283" spans="1:30" hidden="1" x14ac:dyDescent="0.25">
      <c r="A4283">
        <v>775647</v>
      </c>
      <c r="B4283" t="s">
        <v>4674</v>
      </c>
      <c r="C4283" t="s">
        <v>31006</v>
      </c>
      <c r="D4283">
        <v>3</v>
      </c>
      <c r="E4283" t="s">
        <v>4674</v>
      </c>
      <c r="G4283" s="3"/>
      <c r="H4283" s="3"/>
      <c r="I4283" s="3"/>
      <c r="J4283" s="3"/>
      <c r="K4283" s="3"/>
      <c r="L4283" s="3">
        <f t="shared" si="186"/>
        <v>0</v>
      </c>
      <c r="M4283" s="3"/>
      <c r="N4283" s="3">
        <f t="shared" si="187"/>
        <v>0</v>
      </c>
      <c r="R4283" s="89"/>
      <c r="S4283" s="89">
        <f>100%-Table34[[#This Row],[PDF_initial fee]]</f>
        <v>1</v>
      </c>
      <c r="T4283" s="89"/>
      <c r="U4283" s="26"/>
    </row>
    <row r="4284" spans="1:30" hidden="1" x14ac:dyDescent="0.25">
      <c r="A4284">
        <v>775671</v>
      </c>
      <c r="B4284" t="s">
        <v>4675</v>
      </c>
      <c r="C4284" t="s">
        <v>31007</v>
      </c>
      <c r="D4284">
        <v>3</v>
      </c>
      <c r="E4284" t="s">
        <v>4675</v>
      </c>
      <c r="G4284" s="3"/>
      <c r="H4284" s="21">
        <v>0</v>
      </c>
      <c r="I4284" s="21">
        <v>0</v>
      </c>
      <c r="J4284" s="21">
        <v>0</v>
      </c>
      <c r="K4284" s="21">
        <v>0</v>
      </c>
      <c r="L4284" s="3">
        <f t="shared" si="186"/>
        <v>0</v>
      </c>
      <c r="M4284" s="3"/>
      <c r="N4284" s="3">
        <f t="shared" si="187"/>
        <v>0</v>
      </c>
      <c r="O4284" s="21"/>
      <c r="R4284" s="89"/>
      <c r="S4284" s="89">
        <f>100%-Table34[[#This Row],[PDF_initial fee]]</f>
        <v>1</v>
      </c>
      <c r="T4284" s="89"/>
      <c r="U4284" s="26"/>
    </row>
    <row r="4285" spans="1:30" x14ac:dyDescent="0.25">
      <c r="A4285">
        <v>531287</v>
      </c>
      <c r="B4285" t="s">
        <v>217</v>
      </c>
      <c r="C4285" s="1" t="s">
        <v>7225</v>
      </c>
      <c r="D4285">
        <v>3</v>
      </c>
      <c r="E4285" t="s">
        <v>217</v>
      </c>
      <c r="F4285" t="s">
        <v>6</v>
      </c>
      <c r="G4285" s="3">
        <v>9.7999999999999997E-3</v>
      </c>
      <c r="H4285" s="3">
        <v>0.03</v>
      </c>
      <c r="I4285" s="3">
        <v>0.01</v>
      </c>
      <c r="J4285" s="6">
        <v>0</v>
      </c>
      <c r="K4285" s="6">
        <v>0</v>
      </c>
      <c r="L4285" s="3">
        <f t="shared" si="186"/>
        <v>0.04</v>
      </c>
      <c r="M4285" s="3"/>
      <c r="N4285" s="3">
        <f t="shared" si="187"/>
        <v>4.9799999999999997E-2</v>
      </c>
      <c r="O4285" t="s">
        <v>30992</v>
      </c>
      <c r="P4285" s="1" t="s">
        <v>30988</v>
      </c>
      <c r="Q4285" s="1" t="s">
        <v>31792</v>
      </c>
      <c r="R4285" s="89">
        <v>0.19270000000000001</v>
      </c>
      <c r="S4285" s="89">
        <f>100%-Table34[[#This Row],[InitialFee]]</f>
        <v>0.97</v>
      </c>
      <c r="T4285" s="89">
        <f>(1-Table34[[#This Row],[OngoingFee (plus Platform fee)]])^5</f>
        <v>0.95099004989999991</v>
      </c>
      <c r="U4285" s="26">
        <f>(1+Table34[[#This Row],[Net 5yrs return (mostly up to 28th of Feb 2026)]])*Table34[[#This Row],[Investment after initial charge]]*Table34[[#This Row],[Cummulative 5yrs ongoing advice charge]]-1</f>
        <v>0.10021845754025804</v>
      </c>
      <c r="V4285" s="10">
        <v>169640000</v>
      </c>
      <c r="W4285" s="10" t="s">
        <v>29051</v>
      </c>
      <c r="X4285" s="10">
        <v>136930000</v>
      </c>
      <c r="Y4285" s="30">
        <f>X4285/V4285</f>
        <v>0.80717991039849091</v>
      </c>
      <c r="Z4285" s="10" t="s">
        <v>12692</v>
      </c>
      <c r="AA4285" s="1" t="s">
        <v>30989</v>
      </c>
      <c r="AD4285" s="1"/>
    </row>
    <row r="4286" spans="1:30" hidden="1" x14ac:dyDescent="0.25">
      <c r="A4286">
        <v>775854</v>
      </c>
      <c r="B4286" t="s">
        <v>4676</v>
      </c>
      <c r="C4286" t="s">
        <v>31008</v>
      </c>
      <c r="D4286">
        <v>1</v>
      </c>
      <c r="E4286" t="s">
        <v>4676</v>
      </c>
      <c r="G4286" s="3"/>
      <c r="H4286" s="3">
        <v>0</v>
      </c>
      <c r="I4286" s="3">
        <v>0</v>
      </c>
      <c r="J4286" s="3">
        <v>0</v>
      </c>
      <c r="K4286" s="3">
        <v>0</v>
      </c>
      <c r="L4286" s="3">
        <f t="shared" si="186"/>
        <v>0</v>
      </c>
      <c r="M4286" s="3"/>
      <c r="N4286" s="3">
        <f t="shared" si="187"/>
        <v>0</v>
      </c>
      <c r="R4286" s="89"/>
      <c r="S4286" s="89">
        <f>100%-Table34[[#This Row],[PDF_initial fee]]</f>
        <v>1</v>
      </c>
      <c r="T4286" s="89"/>
      <c r="U4286" s="26"/>
    </row>
    <row r="4287" spans="1:30" hidden="1" x14ac:dyDescent="0.25">
      <c r="A4287">
        <v>776240</v>
      </c>
      <c r="B4287" t="s">
        <v>4678</v>
      </c>
      <c r="C4287" t="s">
        <v>31009</v>
      </c>
      <c r="D4287">
        <v>1</v>
      </c>
      <c r="E4287" t="s">
        <v>4678</v>
      </c>
      <c r="G4287" s="3"/>
      <c r="H4287" s="3">
        <v>0</v>
      </c>
      <c r="I4287" s="3">
        <v>0</v>
      </c>
      <c r="J4287" s="3">
        <v>0</v>
      </c>
      <c r="K4287" s="3">
        <v>0</v>
      </c>
      <c r="L4287" s="3">
        <f t="shared" si="186"/>
        <v>0</v>
      </c>
      <c r="M4287" s="3"/>
      <c r="N4287" s="3">
        <f t="shared" si="187"/>
        <v>0</v>
      </c>
      <c r="R4287" s="89"/>
      <c r="S4287" s="89">
        <f>100%-Table34[[#This Row],[PDF_initial fee]]</f>
        <v>1</v>
      </c>
      <c r="T4287" s="89"/>
      <c r="U4287" s="26"/>
    </row>
    <row r="4288" spans="1:30" x14ac:dyDescent="0.25">
      <c r="A4288">
        <v>533559</v>
      </c>
      <c r="B4288" t="s">
        <v>218</v>
      </c>
      <c r="C4288" s="1" t="s">
        <v>30991</v>
      </c>
      <c r="D4288" s="1">
        <v>10</v>
      </c>
      <c r="E4288" t="s">
        <v>218</v>
      </c>
      <c r="F4288" t="s">
        <v>6</v>
      </c>
      <c r="G4288" s="3">
        <v>9.7999999999999997E-3</v>
      </c>
      <c r="H4288" s="3">
        <v>0.03</v>
      </c>
      <c r="I4288" s="3">
        <v>0.01</v>
      </c>
      <c r="J4288" s="6">
        <v>0</v>
      </c>
      <c r="K4288" s="6">
        <v>0</v>
      </c>
      <c r="L4288" s="3">
        <f t="shared" si="186"/>
        <v>0.04</v>
      </c>
      <c r="M4288" s="3"/>
      <c r="N4288" s="3">
        <f t="shared" si="187"/>
        <v>4.9799999999999997E-2</v>
      </c>
      <c r="O4288" t="s">
        <v>30992</v>
      </c>
      <c r="P4288" s="1" t="s">
        <v>30988</v>
      </c>
      <c r="Q4288" s="1" t="s">
        <v>31792</v>
      </c>
      <c r="R4288" s="89">
        <v>0.19270000000000001</v>
      </c>
      <c r="S4288" s="89">
        <f>100%-Table34[[#This Row],[InitialFee]]</f>
        <v>0.97</v>
      </c>
      <c r="T4288" s="89">
        <f>(1-Table34[[#This Row],[OngoingFee (plus Platform fee)]])^5</f>
        <v>0.95099004989999991</v>
      </c>
      <c r="U4288" s="26">
        <f>(1+Table34[[#This Row],[Net 5yrs return (mostly up to 28th of Feb 2026)]])*Table34[[#This Row],[Investment after initial charge]]*Table34[[#This Row],[Cummulative 5yrs ongoing advice charge]]-1</f>
        <v>0.10021845754025804</v>
      </c>
      <c r="V4288" s="10">
        <v>169640000</v>
      </c>
      <c r="W4288" s="10" t="s">
        <v>29051</v>
      </c>
      <c r="X4288" s="10">
        <v>136930000</v>
      </c>
      <c r="Y4288" s="30">
        <f>X4288/V4288</f>
        <v>0.80717991039849091</v>
      </c>
      <c r="Z4288" s="10" t="s">
        <v>12692</v>
      </c>
      <c r="AA4288" s="1" t="s">
        <v>30989</v>
      </c>
      <c r="AD4288" s="1"/>
    </row>
    <row r="4289" spans="1:30" hidden="1" x14ac:dyDescent="0.25">
      <c r="A4289">
        <v>777461</v>
      </c>
      <c r="B4289" t="s">
        <v>4680</v>
      </c>
      <c r="C4289" t="s">
        <v>31010</v>
      </c>
      <c r="D4289">
        <v>1</v>
      </c>
      <c r="E4289" t="s">
        <v>4680</v>
      </c>
      <c r="F4289" t="s">
        <v>29147</v>
      </c>
      <c r="G4289" s="3"/>
      <c r="H4289" s="3"/>
      <c r="I4289" s="3"/>
      <c r="J4289" s="3"/>
      <c r="K4289" s="3"/>
      <c r="L4289" s="3">
        <f t="shared" si="186"/>
        <v>0</v>
      </c>
      <c r="M4289" s="3"/>
      <c r="N4289" s="3">
        <f t="shared" si="187"/>
        <v>0</v>
      </c>
      <c r="O4289" t="s">
        <v>29374</v>
      </c>
      <c r="R4289" s="89"/>
      <c r="S4289" s="89">
        <f>100%-Table34[[#This Row],[PDF_initial fee]]</f>
        <v>1</v>
      </c>
      <c r="T4289" s="89"/>
      <c r="U4289" s="26"/>
    </row>
    <row r="4290" spans="1:30" hidden="1" x14ac:dyDescent="0.25">
      <c r="A4290">
        <v>777463</v>
      </c>
      <c r="B4290" t="s">
        <v>4681</v>
      </c>
      <c r="C4290" t="s">
        <v>11976</v>
      </c>
      <c r="D4290">
        <v>1</v>
      </c>
      <c r="E4290" t="s">
        <v>4681</v>
      </c>
      <c r="G4290" s="3"/>
      <c r="H4290" s="3"/>
      <c r="I4290" s="3"/>
      <c r="J4290" s="3"/>
      <c r="K4290" s="3"/>
      <c r="L4290" s="3">
        <f t="shared" si="186"/>
        <v>0</v>
      </c>
      <c r="M4290" s="3"/>
      <c r="N4290" s="3">
        <f t="shared" si="187"/>
        <v>0</v>
      </c>
      <c r="R4290" s="89"/>
      <c r="S4290" s="89">
        <f>100%-Table34[[#This Row],[PDF_initial fee]]</f>
        <v>1</v>
      </c>
      <c r="T4290" s="89"/>
      <c r="U4290" s="26"/>
    </row>
    <row r="4291" spans="1:30" hidden="1" x14ac:dyDescent="0.25">
      <c r="A4291">
        <v>778343</v>
      </c>
      <c r="B4291" t="s">
        <v>4682</v>
      </c>
      <c r="C4291" t="s">
        <v>11387</v>
      </c>
      <c r="D4291">
        <v>1</v>
      </c>
      <c r="E4291" t="s">
        <v>4682</v>
      </c>
      <c r="G4291" s="3"/>
      <c r="H4291" s="3">
        <v>0</v>
      </c>
      <c r="I4291" s="3">
        <v>0</v>
      </c>
      <c r="J4291" s="3">
        <v>0</v>
      </c>
      <c r="K4291" s="3">
        <v>0</v>
      </c>
      <c r="L4291" s="3">
        <f t="shared" si="186"/>
        <v>0</v>
      </c>
      <c r="M4291" s="3"/>
      <c r="N4291" s="3">
        <f t="shared" si="187"/>
        <v>0</v>
      </c>
      <c r="R4291" s="89"/>
      <c r="S4291" s="89">
        <f>100%-Table34[[#This Row],[PDF_initial fee]]</f>
        <v>1</v>
      </c>
      <c r="T4291" s="89"/>
      <c r="U4291" s="26"/>
    </row>
    <row r="4292" spans="1:30" hidden="1" x14ac:dyDescent="0.25">
      <c r="A4292">
        <v>778445</v>
      </c>
      <c r="B4292" t="s">
        <v>4683</v>
      </c>
      <c r="C4292" t="s">
        <v>6958</v>
      </c>
      <c r="D4292">
        <v>1</v>
      </c>
      <c r="E4292" t="s">
        <v>4683</v>
      </c>
      <c r="F4292" t="s">
        <v>6958</v>
      </c>
      <c r="G4292" s="3"/>
      <c r="H4292" s="21">
        <v>0</v>
      </c>
      <c r="I4292" s="21">
        <v>0</v>
      </c>
      <c r="J4292" s="21">
        <v>0</v>
      </c>
      <c r="K4292" s="21">
        <v>0</v>
      </c>
      <c r="L4292" s="3">
        <f t="shared" si="186"/>
        <v>0</v>
      </c>
      <c r="M4292" s="3"/>
      <c r="N4292" s="3">
        <f t="shared" si="187"/>
        <v>0</v>
      </c>
      <c r="R4292" s="89"/>
      <c r="S4292" s="89">
        <f>100%-Table34[[#This Row],[PDF_initial fee]]</f>
        <v>1</v>
      </c>
      <c r="T4292" s="89"/>
      <c r="U4292" s="26"/>
    </row>
    <row r="4293" spans="1:30" hidden="1" x14ac:dyDescent="0.25">
      <c r="A4293">
        <v>778483</v>
      </c>
      <c r="B4293" t="s">
        <v>4684</v>
      </c>
      <c r="C4293" t="s">
        <v>31011</v>
      </c>
      <c r="D4293">
        <v>3</v>
      </c>
      <c r="E4293" t="s">
        <v>4684</v>
      </c>
      <c r="G4293" s="3"/>
      <c r="H4293" s="3">
        <v>0</v>
      </c>
      <c r="I4293" s="3">
        <v>0</v>
      </c>
      <c r="J4293" s="3">
        <v>0</v>
      </c>
      <c r="K4293" s="3">
        <v>0</v>
      </c>
      <c r="L4293" s="3">
        <f t="shared" si="186"/>
        <v>0</v>
      </c>
      <c r="M4293" s="3"/>
      <c r="N4293" s="3">
        <f t="shared" si="187"/>
        <v>0</v>
      </c>
      <c r="R4293" s="89"/>
      <c r="S4293" s="89">
        <f>100%-Table34[[#This Row],[PDF_initial fee]]</f>
        <v>1</v>
      </c>
      <c r="T4293" s="89"/>
      <c r="U4293" s="26"/>
    </row>
    <row r="4294" spans="1:30" hidden="1" x14ac:dyDescent="0.25">
      <c r="A4294">
        <v>778519</v>
      </c>
      <c r="B4294" t="s">
        <v>4685</v>
      </c>
      <c r="C4294" t="s">
        <v>31012</v>
      </c>
      <c r="D4294">
        <v>1</v>
      </c>
      <c r="E4294" t="s">
        <v>4685</v>
      </c>
      <c r="G4294" s="3"/>
      <c r="H4294" s="3">
        <v>0</v>
      </c>
      <c r="I4294" s="3">
        <v>0</v>
      </c>
      <c r="J4294" s="3">
        <v>0</v>
      </c>
      <c r="K4294" s="3">
        <v>0</v>
      </c>
      <c r="L4294" s="3">
        <f t="shared" si="186"/>
        <v>0</v>
      </c>
      <c r="M4294" s="3"/>
      <c r="N4294" s="3">
        <f t="shared" si="187"/>
        <v>0</v>
      </c>
      <c r="R4294" s="89"/>
      <c r="S4294" s="89">
        <f>100%-Table34[[#This Row],[PDF_initial fee]]</f>
        <v>1</v>
      </c>
      <c r="T4294" s="89"/>
      <c r="U4294" s="26"/>
    </row>
    <row r="4295" spans="1:30" hidden="1" x14ac:dyDescent="0.25">
      <c r="A4295">
        <v>778632</v>
      </c>
      <c r="B4295" t="s">
        <v>4686</v>
      </c>
      <c r="C4295" t="s">
        <v>8496</v>
      </c>
      <c r="D4295">
        <v>1</v>
      </c>
      <c r="E4295" t="s">
        <v>4686</v>
      </c>
      <c r="G4295" s="3"/>
      <c r="L4295" s="3">
        <f t="shared" ref="L4295:L4358" si="188">SUM(H4295:K4295)</f>
        <v>0</v>
      </c>
      <c r="M4295" s="3"/>
      <c r="N4295" s="3">
        <f t="shared" ref="N4295:N4358" si="189">L4295+G4295</f>
        <v>0</v>
      </c>
      <c r="R4295" s="89"/>
      <c r="S4295" s="89">
        <f>100%-Table34[[#This Row],[PDF_initial fee]]</f>
        <v>1</v>
      </c>
      <c r="T4295" s="89"/>
      <c r="U4295" s="26"/>
    </row>
    <row r="4296" spans="1:30" hidden="1" x14ac:dyDescent="0.25">
      <c r="A4296">
        <v>778701</v>
      </c>
      <c r="B4296" t="s">
        <v>4687</v>
      </c>
      <c r="C4296" t="s">
        <v>6958</v>
      </c>
      <c r="D4296">
        <v>1</v>
      </c>
      <c r="E4296" t="s">
        <v>4687</v>
      </c>
      <c r="F4296" t="s">
        <v>6958</v>
      </c>
      <c r="G4296" s="3"/>
      <c r="L4296" s="3">
        <f t="shared" si="188"/>
        <v>0</v>
      </c>
      <c r="M4296" s="3"/>
      <c r="N4296" s="3">
        <f t="shared" si="189"/>
        <v>0</v>
      </c>
      <c r="R4296" s="89"/>
      <c r="S4296" s="89">
        <f>100%-Table34[[#This Row],[PDF_initial fee]]</f>
        <v>1</v>
      </c>
      <c r="T4296" s="89"/>
      <c r="U4296" s="26"/>
    </row>
    <row r="4297" spans="1:30" hidden="1" x14ac:dyDescent="0.25">
      <c r="A4297">
        <v>778738</v>
      </c>
      <c r="B4297" t="s">
        <v>4688</v>
      </c>
      <c r="C4297" t="s">
        <v>8267</v>
      </c>
      <c r="D4297">
        <v>1</v>
      </c>
      <c r="E4297" t="s">
        <v>4688</v>
      </c>
      <c r="G4297" s="3"/>
      <c r="H4297" s="21">
        <v>0</v>
      </c>
      <c r="I4297" s="21">
        <v>0</v>
      </c>
      <c r="J4297" s="21">
        <v>0</v>
      </c>
      <c r="K4297" s="21">
        <v>0</v>
      </c>
      <c r="L4297" s="3">
        <f t="shared" si="188"/>
        <v>0</v>
      </c>
      <c r="M4297" s="3"/>
      <c r="N4297" s="3">
        <f t="shared" si="189"/>
        <v>0</v>
      </c>
      <c r="R4297" s="89"/>
      <c r="S4297" s="89">
        <f>100%-Table34[[#This Row],[PDF_initial fee]]</f>
        <v>1</v>
      </c>
      <c r="T4297" s="89"/>
      <c r="U4297" s="26"/>
    </row>
    <row r="4298" spans="1:30" hidden="1" x14ac:dyDescent="0.25">
      <c r="A4298">
        <v>778807</v>
      </c>
      <c r="B4298" t="s">
        <v>4689</v>
      </c>
      <c r="C4298" t="s">
        <v>7238</v>
      </c>
      <c r="D4298">
        <v>3</v>
      </c>
      <c r="E4298" t="s">
        <v>4689</v>
      </c>
      <c r="G4298" s="3"/>
      <c r="H4298" s="21">
        <v>0</v>
      </c>
      <c r="I4298" s="21">
        <v>0</v>
      </c>
      <c r="J4298" s="21">
        <v>0</v>
      </c>
      <c r="K4298" s="21">
        <v>0</v>
      </c>
      <c r="L4298" s="3">
        <f t="shared" si="188"/>
        <v>0</v>
      </c>
      <c r="M4298" s="3"/>
      <c r="N4298" s="3">
        <f t="shared" si="189"/>
        <v>0</v>
      </c>
      <c r="R4298" s="89"/>
      <c r="S4298" s="89">
        <f>100%-Table34[[#This Row],[PDF_initial fee]]</f>
        <v>1</v>
      </c>
      <c r="T4298" s="89"/>
      <c r="U4298" s="26"/>
    </row>
    <row r="4299" spans="1:30" hidden="1" x14ac:dyDescent="0.25">
      <c r="A4299">
        <v>778812</v>
      </c>
      <c r="B4299" t="s">
        <v>4690</v>
      </c>
      <c r="C4299" t="s">
        <v>9044</v>
      </c>
      <c r="D4299">
        <v>2</v>
      </c>
      <c r="E4299" t="s">
        <v>4690</v>
      </c>
      <c r="G4299" s="3"/>
      <c r="H4299" s="3"/>
      <c r="I4299" s="3"/>
      <c r="J4299" s="3"/>
      <c r="K4299" s="3"/>
      <c r="L4299" s="3">
        <f t="shared" si="188"/>
        <v>0</v>
      </c>
      <c r="M4299" s="3"/>
      <c r="N4299" s="3">
        <f t="shared" si="189"/>
        <v>0</v>
      </c>
      <c r="R4299" s="89"/>
      <c r="S4299" s="89">
        <f>100%-Table34[[#This Row],[PDF_initial fee]]</f>
        <v>1</v>
      </c>
      <c r="T4299" s="89"/>
      <c r="U4299" s="26"/>
    </row>
    <row r="4300" spans="1:30" hidden="1" x14ac:dyDescent="0.25">
      <c r="A4300">
        <v>778816</v>
      </c>
      <c r="B4300" t="s">
        <v>4691</v>
      </c>
      <c r="C4300" t="s">
        <v>6958</v>
      </c>
      <c r="D4300">
        <v>2</v>
      </c>
      <c r="E4300" t="s">
        <v>4691</v>
      </c>
      <c r="F4300" t="s">
        <v>6958</v>
      </c>
      <c r="G4300" s="3"/>
      <c r="H4300" s="21">
        <v>0</v>
      </c>
      <c r="I4300" s="21">
        <v>0</v>
      </c>
      <c r="J4300" s="21">
        <v>0</v>
      </c>
      <c r="K4300" s="21">
        <v>0</v>
      </c>
      <c r="L4300" s="3">
        <f t="shared" si="188"/>
        <v>0</v>
      </c>
      <c r="M4300" s="3"/>
      <c r="N4300" s="3">
        <f t="shared" si="189"/>
        <v>0</v>
      </c>
      <c r="R4300" s="89"/>
      <c r="S4300" s="89">
        <f>100%-Table34[[#This Row],[PDF_initial fee]]</f>
        <v>1</v>
      </c>
      <c r="T4300" s="89"/>
      <c r="U4300" s="26"/>
    </row>
    <row r="4301" spans="1:30" hidden="1" x14ac:dyDescent="0.25">
      <c r="A4301">
        <v>778835</v>
      </c>
      <c r="B4301" t="s">
        <v>4692</v>
      </c>
      <c r="C4301" t="s">
        <v>31013</v>
      </c>
      <c r="D4301">
        <v>4</v>
      </c>
      <c r="E4301" t="s">
        <v>4692</v>
      </c>
      <c r="G4301" s="3"/>
      <c r="H4301" s="21">
        <v>0</v>
      </c>
      <c r="I4301" s="21">
        <v>0</v>
      </c>
      <c r="J4301" s="21">
        <v>0</v>
      </c>
      <c r="K4301" s="21">
        <v>0</v>
      </c>
      <c r="L4301" s="3">
        <f t="shared" si="188"/>
        <v>0</v>
      </c>
      <c r="M4301" s="3"/>
      <c r="N4301" s="3">
        <f t="shared" si="189"/>
        <v>0</v>
      </c>
      <c r="O4301" s="21"/>
      <c r="R4301" s="89"/>
      <c r="S4301" s="89">
        <f>100%-Table34[[#This Row],[PDF_initial fee]]</f>
        <v>1</v>
      </c>
      <c r="T4301" s="89"/>
      <c r="U4301" s="26"/>
    </row>
    <row r="4302" spans="1:30" x14ac:dyDescent="0.25">
      <c r="A4302">
        <v>631878</v>
      </c>
      <c r="B4302" t="s">
        <v>366</v>
      </c>
      <c r="C4302" s="1" t="s">
        <v>7225</v>
      </c>
      <c r="D4302" s="1">
        <v>4</v>
      </c>
      <c r="E4302" t="s">
        <v>366</v>
      </c>
      <c r="F4302" t="s">
        <v>6</v>
      </c>
      <c r="G4302" s="3">
        <v>9.7999999999999997E-3</v>
      </c>
      <c r="H4302" s="3">
        <v>0.03</v>
      </c>
      <c r="I4302" s="3">
        <v>0.01</v>
      </c>
      <c r="J4302" s="6">
        <v>0</v>
      </c>
      <c r="K4302" s="6">
        <v>0</v>
      </c>
      <c r="L4302" s="3">
        <f t="shared" si="188"/>
        <v>0.04</v>
      </c>
      <c r="M4302" s="3"/>
      <c r="N4302" s="3">
        <f t="shared" si="189"/>
        <v>4.9799999999999997E-2</v>
      </c>
      <c r="O4302" t="s">
        <v>30992</v>
      </c>
      <c r="P4302" s="1" t="s">
        <v>30988</v>
      </c>
      <c r="Q4302" s="1" t="s">
        <v>31792</v>
      </c>
      <c r="R4302" s="89">
        <v>0.19270000000000001</v>
      </c>
      <c r="S4302" s="89">
        <f>100%-Table34[[#This Row],[InitialFee]]</f>
        <v>0.97</v>
      </c>
      <c r="T4302" s="89">
        <f>(1-Table34[[#This Row],[OngoingFee (plus Platform fee)]])^5</f>
        <v>0.95099004989999991</v>
      </c>
      <c r="U4302" s="26">
        <f>(1+Table34[[#This Row],[Net 5yrs return (mostly up to 28th of Feb 2026)]])*Table34[[#This Row],[Investment after initial charge]]*Table34[[#This Row],[Cummulative 5yrs ongoing advice charge]]-1</f>
        <v>0.10021845754025804</v>
      </c>
      <c r="V4302" s="10">
        <v>169640000</v>
      </c>
      <c r="W4302" s="10" t="s">
        <v>29051</v>
      </c>
      <c r="X4302" s="10">
        <v>136930000</v>
      </c>
      <c r="Y4302" s="10">
        <f>X4302/V4302</f>
        <v>0.80717991039849091</v>
      </c>
      <c r="Z4302" s="10" t="s">
        <v>12692</v>
      </c>
      <c r="AA4302" s="1" t="s">
        <v>30989</v>
      </c>
      <c r="AD4302" s="1"/>
    </row>
    <row r="4303" spans="1:30" hidden="1" x14ac:dyDescent="0.25">
      <c r="A4303">
        <v>779041</v>
      </c>
      <c r="B4303" t="s">
        <v>4693</v>
      </c>
      <c r="C4303" t="s">
        <v>9916</v>
      </c>
      <c r="D4303">
        <v>1</v>
      </c>
      <c r="E4303" t="s">
        <v>4693</v>
      </c>
      <c r="G4303" s="3"/>
      <c r="H4303" s="3">
        <v>0</v>
      </c>
      <c r="I4303" s="3">
        <v>0</v>
      </c>
      <c r="J4303" s="3">
        <v>0</v>
      </c>
      <c r="K4303" s="3">
        <v>0</v>
      </c>
      <c r="L4303" s="3">
        <f t="shared" si="188"/>
        <v>0</v>
      </c>
      <c r="M4303" s="3"/>
      <c r="N4303" s="3">
        <f t="shared" si="189"/>
        <v>0</v>
      </c>
      <c r="R4303" s="89"/>
      <c r="S4303" s="89">
        <f>100%-Table34[[#This Row],[PDF_initial fee]]</f>
        <v>1</v>
      </c>
      <c r="T4303" s="89"/>
      <c r="U4303" s="26"/>
    </row>
    <row r="4304" spans="1:30" hidden="1" x14ac:dyDescent="0.25">
      <c r="A4304">
        <v>779098</v>
      </c>
      <c r="B4304" t="s">
        <v>4694</v>
      </c>
      <c r="C4304" t="s">
        <v>10140</v>
      </c>
      <c r="D4304">
        <v>2</v>
      </c>
      <c r="E4304" t="s">
        <v>4694</v>
      </c>
      <c r="G4304" s="3"/>
      <c r="H4304" s="3"/>
      <c r="I4304" s="3"/>
      <c r="J4304" s="3"/>
      <c r="K4304" s="3"/>
      <c r="L4304" s="3">
        <f t="shared" si="188"/>
        <v>0</v>
      </c>
      <c r="M4304" s="3"/>
      <c r="N4304" s="3">
        <f t="shared" si="189"/>
        <v>0</v>
      </c>
      <c r="R4304" s="89"/>
      <c r="S4304" s="89">
        <f>100%-Table34[[#This Row],[PDF_initial fee]]</f>
        <v>1</v>
      </c>
      <c r="T4304" s="89"/>
      <c r="U4304" s="26"/>
    </row>
    <row r="4305" spans="1:30" hidden="1" x14ac:dyDescent="0.25">
      <c r="A4305">
        <v>779172</v>
      </c>
      <c r="B4305" t="s">
        <v>4695</v>
      </c>
      <c r="C4305" t="s">
        <v>7029</v>
      </c>
      <c r="D4305">
        <v>1</v>
      </c>
      <c r="E4305" t="s">
        <v>4695</v>
      </c>
      <c r="G4305" s="3"/>
      <c r="H4305" s="21">
        <v>0</v>
      </c>
      <c r="I4305" s="21">
        <v>0</v>
      </c>
      <c r="J4305" s="21">
        <v>0</v>
      </c>
      <c r="K4305" s="21">
        <v>0</v>
      </c>
      <c r="L4305" s="3">
        <f t="shared" si="188"/>
        <v>0</v>
      </c>
      <c r="M4305" s="3"/>
      <c r="N4305" s="3">
        <f t="shared" si="189"/>
        <v>0</v>
      </c>
      <c r="R4305" s="89"/>
      <c r="S4305" s="89">
        <f>100%-Table34[[#This Row],[PDF_initial fee]]</f>
        <v>1</v>
      </c>
      <c r="T4305" s="89"/>
      <c r="U4305" s="26"/>
    </row>
    <row r="4306" spans="1:30" hidden="1" x14ac:dyDescent="0.25">
      <c r="A4306">
        <v>779397</v>
      </c>
      <c r="B4306" t="s">
        <v>4696</v>
      </c>
      <c r="C4306" t="s">
        <v>31014</v>
      </c>
      <c r="D4306">
        <v>4</v>
      </c>
      <c r="E4306" t="s">
        <v>4696</v>
      </c>
      <c r="G4306" s="3"/>
      <c r="H4306" s="3">
        <v>0</v>
      </c>
      <c r="I4306" s="3">
        <v>0</v>
      </c>
      <c r="J4306" s="3">
        <v>0</v>
      </c>
      <c r="K4306" s="3">
        <v>0</v>
      </c>
      <c r="L4306" s="3">
        <f t="shared" si="188"/>
        <v>0</v>
      </c>
      <c r="M4306" s="3"/>
      <c r="N4306" s="3">
        <f t="shared" si="189"/>
        <v>0</v>
      </c>
      <c r="R4306" s="89"/>
      <c r="S4306" s="89">
        <f>100%-Table34[[#This Row],[PDF_initial fee]]</f>
        <v>1</v>
      </c>
      <c r="T4306" s="89"/>
      <c r="U4306" s="26"/>
    </row>
    <row r="4307" spans="1:30" hidden="1" x14ac:dyDescent="0.25">
      <c r="A4307">
        <v>779806</v>
      </c>
      <c r="B4307" t="s">
        <v>4697</v>
      </c>
      <c r="C4307" t="s">
        <v>12480</v>
      </c>
      <c r="D4307">
        <v>2</v>
      </c>
      <c r="E4307" t="s">
        <v>4697</v>
      </c>
      <c r="G4307" s="3"/>
      <c r="H4307" s="3">
        <v>0</v>
      </c>
      <c r="I4307" s="3">
        <v>0</v>
      </c>
      <c r="J4307" s="3">
        <v>0</v>
      </c>
      <c r="K4307" s="3">
        <v>0</v>
      </c>
      <c r="L4307" s="3">
        <f t="shared" si="188"/>
        <v>0</v>
      </c>
      <c r="M4307" s="3"/>
      <c r="N4307" s="3">
        <f t="shared" si="189"/>
        <v>0</v>
      </c>
      <c r="R4307" s="89"/>
      <c r="S4307" s="89">
        <f>100%-Table34[[#This Row],[PDF_initial fee]]</f>
        <v>1</v>
      </c>
      <c r="T4307" s="89"/>
      <c r="U4307" s="26"/>
    </row>
    <row r="4308" spans="1:30" hidden="1" x14ac:dyDescent="0.25">
      <c r="A4308">
        <v>780370</v>
      </c>
      <c r="B4308" t="s">
        <v>4698</v>
      </c>
      <c r="C4308" t="s">
        <v>31015</v>
      </c>
      <c r="D4308">
        <v>2</v>
      </c>
      <c r="E4308" t="s">
        <v>4698</v>
      </c>
      <c r="G4308" s="3"/>
      <c r="H4308" s="3">
        <v>0</v>
      </c>
      <c r="I4308" s="3">
        <v>0</v>
      </c>
      <c r="J4308" s="3">
        <v>0</v>
      </c>
      <c r="K4308" s="3">
        <v>0</v>
      </c>
      <c r="L4308" s="3">
        <f t="shared" si="188"/>
        <v>0</v>
      </c>
      <c r="M4308" s="3"/>
      <c r="N4308" s="3">
        <f t="shared" si="189"/>
        <v>0</v>
      </c>
      <c r="R4308" s="89"/>
      <c r="S4308" s="89">
        <f>100%-Table34[[#This Row],[PDF_initial fee]]</f>
        <v>1</v>
      </c>
      <c r="T4308" s="89"/>
      <c r="U4308" s="26"/>
    </row>
    <row r="4309" spans="1:30" hidden="1" x14ac:dyDescent="0.25">
      <c r="A4309">
        <v>780642</v>
      </c>
      <c r="B4309" t="s">
        <v>4699</v>
      </c>
      <c r="C4309" t="s">
        <v>31016</v>
      </c>
      <c r="D4309">
        <v>1</v>
      </c>
      <c r="E4309" t="s">
        <v>4699</v>
      </c>
      <c r="G4309" s="3"/>
      <c r="H4309" s="21">
        <v>0</v>
      </c>
      <c r="I4309" s="21">
        <v>0</v>
      </c>
      <c r="J4309" s="21">
        <v>0</v>
      </c>
      <c r="K4309" s="21">
        <v>0</v>
      </c>
      <c r="L4309" s="3">
        <f t="shared" si="188"/>
        <v>0</v>
      </c>
      <c r="M4309" s="3"/>
      <c r="N4309" s="3">
        <f t="shared" si="189"/>
        <v>0</v>
      </c>
      <c r="O4309" s="21"/>
      <c r="R4309" s="89"/>
      <c r="S4309" s="89">
        <f>100%-Table34[[#This Row],[PDF_initial fee]]</f>
        <v>1</v>
      </c>
      <c r="T4309" s="89"/>
      <c r="U4309" s="26"/>
    </row>
    <row r="4310" spans="1:30" hidden="1" x14ac:dyDescent="0.25">
      <c r="A4310">
        <v>781109</v>
      </c>
      <c r="B4310" t="s">
        <v>4700</v>
      </c>
      <c r="C4310" t="s">
        <v>31017</v>
      </c>
      <c r="D4310">
        <v>0</v>
      </c>
      <c r="E4310" t="s">
        <v>4700</v>
      </c>
      <c r="F4310" t="s">
        <v>29104</v>
      </c>
      <c r="G4310" s="3"/>
      <c r="H4310" s="21">
        <v>0</v>
      </c>
      <c r="I4310" s="21">
        <v>0</v>
      </c>
      <c r="J4310" s="21">
        <v>0</v>
      </c>
      <c r="K4310" s="21">
        <v>0</v>
      </c>
      <c r="L4310" s="3">
        <f t="shared" si="188"/>
        <v>0</v>
      </c>
      <c r="M4310" s="3"/>
      <c r="N4310" s="3">
        <f t="shared" si="189"/>
        <v>0</v>
      </c>
      <c r="O4310" s="21"/>
      <c r="R4310" s="89"/>
      <c r="S4310" s="89">
        <f>100%-Table34[[#This Row],[PDF_initial fee]]</f>
        <v>1</v>
      </c>
      <c r="T4310" s="89"/>
      <c r="U4310" s="26"/>
    </row>
    <row r="4311" spans="1:30" hidden="1" x14ac:dyDescent="0.25">
      <c r="A4311">
        <v>781164</v>
      </c>
      <c r="B4311" t="s">
        <v>4701</v>
      </c>
      <c r="C4311" t="s">
        <v>31018</v>
      </c>
      <c r="D4311">
        <v>3</v>
      </c>
      <c r="E4311" t="s">
        <v>4701</v>
      </c>
      <c r="G4311" s="3"/>
      <c r="H4311" s="21">
        <v>0</v>
      </c>
      <c r="I4311" s="21">
        <v>0</v>
      </c>
      <c r="J4311" s="21">
        <v>0</v>
      </c>
      <c r="K4311" s="21">
        <v>0</v>
      </c>
      <c r="L4311" s="3">
        <f t="shared" si="188"/>
        <v>0</v>
      </c>
      <c r="M4311" s="3"/>
      <c r="N4311" s="3">
        <f t="shared" si="189"/>
        <v>0</v>
      </c>
      <c r="O4311" s="21"/>
      <c r="R4311" s="89"/>
      <c r="S4311" s="89">
        <f>100%-Table34[[#This Row],[PDF_initial fee]]</f>
        <v>1</v>
      </c>
      <c r="T4311" s="89"/>
      <c r="U4311" s="26"/>
    </row>
    <row r="4312" spans="1:30" hidden="1" x14ac:dyDescent="0.25">
      <c r="A4312">
        <v>781168</v>
      </c>
      <c r="B4312" t="s">
        <v>4702</v>
      </c>
      <c r="C4312" t="s">
        <v>10319</v>
      </c>
      <c r="D4312">
        <v>2</v>
      </c>
      <c r="E4312" t="s">
        <v>4702</v>
      </c>
      <c r="G4312" s="3"/>
      <c r="H4312" s="3">
        <v>0</v>
      </c>
      <c r="I4312" s="3">
        <v>0</v>
      </c>
      <c r="J4312" s="3">
        <v>0</v>
      </c>
      <c r="K4312" s="3">
        <v>0</v>
      </c>
      <c r="L4312" s="3">
        <f t="shared" si="188"/>
        <v>0</v>
      </c>
      <c r="M4312" s="3"/>
      <c r="N4312" s="3">
        <f t="shared" si="189"/>
        <v>0</v>
      </c>
      <c r="R4312" s="89"/>
      <c r="S4312" s="89">
        <f>100%-Table34[[#This Row],[PDF_initial fee]]</f>
        <v>1</v>
      </c>
      <c r="T4312" s="89"/>
      <c r="U4312" s="26"/>
    </row>
    <row r="4313" spans="1:30" hidden="1" x14ac:dyDescent="0.25">
      <c r="A4313">
        <v>781273</v>
      </c>
      <c r="B4313" t="s">
        <v>4703</v>
      </c>
      <c r="C4313" t="s">
        <v>6958</v>
      </c>
      <c r="D4313">
        <v>2</v>
      </c>
      <c r="E4313" t="s">
        <v>4703</v>
      </c>
      <c r="F4313" t="s">
        <v>6958</v>
      </c>
      <c r="G4313" s="3"/>
      <c r="H4313" s="21">
        <v>0</v>
      </c>
      <c r="I4313" s="21">
        <v>0</v>
      </c>
      <c r="J4313" s="21">
        <v>0</v>
      </c>
      <c r="K4313" s="21">
        <v>0</v>
      </c>
      <c r="L4313" s="3">
        <f t="shared" si="188"/>
        <v>0</v>
      </c>
      <c r="M4313" s="3"/>
      <c r="N4313" s="3">
        <f t="shared" si="189"/>
        <v>0</v>
      </c>
      <c r="R4313" s="89"/>
      <c r="S4313" s="89">
        <f>100%-Table34[[#This Row],[PDF_initial fee]]</f>
        <v>1</v>
      </c>
      <c r="T4313" s="89"/>
      <c r="U4313" s="26"/>
    </row>
    <row r="4314" spans="1:30" hidden="1" x14ac:dyDescent="0.25">
      <c r="A4314">
        <v>781320</v>
      </c>
      <c r="B4314" t="s">
        <v>4704</v>
      </c>
      <c r="C4314" t="s">
        <v>6958</v>
      </c>
      <c r="D4314">
        <v>1</v>
      </c>
      <c r="E4314" t="s">
        <v>4704</v>
      </c>
      <c r="F4314" t="s">
        <v>6958</v>
      </c>
      <c r="G4314" s="3"/>
      <c r="H4314" s="21">
        <v>0</v>
      </c>
      <c r="I4314" s="21">
        <v>0</v>
      </c>
      <c r="J4314" s="21">
        <v>0</v>
      </c>
      <c r="K4314" s="21">
        <v>0</v>
      </c>
      <c r="L4314" s="3">
        <f t="shared" si="188"/>
        <v>0</v>
      </c>
      <c r="M4314" s="3"/>
      <c r="N4314" s="3">
        <f t="shared" si="189"/>
        <v>0</v>
      </c>
      <c r="R4314" s="89"/>
      <c r="S4314" s="89">
        <f>100%-Table34[[#This Row],[PDF_initial fee]]</f>
        <v>1</v>
      </c>
      <c r="T4314" s="89"/>
      <c r="U4314" s="26"/>
    </row>
    <row r="4315" spans="1:30" x14ac:dyDescent="0.25">
      <c r="A4315">
        <v>797157</v>
      </c>
      <c r="B4315" t="s">
        <v>367</v>
      </c>
      <c r="C4315" s="1" t="s">
        <v>7225</v>
      </c>
      <c r="D4315" s="1">
        <v>2</v>
      </c>
      <c r="E4315" t="s">
        <v>367</v>
      </c>
      <c r="F4315" t="s">
        <v>6</v>
      </c>
      <c r="G4315" s="3">
        <v>9.7999999999999997E-3</v>
      </c>
      <c r="H4315" s="3">
        <v>0.03</v>
      </c>
      <c r="I4315" s="3">
        <v>0.01</v>
      </c>
      <c r="J4315" s="6">
        <v>0</v>
      </c>
      <c r="K4315" s="6">
        <v>0</v>
      </c>
      <c r="L4315" s="3">
        <f t="shared" si="188"/>
        <v>0.04</v>
      </c>
      <c r="M4315" s="3"/>
      <c r="N4315" s="3">
        <f t="shared" si="189"/>
        <v>4.9799999999999997E-2</v>
      </c>
      <c r="O4315" t="s">
        <v>30992</v>
      </c>
      <c r="P4315" s="1" t="s">
        <v>30988</v>
      </c>
      <c r="Q4315" s="1" t="s">
        <v>31792</v>
      </c>
      <c r="R4315" s="89">
        <v>0.19270000000000001</v>
      </c>
      <c r="S4315" s="89">
        <f>100%-Table34[[#This Row],[InitialFee]]</f>
        <v>0.97</v>
      </c>
      <c r="T4315" s="89">
        <f>(1-Table34[[#This Row],[OngoingFee (plus Platform fee)]])^5</f>
        <v>0.95099004989999991</v>
      </c>
      <c r="U4315" s="26">
        <f>(1+Table34[[#This Row],[Net 5yrs return (mostly up to 28th of Feb 2026)]])*Table34[[#This Row],[Investment after initial charge]]*Table34[[#This Row],[Cummulative 5yrs ongoing advice charge]]-1</f>
        <v>0.10021845754025804</v>
      </c>
      <c r="V4315" s="10">
        <v>169640000</v>
      </c>
      <c r="W4315" s="10" t="s">
        <v>29051</v>
      </c>
      <c r="X4315" s="10">
        <v>136930000</v>
      </c>
      <c r="Y4315" s="10">
        <f>X4315/V4315</f>
        <v>0.80717991039849091</v>
      </c>
      <c r="Z4315" s="10" t="s">
        <v>12692</v>
      </c>
      <c r="AA4315" s="1" t="s">
        <v>30989</v>
      </c>
      <c r="AD4315" s="1"/>
    </row>
    <row r="4316" spans="1:30" hidden="1" x14ac:dyDescent="0.25">
      <c r="A4316">
        <v>781480</v>
      </c>
      <c r="B4316" t="s">
        <v>4705</v>
      </c>
      <c r="C4316" s="1" t="s">
        <v>31019</v>
      </c>
      <c r="D4316">
        <v>2</v>
      </c>
      <c r="E4316" t="s">
        <v>4705</v>
      </c>
      <c r="G4316" s="3"/>
      <c r="H4316" s="3">
        <v>0</v>
      </c>
      <c r="I4316" s="3">
        <v>0</v>
      </c>
      <c r="J4316" s="3">
        <v>0</v>
      </c>
      <c r="K4316" s="3">
        <v>0</v>
      </c>
      <c r="L4316" s="3">
        <f t="shared" si="188"/>
        <v>0</v>
      </c>
      <c r="M4316" s="3"/>
      <c r="N4316" s="3">
        <f t="shared" si="189"/>
        <v>0</v>
      </c>
      <c r="R4316" s="89"/>
      <c r="S4316" s="89">
        <f>100%-Table34[[#This Row],[PDF_initial fee]]</f>
        <v>1</v>
      </c>
      <c r="T4316" s="89"/>
      <c r="U4316" s="26"/>
    </row>
    <row r="4317" spans="1:30" hidden="1" x14ac:dyDescent="0.25">
      <c r="A4317">
        <v>781685</v>
      </c>
      <c r="B4317" t="s">
        <v>4706</v>
      </c>
      <c r="C4317" t="s">
        <v>8361</v>
      </c>
      <c r="D4317">
        <v>1</v>
      </c>
      <c r="E4317" t="s">
        <v>4706</v>
      </c>
      <c r="G4317" s="3"/>
      <c r="H4317" s="21">
        <v>0</v>
      </c>
      <c r="I4317" s="21">
        <v>0</v>
      </c>
      <c r="J4317" s="21">
        <v>0</v>
      </c>
      <c r="K4317" s="21">
        <v>0</v>
      </c>
      <c r="L4317" s="3">
        <f t="shared" si="188"/>
        <v>0</v>
      </c>
      <c r="M4317" s="3"/>
      <c r="N4317" s="3">
        <f t="shared" si="189"/>
        <v>0</v>
      </c>
      <c r="R4317" s="89"/>
      <c r="S4317" s="89">
        <f>100%-Table34[[#This Row],[PDF_initial fee]]</f>
        <v>1</v>
      </c>
      <c r="T4317" s="89"/>
      <c r="U4317" s="26"/>
    </row>
    <row r="4318" spans="1:30" hidden="1" x14ac:dyDescent="0.25">
      <c r="A4318">
        <v>781702</v>
      </c>
      <c r="B4318" t="s">
        <v>4707</v>
      </c>
      <c r="C4318" t="s">
        <v>6958</v>
      </c>
      <c r="D4318">
        <v>0</v>
      </c>
      <c r="E4318" t="s">
        <v>4707</v>
      </c>
      <c r="F4318" t="s">
        <v>6958</v>
      </c>
      <c r="G4318" s="3"/>
      <c r="L4318" s="3">
        <f t="shared" si="188"/>
        <v>0</v>
      </c>
      <c r="M4318" s="3"/>
      <c r="N4318" s="3">
        <f t="shared" si="189"/>
        <v>0</v>
      </c>
      <c r="R4318" s="89"/>
      <c r="S4318" s="89">
        <f>100%-Table34[[#This Row],[PDF_initial fee]]</f>
        <v>1</v>
      </c>
      <c r="T4318" s="89"/>
      <c r="U4318" s="26"/>
    </row>
    <row r="4319" spans="1:30" hidden="1" x14ac:dyDescent="0.25">
      <c r="A4319">
        <v>782092</v>
      </c>
      <c r="B4319" t="s">
        <v>4708</v>
      </c>
      <c r="C4319" t="s">
        <v>31020</v>
      </c>
      <c r="D4319">
        <v>2</v>
      </c>
      <c r="E4319" t="s">
        <v>4708</v>
      </c>
      <c r="G4319" s="3"/>
      <c r="H4319" s="3">
        <v>0</v>
      </c>
      <c r="I4319" s="3">
        <v>0</v>
      </c>
      <c r="J4319" s="3">
        <v>0</v>
      </c>
      <c r="K4319" s="3">
        <v>0</v>
      </c>
      <c r="L4319" s="3">
        <f t="shared" si="188"/>
        <v>0</v>
      </c>
      <c r="M4319" s="3"/>
      <c r="N4319" s="3">
        <f t="shared" si="189"/>
        <v>0</v>
      </c>
      <c r="R4319" s="89"/>
      <c r="S4319" s="89">
        <f>100%-Table34[[#This Row],[PDF_initial fee]]</f>
        <v>1</v>
      </c>
      <c r="T4319" s="89"/>
      <c r="U4319" s="26"/>
    </row>
    <row r="4320" spans="1:30" hidden="1" x14ac:dyDescent="0.25">
      <c r="A4320">
        <v>782133</v>
      </c>
      <c r="B4320" t="s">
        <v>4709</v>
      </c>
      <c r="C4320" t="s">
        <v>31021</v>
      </c>
      <c r="D4320">
        <v>7</v>
      </c>
      <c r="E4320" t="s">
        <v>4709</v>
      </c>
      <c r="G4320" s="3"/>
      <c r="H4320" s="3">
        <v>0</v>
      </c>
      <c r="I4320" s="3">
        <v>0</v>
      </c>
      <c r="J4320" s="3">
        <v>0</v>
      </c>
      <c r="K4320" s="3">
        <v>0</v>
      </c>
      <c r="L4320" s="3">
        <f t="shared" si="188"/>
        <v>0</v>
      </c>
      <c r="M4320" s="3"/>
      <c r="N4320" s="3">
        <f t="shared" si="189"/>
        <v>0</v>
      </c>
      <c r="R4320" s="89"/>
      <c r="S4320" s="89">
        <f>100%-Table34[[#This Row],[PDF_initial fee]]</f>
        <v>1</v>
      </c>
      <c r="T4320" s="89"/>
      <c r="U4320" s="26"/>
    </row>
    <row r="4321" spans="1:21" hidden="1" x14ac:dyDescent="0.25">
      <c r="A4321">
        <v>782417</v>
      </c>
      <c r="B4321" t="s">
        <v>4710</v>
      </c>
      <c r="C4321" t="s">
        <v>31022</v>
      </c>
      <c r="D4321">
        <v>1</v>
      </c>
      <c r="E4321" t="s">
        <v>4710</v>
      </c>
      <c r="G4321" s="3"/>
      <c r="H4321" s="3">
        <v>0</v>
      </c>
      <c r="I4321" s="3">
        <v>0</v>
      </c>
      <c r="J4321" s="3">
        <v>0</v>
      </c>
      <c r="K4321" s="3">
        <v>0</v>
      </c>
      <c r="L4321" s="3">
        <f t="shared" si="188"/>
        <v>0</v>
      </c>
      <c r="M4321" s="3"/>
      <c r="N4321" s="3">
        <f t="shared" si="189"/>
        <v>0</v>
      </c>
      <c r="R4321" s="89"/>
      <c r="S4321" s="89">
        <f>100%-Table34[[#This Row],[PDF_initial fee]]</f>
        <v>1</v>
      </c>
      <c r="T4321" s="89"/>
      <c r="U4321" s="26"/>
    </row>
    <row r="4322" spans="1:21" hidden="1" x14ac:dyDescent="0.25">
      <c r="A4322">
        <v>782577</v>
      </c>
      <c r="B4322" t="s">
        <v>4711</v>
      </c>
      <c r="C4322" t="s">
        <v>31023</v>
      </c>
      <c r="D4322">
        <v>1</v>
      </c>
      <c r="E4322" t="s">
        <v>4711</v>
      </c>
      <c r="G4322" s="3"/>
      <c r="H4322" s="3">
        <v>0</v>
      </c>
      <c r="I4322" s="3">
        <v>0</v>
      </c>
      <c r="J4322" s="3">
        <v>0</v>
      </c>
      <c r="K4322" s="3">
        <v>0</v>
      </c>
      <c r="L4322" s="3">
        <f t="shared" si="188"/>
        <v>0</v>
      </c>
      <c r="M4322" s="3"/>
      <c r="N4322" s="3">
        <f t="shared" si="189"/>
        <v>0</v>
      </c>
      <c r="R4322" s="89"/>
      <c r="S4322" s="89">
        <f>100%-Table34[[#This Row],[PDF_initial fee]]</f>
        <v>1</v>
      </c>
      <c r="T4322" s="89"/>
      <c r="U4322" s="26"/>
    </row>
    <row r="4323" spans="1:21" hidden="1" x14ac:dyDescent="0.25">
      <c r="A4323">
        <v>782609</v>
      </c>
      <c r="B4323" t="s">
        <v>4712</v>
      </c>
      <c r="C4323" t="s">
        <v>9604</v>
      </c>
      <c r="D4323">
        <v>1</v>
      </c>
      <c r="E4323" t="s">
        <v>4712</v>
      </c>
      <c r="G4323" s="3"/>
      <c r="H4323" s="3">
        <v>0</v>
      </c>
      <c r="I4323" s="3">
        <v>0</v>
      </c>
      <c r="J4323" s="3">
        <v>0</v>
      </c>
      <c r="K4323" s="3">
        <v>0</v>
      </c>
      <c r="L4323" s="3">
        <f t="shared" si="188"/>
        <v>0</v>
      </c>
      <c r="M4323" s="3"/>
      <c r="N4323" s="3">
        <f t="shared" si="189"/>
        <v>0</v>
      </c>
      <c r="R4323" s="89"/>
      <c r="S4323" s="89">
        <f>100%-Table34[[#This Row],[PDF_initial fee]]</f>
        <v>1</v>
      </c>
      <c r="T4323" s="89"/>
      <c r="U4323" s="26"/>
    </row>
    <row r="4324" spans="1:21" hidden="1" x14ac:dyDescent="0.25">
      <c r="A4324">
        <v>782715</v>
      </c>
      <c r="B4324" t="s">
        <v>4713</v>
      </c>
      <c r="C4324" t="s">
        <v>31024</v>
      </c>
      <c r="D4324">
        <v>0</v>
      </c>
      <c r="E4324" t="s">
        <v>4713</v>
      </c>
      <c r="F4324" t="s">
        <v>3</v>
      </c>
      <c r="G4324" s="3"/>
      <c r="H4324" s="3">
        <v>0</v>
      </c>
      <c r="I4324" s="3">
        <v>0</v>
      </c>
      <c r="J4324" s="3">
        <v>0</v>
      </c>
      <c r="K4324" s="3">
        <v>0</v>
      </c>
      <c r="L4324" s="3">
        <f t="shared" si="188"/>
        <v>0</v>
      </c>
      <c r="M4324" s="3"/>
      <c r="N4324" s="3">
        <f t="shared" si="189"/>
        <v>0</v>
      </c>
      <c r="R4324" s="89"/>
      <c r="S4324" s="89">
        <f>100%-Table34[[#This Row],[PDF_initial fee]]</f>
        <v>1</v>
      </c>
      <c r="T4324" s="89"/>
      <c r="U4324" s="26"/>
    </row>
    <row r="4325" spans="1:21" hidden="1" x14ac:dyDescent="0.25">
      <c r="A4325">
        <v>783290</v>
      </c>
      <c r="B4325" t="s">
        <v>4715</v>
      </c>
      <c r="C4325" t="s">
        <v>31025</v>
      </c>
      <c r="D4325">
        <v>1</v>
      </c>
      <c r="E4325" t="s">
        <v>4715</v>
      </c>
      <c r="G4325" s="3"/>
      <c r="H4325" s="3">
        <v>0</v>
      </c>
      <c r="I4325" s="3">
        <v>0</v>
      </c>
      <c r="J4325" s="3">
        <v>0</v>
      </c>
      <c r="K4325" s="3">
        <v>0</v>
      </c>
      <c r="L4325" s="3">
        <f t="shared" si="188"/>
        <v>0</v>
      </c>
      <c r="M4325" s="3"/>
      <c r="N4325" s="3">
        <f t="shared" si="189"/>
        <v>0</v>
      </c>
      <c r="R4325" s="89"/>
      <c r="S4325" s="89">
        <f>100%-Table34[[#This Row],[PDF_initial fee]]</f>
        <v>1</v>
      </c>
      <c r="T4325" s="89"/>
      <c r="U4325" s="26"/>
    </row>
    <row r="4326" spans="1:21" hidden="1" x14ac:dyDescent="0.25">
      <c r="A4326">
        <v>783494</v>
      </c>
      <c r="B4326" t="s">
        <v>4716</v>
      </c>
      <c r="C4326" t="s">
        <v>11953</v>
      </c>
      <c r="D4326">
        <v>1</v>
      </c>
      <c r="E4326" t="s">
        <v>4716</v>
      </c>
      <c r="G4326" s="3"/>
      <c r="H4326" s="3">
        <v>0</v>
      </c>
      <c r="I4326" s="3">
        <v>0</v>
      </c>
      <c r="J4326" s="3">
        <v>0</v>
      </c>
      <c r="K4326" s="3">
        <v>0</v>
      </c>
      <c r="L4326" s="3">
        <f t="shared" si="188"/>
        <v>0</v>
      </c>
      <c r="M4326" s="3"/>
      <c r="N4326" s="3">
        <f t="shared" si="189"/>
        <v>0</v>
      </c>
      <c r="R4326" s="89"/>
      <c r="S4326" s="89">
        <f>100%-Table34[[#This Row],[PDF_initial fee]]</f>
        <v>1</v>
      </c>
      <c r="T4326" s="89"/>
      <c r="U4326" s="26"/>
    </row>
    <row r="4327" spans="1:21" hidden="1" x14ac:dyDescent="0.25">
      <c r="A4327">
        <v>783698</v>
      </c>
      <c r="B4327" t="s">
        <v>4717</v>
      </c>
      <c r="C4327" t="s">
        <v>31026</v>
      </c>
      <c r="D4327">
        <v>2</v>
      </c>
      <c r="E4327" t="s">
        <v>4717</v>
      </c>
      <c r="G4327" s="3"/>
      <c r="H4327" s="3">
        <v>0</v>
      </c>
      <c r="I4327" s="3">
        <v>0</v>
      </c>
      <c r="J4327" s="3">
        <v>0</v>
      </c>
      <c r="K4327" s="3">
        <v>0</v>
      </c>
      <c r="L4327" s="3">
        <f t="shared" si="188"/>
        <v>0</v>
      </c>
      <c r="M4327" s="3"/>
      <c r="N4327" s="3">
        <f t="shared" si="189"/>
        <v>0</v>
      </c>
      <c r="R4327" s="89"/>
      <c r="S4327" s="89">
        <f>100%-Table34[[#This Row],[PDF_initial fee]]</f>
        <v>1</v>
      </c>
      <c r="T4327" s="89"/>
      <c r="U4327" s="26"/>
    </row>
    <row r="4328" spans="1:21" hidden="1" x14ac:dyDescent="0.25">
      <c r="A4328">
        <v>783716</v>
      </c>
      <c r="B4328" t="s">
        <v>4718</v>
      </c>
      <c r="C4328" t="s">
        <v>10203</v>
      </c>
      <c r="D4328">
        <v>2</v>
      </c>
      <c r="E4328" t="s">
        <v>4718</v>
      </c>
      <c r="G4328" s="3"/>
      <c r="H4328" s="3">
        <v>0</v>
      </c>
      <c r="I4328" s="3">
        <v>0</v>
      </c>
      <c r="J4328" s="3">
        <v>0</v>
      </c>
      <c r="K4328" s="3">
        <v>0</v>
      </c>
      <c r="L4328" s="3">
        <f t="shared" si="188"/>
        <v>0</v>
      </c>
      <c r="M4328" s="3"/>
      <c r="N4328" s="3">
        <f t="shared" si="189"/>
        <v>0</v>
      </c>
      <c r="R4328" s="89"/>
      <c r="S4328" s="89">
        <f>100%-Table34[[#This Row],[PDF_initial fee]]</f>
        <v>1</v>
      </c>
      <c r="T4328" s="89"/>
      <c r="U4328" s="26"/>
    </row>
    <row r="4329" spans="1:21" hidden="1" x14ac:dyDescent="0.25">
      <c r="A4329">
        <v>783726</v>
      </c>
      <c r="B4329" t="s">
        <v>4719</v>
      </c>
      <c r="C4329" t="s">
        <v>9104</v>
      </c>
      <c r="D4329">
        <v>2</v>
      </c>
      <c r="E4329" t="s">
        <v>4719</v>
      </c>
      <c r="G4329" s="3"/>
      <c r="H4329" s="21">
        <v>0</v>
      </c>
      <c r="I4329" s="21">
        <v>0</v>
      </c>
      <c r="J4329" s="21">
        <v>0</v>
      </c>
      <c r="K4329" s="21">
        <v>0</v>
      </c>
      <c r="L4329" s="3">
        <f t="shared" si="188"/>
        <v>0</v>
      </c>
      <c r="M4329" s="3"/>
      <c r="N4329" s="3">
        <f t="shared" si="189"/>
        <v>0</v>
      </c>
      <c r="R4329" s="89"/>
      <c r="S4329" s="89">
        <f>100%-Table34[[#This Row],[PDF_initial fee]]</f>
        <v>1</v>
      </c>
      <c r="T4329" s="89"/>
      <c r="U4329" s="26"/>
    </row>
    <row r="4330" spans="1:21" hidden="1" x14ac:dyDescent="0.25">
      <c r="A4330">
        <v>783916</v>
      </c>
      <c r="B4330" t="s">
        <v>4721</v>
      </c>
      <c r="C4330" t="s">
        <v>6958</v>
      </c>
      <c r="D4330">
        <v>1</v>
      </c>
      <c r="E4330" t="s">
        <v>4721</v>
      </c>
      <c r="F4330" t="s">
        <v>6958</v>
      </c>
      <c r="G4330" s="3"/>
      <c r="L4330" s="3">
        <f t="shared" si="188"/>
        <v>0</v>
      </c>
      <c r="M4330" s="3"/>
      <c r="N4330" s="3">
        <f t="shared" si="189"/>
        <v>0</v>
      </c>
      <c r="R4330" s="89"/>
      <c r="S4330" s="89">
        <f>100%-Table34[[#This Row],[PDF_initial fee]]</f>
        <v>1</v>
      </c>
      <c r="T4330" s="89"/>
      <c r="U4330" s="26"/>
    </row>
    <row r="4331" spans="1:21" hidden="1" x14ac:dyDescent="0.25">
      <c r="A4331">
        <v>784088</v>
      </c>
      <c r="B4331" t="s">
        <v>4722</v>
      </c>
      <c r="C4331" t="s">
        <v>6958</v>
      </c>
      <c r="D4331">
        <v>1</v>
      </c>
      <c r="E4331" t="s">
        <v>4722</v>
      </c>
      <c r="F4331" t="s">
        <v>6958</v>
      </c>
      <c r="G4331" s="3"/>
      <c r="H4331" s="21">
        <v>0</v>
      </c>
      <c r="I4331" s="21">
        <v>0</v>
      </c>
      <c r="J4331" s="21">
        <v>0</v>
      </c>
      <c r="K4331" s="21">
        <v>0</v>
      </c>
      <c r="L4331" s="3">
        <f t="shared" si="188"/>
        <v>0</v>
      </c>
      <c r="M4331" s="3"/>
      <c r="N4331" s="3">
        <f t="shared" si="189"/>
        <v>0</v>
      </c>
      <c r="R4331" s="89"/>
      <c r="S4331" s="89">
        <f>100%-Table34[[#This Row],[PDF_initial fee]]</f>
        <v>1</v>
      </c>
      <c r="T4331" s="89"/>
      <c r="U4331" s="26"/>
    </row>
    <row r="4332" spans="1:21" hidden="1" x14ac:dyDescent="0.25">
      <c r="A4332">
        <v>784174</v>
      </c>
      <c r="B4332" t="s">
        <v>4723</v>
      </c>
      <c r="C4332" s="1" t="s">
        <v>31027</v>
      </c>
      <c r="D4332">
        <v>2</v>
      </c>
      <c r="E4332" t="s">
        <v>4723</v>
      </c>
      <c r="G4332" s="3"/>
      <c r="H4332" s="3">
        <v>0</v>
      </c>
      <c r="I4332" s="3">
        <v>0</v>
      </c>
      <c r="J4332" s="3">
        <v>0</v>
      </c>
      <c r="K4332" s="3">
        <v>0</v>
      </c>
      <c r="L4332" s="3">
        <f t="shared" si="188"/>
        <v>0</v>
      </c>
      <c r="M4332" s="3"/>
      <c r="N4332" s="3">
        <f t="shared" si="189"/>
        <v>0</v>
      </c>
      <c r="R4332" s="89"/>
      <c r="S4332" s="89">
        <f>100%-Table34[[#This Row],[PDF_initial fee]]</f>
        <v>1</v>
      </c>
      <c r="T4332" s="89"/>
      <c r="U4332" s="26"/>
    </row>
    <row r="4333" spans="1:21" hidden="1" x14ac:dyDescent="0.25">
      <c r="A4333">
        <v>784239</v>
      </c>
      <c r="B4333" t="s">
        <v>4724</v>
      </c>
      <c r="C4333" t="s">
        <v>6958</v>
      </c>
      <c r="D4333">
        <v>1</v>
      </c>
      <c r="E4333" t="s">
        <v>4724</v>
      </c>
      <c r="F4333" t="s">
        <v>6958</v>
      </c>
      <c r="G4333" s="3"/>
      <c r="H4333" s="21">
        <v>0</v>
      </c>
      <c r="I4333" s="21">
        <v>0</v>
      </c>
      <c r="J4333" s="21">
        <v>0</v>
      </c>
      <c r="K4333" s="21">
        <v>0</v>
      </c>
      <c r="L4333" s="3">
        <f t="shared" si="188"/>
        <v>0</v>
      </c>
      <c r="M4333" s="3"/>
      <c r="N4333" s="3">
        <f t="shared" si="189"/>
        <v>0</v>
      </c>
      <c r="R4333" s="89"/>
      <c r="S4333" s="89">
        <f>100%-Table34[[#This Row],[PDF_initial fee]]</f>
        <v>1</v>
      </c>
      <c r="T4333" s="89"/>
      <c r="U4333" s="26"/>
    </row>
    <row r="4334" spans="1:21" hidden="1" x14ac:dyDescent="0.25">
      <c r="A4334">
        <v>784347</v>
      </c>
      <c r="B4334" t="s">
        <v>4725</v>
      </c>
      <c r="C4334" t="s">
        <v>7734</v>
      </c>
      <c r="D4334">
        <v>2</v>
      </c>
      <c r="E4334" t="s">
        <v>4725</v>
      </c>
      <c r="G4334" s="3"/>
      <c r="L4334" s="3">
        <f t="shared" si="188"/>
        <v>0</v>
      </c>
      <c r="M4334" s="3"/>
      <c r="N4334" s="3">
        <f t="shared" si="189"/>
        <v>0</v>
      </c>
      <c r="R4334" s="89"/>
      <c r="S4334" s="89">
        <f>100%-Table34[[#This Row],[PDF_initial fee]]</f>
        <v>1</v>
      </c>
      <c r="T4334" s="89"/>
      <c r="U4334" s="26"/>
    </row>
    <row r="4335" spans="1:21" hidden="1" x14ac:dyDescent="0.25">
      <c r="A4335">
        <v>784483</v>
      </c>
      <c r="B4335" t="s">
        <v>4726</v>
      </c>
      <c r="C4335" t="s">
        <v>31028</v>
      </c>
      <c r="D4335">
        <v>1</v>
      </c>
      <c r="E4335" t="s">
        <v>4726</v>
      </c>
      <c r="G4335" s="3"/>
      <c r="H4335" s="3">
        <v>0</v>
      </c>
      <c r="I4335" s="3">
        <v>0</v>
      </c>
      <c r="J4335" s="3">
        <v>0</v>
      </c>
      <c r="K4335" s="3">
        <v>0</v>
      </c>
      <c r="L4335" s="3">
        <f t="shared" si="188"/>
        <v>0</v>
      </c>
      <c r="M4335" s="3"/>
      <c r="N4335" s="3">
        <f t="shared" si="189"/>
        <v>0</v>
      </c>
      <c r="R4335" s="89"/>
      <c r="S4335" s="89">
        <f>100%-Table34[[#This Row],[PDF_initial fee]]</f>
        <v>1</v>
      </c>
      <c r="T4335" s="89"/>
      <c r="U4335" s="26"/>
    </row>
    <row r="4336" spans="1:21" hidden="1" x14ac:dyDescent="0.25">
      <c r="A4336">
        <v>784785</v>
      </c>
      <c r="B4336" t="s">
        <v>4727</v>
      </c>
      <c r="C4336" t="s">
        <v>31029</v>
      </c>
      <c r="D4336">
        <v>4</v>
      </c>
      <c r="E4336" t="s">
        <v>4727</v>
      </c>
      <c r="G4336" s="3"/>
      <c r="H4336" s="3">
        <v>0</v>
      </c>
      <c r="I4336" s="3">
        <v>0</v>
      </c>
      <c r="J4336" s="3">
        <v>0</v>
      </c>
      <c r="K4336" s="3">
        <v>0</v>
      </c>
      <c r="L4336" s="3">
        <f t="shared" si="188"/>
        <v>0</v>
      </c>
      <c r="M4336" s="3"/>
      <c r="N4336" s="3">
        <f t="shared" si="189"/>
        <v>0</v>
      </c>
      <c r="R4336" s="89"/>
      <c r="S4336" s="89">
        <f>100%-Table34[[#This Row],[PDF_initial fee]]</f>
        <v>1</v>
      </c>
      <c r="T4336" s="89"/>
      <c r="U4336" s="26"/>
    </row>
    <row r="4337" spans="1:27" hidden="1" x14ac:dyDescent="0.25">
      <c r="A4337">
        <v>784799</v>
      </c>
      <c r="B4337" t="s">
        <v>4728</v>
      </c>
      <c r="C4337" t="s">
        <v>31030</v>
      </c>
      <c r="D4337">
        <v>2</v>
      </c>
      <c r="E4337" t="s">
        <v>4728</v>
      </c>
      <c r="G4337" s="3"/>
      <c r="H4337" s="3">
        <v>0</v>
      </c>
      <c r="I4337" s="3">
        <v>0</v>
      </c>
      <c r="J4337" s="3">
        <v>0</v>
      </c>
      <c r="K4337" s="3">
        <v>0</v>
      </c>
      <c r="L4337" s="3">
        <f t="shared" si="188"/>
        <v>0</v>
      </c>
      <c r="M4337" s="3"/>
      <c r="N4337" s="3">
        <f t="shared" si="189"/>
        <v>0</v>
      </c>
      <c r="R4337" s="89"/>
      <c r="S4337" s="89">
        <f>100%-Table34[[#This Row],[PDF_initial fee]]</f>
        <v>1</v>
      </c>
      <c r="T4337" s="89"/>
      <c r="U4337" s="26"/>
    </row>
    <row r="4338" spans="1:27" hidden="1" x14ac:dyDescent="0.25">
      <c r="A4338">
        <v>785085</v>
      </c>
      <c r="B4338" t="s">
        <v>4729</v>
      </c>
      <c r="C4338" t="s">
        <v>6958</v>
      </c>
      <c r="D4338">
        <v>2</v>
      </c>
      <c r="E4338" t="s">
        <v>4729</v>
      </c>
      <c r="F4338" t="s">
        <v>6958</v>
      </c>
      <c r="G4338" s="3"/>
      <c r="L4338" s="3">
        <f t="shared" si="188"/>
        <v>0</v>
      </c>
      <c r="M4338" s="3"/>
      <c r="N4338" s="3">
        <f t="shared" si="189"/>
        <v>0</v>
      </c>
      <c r="R4338" s="89"/>
      <c r="S4338" s="89">
        <f>100%-Table34[[#This Row],[PDF_initial fee]]</f>
        <v>1</v>
      </c>
      <c r="T4338" s="89"/>
      <c r="U4338" s="26"/>
    </row>
    <row r="4339" spans="1:27" hidden="1" x14ac:dyDescent="0.25">
      <c r="A4339">
        <v>785187</v>
      </c>
      <c r="B4339" t="s">
        <v>4730</v>
      </c>
      <c r="C4339" t="s">
        <v>11719</v>
      </c>
      <c r="D4339">
        <v>1</v>
      </c>
      <c r="E4339" t="s">
        <v>4730</v>
      </c>
      <c r="G4339" s="3"/>
      <c r="H4339" s="3">
        <v>0</v>
      </c>
      <c r="I4339" s="3">
        <v>0</v>
      </c>
      <c r="J4339" s="3">
        <v>0</v>
      </c>
      <c r="K4339" s="3">
        <v>0</v>
      </c>
      <c r="L4339" s="3">
        <f t="shared" si="188"/>
        <v>0</v>
      </c>
      <c r="M4339" s="3"/>
      <c r="N4339" s="3">
        <f t="shared" si="189"/>
        <v>0</v>
      </c>
      <c r="R4339" s="89"/>
      <c r="S4339" s="89">
        <f>100%-Table34[[#This Row],[PDF_initial fee]]</f>
        <v>1</v>
      </c>
      <c r="T4339" s="89"/>
      <c r="U4339" s="26"/>
    </row>
    <row r="4340" spans="1:27" x14ac:dyDescent="0.25">
      <c r="A4340">
        <v>949328</v>
      </c>
      <c r="B4340" t="s">
        <v>341</v>
      </c>
      <c r="C4340" s="1" t="s">
        <v>31031</v>
      </c>
      <c r="D4340">
        <v>2</v>
      </c>
      <c r="E4340" t="s">
        <v>341</v>
      </c>
      <c r="F4340" t="s">
        <v>3</v>
      </c>
      <c r="G4340" s="3">
        <v>1.4E-3</v>
      </c>
      <c r="H4340" s="3">
        <v>0</v>
      </c>
      <c r="I4340" s="3">
        <v>3.8150000000000003E-2</v>
      </c>
      <c r="J4340" s="6">
        <v>0</v>
      </c>
      <c r="K4340" s="6"/>
      <c r="L4340" s="3">
        <f t="shared" si="188"/>
        <v>3.8150000000000003E-2</v>
      </c>
      <c r="M4340" s="3"/>
      <c r="N4340" s="3">
        <f t="shared" si="189"/>
        <v>3.9550000000000002E-2</v>
      </c>
      <c r="O4340" t="s">
        <v>31032</v>
      </c>
      <c r="P4340" s="31" t="s">
        <v>31033</v>
      </c>
      <c r="Q4340" t="s">
        <v>31787</v>
      </c>
      <c r="R4340" s="89">
        <v>0.33333333333333348</v>
      </c>
      <c r="S4340" s="99">
        <f>100%-Table34[[#This Row],[InitialFee]]</f>
        <v>1</v>
      </c>
      <c r="T4340" s="99">
        <f>(1-Table34[[#This Row],[OngoingFee (plus Platform fee)]])^5</f>
        <v>0.82325949177810243</v>
      </c>
      <c r="U4340" s="26">
        <f>(1+Table34[[#This Row],[Net 5yrs return (mostly up to 28th of Feb 2026)]])*Table34[[#This Row],[Investment after initial charge]]*Table34[[#This Row],[Cummulative 5yrs ongoing advice charge]]-1</f>
        <v>9.7679322370803456E-2</v>
      </c>
      <c r="V4340">
        <v>66210</v>
      </c>
      <c r="W4340" t="s">
        <v>29051</v>
      </c>
      <c r="X4340" s="9">
        <v>63328</v>
      </c>
      <c r="Y4340" s="30">
        <f>X4340/V4340</f>
        <v>0.95647183204953934</v>
      </c>
      <c r="AA4340" s="1" t="s">
        <v>31034</v>
      </c>
    </row>
    <row r="4341" spans="1:27" hidden="1" x14ac:dyDescent="0.25">
      <c r="A4341">
        <v>785754</v>
      </c>
      <c r="B4341" t="s">
        <v>4731</v>
      </c>
      <c r="C4341" t="s">
        <v>12641</v>
      </c>
      <c r="D4341">
        <v>3</v>
      </c>
      <c r="E4341" t="s">
        <v>4731</v>
      </c>
      <c r="G4341" s="3"/>
      <c r="H4341" s="3">
        <v>0</v>
      </c>
      <c r="I4341" s="3">
        <v>0</v>
      </c>
      <c r="J4341" s="3">
        <v>0</v>
      </c>
      <c r="K4341" s="3">
        <v>0</v>
      </c>
      <c r="L4341" s="3">
        <f t="shared" si="188"/>
        <v>0</v>
      </c>
      <c r="M4341" s="3"/>
      <c r="N4341" s="3">
        <f t="shared" si="189"/>
        <v>0</v>
      </c>
      <c r="R4341" s="89"/>
      <c r="S4341" s="89">
        <f>100%-Table34[[#This Row],[PDF_initial fee]]</f>
        <v>1</v>
      </c>
      <c r="T4341" s="89"/>
      <c r="U4341" s="26"/>
    </row>
    <row r="4342" spans="1:27" hidden="1" x14ac:dyDescent="0.25">
      <c r="A4342">
        <v>785885</v>
      </c>
      <c r="B4342" t="s">
        <v>4732</v>
      </c>
      <c r="C4342" t="s">
        <v>6958</v>
      </c>
      <c r="D4342">
        <v>1</v>
      </c>
      <c r="E4342" t="s">
        <v>4732</v>
      </c>
      <c r="F4342" t="s">
        <v>6958</v>
      </c>
      <c r="G4342" s="3"/>
      <c r="H4342" s="21">
        <v>0</v>
      </c>
      <c r="I4342" s="21">
        <v>0</v>
      </c>
      <c r="J4342" s="21">
        <v>0</v>
      </c>
      <c r="K4342" s="21">
        <v>0</v>
      </c>
      <c r="L4342" s="3">
        <f t="shared" si="188"/>
        <v>0</v>
      </c>
      <c r="M4342" s="3"/>
      <c r="N4342" s="3">
        <f t="shared" si="189"/>
        <v>0</v>
      </c>
      <c r="R4342" s="89"/>
      <c r="S4342" s="89">
        <f>100%-Table34[[#This Row],[PDF_initial fee]]</f>
        <v>1</v>
      </c>
      <c r="T4342" s="89"/>
      <c r="U4342" s="26"/>
    </row>
    <row r="4343" spans="1:27" hidden="1" x14ac:dyDescent="0.25">
      <c r="A4343">
        <v>786005</v>
      </c>
      <c r="B4343" t="s">
        <v>4733</v>
      </c>
      <c r="C4343" t="s">
        <v>11701</v>
      </c>
      <c r="D4343">
        <v>1</v>
      </c>
      <c r="E4343" t="s">
        <v>4733</v>
      </c>
      <c r="G4343" s="3"/>
      <c r="H4343" s="3">
        <v>0</v>
      </c>
      <c r="I4343" s="3">
        <v>0</v>
      </c>
      <c r="J4343" s="3">
        <v>0</v>
      </c>
      <c r="K4343" s="3">
        <v>0</v>
      </c>
      <c r="L4343" s="3">
        <f t="shared" si="188"/>
        <v>0</v>
      </c>
      <c r="M4343" s="3"/>
      <c r="N4343" s="3">
        <f t="shared" si="189"/>
        <v>0</v>
      </c>
      <c r="R4343" s="89"/>
      <c r="S4343" s="89">
        <f>100%-Table34[[#This Row],[PDF_initial fee]]</f>
        <v>1</v>
      </c>
      <c r="T4343" s="89"/>
      <c r="U4343" s="26"/>
    </row>
    <row r="4344" spans="1:27" hidden="1" x14ac:dyDescent="0.25">
      <c r="A4344">
        <v>786139</v>
      </c>
      <c r="B4344" t="s">
        <v>4734</v>
      </c>
      <c r="C4344" t="s">
        <v>9243</v>
      </c>
      <c r="D4344">
        <v>1</v>
      </c>
      <c r="E4344" t="s">
        <v>4734</v>
      </c>
      <c r="G4344" s="3"/>
      <c r="H4344" s="21">
        <v>0</v>
      </c>
      <c r="I4344" s="21">
        <v>0</v>
      </c>
      <c r="J4344" s="21">
        <v>0</v>
      </c>
      <c r="K4344" s="21">
        <v>0</v>
      </c>
      <c r="L4344" s="3">
        <f t="shared" si="188"/>
        <v>0</v>
      </c>
      <c r="M4344" s="3"/>
      <c r="N4344" s="3">
        <f t="shared" si="189"/>
        <v>0</v>
      </c>
      <c r="R4344" s="89"/>
      <c r="S4344" s="89">
        <f>100%-Table34[[#This Row],[PDF_initial fee]]</f>
        <v>1</v>
      </c>
      <c r="T4344" s="89"/>
      <c r="U4344" s="26"/>
    </row>
    <row r="4345" spans="1:27" hidden="1" x14ac:dyDescent="0.25">
      <c r="A4345">
        <v>786254</v>
      </c>
      <c r="B4345" t="s">
        <v>4735</v>
      </c>
      <c r="C4345" t="s">
        <v>6958</v>
      </c>
      <c r="D4345">
        <v>1</v>
      </c>
      <c r="E4345" t="s">
        <v>4735</v>
      </c>
      <c r="F4345" t="s">
        <v>6958</v>
      </c>
      <c r="G4345" s="3"/>
      <c r="H4345" s="21">
        <v>0</v>
      </c>
      <c r="I4345" s="21">
        <v>0</v>
      </c>
      <c r="J4345" s="21">
        <v>0</v>
      </c>
      <c r="K4345" s="21">
        <v>0</v>
      </c>
      <c r="L4345" s="3">
        <f t="shared" si="188"/>
        <v>0</v>
      </c>
      <c r="M4345" s="3"/>
      <c r="N4345" s="3">
        <f t="shared" si="189"/>
        <v>0</v>
      </c>
      <c r="R4345" s="89"/>
      <c r="S4345" s="89">
        <f>100%-Table34[[#This Row],[PDF_initial fee]]</f>
        <v>1</v>
      </c>
      <c r="T4345" s="89"/>
      <c r="U4345" s="26"/>
    </row>
    <row r="4346" spans="1:27" hidden="1" x14ac:dyDescent="0.25">
      <c r="A4346">
        <v>786343</v>
      </c>
      <c r="B4346" t="s">
        <v>4736</v>
      </c>
      <c r="C4346" t="s">
        <v>11882</v>
      </c>
      <c r="D4346">
        <v>1</v>
      </c>
      <c r="E4346" t="s">
        <v>4736</v>
      </c>
      <c r="G4346" s="3"/>
      <c r="H4346" s="3">
        <v>0</v>
      </c>
      <c r="I4346" s="3">
        <v>0</v>
      </c>
      <c r="J4346" s="3">
        <v>0</v>
      </c>
      <c r="K4346" s="3">
        <v>0</v>
      </c>
      <c r="L4346" s="3">
        <f t="shared" si="188"/>
        <v>0</v>
      </c>
      <c r="M4346" s="3"/>
      <c r="N4346" s="3">
        <f t="shared" si="189"/>
        <v>0</v>
      </c>
      <c r="R4346" s="89"/>
      <c r="S4346" s="89">
        <f>100%-Table34[[#This Row],[PDF_initial fee]]</f>
        <v>1</v>
      </c>
      <c r="T4346" s="89"/>
      <c r="U4346" s="26"/>
    </row>
    <row r="4347" spans="1:27" hidden="1" x14ac:dyDescent="0.25">
      <c r="A4347">
        <v>786358</v>
      </c>
      <c r="B4347" t="s">
        <v>4737</v>
      </c>
      <c r="C4347" t="s">
        <v>6958</v>
      </c>
      <c r="D4347">
        <v>1</v>
      </c>
      <c r="E4347" t="s">
        <v>4737</v>
      </c>
      <c r="F4347" t="s">
        <v>6958</v>
      </c>
      <c r="G4347" s="3"/>
      <c r="H4347" s="21">
        <v>0</v>
      </c>
      <c r="I4347" s="21">
        <v>0</v>
      </c>
      <c r="J4347" s="21">
        <v>0</v>
      </c>
      <c r="K4347" s="21">
        <v>0</v>
      </c>
      <c r="L4347" s="3">
        <f t="shared" si="188"/>
        <v>0</v>
      </c>
      <c r="M4347" s="3"/>
      <c r="N4347" s="3">
        <f t="shared" si="189"/>
        <v>0</v>
      </c>
      <c r="R4347" s="89"/>
      <c r="S4347" s="89">
        <f>100%-Table34[[#This Row],[PDF_initial fee]]</f>
        <v>1</v>
      </c>
      <c r="T4347" s="89"/>
      <c r="U4347" s="26"/>
    </row>
    <row r="4348" spans="1:27" hidden="1" x14ac:dyDescent="0.25">
      <c r="A4348">
        <v>786411</v>
      </c>
      <c r="B4348" t="s">
        <v>4738</v>
      </c>
      <c r="C4348" t="s">
        <v>9505</v>
      </c>
      <c r="D4348">
        <v>1</v>
      </c>
      <c r="E4348" t="s">
        <v>4738</v>
      </c>
      <c r="G4348" s="3"/>
      <c r="H4348" s="3">
        <v>0</v>
      </c>
      <c r="I4348" s="3">
        <v>0</v>
      </c>
      <c r="J4348" s="3">
        <v>0</v>
      </c>
      <c r="K4348" s="3">
        <v>0</v>
      </c>
      <c r="L4348" s="3">
        <f t="shared" si="188"/>
        <v>0</v>
      </c>
      <c r="M4348" s="3"/>
      <c r="N4348" s="3">
        <f t="shared" si="189"/>
        <v>0</v>
      </c>
      <c r="R4348" s="89"/>
      <c r="S4348" s="89">
        <f>100%-Table34[[#This Row],[PDF_initial fee]]</f>
        <v>1</v>
      </c>
      <c r="T4348" s="89"/>
      <c r="U4348" s="26"/>
    </row>
    <row r="4349" spans="1:27" hidden="1" x14ac:dyDescent="0.25">
      <c r="A4349">
        <v>786510</v>
      </c>
      <c r="B4349" t="s">
        <v>4740</v>
      </c>
      <c r="C4349" t="s">
        <v>31035</v>
      </c>
      <c r="D4349">
        <v>2</v>
      </c>
      <c r="E4349" t="s">
        <v>4740</v>
      </c>
      <c r="G4349" s="3"/>
      <c r="H4349" s="3">
        <v>0</v>
      </c>
      <c r="I4349" s="3">
        <v>0</v>
      </c>
      <c r="J4349" s="3">
        <v>0</v>
      </c>
      <c r="K4349" s="3">
        <v>0</v>
      </c>
      <c r="L4349" s="3">
        <f t="shared" si="188"/>
        <v>0</v>
      </c>
      <c r="M4349" s="3"/>
      <c r="N4349" s="3">
        <f t="shared" si="189"/>
        <v>0</v>
      </c>
      <c r="R4349" s="89"/>
      <c r="S4349" s="89">
        <f>100%-Table34[[#This Row],[PDF_initial fee]]</f>
        <v>1</v>
      </c>
      <c r="T4349" s="89"/>
      <c r="U4349" s="26"/>
    </row>
    <row r="4350" spans="1:27" hidden="1" x14ac:dyDescent="0.25">
      <c r="A4350">
        <v>786673</v>
      </c>
      <c r="B4350" t="s">
        <v>4741</v>
      </c>
      <c r="C4350" t="s">
        <v>11228</v>
      </c>
      <c r="D4350">
        <v>1</v>
      </c>
      <c r="E4350" t="s">
        <v>4741</v>
      </c>
      <c r="G4350" s="3"/>
      <c r="H4350" s="3"/>
      <c r="I4350" s="3"/>
      <c r="J4350" s="3"/>
      <c r="K4350" s="3"/>
      <c r="L4350" s="3">
        <f t="shared" si="188"/>
        <v>0</v>
      </c>
      <c r="M4350" s="3"/>
      <c r="N4350" s="3">
        <f t="shared" si="189"/>
        <v>0</v>
      </c>
      <c r="R4350" s="89"/>
      <c r="S4350" s="89">
        <f>100%-Table34[[#This Row],[PDF_initial fee]]</f>
        <v>1</v>
      </c>
      <c r="T4350" s="89"/>
      <c r="U4350" s="26"/>
    </row>
    <row r="4351" spans="1:27" hidden="1" x14ac:dyDescent="0.25">
      <c r="A4351">
        <v>787019</v>
      </c>
      <c r="B4351" t="s">
        <v>4742</v>
      </c>
      <c r="C4351" t="s">
        <v>12032</v>
      </c>
      <c r="D4351">
        <v>2</v>
      </c>
      <c r="E4351" t="s">
        <v>4742</v>
      </c>
      <c r="G4351" s="3"/>
      <c r="H4351" s="3">
        <v>0</v>
      </c>
      <c r="I4351" s="3">
        <v>0</v>
      </c>
      <c r="J4351" s="3">
        <v>0</v>
      </c>
      <c r="K4351" s="3">
        <v>0</v>
      </c>
      <c r="L4351" s="3">
        <f t="shared" si="188"/>
        <v>0</v>
      </c>
      <c r="M4351" s="3"/>
      <c r="N4351" s="3">
        <f t="shared" si="189"/>
        <v>0</v>
      </c>
      <c r="R4351" s="89"/>
      <c r="S4351" s="89">
        <f>100%-Table34[[#This Row],[PDF_initial fee]]</f>
        <v>1</v>
      </c>
      <c r="T4351" s="89"/>
      <c r="U4351" s="26"/>
    </row>
    <row r="4352" spans="1:27" hidden="1" x14ac:dyDescent="0.25">
      <c r="A4352">
        <v>787051</v>
      </c>
      <c r="B4352" t="s">
        <v>4743</v>
      </c>
      <c r="C4352" t="s">
        <v>6958</v>
      </c>
      <c r="D4352">
        <v>1</v>
      </c>
      <c r="E4352" t="s">
        <v>4743</v>
      </c>
      <c r="F4352" t="s">
        <v>6958</v>
      </c>
      <c r="G4352" s="3"/>
      <c r="H4352" s="21">
        <v>0</v>
      </c>
      <c r="I4352" s="21">
        <v>0</v>
      </c>
      <c r="J4352" s="21">
        <v>0</v>
      </c>
      <c r="K4352" s="21">
        <v>0</v>
      </c>
      <c r="L4352" s="3">
        <f t="shared" si="188"/>
        <v>0</v>
      </c>
      <c r="M4352" s="3"/>
      <c r="N4352" s="3">
        <f t="shared" si="189"/>
        <v>0</v>
      </c>
      <c r="R4352" s="89"/>
      <c r="S4352" s="89">
        <f>100%-Table34[[#This Row],[PDF_initial fee]]</f>
        <v>1</v>
      </c>
      <c r="T4352" s="89"/>
      <c r="U4352" s="26"/>
    </row>
    <row r="4353" spans="1:27" hidden="1" x14ac:dyDescent="0.25">
      <c r="A4353">
        <v>787161</v>
      </c>
      <c r="B4353" t="s">
        <v>4744</v>
      </c>
      <c r="C4353" t="s">
        <v>11879</v>
      </c>
      <c r="D4353">
        <v>1</v>
      </c>
      <c r="E4353" t="s">
        <v>4744</v>
      </c>
      <c r="G4353" s="3"/>
      <c r="H4353" s="3">
        <v>0</v>
      </c>
      <c r="I4353" s="3">
        <v>0</v>
      </c>
      <c r="J4353" s="3">
        <v>0</v>
      </c>
      <c r="K4353" s="3">
        <v>0</v>
      </c>
      <c r="L4353" s="3">
        <f t="shared" si="188"/>
        <v>0</v>
      </c>
      <c r="M4353" s="3"/>
      <c r="N4353" s="3">
        <f t="shared" si="189"/>
        <v>0</v>
      </c>
      <c r="R4353" s="89"/>
      <c r="S4353" s="89">
        <f>100%-Table34[[#This Row],[PDF_initial fee]]</f>
        <v>1</v>
      </c>
      <c r="T4353" s="89"/>
      <c r="U4353" s="26"/>
    </row>
    <row r="4354" spans="1:27" hidden="1" x14ac:dyDescent="0.25">
      <c r="A4354">
        <v>787261</v>
      </c>
      <c r="B4354" t="s">
        <v>4745</v>
      </c>
      <c r="C4354" t="s">
        <v>31036</v>
      </c>
      <c r="D4354">
        <v>2</v>
      </c>
      <c r="E4354" t="s">
        <v>4745</v>
      </c>
      <c r="G4354" s="3"/>
      <c r="H4354" s="21">
        <v>0</v>
      </c>
      <c r="I4354" s="21">
        <v>0</v>
      </c>
      <c r="J4354" s="21">
        <v>0</v>
      </c>
      <c r="K4354" s="21">
        <v>0</v>
      </c>
      <c r="L4354" s="3">
        <f t="shared" si="188"/>
        <v>0</v>
      </c>
      <c r="M4354" s="3"/>
      <c r="N4354" s="3">
        <f t="shared" si="189"/>
        <v>0</v>
      </c>
      <c r="O4354" s="21"/>
      <c r="R4354" s="89"/>
      <c r="S4354" s="89">
        <f>100%-Table34[[#This Row],[PDF_initial fee]]</f>
        <v>1</v>
      </c>
      <c r="T4354" s="89"/>
      <c r="U4354" s="26"/>
    </row>
    <row r="4355" spans="1:27" hidden="1" x14ac:dyDescent="0.25">
      <c r="A4355">
        <v>787328</v>
      </c>
      <c r="B4355" t="s">
        <v>4746</v>
      </c>
      <c r="C4355" t="s">
        <v>31037</v>
      </c>
      <c r="D4355">
        <v>2</v>
      </c>
      <c r="E4355" t="s">
        <v>4746</v>
      </c>
      <c r="G4355" s="3"/>
      <c r="H4355" s="3">
        <v>0</v>
      </c>
      <c r="I4355" s="3">
        <v>0</v>
      </c>
      <c r="J4355" s="3">
        <v>0</v>
      </c>
      <c r="K4355" s="3">
        <v>0</v>
      </c>
      <c r="L4355" s="3">
        <f t="shared" si="188"/>
        <v>0</v>
      </c>
      <c r="M4355" s="3"/>
      <c r="N4355" s="3">
        <f t="shared" si="189"/>
        <v>0</v>
      </c>
      <c r="R4355" s="89"/>
      <c r="S4355" s="89">
        <f>100%-Table34[[#This Row],[PDF_initial fee]]</f>
        <v>1</v>
      </c>
      <c r="T4355" s="89"/>
      <c r="U4355" s="26"/>
    </row>
    <row r="4356" spans="1:27" x14ac:dyDescent="0.25">
      <c r="A4356">
        <v>914522</v>
      </c>
      <c r="B4356" t="s">
        <v>325</v>
      </c>
      <c r="C4356" s="1" t="s">
        <v>8697</v>
      </c>
      <c r="D4356">
        <v>1</v>
      </c>
      <c r="E4356" t="s">
        <v>325</v>
      </c>
      <c r="F4356" t="s">
        <v>3</v>
      </c>
      <c r="G4356" s="3">
        <v>1.4E-3</v>
      </c>
      <c r="H4356" s="3">
        <v>0.02</v>
      </c>
      <c r="I4356" s="3">
        <v>0.01</v>
      </c>
      <c r="J4356" s="6"/>
      <c r="K4356" s="6"/>
      <c r="L4356" s="3">
        <f t="shared" si="188"/>
        <v>0.03</v>
      </c>
      <c r="M4356" s="3"/>
      <c r="N4356" s="3">
        <f t="shared" si="189"/>
        <v>3.1399999999999997E-2</v>
      </c>
      <c r="P4356" s="31" t="s">
        <v>31038</v>
      </c>
      <c r="Q4356" t="s">
        <v>31787</v>
      </c>
      <c r="R4356" s="89">
        <v>0.33333333333333348</v>
      </c>
      <c r="S4356" s="89">
        <f>100%-Table34[[#This Row],[InitialFee]]</f>
        <v>0.98</v>
      </c>
      <c r="T4356" s="89">
        <f>(1-Table34[[#This Row],[OngoingFee (plus Platform fee)]])^5</f>
        <v>0.95099004989999991</v>
      </c>
      <c r="U4356" s="26">
        <f>(1+Table34[[#This Row],[Net 5yrs return (mostly up to 28th of Feb 2026)]])*Table34[[#This Row],[Investment after initial charge]]*Table34[[#This Row],[Cummulative 5yrs ongoing advice charge]]-1</f>
        <v>0.24262699853600012</v>
      </c>
      <c r="V4356">
        <f>50964+13600</f>
        <v>64564</v>
      </c>
      <c r="W4356" t="s">
        <v>29051</v>
      </c>
      <c r="X4356" s="9">
        <v>42741</v>
      </c>
      <c r="Y4356" s="30">
        <f>X4356/V4356</f>
        <v>0.66199430022922989</v>
      </c>
      <c r="AA4356" s="1" t="s">
        <v>31039</v>
      </c>
    </row>
    <row r="4357" spans="1:27" hidden="1" x14ac:dyDescent="0.25">
      <c r="A4357">
        <v>787517</v>
      </c>
      <c r="B4357" t="s">
        <v>4747</v>
      </c>
      <c r="C4357" t="s">
        <v>31040</v>
      </c>
      <c r="D4357">
        <v>2</v>
      </c>
      <c r="E4357" t="s">
        <v>4747</v>
      </c>
      <c r="G4357" s="3"/>
      <c r="H4357" s="3">
        <v>0</v>
      </c>
      <c r="I4357" s="3">
        <v>0</v>
      </c>
      <c r="J4357" s="3">
        <v>0</v>
      </c>
      <c r="K4357" s="3">
        <v>0</v>
      </c>
      <c r="L4357" s="3">
        <f t="shared" si="188"/>
        <v>0</v>
      </c>
      <c r="M4357" s="3"/>
      <c r="N4357" s="3">
        <f t="shared" si="189"/>
        <v>0</v>
      </c>
      <c r="R4357" s="89"/>
      <c r="S4357" s="89">
        <f>100%-Table34[[#This Row],[PDF_initial fee]]</f>
        <v>1</v>
      </c>
      <c r="T4357" s="89"/>
      <c r="U4357" s="26"/>
    </row>
    <row r="4358" spans="1:27" hidden="1" x14ac:dyDescent="0.25">
      <c r="A4358">
        <v>787607</v>
      </c>
      <c r="B4358" t="s">
        <v>4748</v>
      </c>
      <c r="C4358" t="s">
        <v>10590</v>
      </c>
      <c r="D4358">
        <v>1</v>
      </c>
      <c r="E4358" t="s">
        <v>4748</v>
      </c>
      <c r="G4358" s="3"/>
      <c r="H4358" s="3"/>
      <c r="I4358" s="3"/>
      <c r="J4358" s="3"/>
      <c r="K4358" s="3"/>
      <c r="L4358" s="3">
        <f t="shared" si="188"/>
        <v>0</v>
      </c>
      <c r="M4358" s="3"/>
      <c r="N4358" s="3">
        <f t="shared" si="189"/>
        <v>0</v>
      </c>
      <c r="R4358" s="89"/>
      <c r="S4358" s="89">
        <f>100%-Table34[[#This Row],[PDF_initial fee]]</f>
        <v>1</v>
      </c>
      <c r="T4358" s="89"/>
      <c r="U4358" s="26"/>
    </row>
    <row r="4359" spans="1:27" hidden="1" x14ac:dyDescent="0.25">
      <c r="A4359">
        <v>787803</v>
      </c>
      <c r="B4359" t="s">
        <v>4749</v>
      </c>
      <c r="C4359" t="s">
        <v>9396</v>
      </c>
      <c r="D4359">
        <v>10</v>
      </c>
      <c r="E4359" t="s">
        <v>4749</v>
      </c>
      <c r="G4359" s="3"/>
      <c r="H4359" s="3">
        <v>0</v>
      </c>
      <c r="I4359" s="3">
        <v>0</v>
      </c>
      <c r="J4359" s="3">
        <v>0</v>
      </c>
      <c r="K4359" s="3">
        <v>0</v>
      </c>
      <c r="L4359" s="3">
        <f t="shared" ref="L4359:L4422" si="190">SUM(H4359:K4359)</f>
        <v>0</v>
      </c>
      <c r="M4359" s="3"/>
      <c r="N4359" s="3">
        <f t="shared" ref="N4359:N4422" si="191">L4359+G4359</f>
        <v>0</v>
      </c>
      <c r="R4359" s="89"/>
      <c r="S4359" s="89">
        <f>100%-Table34[[#This Row],[PDF_initial fee]]</f>
        <v>1</v>
      </c>
      <c r="T4359" s="89"/>
      <c r="U4359" s="26"/>
    </row>
    <row r="4360" spans="1:27" hidden="1" x14ac:dyDescent="0.25">
      <c r="A4360">
        <v>788194</v>
      </c>
      <c r="B4360" t="s">
        <v>4750</v>
      </c>
      <c r="C4360" t="s">
        <v>6958</v>
      </c>
      <c r="D4360">
        <v>1</v>
      </c>
      <c r="E4360" t="s">
        <v>4750</v>
      </c>
      <c r="F4360" t="s">
        <v>6958</v>
      </c>
      <c r="G4360" s="3"/>
      <c r="L4360" s="3">
        <f t="shared" si="190"/>
        <v>0</v>
      </c>
      <c r="M4360" s="3"/>
      <c r="N4360" s="3">
        <f t="shared" si="191"/>
        <v>0</v>
      </c>
      <c r="R4360" s="89"/>
      <c r="S4360" s="89">
        <f>100%-Table34[[#This Row],[PDF_initial fee]]</f>
        <v>1</v>
      </c>
      <c r="T4360" s="89"/>
      <c r="U4360" s="26"/>
    </row>
    <row r="4361" spans="1:27" hidden="1" x14ac:dyDescent="0.25">
      <c r="A4361">
        <v>788252</v>
      </c>
      <c r="B4361" t="s">
        <v>4751</v>
      </c>
      <c r="C4361" t="s">
        <v>7544</v>
      </c>
      <c r="D4361">
        <v>5</v>
      </c>
      <c r="E4361" t="s">
        <v>4751</v>
      </c>
      <c r="G4361" s="3"/>
      <c r="L4361" s="3">
        <f t="shared" si="190"/>
        <v>0</v>
      </c>
      <c r="M4361" s="3"/>
      <c r="N4361" s="3">
        <f t="shared" si="191"/>
        <v>0</v>
      </c>
      <c r="R4361" s="89"/>
      <c r="S4361" s="89">
        <f>100%-Table34[[#This Row],[PDF_initial fee]]</f>
        <v>1</v>
      </c>
      <c r="T4361" s="89"/>
      <c r="U4361" s="26"/>
    </row>
    <row r="4362" spans="1:27" hidden="1" x14ac:dyDescent="0.25">
      <c r="A4362">
        <v>788285</v>
      </c>
      <c r="B4362" t="s">
        <v>4752</v>
      </c>
      <c r="C4362" t="s">
        <v>6958</v>
      </c>
      <c r="D4362">
        <v>10</v>
      </c>
      <c r="E4362" t="s">
        <v>4752</v>
      </c>
      <c r="F4362" t="s">
        <v>6958</v>
      </c>
      <c r="G4362" s="3"/>
      <c r="H4362" s="21">
        <v>0</v>
      </c>
      <c r="I4362" s="21">
        <v>0</v>
      </c>
      <c r="J4362" s="21">
        <v>0</v>
      </c>
      <c r="K4362" s="21">
        <v>0</v>
      </c>
      <c r="L4362" s="3">
        <f t="shared" si="190"/>
        <v>0</v>
      </c>
      <c r="M4362" s="3"/>
      <c r="N4362" s="3">
        <f t="shared" si="191"/>
        <v>0</v>
      </c>
      <c r="R4362" s="89"/>
      <c r="S4362" s="89">
        <f>100%-Table34[[#This Row],[PDF_initial fee]]</f>
        <v>1</v>
      </c>
      <c r="T4362" s="89"/>
      <c r="U4362" s="26"/>
    </row>
    <row r="4363" spans="1:27" x14ac:dyDescent="0.25">
      <c r="A4363">
        <v>186250</v>
      </c>
      <c r="B4363" t="s">
        <v>88</v>
      </c>
      <c r="C4363" s="1" t="s">
        <v>9634</v>
      </c>
      <c r="D4363">
        <v>13</v>
      </c>
      <c r="E4363" t="s">
        <v>88</v>
      </c>
      <c r="F4363" t="s">
        <v>3</v>
      </c>
      <c r="G4363" s="3">
        <v>1.4E-3</v>
      </c>
      <c r="H4363" s="3">
        <v>1.4999999999999999E-2</v>
      </c>
      <c r="I4363" s="21">
        <v>0.01</v>
      </c>
      <c r="J4363" s="6">
        <v>0</v>
      </c>
      <c r="K4363" s="6">
        <v>0</v>
      </c>
      <c r="L4363" s="3">
        <f t="shared" si="190"/>
        <v>2.5000000000000001E-2</v>
      </c>
      <c r="M4363" s="3"/>
      <c r="N4363" s="3">
        <f t="shared" si="191"/>
        <v>2.64E-2</v>
      </c>
      <c r="P4363" s="1" t="s">
        <v>31041</v>
      </c>
      <c r="Q4363" t="s">
        <v>31787</v>
      </c>
      <c r="R4363" s="89">
        <v>0.33333333333333348</v>
      </c>
      <c r="S4363" s="89">
        <f>100%-Table34[[#This Row],[InitialFee]]</f>
        <v>0.98499999999999999</v>
      </c>
      <c r="T4363" s="89">
        <f>(1-Table34[[#This Row],[OngoingFee (plus Platform fee)]])^5</f>
        <v>0.95099004989999991</v>
      </c>
      <c r="U4363" s="26">
        <f>(1+Table34[[#This Row],[Net 5yrs return (mostly up to 28th of Feb 2026)]])*Table34[[#This Row],[Investment after initial charge]]*Table34[[#This Row],[Cummulative 5yrs ongoing advice charge]]-1</f>
        <v>0.24896693220200006</v>
      </c>
      <c r="V4363" s="10">
        <f>831234+374349</f>
        <v>1205583</v>
      </c>
      <c r="W4363" t="s">
        <v>29051</v>
      </c>
      <c r="X4363" s="10">
        <v>831234</v>
      </c>
      <c r="Y4363" s="30">
        <f>X4363/V4363</f>
        <v>0.68948716098352414</v>
      </c>
      <c r="AA4363" s="1" t="s">
        <v>31042</v>
      </c>
    </row>
    <row r="4364" spans="1:27" hidden="1" x14ac:dyDescent="0.25">
      <c r="A4364">
        <v>788849</v>
      </c>
      <c r="B4364" t="s">
        <v>4753</v>
      </c>
      <c r="C4364" t="s">
        <v>31043</v>
      </c>
      <c r="D4364">
        <v>3</v>
      </c>
      <c r="E4364" t="s">
        <v>4753</v>
      </c>
      <c r="G4364" s="3"/>
      <c r="H4364" s="3">
        <v>0</v>
      </c>
      <c r="I4364" s="3">
        <v>0</v>
      </c>
      <c r="J4364" s="3">
        <v>0</v>
      </c>
      <c r="K4364" s="3">
        <v>0</v>
      </c>
      <c r="L4364" s="3">
        <f t="shared" si="190"/>
        <v>0</v>
      </c>
      <c r="M4364" s="3"/>
      <c r="N4364" s="3">
        <f t="shared" si="191"/>
        <v>0</v>
      </c>
      <c r="R4364" s="89"/>
      <c r="S4364" s="89">
        <f>100%-Table34[[#This Row],[PDF_initial fee]]</f>
        <v>1</v>
      </c>
      <c r="T4364" s="89"/>
      <c r="U4364" s="26"/>
    </row>
    <row r="4365" spans="1:27" hidden="1" x14ac:dyDescent="0.25">
      <c r="A4365">
        <v>789032</v>
      </c>
      <c r="B4365" t="s">
        <v>4755</v>
      </c>
      <c r="C4365" t="s">
        <v>31044</v>
      </c>
      <c r="D4365">
        <v>6</v>
      </c>
      <c r="E4365" t="s">
        <v>4755</v>
      </c>
      <c r="G4365" s="3"/>
      <c r="H4365" s="3">
        <v>0</v>
      </c>
      <c r="I4365" s="3">
        <v>0</v>
      </c>
      <c r="J4365" s="3">
        <v>0</v>
      </c>
      <c r="K4365" s="3">
        <v>0</v>
      </c>
      <c r="L4365" s="3">
        <f t="shared" si="190"/>
        <v>0</v>
      </c>
      <c r="M4365" s="3"/>
      <c r="N4365" s="3">
        <f t="shared" si="191"/>
        <v>0</v>
      </c>
      <c r="R4365" s="89"/>
      <c r="S4365" s="89">
        <f>100%-Table34[[#This Row],[PDF_initial fee]]</f>
        <v>1</v>
      </c>
      <c r="T4365" s="89"/>
      <c r="U4365" s="26"/>
    </row>
    <row r="4366" spans="1:27" hidden="1" x14ac:dyDescent="0.25">
      <c r="A4366">
        <v>789159</v>
      </c>
      <c r="B4366" t="s">
        <v>4756</v>
      </c>
      <c r="C4366" t="s">
        <v>31045</v>
      </c>
      <c r="D4366">
        <v>1</v>
      </c>
      <c r="E4366" t="s">
        <v>4756</v>
      </c>
      <c r="G4366" s="3"/>
      <c r="H4366" s="3">
        <v>0</v>
      </c>
      <c r="I4366" s="3">
        <v>0</v>
      </c>
      <c r="J4366" s="3">
        <v>0</v>
      </c>
      <c r="K4366" s="3">
        <v>0</v>
      </c>
      <c r="L4366" s="3">
        <f t="shared" si="190"/>
        <v>0</v>
      </c>
      <c r="M4366" s="3"/>
      <c r="N4366" s="3">
        <f t="shared" si="191"/>
        <v>0</v>
      </c>
      <c r="R4366" s="89"/>
      <c r="S4366" s="89">
        <f>100%-Table34[[#This Row],[PDF_initial fee]]</f>
        <v>1</v>
      </c>
      <c r="T4366" s="89"/>
      <c r="U4366" s="26"/>
    </row>
    <row r="4367" spans="1:27" hidden="1" x14ac:dyDescent="0.25">
      <c r="A4367">
        <v>789181</v>
      </c>
      <c r="B4367" t="s">
        <v>4757</v>
      </c>
      <c r="C4367" t="s">
        <v>10234</v>
      </c>
      <c r="D4367">
        <v>2</v>
      </c>
      <c r="E4367" t="s">
        <v>4757</v>
      </c>
      <c r="G4367" s="3"/>
      <c r="H4367" s="3">
        <v>0</v>
      </c>
      <c r="I4367" s="3">
        <v>0</v>
      </c>
      <c r="J4367" s="3">
        <v>0</v>
      </c>
      <c r="K4367" s="3">
        <v>0</v>
      </c>
      <c r="L4367" s="3">
        <f t="shared" si="190"/>
        <v>0</v>
      </c>
      <c r="M4367" s="3"/>
      <c r="N4367" s="3">
        <f t="shared" si="191"/>
        <v>0</v>
      </c>
      <c r="R4367" s="89"/>
      <c r="S4367" s="89">
        <f>100%-Table34[[#This Row],[PDF_initial fee]]</f>
        <v>1</v>
      </c>
      <c r="T4367" s="89"/>
      <c r="U4367" s="26"/>
    </row>
    <row r="4368" spans="1:27" hidden="1" x14ac:dyDescent="0.25">
      <c r="A4368">
        <v>789185</v>
      </c>
      <c r="B4368" t="s">
        <v>4758</v>
      </c>
      <c r="C4368" t="s">
        <v>11194</v>
      </c>
      <c r="D4368">
        <v>1</v>
      </c>
      <c r="E4368" t="s">
        <v>4758</v>
      </c>
      <c r="G4368" s="3"/>
      <c r="H4368" s="3">
        <v>0</v>
      </c>
      <c r="I4368" s="3">
        <v>0</v>
      </c>
      <c r="J4368" s="3">
        <v>0</v>
      </c>
      <c r="K4368" s="3">
        <v>0</v>
      </c>
      <c r="L4368" s="3">
        <f t="shared" si="190"/>
        <v>0</v>
      </c>
      <c r="M4368" s="3"/>
      <c r="N4368" s="3">
        <f t="shared" si="191"/>
        <v>0</v>
      </c>
      <c r="R4368" s="89"/>
      <c r="S4368" s="89">
        <f>100%-Table34[[#This Row],[PDF_initial fee]]</f>
        <v>1</v>
      </c>
      <c r="T4368" s="89"/>
      <c r="U4368" s="26"/>
    </row>
    <row r="4369" spans="1:28" hidden="1" x14ac:dyDescent="0.25">
      <c r="A4369">
        <v>789201</v>
      </c>
      <c r="B4369" t="s">
        <v>4759</v>
      </c>
      <c r="C4369" t="s">
        <v>7573</v>
      </c>
      <c r="D4369">
        <v>1</v>
      </c>
      <c r="E4369" t="s">
        <v>4759</v>
      </c>
      <c r="G4369" s="3"/>
      <c r="I4369" s="21"/>
      <c r="L4369" s="3">
        <f t="shared" si="190"/>
        <v>0</v>
      </c>
      <c r="M4369" s="3"/>
      <c r="N4369" s="3">
        <f t="shared" si="191"/>
        <v>0</v>
      </c>
      <c r="R4369" s="89"/>
      <c r="S4369" s="89">
        <f>100%-Table34[[#This Row],[PDF_initial fee]]</f>
        <v>1</v>
      </c>
      <c r="T4369" s="89"/>
      <c r="U4369" s="26"/>
    </row>
    <row r="4370" spans="1:28" x14ac:dyDescent="0.25">
      <c r="A4370">
        <v>929868</v>
      </c>
      <c r="B4370" t="s">
        <v>333</v>
      </c>
      <c r="C4370" s="1" t="s">
        <v>11112</v>
      </c>
      <c r="D4370">
        <v>2</v>
      </c>
      <c r="E4370" t="s">
        <v>333</v>
      </c>
      <c r="F4370" t="s">
        <v>3</v>
      </c>
      <c r="G4370" s="3">
        <v>1.4E-3</v>
      </c>
      <c r="H4370" s="3">
        <v>3.5000000000000003E-2</v>
      </c>
      <c r="I4370" s="3">
        <v>7.4999999999999997E-3</v>
      </c>
      <c r="J4370" s="6"/>
      <c r="K4370" s="6"/>
      <c r="L4370" s="3">
        <f t="shared" si="190"/>
        <v>4.2500000000000003E-2</v>
      </c>
      <c r="M4370" s="3"/>
      <c r="N4370" s="3">
        <f t="shared" si="191"/>
        <v>4.3900000000000002E-2</v>
      </c>
      <c r="P4370" s="31" t="s">
        <v>31046</v>
      </c>
      <c r="Q4370" t="s">
        <v>31787</v>
      </c>
      <c r="R4370" s="89">
        <v>0.33333333333333348</v>
      </c>
      <c r="S4370" s="89">
        <f>100%-Table34[[#This Row],[InitialFee]]</f>
        <v>0.96499999999999997</v>
      </c>
      <c r="T4370" s="89">
        <f>(1-Table34[[#This Row],[OngoingFee (plus Platform fee)]])^5</f>
        <v>0.9630582970465823</v>
      </c>
      <c r="U4370" s="26">
        <f>(1+Table34[[#This Row],[Net 5yrs return (mostly up to 28th of Feb 2026)]])*Table34[[#This Row],[Investment after initial charge]]*Table34[[#This Row],[Cummulative 5yrs ongoing advice charge]]-1</f>
        <v>0.23913500886660266</v>
      </c>
      <c r="V4370" s="9">
        <f>80043+62003</f>
        <v>142046</v>
      </c>
      <c r="W4370" t="s">
        <v>29051</v>
      </c>
      <c r="X4370" s="9">
        <v>72943</v>
      </c>
      <c r="Y4370" s="30">
        <f>X4370/V4370</f>
        <v>0.51351674809568726</v>
      </c>
      <c r="AA4370" s="1" t="s">
        <v>31047</v>
      </c>
      <c r="AB4370" t="s">
        <v>29302</v>
      </c>
    </row>
    <row r="4371" spans="1:28" hidden="1" x14ac:dyDescent="0.25">
      <c r="A4371">
        <v>789248</v>
      </c>
      <c r="B4371" t="s">
        <v>4760</v>
      </c>
      <c r="C4371" t="s">
        <v>6958</v>
      </c>
      <c r="D4371">
        <v>1</v>
      </c>
      <c r="E4371" t="s">
        <v>4760</v>
      </c>
      <c r="F4371" t="s">
        <v>6958</v>
      </c>
      <c r="G4371" s="3"/>
      <c r="H4371" s="21">
        <v>0</v>
      </c>
      <c r="I4371" s="21">
        <v>0</v>
      </c>
      <c r="J4371" s="21">
        <v>0</v>
      </c>
      <c r="K4371" s="21">
        <v>0</v>
      </c>
      <c r="L4371" s="3">
        <f t="shared" si="190"/>
        <v>0</v>
      </c>
      <c r="M4371" s="3"/>
      <c r="N4371" s="3">
        <f t="shared" si="191"/>
        <v>0</v>
      </c>
      <c r="R4371" s="89"/>
      <c r="S4371" s="89">
        <f>100%-Table34[[#This Row],[PDF_initial fee]]</f>
        <v>1</v>
      </c>
      <c r="T4371" s="89"/>
      <c r="U4371" s="26"/>
    </row>
    <row r="4372" spans="1:28" hidden="1" x14ac:dyDescent="0.25">
      <c r="A4372">
        <v>789271</v>
      </c>
      <c r="B4372" t="s">
        <v>4761</v>
      </c>
      <c r="C4372" t="s">
        <v>8371</v>
      </c>
      <c r="D4372">
        <v>2</v>
      </c>
      <c r="E4372" t="s">
        <v>4761</v>
      </c>
      <c r="G4372" s="3"/>
      <c r="H4372" s="21">
        <v>0</v>
      </c>
      <c r="I4372" s="21">
        <v>0</v>
      </c>
      <c r="J4372" s="21">
        <v>0</v>
      </c>
      <c r="K4372" s="21">
        <v>0</v>
      </c>
      <c r="L4372" s="3">
        <f t="shared" si="190"/>
        <v>0</v>
      </c>
      <c r="M4372" s="3"/>
      <c r="N4372" s="3">
        <f t="shared" si="191"/>
        <v>0</v>
      </c>
      <c r="R4372" s="89"/>
      <c r="S4372" s="89">
        <f>100%-Table34[[#This Row],[PDF_initial fee]]</f>
        <v>1</v>
      </c>
      <c r="T4372" s="89"/>
      <c r="U4372" s="26"/>
    </row>
    <row r="4373" spans="1:28" hidden="1" x14ac:dyDescent="0.25">
      <c r="A4373">
        <v>789403</v>
      </c>
      <c r="B4373" t="s">
        <v>4763</v>
      </c>
      <c r="C4373" t="s">
        <v>12311</v>
      </c>
      <c r="D4373">
        <v>1</v>
      </c>
      <c r="E4373" t="s">
        <v>4763</v>
      </c>
      <c r="G4373" s="3"/>
      <c r="H4373" s="3">
        <v>0</v>
      </c>
      <c r="I4373" s="3">
        <v>0</v>
      </c>
      <c r="J4373" s="3">
        <v>0</v>
      </c>
      <c r="K4373" s="3">
        <v>0</v>
      </c>
      <c r="L4373" s="3">
        <f t="shared" si="190"/>
        <v>0</v>
      </c>
      <c r="M4373" s="3"/>
      <c r="N4373" s="3">
        <f t="shared" si="191"/>
        <v>0</v>
      </c>
      <c r="R4373" s="89"/>
      <c r="S4373" s="89">
        <f>100%-Table34[[#This Row],[PDF_initial fee]]</f>
        <v>1</v>
      </c>
      <c r="T4373" s="89"/>
      <c r="U4373" s="26"/>
    </row>
    <row r="4374" spans="1:28" hidden="1" x14ac:dyDescent="0.25">
      <c r="A4374">
        <v>789482</v>
      </c>
      <c r="B4374" t="s">
        <v>4765</v>
      </c>
      <c r="C4374" t="s">
        <v>31048</v>
      </c>
      <c r="D4374">
        <v>54</v>
      </c>
      <c r="E4374" t="s">
        <v>4765</v>
      </c>
      <c r="G4374" s="3"/>
      <c r="H4374" s="3">
        <v>0</v>
      </c>
      <c r="I4374" s="3">
        <v>0</v>
      </c>
      <c r="J4374" s="3">
        <v>0</v>
      </c>
      <c r="K4374" s="3">
        <v>0</v>
      </c>
      <c r="L4374" s="3">
        <f t="shared" si="190"/>
        <v>0</v>
      </c>
      <c r="M4374" s="3"/>
      <c r="N4374" s="3">
        <f t="shared" si="191"/>
        <v>0</v>
      </c>
      <c r="R4374" s="89"/>
      <c r="S4374" s="89">
        <f>100%-Table34[[#This Row],[PDF_initial fee]]</f>
        <v>1</v>
      </c>
      <c r="T4374" s="89"/>
      <c r="U4374" s="26"/>
    </row>
    <row r="4375" spans="1:28" hidden="1" x14ac:dyDescent="0.25">
      <c r="A4375">
        <v>789503</v>
      </c>
      <c r="B4375" t="s">
        <v>4766</v>
      </c>
      <c r="C4375" t="s">
        <v>6958</v>
      </c>
      <c r="D4375">
        <v>2</v>
      </c>
      <c r="E4375" t="s">
        <v>4766</v>
      </c>
      <c r="F4375" t="s">
        <v>6958</v>
      </c>
      <c r="G4375" s="3"/>
      <c r="H4375" s="21">
        <v>0</v>
      </c>
      <c r="I4375" s="21">
        <v>0</v>
      </c>
      <c r="J4375" s="21">
        <v>0</v>
      </c>
      <c r="K4375" s="21">
        <v>0</v>
      </c>
      <c r="L4375" s="3">
        <f t="shared" si="190"/>
        <v>0</v>
      </c>
      <c r="M4375" s="3"/>
      <c r="N4375" s="3">
        <f t="shared" si="191"/>
        <v>0</v>
      </c>
      <c r="R4375" s="89"/>
      <c r="S4375" s="89">
        <f>100%-Table34[[#This Row],[PDF_initial fee]]</f>
        <v>1</v>
      </c>
      <c r="T4375" s="89"/>
      <c r="U4375" s="26"/>
    </row>
    <row r="4376" spans="1:28" hidden="1" x14ac:dyDescent="0.25">
      <c r="A4376">
        <v>789577</v>
      </c>
      <c r="B4376" t="s">
        <v>4767</v>
      </c>
      <c r="C4376" t="s">
        <v>11659</v>
      </c>
      <c r="D4376">
        <v>2</v>
      </c>
      <c r="E4376" t="s">
        <v>4767</v>
      </c>
      <c r="G4376" s="3"/>
      <c r="H4376" s="3">
        <v>0</v>
      </c>
      <c r="I4376" s="3">
        <v>0</v>
      </c>
      <c r="J4376" s="3">
        <v>0</v>
      </c>
      <c r="K4376" s="3">
        <v>0</v>
      </c>
      <c r="L4376" s="3">
        <f t="shared" si="190"/>
        <v>0</v>
      </c>
      <c r="M4376" s="3"/>
      <c r="N4376" s="3">
        <f t="shared" si="191"/>
        <v>0</v>
      </c>
      <c r="R4376" s="89"/>
      <c r="S4376" s="89">
        <f>100%-Table34[[#This Row],[PDF_initial fee]]</f>
        <v>1</v>
      </c>
      <c r="T4376" s="89"/>
      <c r="U4376" s="26"/>
    </row>
    <row r="4377" spans="1:28" hidden="1" x14ac:dyDescent="0.25">
      <c r="A4377">
        <v>789887</v>
      </c>
      <c r="B4377" t="s">
        <v>4768</v>
      </c>
      <c r="C4377" t="s">
        <v>11611</v>
      </c>
      <c r="D4377">
        <v>1</v>
      </c>
      <c r="E4377" t="s">
        <v>4768</v>
      </c>
      <c r="G4377" s="3"/>
      <c r="H4377" s="3"/>
      <c r="I4377" s="3"/>
      <c r="J4377" s="3"/>
      <c r="K4377" s="3"/>
      <c r="L4377" s="3">
        <f t="shared" si="190"/>
        <v>0</v>
      </c>
      <c r="M4377" s="3"/>
      <c r="N4377" s="3">
        <f t="shared" si="191"/>
        <v>0</v>
      </c>
      <c r="R4377" s="89"/>
      <c r="S4377" s="89">
        <f>100%-Table34[[#This Row],[PDF_initial fee]]</f>
        <v>1</v>
      </c>
      <c r="T4377" s="89"/>
      <c r="U4377" s="26"/>
    </row>
    <row r="4378" spans="1:28" hidden="1" x14ac:dyDescent="0.25">
      <c r="A4378">
        <v>789902</v>
      </c>
      <c r="B4378" t="s">
        <v>4769</v>
      </c>
      <c r="C4378" t="s">
        <v>6958</v>
      </c>
      <c r="D4378">
        <v>0</v>
      </c>
      <c r="E4378" t="s">
        <v>4769</v>
      </c>
      <c r="F4378" t="s">
        <v>6958</v>
      </c>
      <c r="G4378" s="3"/>
      <c r="H4378" s="21">
        <v>0</v>
      </c>
      <c r="I4378" s="21">
        <v>0</v>
      </c>
      <c r="J4378" s="21">
        <v>0</v>
      </c>
      <c r="K4378" s="21">
        <v>0</v>
      </c>
      <c r="L4378" s="3">
        <f t="shared" si="190"/>
        <v>0</v>
      </c>
      <c r="M4378" s="3"/>
      <c r="N4378" s="3">
        <f t="shared" si="191"/>
        <v>0</v>
      </c>
      <c r="R4378" s="89"/>
      <c r="S4378" s="89">
        <f>100%-Table34[[#This Row],[PDF_initial fee]]</f>
        <v>1</v>
      </c>
      <c r="T4378" s="89"/>
      <c r="U4378" s="26"/>
    </row>
    <row r="4379" spans="1:28" x14ac:dyDescent="0.25">
      <c r="A4379">
        <v>583351</v>
      </c>
      <c r="B4379" t="s">
        <v>239</v>
      </c>
      <c r="C4379" t="s">
        <v>8876</v>
      </c>
      <c r="D4379">
        <v>2</v>
      </c>
      <c r="E4379" t="s">
        <v>239</v>
      </c>
      <c r="F4379" t="s">
        <v>3</v>
      </c>
      <c r="G4379" s="3">
        <v>1.4E-3</v>
      </c>
      <c r="H4379" s="3">
        <v>1.4999999999999999E-2</v>
      </c>
      <c r="I4379" s="3">
        <v>0.01</v>
      </c>
      <c r="J4379" s="6"/>
      <c r="K4379" s="6"/>
      <c r="L4379" s="3">
        <f t="shared" si="190"/>
        <v>2.5000000000000001E-2</v>
      </c>
      <c r="M4379" s="3"/>
      <c r="N4379" s="3">
        <f t="shared" si="191"/>
        <v>2.64E-2</v>
      </c>
      <c r="P4379" s="31" t="s">
        <v>31049</v>
      </c>
      <c r="Q4379" t="s">
        <v>31787</v>
      </c>
      <c r="R4379" s="89">
        <v>0.33333333333333348</v>
      </c>
      <c r="S4379" s="89">
        <f>100%-Table34[[#This Row],[InitialFee]]</f>
        <v>0.98499999999999999</v>
      </c>
      <c r="T4379" s="89">
        <f>(1-Table34[[#This Row],[OngoingFee (plus Platform fee)]])^5</f>
        <v>0.95099004989999991</v>
      </c>
      <c r="U4379" s="26">
        <f>(1+Table34[[#This Row],[Net 5yrs return (mostly up to 28th of Feb 2026)]])*Table34[[#This Row],[Investment after initial charge]]*Table34[[#This Row],[Cummulative 5yrs ongoing advice charge]]-1</f>
        <v>0.24896693220200006</v>
      </c>
      <c r="V4379" s="10">
        <f>69809+47471</f>
        <v>117280</v>
      </c>
      <c r="W4379" t="s">
        <v>29051</v>
      </c>
      <c r="X4379" s="9">
        <v>102693</v>
      </c>
      <c r="Y4379" s="30">
        <f>X4379/V4379</f>
        <v>0.87562244201909956</v>
      </c>
      <c r="AA4379" s="1" t="s">
        <v>31050</v>
      </c>
    </row>
    <row r="4380" spans="1:28" hidden="1" x14ac:dyDescent="0.25">
      <c r="A4380">
        <v>790186</v>
      </c>
      <c r="B4380" t="s">
        <v>4770</v>
      </c>
      <c r="C4380" t="s">
        <v>10732</v>
      </c>
      <c r="D4380">
        <v>1</v>
      </c>
      <c r="E4380" t="s">
        <v>4770</v>
      </c>
      <c r="G4380" s="3"/>
      <c r="H4380" s="3">
        <v>0</v>
      </c>
      <c r="I4380" s="3">
        <v>0</v>
      </c>
      <c r="J4380" s="3">
        <v>0</v>
      </c>
      <c r="K4380" s="3">
        <v>0</v>
      </c>
      <c r="L4380" s="3">
        <f t="shared" si="190"/>
        <v>0</v>
      </c>
      <c r="M4380" s="3"/>
      <c r="N4380" s="3">
        <f t="shared" si="191"/>
        <v>0</v>
      </c>
      <c r="R4380" s="89"/>
      <c r="S4380" s="89">
        <f>100%-Table34[[#This Row],[PDF_initial fee]]</f>
        <v>1</v>
      </c>
      <c r="T4380" s="89"/>
      <c r="U4380" s="26"/>
    </row>
    <row r="4381" spans="1:28" hidden="1" x14ac:dyDescent="0.25">
      <c r="A4381">
        <v>790249</v>
      </c>
      <c r="B4381" t="s">
        <v>4771</v>
      </c>
      <c r="C4381" t="s">
        <v>31051</v>
      </c>
      <c r="D4381">
        <v>1</v>
      </c>
      <c r="E4381" t="s">
        <v>4771</v>
      </c>
      <c r="G4381" s="3"/>
      <c r="H4381" s="21">
        <v>0</v>
      </c>
      <c r="I4381" s="21">
        <v>0</v>
      </c>
      <c r="J4381" s="21">
        <v>0</v>
      </c>
      <c r="K4381" s="21">
        <v>0</v>
      </c>
      <c r="L4381" s="3">
        <f t="shared" si="190"/>
        <v>0</v>
      </c>
      <c r="M4381" s="3"/>
      <c r="N4381" s="3">
        <f t="shared" si="191"/>
        <v>0</v>
      </c>
      <c r="O4381" s="21"/>
      <c r="R4381" s="89"/>
      <c r="S4381" s="89">
        <f>100%-Table34[[#This Row],[PDF_initial fee]]</f>
        <v>1</v>
      </c>
      <c r="T4381" s="89"/>
      <c r="U4381" s="26"/>
    </row>
    <row r="4382" spans="1:28" hidden="1" x14ac:dyDescent="0.25">
      <c r="A4382">
        <v>790252</v>
      </c>
      <c r="B4382" t="s">
        <v>4772</v>
      </c>
      <c r="C4382" t="s">
        <v>8882</v>
      </c>
      <c r="D4382">
        <v>2</v>
      </c>
      <c r="E4382" t="s">
        <v>4772</v>
      </c>
      <c r="G4382" s="3"/>
      <c r="H4382" s="21">
        <v>0</v>
      </c>
      <c r="I4382" s="21">
        <v>0</v>
      </c>
      <c r="J4382" s="21">
        <v>0</v>
      </c>
      <c r="K4382" s="21">
        <v>0</v>
      </c>
      <c r="L4382" s="3">
        <f t="shared" si="190"/>
        <v>0</v>
      </c>
      <c r="M4382" s="3"/>
      <c r="N4382" s="3">
        <f t="shared" si="191"/>
        <v>0</v>
      </c>
      <c r="R4382" s="89"/>
      <c r="S4382" s="89">
        <f>100%-Table34[[#This Row],[PDF_initial fee]]</f>
        <v>1</v>
      </c>
      <c r="T4382" s="89"/>
      <c r="U4382" s="26"/>
    </row>
    <row r="4383" spans="1:28" hidden="1" x14ac:dyDescent="0.25">
      <c r="A4383">
        <v>790287</v>
      </c>
      <c r="B4383" t="s">
        <v>4773</v>
      </c>
      <c r="C4383" t="s">
        <v>31052</v>
      </c>
      <c r="D4383">
        <v>4</v>
      </c>
      <c r="E4383" t="s">
        <v>4773</v>
      </c>
      <c r="G4383" s="3"/>
      <c r="H4383" s="3">
        <v>0</v>
      </c>
      <c r="I4383" s="3">
        <v>0</v>
      </c>
      <c r="J4383" s="3">
        <v>0</v>
      </c>
      <c r="K4383" s="3">
        <v>0</v>
      </c>
      <c r="L4383" s="3">
        <f t="shared" si="190"/>
        <v>0</v>
      </c>
      <c r="M4383" s="3"/>
      <c r="N4383" s="3">
        <f t="shared" si="191"/>
        <v>0</v>
      </c>
      <c r="R4383" s="89"/>
      <c r="S4383" s="89">
        <f>100%-Table34[[#This Row],[PDF_initial fee]]</f>
        <v>1</v>
      </c>
      <c r="T4383" s="89"/>
      <c r="U4383" s="26"/>
    </row>
    <row r="4384" spans="1:28" hidden="1" x14ac:dyDescent="0.25">
      <c r="A4384">
        <v>790419</v>
      </c>
      <c r="B4384" t="s">
        <v>4774</v>
      </c>
      <c r="C4384" t="s">
        <v>6958</v>
      </c>
      <c r="D4384">
        <v>0</v>
      </c>
      <c r="E4384" t="s">
        <v>4774</v>
      </c>
      <c r="F4384" t="s">
        <v>6958</v>
      </c>
      <c r="G4384" s="3"/>
      <c r="H4384" s="21">
        <v>0</v>
      </c>
      <c r="I4384" s="21">
        <v>0</v>
      </c>
      <c r="J4384" s="21">
        <v>0</v>
      </c>
      <c r="K4384" s="21">
        <v>0</v>
      </c>
      <c r="L4384" s="3">
        <f t="shared" si="190"/>
        <v>0</v>
      </c>
      <c r="M4384" s="3"/>
      <c r="N4384" s="3">
        <f t="shared" si="191"/>
        <v>0</v>
      </c>
      <c r="R4384" s="89"/>
      <c r="S4384" s="89">
        <f>100%-Table34[[#This Row],[PDF_initial fee]]</f>
        <v>1</v>
      </c>
      <c r="T4384" s="89"/>
      <c r="U4384" s="26"/>
    </row>
    <row r="4385" spans="1:21" hidden="1" x14ac:dyDescent="0.25">
      <c r="A4385">
        <v>790551</v>
      </c>
      <c r="B4385" t="s">
        <v>4775</v>
      </c>
      <c r="C4385" t="s">
        <v>6958</v>
      </c>
      <c r="D4385">
        <v>1</v>
      </c>
      <c r="E4385" t="s">
        <v>4775</v>
      </c>
      <c r="F4385" t="s">
        <v>6958</v>
      </c>
      <c r="G4385" s="3"/>
      <c r="H4385" s="21">
        <v>0</v>
      </c>
      <c r="I4385" s="21">
        <v>0</v>
      </c>
      <c r="J4385" s="21">
        <v>0</v>
      </c>
      <c r="K4385" s="21">
        <v>0</v>
      </c>
      <c r="L4385" s="3">
        <f t="shared" si="190"/>
        <v>0</v>
      </c>
      <c r="M4385" s="3"/>
      <c r="N4385" s="3">
        <f t="shared" si="191"/>
        <v>0</v>
      </c>
      <c r="R4385" s="89"/>
      <c r="S4385" s="89">
        <f>100%-Table34[[#This Row],[PDF_initial fee]]</f>
        <v>1</v>
      </c>
      <c r="T4385" s="89"/>
      <c r="U4385" s="26"/>
    </row>
    <row r="4386" spans="1:21" hidden="1" x14ac:dyDescent="0.25">
      <c r="A4386">
        <v>790603</v>
      </c>
      <c r="B4386" t="s">
        <v>4776</v>
      </c>
      <c r="C4386" t="s">
        <v>11149</v>
      </c>
      <c r="D4386">
        <v>2</v>
      </c>
      <c r="E4386" t="s">
        <v>4776</v>
      </c>
      <c r="G4386" s="3"/>
      <c r="H4386" s="3">
        <v>0</v>
      </c>
      <c r="I4386" s="3">
        <v>0</v>
      </c>
      <c r="J4386" s="3">
        <v>0</v>
      </c>
      <c r="K4386" s="3">
        <v>0</v>
      </c>
      <c r="L4386" s="3">
        <f t="shared" si="190"/>
        <v>0</v>
      </c>
      <c r="M4386" s="3"/>
      <c r="N4386" s="3">
        <f t="shared" si="191"/>
        <v>0</v>
      </c>
      <c r="R4386" s="89"/>
      <c r="S4386" s="89">
        <f>100%-Table34[[#This Row],[PDF_initial fee]]</f>
        <v>1</v>
      </c>
      <c r="T4386" s="89"/>
      <c r="U4386" s="26"/>
    </row>
    <row r="4387" spans="1:21" hidden="1" x14ac:dyDescent="0.25">
      <c r="A4387">
        <v>790902</v>
      </c>
      <c r="B4387" t="s">
        <v>4777</v>
      </c>
      <c r="C4387" t="s">
        <v>6958</v>
      </c>
      <c r="D4387">
        <v>1</v>
      </c>
      <c r="E4387" t="s">
        <v>4777</v>
      </c>
      <c r="F4387" t="s">
        <v>6958</v>
      </c>
      <c r="G4387" s="3"/>
      <c r="L4387" s="3">
        <f t="shared" si="190"/>
        <v>0</v>
      </c>
      <c r="M4387" s="3"/>
      <c r="N4387" s="3">
        <f t="shared" si="191"/>
        <v>0</v>
      </c>
      <c r="R4387" s="89"/>
      <c r="S4387" s="89">
        <f>100%-Table34[[#This Row],[PDF_initial fee]]</f>
        <v>1</v>
      </c>
      <c r="T4387" s="89"/>
      <c r="U4387" s="26"/>
    </row>
    <row r="4388" spans="1:21" hidden="1" x14ac:dyDescent="0.25">
      <c r="A4388">
        <v>791683</v>
      </c>
      <c r="B4388" t="s">
        <v>4778</v>
      </c>
      <c r="C4388" t="s">
        <v>31053</v>
      </c>
      <c r="D4388">
        <v>5</v>
      </c>
      <c r="E4388" t="s">
        <v>4778</v>
      </c>
      <c r="G4388" s="3"/>
      <c r="H4388" s="3">
        <v>0</v>
      </c>
      <c r="I4388" s="3">
        <v>0</v>
      </c>
      <c r="J4388" s="3">
        <v>0</v>
      </c>
      <c r="K4388" s="3">
        <v>0</v>
      </c>
      <c r="L4388" s="3">
        <f t="shared" si="190"/>
        <v>0</v>
      </c>
      <c r="M4388" s="3"/>
      <c r="N4388" s="3">
        <f t="shared" si="191"/>
        <v>0</v>
      </c>
      <c r="R4388" s="89"/>
      <c r="S4388" s="89">
        <f>100%-Table34[[#This Row],[PDF_initial fee]]</f>
        <v>1</v>
      </c>
      <c r="T4388" s="89"/>
      <c r="U4388" s="26"/>
    </row>
    <row r="4389" spans="1:21" hidden="1" x14ac:dyDescent="0.25">
      <c r="A4389">
        <v>791934</v>
      </c>
      <c r="B4389" t="s">
        <v>4779</v>
      </c>
      <c r="C4389" t="s">
        <v>11300</v>
      </c>
      <c r="D4389">
        <v>1</v>
      </c>
      <c r="E4389" t="s">
        <v>4779</v>
      </c>
      <c r="G4389" s="3"/>
      <c r="H4389" s="3">
        <v>0</v>
      </c>
      <c r="I4389" s="3">
        <v>0</v>
      </c>
      <c r="J4389" s="3">
        <v>0</v>
      </c>
      <c r="K4389" s="3">
        <v>0</v>
      </c>
      <c r="L4389" s="3">
        <f t="shared" si="190"/>
        <v>0</v>
      </c>
      <c r="M4389" s="3"/>
      <c r="N4389" s="3">
        <f t="shared" si="191"/>
        <v>0</v>
      </c>
      <c r="R4389" s="89"/>
      <c r="S4389" s="89">
        <f>100%-Table34[[#This Row],[PDF_initial fee]]</f>
        <v>1</v>
      </c>
      <c r="T4389" s="89"/>
      <c r="U4389" s="26"/>
    </row>
    <row r="4390" spans="1:21" hidden="1" x14ac:dyDescent="0.25">
      <c r="A4390">
        <v>791998</v>
      </c>
      <c r="B4390" t="s">
        <v>4780</v>
      </c>
      <c r="C4390" t="s">
        <v>6958</v>
      </c>
      <c r="D4390">
        <v>0</v>
      </c>
      <c r="E4390" t="s">
        <v>4780</v>
      </c>
      <c r="F4390" t="s">
        <v>6958</v>
      </c>
      <c r="G4390" s="3"/>
      <c r="L4390" s="3">
        <f t="shared" si="190"/>
        <v>0</v>
      </c>
      <c r="M4390" s="3"/>
      <c r="N4390" s="3">
        <f t="shared" si="191"/>
        <v>0</v>
      </c>
      <c r="R4390" s="89"/>
      <c r="S4390" s="89">
        <f>100%-Table34[[#This Row],[PDF_initial fee]]</f>
        <v>1</v>
      </c>
      <c r="T4390" s="89"/>
      <c r="U4390" s="26"/>
    </row>
    <row r="4391" spans="1:21" hidden="1" x14ac:dyDescent="0.25">
      <c r="A4391">
        <v>792123</v>
      </c>
      <c r="B4391" t="s">
        <v>4781</v>
      </c>
      <c r="C4391" t="s">
        <v>6958</v>
      </c>
      <c r="D4391">
        <v>2</v>
      </c>
      <c r="E4391" t="s">
        <v>4781</v>
      </c>
      <c r="F4391" t="s">
        <v>6958</v>
      </c>
      <c r="G4391" s="3"/>
      <c r="H4391" s="21">
        <v>0</v>
      </c>
      <c r="I4391" s="21">
        <v>0</v>
      </c>
      <c r="J4391" s="21">
        <v>0</v>
      </c>
      <c r="K4391" s="21">
        <v>0</v>
      </c>
      <c r="L4391" s="3">
        <f t="shared" si="190"/>
        <v>0</v>
      </c>
      <c r="M4391" s="3"/>
      <c r="N4391" s="3">
        <f t="shared" si="191"/>
        <v>0</v>
      </c>
      <c r="R4391" s="89"/>
      <c r="S4391" s="89">
        <f>100%-Table34[[#This Row],[PDF_initial fee]]</f>
        <v>1</v>
      </c>
      <c r="T4391" s="89"/>
      <c r="U4391" s="26"/>
    </row>
    <row r="4392" spans="1:21" hidden="1" x14ac:dyDescent="0.25">
      <c r="A4392">
        <v>792126</v>
      </c>
      <c r="B4392" t="s">
        <v>4782</v>
      </c>
      <c r="C4392" t="s">
        <v>10629</v>
      </c>
      <c r="D4392">
        <v>6</v>
      </c>
      <c r="E4392" t="s">
        <v>4782</v>
      </c>
      <c r="G4392" s="3"/>
      <c r="H4392" s="3">
        <v>0</v>
      </c>
      <c r="I4392" s="3">
        <v>0</v>
      </c>
      <c r="J4392" s="3">
        <v>0</v>
      </c>
      <c r="K4392" s="3">
        <v>0</v>
      </c>
      <c r="L4392" s="3">
        <f t="shared" si="190"/>
        <v>0</v>
      </c>
      <c r="M4392" s="3"/>
      <c r="N4392" s="3">
        <f t="shared" si="191"/>
        <v>0</v>
      </c>
      <c r="R4392" s="89"/>
      <c r="S4392" s="89">
        <f>100%-Table34[[#This Row],[PDF_initial fee]]</f>
        <v>1</v>
      </c>
      <c r="T4392" s="89"/>
      <c r="U4392" s="26"/>
    </row>
    <row r="4393" spans="1:21" hidden="1" x14ac:dyDescent="0.25">
      <c r="A4393">
        <v>792223</v>
      </c>
      <c r="B4393" t="s">
        <v>4783</v>
      </c>
      <c r="C4393" t="s">
        <v>6958</v>
      </c>
      <c r="D4393">
        <v>1</v>
      </c>
      <c r="E4393" t="s">
        <v>4783</v>
      </c>
      <c r="F4393" t="s">
        <v>6958</v>
      </c>
      <c r="G4393" s="3"/>
      <c r="H4393" s="21">
        <v>0</v>
      </c>
      <c r="I4393" s="21">
        <v>0</v>
      </c>
      <c r="J4393" s="21">
        <v>0</v>
      </c>
      <c r="K4393" s="21">
        <v>0</v>
      </c>
      <c r="L4393" s="3">
        <f t="shared" si="190"/>
        <v>0</v>
      </c>
      <c r="M4393" s="3"/>
      <c r="N4393" s="3">
        <f t="shared" si="191"/>
        <v>0</v>
      </c>
      <c r="R4393" s="89"/>
      <c r="S4393" s="89">
        <f>100%-Table34[[#This Row],[PDF_initial fee]]</f>
        <v>1</v>
      </c>
      <c r="T4393" s="89"/>
      <c r="U4393" s="26"/>
    </row>
    <row r="4394" spans="1:21" hidden="1" x14ac:dyDescent="0.25">
      <c r="A4394">
        <v>792330</v>
      </c>
      <c r="B4394" t="s">
        <v>4784</v>
      </c>
      <c r="C4394" t="s">
        <v>31054</v>
      </c>
      <c r="D4394">
        <v>1</v>
      </c>
      <c r="E4394" t="s">
        <v>4784</v>
      </c>
      <c r="G4394" s="3"/>
      <c r="H4394" s="21">
        <v>0</v>
      </c>
      <c r="I4394" s="21">
        <v>0</v>
      </c>
      <c r="J4394" s="21">
        <v>0</v>
      </c>
      <c r="K4394" s="21">
        <v>0</v>
      </c>
      <c r="L4394" s="3">
        <f t="shared" si="190"/>
        <v>0</v>
      </c>
      <c r="M4394" s="3"/>
      <c r="N4394" s="3">
        <f t="shared" si="191"/>
        <v>0</v>
      </c>
      <c r="O4394" s="21"/>
      <c r="R4394" s="89"/>
      <c r="S4394" s="89">
        <f>100%-Table34[[#This Row],[PDF_initial fee]]</f>
        <v>1</v>
      </c>
      <c r="T4394" s="89"/>
      <c r="U4394" s="26"/>
    </row>
    <row r="4395" spans="1:21" hidden="1" x14ac:dyDescent="0.25">
      <c r="A4395">
        <v>792373</v>
      </c>
      <c r="B4395" t="s">
        <v>4786</v>
      </c>
      <c r="C4395" t="s">
        <v>31055</v>
      </c>
      <c r="D4395">
        <v>0</v>
      </c>
      <c r="E4395" t="s">
        <v>4786</v>
      </c>
      <c r="F4395" t="s">
        <v>3</v>
      </c>
      <c r="G4395" s="3"/>
      <c r="H4395" s="21">
        <v>0</v>
      </c>
      <c r="I4395" s="3">
        <v>0</v>
      </c>
      <c r="J4395" s="3">
        <v>0</v>
      </c>
      <c r="K4395">
        <v>0</v>
      </c>
      <c r="L4395" s="3">
        <f t="shared" si="190"/>
        <v>0</v>
      </c>
      <c r="M4395" s="3"/>
      <c r="N4395" s="3">
        <f t="shared" si="191"/>
        <v>0</v>
      </c>
      <c r="R4395" s="89"/>
      <c r="S4395" s="89">
        <f>100%-Table34[[#This Row],[PDF_initial fee]]</f>
        <v>1</v>
      </c>
      <c r="T4395" s="89"/>
      <c r="U4395" s="26"/>
    </row>
    <row r="4396" spans="1:21" hidden="1" x14ac:dyDescent="0.25">
      <c r="A4396">
        <v>792684</v>
      </c>
      <c r="B4396" t="s">
        <v>4787</v>
      </c>
      <c r="C4396" t="s">
        <v>10121</v>
      </c>
      <c r="D4396">
        <v>1</v>
      </c>
      <c r="E4396" t="s">
        <v>4787</v>
      </c>
      <c r="G4396" s="3"/>
      <c r="H4396" s="3">
        <v>0</v>
      </c>
      <c r="I4396" s="3">
        <v>0</v>
      </c>
      <c r="J4396" s="3">
        <v>0</v>
      </c>
      <c r="K4396" s="3">
        <v>0</v>
      </c>
      <c r="L4396" s="3">
        <f t="shared" si="190"/>
        <v>0</v>
      </c>
      <c r="M4396" s="3"/>
      <c r="N4396" s="3">
        <f t="shared" si="191"/>
        <v>0</v>
      </c>
      <c r="R4396" s="89"/>
      <c r="S4396" s="89">
        <f>100%-Table34[[#This Row],[PDF_initial fee]]</f>
        <v>1</v>
      </c>
      <c r="T4396" s="89"/>
      <c r="U4396" s="26"/>
    </row>
    <row r="4397" spans="1:21" hidden="1" x14ac:dyDescent="0.25">
      <c r="A4397">
        <v>792919</v>
      </c>
      <c r="B4397" t="s">
        <v>4788</v>
      </c>
      <c r="C4397" t="s">
        <v>31056</v>
      </c>
      <c r="D4397">
        <v>0</v>
      </c>
      <c r="E4397" t="s">
        <v>4788</v>
      </c>
      <c r="F4397" t="s">
        <v>29136</v>
      </c>
      <c r="G4397" s="3"/>
      <c r="H4397" s="3"/>
      <c r="I4397" s="3"/>
      <c r="J4397" s="3"/>
      <c r="K4397" s="3"/>
      <c r="L4397" s="3">
        <f t="shared" si="190"/>
        <v>0</v>
      </c>
      <c r="M4397" s="3"/>
      <c r="N4397" s="3">
        <f t="shared" si="191"/>
        <v>0</v>
      </c>
      <c r="R4397" s="89"/>
      <c r="S4397" s="89">
        <f>100%-Table34[[#This Row],[PDF_initial fee]]</f>
        <v>1</v>
      </c>
      <c r="T4397" s="89"/>
      <c r="U4397" s="26"/>
    </row>
    <row r="4398" spans="1:21" hidden="1" x14ac:dyDescent="0.25">
      <c r="A4398">
        <v>792964</v>
      </c>
      <c r="B4398" t="s">
        <v>4789</v>
      </c>
      <c r="C4398" t="s">
        <v>31057</v>
      </c>
      <c r="D4398">
        <v>2</v>
      </c>
      <c r="E4398" t="s">
        <v>4789</v>
      </c>
      <c r="G4398" s="3"/>
      <c r="H4398" s="3"/>
      <c r="I4398" s="3"/>
      <c r="J4398" s="3"/>
      <c r="K4398" s="3"/>
      <c r="L4398" s="3">
        <f t="shared" si="190"/>
        <v>0</v>
      </c>
      <c r="M4398" s="3"/>
      <c r="N4398" s="3">
        <f t="shared" si="191"/>
        <v>0</v>
      </c>
      <c r="R4398" s="89"/>
      <c r="S4398" s="89">
        <f>100%-Table34[[#This Row],[PDF_initial fee]]</f>
        <v>1</v>
      </c>
      <c r="T4398" s="89"/>
      <c r="U4398" s="26"/>
    </row>
    <row r="4399" spans="1:21" hidden="1" x14ac:dyDescent="0.25">
      <c r="A4399">
        <v>793399</v>
      </c>
      <c r="B4399" t="s">
        <v>4791</v>
      </c>
      <c r="C4399" t="s">
        <v>11582</v>
      </c>
      <c r="D4399">
        <v>4</v>
      </c>
      <c r="E4399" t="s">
        <v>4791</v>
      </c>
      <c r="G4399" s="3"/>
      <c r="H4399" s="3">
        <v>0</v>
      </c>
      <c r="I4399" s="3">
        <v>0</v>
      </c>
      <c r="J4399" s="3">
        <v>0</v>
      </c>
      <c r="K4399" s="3">
        <v>0</v>
      </c>
      <c r="L4399" s="3">
        <f t="shared" si="190"/>
        <v>0</v>
      </c>
      <c r="M4399" s="3"/>
      <c r="N4399" s="3">
        <f t="shared" si="191"/>
        <v>0</v>
      </c>
      <c r="R4399" s="89"/>
      <c r="S4399" s="89">
        <f>100%-Table34[[#This Row],[PDF_initial fee]]</f>
        <v>1</v>
      </c>
      <c r="T4399" s="89"/>
      <c r="U4399" s="26"/>
    </row>
    <row r="4400" spans="1:21" hidden="1" x14ac:dyDescent="0.25">
      <c r="A4400">
        <v>793506</v>
      </c>
      <c r="B4400" t="s">
        <v>4792</v>
      </c>
      <c r="C4400" t="s">
        <v>6958</v>
      </c>
      <c r="D4400">
        <v>1</v>
      </c>
      <c r="E4400" t="s">
        <v>4792</v>
      </c>
      <c r="F4400" t="s">
        <v>6958</v>
      </c>
      <c r="G4400" s="3"/>
      <c r="H4400" s="21">
        <v>0</v>
      </c>
      <c r="I4400" s="21">
        <v>0</v>
      </c>
      <c r="J4400" s="21">
        <v>0</v>
      </c>
      <c r="K4400" s="21">
        <v>0</v>
      </c>
      <c r="L4400" s="3">
        <f t="shared" si="190"/>
        <v>0</v>
      </c>
      <c r="M4400" s="3"/>
      <c r="N4400" s="3">
        <f t="shared" si="191"/>
        <v>0</v>
      </c>
      <c r="R4400" s="89"/>
      <c r="S4400" s="89">
        <f>100%-Table34[[#This Row],[PDF_initial fee]]</f>
        <v>1</v>
      </c>
      <c r="T4400" s="89"/>
      <c r="U4400" s="26"/>
    </row>
    <row r="4401" spans="1:21" hidden="1" x14ac:dyDescent="0.25">
      <c r="A4401">
        <v>793603</v>
      </c>
      <c r="B4401" t="s">
        <v>4793</v>
      </c>
      <c r="C4401" t="s">
        <v>6958</v>
      </c>
      <c r="D4401">
        <v>1</v>
      </c>
      <c r="E4401" t="s">
        <v>4793</v>
      </c>
      <c r="F4401" t="s">
        <v>6958</v>
      </c>
      <c r="G4401" s="3"/>
      <c r="L4401" s="3">
        <f t="shared" si="190"/>
        <v>0</v>
      </c>
      <c r="M4401" s="3"/>
      <c r="N4401" s="3">
        <f t="shared" si="191"/>
        <v>0</v>
      </c>
      <c r="R4401" s="89"/>
      <c r="S4401" s="89">
        <f>100%-Table34[[#This Row],[PDF_initial fee]]</f>
        <v>1</v>
      </c>
      <c r="T4401" s="89"/>
      <c r="U4401" s="26"/>
    </row>
    <row r="4402" spans="1:21" hidden="1" x14ac:dyDescent="0.25">
      <c r="A4402">
        <v>793617</v>
      </c>
      <c r="B4402" t="s">
        <v>4794</v>
      </c>
      <c r="C4402" t="s">
        <v>6958</v>
      </c>
      <c r="D4402">
        <v>1</v>
      </c>
      <c r="E4402" t="s">
        <v>4794</v>
      </c>
      <c r="F4402" t="s">
        <v>6958</v>
      </c>
      <c r="G4402" s="3"/>
      <c r="H4402" s="21">
        <v>0</v>
      </c>
      <c r="I4402" s="21">
        <v>0</v>
      </c>
      <c r="J4402" s="21">
        <v>0</v>
      </c>
      <c r="K4402" s="21">
        <v>0</v>
      </c>
      <c r="L4402" s="3">
        <f t="shared" si="190"/>
        <v>0</v>
      </c>
      <c r="M4402" s="3"/>
      <c r="N4402" s="3">
        <f t="shared" si="191"/>
        <v>0</v>
      </c>
      <c r="R4402" s="89"/>
      <c r="S4402" s="89">
        <f>100%-Table34[[#This Row],[PDF_initial fee]]</f>
        <v>1</v>
      </c>
      <c r="T4402" s="89"/>
      <c r="U4402" s="26"/>
    </row>
    <row r="4403" spans="1:21" hidden="1" x14ac:dyDescent="0.25">
      <c r="A4403">
        <v>793760</v>
      </c>
      <c r="B4403" t="s">
        <v>4795</v>
      </c>
      <c r="C4403" t="s">
        <v>6958</v>
      </c>
      <c r="D4403">
        <v>1</v>
      </c>
      <c r="E4403" t="s">
        <v>4795</v>
      </c>
      <c r="F4403" t="s">
        <v>6958</v>
      </c>
      <c r="G4403" s="3"/>
      <c r="H4403" s="21">
        <v>0</v>
      </c>
      <c r="I4403" s="21">
        <v>0</v>
      </c>
      <c r="J4403" s="21">
        <v>0</v>
      </c>
      <c r="K4403" s="21">
        <v>0</v>
      </c>
      <c r="L4403" s="3">
        <f t="shared" si="190"/>
        <v>0</v>
      </c>
      <c r="M4403" s="3"/>
      <c r="N4403" s="3">
        <f t="shared" si="191"/>
        <v>0</v>
      </c>
      <c r="R4403" s="89"/>
      <c r="S4403" s="89">
        <f>100%-Table34[[#This Row],[PDF_initial fee]]</f>
        <v>1</v>
      </c>
      <c r="T4403" s="89"/>
      <c r="U4403" s="26"/>
    </row>
    <row r="4404" spans="1:21" hidden="1" x14ac:dyDescent="0.25">
      <c r="A4404">
        <v>793798</v>
      </c>
      <c r="B4404" t="s">
        <v>4796</v>
      </c>
      <c r="C4404" t="s">
        <v>6958</v>
      </c>
      <c r="D4404">
        <v>1</v>
      </c>
      <c r="E4404" t="s">
        <v>4796</v>
      </c>
      <c r="F4404" t="s">
        <v>6958</v>
      </c>
      <c r="G4404" s="3"/>
      <c r="H4404" s="21">
        <v>0</v>
      </c>
      <c r="I4404" s="21">
        <v>0</v>
      </c>
      <c r="J4404" s="21">
        <v>0</v>
      </c>
      <c r="K4404" s="21">
        <v>0</v>
      </c>
      <c r="L4404" s="3">
        <f t="shared" si="190"/>
        <v>0</v>
      </c>
      <c r="M4404" s="3"/>
      <c r="N4404" s="3">
        <f t="shared" si="191"/>
        <v>0</v>
      </c>
      <c r="R4404" s="89"/>
      <c r="S4404" s="89">
        <f>100%-Table34[[#This Row],[PDF_initial fee]]</f>
        <v>1</v>
      </c>
      <c r="T4404" s="89"/>
      <c r="U4404" s="26"/>
    </row>
    <row r="4405" spans="1:21" hidden="1" x14ac:dyDescent="0.25">
      <c r="A4405">
        <v>793830</v>
      </c>
      <c r="B4405" t="s">
        <v>4797</v>
      </c>
      <c r="C4405" t="s">
        <v>31058</v>
      </c>
      <c r="D4405">
        <v>2</v>
      </c>
      <c r="E4405" t="s">
        <v>4797</v>
      </c>
      <c r="G4405" s="3"/>
      <c r="H4405" s="3">
        <v>0</v>
      </c>
      <c r="I4405" s="3">
        <v>0</v>
      </c>
      <c r="J4405" s="3">
        <v>0</v>
      </c>
      <c r="K4405" s="3">
        <v>0</v>
      </c>
      <c r="L4405" s="3">
        <f t="shared" si="190"/>
        <v>0</v>
      </c>
      <c r="M4405" s="3"/>
      <c r="N4405" s="3">
        <f t="shared" si="191"/>
        <v>0</v>
      </c>
      <c r="R4405" s="89"/>
      <c r="S4405" s="89">
        <f>100%-Table34[[#This Row],[PDF_initial fee]]</f>
        <v>1</v>
      </c>
      <c r="T4405" s="89"/>
      <c r="U4405" s="26"/>
    </row>
    <row r="4406" spans="1:21" hidden="1" x14ac:dyDescent="0.25">
      <c r="A4406">
        <v>793840</v>
      </c>
      <c r="B4406" t="s">
        <v>4798</v>
      </c>
      <c r="C4406" s="1" t="s">
        <v>31059</v>
      </c>
      <c r="D4406">
        <v>1</v>
      </c>
      <c r="E4406" t="s">
        <v>4798</v>
      </c>
      <c r="G4406" s="3"/>
      <c r="H4406" s="3">
        <v>0</v>
      </c>
      <c r="I4406" s="3">
        <v>0</v>
      </c>
      <c r="J4406" s="3">
        <v>0</v>
      </c>
      <c r="K4406" s="3">
        <v>0</v>
      </c>
      <c r="L4406" s="3">
        <f t="shared" si="190"/>
        <v>0</v>
      </c>
      <c r="M4406" s="3"/>
      <c r="N4406" s="3">
        <f t="shared" si="191"/>
        <v>0</v>
      </c>
      <c r="R4406" s="89"/>
      <c r="S4406" s="89">
        <f>100%-Table34[[#This Row],[PDF_initial fee]]</f>
        <v>1</v>
      </c>
      <c r="T4406" s="89"/>
      <c r="U4406" s="26"/>
    </row>
    <row r="4407" spans="1:21" hidden="1" x14ac:dyDescent="0.25">
      <c r="A4407">
        <v>793871</v>
      </c>
      <c r="B4407" t="s">
        <v>4799</v>
      </c>
      <c r="C4407" t="s">
        <v>11203</v>
      </c>
      <c r="D4407">
        <v>1</v>
      </c>
      <c r="E4407" t="s">
        <v>4799</v>
      </c>
      <c r="G4407" s="3"/>
      <c r="H4407" s="3">
        <v>0</v>
      </c>
      <c r="I4407" s="3">
        <v>0</v>
      </c>
      <c r="J4407" s="3">
        <v>0</v>
      </c>
      <c r="K4407" s="3">
        <v>0</v>
      </c>
      <c r="L4407" s="3">
        <f t="shared" si="190"/>
        <v>0</v>
      </c>
      <c r="M4407" s="3"/>
      <c r="N4407" s="3">
        <f t="shared" si="191"/>
        <v>0</v>
      </c>
      <c r="R4407" s="89"/>
      <c r="S4407" s="89">
        <f>100%-Table34[[#This Row],[PDF_initial fee]]</f>
        <v>1</v>
      </c>
      <c r="T4407" s="89"/>
      <c r="U4407" s="26"/>
    </row>
    <row r="4408" spans="1:21" hidden="1" x14ac:dyDescent="0.25">
      <c r="A4408">
        <v>793885</v>
      </c>
      <c r="B4408" t="s">
        <v>4800</v>
      </c>
      <c r="C4408" t="s">
        <v>6958</v>
      </c>
      <c r="D4408">
        <v>1</v>
      </c>
      <c r="E4408" t="s">
        <v>4800</v>
      </c>
      <c r="F4408" t="s">
        <v>6958</v>
      </c>
      <c r="G4408" s="3"/>
      <c r="H4408" s="21">
        <v>0</v>
      </c>
      <c r="I4408" s="21">
        <v>0</v>
      </c>
      <c r="J4408" s="21">
        <v>0</v>
      </c>
      <c r="K4408" s="21">
        <v>0</v>
      </c>
      <c r="L4408" s="3">
        <f t="shared" si="190"/>
        <v>0</v>
      </c>
      <c r="M4408" s="3"/>
      <c r="N4408" s="3">
        <f t="shared" si="191"/>
        <v>0</v>
      </c>
      <c r="R4408" s="89"/>
      <c r="S4408" s="89">
        <f>100%-Table34[[#This Row],[PDF_initial fee]]</f>
        <v>1</v>
      </c>
      <c r="T4408" s="89"/>
      <c r="U4408" s="26"/>
    </row>
    <row r="4409" spans="1:21" hidden="1" x14ac:dyDescent="0.25">
      <c r="A4409">
        <v>793995</v>
      </c>
      <c r="B4409" t="s">
        <v>4801</v>
      </c>
      <c r="C4409" t="s">
        <v>6958</v>
      </c>
      <c r="D4409">
        <v>1</v>
      </c>
      <c r="E4409" t="s">
        <v>4801</v>
      </c>
      <c r="F4409" t="s">
        <v>6958</v>
      </c>
      <c r="G4409" s="3"/>
      <c r="H4409" s="21">
        <v>0</v>
      </c>
      <c r="I4409" s="21">
        <v>0</v>
      </c>
      <c r="J4409" s="21">
        <v>0</v>
      </c>
      <c r="K4409" s="21">
        <v>0</v>
      </c>
      <c r="L4409" s="3">
        <f t="shared" si="190"/>
        <v>0</v>
      </c>
      <c r="M4409" s="3"/>
      <c r="N4409" s="3">
        <f t="shared" si="191"/>
        <v>0</v>
      </c>
      <c r="R4409" s="89"/>
      <c r="S4409" s="89">
        <f>100%-Table34[[#This Row],[PDF_initial fee]]</f>
        <v>1</v>
      </c>
      <c r="T4409" s="89"/>
      <c r="U4409" s="26"/>
    </row>
    <row r="4410" spans="1:21" hidden="1" x14ac:dyDescent="0.25">
      <c r="A4410">
        <v>794181</v>
      </c>
      <c r="B4410" t="s">
        <v>4802</v>
      </c>
      <c r="C4410" t="s">
        <v>10744</v>
      </c>
      <c r="D4410">
        <v>3</v>
      </c>
      <c r="E4410" t="s">
        <v>4802</v>
      </c>
      <c r="G4410" s="3"/>
      <c r="H4410" s="3">
        <v>0</v>
      </c>
      <c r="I4410" s="3">
        <v>0</v>
      </c>
      <c r="J4410" s="3">
        <v>0</v>
      </c>
      <c r="K4410" s="3">
        <v>0</v>
      </c>
      <c r="L4410" s="3">
        <f t="shared" si="190"/>
        <v>0</v>
      </c>
      <c r="M4410" s="3"/>
      <c r="N4410" s="3">
        <f t="shared" si="191"/>
        <v>0</v>
      </c>
      <c r="R4410" s="89"/>
      <c r="S4410" s="89">
        <f>100%-Table34[[#This Row],[PDF_initial fee]]</f>
        <v>1</v>
      </c>
      <c r="T4410" s="89"/>
      <c r="U4410" s="26"/>
    </row>
    <row r="4411" spans="1:21" hidden="1" x14ac:dyDescent="0.25">
      <c r="A4411">
        <v>794323</v>
      </c>
      <c r="B4411" t="s">
        <v>4803</v>
      </c>
      <c r="C4411" t="s">
        <v>6958</v>
      </c>
      <c r="D4411">
        <v>1</v>
      </c>
      <c r="E4411" t="s">
        <v>4803</v>
      </c>
      <c r="F4411" t="s">
        <v>6958</v>
      </c>
      <c r="G4411" s="3"/>
      <c r="H4411" s="21">
        <v>0</v>
      </c>
      <c r="I4411" s="21">
        <v>0</v>
      </c>
      <c r="J4411" s="21">
        <v>0</v>
      </c>
      <c r="K4411" s="21">
        <v>0</v>
      </c>
      <c r="L4411" s="3">
        <f t="shared" si="190"/>
        <v>0</v>
      </c>
      <c r="M4411" s="3"/>
      <c r="N4411" s="3">
        <f t="shared" si="191"/>
        <v>0</v>
      </c>
      <c r="R4411" s="89"/>
      <c r="S4411" s="89">
        <f>100%-Table34[[#This Row],[PDF_initial fee]]</f>
        <v>1</v>
      </c>
      <c r="T4411" s="89"/>
      <c r="U4411" s="26"/>
    </row>
    <row r="4412" spans="1:21" hidden="1" x14ac:dyDescent="0.25">
      <c r="A4412">
        <v>794390</v>
      </c>
      <c r="B4412" t="s">
        <v>4804</v>
      </c>
      <c r="C4412" t="s">
        <v>6958</v>
      </c>
      <c r="D4412">
        <v>1</v>
      </c>
      <c r="E4412" t="s">
        <v>4804</v>
      </c>
      <c r="F4412" t="s">
        <v>6958</v>
      </c>
      <c r="G4412" s="3"/>
      <c r="H4412" s="21">
        <v>0</v>
      </c>
      <c r="I4412" s="21">
        <v>0</v>
      </c>
      <c r="J4412" s="21">
        <v>0</v>
      </c>
      <c r="K4412" s="21">
        <v>0</v>
      </c>
      <c r="L4412" s="3">
        <f t="shared" si="190"/>
        <v>0</v>
      </c>
      <c r="M4412" s="3"/>
      <c r="N4412" s="3">
        <f t="shared" si="191"/>
        <v>0</v>
      </c>
      <c r="R4412" s="89"/>
      <c r="S4412" s="89">
        <f>100%-Table34[[#This Row],[PDF_initial fee]]</f>
        <v>1</v>
      </c>
      <c r="T4412" s="89"/>
      <c r="U4412" s="26"/>
    </row>
    <row r="4413" spans="1:21" hidden="1" x14ac:dyDescent="0.25">
      <c r="A4413">
        <v>794403</v>
      </c>
      <c r="B4413" t="s">
        <v>4805</v>
      </c>
      <c r="C4413" t="s">
        <v>6958</v>
      </c>
      <c r="D4413">
        <v>2</v>
      </c>
      <c r="E4413" t="s">
        <v>4805</v>
      </c>
      <c r="F4413" t="s">
        <v>6958</v>
      </c>
      <c r="G4413" s="3"/>
      <c r="H4413" s="21">
        <v>0</v>
      </c>
      <c r="I4413" s="21">
        <v>0</v>
      </c>
      <c r="J4413" s="21">
        <v>0</v>
      </c>
      <c r="K4413" s="21">
        <v>0</v>
      </c>
      <c r="L4413" s="3">
        <f t="shared" si="190"/>
        <v>0</v>
      </c>
      <c r="M4413" s="3"/>
      <c r="N4413" s="3">
        <f t="shared" si="191"/>
        <v>0</v>
      </c>
      <c r="R4413" s="89"/>
      <c r="S4413" s="89">
        <f>100%-Table34[[#This Row],[PDF_initial fee]]</f>
        <v>1</v>
      </c>
      <c r="T4413" s="89"/>
      <c r="U4413" s="26"/>
    </row>
    <row r="4414" spans="1:21" hidden="1" x14ac:dyDescent="0.25">
      <c r="A4414">
        <v>794406</v>
      </c>
      <c r="B4414" t="s">
        <v>4806</v>
      </c>
      <c r="C4414" t="s">
        <v>7809</v>
      </c>
      <c r="D4414">
        <v>1</v>
      </c>
      <c r="E4414" t="s">
        <v>4806</v>
      </c>
      <c r="G4414" s="3"/>
      <c r="H4414" s="21">
        <v>0</v>
      </c>
      <c r="I4414" s="21">
        <v>0</v>
      </c>
      <c r="J4414" s="21">
        <v>0</v>
      </c>
      <c r="K4414" s="21">
        <v>0</v>
      </c>
      <c r="L4414" s="3">
        <f t="shared" si="190"/>
        <v>0</v>
      </c>
      <c r="M4414" s="3"/>
      <c r="N4414" s="3">
        <f t="shared" si="191"/>
        <v>0</v>
      </c>
      <c r="R4414" s="89"/>
      <c r="S4414" s="89">
        <f>100%-Table34[[#This Row],[PDF_initial fee]]</f>
        <v>1</v>
      </c>
      <c r="T4414" s="89"/>
      <c r="U4414" s="26"/>
    </row>
    <row r="4415" spans="1:21" hidden="1" x14ac:dyDescent="0.25">
      <c r="A4415">
        <v>794932</v>
      </c>
      <c r="B4415" t="s">
        <v>4808</v>
      </c>
      <c r="C4415" t="s">
        <v>6958</v>
      </c>
      <c r="D4415">
        <v>1</v>
      </c>
      <c r="E4415" t="s">
        <v>4808</v>
      </c>
      <c r="F4415" t="s">
        <v>6958</v>
      </c>
      <c r="G4415" s="3"/>
      <c r="L4415" s="3">
        <f t="shared" si="190"/>
        <v>0</v>
      </c>
      <c r="M4415" s="3"/>
      <c r="N4415" s="3">
        <f t="shared" si="191"/>
        <v>0</v>
      </c>
      <c r="R4415" s="89"/>
      <c r="S4415" s="89">
        <f>100%-Table34[[#This Row],[PDF_initial fee]]</f>
        <v>1</v>
      </c>
      <c r="T4415" s="89"/>
      <c r="U4415" s="26"/>
    </row>
    <row r="4416" spans="1:21" hidden="1" x14ac:dyDescent="0.25">
      <c r="A4416">
        <v>795042</v>
      </c>
      <c r="B4416" t="s">
        <v>4809</v>
      </c>
      <c r="C4416" t="s">
        <v>6958</v>
      </c>
      <c r="D4416">
        <v>2</v>
      </c>
      <c r="E4416" t="s">
        <v>4809</v>
      </c>
      <c r="F4416" t="s">
        <v>6958</v>
      </c>
      <c r="G4416" s="3"/>
      <c r="H4416" s="21">
        <v>0</v>
      </c>
      <c r="I4416" s="21">
        <v>0</v>
      </c>
      <c r="J4416" s="21">
        <v>0</v>
      </c>
      <c r="K4416" s="21">
        <v>0</v>
      </c>
      <c r="L4416" s="3">
        <f t="shared" si="190"/>
        <v>0</v>
      </c>
      <c r="M4416" s="3"/>
      <c r="N4416" s="3">
        <f t="shared" si="191"/>
        <v>0</v>
      </c>
      <c r="R4416" s="89"/>
      <c r="S4416" s="89">
        <f>100%-Table34[[#This Row],[PDF_initial fee]]</f>
        <v>1</v>
      </c>
      <c r="T4416" s="89"/>
      <c r="U4416" s="26"/>
    </row>
    <row r="4417" spans="1:21" hidden="1" x14ac:dyDescent="0.25">
      <c r="A4417">
        <v>795051</v>
      </c>
      <c r="B4417" t="s">
        <v>4810</v>
      </c>
      <c r="C4417" t="s">
        <v>8281</v>
      </c>
      <c r="D4417">
        <v>1</v>
      </c>
      <c r="E4417" t="s">
        <v>4810</v>
      </c>
      <c r="G4417" s="3"/>
      <c r="H4417" s="21">
        <v>0</v>
      </c>
      <c r="I4417" s="21">
        <v>0</v>
      </c>
      <c r="J4417" s="21">
        <v>0</v>
      </c>
      <c r="K4417" s="21">
        <v>0</v>
      </c>
      <c r="L4417" s="3">
        <f t="shared" si="190"/>
        <v>0</v>
      </c>
      <c r="M4417" s="3"/>
      <c r="N4417" s="3">
        <f t="shared" si="191"/>
        <v>0</v>
      </c>
      <c r="R4417" s="89"/>
      <c r="S4417" s="89">
        <f>100%-Table34[[#This Row],[PDF_initial fee]]</f>
        <v>1</v>
      </c>
      <c r="T4417" s="89"/>
      <c r="U4417" s="26"/>
    </row>
    <row r="4418" spans="1:21" hidden="1" x14ac:dyDescent="0.25">
      <c r="A4418">
        <v>795258</v>
      </c>
      <c r="B4418" t="s">
        <v>4811</v>
      </c>
      <c r="C4418" t="s">
        <v>7498</v>
      </c>
      <c r="D4418">
        <v>1</v>
      </c>
      <c r="E4418" t="s">
        <v>4811</v>
      </c>
      <c r="G4418" s="3"/>
      <c r="H4418" s="21">
        <v>0</v>
      </c>
      <c r="I4418" s="21">
        <v>0</v>
      </c>
      <c r="J4418" s="21">
        <v>0</v>
      </c>
      <c r="K4418" s="21">
        <v>0</v>
      </c>
      <c r="L4418" s="3">
        <f t="shared" si="190"/>
        <v>0</v>
      </c>
      <c r="M4418" s="3"/>
      <c r="N4418" s="3">
        <f t="shared" si="191"/>
        <v>0</v>
      </c>
      <c r="R4418" s="89"/>
      <c r="S4418" s="89">
        <f>100%-Table34[[#This Row],[PDF_initial fee]]</f>
        <v>1</v>
      </c>
      <c r="T4418" s="89"/>
      <c r="U4418" s="26"/>
    </row>
    <row r="4419" spans="1:21" hidden="1" x14ac:dyDescent="0.25">
      <c r="A4419">
        <v>795384</v>
      </c>
      <c r="B4419" t="s">
        <v>4812</v>
      </c>
      <c r="C4419" t="s">
        <v>8514</v>
      </c>
      <c r="D4419">
        <v>1</v>
      </c>
      <c r="E4419" t="s">
        <v>4812</v>
      </c>
      <c r="G4419" s="3"/>
      <c r="H4419" s="21">
        <v>0</v>
      </c>
      <c r="I4419" s="21">
        <v>0</v>
      </c>
      <c r="J4419" s="21">
        <v>0</v>
      </c>
      <c r="K4419" s="21">
        <v>0</v>
      </c>
      <c r="L4419" s="3">
        <f t="shared" si="190"/>
        <v>0</v>
      </c>
      <c r="M4419" s="3"/>
      <c r="N4419" s="3">
        <f t="shared" si="191"/>
        <v>0</v>
      </c>
      <c r="R4419" s="89"/>
      <c r="S4419" s="89">
        <f>100%-Table34[[#This Row],[PDF_initial fee]]</f>
        <v>1</v>
      </c>
      <c r="T4419" s="89"/>
      <c r="U4419" s="26"/>
    </row>
    <row r="4420" spans="1:21" hidden="1" x14ac:dyDescent="0.25">
      <c r="A4420">
        <v>795641</v>
      </c>
      <c r="B4420" t="s">
        <v>4813</v>
      </c>
      <c r="C4420" t="s">
        <v>8098</v>
      </c>
      <c r="D4420">
        <v>2</v>
      </c>
      <c r="E4420" t="s">
        <v>4813</v>
      </c>
      <c r="G4420" s="3"/>
      <c r="H4420" s="21">
        <v>0</v>
      </c>
      <c r="I4420" s="21">
        <v>0</v>
      </c>
      <c r="J4420" s="21">
        <v>0</v>
      </c>
      <c r="K4420" s="21">
        <v>0</v>
      </c>
      <c r="L4420" s="3">
        <f t="shared" si="190"/>
        <v>0</v>
      </c>
      <c r="M4420" s="3"/>
      <c r="N4420" s="3">
        <f t="shared" si="191"/>
        <v>0</v>
      </c>
      <c r="R4420" s="89"/>
      <c r="S4420" s="89">
        <f>100%-Table34[[#This Row],[PDF_initial fee]]</f>
        <v>1</v>
      </c>
      <c r="T4420" s="89"/>
      <c r="U4420" s="26"/>
    </row>
    <row r="4421" spans="1:21" hidden="1" x14ac:dyDescent="0.25">
      <c r="A4421">
        <v>795673</v>
      </c>
      <c r="B4421" t="s">
        <v>4814</v>
      </c>
      <c r="C4421" t="s">
        <v>6958</v>
      </c>
      <c r="D4421">
        <v>0</v>
      </c>
      <c r="E4421" t="s">
        <v>4814</v>
      </c>
      <c r="F4421" t="s">
        <v>6958</v>
      </c>
      <c r="G4421" s="3"/>
      <c r="L4421" s="3">
        <f t="shared" si="190"/>
        <v>0</v>
      </c>
      <c r="M4421" s="3"/>
      <c r="N4421" s="3">
        <f t="shared" si="191"/>
        <v>0</v>
      </c>
      <c r="R4421" s="89"/>
      <c r="S4421" s="89">
        <f>100%-Table34[[#This Row],[PDF_initial fee]]</f>
        <v>1</v>
      </c>
      <c r="T4421" s="89"/>
      <c r="U4421" s="26"/>
    </row>
    <row r="4422" spans="1:21" hidden="1" x14ac:dyDescent="0.25">
      <c r="A4422">
        <v>795885</v>
      </c>
      <c r="B4422" t="s">
        <v>4815</v>
      </c>
      <c r="C4422" t="s">
        <v>11585</v>
      </c>
      <c r="D4422">
        <v>12</v>
      </c>
      <c r="E4422" t="s">
        <v>4815</v>
      </c>
      <c r="G4422" s="3"/>
      <c r="H4422" s="3">
        <v>0</v>
      </c>
      <c r="I4422" s="3">
        <v>0</v>
      </c>
      <c r="J4422" s="3">
        <v>0</v>
      </c>
      <c r="K4422" s="3">
        <v>0</v>
      </c>
      <c r="L4422" s="3">
        <f t="shared" si="190"/>
        <v>0</v>
      </c>
      <c r="M4422" s="3"/>
      <c r="N4422" s="3">
        <f t="shared" si="191"/>
        <v>0</v>
      </c>
      <c r="R4422" s="89"/>
      <c r="S4422" s="89">
        <f>100%-Table34[[#This Row],[PDF_initial fee]]</f>
        <v>1</v>
      </c>
      <c r="T4422" s="89"/>
      <c r="U4422" s="26"/>
    </row>
    <row r="4423" spans="1:21" hidden="1" x14ac:dyDescent="0.25">
      <c r="A4423">
        <v>796391</v>
      </c>
      <c r="B4423" t="s">
        <v>4817</v>
      </c>
      <c r="C4423" t="s">
        <v>7108</v>
      </c>
      <c r="D4423">
        <v>1</v>
      </c>
      <c r="E4423" t="s">
        <v>4817</v>
      </c>
      <c r="G4423" s="3"/>
      <c r="H4423" s="21">
        <v>0</v>
      </c>
      <c r="I4423" s="21">
        <v>0</v>
      </c>
      <c r="J4423" s="21">
        <v>0</v>
      </c>
      <c r="K4423" s="21">
        <v>0</v>
      </c>
      <c r="L4423" s="3">
        <f t="shared" ref="L4423:L4486" si="192">SUM(H4423:K4423)</f>
        <v>0</v>
      </c>
      <c r="M4423" s="3"/>
      <c r="N4423" s="3">
        <f t="shared" ref="N4423:N4486" si="193">L4423+G4423</f>
        <v>0</v>
      </c>
      <c r="R4423" s="89"/>
      <c r="S4423" s="89">
        <f>100%-Table34[[#This Row],[PDF_initial fee]]</f>
        <v>1</v>
      </c>
      <c r="T4423" s="89"/>
      <c r="U4423" s="26"/>
    </row>
    <row r="4424" spans="1:21" hidden="1" x14ac:dyDescent="0.25">
      <c r="A4424">
        <v>796599</v>
      </c>
      <c r="B4424" t="s">
        <v>4818</v>
      </c>
      <c r="C4424" t="s">
        <v>6958</v>
      </c>
      <c r="D4424">
        <v>1</v>
      </c>
      <c r="E4424" t="s">
        <v>4818</v>
      </c>
      <c r="F4424" t="s">
        <v>6958</v>
      </c>
      <c r="G4424" s="3"/>
      <c r="H4424" s="21">
        <v>0</v>
      </c>
      <c r="I4424" s="21">
        <v>0</v>
      </c>
      <c r="J4424" s="21">
        <v>0</v>
      </c>
      <c r="K4424" s="21">
        <v>0</v>
      </c>
      <c r="L4424" s="3">
        <f t="shared" si="192"/>
        <v>0</v>
      </c>
      <c r="M4424" s="3"/>
      <c r="N4424" s="3">
        <f t="shared" si="193"/>
        <v>0</v>
      </c>
      <c r="O4424" s="21"/>
      <c r="R4424" s="89"/>
      <c r="S4424" s="89">
        <f>100%-Table34[[#This Row],[PDF_initial fee]]</f>
        <v>1</v>
      </c>
      <c r="T4424" s="89"/>
      <c r="U4424" s="26"/>
    </row>
    <row r="4425" spans="1:21" hidden="1" x14ac:dyDescent="0.25">
      <c r="A4425">
        <v>796617</v>
      </c>
      <c r="B4425" t="s">
        <v>4819</v>
      </c>
      <c r="C4425" t="s">
        <v>9723</v>
      </c>
      <c r="D4425">
        <v>0</v>
      </c>
      <c r="E4425" t="s">
        <v>4819</v>
      </c>
      <c r="F4425" t="s">
        <v>29136</v>
      </c>
      <c r="G4425" s="3"/>
      <c r="H4425" s="3">
        <v>0</v>
      </c>
      <c r="I4425" s="3">
        <v>0</v>
      </c>
      <c r="J4425" s="3">
        <v>0</v>
      </c>
      <c r="K4425" s="3">
        <v>0</v>
      </c>
      <c r="L4425" s="3">
        <f t="shared" si="192"/>
        <v>0</v>
      </c>
      <c r="M4425" s="3"/>
      <c r="N4425" s="3">
        <f t="shared" si="193"/>
        <v>0</v>
      </c>
      <c r="R4425" s="89"/>
      <c r="S4425" s="89">
        <f>100%-Table34[[#This Row],[PDF_initial fee]]</f>
        <v>1</v>
      </c>
      <c r="T4425" s="89"/>
      <c r="U4425" s="26"/>
    </row>
    <row r="4426" spans="1:21" hidden="1" x14ac:dyDescent="0.25">
      <c r="A4426">
        <v>797019</v>
      </c>
      <c r="B4426" t="s">
        <v>4821</v>
      </c>
      <c r="C4426" t="s">
        <v>7390</v>
      </c>
      <c r="D4426">
        <v>2</v>
      </c>
      <c r="E4426" t="s">
        <v>4821</v>
      </c>
      <c r="G4426" s="3"/>
      <c r="L4426" s="3">
        <f t="shared" si="192"/>
        <v>0</v>
      </c>
      <c r="M4426" s="3"/>
      <c r="N4426" s="3">
        <f t="shared" si="193"/>
        <v>0</v>
      </c>
      <c r="R4426" s="89"/>
      <c r="S4426" s="89">
        <f>100%-Table34[[#This Row],[PDF_initial fee]]</f>
        <v>1</v>
      </c>
      <c r="T4426" s="89"/>
      <c r="U4426" s="26"/>
    </row>
    <row r="4427" spans="1:21" hidden="1" x14ac:dyDescent="0.25">
      <c r="A4427">
        <v>797420</v>
      </c>
      <c r="B4427" t="s">
        <v>4822</v>
      </c>
      <c r="C4427" t="s">
        <v>7724</v>
      </c>
      <c r="D4427">
        <v>1</v>
      </c>
      <c r="E4427" t="s">
        <v>4822</v>
      </c>
      <c r="G4427" s="3"/>
      <c r="H4427" s="21">
        <v>0</v>
      </c>
      <c r="I4427" s="21">
        <v>0</v>
      </c>
      <c r="J4427" s="21">
        <v>0</v>
      </c>
      <c r="K4427" s="21">
        <v>0</v>
      </c>
      <c r="L4427" s="3">
        <f t="shared" si="192"/>
        <v>0</v>
      </c>
      <c r="M4427" s="3"/>
      <c r="N4427" s="3">
        <f t="shared" si="193"/>
        <v>0</v>
      </c>
      <c r="R4427" s="89"/>
      <c r="S4427" s="89">
        <f>100%-Table34[[#This Row],[PDF_initial fee]]</f>
        <v>1</v>
      </c>
      <c r="T4427" s="89"/>
      <c r="U4427" s="26"/>
    </row>
    <row r="4428" spans="1:21" hidden="1" x14ac:dyDescent="0.25">
      <c r="A4428">
        <v>797619</v>
      </c>
      <c r="B4428" t="s">
        <v>4823</v>
      </c>
      <c r="C4428" t="s">
        <v>7129</v>
      </c>
      <c r="D4428">
        <v>1</v>
      </c>
      <c r="E4428" t="s">
        <v>4823</v>
      </c>
      <c r="G4428" s="3"/>
      <c r="H4428" s="21">
        <v>0</v>
      </c>
      <c r="I4428" s="21">
        <v>0</v>
      </c>
      <c r="J4428" s="21">
        <v>0</v>
      </c>
      <c r="K4428" s="21">
        <v>0</v>
      </c>
      <c r="L4428" s="3">
        <f t="shared" si="192"/>
        <v>0</v>
      </c>
      <c r="M4428" s="3"/>
      <c r="N4428" s="3">
        <f t="shared" si="193"/>
        <v>0</v>
      </c>
      <c r="R4428" s="89"/>
      <c r="S4428" s="89">
        <f>100%-Table34[[#This Row],[PDF_initial fee]]</f>
        <v>1</v>
      </c>
      <c r="T4428" s="89"/>
      <c r="U4428" s="26"/>
    </row>
    <row r="4429" spans="1:21" hidden="1" x14ac:dyDescent="0.25">
      <c r="A4429">
        <v>797673</v>
      </c>
      <c r="B4429" t="s">
        <v>4824</v>
      </c>
      <c r="C4429" t="s">
        <v>31060</v>
      </c>
      <c r="D4429">
        <v>3</v>
      </c>
      <c r="E4429" t="s">
        <v>4824</v>
      </c>
      <c r="G4429" s="3"/>
      <c r="H4429" s="3">
        <v>0</v>
      </c>
      <c r="I4429" s="3">
        <v>0</v>
      </c>
      <c r="J4429" s="3">
        <v>0</v>
      </c>
      <c r="K4429" s="3">
        <v>0</v>
      </c>
      <c r="L4429" s="3">
        <f t="shared" si="192"/>
        <v>0</v>
      </c>
      <c r="M4429" s="3"/>
      <c r="N4429" s="3">
        <f t="shared" si="193"/>
        <v>0</v>
      </c>
      <c r="R4429" s="89"/>
      <c r="S4429" s="89">
        <f>100%-Table34[[#This Row],[PDF_initial fee]]</f>
        <v>1</v>
      </c>
      <c r="T4429" s="89"/>
      <c r="U4429" s="26"/>
    </row>
    <row r="4430" spans="1:21" hidden="1" x14ac:dyDescent="0.25">
      <c r="A4430">
        <v>797692</v>
      </c>
      <c r="B4430" t="s">
        <v>4825</v>
      </c>
      <c r="C4430" t="s">
        <v>6958</v>
      </c>
      <c r="D4430">
        <v>1</v>
      </c>
      <c r="E4430" t="s">
        <v>4825</v>
      </c>
      <c r="F4430" t="s">
        <v>6958</v>
      </c>
      <c r="G4430" s="3"/>
      <c r="H4430" s="21">
        <v>0</v>
      </c>
      <c r="I4430" s="21">
        <v>0</v>
      </c>
      <c r="J4430" s="21">
        <v>0</v>
      </c>
      <c r="K4430" s="21">
        <v>0</v>
      </c>
      <c r="L4430" s="3">
        <f t="shared" si="192"/>
        <v>0</v>
      </c>
      <c r="M4430" s="3"/>
      <c r="N4430" s="3">
        <f t="shared" si="193"/>
        <v>0</v>
      </c>
      <c r="R4430" s="89"/>
      <c r="S4430" s="89">
        <f>100%-Table34[[#This Row],[PDF_initial fee]]</f>
        <v>1</v>
      </c>
      <c r="T4430" s="89"/>
      <c r="U4430" s="26"/>
    </row>
    <row r="4431" spans="1:21" hidden="1" x14ac:dyDescent="0.25">
      <c r="A4431">
        <v>797828</v>
      </c>
      <c r="B4431" t="s">
        <v>4826</v>
      </c>
      <c r="C4431" t="s">
        <v>9059</v>
      </c>
      <c r="D4431">
        <v>2</v>
      </c>
      <c r="E4431" t="s">
        <v>4826</v>
      </c>
      <c r="G4431" s="3"/>
      <c r="H4431" s="21">
        <v>0</v>
      </c>
      <c r="I4431" s="21">
        <v>0</v>
      </c>
      <c r="J4431" s="21">
        <v>0</v>
      </c>
      <c r="K4431" s="21">
        <v>0</v>
      </c>
      <c r="L4431" s="3">
        <f t="shared" si="192"/>
        <v>0</v>
      </c>
      <c r="M4431" s="3"/>
      <c r="N4431" s="3">
        <f t="shared" si="193"/>
        <v>0</v>
      </c>
      <c r="R4431" s="89"/>
      <c r="S4431" s="89">
        <f>100%-Table34[[#This Row],[PDF_initial fee]]</f>
        <v>1</v>
      </c>
      <c r="T4431" s="89"/>
      <c r="U4431" s="26"/>
    </row>
    <row r="4432" spans="1:21" hidden="1" x14ac:dyDescent="0.25">
      <c r="A4432">
        <v>798272</v>
      </c>
      <c r="B4432" t="s">
        <v>4827</v>
      </c>
      <c r="C4432" t="s">
        <v>6958</v>
      </c>
      <c r="D4432">
        <v>1</v>
      </c>
      <c r="E4432" t="s">
        <v>4827</v>
      </c>
      <c r="F4432" t="s">
        <v>6958</v>
      </c>
      <c r="G4432" s="3"/>
      <c r="H4432" s="21">
        <v>0</v>
      </c>
      <c r="I4432" s="21">
        <v>0</v>
      </c>
      <c r="J4432" s="21">
        <v>0</v>
      </c>
      <c r="K4432" s="21">
        <v>0</v>
      </c>
      <c r="L4432" s="3">
        <f t="shared" si="192"/>
        <v>0</v>
      </c>
      <c r="M4432" s="3"/>
      <c r="N4432" s="3">
        <f t="shared" si="193"/>
        <v>0</v>
      </c>
      <c r="R4432" s="89"/>
      <c r="S4432" s="89">
        <f>100%-Table34[[#This Row],[PDF_initial fee]]</f>
        <v>1</v>
      </c>
      <c r="T4432" s="89"/>
      <c r="U4432" s="26"/>
    </row>
    <row r="4433" spans="1:28" hidden="1" x14ac:dyDescent="0.25">
      <c r="A4433">
        <v>798366</v>
      </c>
      <c r="B4433" t="s">
        <v>4828</v>
      </c>
      <c r="C4433" t="s">
        <v>8026</v>
      </c>
      <c r="D4433">
        <v>1</v>
      </c>
      <c r="E4433" t="s">
        <v>4828</v>
      </c>
      <c r="G4433" s="3"/>
      <c r="H4433" s="21">
        <v>0</v>
      </c>
      <c r="I4433" s="21">
        <v>0</v>
      </c>
      <c r="J4433" s="21">
        <v>0</v>
      </c>
      <c r="K4433" s="21">
        <v>0</v>
      </c>
      <c r="L4433" s="3">
        <f t="shared" si="192"/>
        <v>0</v>
      </c>
      <c r="M4433" s="3"/>
      <c r="N4433" s="3">
        <f t="shared" si="193"/>
        <v>0</v>
      </c>
      <c r="R4433" s="89"/>
      <c r="S4433" s="89">
        <f>100%-Table34[[#This Row],[PDF_initial fee]]</f>
        <v>1</v>
      </c>
      <c r="T4433" s="89"/>
      <c r="U4433" s="26"/>
    </row>
    <row r="4434" spans="1:28" hidden="1" x14ac:dyDescent="0.25">
      <c r="A4434">
        <v>798518</v>
      </c>
      <c r="B4434" t="s">
        <v>4829</v>
      </c>
      <c r="C4434" t="s">
        <v>9974</v>
      </c>
      <c r="D4434">
        <v>2</v>
      </c>
      <c r="E4434" t="s">
        <v>4829</v>
      </c>
      <c r="G4434" s="3"/>
      <c r="H4434" s="3">
        <v>0</v>
      </c>
      <c r="I4434" s="3">
        <v>0</v>
      </c>
      <c r="J4434" s="3">
        <v>0</v>
      </c>
      <c r="K4434" s="3">
        <v>0</v>
      </c>
      <c r="L4434" s="3">
        <f t="shared" si="192"/>
        <v>0</v>
      </c>
      <c r="M4434" s="3"/>
      <c r="N4434" s="3">
        <f t="shared" si="193"/>
        <v>0</v>
      </c>
      <c r="R4434" s="89"/>
      <c r="S4434" s="89">
        <f>100%-Table34[[#This Row],[PDF_initial fee]]</f>
        <v>1</v>
      </c>
      <c r="T4434" s="89"/>
      <c r="U4434" s="26"/>
    </row>
    <row r="4435" spans="1:28" hidden="1" x14ac:dyDescent="0.25">
      <c r="A4435">
        <v>798611</v>
      </c>
      <c r="B4435" t="s">
        <v>4830</v>
      </c>
      <c r="C4435" t="s">
        <v>31061</v>
      </c>
      <c r="D4435">
        <v>7</v>
      </c>
      <c r="E4435" t="s">
        <v>4830</v>
      </c>
      <c r="G4435" s="3"/>
      <c r="H4435" s="3">
        <v>0</v>
      </c>
      <c r="I4435" s="3">
        <v>0</v>
      </c>
      <c r="J4435" s="3">
        <v>0</v>
      </c>
      <c r="K4435" s="3">
        <v>0</v>
      </c>
      <c r="L4435" s="3">
        <f t="shared" si="192"/>
        <v>0</v>
      </c>
      <c r="M4435" s="3"/>
      <c r="N4435" s="3">
        <f t="shared" si="193"/>
        <v>0</v>
      </c>
      <c r="R4435" s="89"/>
      <c r="S4435" s="89">
        <f>100%-Table34[[#This Row],[PDF_initial fee]]</f>
        <v>1</v>
      </c>
      <c r="T4435" s="89"/>
      <c r="U4435" s="26"/>
    </row>
    <row r="4436" spans="1:28" hidden="1" x14ac:dyDescent="0.25">
      <c r="A4436">
        <v>798772</v>
      </c>
      <c r="B4436" t="s">
        <v>4831</v>
      </c>
      <c r="C4436" t="s">
        <v>31062</v>
      </c>
      <c r="D4436">
        <v>5</v>
      </c>
      <c r="E4436" t="s">
        <v>4831</v>
      </c>
      <c r="G4436" s="3"/>
      <c r="H4436" s="3">
        <v>0</v>
      </c>
      <c r="I4436" s="3">
        <v>0</v>
      </c>
      <c r="J4436" s="3">
        <v>0</v>
      </c>
      <c r="K4436" s="3">
        <v>0</v>
      </c>
      <c r="L4436" s="3">
        <f t="shared" si="192"/>
        <v>0</v>
      </c>
      <c r="M4436" s="3"/>
      <c r="N4436" s="3">
        <f t="shared" si="193"/>
        <v>0</v>
      </c>
      <c r="R4436" s="89"/>
      <c r="S4436" s="89">
        <f>100%-Table34[[#This Row],[PDF_initial fee]]</f>
        <v>1</v>
      </c>
      <c r="T4436" s="89"/>
      <c r="U4436" s="26"/>
    </row>
    <row r="4437" spans="1:28" hidden="1" x14ac:dyDescent="0.25">
      <c r="A4437">
        <v>799333</v>
      </c>
      <c r="B4437" t="s">
        <v>4832</v>
      </c>
      <c r="C4437" t="s">
        <v>9681</v>
      </c>
      <c r="D4437">
        <v>6</v>
      </c>
      <c r="E4437" t="s">
        <v>4832</v>
      </c>
      <c r="G4437" s="3"/>
      <c r="H4437" s="3"/>
      <c r="I4437" s="3"/>
      <c r="J4437" s="3"/>
      <c r="K4437" s="3"/>
      <c r="L4437" s="3">
        <f t="shared" si="192"/>
        <v>0</v>
      </c>
      <c r="M4437" s="3"/>
      <c r="N4437" s="3">
        <f t="shared" si="193"/>
        <v>0</v>
      </c>
      <c r="R4437" s="89"/>
      <c r="S4437" s="89">
        <f>100%-Table34[[#This Row],[PDF_initial fee]]</f>
        <v>1</v>
      </c>
      <c r="T4437" s="89"/>
      <c r="U4437" s="26"/>
    </row>
    <row r="4438" spans="1:28" hidden="1" x14ac:dyDescent="0.25">
      <c r="A4438">
        <v>799367</v>
      </c>
      <c r="B4438" t="s">
        <v>4833</v>
      </c>
      <c r="C4438" t="s">
        <v>7416</v>
      </c>
      <c r="D4438">
        <v>2</v>
      </c>
      <c r="E4438" t="s">
        <v>4833</v>
      </c>
      <c r="G4438" s="3"/>
      <c r="H4438" s="21">
        <v>0</v>
      </c>
      <c r="I4438" s="21">
        <v>0</v>
      </c>
      <c r="J4438" s="21">
        <v>0</v>
      </c>
      <c r="K4438" s="21">
        <v>0</v>
      </c>
      <c r="L4438" s="3">
        <f t="shared" si="192"/>
        <v>0</v>
      </c>
      <c r="M4438" s="3"/>
      <c r="N4438" s="3">
        <f t="shared" si="193"/>
        <v>0</v>
      </c>
      <c r="R4438" s="89"/>
      <c r="S4438" s="89">
        <f>100%-Table34[[#This Row],[PDF_initial fee]]</f>
        <v>1</v>
      </c>
      <c r="T4438" s="89"/>
      <c r="U4438" s="26"/>
    </row>
    <row r="4439" spans="1:28" hidden="1" x14ac:dyDescent="0.25">
      <c r="A4439">
        <v>799429</v>
      </c>
      <c r="B4439" t="s">
        <v>4834</v>
      </c>
      <c r="C4439" t="s">
        <v>31063</v>
      </c>
      <c r="D4439">
        <v>0</v>
      </c>
      <c r="E4439" t="s">
        <v>4834</v>
      </c>
      <c r="F4439" t="s">
        <v>29136</v>
      </c>
      <c r="G4439" s="3"/>
      <c r="H4439" s="21">
        <v>0</v>
      </c>
      <c r="I4439" s="21">
        <v>0</v>
      </c>
      <c r="J4439" s="21">
        <v>0</v>
      </c>
      <c r="K4439" s="21">
        <v>0</v>
      </c>
      <c r="L4439" s="3">
        <f t="shared" si="192"/>
        <v>0</v>
      </c>
      <c r="M4439" s="3"/>
      <c r="N4439" s="3">
        <f t="shared" si="193"/>
        <v>0</v>
      </c>
      <c r="O4439" s="21"/>
      <c r="P4439" s="1" t="s">
        <v>29163</v>
      </c>
      <c r="R4439" s="89"/>
      <c r="S4439" s="89">
        <f>100%-Table34[[#This Row],[PDF_initial fee]]</f>
        <v>1</v>
      </c>
      <c r="T4439" s="89"/>
      <c r="U4439" s="26"/>
    </row>
    <row r="4440" spans="1:28" hidden="1" x14ac:dyDescent="0.25">
      <c r="A4440">
        <v>799740</v>
      </c>
      <c r="B4440" t="s">
        <v>4835</v>
      </c>
      <c r="C4440" t="s">
        <v>6958</v>
      </c>
      <c r="D4440">
        <v>1</v>
      </c>
      <c r="E4440" t="s">
        <v>4835</v>
      </c>
      <c r="F4440" t="s">
        <v>6958</v>
      </c>
      <c r="G4440" s="3"/>
      <c r="L4440" s="3">
        <f t="shared" si="192"/>
        <v>0</v>
      </c>
      <c r="M4440" s="3"/>
      <c r="N4440" s="3">
        <f t="shared" si="193"/>
        <v>0</v>
      </c>
      <c r="R4440" s="89"/>
      <c r="S4440" s="89">
        <f>100%-Table34[[#This Row],[PDF_initial fee]]</f>
        <v>1</v>
      </c>
      <c r="T4440" s="89"/>
      <c r="U4440" s="26"/>
    </row>
    <row r="4441" spans="1:28" hidden="1" x14ac:dyDescent="0.25">
      <c r="A4441">
        <v>799741</v>
      </c>
      <c r="B4441" t="s">
        <v>4836</v>
      </c>
      <c r="C4441" t="s">
        <v>6958</v>
      </c>
      <c r="D4441">
        <v>3</v>
      </c>
      <c r="E4441" t="s">
        <v>4836</v>
      </c>
      <c r="F4441" t="s">
        <v>6958</v>
      </c>
      <c r="G4441" s="3"/>
      <c r="H4441" s="21">
        <v>0</v>
      </c>
      <c r="I4441" s="21">
        <v>0</v>
      </c>
      <c r="J4441" s="21">
        <v>0</v>
      </c>
      <c r="K4441" s="21">
        <v>0</v>
      </c>
      <c r="L4441" s="3">
        <f t="shared" si="192"/>
        <v>0</v>
      </c>
      <c r="M4441" s="3"/>
      <c r="N4441" s="3">
        <f t="shared" si="193"/>
        <v>0</v>
      </c>
      <c r="R4441" s="89"/>
      <c r="S4441" s="89">
        <f>100%-Table34[[#This Row],[PDF_initial fee]]</f>
        <v>1</v>
      </c>
      <c r="T4441" s="89"/>
      <c r="U4441" s="26"/>
    </row>
    <row r="4442" spans="1:28" hidden="1" x14ac:dyDescent="0.25">
      <c r="A4442">
        <v>799761</v>
      </c>
      <c r="B4442" t="s">
        <v>4837</v>
      </c>
      <c r="C4442" s="1" t="s">
        <v>31064</v>
      </c>
      <c r="D4442">
        <v>2</v>
      </c>
      <c r="E4442" t="s">
        <v>4837</v>
      </c>
      <c r="G4442" s="3"/>
      <c r="H4442" s="3">
        <v>0</v>
      </c>
      <c r="I4442" s="3">
        <v>0</v>
      </c>
      <c r="J4442" s="3">
        <v>0</v>
      </c>
      <c r="K4442" s="3">
        <v>0</v>
      </c>
      <c r="L4442" s="3">
        <f t="shared" si="192"/>
        <v>0</v>
      </c>
      <c r="M4442" s="3"/>
      <c r="N4442" s="3">
        <f t="shared" si="193"/>
        <v>0</v>
      </c>
      <c r="R4442" s="89"/>
      <c r="S4442" s="89">
        <f>100%-Table34[[#This Row],[PDF_initial fee]]</f>
        <v>1</v>
      </c>
      <c r="T4442" s="89"/>
      <c r="U4442" s="26"/>
    </row>
    <row r="4443" spans="1:28" hidden="1" x14ac:dyDescent="0.25">
      <c r="A4443">
        <v>799794</v>
      </c>
      <c r="B4443" t="s">
        <v>4838</v>
      </c>
      <c r="C4443" t="s">
        <v>9895</v>
      </c>
      <c r="D4443">
        <v>1</v>
      </c>
      <c r="E4443" t="s">
        <v>4838</v>
      </c>
      <c r="G4443" s="3"/>
      <c r="H4443" s="3"/>
      <c r="I4443" s="3"/>
      <c r="J4443" s="3"/>
      <c r="K4443" s="3"/>
      <c r="L4443" s="3">
        <f t="shared" si="192"/>
        <v>0</v>
      </c>
      <c r="M4443" s="3"/>
      <c r="N4443" s="3">
        <f t="shared" si="193"/>
        <v>0</v>
      </c>
      <c r="R4443" s="89"/>
      <c r="S4443" s="89">
        <f>100%-Table34[[#This Row],[PDF_initial fee]]</f>
        <v>1</v>
      </c>
      <c r="T4443" s="89"/>
      <c r="U4443" s="26"/>
    </row>
    <row r="4444" spans="1:28" hidden="1" x14ac:dyDescent="0.25">
      <c r="A4444">
        <v>799828</v>
      </c>
      <c r="B4444" t="s">
        <v>4839</v>
      </c>
      <c r="C4444" t="s">
        <v>7052</v>
      </c>
      <c r="D4444">
        <v>3</v>
      </c>
      <c r="E4444" t="s">
        <v>4839</v>
      </c>
      <c r="G4444" s="3"/>
      <c r="H4444" s="21">
        <v>0</v>
      </c>
      <c r="I4444" s="21">
        <v>0</v>
      </c>
      <c r="J4444" s="21">
        <v>0</v>
      </c>
      <c r="K4444" s="21">
        <v>0</v>
      </c>
      <c r="L4444" s="3">
        <f t="shared" si="192"/>
        <v>0</v>
      </c>
      <c r="M4444" s="3"/>
      <c r="N4444" s="3">
        <f t="shared" si="193"/>
        <v>0</v>
      </c>
      <c r="R4444" s="89"/>
      <c r="S4444" s="89">
        <f>100%-Table34[[#This Row],[PDF_initial fee]]</f>
        <v>1</v>
      </c>
      <c r="T4444" s="89"/>
      <c r="U4444" s="26"/>
    </row>
    <row r="4445" spans="1:28" hidden="1" x14ac:dyDescent="0.25">
      <c r="A4445">
        <v>800013</v>
      </c>
      <c r="B4445" t="s">
        <v>4840</v>
      </c>
      <c r="C4445" t="s">
        <v>11538</v>
      </c>
      <c r="D4445">
        <v>2</v>
      </c>
      <c r="E4445" t="s">
        <v>4840</v>
      </c>
      <c r="G4445" s="3"/>
      <c r="H4445" s="3">
        <v>0</v>
      </c>
      <c r="I4445" s="3">
        <v>0</v>
      </c>
      <c r="J4445" s="3">
        <v>0</v>
      </c>
      <c r="K4445" s="3">
        <v>0</v>
      </c>
      <c r="L4445" s="3">
        <f t="shared" si="192"/>
        <v>0</v>
      </c>
      <c r="M4445" s="3"/>
      <c r="N4445" s="3">
        <f t="shared" si="193"/>
        <v>0</v>
      </c>
      <c r="R4445" s="89"/>
      <c r="S4445" s="89">
        <f>100%-Table34[[#This Row],[PDF_initial fee]]</f>
        <v>1</v>
      </c>
      <c r="T4445" s="89"/>
      <c r="U4445" s="26"/>
    </row>
    <row r="4446" spans="1:28" hidden="1" x14ac:dyDescent="0.25">
      <c r="A4446">
        <v>800081</v>
      </c>
      <c r="B4446" t="s">
        <v>4841</v>
      </c>
      <c r="C4446" t="s">
        <v>7860</v>
      </c>
      <c r="D4446">
        <v>1</v>
      </c>
      <c r="E4446" t="s">
        <v>4841</v>
      </c>
      <c r="G4446" s="3"/>
      <c r="H4446" s="21">
        <v>0</v>
      </c>
      <c r="I4446" s="21">
        <v>0</v>
      </c>
      <c r="J4446" s="21">
        <v>0</v>
      </c>
      <c r="K4446" s="21">
        <v>0</v>
      </c>
      <c r="L4446" s="3">
        <f t="shared" si="192"/>
        <v>0</v>
      </c>
      <c r="M4446" s="3"/>
      <c r="N4446" s="3">
        <f t="shared" si="193"/>
        <v>0</v>
      </c>
      <c r="R4446" s="89"/>
      <c r="S4446" s="89">
        <f>100%-Table34[[#This Row],[PDF_initial fee]]</f>
        <v>1</v>
      </c>
      <c r="T4446" s="89"/>
      <c r="U4446" s="26"/>
    </row>
    <row r="4447" spans="1:28" x14ac:dyDescent="0.25">
      <c r="A4447">
        <v>975586</v>
      </c>
      <c r="B4447" t="s">
        <v>351</v>
      </c>
      <c r="C4447" t="s">
        <v>9114</v>
      </c>
      <c r="D4447">
        <v>1</v>
      </c>
      <c r="E4447" t="s">
        <v>351</v>
      </c>
      <c r="F4447" t="s">
        <v>3</v>
      </c>
      <c r="G4447" s="3">
        <v>1.4E-3</v>
      </c>
      <c r="H4447" s="3">
        <v>0.05</v>
      </c>
      <c r="I4447" s="3">
        <v>7.4999999999999997E-3</v>
      </c>
      <c r="J4447" s="6"/>
      <c r="K4447" s="6"/>
      <c r="L4447" s="3">
        <f t="shared" si="192"/>
        <v>5.7500000000000002E-2</v>
      </c>
      <c r="M4447" s="3"/>
      <c r="N4447" s="3">
        <f t="shared" si="193"/>
        <v>5.8900000000000001E-2</v>
      </c>
      <c r="P4447" s="31" t="s">
        <v>31065</v>
      </c>
      <c r="Q4447" t="s">
        <v>31787</v>
      </c>
      <c r="R4447" s="89">
        <v>0.33333333333333348</v>
      </c>
      <c r="S4447" s="89">
        <f>100%-Table34[[#This Row],[InitialFee]]</f>
        <v>0.95</v>
      </c>
      <c r="T4447" s="89">
        <f>(1-Table34[[#This Row],[OngoingFee (plus Platform fee)]])^5</f>
        <v>0.9630582970465823</v>
      </c>
      <c r="U4447" s="26">
        <f>(1+Table34[[#This Row],[Net 5yrs return (mostly up to 28th of Feb 2026)]])*Table34[[#This Row],[Investment after initial charge]]*Table34[[#This Row],[Cummulative 5yrs ongoing advice charge]]-1</f>
        <v>0.21987384292567103</v>
      </c>
      <c r="V4447">
        <f>51986+2802</f>
        <v>54788</v>
      </c>
      <c r="W4447" t="s">
        <v>29051</v>
      </c>
      <c r="X4447" s="9">
        <v>29586</v>
      </c>
      <c r="Y4447" s="30">
        <f>X4447/V4447</f>
        <v>0.54000876104256401</v>
      </c>
      <c r="AA4447" s="1" t="s">
        <v>31066</v>
      </c>
      <c r="AB4447" t="s">
        <v>29302</v>
      </c>
    </row>
    <row r="4448" spans="1:28" hidden="1" x14ac:dyDescent="0.25">
      <c r="A4448">
        <v>800234</v>
      </c>
      <c r="B4448" t="s">
        <v>4842</v>
      </c>
      <c r="C4448" t="s">
        <v>6958</v>
      </c>
      <c r="D4448">
        <v>2</v>
      </c>
      <c r="E4448" t="s">
        <v>4842</v>
      </c>
      <c r="F4448" t="s">
        <v>6958</v>
      </c>
      <c r="G4448" s="3"/>
      <c r="H4448" s="21">
        <v>0</v>
      </c>
      <c r="I4448" s="21">
        <v>0</v>
      </c>
      <c r="J4448" s="21">
        <v>0</v>
      </c>
      <c r="K4448" s="21">
        <v>0</v>
      </c>
      <c r="L4448" s="3">
        <f t="shared" si="192"/>
        <v>0</v>
      </c>
      <c r="M4448" s="3"/>
      <c r="N4448" s="3">
        <f t="shared" si="193"/>
        <v>0</v>
      </c>
      <c r="R4448" s="89"/>
      <c r="S4448" s="89">
        <f>100%-Table34[[#This Row],[PDF_initial fee]]</f>
        <v>1</v>
      </c>
      <c r="T4448" s="89"/>
      <c r="U4448" s="26"/>
    </row>
    <row r="4449" spans="1:21" hidden="1" x14ac:dyDescent="0.25">
      <c r="A4449">
        <v>800434</v>
      </c>
      <c r="B4449" t="s">
        <v>4843</v>
      </c>
      <c r="C4449" t="s">
        <v>8146</v>
      </c>
      <c r="D4449">
        <v>1</v>
      </c>
      <c r="E4449" t="s">
        <v>4843</v>
      </c>
      <c r="G4449" s="3"/>
      <c r="H4449" s="21">
        <v>0</v>
      </c>
      <c r="I4449" s="21">
        <v>0</v>
      </c>
      <c r="J4449" s="21">
        <v>0</v>
      </c>
      <c r="K4449" s="21">
        <v>0</v>
      </c>
      <c r="L4449" s="3">
        <f t="shared" si="192"/>
        <v>0</v>
      </c>
      <c r="M4449" s="3"/>
      <c r="N4449" s="3">
        <f t="shared" si="193"/>
        <v>0</v>
      </c>
      <c r="R4449" s="89"/>
      <c r="S4449" s="89">
        <f>100%-Table34[[#This Row],[PDF_initial fee]]</f>
        <v>1</v>
      </c>
      <c r="T4449" s="89"/>
      <c r="U4449" s="26"/>
    </row>
    <row r="4450" spans="1:21" hidden="1" x14ac:dyDescent="0.25">
      <c r="A4450">
        <v>800509</v>
      </c>
      <c r="B4450" t="s">
        <v>4845</v>
      </c>
      <c r="C4450" t="s">
        <v>7485</v>
      </c>
      <c r="D4450">
        <v>2</v>
      </c>
      <c r="E4450" t="s">
        <v>4845</v>
      </c>
      <c r="G4450" s="3"/>
      <c r="H4450" s="21">
        <v>0</v>
      </c>
      <c r="I4450" s="21">
        <v>0</v>
      </c>
      <c r="J4450" s="21">
        <v>0</v>
      </c>
      <c r="K4450" s="21">
        <v>0</v>
      </c>
      <c r="L4450" s="3">
        <f t="shared" si="192"/>
        <v>0</v>
      </c>
      <c r="M4450" s="3"/>
      <c r="N4450" s="3">
        <f t="shared" si="193"/>
        <v>0</v>
      </c>
      <c r="R4450" s="89"/>
      <c r="S4450" s="89">
        <f>100%-Table34[[#This Row],[PDF_initial fee]]</f>
        <v>1</v>
      </c>
      <c r="T4450" s="89"/>
      <c r="U4450" s="26"/>
    </row>
    <row r="4451" spans="1:21" hidden="1" x14ac:dyDescent="0.25">
      <c r="A4451">
        <v>800783</v>
      </c>
      <c r="B4451" t="s">
        <v>4847</v>
      </c>
      <c r="C4451" t="s">
        <v>6958</v>
      </c>
      <c r="D4451">
        <v>1</v>
      </c>
      <c r="E4451" t="s">
        <v>4847</v>
      </c>
      <c r="F4451" t="s">
        <v>6958</v>
      </c>
      <c r="G4451" s="3"/>
      <c r="H4451" s="21">
        <v>0</v>
      </c>
      <c r="I4451" s="21">
        <v>0</v>
      </c>
      <c r="J4451" s="21">
        <v>0</v>
      </c>
      <c r="K4451" s="21">
        <v>0</v>
      </c>
      <c r="L4451" s="3">
        <f t="shared" si="192"/>
        <v>0</v>
      </c>
      <c r="M4451" s="3"/>
      <c r="N4451" s="3">
        <f t="shared" si="193"/>
        <v>0</v>
      </c>
      <c r="R4451" s="89"/>
      <c r="S4451" s="89">
        <f>100%-Table34[[#This Row],[PDF_initial fee]]</f>
        <v>1</v>
      </c>
      <c r="T4451" s="89"/>
      <c r="U4451" s="26"/>
    </row>
    <row r="4452" spans="1:21" hidden="1" x14ac:dyDescent="0.25">
      <c r="A4452">
        <v>800837</v>
      </c>
      <c r="B4452" t="s">
        <v>4848</v>
      </c>
      <c r="C4452" t="s">
        <v>6958</v>
      </c>
      <c r="D4452">
        <v>1</v>
      </c>
      <c r="E4452" t="s">
        <v>4848</v>
      </c>
      <c r="F4452" t="s">
        <v>6958</v>
      </c>
      <c r="G4452" s="3"/>
      <c r="H4452" s="21">
        <v>0</v>
      </c>
      <c r="I4452" s="21">
        <v>0</v>
      </c>
      <c r="J4452" s="21">
        <v>0</v>
      </c>
      <c r="K4452" s="21">
        <v>0</v>
      </c>
      <c r="L4452" s="3">
        <f t="shared" si="192"/>
        <v>0</v>
      </c>
      <c r="M4452" s="3"/>
      <c r="N4452" s="3">
        <f t="shared" si="193"/>
        <v>0</v>
      </c>
      <c r="R4452" s="89"/>
      <c r="S4452" s="89">
        <f>100%-Table34[[#This Row],[PDF_initial fee]]</f>
        <v>1</v>
      </c>
      <c r="T4452" s="89"/>
      <c r="U4452" s="26"/>
    </row>
    <row r="4453" spans="1:21" hidden="1" x14ac:dyDescent="0.25">
      <c r="A4453">
        <v>800932</v>
      </c>
      <c r="B4453" t="s">
        <v>4849</v>
      </c>
      <c r="C4453" t="s">
        <v>31067</v>
      </c>
      <c r="D4453">
        <v>2</v>
      </c>
      <c r="E4453" t="s">
        <v>4849</v>
      </c>
      <c r="G4453" s="3"/>
      <c r="H4453" s="3">
        <v>0</v>
      </c>
      <c r="I4453" s="3">
        <v>0</v>
      </c>
      <c r="J4453" s="3">
        <v>0</v>
      </c>
      <c r="K4453" s="3">
        <v>0</v>
      </c>
      <c r="L4453" s="3">
        <f t="shared" si="192"/>
        <v>0</v>
      </c>
      <c r="M4453" s="3"/>
      <c r="N4453" s="3">
        <f t="shared" si="193"/>
        <v>0</v>
      </c>
      <c r="R4453" s="89"/>
      <c r="S4453" s="89">
        <f>100%-Table34[[#This Row],[PDF_initial fee]]</f>
        <v>1</v>
      </c>
      <c r="T4453" s="89"/>
      <c r="U4453" s="26"/>
    </row>
    <row r="4454" spans="1:21" hidden="1" x14ac:dyDescent="0.25">
      <c r="A4454">
        <v>801128</v>
      </c>
      <c r="B4454" t="s">
        <v>4851</v>
      </c>
      <c r="C4454" t="s">
        <v>31068</v>
      </c>
      <c r="D4454">
        <v>2</v>
      </c>
      <c r="E4454" t="s">
        <v>4851</v>
      </c>
      <c r="F4454" t="s">
        <v>29136</v>
      </c>
      <c r="G4454" s="3"/>
      <c r="H4454" s="3">
        <v>0</v>
      </c>
      <c r="I4454" s="3">
        <v>0</v>
      </c>
      <c r="J4454" s="3">
        <v>0</v>
      </c>
      <c r="K4454" s="3">
        <v>0</v>
      </c>
      <c r="L4454" s="3">
        <f t="shared" si="192"/>
        <v>0</v>
      </c>
      <c r="M4454" s="3"/>
      <c r="N4454" s="3">
        <f t="shared" si="193"/>
        <v>0</v>
      </c>
      <c r="O4454" t="s">
        <v>31069</v>
      </c>
      <c r="R4454" s="89"/>
      <c r="S4454" s="89">
        <f>100%-Table34[[#This Row],[PDF_initial fee]]</f>
        <v>1</v>
      </c>
      <c r="T4454" s="89"/>
      <c r="U4454" s="26"/>
    </row>
    <row r="4455" spans="1:21" hidden="1" x14ac:dyDescent="0.25">
      <c r="A4455">
        <v>802016</v>
      </c>
      <c r="B4455" t="s">
        <v>4852</v>
      </c>
      <c r="C4455" t="s">
        <v>31070</v>
      </c>
      <c r="D4455">
        <v>3</v>
      </c>
      <c r="E4455" t="s">
        <v>4852</v>
      </c>
      <c r="G4455" s="3"/>
      <c r="H4455" s="21">
        <v>0</v>
      </c>
      <c r="I4455" s="21">
        <v>0</v>
      </c>
      <c r="J4455" s="21">
        <v>0</v>
      </c>
      <c r="K4455" s="21">
        <v>0</v>
      </c>
      <c r="L4455" s="3">
        <f t="shared" si="192"/>
        <v>0</v>
      </c>
      <c r="M4455" s="3"/>
      <c r="N4455" s="3">
        <f t="shared" si="193"/>
        <v>0</v>
      </c>
      <c r="O4455" s="21"/>
      <c r="R4455" s="89"/>
      <c r="S4455" s="89">
        <f>100%-Table34[[#This Row],[PDF_initial fee]]</f>
        <v>1</v>
      </c>
      <c r="T4455" s="89"/>
      <c r="U4455" s="26"/>
    </row>
    <row r="4456" spans="1:21" hidden="1" x14ac:dyDescent="0.25">
      <c r="A4456">
        <v>802057</v>
      </c>
      <c r="B4456" t="s">
        <v>4853</v>
      </c>
      <c r="C4456" t="s">
        <v>31071</v>
      </c>
      <c r="D4456">
        <v>2</v>
      </c>
      <c r="E4456" t="s">
        <v>4853</v>
      </c>
      <c r="G4456" s="3"/>
      <c r="H4456" s="3">
        <v>0</v>
      </c>
      <c r="I4456" s="3">
        <v>0</v>
      </c>
      <c r="J4456" s="3">
        <v>0</v>
      </c>
      <c r="K4456" s="3">
        <v>0</v>
      </c>
      <c r="L4456" s="3">
        <f t="shared" si="192"/>
        <v>0</v>
      </c>
      <c r="M4456" s="3"/>
      <c r="N4456" s="3">
        <f t="shared" si="193"/>
        <v>0</v>
      </c>
      <c r="R4456" s="89"/>
      <c r="S4456" s="89">
        <f>100%-Table34[[#This Row],[PDF_initial fee]]</f>
        <v>1</v>
      </c>
      <c r="T4456" s="89"/>
      <c r="U4456" s="26"/>
    </row>
    <row r="4457" spans="1:21" hidden="1" x14ac:dyDescent="0.25">
      <c r="A4457">
        <v>802267</v>
      </c>
      <c r="B4457" t="s">
        <v>4854</v>
      </c>
      <c r="C4457" t="s">
        <v>31072</v>
      </c>
      <c r="D4457">
        <v>1</v>
      </c>
      <c r="E4457" t="s">
        <v>4854</v>
      </c>
      <c r="G4457" s="3"/>
      <c r="H4457" s="3">
        <v>0</v>
      </c>
      <c r="I4457" s="3">
        <v>0</v>
      </c>
      <c r="J4457" s="3">
        <v>0</v>
      </c>
      <c r="K4457" s="3">
        <v>0</v>
      </c>
      <c r="L4457" s="3">
        <f t="shared" si="192"/>
        <v>0</v>
      </c>
      <c r="M4457" s="3"/>
      <c r="N4457" s="3">
        <f t="shared" si="193"/>
        <v>0</v>
      </c>
      <c r="R4457" s="89"/>
      <c r="S4457" s="89">
        <f>100%-Table34[[#This Row],[PDF_initial fee]]</f>
        <v>1</v>
      </c>
      <c r="T4457" s="89"/>
      <c r="U4457" s="26"/>
    </row>
    <row r="4458" spans="1:21" hidden="1" x14ac:dyDescent="0.25">
      <c r="A4458">
        <v>802286</v>
      </c>
      <c r="B4458" t="s">
        <v>4855</v>
      </c>
      <c r="C4458" t="s">
        <v>11088</v>
      </c>
      <c r="D4458">
        <v>1</v>
      </c>
      <c r="E4458" t="s">
        <v>4855</v>
      </c>
      <c r="G4458" s="3"/>
      <c r="H4458" s="3"/>
      <c r="I4458" s="3"/>
      <c r="J4458" s="3"/>
      <c r="K4458" s="3"/>
      <c r="L4458" s="3">
        <f t="shared" si="192"/>
        <v>0</v>
      </c>
      <c r="M4458" s="3"/>
      <c r="N4458" s="3">
        <f t="shared" si="193"/>
        <v>0</v>
      </c>
      <c r="R4458" s="89"/>
      <c r="S4458" s="89">
        <f>100%-Table34[[#This Row],[PDF_initial fee]]</f>
        <v>1</v>
      </c>
      <c r="T4458" s="89"/>
      <c r="U4458" s="26"/>
    </row>
    <row r="4459" spans="1:21" hidden="1" x14ac:dyDescent="0.25">
      <c r="A4459">
        <v>802331</v>
      </c>
      <c r="B4459" t="s">
        <v>4856</v>
      </c>
      <c r="C4459" t="s">
        <v>31073</v>
      </c>
      <c r="D4459">
        <v>72</v>
      </c>
      <c r="E4459" t="s">
        <v>4856</v>
      </c>
      <c r="F4459" t="s">
        <v>3</v>
      </c>
      <c r="G4459" s="3"/>
      <c r="H4459" s="3">
        <v>0</v>
      </c>
      <c r="I4459" s="3">
        <v>0</v>
      </c>
      <c r="J4459" s="3">
        <v>0</v>
      </c>
      <c r="K4459" s="3">
        <v>0</v>
      </c>
      <c r="L4459" s="3">
        <f t="shared" si="192"/>
        <v>0</v>
      </c>
      <c r="M4459" s="3"/>
      <c r="N4459" s="3">
        <f t="shared" si="193"/>
        <v>0</v>
      </c>
      <c r="R4459" s="89"/>
      <c r="S4459" s="89">
        <f>100%-Table34[[#This Row],[PDF_initial fee]]</f>
        <v>1</v>
      </c>
      <c r="T4459" s="89"/>
      <c r="U4459" s="26"/>
    </row>
    <row r="4460" spans="1:21" hidden="1" x14ac:dyDescent="0.25">
      <c r="A4460">
        <v>802394</v>
      </c>
      <c r="B4460" t="s">
        <v>4857</v>
      </c>
      <c r="C4460" t="s">
        <v>9066</v>
      </c>
      <c r="D4460">
        <v>1</v>
      </c>
      <c r="E4460" t="s">
        <v>4857</v>
      </c>
      <c r="G4460" s="3"/>
      <c r="H4460" s="21">
        <v>0</v>
      </c>
      <c r="I4460" s="21">
        <v>0</v>
      </c>
      <c r="J4460" s="21">
        <v>0</v>
      </c>
      <c r="K4460" s="21">
        <v>0</v>
      </c>
      <c r="L4460" s="3">
        <f t="shared" si="192"/>
        <v>0</v>
      </c>
      <c r="M4460" s="3"/>
      <c r="N4460" s="3">
        <f t="shared" si="193"/>
        <v>0</v>
      </c>
      <c r="R4460" s="89"/>
      <c r="S4460" s="89">
        <f>100%-Table34[[#This Row],[PDF_initial fee]]</f>
        <v>1</v>
      </c>
      <c r="T4460" s="89"/>
      <c r="U4460" s="26"/>
    </row>
    <row r="4461" spans="1:21" hidden="1" x14ac:dyDescent="0.25">
      <c r="A4461">
        <v>803247</v>
      </c>
      <c r="B4461" t="s">
        <v>4860</v>
      </c>
      <c r="C4461" t="s">
        <v>31074</v>
      </c>
      <c r="D4461">
        <v>1</v>
      </c>
      <c r="E4461" t="s">
        <v>4860</v>
      </c>
      <c r="G4461" s="3"/>
      <c r="H4461" s="3">
        <v>0</v>
      </c>
      <c r="I4461" s="3">
        <v>0</v>
      </c>
      <c r="J4461" s="3">
        <v>0</v>
      </c>
      <c r="K4461" s="3">
        <v>0</v>
      </c>
      <c r="L4461" s="3">
        <f t="shared" si="192"/>
        <v>0</v>
      </c>
      <c r="M4461" s="3"/>
      <c r="N4461" s="3">
        <f t="shared" si="193"/>
        <v>0</v>
      </c>
      <c r="R4461" s="89"/>
      <c r="S4461" s="89">
        <f>100%-Table34[[#This Row],[PDF_initial fee]]</f>
        <v>1</v>
      </c>
      <c r="T4461" s="89"/>
      <c r="U4461" s="26"/>
    </row>
    <row r="4462" spans="1:21" hidden="1" x14ac:dyDescent="0.25">
      <c r="A4462">
        <v>803413</v>
      </c>
      <c r="B4462" t="s">
        <v>4861</v>
      </c>
      <c r="C4462" t="s">
        <v>8269</v>
      </c>
      <c r="D4462">
        <v>4</v>
      </c>
      <c r="E4462" t="s">
        <v>4861</v>
      </c>
      <c r="G4462" s="3"/>
      <c r="H4462" s="21">
        <v>0</v>
      </c>
      <c r="I4462" s="21">
        <v>0</v>
      </c>
      <c r="J4462" s="21">
        <v>0</v>
      </c>
      <c r="K4462" s="21">
        <v>0</v>
      </c>
      <c r="L4462" s="3">
        <f t="shared" si="192"/>
        <v>0</v>
      </c>
      <c r="M4462" s="3"/>
      <c r="N4462" s="3">
        <f t="shared" si="193"/>
        <v>0</v>
      </c>
      <c r="R4462" s="89"/>
      <c r="S4462" s="89">
        <f>100%-Table34[[#This Row],[PDF_initial fee]]</f>
        <v>1</v>
      </c>
      <c r="T4462" s="89"/>
      <c r="U4462" s="26"/>
    </row>
    <row r="4463" spans="1:21" hidden="1" x14ac:dyDescent="0.25">
      <c r="A4463">
        <v>803509</v>
      </c>
      <c r="B4463" t="s">
        <v>4862</v>
      </c>
      <c r="C4463" t="s">
        <v>31075</v>
      </c>
      <c r="D4463">
        <v>2</v>
      </c>
      <c r="E4463" t="s">
        <v>4862</v>
      </c>
      <c r="G4463" s="3"/>
      <c r="H4463" s="3">
        <v>0</v>
      </c>
      <c r="I4463" s="3">
        <v>0</v>
      </c>
      <c r="J4463" s="3">
        <v>0</v>
      </c>
      <c r="K4463" s="3">
        <v>0</v>
      </c>
      <c r="L4463" s="3">
        <f t="shared" si="192"/>
        <v>0</v>
      </c>
      <c r="M4463" s="3"/>
      <c r="N4463" s="3">
        <f t="shared" si="193"/>
        <v>0</v>
      </c>
      <c r="R4463" s="89"/>
      <c r="S4463" s="89">
        <f>100%-Table34[[#This Row],[PDF_initial fee]]</f>
        <v>1</v>
      </c>
      <c r="T4463" s="89"/>
      <c r="U4463" s="26"/>
    </row>
    <row r="4464" spans="1:21" hidden="1" x14ac:dyDescent="0.25">
      <c r="A4464">
        <v>803565</v>
      </c>
      <c r="B4464" t="s">
        <v>4863</v>
      </c>
      <c r="C4464" t="s">
        <v>10552</v>
      </c>
      <c r="D4464">
        <v>1</v>
      </c>
      <c r="E4464" t="s">
        <v>4863</v>
      </c>
      <c r="G4464" s="3"/>
      <c r="H4464" s="3">
        <v>0</v>
      </c>
      <c r="I4464" s="3">
        <v>0</v>
      </c>
      <c r="J4464" s="3">
        <v>0</v>
      </c>
      <c r="K4464" s="3">
        <v>0</v>
      </c>
      <c r="L4464" s="3">
        <f t="shared" si="192"/>
        <v>0</v>
      </c>
      <c r="M4464" s="3"/>
      <c r="N4464" s="3">
        <f t="shared" si="193"/>
        <v>0</v>
      </c>
      <c r="R4464" s="89"/>
      <c r="S4464" s="89">
        <f>100%-Table34[[#This Row],[PDF_initial fee]]</f>
        <v>1</v>
      </c>
      <c r="T4464" s="89"/>
      <c r="U4464" s="26"/>
    </row>
    <row r="4465" spans="1:27" hidden="1" x14ac:dyDescent="0.25">
      <c r="A4465">
        <v>803600</v>
      </c>
      <c r="B4465" t="s">
        <v>4864</v>
      </c>
      <c r="C4465" t="s">
        <v>9994</v>
      </c>
      <c r="D4465">
        <v>5</v>
      </c>
      <c r="E4465" t="s">
        <v>4864</v>
      </c>
      <c r="G4465" s="3"/>
      <c r="H4465" s="3"/>
      <c r="I4465" s="3"/>
      <c r="J4465" s="3"/>
      <c r="K4465" s="3"/>
      <c r="L4465" s="3">
        <f t="shared" si="192"/>
        <v>0</v>
      </c>
      <c r="M4465" s="3"/>
      <c r="N4465" s="3">
        <f t="shared" si="193"/>
        <v>0</v>
      </c>
      <c r="R4465" s="89"/>
      <c r="S4465" s="89">
        <f>100%-Table34[[#This Row],[PDF_initial fee]]</f>
        <v>1</v>
      </c>
      <c r="T4465" s="89"/>
      <c r="U4465" s="26"/>
    </row>
    <row r="4466" spans="1:27" hidden="1" x14ac:dyDescent="0.25">
      <c r="A4466">
        <v>803673</v>
      </c>
      <c r="B4466" t="s">
        <v>4865</v>
      </c>
      <c r="C4466" t="s">
        <v>31076</v>
      </c>
      <c r="D4466">
        <v>1</v>
      </c>
      <c r="E4466" t="s">
        <v>4865</v>
      </c>
      <c r="G4466" s="3"/>
      <c r="H4466" s="21">
        <v>0</v>
      </c>
      <c r="I4466" s="21">
        <v>0</v>
      </c>
      <c r="J4466" s="21">
        <v>0</v>
      </c>
      <c r="K4466" s="21">
        <v>0</v>
      </c>
      <c r="L4466" s="3">
        <f t="shared" si="192"/>
        <v>0</v>
      </c>
      <c r="M4466" s="3"/>
      <c r="N4466" s="3">
        <f t="shared" si="193"/>
        <v>0</v>
      </c>
      <c r="O4466" s="21"/>
      <c r="R4466" s="89"/>
      <c r="S4466" s="89">
        <f>100%-Table34[[#This Row],[PDF_initial fee]]</f>
        <v>1</v>
      </c>
      <c r="T4466" s="89"/>
      <c r="U4466" s="26"/>
    </row>
    <row r="4467" spans="1:27" hidden="1" x14ac:dyDescent="0.25">
      <c r="A4467">
        <v>804133</v>
      </c>
      <c r="B4467" t="s">
        <v>4866</v>
      </c>
      <c r="C4467" t="s">
        <v>12618</v>
      </c>
      <c r="D4467">
        <v>2</v>
      </c>
      <c r="E4467" t="s">
        <v>4866</v>
      </c>
      <c r="G4467" s="3"/>
      <c r="H4467" s="3">
        <v>0</v>
      </c>
      <c r="I4467" s="3">
        <v>0</v>
      </c>
      <c r="J4467" s="3">
        <v>0</v>
      </c>
      <c r="K4467" s="3">
        <v>0</v>
      </c>
      <c r="L4467" s="3">
        <f t="shared" si="192"/>
        <v>0</v>
      </c>
      <c r="M4467" s="3"/>
      <c r="N4467" s="3">
        <f t="shared" si="193"/>
        <v>0</v>
      </c>
      <c r="R4467" s="89"/>
      <c r="S4467" s="89">
        <f>100%-Table34[[#This Row],[PDF_initial fee]]</f>
        <v>1</v>
      </c>
      <c r="T4467" s="89"/>
      <c r="U4467" s="26"/>
    </row>
    <row r="4468" spans="1:27" hidden="1" x14ac:dyDescent="0.25">
      <c r="A4468">
        <v>804499</v>
      </c>
      <c r="B4468" t="s">
        <v>4867</v>
      </c>
      <c r="C4468" t="s">
        <v>31077</v>
      </c>
      <c r="D4468">
        <v>5</v>
      </c>
      <c r="E4468" t="s">
        <v>4867</v>
      </c>
      <c r="G4468" s="3"/>
      <c r="H4468" s="3">
        <v>0</v>
      </c>
      <c r="I4468" s="3">
        <v>0</v>
      </c>
      <c r="J4468" s="3">
        <v>0</v>
      </c>
      <c r="K4468" s="3">
        <v>0</v>
      </c>
      <c r="L4468" s="3">
        <f t="shared" si="192"/>
        <v>0</v>
      </c>
      <c r="M4468" s="3"/>
      <c r="N4468" s="3">
        <f t="shared" si="193"/>
        <v>0</v>
      </c>
      <c r="R4468" s="89"/>
      <c r="S4468" s="89">
        <f>100%-Table34[[#This Row],[PDF_initial fee]]</f>
        <v>1</v>
      </c>
      <c r="T4468" s="89"/>
      <c r="U4468" s="26"/>
    </row>
    <row r="4469" spans="1:27" hidden="1" x14ac:dyDescent="0.25">
      <c r="A4469">
        <v>804598</v>
      </c>
      <c r="B4469" t="s">
        <v>4868</v>
      </c>
      <c r="C4469" t="s">
        <v>11780</v>
      </c>
      <c r="D4469">
        <v>3</v>
      </c>
      <c r="E4469" t="s">
        <v>4868</v>
      </c>
      <c r="G4469" s="3"/>
      <c r="H4469" s="3">
        <v>0</v>
      </c>
      <c r="I4469" s="3">
        <v>0</v>
      </c>
      <c r="J4469" s="3">
        <v>0</v>
      </c>
      <c r="K4469" s="3">
        <v>0</v>
      </c>
      <c r="L4469" s="3">
        <f t="shared" si="192"/>
        <v>0</v>
      </c>
      <c r="M4469" s="3"/>
      <c r="N4469" s="3">
        <f t="shared" si="193"/>
        <v>0</v>
      </c>
      <c r="R4469" s="89"/>
      <c r="S4469" s="89">
        <f>100%-Table34[[#This Row],[PDF_initial fee]]</f>
        <v>1</v>
      </c>
      <c r="T4469" s="89"/>
      <c r="U4469" s="26"/>
    </row>
    <row r="4470" spans="1:27" hidden="1" x14ac:dyDescent="0.25">
      <c r="A4470">
        <v>804805</v>
      </c>
      <c r="B4470" t="s">
        <v>4869</v>
      </c>
      <c r="C4470" t="s">
        <v>6958</v>
      </c>
      <c r="D4470">
        <v>1</v>
      </c>
      <c r="E4470" t="s">
        <v>4869</v>
      </c>
      <c r="F4470" t="s">
        <v>6958</v>
      </c>
      <c r="G4470" s="3"/>
      <c r="H4470" s="21">
        <v>0</v>
      </c>
      <c r="I4470" s="21">
        <v>0</v>
      </c>
      <c r="J4470" s="21">
        <v>0</v>
      </c>
      <c r="K4470" s="21">
        <v>0</v>
      </c>
      <c r="L4470" s="3">
        <f t="shared" si="192"/>
        <v>0</v>
      </c>
      <c r="M4470" s="3"/>
      <c r="N4470" s="3">
        <f t="shared" si="193"/>
        <v>0</v>
      </c>
      <c r="R4470" s="89"/>
      <c r="S4470" s="89">
        <f>100%-Table34[[#This Row],[PDF_initial fee]]</f>
        <v>1</v>
      </c>
      <c r="T4470" s="89"/>
      <c r="U4470" s="26"/>
    </row>
    <row r="4471" spans="1:27" hidden="1" x14ac:dyDescent="0.25">
      <c r="A4471">
        <v>804808</v>
      </c>
      <c r="B4471" t="s">
        <v>4870</v>
      </c>
      <c r="C4471" t="s">
        <v>8591</v>
      </c>
      <c r="D4471">
        <v>1</v>
      </c>
      <c r="E4471" t="s">
        <v>4870</v>
      </c>
      <c r="G4471" s="3"/>
      <c r="H4471" s="21">
        <v>0</v>
      </c>
      <c r="I4471" s="21">
        <v>0</v>
      </c>
      <c r="J4471" s="21">
        <v>0</v>
      </c>
      <c r="K4471" s="21">
        <v>0</v>
      </c>
      <c r="L4471" s="3">
        <f t="shared" si="192"/>
        <v>0</v>
      </c>
      <c r="M4471" s="3"/>
      <c r="N4471" s="3">
        <f t="shared" si="193"/>
        <v>0</v>
      </c>
      <c r="R4471" s="89"/>
      <c r="S4471" s="89">
        <f>100%-Table34[[#This Row],[PDF_initial fee]]</f>
        <v>1</v>
      </c>
      <c r="T4471" s="89"/>
      <c r="U4471" s="26"/>
    </row>
    <row r="4472" spans="1:27" hidden="1" x14ac:dyDescent="0.25">
      <c r="A4472">
        <v>804844</v>
      </c>
      <c r="B4472" t="s">
        <v>4871</v>
      </c>
      <c r="C4472" t="s">
        <v>6958</v>
      </c>
      <c r="D4472">
        <v>2</v>
      </c>
      <c r="E4472" t="s">
        <v>4871</v>
      </c>
      <c r="F4472" t="s">
        <v>6958</v>
      </c>
      <c r="G4472" s="3"/>
      <c r="H4472" s="21">
        <v>0</v>
      </c>
      <c r="I4472" s="21">
        <v>0</v>
      </c>
      <c r="J4472" s="21">
        <v>0</v>
      </c>
      <c r="K4472" s="21">
        <v>0</v>
      </c>
      <c r="L4472" s="3">
        <f t="shared" si="192"/>
        <v>0</v>
      </c>
      <c r="M4472" s="3"/>
      <c r="N4472" s="3">
        <f t="shared" si="193"/>
        <v>0</v>
      </c>
      <c r="R4472" s="89"/>
      <c r="S4472" s="89">
        <f>100%-Table34[[#This Row],[PDF_initial fee]]</f>
        <v>1</v>
      </c>
      <c r="T4472" s="89"/>
      <c r="U4472" s="26"/>
    </row>
    <row r="4473" spans="1:27" hidden="1" x14ac:dyDescent="0.25">
      <c r="A4473">
        <v>804989</v>
      </c>
      <c r="B4473" t="s">
        <v>4872</v>
      </c>
      <c r="C4473" s="1" t="s">
        <v>31078</v>
      </c>
      <c r="D4473">
        <v>2</v>
      </c>
      <c r="E4473" t="s">
        <v>4872</v>
      </c>
      <c r="G4473" s="3"/>
      <c r="H4473" s="3">
        <v>0</v>
      </c>
      <c r="I4473" s="3">
        <v>0</v>
      </c>
      <c r="J4473" s="3">
        <v>0</v>
      </c>
      <c r="K4473" s="3">
        <v>0</v>
      </c>
      <c r="L4473" s="3">
        <f t="shared" si="192"/>
        <v>0</v>
      </c>
      <c r="M4473" s="3"/>
      <c r="N4473" s="3">
        <f t="shared" si="193"/>
        <v>0</v>
      </c>
      <c r="R4473" s="89"/>
      <c r="S4473" s="89">
        <f>100%-Table34[[#This Row],[PDF_initial fee]]</f>
        <v>1</v>
      </c>
      <c r="T4473" s="89"/>
      <c r="U4473" s="26"/>
    </row>
    <row r="4474" spans="1:27" hidden="1" x14ac:dyDescent="0.25">
      <c r="A4474">
        <v>804990</v>
      </c>
      <c r="B4474" t="s">
        <v>4873</v>
      </c>
      <c r="C4474" t="s">
        <v>6958</v>
      </c>
      <c r="D4474">
        <v>0</v>
      </c>
      <c r="E4474" t="s">
        <v>4873</v>
      </c>
      <c r="F4474" t="s">
        <v>6958</v>
      </c>
      <c r="G4474" s="3"/>
      <c r="H4474" s="21">
        <v>0</v>
      </c>
      <c r="I4474" s="21">
        <v>0</v>
      </c>
      <c r="J4474" s="21">
        <v>0</v>
      </c>
      <c r="K4474" s="21">
        <v>0</v>
      </c>
      <c r="L4474" s="3">
        <f t="shared" si="192"/>
        <v>0</v>
      </c>
      <c r="M4474" s="3"/>
      <c r="N4474" s="3">
        <f t="shared" si="193"/>
        <v>0</v>
      </c>
      <c r="R4474" s="89"/>
      <c r="S4474" s="89">
        <f>100%-Table34[[#This Row],[PDF_initial fee]]</f>
        <v>1</v>
      </c>
      <c r="T4474" s="89"/>
      <c r="U4474" s="26"/>
    </row>
    <row r="4475" spans="1:27" hidden="1" x14ac:dyDescent="0.25">
      <c r="A4475">
        <v>805089</v>
      </c>
      <c r="B4475" t="s">
        <v>4874</v>
      </c>
      <c r="C4475" t="s">
        <v>6958</v>
      </c>
      <c r="D4475">
        <v>2</v>
      </c>
      <c r="E4475" t="s">
        <v>4874</v>
      </c>
      <c r="F4475" t="s">
        <v>6958</v>
      </c>
      <c r="G4475" s="3"/>
      <c r="L4475" s="3">
        <f t="shared" si="192"/>
        <v>0</v>
      </c>
      <c r="M4475" s="3"/>
      <c r="N4475" s="3">
        <f t="shared" si="193"/>
        <v>0</v>
      </c>
      <c r="R4475" s="89"/>
      <c r="S4475" s="89">
        <f>100%-Table34[[#This Row],[PDF_initial fee]]</f>
        <v>1</v>
      </c>
      <c r="T4475" s="89"/>
      <c r="U4475" s="26"/>
    </row>
    <row r="4476" spans="1:27" x14ac:dyDescent="0.25">
      <c r="A4476">
        <v>433927</v>
      </c>
      <c r="B4476" t="s">
        <v>157</v>
      </c>
      <c r="C4476" t="s">
        <v>9464</v>
      </c>
      <c r="D4476">
        <v>37</v>
      </c>
      <c r="E4476" t="s">
        <v>157</v>
      </c>
      <c r="F4476" t="s">
        <v>3</v>
      </c>
      <c r="G4476" s="3">
        <v>1.4E-3</v>
      </c>
      <c r="H4476" s="3">
        <f>(1.495%+4%)/2</f>
        <v>2.7474999999999999E-2</v>
      </c>
      <c r="I4476" s="3">
        <v>0.01</v>
      </c>
      <c r="J4476" s="6"/>
      <c r="K4476" s="6"/>
      <c r="L4476" s="3">
        <f t="shared" si="192"/>
        <v>3.7475000000000001E-2</v>
      </c>
      <c r="M4476" s="3"/>
      <c r="N4476" s="3">
        <f t="shared" si="193"/>
        <v>3.8875E-2</v>
      </c>
      <c r="P4476" s="1" t="s">
        <v>31079</v>
      </c>
      <c r="Q4476" t="s">
        <v>31787</v>
      </c>
      <c r="R4476" s="89">
        <v>0.33333333333333348</v>
      </c>
      <c r="S4476" s="89">
        <f>100%-Table34[[#This Row],[InitialFee]]</f>
        <v>0.97252499999999997</v>
      </c>
      <c r="T4476" s="89">
        <f>(1-Table34[[#This Row],[OngoingFee (plus Platform fee)]])^5</f>
        <v>0.95099004989999991</v>
      </c>
      <c r="U4476" s="26">
        <f>(1+Table34[[#This Row],[Net 5yrs return (mostly up to 28th of Feb 2026)]])*Table34[[#This Row],[Investment after initial charge]]*Table34[[#This Row],[Cummulative 5yrs ongoing advice charge]]-1</f>
        <v>0.23314879770533015</v>
      </c>
      <c r="V4476" s="10">
        <v>2823902</v>
      </c>
      <c r="W4476" t="s">
        <v>29051</v>
      </c>
      <c r="X4476" s="10">
        <v>2172235</v>
      </c>
      <c r="Y4476" s="30">
        <f>X4476/V4476</f>
        <v>0.76923172263060124</v>
      </c>
      <c r="AA4476" s="1" t="s">
        <v>31080</v>
      </c>
    </row>
    <row r="4477" spans="1:27" hidden="1" x14ac:dyDescent="0.25">
      <c r="A4477">
        <v>805570</v>
      </c>
      <c r="B4477" t="s">
        <v>4875</v>
      </c>
      <c r="C4477" t="s">
        <v>9222</v>
      </c>
      <c r="D4477">
        <v>1</v>
      </c>
      <c r="E4477" t="s">
        <v>4875</v>
      </c>
      <c r="G4477" s="3"/>
      <c r="H4477" s="21">
        <v>0</v>
      </c>
      <c r="I4477" s="21">
        <v>0</v>
      </c>
      <c r="J4477" s="21">
        <v>0</v>
      </c>
      <c r="K4477" s="21">
        <v>0</v>
      </c>
      <c r="L4477" s="3">
        <f t="shared" si="192"/>
        <v>0</v>
      </c>
      <c r="M4477" s="3"/>
      <c r="N4477" s="3">
        <f t="shared" si="193"/>
        <v>0</v>
      </c>
      <c r="R4477" s="89"/>
      <c r="S4477" s="89">
        <f>100%-Table34[[#This Row],[PDF_initial fee]]</f>
        <v>1</v>
      </c>
      <c r="T4477" s="89"/>
      <c r="U4477" s="26"/>
    </row>
    <row r="4478" spans="1:27" hidden="1" x14ac:dyDescent="0.25">
      <c r="A4478">
        <v>805574</v>
      </c>
      <c r="B4478" t="s">
        <v>4876</v>
      </c>
      <c r="C4478" t="s">
        <v>6958</v>
      </c>
      <c r="D4478">
        <v>17</v>
      </c>
      <c r="E4478" t="s">
        <v>4876</v>
      </c>
      <c r="F4478" t="s">
        <v>6</v>
      </c>
      <c r="G4478" s="3">
        <v>1.2500000000000001E-2</v>
      </c>
      <c r="H4478" s="44"/>
      <c r="I4478" s="21">
        <v>0</v>
      </c>
      <c r="J4478" s="44">
        <f>5.75%/2</f>
        <v>2.8750000000000001E-2</v>
      </c>
      <c r="K4478" s="21">
        <v>0</v>
      </c>
      <c r="L4478" s="3">
        <f t="shared" si="192"/>
        <v>2.8750000000000001E-2</v>
      </c>
      <c r="M4478" s="3"/>
      <c r="N4478" s="3">
        <f t="shared" si="193"/>
        <v>4.1250000000000002E-2</v>
      </c>
      <c r="O4478" t="s">
        <v>29202</v>
      </c>
      <c r="P4478" s="1" t="s">
        <v>29203</v>
      </c>
      <c r="Q4478" s="1" t="s">
        <v>29204</v>
      </c>
      <c r="R4478" s="89"/>
      <c r="S4478" s="89">
        <f>100%-Table34[[#This Row],[PDF_initial fee]]</f>
        <v>0.97124999999999995</v>
      </c>
      <c r="T4478" s="89"/>
      <c r="U4478" s="26"/>
      <c r="V4478" s="10">
        <v>684629000</v>
      </c>
      <c r="W4478" t="s">
        <v>29081</v>
      </c>
      <c r="X4478" s="10">
        <v>517960000</v>
      </c>
      <c r="Y4478" s="30">
        <f>Table34[[#This Row],[Total Asset]]/Table34[[#This Row],[Net Asset]]</f>
        <v>1.3217796741061085</v>
      </c>
      <c r="AA4478" s="1" t="s">
        <v>29205</v>
      </c>
    </row>
    <row r="4479" spans="1:27" hidden="1" x14ac:dyDescent="0.25">
      <c r="A4479">
        <v>806141</v>
      </c>
      <c r="B4479" t="s">
        <v>4877</v>
      </c>
      <c r="C4479" t="s">
        <v>6958</v>
      </c>
      <c r="D4479">
        <v>1</v>
      </c>
      <c r="E4479" t="s">
        <v>4877</v>
      </c>
      <c r="F4479" t="s">
        <v>6958</v>
      </c>
      <c r="G4479" s="3"/>
      <c r="H4479" s="21">
        <v>0</v>
      </c>
      <c r="I4479" s="21">
        <v>0</v>
      </c>
      <c r="J4479" s="21">
        <v>0</v>
      </c>
      <c r="K4479" s="21">
        <v>0</v>
      </c>
      <c r="L4479" s="3">
        <f t="shared" si="192"/>
        <v>0</v>
      </c>
      <c r="M4479" s="3"/>
      <c r="N4479" s="3">
        <f t="shared" si="193"/>
        <v>0</v>
      </c>
      <c r="R4479" s="89"/>
      <c r="S4479" s="89">
        <f>100%-Table34[[#This Row],[PDF_initial fee]]</f>
        <v>1</v>
      </c>
      <c r="T4479" s="89"/>
      <c r="U4479" s="26"/>
    </row>
    <row r="4480" spans="1:27" hidden="1" x14ac:dyDescent="0.25">
      <c r="A4480">
        <v>806354</v>
      </c>
      <c r="B4480" t="s">
        <v>4878</v>
      </c>
      <c r="C4480" t="s">
        <v>12470</v>
      </c>
      <c r="D4480">
        <v>5</v>
      </c>
      <c r="E4480" t="s">
        <v>4878</v>
      </c>
      <c r="G4480" s="3"/>
      <c r="H4480" s="3">
        <v>0</v>
      </c>
      <c r="I4480" s="3">
        <v>0</v>
      </c>
      <c r="J4480" s="3">
        <v>0</v>
      </c>
      <c r="K4480" s="3">
        <v>0</v>
      </c>
      <c r="L4480" s="3">
        <f t="shared" si="192"/>
        <v>0</v>
      </c>
      <c r="M4480" s="3"/>
      <c r="N4480" s="3">
        <f t="shared" si="193"/>
        <v>0</v>
      </c>
      <c r="R4480" s="89"/>
      <c r="S4480" s="89">
        <f>100%-Table34[[#This Row],[PDF_initial fee]]</f>
        <v>1</v>
      </c>
      <c r="T4480" s="89"/>
      <c r="U4480" s="26"/>
    </row>
    <row r="4481" spans="1:29" hidden="1" x14ac:dyDescent="0.25">
      <c r="A4481">
        <v>806366</v>
      </c>
      <c r="B4481" t="s">
        <v>4879</v>
      </c>
      <c r="C4481" t="s">
        <v>9124</v>
      </c>
      <c r="D4481">
        <v>2</v>
      </c>
      <c r="E4481" t="s">
        <v>4879</v>
      </c>
      <c r="G4481" s="3"/>
      <c r="H4481" s="21">
        <v>0</v>
      </c>
      <c r="I4481" s="21">
        <v>0</v>
      </c>
      <c r="J4481" s="21">
        <v>0</v>
      </c>
      <c r="K4481" s="21">
        <v>0</v>
      </c>
      <c r="L4481" s="3">
        <f t="shared" si="192"/>
        <v>0</v>
      </c>
      <c r="M4481" s="3"/>
      <c r="N4481" s="3">
        <f t="shared" si="193"/>
        <v>0</v>
      </c>
      <c r="R4481" s="89"/>
      <c r="S4481" s="89">
        <f>100%-Table34[[#This Row],[PDF_initial fee]]</f>
        <v>1</v>
      </c>
      <c r="T4481" s="89"/>
      <c r="U4481" s="26"/>
    </row>
    <row r="4482" spans="1:29" hidden="1" x14ac:dyDescent="0.25">
      <c r="A4482">
        <v>806424</v>
      </c>
      <c r="B4482" t="s">
        <v>4880</v>
      </c>
      <c r="C4482" t="s">
        <v>6958</v>
      </c>
      <c r="D4482">
        <v>1</v>
      </c>
      <c r="E4482" t="s">
        <v>4880</v>
      </c>
      <c r="F4482" t="s">
        <v>6958</v>
      </c>
      <c r="G4482" s="3"/>
      <c r="L4482" s="3">
        <f t="shared" si="192"/>
        <v>0</v>
      </c>
      <c r="M4482" s="3"/>
      <c r="N4482" s="3">
        <f t="shared" si="193"/>
        <v>0</v>
      </c>
      <c r="R4482" s="89"/>
      <c r="S4482" s="89">
        <f>100%-Table34[[#This Row],[PDF_initial fee]]</f>
        <v>1</v>
      </c>
      <c r="T4482" s="89"/>
      <c r="U4482" s="26"/>
    </row>
    <row r="4483" spans="1:29" hidden="1" x14ac:dyDescent="0.25">
      <c r="A4483">
        <v>806587</v>
      </c>
      <c r="B4483" t="s">
        <v>4881</v>
      </c>
      <c r="C4483" t="s">
        <v>8410</v>
      </c>
      <c r="D4483">
        <v>2</v>
      </c>
      <c r="E4483" t="s">
        <v>4881</v>
      </c>
      <c r="G4483" s="3"/>
      <c r="H4483" s="21">
        <v>0</v>
      </c>
      <c r="I4483" s="21">
        <v>0</v>
      </c>
      <c r="J4483" s="21">
        <v>0</v>
      </c>
      <c r="K4483" s="21">
        <v>0</v>
      </c>
      <c r="L4483" s="3">
        <f t="shared" si="192"/>
        <v>0</v>
      </c>
      <c r="M4483" s="3"/>
      <c r="N4483" s="3">
        <f t="shared" si="193"/>
        <v>0</v>
      </c>
      <c r="R4483" s="89"/>
      <c r="S4483" s="89">
        <f>100%-Table34[[#This Row],[PDF_initial fee]]</f>
        <v>1</v>
      </c>
      <c r="T4483" s="89"/>
      <c r="U4483" s="26"/>
    </row>
    <row r="4484" spans="1:29" hidden="1" x14ac:dyDescent="0.25">
      <c r="A4484">
        <v>806626</v>
      </c>
      <c r="B4484" t="s">
        <v>4882</v>
      </c>
      <c r="C4484" t="s">
        <v>6958</v>
      </c>
      <c r="D4484">
        <v>2</v>
      </c>
      <c r="E4484" t="s">
        <v>4882</v>
      </c>
      <c r="F4484" t="s">
        <v>6958</v>
      </c>
      <c r="G4484" s="3"/>
      <c r="H4484" s="21">
        <v>0</v>
      </c>
      <c r="I4484" s="21">
        <v>0</v>
      </c>
      <c r="J4484" s="21">
        <v>0</v>
      </c>
      <c r="K4484" s="21">
        <v>0</v>
      </c>
      <c r="L4484" s="3">
        <f t="shared" si="192"/>
        <v>0</v>
      </c>
      <c r="M4484" s="3"/>
      <c r="N4484" s="3">
        <f t="shared" si="193"/>
        <v>0</v>
      </c>
      <c r="R4484" s="89"/>
      <c r="S4484" s="89">
        <f>100%-Table34[[#This Row],[PDF_initial fee]]</f>
        <v>1</v>
      </c>
      <c r="T4484" s="89"/>
      <c r="U4484" s="26"/>
    </row>
    <row r="4485" spans="1:29" x14ac:dyDescent="0.25">
      <c r="A4485">
        <v>662544</v>
      </c>
      <c r="B4485" t="s">
        <v>264</v>
      </c>
      <c r="C4485" t="s">
        <v>10079</v>
      </c>
      <c r="D4485">
        <v>2</v>
      </c>
      <c r="E4485" t="s">
        <v>264</v>
      </c>
      <c r="F4485" t="s">
        <v>3</v>
      </c>
      <c r="G4485" s="3">
        <v>1.4E-3</v>
      </c>
      <c r="H4485" s="3"/>
      <c r="I4485" s="3">
        <v>7.4999999999999997E-3</v>
      </c>
      <c r="J4485" s="6">
        <v>0</v>
      </c>
      <c r="K4485" s="3"/>
      <c r="L4485" s="6">
        <f t="shared" si="192"/>
        <v>7.4999999999999997E-3</v>
      </c>
      <c r="M4485" s="6"/>
      <c r="N4485" s="3">
        <f t="shared" si="193"/>
        <v>8.8999999999999999E-3</v>
      </c>
      <c r="O4485" t="s">
        <v>31081</v>
      </c>
      <c r="P4485" s="1" t="s">
        <v>31082</v>
      </c>
      <c r="Q4485" t="s">
        <v>31787</v>
      </c>
      <c r="R4485" s="89">
        <v>0.33333333333333348</v>
      </c>
      <c r="S4485" s="99">
        <f>100%-Table34[[#This Row],[InitialFee]]</f>
        <v>1</v>
      </c>
      <c r="T4485" s="99">
        <f>(1-Table34[[#This Row],[OngoingFee (plus Platform fee)]])^5</f>
        <v>0.9630582970465823</v>
      </c>
      <c r="U4485" s="26">
        <f>(1+Table34[[#This Row],[Net 5yrs return (mostly up to 28th of Feb 2026)]])*Table34[[#This Row],[Investment after initial charge]]*Table34[[#This Row],[Cummulative 5yrs ongoing advice charge]]-1</f>
        <v>0.28407772939544329</v>
      </c>
      <c r="V4485" s="9">
        <f>X4485+276521</f>
        <v>563279</v>
      </c>
      <c r="W4485" t="s">
        <v>29051</v>
      </c>
      <c r="X4485" s="9">
        <v>286758</v>
      </c>
      <c r="Y4485" s="30">
        <f>X4485/V4485</f>
        <v>0.50908697111023138</v>
      </c>
      <c r="AA4485" s="1" t="s">
        <v>31083</v>
      </c>
      <c r="AC4485" t="s">
        <v>29329</v>
      </c>
    </row>
    <row r="4486" spans="1:29" hidden="1" x14ac:dyDescent="0.25">
      <c r="A4486">
        <v>806852</v>
      </c>
      <c r="B4486" t="s">
        <v>4884</v>
      </c>
      <c r="C4486" t="s">
        <v>31084</v>
      </c>
      <c r="D4486">
        <v>0</v>
      </c>
      <c r="E4486" t="s">
        <v>4884</v>
      </c>
      <c r="F4486" t="s">
        <v>29136</v>
      </c>
      <c r="G4486" s="3"/>
      <c r="H4486" s="21">
        <v>0</v>
      </c>
      <c r="I4486" s="21">
        <v>0</v>
      </c>
      <c r="J4486" s="21">
        <v>0</v>
      </c>
      <c r="K4486" s="21">
        <v>0</v>
      </c>
      <c r="L4486" s="3">
        <f t="shared" si="192"/>
        <v>0</v>
      </c>
      <c r="M4486" s="3"/>
      <c r="N4486" s="3">
        <f t="shared" si="193"/>
        <v>0</v>
      </c>
      <c r="O4486" s="21"/>
      <c r="R4486" s="89"/>
      <c r="S4486" s="89">
        <f>100%-Table34[[#This Row],[PDF_initial fee]]</f>
        <v>1</v>
      </c>
      <c r="T4486" s="89"/>
      <c r="U4486" s="26"/>
    </row>
    <row r="4487" spans="1:29" hidden="1" x14ac:dyDescent="0.25">
      <c r="A4487">
        <v>807084</v>
      </c>
      <c r="B4487" t="s">
        <v>4885</v>
      </c>
      <c r="C4487" t="s">
        <v>6958</v>
      </c>
      <c r="D4487">
        <v>4</v>
      </c>
      <c r="E4487" t="s">
        <v>4885</v>
      </c>
      <c r="F4487" t="s">
        <v>6958</v>
      </c>
      <c r="G4487" s="3"/>
      <c r="H4487" s="21">
        <v>0</v>
      </c>
      <c r="I4487" s="21">
        <v>0</v>
      </c>
      <c r="J4487" s="21">
        <v>0</v>
      </c>
      <c r="K4487" s="21">
        <v>0</v>
      </c>
      <c r="L4487" s="3">
        <f t="shared" ref="L4487:L4550" si="194">SUM(H4487:K4487)</f>
        <v>0</v>
      </c>
      <c r="M4487" s="3"/>
      <c r="N4487" s="3">
        <f t="shared" ref="N4487:N4550" si="195">L4487+G4487</f>
        <v>0</v>
      </c>
      <c r="R4487" s="89"/>
      <c r="S4487" s="89">
        <f>100%-Table34[[#This Row],[PDF_initial fee]]</f>
        <v>1</v>
      </c>
      <c r="T4487" s="89"/>
      <c r="U4487" s="26"/>
    </row>
    <row r="4488" spans="1:29" hidden="1" x14ac:dyDescent="0.25">
      <c r="A4488">
        <v>807219</v>
      </c>
      <c r="B4488" t="s">
        <v>4886</v>
      </c>
      <c r="C4488" t="s">
        <v>31085</v>
      </c>
      <c r="D4488">
        <v>1</v>
      </c>
      <c r="E4488" t="s">
        <v>4886</v>
      </c>
      <c r="G4488" s="3"/>
      <c r="H4488" s="21">
        <v>0</v>
      </c>
      <c r="I4488" s="21">
        <v>0</v>
      </c>
      <c r="J4488" s="21">
        <v>0</v>
      </c>
      <c r="K4488" s="21">
        <v>0</v>
      </c>
      <c r="L4488" s="3">
        <f t="shared" si="194"/>
        <v>0</v>
      </c>
      <c r="M4488" s="3"/>
      <c r="N4488" s="3">
        <f t="shared" si="195"/>
        <v>0</v>
      </c>
      <c r="O4488" s="21"/>
      <c r="R4488" s="89"/>
      <c r="S4488" s="89">
        <f>100%-Table34[[#This Row],[PDF_initial fee]]</f>
        <v>1</v>
      </c>
      <c r="T4488" s="89"/>
      <c r="U4488" s="26"/>
    </row>
    <row r="4489" spans="1:29" hidden="1" x14ac:dyDescent="0.25">
      <c r="A4489">
        <v>807261</v>
      </c>
      <c r="B4489" t="s">
        <v>4887</v>
      </c>
      <c r="C4489" t="s">
        <v>11476</v>
      </c>
      <c r="D4489">
        <v>1</v>
      </c>
      <c r="E4489" t="s">
        <v>4887</v>
      </c>
      <c r="G4489" s="3"/>
      <c r="H4489" s="3">
        <v>0</v>
      </c>
      <c r="I4489" s="3">
        <v>0</v>
      </c>
      <c r="J4489" s="3">
        <v>0</v>
      </c>
      <c r="K4489" s="3">
        <v>0</v>
      </c>
      <c r="L4489" s="3">
        <f t="shared" si="194"/>
        <v>0</v>
      </c>
      <c r="M4489" s="3"/>
      <c r="N4489" s="3">
        <f t="shared" si="195"/>
        <v>0</v>
      </c>
      <c r="R4489" s="89"/>
      <c r="S4489" s="89">
        <f>100%-Table34[[#This Row],[PDF_initial fee]]</f>
        <v>1</v>
      </c>
      <c r="T4489" s="89"/>
      <c r="U4489" s="26"/>
    </row>
    <row r="4490" spans="1:29" hidden="1" x14ac:dyDescent="0.25">
      <c r="A4490">
        <v>807276</v>
      </c>
      <c r="B4490" t="s">
        <v>4888</v>
      </c>
      <c r="C4490" t="s">
        <v>12667</v>
      </c>
      <c r="D4490">
        <v>0</v>
      </c>
      <c r="E4490" t="s">
        <v>4888</v>
      </c>
      <c r="F4490" t="s">
        <v>29136</v>
      </c>
      <c r="G4490" s="3"/>
      <c r="H4490" s="3">
        <v>0</v>
      </c>
      <c r="I4490" s="3">
        <v>0</v>
      </c>
      <c r="J4490" s="3">
        <v>0</v>
      </c>
      <c r="K4490" s="3">
        <v>0</v>
      </c>
      <c r="L4490" s="3">
        <f t="shared" si="194"/>
        <v>0</v>
      </c>
      <c r="M4490" s="3"/>
      <c r="N4490" s="3">
        <f t="shared" si="195"/>
        <v>0</v>
      </c>
      <c r="R4490" s="89"/>
      <c r="S4490" s="89">
        <f>100%-Table34[[#This Row],[PDF_initial fee]]</f>
        <v>1</v>
      </c>
      <c r="T4490" s="89"/>
      <c r="U4490" s="26"/>
    </row>
    <row r="4491" spans="1:29" hidden="1" x14ac:dyDescent="0.25">
      <c r="A4491">
        <v>807518</v>
      </c>
      <c r="B4491" t="s">
        <v>4889</v>
      </c>
      <c r="C4491" t="s">
        <v>12528</v>
      </c>
      <c r="D4491">
        <v>1</v>
      </c>
      <c r="E4491" t="s">
        <v>4889</v>
      </c>
      <c r="G4491" s="3"/>
      <c r="H4491" s="3">
        <v>0</v>
      </c>
      <c r="I4491" s="3">
        <v>0</v>
      </c>
      <c r="J4491" s="3">
        <v>0</v>
      </c>
      <c r="K4491" s="3">
        <v>0</v>
      </c>
      <c r="L4491" s="3">
        <f t="shared" si="194"/>
        <v>0</v>
      </c>
      <c r="M4491" s="3"/>
      <c r="N4491" s="3">
        <f t="shared" si="195"/>
        <v>0</v>
      </c>
      <c r="R4491" s="89"/>
      <c r="S4491" s="89">
        <f>100%-Table34[[#This Row],[PDF_initial fee]]</f>
        <v>1</v>
      </c>
      <c r="T4491" s="89"/>
      <c r="U4491" s="26"/>
    </row>
    <row r="4492" spans="1:29" hidden="1" x14ac:dyDescent="0.25">
      <c r="A4492">
        <v>807536</v>
      </c>
      <c r="B4492" t="s">
        <v>4890</v>
      </c>
      <c r="C4492" t="s">
        <v>31086</v>
      </c>
      <c r="D4492">
        <v>2</v>
      </c>
      <c r="E4492" t="s">
        <v>4890</v>
      </c>
      <c r="G4492" s="3"/>
      <c r="H4492" s="3">
        <v>0</v>
      </c>
      <c r="I4492" s="3">
        <v>0</v>
      </c>
      <c r="J4492" s="3">
        <v>0</v>
      </c>
      <c r="K4492" s="3">
        <v>0</v>
      </c>
      <c r="L4492" s="3">
        <f t="shared" si="194"/>
        <v>0</v>
      </c>
      <c r="M4492" s="3"/>
      <c r="N4492" s="3">
        <f t="shared" si="195"/>
        <v>0</v>
      </c>
      <c r="R4492" s="89"/>
      <c r="S4492" s="89">
        <f>100%-Table34[[#This Row],[PDF_initial fee]]</f>
        <v>1</v>
      </c>
      <c r="T4492" s="89"/>
      <c r="U4492" s="26"/>
    </row>
    <row r="4493" spans="1:29" hidden="1" x14ac:dyDescent="0.25">
      <c r="A4493">
        <v>807598</v>
      </c>
      <c r="B4493" t="s">
        <v>4891</v>
      </c>
      <c r="C4493" t="s">
        <v>6958</v>
      </c>
      <c r="D4493">
        <v>2</v>
      </c>
      <c r="E4493" t="s">
        <v>4891</v>
      </c>
      <c r="F4493" t="s">
        <v>6958</v>
      </c>
      <c r="G4493" s="3"/>
      <c r="L4493" s="3">
        <f t="shared" si="194"/>
        <v>0</v>
      </c>
      <c r="M4493" s="3"/>
      <c r="N4493" s="3">
        <f t="shared" si="195"/>
        <v>0</v>
      </c>
      <c r="R4493" s="89"/>
      <c r="S4493" s="89">
        <f>100%-Table34[[#This Row],[PDF_initial fee]]</f>
        <v>1</v>
      </c>
      <c r="T4493" s="89"/>
      <c r="U4493" s="26"/>
    </row>
    <row r="4494" spans="1:29" hidden="1" x14ac:dyDescent="0.25">
      <c r="A4494">
        <v>807675</v>
      </c>
      <c r="B4494" t="s">
        <v>4892</v>
      </c>
      <c r="C4494" t="s">
        <v>31087</v>
      </c>
      <c r="D4494">
        <v>2</v>
      </c>
      <c r="E4494" t="s">
        <v>4892</v>
      </c>
      <c r="G4494" s="3"/>
      <c r="H4494" s="3">
        <v>0</v>
      </c>
      <c r="I4494" s="3">
        <v>0</v>
      </c>
      <c r="J4494" s="3">
        <v>0</v>
      </c>
      <c r="K4494" s="3">
        <v>0</v>
      </c>
      <c r="L4494" s="3">
        <f t="shared" si="194"/>
        <v>0</v>
      </c>
      <c r="M4494" s="3"/>
      <c r="N4494" s="3">
        <f t="shared" si="195"/>
        <v>0</v>
      </c>
      <c r="R4494" s="89"/>
      <c r="S4494" s="89">
        <f>100%-Table34[[#This Row],[PDF_initial fee]]</f>
        <v>1</v>
      </c>
      <c r="T4494" s="89"/>
      <c r="U4494" s="26"/>
    </row>
    <row r="4495" spans="1:29" hidden="1" x14ac:dyDescent="0.25">
      <c r="A4495">
        <v>807865</v>
      </c>
      <c r="B4495" t="s">
        <v>4893</v>
      </c>
      <c r="C4495" t="s">
        <v>6958</v>
      </c>
      <c r="D4495">
        <v>1</v>
      </c>
      <c r="E4495" t="s">
        <v>4893</v>
      </c>
      <c r="F4495" t="s">
        <v>6958</v>
      </c>
      <c r="G4495" s="3"/>
      <c r="H4495" s="21">
        <v>0</v>
      </c>
      <c r="I4495" s="21">
        <v>0</v>
      </c>
      <c r="J4495" s="21">
        <v>0</v>
      </c>
      <c r="K4495" s="21">
        <v>0</v>
      </c>
      <c r="L4495" s="3">
        <f t="shared" si="194"/>
        <v>0</v>
      </c>
      <c r="M4495" s="3"/>
      <c r="N4495" s="3">
        <f t="shared" si="195"/>
        <v>0</v>
      </c>
      <c r="R4495" s="89"/>
      <c r="S4495" s="89">
        <f>100%-Table34[[#This Row],[PDF_initial fee]]</f>
        <v>1</v>
      </c>
      <c r="T4495" s="89"/>
      <c r="U4495" s="26"/>
    </row>
    <row r="4496" spans="1:29" hidden="1" x14ac:dyDescent="0.25">
      <c r="A4496">
        <v>807947</v>
      </c>
      <c r="B4496" t="s">
        <v>4894</v>
      </c>
      <c r="C4496" t="s">
        <v>7700</v>
      </c>
      <c r="D4496">
        <v>1</v>
      </c>
      <c r="E4496" t="s">
        <v>4894</v>
      </c>
      <c r="G4496" s="3"/>
      <c r="H4496" s="21">
        <v>0</v>
      </c>
      <c r="I4496" s="21">
        <v>0</v>
      </c>
      <c r="J4496" s="21">
        <v>0</v>
      </c>
      <c r="K4496" s="21">
        <v>0</v>
      </c>
      <c r="L4496" s="3">
        <f t="shared" si="194"/>
        <v>0</v>
      </c>
      <c r="M4496" s="3"/>
      <c r="N4496" s="3">
        <f t="shared" si="195"/>
        <v>0</v>
      </c>
      <c r="R4496" s="89"/>
      <c r="S4496" s="89">
        <f>100%-Table34[[#This Row],[PDF_initial fee]]</f>
        <v>1</v>
      </c>
      <c r="T4496" s="89"/>
      <c r="U4496" s="26"/>
    </row>
    <row r="4497" spans="1:21" hidden="1" x14ac:dyDescent="0.25">
      <c r="A4497">
        <v>808678</v>
      </c>
      <c r="B4497" t="s">
        <v>4895</v>
      </c>
      <c r="C4497" t="s">
        <v>7091</v>
      </c>
      <c r="D4497">
        <v>2</v>
      </c>
      <c r="E4497" t="s">
        <v>4895</v>
      </c>
      <c r="G4497" s="3"/>
      <c r="H4497" s="21">
        <v>0</v>
      </c>
      <c r="I4497" s="21">
        <v>0</v>
      </c>
      <c r="J4497" s="21">
        <v>0</v>
      </c>
      <c r="K4497" s="21">
        <v>0</v>
      </c>
      <c r="L4497" s="3">
        <f t="shared" si="194"/>
        <v>0</v>
      </c>
      <c r="M4497" s="3"/>
      <c r="N4497" s="3">
        <f t="shared" si="195"/>
        <v>0</v>
      </c>
      <c r="R4497" s="89"/>
      <c r="S4497" s="89">
        <f>100%-Table34[[#This Row],[PDF_initial fee]]</f>
        <v>1</v>
      </c>
      <c r="T4497" s="89"/>
      <c r="U4497" s="26"/>
    </row>
    <row r="4498" spans="1:21" hidden="1" x14ac:dyDescent="0.25">
      <c r="A4498">
        <v>809003</v>
      </c>
      <c r="B4498" t="s">
        <v>4896</v>
      </c>
      <c r="C4498" t="s">
        <v>31088</v>
      </c>
      <c r="D4498">
        <v>1</v>
      </c>
      <c r="E4498" t="s">
        <v>4896</v>
      </c>
      <c r="G4498" s="3"/>
      <c r="H4498" s="3">
        <v>0</v>
      </c>
      <c r="I4498" s="3">
        <v>0</v>
      </c>
      <c r="J4498" s="3">
        <v>0</v>
      </c>
      <c r="K4498" s="3">
        <v>0</v>
      </c>
      <c r="L4498" s="3">
        <f t="shared" si="194"/>
        <v>0</v>
      </c>
      <c r="M4498" s="3"/>
      <c r="N4498" s="3">
        <f t="shared" si="195"/>
        <v>0</v>
      </c>
      <c r="R4498" s="89"/>
      <c r="S4498" s="89">
        <f>100%-Table34[[#This Row],[PDF_initial fee]]</f>
        <v>1</v>
      </c>
      <c r="T4498" s="89"/>
      <c r="U4498" s="26"/>
    </row>
    <row r="4499" spans="1:21" hidden="1" x14ac:dyDescent="0.25">
      <c r="A4499">
        <v>809017</v>
      </c>
      <c r="B4499" t="s">
        <v>4897</v>
      </c>
      <c r="C4499" t="s">
        <v>8247</v>
      </c>
      <c r="D4499">
        <v>1</v>
      </c>
      <c r="E4499" t="s">
        <v>4897</v>
      </c>
      <c r="G4499" s="3"/>
      <c r="H4499" s="21">
        <v>0</v>
      </c>
      <c r="I4499" s="21">
        <v>0</v>
      </c>
      <c r="J4499" s="21">
        <v>0</v>
      </c>
      <c r="K4499" s="21">
        <v>0</v>
      </c>
      <c r="L4499" s="3">
        <f t="shared" si="194"/>
        <v>0</v>
      </c>
      <c r="M4499" s="3"/>
      <c r="N4499" s="3">
        <f t="shared" si="195"/>
        <v>0</v>
      </c>
      <c r="R4499" s="89"/>
      <c r="S4499" s="89">
        <f>100%-Table34[[#This Row],[PDF_initial fee]]</f>
        <v>1</v>
      </c>
      <c r="T4499" s="89"/>
      <c r="U4499" s="26"/>
    </row>
    <row r="4500" spans="1:21" hidden="1" x14ac:dyDescent="0.25">
      <c r="A4500">
        <v>809084</v>
      </c>
      <c r="B4500" t="s">
        <v>4898</v>
      </c>
      <c r="C4500" t="s">
        <v>31089</v>
      </c>
      <c r="D4500">
        <v>0</v>
      </c>
      <c r="E4500" t="s">
        <v>4898</v>
      </c>
      <c r="F4500" t="s">
        <v>29136</v>
      </c>
      <c r="G4500" s="3"/>
      <c r="H4500" s="21">
        <v>0</v>
      </c>
      <c r="I4500" s="21">
        <v>0</v>
      </c>
      <c r="J4500" s="21">
        <v>0</v>
      </c>
      <c r="K4500" s="21">
        <v>0</v>
      </c>
      <c r="L4500" s="3">
        <f t="shared" si="194"/>
        <v>0</v>
      </c>
      <c r="M4500" s="3"/>
      <c r="N4500" s="3">
        <f t="shared" si="195"/>
        <v>0</v>
      </c>
      <c r="O4500" s="21"/>
      <c r="R4500" s="89"/>
      <c r="S4500" s="89">
        <f>100%-Table34[[#This Row],[PDF_initial fee]]</f>
        <v>1</v>
      </c>
      <c r="T4500" s="89"/>
      <c r="U4500" s="26"/>
    </row>
    <row r="4501" spans="1:21" hidden="1" x14ac:dyDescent="0.25">
      <c r="A4501">
        <v>809126</v>
      </c>
      <c r="B4501" t="s">
        <v>4899</v>
      </c>
      <c r="C4501" t="s">
        <v>6958</v>
      </c>
      <c r="D4501">
        <v>1</v>
      </c>
      <c r="E4501" t="s">
        <v>4899</v>
      </c>
      <c r="F4501" t="s">
        <v>6958</v>
      </c>
      <c r="G4501" s="3"/>
      <c r="L4501" s="3">
        <f t="shared" si="194"/>
        <v>0</v>
      </c>
      <c r="M4501" s="3"/>
      <c r="N4501" s="3">
        <f t="shared" si="195"/>
        <v>0</v>
      </c>
      <c r="R4501" s="89"/>
      <c r="S4501" s="89">
        <f>100%-Table34[[#This Row],[PDF_initial fee]]</f>
        <v>1</v>
      </c>
      <c r="T4501" s="89"/>
      <c r="U4501" s="26"/>
    </row>
    <row r="4502" spans="1:21" hidden="1" x14ac:dyDescent="0.25">
      <c r="A4502">
        <v>809192</v>
      </c>
      <c r="B4502" t="s">
        <v>4900</v>
      </c>
      <c r="C4502" t="s">
        <v>6958</v>
      </c>
      <c r="D4502">
        <v>2</v>
      </c>
      <c r="E4502" t="s">
        <v>4900</v>
      </c>
      <c r="F4502" t="s">
        <v>6958</v>
      </c>
      <c r="G4502" s="3"/>
      <c r="K4502">
        <v>0</v>
      </c>
      <c r="L4502" s="3">
        <f t="shared" si="194"/>
        <v>0</v>
      </c>
      <c r="M4502" s="3"/>
      <c r="N4502" s="3">
        <f t="shared" si="195"/>
        <v>0</v>
      </c>
      <c r="R4502" s="89"/>
      <c r="S4502" s="89">
        <f>100%-Table34[[#This Row],[PDF_initial fee]]</f>
        <v>1</v>
      </c>
      <c r="T4502" s="89"/>
      <c r="U4502" s="26"/>
    </row>
    <row r="4503" spans="1:21" hidden="1" x14ac:dyDescent="0.25">
      <c r="A4503">
        <v>809204</v>
      </c>
      <c r="B4503" t="s">
        <v>4901</v>
      </c>
      <c r="C4503" t="s">
        <v>6958</v>
      </c>
      <c r="D4503">
        <v>4</v>
      </c>
      <c r="E4503" t="s">
        <v>4901</v>
      </c>
      <c r="F4503" t="s">
        <v>6958</v>
      </c>
      <c r="G4503" s="3"/>
      <c r="H4503" s="21">
        <v>0</v>
      </c>
      <c r="I4503" s="21">
        <v>0</v>
      </c>
      <c r="J4503" s="21">
        <v>0</v>
      </c>
      <c r="K4503" s="21">
        <v>0</v>
      </c>
      <c r="L4503" s="3">
        <f t="shared" si="194"/>
        <v>0</v>
      </c>
      <c r="M4503" s="3"/>
      <c r="N4503" s="3">
        <f t="shared" si="195"/>
        <v>0</v>
      </c>
      <c r="R4503" s="89"/>
      <c r="S4503" s="89">
        <f>100%-Table34[[#This Row],[PDF_initial fee]]</f>
        <v>1</v>
      </c>
      <c r="T4503" s="89"/>
      <c r="U4503" s="26"/>
    </row>
    <row r="4504" spans="1:21" hidden="1" x14ac:dyDescent="0.25">
      <c r="A4504">
        <v>809231</v>
      </c>
      <c r="B4504" t="s">
        <v>4902</v>
      </c>
      <c r="C4504" t="s">
        <v>12351</v>
      </c>
      <c r="D4504">
        <v>1</v>
      </c>
      <c r="E4504" t="s">
        <v>4902</v>
      </c>
      <c r="G4504" s="3"/>
      <c r="H4504" s="3">
        <v>0</v>
      </c>
      <c r="I4504" s="3">
        <v>0</v>
      </c>
      <c r="J4504" s="3">
        <v>0</v>
      </c>
      <c r="K4504" s="3">
        <v>0</v>
      </c>
      <c r="L4504" s="3">
        <f t="shared" si="194"/>
        <v>0</v>
      </c>
      <c r="M4504" s="3"/>
      <c r="N4504" s="3">
        <f t="shared" si="195"/>
        <v>0</v>
      </c>
      <c r="R4504" s="89"/>
      <c r="S4504" s="89">
        <f>100%-Table34[[#This Row],[PDF_initial fee]]</f>
        <v>1</v>
      </c>
      <c r="T4504" s="89"/>
      <c r="U4504" s="26"/>
    </row>
    <row r="4505" spans="1:21" hidden="1" x14ac:dyDescent="0.25">
      <c r="A4505">
        <v>809391</v>
      </c>
      <c r="B4505" t="s">
        <v>4903</v>
      </c>
      <c r="C4505" t="s">
        <v>31090</v>
      </c>
      <c r="D4505">
        <v>2</v>
      </c>
      <c r="E4505" t="s">
        <v>4903</v>
      </c>
      <c r="G4505" s="3"/>
      <c r="H4505" s="3">
        <v>0</v>
      </c>
      <c r="I4505" s="3">
        <v>0</v>
      </c>
      <c r="J4505" s="3">
        <v>0</v>
      </c>
      <c r="K4505" s="3">
        <v>0</v>
      </c>
      <c r="L4505" s="3">
        <f t="shared" si="194"/>
        <v>0</v>
      </c>
      <c r="M4505" s="3"/>
      <c r="N4505" s="3">
        <f t="shared" si="195"/>
        <v>0</v>
      </c>
      <c r="R4505" s="89"/>
      <c r="S4505" s="89">
        <f>100%-Table34[[#This Row],[PDF_initial fee]]</f>
        <v>1</v>
      </c>
      <c r="T4505" s="89"/>
      <c r="U4505" s="26"/>
    </row>
    <row r="4506" spans="1:21" hidden="1" x14ac:dyDescent="0.25">
      <c r="A4506">
        <v>809401</v>
      </c>
      <c r="B4506" t="s">
        <v>4904</v>
      </c>
      <c r="C4506" t="s">
        <v>9455</v>
      </c>
      <c r="D4506">
        <v>1</v>
      </c>
      <c r="E4506" t="s">
        <v>4904</v>
      </c>
      <c r="G4506" s="3"/>
      <c r="H4506" s="3"/>
      <c r="I4506" s="3"/>
      <c r="J4506" s="3"/>
      <c r="K4506" s="3"/>
      <c r="L4506" s="3">
        <f t="shared" si="194"/>
        <v>0</v>
      </c>
      <c r="M4506" s="3"/>
      <c r="N4506" s="3">
        <f t="shared" si="195"/>
        <v>0</v>
      </c>
      <c r="R4506" s="89"/>
      <c r="S4506" s="89">
        <f>100%-Table34[[#This Row],[PDF_initial fee]]</f>
        <v>1</v>
      </c>
      <c r="T4506" s="89"/>
      <c r="U4506" s="26"/>
    </row>
    <row r="4507" spans="1:21" hidden="1" x14ac:dyDescent="0.25">
      <c r="A4507">
        <v>809690</v>
      </c>
      <c r="B4507" t="s">
        <v>4905</v>
      </c>
      <c r="C4507" t="s">
        <v>6958</v>
      </c>
      <c r="D4507">
        <v>1</v>
      </c>
      <c r="E4507" t="s">
        <v>4905</v>
      </c>
      <c r="F4507" t="s">
        <v>6958</v>
      </c>
      <c r="G4507" s="3"/>
      <c r="H4507" s="21">
        <v>0</v>
      </c>
      <c r="I4507" s="21">
        <v>0</v>
      </c>
      <c r="J4507" s="21">
        <v>0</v>
      </c>
      <c r="K4507" s="21">
        <v>0</v>
      </c>
      <c r="L4507" s="3">
        <f t="shared" si="194"/>
        <v>0</v>
      </c>
      <c r="M4507" s="3"/>
      <c r="N4507" s="3">
        <f t="shared" si="195"/>
        <v>0</v>
      </c>
      <c r="R4507" s="89"/>
      <c r="S4507" s="89">
        <f>100%-Table34[[#This Row],[PDF_initial fee]]</f>
        <v>1</v>
      </c>
      <c r="T4507" s="89"/>
      <c r="U4507" s="26"/>
    </row>
    <row r="4508" spans="1:21" hidden="1" x14ac:dyDescent="0.25">
      <c r="A4508">
        <v>809874</v>
      </c>
      <c r="B4508" t="s">
        <v>4906</v>
      </c>
      <c r="C4508" t="s">
        <v>31091</v>
      </c>
      <c r="D4508">
        <v>2</v>
      </c>
      <c r="E4508" t="s">
        <v>4906</v>
      </c>
      <c r="G4508" s="3"/>
      <c r="H4508" s="21">
        <v>0</v>
      </c>
      <c r="I4508" s="21">
        <v>0</v>
      </c>
      <c r="J4508" s="21">
        <v>0</v>
      </c>
      <c r="K4508" s="21">
        <v>0</v>
      </c>
      <c r="L4508" s="3">
        <f t="shared" si="194"/>
        <v>0</v>
      </c>
      <c r="M4508" s="3"/>
      <c r="N4508" s="3">
        <f t="shared" si="195"/>
        <v>0</v>
      </c>
      <c r="O4508" s="21"/>
      <c r="R4508" s="89"/>
      <c r="S4508" s="89">
        <f>100%-Table34[[#This Row],[PDF_initial fee]]</f>
        <v>1</v>
      </c>
      <c r="T4508" s="89"/>
      <c r="U4508" s="26"/>
    </row>
    <row r="4509" spans="1:21" hidden="1" x14ac:dyDescent="0.25">
      <c r="A4509">
        <v>809956</v>
      </c>
      <c r="B4509" t="s">
        <v>4907</v>
      </c>
      <c r="C4509" t="s">
        <v>11484</v>
      </c>
      <c r="D4509">
        <v>2</v>
      </c>
      <c r="E4509" t="s">
        <v>4907</v>
      </c>
      <c r="G4509" s="3"/>
      <c r="H4509" s="3">
        <v>0</v>
      </c>
      <c r="I4509" s="3">
        <v>0</v>
      </c>
      <c r="J4509" s="3">
        <v>0</v>
      </c>
      <c r="K4509" s="3">
        <v>0</v>
      </c>
      <c r="L4509" s="3">
        <f t="shared" si="194"/>
        <v>0</v>
      </c>
      <c r="M4509" s="3"/>
      <c r="N4509" s="3">
        <f t="shared" si="195"/>
        <v>0</v>
      </c>
      <c r="R4509" s="89"/>
      <c r="S4509" s="89">
        <f>100%-Table34[[#This Row],[PDF_initial fee]]</f>
        <v>1</v>
      </c>
      <c r="T4509" s="89"/>
      <c r="U4509" s="26"/>
    </row>
    <row r="4510" spans="1:21" hidden="1" x14ac:dyDescent="0.25">
      <c r="A4510">
        <v>810027</v>
      </c>
      <c r="B4510" t="s">
        <v>4908</v>
      </c>
      <c r="C4510" t="s">
        <v>7557</v>
      </c>
      <c r="D4510">
        <v>7</v>
      </c>
      <c r="E4510" t="s">
        <v>4908</v>
      </c>
      <c r="G4510" s="3"/>
      <c r="H4510" s="21">
        <v>0</v>
      </c>
      <c r="I4510" s="21">
        <v>0</v>
      </c>
      <c r="J4510" s="21">
        <v>0</v>
      </c>
      <c r="K4510" s="21">
        <v>0</v>
      </c>
      <c r="L4510" s="3">
        <f t="shared" si="194"/>
        <v>0</v>
      </c>
      <c r="M4510" s="3"/>
      <c r="N4510" s="3">
        <f t="shared" si="195"/>
        <v>0</v>
      </c>
      <c r="R4510" s="89"/>
      <c r="S4510" s="89">
        <f>100%-Table34[[#This Row],[PDF_initial fee]]</f>
        <v>1</v>
      </c>
      <c r="T4510" s="89"/>
      <c r="U4510" s="26"/>
    </row>
    <row r="4511" spans="1:21" hidden="1" x14ac:dyDescent="0.25">
      <c r="A4511">
        <v>810056</v>
      </c>
      <c r="B4511" t="s">
        <v>4909</v>
      </c>
      <c r="C4511" t="s">
        <v>8712</v>
      </c>
      <c r="D4511">
        <v>3</v>
      </c>
      <c r="E4511" t="s">
        <v>4909</v>
      </c>
      <c r="G4511" s="3"/>
      <c r="H4511" s="3">
        <v>0</v>
      </c>
      <c r="I4511" s="3">
        <v>0</v>
      </c>
      <c r="J4511" s="3">
        <v>0</v>
      </c>
      <c r="K4511" s="3">
        <v>0</v>
      </c>
      <c r="L4511" s="3">
        <f t="shared" si="194"/>
        <v>0</v>
      </c>
      <c r="M4511" s="3"/>
      <c r="N4511" s="3">
        <f t="shared" si="195"/>
        <v>0</v>
      </c>
      <c r="R4511" s="89"/>
      <c r="S4511" s="89">
        <f>100%-Table34[[#This Row],[PDF_initial fee]]</f>
        <v>1</v>
      </c>
      <c r="T4511" s="89"/>
      <c r="U4511" s="26"/>
    </row>
    <row r="4512" spans="1:21" hidden="1" x14ac:dyDescent="0.25">
      <c r="A4512">
        <v>810083</v>
      </c>
      <c r="B4512" t="s">
        <v>4910</v>
      </c>
      <c r="C4512" t="s">
        <v>29296</v>
      </c>
      <c r="D4512">
        <v>8</v>
      </c>
      <c r="E4512" t="s">
        <v>4910</v>
      </c>
      <c r="G4512" s="3"/>
      <c r="H4512" s="21">
        <v>0</v>
      </c>
      <c r="I4512" s="21">
        <v>0</v>
      </c>
      <c r="J4512" s="21">
        <v>0</v>
      </c>
      <c r="K4512" s="21">
        <v>0</v>
      </c>
      <c r="L4512" s="3">
        <f t="shared" si="194"/>
        <v>0</v>
      </c>
      <c r="M4512" s="3"/>
      <c r="N4512" s="3">
        <f t="shared" si="195"/>
        <v>0</v>
      </c>
      <c r="O4512" s="21"/>
      <c r="R4512" s="89"/>
      <c r="S4512" s="89">
        <f>100%-Table34[[#This Row],[PDF_initial fee]]</f>
        <v>1</v>
      </c>
      <c r="T4512" s="89"/>
      <c r="U4512" s="26"/>
    </row>
    <row r="4513" spans="1:21" hidden="1" x14ac:dyDescent="0.25">
      <c r="A4513">
        <v>810372</v>
      </c>
      <c r="B4513" t="s">
        <v>4911</v>
      </c>
      <c r="C4513" t="s">
        <v>31092</v>
      </c>
      <c r="D4513">
        <v>1</v>
      </c>
      <c r="E4513" t="s">
        <v>4911</v>
      </c>
      <c r="G4513" s="3"/>
      <c r="H4513" s="3">
        <v>0</v>
      </c>
      <c r="I4513" s="3">
        <v>0</v>
      </c>
      <c r="J4513" s="3">
        <v>0</v>
      </c>
      <c r="K4513" s="3">
        <v>0</v>
      </c>
      <c r="L4513" s="3">
        <f t="shared" si="194"/>
        <v>0</v>
      </c>
      <c r="M4513" s="3"/>
      <c r="N4513" s="3">
        <f t="shared" si="195"/>
        <v>0</v>
      </c>
      <c r="R4513" s="89"/>
      <c r="S4513" s="89">
        <f>100%-Table34[[#This Row],[PDF_initial fee]]</f>
        <v>1</v>
      </c>
      <c r="T4513" s="89"/>
      <c r="U4513" s="26"/>
    </row>
    <row r="4514" spans="1:21" hidden="1" x14ac:dyDescent="0.25">
      <c r="A4514">
        <v>810374</v>
      </c>
      <c r="B4514" t="s">
        <v>4912</v>
      </c>
      <c r="C4514" t="s">
        <v>31093</v>
      </c>
      <c r="D4514">
        <v>2</v>
      </c>
      <c r="E4514" t="s">
        <v>4912</v>
      </c>
      <c r="G4514" s="3"/>
      <c r="H4514" s="3">
        <v>0</v>
      </c>
      <c r="I4514" s="3">
        <v>0</v>
      </c>
      <c r="J4514" s="3">
        <v>0</v>
      </c>
      <c r="K4514" s="3">
        <v>0</v>
      </c>
      <c r="L4514" s="3">
        <f t="shared" si="194"/>
        <v>0</v>
      </c>
      <c r="M4514" s="3"/>
      <c r="N4514" s="3">
        <f t="shared" si="195"/>
        <v>0</v>
      </c>
      <c r="R4514" s="89"/>
      <c r="S4514" s="89">
        <f>100%-Table34[[#This Row],[PDF_initial fee]]</f>
        <v>1</v>
      </c>
      <c r="T4514" s="89"/>
      <c r="U4514" s="26"/>
    </row>
    <row r="4515" spans="1:21" hidden="1" x14ac:dyDescent="0.25">
      <c r="A4515">
        <v>810623</v>
      </c>
      <c r="B4515" t="s">
        <v>4913</v>
      </c>
      <c r="C4515" t="s">
        <v>6958</v>
      </c>
      <c r="D4515">
        <v>1</v>
      </c>
      <c r="E4515" t="s">
        <v>4913</v>
      </c>
      <c r="F4515" t="s">
        <v>6958</v>
      </c>
      <c r="G4515" s="3"/>
      <c r="H4515" s="21">
        <v>0</v>
      </c>
      <c r="I4515" s="21">
        <v>0</v>
      </c>
      <c r="J4515" s="21">
        <v>0</v>
      </c>
      <c r="K4515" s="21">
        <v>0</v>
      </c>
      <c r="L4515" s="3">
        <f t="shared" si="194"/>
        <v>0</v>
      </c>
      <c r="M4515" s="3"/>
      <c r="N4515" s="3">
        <f t="shared" si="195"/>
        <v>0</v>
      </c>
      <c r="R4515" s="89"/>
      <c r="S4515" s="89">
        <f>100%-Table34[[#This Row],[PDF_initial fee]]</f>
        <v>1</v>
      </c>
      <c r="T4515" s="89"/>
      <c r="U4515" s="26"/>
    </row>
    <row r="4516" spans="1:21" hidden="1" x14ac:dyDescent="0.25">
      <c r="A4516">
        <v>810649</v>
      </c>
      <c r="B4516" t="s">
        <v>4915</v>
      </c>
      <c r="C4516" t="s">
        <v>6958</v>
      </c>
      <c r="D4516">
        <v>1</v>
      </c>
      <c r="E4516" t="s">
        <v>4915</v>
      </c>
      <c r="F4516" t="s">
        <v>6958</v>
      </c>
      <c r="G4516" s="3"/>
      <c r="H4516" s="21">
        <v>0</v>
      </c>
      <c r="I4516" s="21">
        <v>0</v>
      </c>
      <c r="J4516" s="21">
        <v>0</v>
      </c>
      <c r="K4516" s="21">
        <v>0</v>
      </c>
      <c r="L4516" s="3">
        <f t="shared" si="194"/>
        <v>0</v>
      </c>
      <c r="M4516" s="3"/>
      <c r="N4516" s="3">
        <f t="shared" si="195"/>
        <v>0</v>
      </c>
      <c r="R4516" s="89"/>
      <c r="S4516" s="89">
        <f>100%-Table34[[#This Row],[PDF_initial fee]]</f>
        <v>1</v>
      </c>
      <c r="T4516" s="89"/>
      <c r="U4516" s="26"/>
    </row>
    <row r="4517" spans="1:21" hidden="1" x14ac:dyDescent="0.25">
      <c r="A4517">
        <v>810652</v>
      </c>
      <c r="B4517" t="s">
        <v>4916</v>
      </c>
      <c r="C4517" t="s">
        <v>11415</v>
      </c>
      <c r="D4517">
        <v>0</v>
      </c>
      <c r="E4517" t="s">
        <v>4916</v>
      </c>
      <c r="F4517" t="s">
        <v>3</v>
      </c>
      <c r="G4517" s="3"/>
      <c r="H4517" s="3">
        <v>0</v>
      </c>
      <c r="I4517" s="3">
        <v>0</v>
      </c>
      <c r="J4517" s="3">
        <v>0</v>
      </c>
      <c r="K4517" s="3">
        <v>0</v>
      </c>
      <c r="L4517" s="3">
        <f t="shared" si="194"/>
        <v>0</v>
      </c>
      <c r="M4517" s="3"/>
      <c r="N4517" s="3">
        <f t="shared" si="195"/>
        <v>0</v>
      </c>
      <c r="R4517" s="89"/>
      <c r="S4517" s="89">
        <f>100%-Table34[[#This Row],[PDF_initial fee]]</f>
        <v>1</v>
      </c>
      <c r="T4517" s="89"/>
      <c r="U4517" s="26"/>
    </row>
    <row r="4518" spans="1:21" hidden="1" x14ac:dyDescent="0.25">
      <c r="A4518">
        <v>810836</v>
      </c>
      <c r="B4518" t="s">
        <v>4917</v>
      </c>
      <c r="C4518" t="s">
        <v>8755</v>
      </c>
      <c r="D4518">
        <v>1</v>
      </c>
      <c r="E4518" t="s">
        <v>4917</v>
      </c>
      <c r="G4518" s="3"/>
      <c r="H4518" s="21">
        <v>0</v>
      </c>
      <c r="I4518" s="21">
        <v>0</v>
      </c>
      <c r="J4518" s="21">
        <v>0</v>
      </c>
      <c r="K4518" s="21">
        <v>0</v>
      </c>
      <c r="L4518" s="3">
        <f t="shared" si="194"/>
        <v>0</v>
      </c>
      <c r="M4518" s="3"/>
      <c r="N4518" s="3">
        <f t="shared" si="195"/>
        <v>0</v>
      </c>
      <c r="R4518" s="89"/>
      <c r="S4518" s="89">
        <f>100%-Table34[[#This Row],[PDF_initial fee]]</f>
        <v>1</v>
      </c>
      <c r="T4518" s="89"/>
      <c r="U4518" s="26"/>
    </row>
    <row r="4519" spans="1:21" hidden="1" x14ac:dyDescent="0.25">
      <c r="A4519">
        <v>810879</v>
      </c>
      <c r="B4519" t="s">
        <v>4918</v>
      </c>
      <c r="C4519" t="s">
        <v>9820</v>
      </c>
      <c r="D4519">
        <v>1</v>
      </c>
      <c r="E4519" t="s">
        <v>4918</v>
      </c>
      <c r="G4519" s="3"/>
      <c r="H4519" s="3">
        <v>0</v>
      </c>
      <c r="I4519" s="3">
        <v>0</v>
      </c>
      <c r="J4519" s="3">
        <v>0</v>
      </c>
      <c r="K4519" s="3">
        <v>0</v>
      </c>
      <c r="L4519" s="3">
        <f t="shared" si="194"/>
        <v>0</v>
      </c>
      <c r="M4519" s="3"/>
      <c r="N4519" s="3">
        <f t="shared" si="195"/>
        <v>0</v>
      </c>
      <c r="R4519" s="89"/>
      <c r="S4519" s="89">
        <f>100%-Table34[[#This Row],[PDF_initial fee]]</f>
        <v>1</v>
      </c>
      <c r="T4519" s="89"/>
      <c r="U4519" s="26"/>
    </row>
    <row r="4520" spans="1:21" hidden="1" x14ac:dyDescent="0.25">
      <c r="A4520">
        <v>810943</v>
      </c>
      <c r="B4520" t="s">
        <v>4919</v>
      </c>
      <c r="C4520" t="s">
        <v>9173</v>
      </c>
      <c r="D4520">
        <v>1</v>
      </c>
      <c r="E4520" t="s">
        <v>4919</v>
      </c>
      <c r="G4520" s="3"/>
      <c r="H4520" s="21">
        <v>0</v>
      </c>
      <c r="I4520" s="21">
        <v>0</v>
      </c>
      <c r="J4520" s="21">
        <v>0</v>
      </c>
      <c r="K4520" s="21">
        <v>0</v>
      </c>
      <c r="L4520" s="3">
        <f t="shared" si="194"/>
        <v>0</v>
      </c>
      <c r="M4520" s="3"/>
      <c r="N4520" s="3">
        <f t="shared" si="195"/>
        <v>0</v>
      </c>
      <c r="R4520" s="89"/>
      <c r="S4520" s="89">
        <f>100%-Table34[[#This Row],[PDF_initial fee]]</f>
        <v>1</v>
      </c>
      <c r="T4520" s="89"/>
      <c r="U4520" s="26"/>
    </row>
    <row r="4521" spans="1:21" hidden="1" x14ac:dyDescent="0.25">
      <c r="A4521">
        <v>810955</v>
      </c>
      <c r="B4521" t="s">
        <v>4920</v>
      </c>
      <c r="C4521" t="s">
        <v>9163</v>
      </c>
      <c r="D4521">
        <v>1</v>
      </c>
      <c r="E4521" t="s">
        <v>4920</v>
      </c>
      <c r="G4521" s="3"/>
      <c r="H4521" s="21">
        <v>0</v>
      </c>
      <c r="I4521" s="21">
        <v>0</v>
      </c>
      <c r="J4521" s="21">
        <v>0</v>
      </c>
      <c r="K4521" s="21">
        <v>0</v>
      </c>
      <c r="L4521" s="3">
        <f t="shared" si="194"/>
        <v>0</v>
      </c>
      <c r="M4521" s="3"/>
      <c r="N4521" s="3">
        <f t="shared" si="195"/>
        <v>0</v>
      </c>
      <c r="R4521" s="89"/>
      <c r="S4521" s="89">
        <f>100%-Table34[[#This Row],[PDF_initial fee]]</f>
        <v>1</v>
      </c>
      <c r="T4521" s="89"/>
      <c r="U4521" s="26"/>
    </row>
    <row r="4522" spans="1:21" hidden="1" x14ac:dyDescent="0.25">
      <c r="A4522">
        <v>811049</v>
      </c>
      <c r="B4522" t="s">
        <v>4921</v>
      </c>
      <c r="C4522" t="s">
        <v>7295</v>
      </c>
      <c r="D4522">
        <v>3</v>
      </c>
      <c r="E4522" t="s">
        <v>4921</v>
      </c>
      <c r="G4522" s="3"/>
      <c r="H4522" s="21">
        <v>0</v>
      </c>
      <c r="I4522" s="21">
        <v>0</v>
      </c>
      <c r="J4522" s="21">
        <v>0</v>
      </c>
      <c r="K4522" s="21">
        <v>0</v>
      </c>
      <c r="L4522" s="3">
        <f t="shared" si="194"/>
        <v>0</v>
      </c>
      <c r="M4522" s="3"/>
      <c r="N4522" s="3">
        <f t="shared" si="195"/>
        <v>0</v>
      </c>
      <c r="R4522" s="89"/>
      <c r="S4522" s="89">
        <f>100%-Table34[[#This Row],[PDF_initial fee]]</f>
        <v>1</v>
      </c>
      <c r="T4522" s="89"/>
      <c r="U4522" s="26"/>
    </row>
    <row r="4523" spans="1:21" hidden="1" x14ac:dyDescent="0.25">
      <c r="A4523">
        <v>811340</v>
      </c>
      <c r="B4523" t="s">
        <v>4922</v>
      </c>
      <c r="C4523" t="s">
        <v>31094</v>
      </c>
      <c r="D4523">
        <v>4</v>
      </c>
      <c r="E4523" t="s">
        <v>4922</v>
      </c>
      <c r="G4523" s="3"/>
      <c r="H4523" s="21">
        <v>0</v>
      </c>
      <c r="I4523" s="21">
        <v>0</v>
      </c>
      <c r="J4523" s="21">
        <v>0</v>
      </c>
      <c r="K4523" s="21">
        <v>0</v>
      </c>
      <c r="L4523" s="3">
        <f t="shared" si="194"/>
        <v>0</v>
      </c>
      <c r="M4523" s="3"/>
      <c r="N4523" s="3">
        <f t="shared" si="195"/>
        <v>0</v>
      </c>
      <c r="O4523" s="21"/>
      <c r="R4523" s="89"/>
      <c r="S4523" s="89">
        <f>100%-Table34[[#This Row],[PDF_initial fee]]</f>
        <v>1</v>
      </c>
      <c r="T4523" s="89"/>
      <c r="U4523" s="26"/>
    </row>
    <row r="4524" spans="1:21" hidden="1" x14ac:dyDescent="0.25">
      <c r="A4524">
        <v>811500</v>
      </c>
      <c r="B4524" t="s">
        <v>4924</v>
      </c>
      <c r="C4524" t="s">
        <v>6958</v>
      </c>
      <c r="D4524">
        <v>1</v>
      </c>
      <c r="E4524" t="s">
        <v>4924</v>
      </c>
      <c r="F4524" t="s">
        <v>6958</v>
      </c>
      <c r="G4524" s="3"/>
      <c r="H4524" s="21">
        <v>0</v>
      </c>
      <c r="I4524" s="21">
        <v>0</v>
      </c>
      <c r="J4524" s="21">
        <v>0</v>
      </c>
      <c r="K4524" s="21">
        <v>0</v>
      </c>
      <c r="L4524" s="3">
        <f t="shared" si="194"/>
        <v>0</v>
      </c>
      <c r="M4524" s="3"/>
      <c r="N4524" s="3">
        <f t="shared" si="195"/>
        <v>0</v>
      </c>
      <c r="R4524" s="89"/>
      <c r="S4524" s="89">
        <f>100%-Table34[[#This Row],[PDF_initial fee]]</f>
        <v>1</v>
      </c>
      <c r="T4524" s="89"/>
      <c r="U4524" s="26"/>
    </row>
    <row r="4525" spans="1:21" hidden="1" x14ac:dyDescent="0.25">
      <c r="A4525">
        <v>811535</v>
      </c>
      <c r="B4525" t="s">
        <v>4925</v>
      </c>
      <c r="C4525" t="s">
        <v>6958</v>
      </c>
      <c r="D4525">
        <v>6</v>
      </c>
      <c r="E4525" t="s">
        <v>4925</v>
      </c>
      <c r="F4525" t="s">
        <v>6958</v>
      </c>
      <c r="G4525" s="3"/>
      <c r="H4525" s="21">
        <v>0</v>
      </c>
      <c r="I4525" s="21">
        <v>0</v>
      </c>
      <c r="J4525" s="21">
        <v>0</v>
      </c>
      <c r="K4525" s="21">
        <v>0</v>
      </c>
      <c r="L4525" s="3">
        <f t="shared" si="194"/>
        <v>0</v>
      </c>
      <c r="M4525" s="3"/>
      <c r="N4525" s="3">
        <f t="shared" si="195"/>
        <v>0</v>
      </c>
      <c r="R4525" s="89"/>
      <c r="S4525" s="89">
        <f>100%-Table34[[#This Row],[PDF_initial fee]]</f>
        <v>1</v>
      </c>
      <c r="T4525" s="89"/>
      <c r="U4525" s="26"/>
    </row>
    <row r="4526" spans="1:21" hidden="1" x14ac:dyDescent="0.25">
      <c r="A4526">
        <v>811723</v>
      </c>
      <c r="B4526" t="s">
        <v>4926</v>
      </c>
      <c r="C4526" t="s">
        <v>6958</v>
      </c>
      <c r="D4526">
        <v>8</v>
      </c>
      <c r="E4526" t="s">
        <v>4926</v>
      </c>
      <c r="F4526" t="s">
        <v>6958</v>
      </c>
      <c r="G4526" s="3"/>
      <c r="H4526" s="21">
        <v>0</v>
      </c>
      <c r="I4526" s="21">
        <v>0</v>
      </c>
      <c r="J4526" s="21">
        <v>0</v>
      </c>
      <c r="K4526" s="21">
        <v>0</v>
      </c>
      <c r="L4526" s="3">
        <f t="shared" si="194"/>
        <v>0</v>
      </c>
      <c r="M4526" s="3"/>
      <c r="N4526" s="3">
        <f t="shared" si="195"/>
        <v>0</v>
      </c>
      <c r="R4526" s="89"/>
      <c r="S4526" s="89">
        <f>100%-Table34[[#This Row],[PDF_initial fee]]</f>
        <v>1</v>
      </c>
      <c r="T4526" s="89"/>
      <c r="U4526" s="26"/>
    </row>
    <row r="4527" spans="1:21" hidden="1" x14ac:dyDescent="0.25">
      <c r="A4527">
        <v>811803</v>
      </c>
      <c r="B4527" t="s">
        <v>4927</v>
      </c>
      <c r="C4527" t="s">
        <v>6958</v>
      </c>
      <c r="D4527">
        <v>2</v>
      </c>
      <c r="E4527" t="s">
        <v>4927</v>
      </c>
      <c r="F4527" t="s">
        <v>6958</v>
      </c>
      <c r="G4527" s="3"/>
      <c r="H4527" s="21">
        <v>0</v>
      </c>
      <c r="I4527" s="21">
        <v>0</v>
      </c>
      <c r="J4527" s="21">
        <v>0</v>
      </c>
      <c r="K4527" s="21">
        <v>0</v>
      </c>
      <c r="L4527" s="3">
        <f t="shared" si="194"/>
        <v>0</v>
      </c>
      <c r="M4527" s="3"/>
      <c r="N4527" s="3">
        <f t="shared" si="195"/>
        <v>0</v>
      </c>
      <c r="R4527" s="89"/>
      <c r="S4527" s="89">
        <f>100%-Table34[[#This Row],[PDF_initial fee]]</f>
        <v>1</v>
      </c>
      <c r="T4527" s="89"/>
      <c r="U4527" s="26"/>
    </row>
    <row r="4528" spans="1:21" hidden="1" x14ac:dyDescent="0.25">
      <c r="A4528">
        <v>811996</v>
      </c>
      <c r="B4528" t="s">
        <v>4928</v>
      </c>
      <c r="C4528" t="s">
        <v>31095</v>
      </c>
      <c r="D4528">
        <v>2</v>
      </c>
      <c r="E4528" t="s">
        <v>4928</v>
      </c>
      <c r="G4528" s="3"/>
      <c r="H4528" s="3">
        <v>0</v>
      </c>
      <c r="I4528" s="3">
        <v>0</v>
      </c>
      <c r="J4528" s="3">
        <v>0</v>
      </c>
      <c r="K4528" s="3">
        <v>0</v>
      </c>
      <c r="L4528" s="3">
        <f t="shared" si="194"/>
        <v>0</v>
      </c>
      <c r="M4528" s="3"/>
      <c r="N4528" s="3">
        <f t="shared" si="195"/>
        <v>0</v>
      </c>
      <c r="R4528" s="89"/>
      <c r="S4528" s="89">
        <f>100%-Table34[[#This Row],[PDF_initial fee]]</f>
        <v>1</v>
      </c>
      <c r="T4528" s="89"/>
      <c r="U4528" s="26"/>
    </row>
    <row r="4529" spans="1:28" hidden="1" x14ac:dyDescent="0.25">
      <c r="A4529">
        <v>812252</v>
      </c>
      <c r="B4529" t="s">
        <v>4929</v>
      </c>
      <c r="C4529" t="s">
        <v>6958</v>
      </c>
      <c r="D4529">
        <v>3</v>
      </c>
      <c r="E4529" t="s">
        <v>4929</v>
      </c>
      <c r="F4529" t="s">
        <v>6958</v>
      </c>
      <c r="G4529" s="3"/>
      <c r="H4529" s="21">
        <v>0</v>
      </c>
      <c r="I4529" s="21">
        <v>0</v>
      </c>
      <c r="J4529" s="21">
        <v>0</v>
      </c>
      <c r="K4529" s="21">
        <v>0</v>
      </c>
      <c r="L4529" s="3">
        <f t="shared" si="194"/>
        <v>0</v>
      </c>
      <c r="M4529" s="3"/>
      <c r="N4529" s="3">
        <f t="shared" si="195"/>
        <v>0</v>
      </c>
      <c r="R4529" s="89"/>
      <c r="S4529" s="89">
        <f>100%-Table34[[#This Row],[PDF_initial fee]]</f>
        <v>1</v>
      </c>
      <c r="T4529" s="89"/>
      <c r="U4529" s="26"/>
    </row>
    <row r="4530" spans="1:28" hidden="1" x14ac:dyDescent="0.25">
      <c r="A4530">
        <v>812332</v>
      </c>
      <c r="B4530" t="s">
        <v>4930</v>
      </c>
      <c r="C4530" t="s">
        <v>8560</v>
      </c>
      <c r="D4530">
        <v>1</v>
      </c>
      <c r="E4530" t="s">
        <v>4930</v>
      </c>
      <c r="G4530" s="3"/>
      <c r="H4530" s="21">
        <v>0</v>
      </c>
      <c r="I4530" s="21">
        <v>0</v>
      </c>
      <c r="J4530" s="21">
        <v>0</v>
      </c>
      <c r="K4530" s="21">
        <v>0</v>
      </c>
      <c r="L4530" s="3">
        <f t="shared" si="194"/>
        <v>0</v>
      </c>
      <c r="M4530" s="3"/>
      <c r="N4530" s="3">
        <f t="shared" si="195"/>
        <v>0</v>
      </c>
      <c r="R4530" s="89"/>
      <c r="S4530" s="89">
        <f>100%-Table34[[#This Row],[PDF_initial fee]]</f>
        <v>1</v>
      </c>
      <c r="T4530" s="89"/>
      <c r="U4530" s="26"/>
    </row>
    <row r="4531" spans="1:28" hidden="1" x14ac:dyDescent="0.25">
      <c r="A4531">
        <v>812732</v>
      </c>
      <c r="B4531" t="s">
        <v>4932</v>
      </c>
      <c r="C4531" t="s">
        <v>10162</v>
      </c>
      <c r="D4531">
        <v>5</v>
      </c>
      <c r="E4531" t="s">
        <v>4932</v>
      </c>
      <c r="G4531" s="3"/>
      <c r="H4531" s="3"/>
      <c r="I4531" s="3"/>
      <c r="J4531" s="3"/>
      <c r="K4531" s="3"/>
      <c r="L4531" s="3">
        <f t="shared" si="194"/>
        <v>0</v>
      </c>
      <c r="M4531" s="3"/>
      <c r="N4531" s="3">
        <f t="shared" si="195"/>
        <v>0</v>
      </c>
      <c r="R4531" s="89"/>
      <c r="S4531" s="89">
        <f>100%-Table34[[#This Row],[PDF_initial fee]]</f>
        <v>1</v>
      </c>
      <c r="T4531" s="89"/>
      <c r="U4531" s="26"/>
    </row>
    <row r="4532" spans="1:28" hidden="1" x14ac:dyDescent="0.25">
      <c r="A4532">
        <v>812753</v>
      </c>
      <c r="B4532" t="s">
        <v>4933</v>
      </c>
      <c r="C4532" t="s">
        <v>8198</v>
      </c>
      <c r="D4532">
        <v>3</v>
      </c>
      <c r="E4532" t="s">
        <v>4933</v>
      </c>
      <c r="G4532" s="3"/>
      <c r="H4532" s="21">
        <v>0</v>
      </c>
      <c r="I4532" s="21">
        <v>0</v>
      </c>
      <c r="J4532" s="21">
        <v>0</v>
      </c>
      <c r="K4532" s="21">
        <v>0</v>
      </c>
      <c r="L4532" s="3">
        <f t="shared" si="194"/>
        <v>0</v>
      </c>
      <c r="M4532" s="3"/>
      <c r="N4532" s="3">
        <f t="shared" si="195"/>
        <v>0</v>
      </c>
      <c r="R4532" s="89"/>
      <c r="S4532" s="89">
        <f>100%-Table34[[#This Row],[PDF_initial fee]]</f>
        <v>1</v>
      </c>
      <c r="T4532" s="89"/>
      <c r="U4532" s="26"/>
    </row>
    <row r="4533" spans="1:28" x14ac:dyDescent="0.25">
      <c r="A4533">
        <v>944236</v>
      </c>
      <c r="B4533" t="s">
        <v>338</v>
      </c>
      <c r="C4533" t="s">
        <v>31096</v>
      </c>
      <c r="D4533">
        <v>1</v>
      </c>
      <c r="E4533" t="s">
        <v>338</v>
      </c>
      <c r="F4533" t="s">
        <v>3</v>
      </c>
      <c r="G4533" s="3">
        <v>1.4E-3</v>
      </c>
      <c r="H4533" s="3">
        <v>4.3999999999999997E-2</v>
      </c>
      <c r="I4533" s="3">
        <v>4.2500000000000003E-2</v>
      </c>
      <c r="J4533" s="6"/>
      <c r="K4533" s="6"/>
      <c r="L4533" s="3">
        <f t="shared" si="194"/>
        <v>8.6499999999999994E-2</v>
      </c>
      <c r="M4533" s="3"/>
      <c r="N4533" s="3">
        <f t="shared" si="195"/>
        <v>8.7899999999999992E-2</v>
      </c>
      <c r="O4533" t="s">
        <v>31097</v>
      </c>
      <c r="P4533" s="31" t="s">
        <v>31098</v>
      </c>
      <c r="Q4533" t="s">
        <v>31787</v>
      </c>
      <c r="R4533" s="89">
        <v>0.33333333333333348</v>
      </c>
      <c r="S4533" s="89">
        <f>100%-Table34[[#This Row],[InitialFee]]</f>
        <v>0.95599999999999996</v>
      </c>
      <c r="T4533" s="89">
        <f>(1-Table34[[#This Row],[OngoingFee (plus Platform fee)]])^5</f>
        <v>0.80481101778740238</v>
      </c>
      <c r="U4533" s="26">
        <f>(1+Table34[[#This Row],[Net 5yrs return (mostly up to 28th of Feb 2026)]])*Table34[[#This Row],[Investment after initial charge]]*Table34[[#This Row],[Cummulative 5yrs ongoing advice charge]]-1</f>
        <v>2.5865777339675766E-2</v>
      </c>
      <c r="V4533">
        <v>43381</v>
      </c>
      <c r="W4533" t="s">
        <v>29051</v>
      </c>
      <c r="X4533" s="9">
        <v>19384</v>
      </c>
      <c r="Y4533" s="30">
        <f>X4533/V4533</f>
        <v>0.44683156220465181</v>
      </c>
      <c r="AA4533" s="1" t="s">
        <v>31099</v>
      </c>
      <c r="AB4533" t="s">
        <v>29302</v>
      </c>
    </row>
    <row r="4534" spans="1:28" hidden="1" x14ac:dyDescent="0.25">
      <c r="A4534">
        <v>812813</v>
      </c>
      <c r="B4534" t="s">
        <v>4934</v>
      </c>
      <c r="C4534" s="1" t="s">
        <v>31100</v>
      </c>
      <c r="D4534">
        <v>1</v>
      </c>
      <c r="E4534" t="s">
        <v>4934</v>
      </c>
      <c r="G4534" s="3"/>
      <c r="H4534" s="3">
        <v>0</v>
      </c>
      <c r="I4534" s="3">
        <v>0</v>
      </c>
      <c r="J4534" s="3">
        <v>0</v>
      </c>
      <c r="K4534" s="3">
        <v>0</v>
      </c>
      <c r="L4534" s="3">
        <f t="shared" si="194"/>
        <v>0</v>
      </c>
      <c r="M4534" s="3"/>
      <c r="N4534" s="3">
        <f t="shared" si="195"/>
        <v>0</v>
      </c>
      <c r="R4534" s="89"/>
      <c r="S4534" s="89">
        <f>100%-Table34[[#This Row],[PDF_initial fee]]</f>
        <v>1</v>
      </c>
      <c r="T4534" s="89"/>
      <c r="U4534" s="26"/>
    </row>
    <row r="4535" spans="1:28" hidden="1" x14ac:dyDescent="0.25">
      <c r="A4535">
        <v>812935</v>
      </c>
      <c r="B4535" t="s">
        <v>4935</v>
      </c>
      <c r="C4535" t="s">
        <v>31101</v>
      </c>
      <c r="D4535">
        <v>1</v>
      </c>
      <c r="E4535" t="s">
        <v>4935</v>
      </c>
      <c r="G4535" s="3"/>
      <c r="H4535" s="3">
        <v>0</v>
      </c>
      <c r="I4535" s="3">
        <v>0</v>
      </c>
      <c r="J4535" s="3">
        <v>0</v>
      </c>
      <c r="K4535" s="3">
        <v>0</v>
      </c>
      <c r="L4535" s="3">
        <f t="shared" si="194"/>
        <v>0</v>
      </c>
      <c r="M4535" s="3"/>
      <c r="N4535" s="3">
        <f t="shared" si="195"/>
        <v>0</v>
      </c>
      <c r="R4535" s="89"/>
      <c r="S4535" s="89">
        <f>100%-Table34[[#This Row],[PDF_initial fee]]</f>
        <v>1</v>
      </c>
      <c r="T4535" s="89"/>
      <c r="U4535" s="26"/>
    </row>
    <row r="4536" spans="1:28" hidden="1" x14ac:dyDescent="0.25">
      <c r="A4536">
        <v>813073</v>
      </c>
      <c r="B4536" t="s">
        <v>4936</v>
      </c>
      <c r="C4536" t="s">
        <v>31102</v>
      </c>
      <c r="D4536">
        <v>2</v>
      </c>
      <c r="E4536" t="s">
        <v>4936</v>
      </c>
      <c r="G4536" s="3"/>
      <c r="H4536" s="3">
        <v>0</v>
      </c>
      <c r="I4536" s="3">
        <v>0</v>
      </c>
      <c r="J4536" s="3">
        <v>0</v>
      </c>
      <c r="K4536" s="3">
        <v>0</v>
      </c>
      <c r="L4536" s="3">
        <f t="shared" si="194"/>
        <v>0</v>
      </c>
      <c r="M4536" s="3"/>
      <c r="N4536" s="3">
        <f t="shared" si="195"/>
        <v>0</v>
      </c>
      <c r="R4536" s="89"/>
      <c r="S4536" s="89">
        <f>100%-Table34[[#This Row],[PDF_initial fee]]</f>
        <v>1</v>
      </c>
      <c r="T4536" s="89"/>
      <c r="U4536" s="26"/>
    </row>
    <row r="4537" spans="1:28" hidden="1" x14ac:dyDescent="0.25">
      <c r="A4537">
        <v>813341</v>
      </c>
      <c r="B4537" t="s">
        <v>4937</v>
      </c>
      <c r="C4537" t="s">
        <v>31103</v>
      </c>
      <c r="D4537">
        <v>1</v>
      </c>
      <c r="E4537" t="s">
        <v>4937</v>
      </c>
      <c r="G4537" s="3"/>
      <c r="H4537" s="21">
        <v>0</v>
      </c>
      <c r="I4537" s="21">
        <v>0</v>
      </c>
      <c r="J4537" s="21">
        <v>0</v>
      </c>
      <c r="K4537" s="21">
        <v>0</v>
      </c>
      <c r="L4537" s="3">
        <f t="shared" si="194"/>
        <v>0</v>
      </c>
      <c r="M4537" s="3"/>
      <c r="N4537" s="3">
        <f t="shared" si="195"/>
        <v>0</v>
      </c>
      <c r="O4537" s="21"/>
      <c r="R4537" s="89"/>
      <c r="S4537" s="89">
        <f>100%-Table34[[#This Row],[PDF_initial fee]]</f>
        <v>1</v>
      </c>
      <c r="T4537" s="89"/>
      <c r="U4537" s="26"/>
    </row>
    <row r="4538" spans="1:28" hidden="1" x14ac:dyDescent="0.25">
      <c r="A4538">
        <v>813547</v>
      </c>
      <c r="B4538" t="s">
        <v>4938</v>
      </c>
      <c r="C4538" t="s">
        <v>11141</v>
      </c>
      <c r="D4538">
        <v>2</v>
      </c>
      <c r="E4538" t="s">
        <v>4938</v>
      </c>
      <c r="G4538" s="3"/>
      <c r="H4538" s="3">
        <v>0</v>
      </c>
      <c r="I4538" s="3">
        <v>0</v>
      </c>
      <c r="J4538" s="3">
        <v>0</v>
      </c>
      <c r="K4538" s="3">
        <v>0</v>
      </c>
      <c r="L4538" s="3">
        <f t="shared" si="194"/>
        <v>0</v>
      </c>
      <c r="M4538" s="3"/>
      <c r="N4538" s="3">
        <f t="shared" si="195"/>
        <v>0</v>
      </c>
      <c r="R4538" s="89"/>
      <c r="S4538" s="89">
        <f>100%-Table34[[#This Row],[PDF_initial fee]]</f>
        <v>1</v>
      </c>
      <c r="T4538" s="89"/>
      <c r="U4538" s="26"/>
    </row>
    <row r="4539" spans="1:28" hidden="1" x14ac:dyDescent="0.25">
      <c r="A4539">
        <v>813553</v>
      </c>
      <c r="B4539" t="s">
        <v>4939</v>
      </c>
      <c r="C4539" t="s">
        <v>6969</v>
      </c>
      <c r="D4539">
        <v>1</v>
      </c>
      <c r="E4539" t="s">
        <v>4939</v>
      </c>
      <c r="G4539" s="3"/>
      <c r="H4539" s="21">
        <v>0</v>
      </c>
      <c r="I4539" s="21">
        <v>0</v>
      </c>
      <c r="J4539" s="21">
        <v>0</v>
      </c>
      <c r="K4539" s="21">
        <v>0</v>
      </c>
      <c r="L4539" s="3">
        <f t="shared" si="194"/>
        <v>0</v>
      </c>
      <c r="M4539" s="3"/>
      <c r="N4539" s="3">
        <f t="shared" si="195"/>
        <v>0</v>
      </c>
      <c r="R4539" s="89"/>
      <c r="S4539" s="89">
        <f>100%-Table34[[#This Row],[PDF_initial fee]]</f>
        <v>1</v>
      </c>
      <c r="T4539" s="89"/>
      <c r="U4539" s="26"/>
    </row>
    <row r="4540" spans="1:28" hidden="1" x14ac:dyDescent="0.25">
      <c r="A4540">
        <v>813786</v>
      </c>
      <c r="B4540" t="s">
        <v>4940</v>
      </c>
      <c r="C4540" s="1" t="s">
        <v>31104</v>
      </c>
      <c r="D4540">
        <v>1</v>
      </c>
      <c r="E4540" t="s">
        <v>4940</v>
      </c>
      <c r="G4540" s="3"/>
      <c r="H4540" s="3">
        <v>0</v>
      </c>
      <c r="I4540" s="3">
        <v>0</v>
      </c>
      <c r="J4540" s="3">
        <v>0</v>
      </c>
      <c r="K4540" s="3">
        <v>0</v>
      </c>
      <c r="L4540" s="3">
        <f t="shared" si="194"/>
        <v>0</v>
      </c>
      <c r="M4540" s="3"/>
      <c r="N4540" s="3">
        <f t="shared" si="195"/>
        <v>0</v>
      </c>
      <c r="R4540" s="89"/>
      <c r="S4540" s="89">
        <f>100%-Table34[[#This Row],[PDF_initial fee]]</f>
        <v>1</v>
      </c>
      <c r="T4540" s="89"/>
      <c r="U4540" s="26"/>
    </row>
    <row r="4541" spans="1:28" hidden="1" x14ac:dyDescent="0.25">
      <c r="A4541">
        <v>813845</v>
      </c>
      <c r="B4541" t="s">
        <v>4941</v>
      </c>
      <c r="C4541" t="s">
        <v>9729</v>
      </c>
      <c r="D4541">
        <v>10</v>
      </c>
      <c r="E4541" t="s">
        <v>4941</v>
      </c>
      <c r="G4541" s="3"/>
      <c r="H4541" s="3">
        <v>0</v>
      </c>
      <c r="I4541" s="3">
        <v>0</v>
      </c>
      <c r="J4541" s="3">
        <v>0</v>
      </c>
      <c r="K4541" s="3">
        <v>0</v>
      </c>
      <c r="L4541" s="3">
        <f t="shared" si="194"/>
        <v>0</v>
      </c>
      <c r="M4541" s="3"/>
      <c r="N4541" s="3">
        <f t="shared" si="195"/>
        <v>0</v>
      </c>
      <c r="R4541" s="89"/>
      <c r="S4541" s="89">
        <f>100%-Table34[[#This Row],[PDF_initial fee]]</f>
        <v>1</v>
      </c>
      <c r="T4541" s="89"/>
      <c r="U4541" s="26"/>
    </row>
    <row r="4542" spans="1:28" hidden="1" x14ac:dyDescent="0.25">
      <c r="A4542">
        <v>813853</v>
      </c>
      <c r="B4542" t="s">
        <v>4942</v>
      </c>
      <c r="C4542" t="s">
        <v>6958</v>
      </c>
      <c r="D4542">
        <v>1</v>
      </c>
      <c r="E4542" t="s">
        <v>4942</v>
      </c>
      <c r="F4542" t="s">
        <v>6958</v>
      </c>
      <c r="G4542" s="3"/>
      <c r="H4542" s="21">
        <v>0</v>
      </c>
      <c r="I4542" s="21">
        <v>0</v>
      </c>
      <c r="J4542" s="21">
        <v>0</v>
      </c>
      <c r="K4542" s="21">
        <v>0</v>
      </c>
      <c r="L4542" s="3">
        <f t="shared" si="194"/>
        <v>0</v>
      </c>
      <c r="M4542" s="3"/>
      <c r="N4542" s="3">
        <f t="shared" si="195"/>
        <v>0</v>
      </c>
      <c r="R4542" s="89"/>
      <c r="S4542" s="89">
        <f>100%-Table34[[#This Row],[PDF_initial fee]]</f>
        <v>1</v>
      </c>
      <c r="T4542" s="89"/>
      <c r="U4542" s="26"/>
    </row>
    <row r="4543" spans="1:28" x14ac:dyDescent="0.25">
      <c r="A4543">
        <v>581080</v>
      </c>
      <c r="B4543" t="s">
        <v>234</v>
      </c>
      <c r="C4543" t="s">
        <v>10625</v>
      </c>
      <c r="D4543">
        <v>12</v>
      </c>
      <c r="E4543" t="s">
        <v>234</v>
      </c>
      <c r="F4543" t="s">
        <v>3</v>
      </c>
      <c r="G4543" s="3">
        <v>1.4E-3</v>
      </c>
      <c r="H4543" s="3">
        <v>2.5000000000000001E-2</v>
      </c>
      <c r="I4543" s="3">
        <v>1.2500000000000001E-2</v>
      </c>
      <c r="J4543" s="6"/>
      <c r="K4543" s="6"/>
      <c r="L4543" s="3">
        <f t="shared" si="194"/>
        <v>3.7500000000000006E-2</v>
      </c>
      <c r="M4543" s="3"/>
      <c r="N4543" s="3">
        <f t="shared" si="195"/>
        <v>3.8900000000000004E-2</v>
      </c>
      <c r="P4543" s="31" t="s">
        <v>31105</v>
      </c>
      <c r="Q4543" t="s">
        <v>31787</v>
      </c>
      <c r="R4543" s="89">
        <v>0.33333333333333348</v>
      </c>
      <c r="S4543" s="89">
        <f>100%-Table34[[#This Row],[InitialFee]]</f>
        <v>0.97499999999999998</v>
      </c>
      <c r="T4543" s="89">
        <f>(1-Table34[[#This Row],[OngoingFee (plus Platform fee)]])^5</f>
        <v>0.9390430905151369</v>
      </c>
      <c r="U4543" s="26">
        <f>(1+Table34[[#This Row],[Net 5yrs return (mostly up to 28th of Feb 2026)]])*Table34[[#This Row],[Investment after initial charge]]*Table34[[#This Row],[Cummulative 5yrs ongoing advice charge]]-1</f>
        <v>0.22075601766967812</v>
      </c>
      <c r="V4543" s="10">
        <f>345531+1981</f>
        <v>347512</v>
      </c>
      <c r="W4543" t="s">
        <v>29051</v>
      </c>
      <c r="X4543" s="9">
        <v>123184</v>
      </c>
      <c r="Y4543" s="30">
        <f>X4543/V4543</f>
        <v>0.35447409010336334</v>
      </c>
      <c r="AA4543" s="1" t="s">
        <v>31106</v>
      </c>
      <c r="AB4543" t="s">
        <v>29302</v>
      </c>
    </row>
    <row r="4544" spans="1:28" hidden="1" x14ac:dyDescent="0.25">
      <c r="A4544">
        <v>814106</v>
      </c>
      <c r="B4544" t="s">
        <v>4943</v>
      </c>
      <c r="C4544" t="s">
        <v>31107</v>
      </c>
      <c r="D4544">
        <v>11</v>
      </c>
      <c r="E4544" t="s">
        <v>4943</v>
      </c>
      <c r="G4544" s="3"/>
      <c r="H4544" s="21">
        <v>0</v>
      </c>
      <c r="I4544" s="21">
        <v>0</v>
      </c>
      <c r="J4544" s="21">
        <v>0</v>
      </c>
      <c r="K4544" s="21">
        <v>0</v>
      </c>
      <c r="L4544" s="3">
        <f t="shared" si="194"/>
        <v>0</v>
      </c>
      <c r="M4544" s="3"/>
      <c r="N4544" s="3">
        <f t="shared" si="195"/>
        <v>0</v>
      </c>
      <c r="O4544" s="21"/>
      <c r="R4544" s="89"/>
      <c r="S4544" s="89">
        <f>100%-Table34[[#This Row],[PDF_initial fee]]</f>
        <v>1</v>
      </c>
      <c r="T4544" s="89"/>
      <c r="U4544" s="26"/>
    </row>
    <row r="4545" spans="1:21" hidden="1" x14ac:dyDescent="0.25">
      <c r="A4545">
        <v>814454</v>
      </c>
      <c r="B4545" t="s">
        <v>4944</v>
      </c>
      <c r="C4545" t="s">
        <v>12222</v>
      </c>
      <c r="D4545">
        <v>1</v>
      </c>
      <c r="E4545" t="s">
        <v>4944</v>
      </c>
      <c r="G4545" s="3"/>
      <c r="H4545" s="3">
        <v>0</v>
      </c>
      <c r="I4545" s="3">
        <v>0</v>
      </c>
      <c r="J4545" s="3">
        <v>0</v>
      </c>
      <c r="K4545" s="3">
        <v>0</v>
      </c>
      <c r="L4545" s="3">
        <f t="shared" si="194"/>
        <v>0</v>
      </c>
      <c r="M4545" s="3"/>
      <c r="N4545" s="3">
        <f t="shared" si="195"/>
        <v>0</v>
      </c>
      <c r="R4545" s="89"/>
      <c r="S4545" s="89">
        <f>100%-Table34[[#This Row],[PDF_initial fee]]</f>
        <v>1</v>
      </c>
      <c r="T4545" s="89"/>
      <c r="U4545" s="26"/>
    </row>
    <row r="4546" spans="1:21" hidden="1" x14ac:dyDescent="0.25">
      <c r="A4546">
        <v>814844</v>
      </c>
      <c r="B4546" t="s">
        <v>4945</v>
      </c>
      <c r="C4546" t="s">
        <v>9370</v>
      </c>
      <c r="D4546">
        <v>4</v>
      </c>
      <c r="E4546" t="s">
        <v>4945</v>
      </c>
      <c r="G4546" s="3"/>
      <c r="H4546" s="21">
        <v>0</v>
      </c>
      <c r="I4546" s="21">
        <v>0</v>
      </c>
      <c r="J4546" s="21">
        <v>0</v>
      </c>
      <c r="K4546" s="21">
        <v>0</v>
      </c>
      <c r="L4546" s="3">
        <f t="shared" si="194"/>
        <v>0</v>
      </c>
      <c r="M4546" s="3"/>
      <c r="N4546" s="3">
        <f t="shared" si="195"/>
        <v>0</v>
      </c>
      <c r="R4546" s="89"/>
      <c r="S4546" s="89">
        <f>100%-Table34[[#This Row],[PDF_initial fee]]</f>
        <v>1</v>
      </c>
      <c r="T4546" s="89"/>
      <c r="U4546" s="26"/>
    </row>
    <row r="4547" spans="1:21" hidden="1" x14ac:dyDescent="0.25">
      <c r="A4547">
        <v>815221</v>
      </c>
      <c r="B4547" t="s">
        <v>4946</v>
      </c>
      <c r="C4547" t="s">
        <v>31108</v>
      </c>
      <c r="D4547">
        <v>1</v>
      </c>
      <c r="E4547" t="s">
        <v>4946</v>
      </c>
      <c r="G4547" s="3"/>
      <c r="H4547" s="3">
        <v>0</v>
      </c>
      <c r="I4547" s="3">
        <v>0</v>
      </c>
      <c r="J4547" s="3">
        <v>0</v>
      </c>
      <c r="K4547" s="3">
        <v>0</v>
      </c>
      <c r="L4547" s="3">
        <f t="shared" si="194"/>
        <v>0</v>
      </c>
      <c r="M4547" s="3"/>
      <c r="N4547" s="3">
        <f t="shared" si="195"/>
        <v>0</v>
      </c>
      <c r="R4547" s="89"/>
      <c r="S4547" s="89">
        <f>100%-Table34[[#This Row],[PDF_initial fee]]</f>
        <v>1</v>
      </c>
      <c r="T4547" s="89"/>
      <c r="U4547" s="26"/>
    </row>
    <row r="4548" spans="1:21" hidden="1" x14ac:dyDescent="0.25">
      <c r="A4548">
        <v>815222</v>
      </c>
      <c r="B4548" t="s">
        <v>4947</v>
      </c>
      <c r="C4548" t="s">
        <v>6958</v>
      </c>
      <c r="D4548">
        <v>1</v>
      </c>
      <c r="E4548" t="s">
        <v>4947</v>
      </c>
      <c r="F4548" t="s">
        <v>6958</v>
      </c>
      <c r="G4548" s="3"/>
      <c r="H4548" s="21">
        <v>0</v>
      </c>
      <c r="I4548" s="21">
        <v>0</v>
      </c>
      <c r="J4548" s="21">
        <v>0</v>
      </c>
      <c r="K4548" s="21">
        <v>0</v>
      </c>
      <c r="L4548" s="3">
        <f t="shared" si="194"/>
        <v>0</v>
      </c>
      <c r="M4548" s="3"/>
      <c r="N4548" s="3">
        <f t="shared" si="195"/>
        <v>0</v>
      </c>
      <c r="R4548" s="89"/>
      <c r="S4548" s="89">
        <f>100%-Table34[[#This Row],[PDF_initial fee]]</f>
        <v>1</v>
      </c>
      <c r="T4548" s="89"/>
      <c r="U4548" s="26"/>
    </row>
    <row r="4549" spans="1:21" hidden="1" x14ac:dyDescent="0.25">
      <c r="A4549">
        <v>815307</v>
      </c>
      <c r="B4549" t="s">
        <v>4948</v>
      </c>
      <c r="C4549" t="s">
        <v>10429</v>
      </c>
      <c r="D4549">
        <v>6</v>
      </c>
      <c r="E4549" t="s">
        <v>4948</v>
      </c>
      <c r="G4549" s="3"/>
      <c r="H4549" s="3">
        <v>0</v>
      </c>
      <c r="I4549" s="3">
        <v>0</v>
      </c>
      <c r="J4549" s="3">
        <v>0</v>
      </c>
      <c r="K4549" s="3">
        <v>0</v>
      </c>
      <c r="L4549" s="3">
        <f t="shared" si="194"/>
        <v>0</v>
      </c>
      <c r="M4549" s="3"/>
      <c r="N4549" s="3">
        <f t="shared" si="195"/>
        <v>0</v>
      </c>
      <c r="R4549" s="89"/>
      <c r="S4549" s="89">
        <f>100%-Table34[[#This Row],[PDF_initial fee]]</f>
        <v>1</v>
      </c>
      <c r="T4549" s="89"/>
      <c r="U4549" s="26"/>
    </row>
    <row r="4550" spans="1:21" hidden="1" x14ac:dyDescent="0.25">
      <c r="A4550">
        <v>815352</v>
      </c>
      <c r="B4550" t="s">
        <v>4950</v>
      </c>
      <c r="C4550" t="s">
        <v>12319</v>
      </c>
      <c r="D4550">
        <v>1</v>
      </c>
      <c r="E4550" t="s">
        <v>4950</v>
      </c>
      <c r="G4550" s="3"/>
      <c r="H4550" s="3">
        <v>0</v>
      </c>
      <c r="I4550" s="3">
        <v>0</v>
      </c>
      <c r="J4550" s="3">
        <v>0</v>
      </c>
      <c r="K4550" s="3">
        <v>0</v>
      </c>
      <c r="L4550" s="3">
        <f t="shared" si="194"/>
        <v>0</v>
      </c>
      <c r="M4550" s="3"/>
      <c r="N4550" s="3">
        <f t="shared" si="195"/>
        <v>0</v>
      </c>
      <c r="R4550" s="89"/>
      <c r="S4550" s="89">
        <f>100%-Table34[[#This Row],[PDF_initial fee]]</f>
        <v>1</v>
      </c>
      <c r="T4550" s="89"/>
      <c r="U4550" s="26"/>
    </row>
    <row r="4551" spans="1:21" hidden="1" x14ac:dyDescent="0.25">
      <c r="A4551">
        <v>815599</v>
      </c>
      <c r="B4551" t="s">
        <v>4951</v>
      </c>
      <c r="C4551" t="s">
        <v>11754</v>
      </c>
      <c r="D4551">
        <v>0</v>
      </c>
      <c r="E4551" t="s">
        <v>4951</v>
      </c>
      <c r="F4551" t="s">
        <v>3</v>
      </c>
      <c r="G4551" s="3"/>
      <c r="H4551" s="3">
        <v>0</v>
      </c>
      <c r="I4551" s="3">
        <v>0</v>
      </c>
      <c r="J4551" s="3">
        <v>0</v>
      </c>
      <c r="K4551" s="3">
        <v>0</v>
      </c>
      <c r="L4551" s="3">
        <f t="shared" ref="L4551:L4592" si="196">SUM(H4551:K4551)</f>
        <v>0</v>
      </c>
      <c r="M4551" s="3"/>
      <c r="N4551" s="3">
        <f t="shared" ref="N4551:N4592" si="197">L4551+G4551</f>
        <v>0</v>
      </c>
      <c r="R4551" s="89"/>
      <c r="S4551" s="89">
        <f>100%-Table34[[#This Row],[PDF_initial fee]]</f>
        <v>1</v>
      </c>
      <c r="T4551" s="89"/>
      <c r="U4551" s="26"/>
    </row>
    <row r="4552" spans="1:21" hidden="1" x14ac:dyDescent="0.25">
      <c r="A4552">
        <v>815602</v>
      </c>
      <c r="B4552" t="s">
        <v>4952</v>
      </c>
      <c r="C4552" t="s">
        <v>7687</v>
      </c>
      <c r="D4552">
        <v>7</v>
      </c>
      <c r="E4552" t="s">
        <v>4952</v>
      </c>
      <c r="G4552" s="3"/>
      <c r="H4552" s="21">
        <v>0</v>
      </c>
      <c r="I4552" s="21">
        <v>0</v>
      </c>
      <c r="J4552" s="21">
        <v>0</v>
      </c>
      <c r="K4552" s="21">
        <v>0</v>
      </c>
      <c r="L4552" s="3">
        <f t="shared" si="196"/>
        <v>0</v>
      </c>
      <c r="M4552" s="3"/>
      <c r="N4552" s="3">
        <f t="shared" si="197"/>
        <v>0</v>
      </c>
      <c r="R4552" s="89"/>
      <c r="S4552" s="89">
        <f>100%-Table34[[#This Row],[PDF_initial fee]]</f>
        <v>1</v>
      </c>
      <c r="T4552" s="89"/>
      <c r="U4552" s="26"/>
    </row>
    <row r="4553" spans="1:21" hidden="1" x14ac:dyDescent="0.25">
      <c r="A4553">
        <v>815621</v>
      </c>
      <c r="B4553" t="s">
        <v>4953</v>
      </c>
      <c r="C4553" t="s">
        <v>31109</v>
      </c>
      <c r="D4553">
        <v>5</v>
      </c>
      <c r="E4553" t="s">
        <v>4953</v>
      </c>
      <c r="G4553" s="3"/>
      <c r="H4553" s="3">
        <v>0</v>
      </c>
      <c r="I4553" s="3">
        <v>0</v>
      </c>
      <c r="J4553" s="3">
        <v>0</v>
      </c>
      <c r="K4553" s="3">
        <v>0</v>
      </c>
      <c r="L4553" s="3">
        <f t="shared" si="196"/>
        <v>0</v>
      </c>
      <c r="M4553" s="3"/>
      <c r="N4553" s="3">
        <f t="shared" si="197"/>
        <v>0</v>
      </c>
      <c r="R4553" s="89"/>
      <c r="S4553" s="89">
        <f>100%-Table34[[#This Row],[PDF_initial fee]]</f>
        <v>1</v>
      </c>
      <c r="T4553" s="89"/>
      <c r="U4553" s="26"/>
    </row>
    <row r="4554" spans="1:21" hidden="1" x14ac:dyDescent="0.25">
      <c r="A4554">
        <v>815638</v>
      </c>
      <c r="B4554" t="s">
        <v>4954</v>
      </c>
      <c r="C4554" t="s">
        <v>10633</v>
      </c>
      <c r="D4554">
        <v>1</v>
      </c>
      <c r="E4554" t="s">
        <v>4954</v>
      </c>
      <c r="G4554" s="3"/>
      <c r="H4554" s="3">
        <v>0</v>
      </c>
      <c r="I4554" s="3">
        <v>0</v>
      </c>
      <c r="J4554" s="3">
        <v>0</v>
      </c>
      <c r="K4554" s="3">
        <v>0</v>
      </c>
      <c r="L4554" s="3">
        <f t="shared" si="196"/>
        <v>0</v>
      </c>
      <c r="M4554" s="3"/>
      <c r="N4554" s="3">
        <f t="shared" si="197"/>
        <v>0</v>
      </c>
      <c r="R4554" s="89"/>
      <c r="S4554" s="89">
        <f>100%-Table34[[#This Row],[PDF_initial fee]]</f>
        <v>1</v>
      </c>
      <c r="T4554" s="89"/>
      <c r="U4554" s="26"/>
    </row>
    <row r="4555" spans="1:21" hidden="1" x14ac:dyDescent="0.25">
      <c r="A4555">
        <v>815728</v>
      </c>
      <c r="B4555" t="s">
        <v>4955</v>
      </c>
      <c r="C4555" t="s">
        <v>31110</v>
      </c>
      <c r="D4555">
        <v>1</v>
      </c>
      <c r="E4555" t="s">
        <v>4955</v>
      </c>
      <c r="G4555" s="3"/>
      <c r="H4555" s="21">
        <v>0</v>
      </c>
      <c r="I4555" s="21">
        <v>0</v>
      </c>
      <c r="J4555" s="21">
        <v>0</v>
      </c>
      <c r="K4555" s="21">
        <v>0</v>
      </c>
      <c r="L4555" s="3">
        <f t="shared" si="196"/>
        <v>0</v>
      </c>
      <c r="M4555" s="3"/>
      <c r="N4555" s="3">
        <f t="shared" si="197"/>
        <v>0</v>
      </c>
      <c r="O4555" s="21"/>
      <c r="R4555" s="89"/>
      <c r="S4555" s="89">
        <f>100%-Table34[[#This Row],[PDF_initial fee]]</f>
        <v>1</v>
      </c>
      <c r="T4555" s="89"/>
      <c r="U4555" s="26"/>
    </row>
    <row r="4556" spans="1:21" hidden="1" x14ac:dyDescent="0.25">
      <c r="A4556">
        <v>815777</v>
      </c>
      <c r="B4556" t="s">
        <v>4956</v>
      </c>
      <c r="C4556" t="s">
        <v>6958</v>
      </c>
      <c r="D4556">
        <v>1</v>
      </c>
      <c r="E4556" t="s">
        <v>4956</v>
      </c>
      <c r="F4556" t="s">
        <v>6958</v>
      </c>
      <c r="G4556" s="3"/>
      <c r="H4556" s="21">
        <v>0</v>
      </c>
      <c r="I4556" s="21">
        <v>0</v>
      </c>
      <c r="J4556" s="21">
        <v>0</v>
      </c>
      <c r="K4556" s="21">
        <v>0</v>
      </c>
      <c r="L4556" s="3">
        <f t="shared" si="196"/>
        <v>0</v>
      </c>
      <c r="M4556" s="3"/>
      <c r="N4556" s="3">
        <f t="shared" si="197"/>
        <v>0</v>
      </c>
      <c r="R4556" s="89"/>
      <c r="S4556" s="89">
        <f>100%-Table34[[#This Row],[PDF_initial fee]]</f>
        <v>1</v>
      </c>
      <c r="T4556" s="89"/>
      <c r="U4556" s="26"/>
    </row>
    <row r="4557" spans="1:21" hidden="1" x14ac:dyDescent="0.25">
      <c r="A4557">
        <v>815891</v>
      </c>
      <c r="B4557" t="s">
        <v>4957</v>
      </c>
      <c r="C4557" t="s">
        <v>7727</v>
      </c>
      <c r="D4557">
        <v>1</v>
      </c>
      <c r="E4557" t="s">
        <v>4957</v>
      </c>
      <c r="G4557" s="3"/>
      <c r="H4557" s="21">
        <v>0</v>
      </c>
      <c r="I4557" s="21">
        <v>0</v>
      </c>
      <c r="J4557" s="21">
        <v>0</v>
      </c>
      <c r="K4557" s="21">
        <v>0</v>
      </c>
      <c r="L4557" s="3">
        <f t="shared" si="196"/>
        <v>0</v>
      </c>
      <c r="M4557" s="3"/>
      <c r="N4557" s="3">
        <f t="shared" si="197"/>
        <v>0</v>
      </c>
      <c r="R4557" s="89"/>
      <c r="S4557" s="89">
        <f>100%-Table34[[#This Row],[PDF_initial fee]]</f>
        <v>1</v>
      </c>
      <c r="T4557" s="89"/>
      <c r="U4557" s="26"/>
    </row>
    <row r="4558" spans="1:21" hidden="1" x14ac:dyDescent="0.25">
      <c r="A4558">
        <v>816029</v>
      </c>
      <c r="B4558" t="s">
        <v>4958</v>
      </c>
      <c r="C4558" t="s">
        <v>8538</v>
      </c>
      <c r="D4558">
        <v>6</v>
      </c>
      <c r="E4558" t="s">
        <v>4958</v>
      </c>
      <c r="G4558" s="3"/>
      <c r="H4558" s="21">
        <v>0</v>
      </c>
      <c r="I4558" s="21">
        <v>0</v>
      </c>
      <c r="J4558" s="21">
        <v>0</v>
      </c>
      <c r="K4558" s="21">
        <v>0</v>
      </c>
      <c r="L4558" s="3">
        <f t="shared" si="196"/>
        <v>0</v>
      </c>
      <c r="M4558" s="3"/>
      <c r="N4558" s="3">
        <f t="shared" si="197"/>
        <v>0</v>
      </c>
      <c r="R4558" s="89"/>
      <c r="S4558" s="89">
        <f>100%-Table34[[#This Row],[PDF_initial fee]]</f>
        <v>1</v>
      </c>
      <c r="T4558" s="89"/>
      <c r="U4558" s="26"/>
    </row>
    <row r="4559" spans="1:21" hidden="1" x14ac:dyDescent="0.25">
      <c r="A4559">
        <v>816033</v>
      </c>
      <c r="B4559" t="s">
        <v>4959</v>
      </c>
      <c r="C4559" t="s">
        <v>9229</v>
      </c>
      <c r="D4559">
        <v>1</v>
      </c>
      <c r="E4559" t="s">
        <v>4959</v>
      </c>
      <c r="G4559" s="3"/>
      <c r="H4559" s="21">
        <v>0</v>
      </c>
      <c r="I4559" s="21">
        <v>0</v>
      </c>
      <c r="J4559" s="21">
        <v>0</v>
      </c>
      <c r="K4559" s="21">
        <v>0</v>
      </c>
      <c r="L4559" s="3">
        <f t="shared" si="196"/>
        <v>0</v>
      </c>
      <c r="M4559" s="3"/>
      <c r="N4559" s="3">
        <f t="shared" si="197"/>
        <v>0</v>
      </c>
      <c r="R4559" s="89"/>
      <c r="S4559" s="89">
        <f>100%-Table34[[#This Row],[PDF_initial fee]]</f>
        <v>1</v>
      </c>
      <c r="T4559" s="89"/>
      <c r="U4559" s="26"/>
    </row>
    <row r="4560" spans="1:21" hidden="1" x14ac:dyDescent="0.25">
      <c r="A4560">
        <v>816265</v>
      </c>
      <c r="B4560" t="s">
        <v>4960</v>
      </c>
      <c r="C4560" t="s">
        <v>31111</v>
      </c>
      <c r="D4560">
        <v>4</v>
      </c>
      <c r="E4560" t="s">
        <v>4960</v>
      </c>
      <c r="G4560" s="3"/>
      <c r="H4560" s="21">
        <v>0</v>
      </c>
      <c r="I4560" s="21">
        <v>0</v>
      </c>
      <c r="J4560" s="21">
        <v>0</v>
      </c>
      <c r="K4560" s="21">
        <v>0</v>
      </c>
      <c r="L4560" s="3">
        <f t="shared" si="196"/>
        <v>0</v>
      </c>
      <c r="M4560" s="3"/>
      <c r="N4560" s="3">
        <f t="shared" si="197"/>
        <v>0</v>
      </c>
      <c r="O4560" s="21"/>
      <c r="R4560" s="89"/>
      <c r="S4560" s="89">
        <f>100%-Table34[[#This Row],[PDF_initial fee]]</f>
        <v>1</v>
      </c>
      <c r="T4560" s="89"/>
      <c r="U4560" s="26"/>
    </row>
    <row r="4561" spans="1:27" hidden="1" x14ac:dyDescent="0.25">
      <c r="A4561">
        <v>816564</v>
      </c>
      <c r="B4561" t="s">
        <v>4961</v>
      </c>
      <c r="C4561" t="s">
        <v>6958</v>
      </c>
      <c r="D4561">
        <v>1</v>
      </c>
      <c r="E4561" t="s">
        <v>4961</v>
      </c>
      <c r="F4561" t="s">
        <v>6958</v>
      </c>
      <c r="G4561" s="3"/>
      <c r="H4561" s="21">
        <v>0</v>
      </c>
      <c r="I4561" s="21">
        <v>0</v>
      </c>
      <c r="J4561" s="21">
        <v>0</v>
      </c>
      <c r="K4561" s="21">
        <v>0</v>
      </c>
      <c r="L4561" s="3">
        <f t="shared" si="196"/>
        <v>0</v>
      </c>
      <c r="M4561" s="3"/>
      <c r="N4561" s="3">
        <f t="shared" si="197"/>
        <v>0</v>
      </c>
      <c r="R4561" s="89"/>
      <c r="S4561" s="89">
        <f>100%-Table34[[#This Row],[PDF_initial fee]]</f>
        <v>1</v>
      </c>
      <c r="T4561" s="89"/>
      <c r="U4561" s="26"/>
    </row>
    <row r="4562" spans="1:27" hidden="1" x14ac:dyDescent="0.25">
      <c r="A4562">
        <v>816718</v>
      </c>
      <c r="B4562" t="s">
        <v>4962</v>
      </c>
      <c r="C4562" t="s">
        <v>12362</v>
      </c>
      <c r="D4562">
        <v>1</v>
      </c>
      <c r="E4562" t="s">
        <v>4962</v>
      </c>
      <c r="G4562" s="3"/>
      <c r="H4562" s="3">
        <v>0</v>
      </c>
      <c r="I4562" s="3">
        <v>0</v>
      </c>
      <c r="J4562" s="3">
        <v>0</v>
      </c>
      <c r="K4562" s="3">
        <v>0</v>
      </c>
      <c r="L4562" s="3">
        <f t="shared" si="196"/>
        <v>0</v>
      </c>
      <c r="M4562" s="3"/>
      <c r="N4562" s="3">
        <f t="shared" si="197"/>
        <v>0</v>
      </c>
      <c r="R4562" s="89"/>
      <c r="S4562" s="89">
        <f>100%-Table34[[#This Row],[PDF_initial fee]]</f>
        <v>1</v>
      </c>
      <c r="T4562" s="89"/>
      <c r="U4562" s="26"/>
    </row>
    <row r="4563" spans="1:27" x14ac:dyDescent="0.25">
      <c r="A4563">
        <v>677777</v>
      </c>
      <c r="B4563" t="s">
        <v>267</v>
      </c>
      <c r="C4563" s="1" t="s">
        <v>11417</v>
      </c>
      <c r="D4563">
        <v>1</v>
      </c>
      <c r="E4563" t="s">
        <v>267</v>
      </c>
      <c r="F4563" t="s">
        <v>3</v>
      </c>
      <c r="G4563" s="3">
        <v>1.4E-3</v>
      </c>
      <c r="H4563" s="3">
        <v>2.2499999999999999E-2</v>
      </c>
      <c r="I4563" s="3">
        <v>8.0000000000000002E-3</v>
      </c>
      <c r="J4563" s="6"/>
      <c r="K4563" s="6"/>
      <c r="L4563" s="3">
        <f t="shared" si="196"/>
        <v>3.0499999999999999E-2</v>
      </c>
      <c r="M4563" s="3"/>
      <c r="N4563" s="3">
        <f t="shared" si="197"/>
        <v>3.1899999999999998E-2</v>
      </c>
      <c r="P4563" s="31" t="s">
        <v>31112</v>
      </c>
      <c r="Q4563" t="s">
        <v>31787</v>
      </c>
      <c r="R4563" s="89">
        <v>0.33333333333333348</v>
      </c>
      <c r="S4563" s="89">
        <f>100%-Table34[[#This Row],[InitialFee]]</f>
        <v>0.97750000000000004</v>
      </c>
      <c r="T4563" s="89">
        <f>(1-Table34[[#This Row],[OngoingFee (plus Platform fee)]])^5</f>
        <v>0.96063490044723188</v>
      </c>
      <c r="U4563" s="26">
        <f>(1+Table34[[#This Row],[Net 5yrs return (mostly up to 28th of Feb 2026)]])*Table34[[#This Row],[Investment after initial charge]]*Table34[[#This Row],[Cummulative 5yrs ongoing advice charge]]-1</f>
        <v>0.25202748691622556</v>
      </c>
      <c r="V4563">
        <f>342907+142689</f>
        <v>485596</v>
      </c>
      <c r="W4563" t="s">
        <v>29051</v>
      </c>
      <c r="X4563" s="9">
        <v>339082</v>
      </c>
      <c r="Y4563" s="30">
        <f>X4563/V4563</f>
        <v>0.69828005173024488</v>
      </c>
      <c r="AA4563" s="1" t="s">
        <v>31113</v>
      </c>
    </row>
    <row r="4564" spans="1:27" hidden="1" x14ac:dyDescent="0.25">
      <c r="A4564">
        <v>816962</v>
      </c>
      <c r="B4564" t="s">
        <v>4963</v>
      </c>
      <c r="C4564" t="s">
        <v>31114</v>
      </c>
      <c r="D4564">
        <v>0</v>
      </c>
      <c r="E4564" t="s">
        <v>4963</v>
      </c>
      <c r="F4564" t="s">
        <v>29136</v>
      </c>
      <c r="G4564" s="3"/>
      <c r="H4564" s="3"/>
      <c r="I4564" s="3"/>
      <c r="J4564" s="3"/>
      <c r="K4564" s="3"/>
      <c r="L4564" s="3">
        <f t="shared" si="196"/>
        <v>0</v>
      </c>
      <c r="M4564" s="3"/>
      <c r="N4564" s="3">
        <f t="shared" si="197"/>
        <v>0</v>
      </c>
      <c r="R4564" s="89"/>
      <c r="S4564" s="89">
        <f>100%-Table34[[#This Row],[PDF_initial fee]]</f>
        <v>1</v>
      </c>
      <c r="T4564" s="89"/>
      <c r="U4564" s="26"/>
    </row>
    <row r="4565" spans="1:27" hidden="1" x14ac:dyDescent="0.25">
      <c r="A4565">
        <v>817090</v>
      </c>
      <c r="B4565" t="s">
        <v>4964</v>
      </c>
      <c r="C4565" t="s">
        <v>7070</v>
      </c>
      <c r="D4565">
        <v>5</v>
      </c>
      <c r="E4565" t="s">
        <v>4964</v>
      </c>
      <c r="G4565" s="3"/>
      <c r="H4565" s="21">
        <v>0</v>
      </c>
      <c r="I4565" s="21">
        <v>0</v>
      </c>
      <c r="J4565" s="21">
        <v>0</v>
      </c>
      <c r="K4565" s="21">
        <v>0</v>
      </c>
      <c r="L4565" s="3">
        <f t="shared" si="196"/>
        <v>0</v>
      </c>
      <c r="M4565" s="3"/>
      <c r="N4565" s="3">
        <f t="shared" si="197"/>
        <v>0</v>
      </c>
      <c r="R4565" s="89"/>
      <c r="S4565" s="89">
        <f>100%-Table34[[#This Row],[PDF_initial fee]]</f>
        <v>1</v>
      </c>
      <c r="T4565" s="89"/>
      <c r="U4565" s="26"/>
    </row>
    <row r="4566" spans="1:27" hidden="1" x14ac:dyDescent="0.25">
      <c r="A4566">
        <v>817188</v>
      </c>
      <c r="B4566" t="s">
        <v>4965</v>
      </c>
      <c r="C4566" s="1" t="s">
        <v>8273</v>
      </c>
      <c r="D4566">
        <v>5</v>
      </c>
      <c r="E4566" t="s">
        <v>4965</v>
      </c>
      <c r="G4566" s="3"/>
      <c r="H4566" s="21">
        <v>0</v>
      </c>
      <c r="I4566" s="21">
        <v>0</v>
      </c>
      <c r="J4566" s="21">
        <v>0</v>
      </c>
      <c r="K4566" s="21">
        <v>0</v>
      </c>
      <c r="L4566" s="3">
        <f t="shared" si="196"/>
        <v>0</v>
      </c>
      <c r="M4566" s="3"/>
      <c r="N4566" s="3">
        <f t="shared" si="197"/>
        <v>0</v>
      </c>
      <c r="R4566" s="89"/>
      <c r="S4566" s="89">
        <f>100%-Table34[[#This Row],[PDF_initial fee]]</f>
        <v>1</v>
      </c>
      <c r="T4566" s="89"/>
      <c r="U4566" s="26"/>
    </row>
    <row r="4567" spans="1:27" hidden="1" x14ac:dyDescent="0.25">
      <c r="A4567">
        <v>817231</v>
      </c>
      <c r="B4567" t="s">
        <v>4966</v>
      </c>
      <c r="C4567" t="s">
        <v>31115</v>
      </c>
      <c r="D4567">
        <v>0</v>
      </c>
      <c r="E4567" t="s">
        <v>4966</v>
      </c>
      <c r="F4567" t="s">
        <v>29136</v>
      </c>
      <c r="G4567" s="3"/>
      <c r="H4567" s="21">
        <v>0</v>
      </c>
      <c r="I4567" s="21">
        <v>0</v>
      </c>
      <c r="J4567" s="21">
        <v>0</v>
      </c>
      <c r="K4567" s="21">
        <v>0</v>
      </c>
      <c r="L4567" s="3">
        <f t="shared" si="196"/>
        <v>0</v>
      </c>
      <c r="M4567" s="3"/>
      <c r="N4567" s="3">
        <f t="shared" si="197"/>
        <v>0</v>
      </c>
      <c r="O4567" s="21"/>
      <c r="R4567" s="89"/>
      <c r="S4567" s="89">
        <f>100%-Table34[[#This Row],[PDF_initial fee]]</f>
        <v>1</v>
      </c>
      <c r="T4567" s="89"/>
      <c r="U4567" s="26"/>
    </row>
    <row r="4568" spans="1:27" hidden="1" x14ac:dyDescent="0.25">
      <c r="A4568">
        <v>819330</v>
      </c>
      <c r="B4568" t="s">
        <v>4967</v>
      </c>
      <c r="C4568" t="s">
        <v>11982</v>
      </c>
      <c r="D4568">
        <v>4</v>
      </c>
      <c r="E4568" t="s">
        <v>4967</v>
      </c>
      <c r="G4568" s="3"/>
      <c r="H4568" s="3">
        <v>0</v>
      </c>
      <c r="I4568" s="3">
        <v>0</v>
      </c>
      <c r="J4568" s="3">
        <v>0</v>
      </c>
      <c r="K4568" s="3">
        <v>0</v>
      </c>
      <c r="L4568" s="3">
        <f t="shared" si="196"/>
        <v>0</v>
      </c>
      <c r="M4568" s="3"/>
      <c r="N4568" s="3">
        <f t="shared" si="197"/>
        <v>0</v>
      </c>
      <c r="R4568" s="89"/>
      <c r="S4568" s="89">
        <f>100%-Table34[[#This Row],[PDF_initial fee]]</f>
        <v>1</v>
      </c>
      <c r="T4568" s="89"/>
      <c r="U4568" s="26"/>
    </row>
    <row r="4569" spans="1:27" hidden="1" x14ac:dyDescent="0.25">
      <c r="A4569">
        <v>820107</v>
      </c>
      <c r="B4569" t="s">
        <v>4968</v>
      </c>
      <c r="C4569" s="1" t="s">
        <v>31116</v>
      </c>
      <c r="D4569">
        <v>1</v>
      </c>
      <c r="E4569" t="s">
        <v>4968</v>
      </c>
      <c r="G4569" s="3"/>
      <c r="H4569" s="3">
        <v>0</v>
      </c>
      <c r="I4569" s="3">
        <v>0</v>
      </c>
      <c r="J4569" s="3">
        <v>0</v>
      </c>
      <c r="K4569" s="3">
        <v>0</v>
      </c>
      <c r="L4569" s="3">
        <f t="shared" si="196"/>
        <v>0</v>
      </c>
      <c r="M4569" s="3"/>
      <c r="N4569" s="3">
        <f t="shared" si="197"/>
        <v>0</v>
      </c>
      <c r="R4569" s="89"/>
      <c r="S4569" s="89">
        <f>100%-Table34[[#This Row],[PDF_initial fee]]</f>
        <v>1</v>
      </c>
      <c r="T4569" s="89"/>
      <c r="U4569" s="26"/>
    </row>
    <row r="4570" spans="1:27" hidden="1" x14ac:dyDescent="0.25">
      <c r="A4570">
        <v>820175</v>
      </c>
      <c r="B4570" t="s">
        <v>4969</v>
      </c>
      <c r="C4570" t="s">
        <v>6958</v>
      </c>
      <c r="D4570">
        <v>1</v>
      </c>
      <c r="E4570" t="s">
        <v>4969</v>
      </c>
      <c r="F4570" t="s">
        <v>6958</v>
      </c>
      <c r="G4570" s="3"/>
      <c r="H4570" s="21">
        <v>0</v>
      </c>
      <c r="I4570" s="21">
        <v>0</v>
      </c>
      <c r="J4570" s="21">
        <v>0</v>
      </c>
      <c r="K4570" s="21">
        <v>0</v>
      </c>
      <c r="L4570" s="3">
        <f t="shared" si="196"/>
        <v>0</v>
      </c>
      <c r="M4570" s="3"/>
      <c r="N4570" s="3">
        <f t="shared" si="197"/>
        <v>0</v>
      </c>
      <c r="R4570" s="89"/>
      <c r="S4570" s="89">
        <f>100%-Table34[[#This Row],[PDF_initial fee]]</f>
        <v>1</v>
      </c>
      <c r="T4570" s="89"/>
      <c r="U4570" s="26"/>
    </row>
    <row r="4571" spans="1:27" hidden="1" x14ac:dyDescent="0.25">
      <c r="A4571">
        <v>820272</v>
      </c>
      <c r="B4571" t="s">
        <v>4970</v>
      </c>
      <c r="C4571" t="s">
        <v>7172</v>
      </c>
      <c r="D4571">
        <v>3</v>
      </c>
      <c r="E4571" t="s">
        <v>4970</v>
      </c>
      <c r="G4571" s="3"/>
      <c r="H4571" s="21">
        <v>0</v>
      </c>
      <c r="I4571" s="21">
        <v>0</v>
      </c>
      <c r="J4571" s="21">
        <v>0</v>
      </c>
      <c r="K4571" s="21">
        <v>0</v>
      </c>
      <c r="L4571" s="3">
        <f t="shared" si="196"/>
        <v>0</v>
      </c>
      <c r="M4571" s="3"/>
      <c r="N4571" s="3">
        <f t="shared" si="197"/>
        <v>0</v>
      </c>
      <c r="R4571" s="89"/>
      <c r="S4571" s="89">
        <f>100%-Table34[[#This Row],[PDF_initial fee]]</f>
        <v>1</v>
      </c>
      <c r="T4571" s="89"/>
      <c r="U4571" s="26"/>
    </row>
    <row r="4572" spans="1:27" hidden="1" x14ac:dyDescent="0.25">
      <c r="A4572">
        <v>820474</v>
      </c>
      <c r="B4572" t="s">
        <v>4971</v>
      </c>
      <c r="C4572" t="s">
        <v>6958</v>
      </c>
      <c r="D4572">
        <v>0</v>
      </c>
      <c r="E4572" t="s">
        <v>4971</v>
      </c>
      <c r="F4572" t="s">
        <v>6958</v>
      </c>
      <c r="G4572" s="3"/>
      <c r="H4572" s="21">
        <v>0</v>
      </c>
      <c r="I4572" s="21">
        <v>0</v>
      </c>
      <c r="J4572" s="21">
        <v>0</v>
      </c>
      <c r="K4572" s="21">
        <v>0</v>
      </c>
      <c r="L4572" s="3">
        <f t="shared" si="196"/>
        <v>0</v>
      </c>
      <c r="M4572" s="3"/>
      <c r="N4572" s="3">
        <f t="shared" si="197"/>
        <v>0</v>
      </c>
      <c r="R4572" s="89"/>
      <c r="S4572" s="89">
        <f>100%-Table34[[#This Row],[PDF_initial fee]]</f>
        <v>1</v>
      </c>
      <c r="T4572" s="89"/>
      <c r="U4572" s="26"/>
    </row>
    <row r="4573" spans="1:27" hidden="1" x14ac:dyDescent="0.25">
      <c r="A4573">
        <v>820516</v>
      </c>
      <c r="B4573" t="s">
        <v>4972</v>
      </c>
      <c r="C4573" t="s">
        <v>6958</v>
      </c>
      <c r="D4573">
        <v>0</v>
      </c>
      <c r="E4573" t="s">
        <v>4972</v>
      </c>
      <c r="F4573" t="s">
        <v>6958</v>
      </c>
      <c r="G4573" s="3"/>
      <c r="H4573" s="21">
        <v>0</v>
      </c>
      <c r="I4573" s="21">
        <v>0</v>
      </c>
      <c r="J4573" s="21">
        <v>0</v>
      </c>
      <c r="K4573" s="21">
        <v>0</v>
      </c>
      <c r="L4573" s="3">
        <f t="shared" si="196"/>
        <v>0</v>
      </c>
      <c r="M4573" s="3"/>
      <c r="N4573" s="3">
        <f t="shared" si="197"/>
        <v>0</v>
      </c>
      <c r="R4573" s="89"/>
      <c r="S4573" s="89">
        <f>100%-Table34[[#This Row],[PDF_initial fee]]</f>
        <v>1</v>
      </c>
      <c r="T4573" s="89"/>
      <c r="U4573" s="26"/>
    </row>
    <row r="4574" spans="1:27" x14ac:dyDescent="0.25">
      <c r="A4574">
        <v>452299</v>
      </c>
      <c r="B4574" t="s">
        <v>170</v>
      </c>
      <c r="C4574" t="s">
        <v>11708</v>
      </c>
      <c r="D4574">
        <v>4</v>
      </c>
      <c r="E4574" t="s">
        <v>170</v>
      </c>
      <c r="F4574" t="s">
        <v>3</v>
      </c>
      <c r="G4574" s="3">
        <v>1.4E-3</v>
      </c>
      <c r="H4574" s="51">
        <v>2.5000000000000001E-2</v>
      </c>
      <c r="I4574" s="3">
        <v>2.5000000000000001E-3</v>
      </c>
      <c r="J4574" s="6"/>
      <c r="K4574" s="6"/>
      <c r="L4574" s="3">
        <f t="shared" si="196"/>
        <v>2.75E-2</v>
      </c>
      <c r="M4574" s="3"/>
      <c r="N4574" s="3">
        <f t="shared" si="197"/>
        <v>2.8899999999999999E-2</v>
      </c>
      <c r="P4574" s="31" t="s">
        <v>31117</v>
      </c>
      <c r="Q4574" t="s">
        <v>31787</v>
      </c>
      <c r="R4574" s="89">
        <v>0.33333333333333348</v>
      </c>
      <c r="S4574" s="89">
        <f>100%-Table34[[#This Row],[InitialFee]]</f>
        <v>0.97499999999999998</v>
      </c>
      <c r="T4574" s="89">
        <f>(1-Table34[[#This Row],[OngoingFee (plus Platform fee)]])^5</f>
        <v>0.98756234394521514</v>
      </c>
      <c r="U4574" s="26">
        <f>(1+Table34[[#This Row],[Net 5yrs return (mostly up to 28th of Feb 2026)]])*Table34[[#This Row],[Investment after initial charge]]*Table34[[#This Row],[Cummulative 5yrs ongoing advice charge]]-1</f>
        <v>0.28383104712877971</v>
      </c>
      <c r="V4574">
        <f>178540+130587</f>
        <v>309127</v>
      </c>
      <c r="W4574" t="s">
        <v>29051</v>
      </c>
      <c r="X4574" s="9">
        <v>127032</v>
      </c>
      <c r="Y4574" s="30">
        <f>X4574/V4574</f>
        <v>0.41093789930999236</v>
      </c>
      <c r="AA4574" s="1" t="s">
        <v>31118</v>
      </c>
    </row>
    <row r="4575" spans="1:27" hidden="1" x14ac:dyDescent="0.25">
      <c r="A4575">
        <v>820598</v>
      </c>
      <c r="B4575" t="s">
        <v>4973</v>
      </c>
      <c r="C4575" t="s">
        <v>6958</v>
      </c>
      <c r="D4575">
        <v>1</v>
      </c>
      <c r="E4575" t="s">
        <v>4973</v>
      </c>
      <c r="F4575" t="s">
        <v>6958</v>
      </c>
      <c r="G4575" s="3"/>
      <c r="L4575" s="3">
        <f t="shared" si="196"/>
        <v>0</v>
      </c>
      <c r="M4575" s="3"/>
      <c r="N4575" s="3">
        <f t="shared" si="197"/>
        <v>0</v>
      </c>
      <c r="R4575" s="89"/>
      <c r="S4575" s="89">
        <f>100%-Table34[[#This Row],[PDF_initial fee]]</f>
        <v>1</v>
      </c>
      <c r="T4575" s="89"/>
      <c r="U4575" s="26"/>
    </row>
    <row r="4576" spans="1:27" hidden="1" x14ac:dyDescent="0.25">
      <c r="A4576">
        <v>820721</v>
      </c>
      <c r="B4576" t="s">
        <v>4974</v>
      </c>
      <c r="C4576" t="s">
        <v>6958</v>
      </c>
      <c r="D4576">
        <v>1</v>
      </c>
      <c r="E4576" t="s">
        <v>4974</v>
      </c>
      <c r="F4576" t="s">
        <v>6958</v>
      </c>
      <c r="G4576" s="3"/>
      <c r="L4576" s="3">
        <f t="shared" si="196"/>
        <v>0</v>
      </c>
      <c r="M4576" s="3"/>
      <c r="N4576" s="3">
        <f t="shared" si="197"/>
        <v>0</v>
      </c>
      <c r="R4576" s="89"/>
      <c r="S4576" s="89">
        <f>100%-Table34[[#This Row],[PDF_initial fee]]</f>
        <v>1</v>
      </c>
      <c r="T4576" s="89"/>
      <c r="U4576" s="26"/>
    </row>
    <row r="4577" spans="1:30" x14ac:dyDescent="0.25">
      <c r="A4577">
        <v>945057</v>
      </c>
      <c r="B4577" t="s">
        <v>339</v>
      </c>
      <c r="C4577" t="s">
        <v>12186</v>
      </c>
      <c r="D4577">
        <v>2</v>
      </c>
      <c r="E4577" t="s">
        <v>339</v>
      </c>
      <c r="F4577" t="s">
        <v>3</v>
      </c>
      <c r="G4577" s="3">
        <v>1.4E-3</v>
      </c>
      <c r="H4577" s="3">
        <v>1.6E-2</v>
      </c>
      <c r="I4577" s="3">
        <v>0.01</v>
      </c>
      <c r="J4577" s="6"/>
      <c r="K4577" s="6"/>
      <c r="L4577" s="3">
        <f t="shared" si="196"/>
        <v>2.6000000000000002E-2</v>
      </c>
      <c r="M4577" s="3"/>
      <c r="N4577" s="3">
        <f t="shared" si="197"/>
        <v>2.7400000000000001E-2</v>
      </c>
      <c r="P4577" s="31" t="s">
        <v>31119</v>
      </c>
      <c r="Q4577" t="s">
        <v>31787</v>
      </c>
      <c r="R4577" s="89">
        <v>0.33333333333333348</v>
      </c>
      <c r="S4577" s="89">
        <f>100%-Table34[[#This Row],[InitialFee]]</f>
        <v>0.98399999999999999</v>
      </c>
      <c r="T4577" s="89">
        <f>(1-Table34[[#This Row],[OngoingFee (plus Platform fee)]])^5</f>
        <v>0.95099004989999991</v>
      </c>
      <c r="U4577" s="26">
        <f>(1+Table34[[#This Row],[Net 5yrs return (mostly up to 28th of Feb 2026)]])*Table34[[#This Row],[Investment after initial charge]]*Table34[[#This Row],[Cummulative 5yrs ongoing advice charge]]-1</f>
        <v>0.24769894546879989</v>
      </c>
      <c r="V4577">
        <f>125671+57848</f>
        <v>183519</v>
      </c>
      <c r="W4577" t="s">
        <v>29051</v>
      </c>
      <c r="X4577" s="9">
        <v>125671</v>
      </c>
      <c r="Y4577" s="30">
        <f>X4577/V4577</f>
        <v>0.68478468169508333</v>
      </c>
      <c r="AA4577" s="1" t="s">
        <v>31120</v>
      </c>
    </row>
    <row r="4578" spans="1:30" x14ac:dyDescent="0.25">
      <c r="A4578">
        <v>915247</v>
      </c>
      <c r="B4578" t="s">
        <v>326</v>
      </c>
      <c r="C4578" t="s">
        <v>31121</v>
      </c>
      <c r="D4578">
        <v>1</v>
      </c>
      <c r="E4578" t="s">
        <v>326</v>
      </c>
      <c r="F4578" t="s">
        <v>3</v>
      </c>
      <c r="G4578" s="3">
        <v>1.4E-3</v>
      </c>
      <c r="H4578" s="3">
        <v>7.4999999999999997E-3</v>
      </c>
      <c r="I4578" s="3">
        <v>1.6E-2</v>
      </c>
      <c r="J4578" s="6">
        <v>0</v>
      </c>
      <c r="K4578" s="6"/>
      <c r="L4578" s="3">
        <f t="shared" si="196"/>
        <v>2.35E-2</v>
      </c>
      <c r="M4578" s="3"/>
      <c r="N4578" s="3">
        <f t="shared" si="197"/>
        <v>2.4899999999999999E-2</v>
      </c>
      <c r="P4578" s="31" t="s">
        <v>31122</v>
      </c>
      <c r="Q4578" t="s">
        <v>31787</v>
      </c>
      <c r="R4578" s="89">
        <v>0.33333333333333348</v>
      </c>
      <c r="S4578" s="89">
        <f>100%-Table34[[#This Row],[InitialFee]]</f>
        <v>0.99250000000000005</v>
      </c>
      <c r="T4578" s="89">
        <f>(1-Table34[[#This Row],[OngoingFee (plus Platform fee)]])^5</f>
        <v>0.92251936663142398</v>
      </c>
      <c r="U4578" s="26">
        <f>(1+Table34[[#This Row],[Net 5yrs return (mostly up to 28th of Feb 2026)]])*Table34[[#This Row],[Investment after initial charge]]*Table34[[#This Row],[Cummulative 5yrs ongoing advice charge]]-1</f>
        <v>0.22080062850891791</v>
      </c>
      <c r="V4578">
        <f>71900+59137</f>
        <v>131037</v>
      </c>
      <c r="W4578" t="s">
        <v>29051</v>
      </c>
      <c r="X4578" s="9">
        <v>56641</v>
      </c>
      <c r="Y4578" s="30">
        <f>X4578/V4578</f>
        <v>0.43225195937025418</v>
      </c>
      <c r="AA4578" s="1" t="s">
        <v>31123</v>
      </c>
    </row>
    <row r="4579" spans="1:30" hidden="1" x14ac:dyDescent="0.25">
      <c r="A4579">
        <v>821691</v>
      </c>
      <c r="B4579" t="s">
        <v>4976</v>
      </c>
      <c r="C4579" t="s">
        <v>8672</v>
      </c>
      <c r="D4579">
        <v>1</v>
      </c>
      <c r="E4579" t="s">
        <v>4976</v>
      </c>
      <c r="G4579" s="3"/>
      <c r="H4579" s="21">
        <v>0</v>
      </c>
      <c r="I4579" s="21">
        <v>0</v>
      </c>
      <c r="J4579" s="21">
        <v>0</v>
      </c>
      <c r="K4579" s="21">
        <v>0</v>
      </c>
      <c r="L4579" s="3">
        <f t="shared" si="196"/>
        <v>0</v>
      </c>
      <c r="M4579" s="3"/>
      <c r="N4579" s="3">
        <f t="shared" si="197"/>
        <v>0</v>
      </c>
      <c r="R4579" s="89"/>
      <c r="S4579" s="89">
        <f>100%-Table34[[#This Row],[PDF_initial fee]]</f>
        <v>1</v>
      </c>
      <c r="T4579" s="89"/>
      <c r="U4579" s="26"/>
    </row>
    <row r="4580" spans="1:30" hidden="1" x14ac:dyDescent="0.25">
      <c r="A4580">
        <v>821876</v>
      </c>
      <c r="B4580" t="s">
        <v>4977</v>
      </c>
      <c r="C4580" t="s">
        <v>6958</v>
      </c>
      <c r="D4580">
        <v>3</v>
      </c>
      <c r="E4580" t="s">
        <v>4977</v>
      </c>
      <c r="F4580" t="s">
        <v>6958</v>
      </c>
      <c r="G4580" s="3"/>
      <c r="L4580" s="3">
        <f t="shared" si="196"/>
        <v>0</v>
      </c>
      <c r="M4580" s="3"/>
      <c r="N4580" s="3">
        <f t="shared" si="197"/>
        <v>0</v>
      </c>
      <c r="R4580" s="89"/>
      <c r="S4580" s="89">
        <f>100%-Table34[[#This Row],[PDF_initial fee]]</f>
        <v>1</v>
      </c>
      <c r="T4580" s="89"/>
      <c r="U4580" s="26"/>
    </row>
    <row r="4581" spans="1:30" hidden="1" x14ac:dyDescent="0.25">
      <c r="A4581">
        <v>822396</v>
      </c>
      <c r="B4581" t="s">
        <v>4978</v>
      </c>
      <c r="C4581" t="s">
        <v>8694</v>
      </c>
      <c r="D4581">
        <v>3</v>
      </c>
      <c r="E4581" t="s">
        <v>4978</v>
      </c>
      <c r="G4581" s="3"/>
      <c r="H4581" s="21">
        <v>0</v>
      </c>
      <c r="I4581" s="21">
        <v>0</v>
      </c>
      <c r="J4581" s="21">
        <v>0</v>
      </c>
      <c r="K4581" s="21">
        <v>0</v>
      </c>
      <c r="L4581" s="3">
        <f t="shared" si="196"/>
        <v>0</v>
      </c>
      <c r="M4581" s="3"/>
      <c r="N4581" s="3">
        <f t="shared" si="197"/>
        <v>0</v>
      </c>
      <c r="R4581" s="89"/>
      <c r="S4581" s="89">
        <f>100%-Table34[[#This Row],[PDF_initial fee]]</f>
        <v>1</v>
      </c>
      <c r="T4581" s="89"/>
      <c r="U4581" s="26"/>
    </row>
    <row r="4582" spans="1:30" hidden="1" x14ac:dyDescent="0.25">
      <c r="A4582">
        <v>822509</v>
      </c>
      <c r="B4582" t="s">
        <v>4979</v>
      </c>
      <c r="C4582" t="s">
        <v>31124</v>
      </c>
      <c r="D4582">
        <v>0</v>
      </c>
      <c r="E4582" t="s">
        <v>4979</v>
      </c>
      <c r="F4582" t="s">
        <v>29136</v>
      </c>
      <c r="G4582" s="3"/>
      <c r="H4582" s="21">
        <v>0</v>
      </c>
      <c r="I4582" s="21">
        <v>0</v>
      </c>
      <c r="J4582" s="21">
        <v>0</v>
      </c>
      <c r="K4582" s="21">
        <v>0</v>
      </c>
      <c r="L4582" s="3">
        <f t="shared" si="196"/>
        <v>0</v>
      </c>
      <c r="M4582" s="3"/>
      <c r="N4582" s="3">
        <f t="shared" si="197"/>
        <v>0</v>
      </c>
      <c r="O4582" s="21"/>
      <c r="R4582" s="89"/>
      <c r="S4582" s="89">
        <f>100%-Table34[[#This Row],[PDF_initial fee]]</f>
        <v>1</v>
      </c>
      <c r="T4582" s="89"/>
      <c r="U4582" s="26"/>
    </row>
    <row r="4583" spans="1:30" hidden="1" x14ac:dyDescent="0.25">
      <c r="A4583">
        <v>822862</v>
      </c>
      <c r="B4583" t="s">
        <v>4980</v>
      </c>
      <c r="C4583" t="s">
        <v>31125</v>
      </c>
      <c r="D4583">
        <v>2</v>
      </c>
      <c r="E4583" t="s">
        <v>4980</v>
      </c>
      <c r="G4583" s="3"/>
      <c r="H4583" s="3">
        <v>0</v>
      </c>
      <c r="I4583" s="3">
        <v>0</v>
      </c>
      <c r="J4583" s="3">
        <v>0</v>
      </c>
      <c r="K4583" s="3">
        <v>0</v>
      </c>
      <c r="L4583" s="3">
        <f t="shared" si="196"/>
        <v>0</v>
      </c>
      <c r="M4583" s="3"/>
      <c r="N4583" s="3">
        <f t="shared" si="197"/>
        <v>0</v>
      </c>
      <c r="R4583" s="89"/>
      <c r="S4583" s="89">
        <f>100%-Table34[[#This Row],[PDF_initial fee]]</f>
        <v>1</v>
      </c>
      <c r="T4583" s="89"/>
      <c r="U4583" s="26"/>
    </row>
    <row r="4584" spans="1:30" hidden="1" x14ac:dyDescent="0.25">
      <c r="A4584">
        <v>823017</v>
      </c>
      <c r="B4584" t="s">
        <v>4981</v>
      </c>
      <c r="C4584" t="s">
        <v>8201</v>
      </c>
      <c r="D4584">
        <v>1</v>
      </c>
      <c r="E4584" t="s">
        <v>4981</v>
      </c>
      <c r="G4584" s="3"/>
      <c r="L4584" s="3">
        <f t="shared" si="196"/>
        <v>0</v>
      </c>
      <c r="M4584" s="3"/>
      <c r="N4584" s="3">
        <f t="shared" si="197"/>
        <v>0</v>
      </c>
      <c r="R4584" s="89"/>
      <c r="S4584" s="89">
        <f>100%-Table34[[#This Row],[PDF_initial fee]]</f>
        <v>1</v>
      </c>
      <c r="T4584" s="89"/>
      <c r="U4584" s="26"/>
    </row>
    <row r="4585" spans="1:30" hidden="1" x14ac:dyDescent="0.25">
      <c r="A4585">
        <v>823315</v>
      </c>
      <c r="B4585" t="s">
        <v>4982</v>
      </c>
      <c r="C4585" t="s">
        <v>31126</v>
      </c>
      <c r="D4585">
        <v>0</v>
      </c>
      <c r="E4585" t="s">
        <v>4982</v>
      </c>
      <c r="F4585" t="s">
        <v>3</v>
      </c>
      <c r="G4585" s="3"/>
      <c r="H4585" s="21">
        <v>0</v>
      </c>
      <c r="I4585" s="21">
        <v>0</v>
      </c>
      <c r="J4585" s="21">
        <v>0</v>
      </c>
      <c r="K4585" s="21">
        <v>0</v>
      </c>
      <c r="L4585" s="3">
        <f t="shared" si="196"/>
        <v>0</v>
      </c>
      <c r="M4585" s="3"/>
      <c r="N4585" s="3">
        <f t="shared" si="197"/>
        <v>0</v>
      </c>
      <c r="O4585" s="21"/>
      <c r="R4585" s="89"/>
      <c r="S4585" s="89">
        <f>100%-Table34[[#This Row],[PDF_initial fee]]</f>
        <v>1</v>
      </c>
      <c r="T4585" s="89"/>
      <c r="U4585" s="26"/>
    </row>
    <row r="4586" spans="1:30" hidden="1" x14ac:dyDescent="0.25">
      <c r="A4586">
        <v>823699</v>
      </c>
      <c r="B4586" t="s">
        <v>4983</v>
      </c>
      <c r="C4586" t="s">
        <v>6958</v>
      </c>
      <c r="D4586">
        <v>8</v>
      </c>
      <c r="E4586" t="s">
        <v>4983</v>
      </c>
      <c r="F4586" t="s">
        <v>6958</v>
      </c>
      <c r="G4586" s="3"/>
      <c r="H4586" s="21">
        <v>0</v>
      </c>
      <c r="I4586" s="21">
        <v>0</v>
      </c>
      <c r="J4586" s="21">
        <v>0</v>
      </c>
      <c r="K4586" s="21">
        <v>0</v>
      </c>
      <c r="L4586" s="3">
        <f t="shared" si="196"/>
        <v>0</v>
      </c>
      <c r="M4586" s="3"/>
      <c r="N4586" s="3">
        <f t="shared" si="197"/>
        <v>0</v>
      </c>
      <c r="O4586" s="21"/>
      <c r="R4586" s="89"/>
      <c r="S4586" s="89">
        <f>100%-Table34[[#This Row],[PDF_initial fee]]</f>
        <v>1</v>
      </c>
      <c r="T4586" s="89"/>
      <c r="U4586" s="26"/>
    </row>
    <row r="4587" spans="1:30" x14ac:dyDescent="0.25">
      <c r="A4587">
        <v>631117</v>
      </c>
      <c r="B4587" t="s">
        <v>262</v>
      </c>
      <c r="C4587" s="1" t="s">
        <v>31127</v>
      </c>
      <c r="D4587">
        <v>22</v>
      </c>
      <c r="E4587" t="s">
        <v>262</v>
      </c>
      <c r="F4587" t="s">
        <v>6</v>
      </c>
      <c r="G4587" s="3">
        <v>9.1000000000000004E-3</v>
      </c>
      <c r="H4587" s="3">
        <v>0.02</v>
      </c>
      <c r="I4587" s="3">
        <v>7.4999999999999997E-3</v>
      </c>
      <c r="J4587" s="6">
        <v>0</v>
      </c>
      <c r="K4587" s="6">
        <v>0</v>
      </c>
      <c r="L4587" s="3">
        <f t="shared" si="196"/>
        <v>2.75E-2</v>
      </c>
      <c r="M4587" s="3"/>
      <c r="N4587" s="3">
        <f t="shared" si="197"/>
        <v>3.6600000000000001E-2</v>
      </c>
      <c r="O4587" t="s">
        <v>31128</v>
      </c>
      <c r="P4587" s="31" t="s">
        <v>31129</v>
      </c>
      <c r="Q4587" s="1" t="s">
        <v>29822</v>
      </c>
      <c r="R4587" s="89">
        <v>0.2828</v>
      </c>
      <c r="S4587" s="89">
        <f>100%-Table34[[#This Row],[InitialFee]]</f>
        <v>0.98</v>
      </c>
      <c r="T4587" s="89">
        <f>(1-Table34[[#This Row],[OngoingFee (plus Platform fee)]])^5</f>
        <v>0.9630582970465823</v>
      </c>
      <c r="U4587" s="26">
        <f>(1+Table34[[#This Row],[Net 5yrs return (mostly up to 28th of Feb 2026)]])*Table34[[#This Row],[Investment after initial charge]]*Table34[[#This Row],[Cummulative 5yrs ongoing advice charge]]-1</f>
        <v>0.21070295978232845</v>
      </c>
      <c r="V4587" s="10">
        <f>21895536+2387310</f>
        <v>24282846</v>
      </c>
      <c r="W4587" t="s">
        <v>29051</v>
      </c>
      <c r="X4587" s="10">
        <v>21891619</v>
      </c>
      <c r="Y4587" s="30">
        <f>X4587/V4587</f>
        <v>0.90152608141566271</v>
      </c>
      <c r="AA4587" s="1" t="s">
        <v>31130</v>
      </c>
      <c r="AD4587" s="1" t="s">
        <v>29822</v>
      </c>
    </row>
    <row r="4588" spans="1:30" hidden="1" x14ac:dyDescent="0.25">
      <c r="A4588">
        <v>823705</v>
      </c>
      <c r="B4588" t="s">
        <v>4984</v>
      </c>
      <c r="C4588" t="s">
        <v>31131</v>
      </c>
      <c r="D4588">
        <v>1</v>
      </c>
      <c r="E4588" t="s">
        <v>4984</v>
      </c>
      <c r="G4588" s="3"/>
      <c r="H4588" s="3">
        <v>0</v>
      </c>
      <c r="I4588" s="3">
        <v>0</v>
      </c>
      <c r="J4588" s="3">
        <v>0</v>
      </c>
      <c r="K4588" s="3">
        <v>0</v>
      </c>
      <c r="L4588" s="3">
        <f t="shared" si="196"/>
        <v>0</v>
      </c>
      <c r="M4588" s="3"/>
      <c r="N4588" s="3">
        <f t="shared" si="197"/>
        <v>0</v>
      </c>
      <c r="R4588" s="89"/>
      <c r="S4588" s="89">
        <f>100%-Table34[[#This Row],[PDF_initial fee]]</f>
        <v>1</v>
      </c>
      <c r="T4588" s="89"/>
      <c r="U4588" s="26"/>
    </row>
    <row r="4589" spans="1:30" hidden="1" x14ac:dyDescent="0.25">
      <c r="A4589">
        <v>823706</v>
      </c>
      <c r="B4589" t="s">
        <v>4985</v>
      </c>
      <c r="C4589" t="s">
        <v>7373</v>
      </c>
      <c r="D4589">
        <v>3</v>
      </c>
      <c r="E4589" t="s">
        <v>4985</v>
      </c>
      <c r="G4589" s="3"/>
      <c r="L4589" s="3">
        <f t="shared" si="196"/>
        <v>0</v>
      </c>
      <c r="M4589" s="3"/>
      <c r="N4589" s="3">
        <f t="shared" si="197"/>
        <v>0</v>
      </c>
      <c r="R4589" s="89"/>
      <c r="S4589" s="89">
        <f>100%-Table34[[#This Row],[PDF_initial fee]]</f>
        <v>1</v>
      </c>
      <c r="T4589" s="89"/>
      <c r="U4589" s="26"/>
    </row>
    <row r="4590" spans="1:30" hidden="1" x14ac:dyDescent="0.25">
      <c r="A4590">
        <v>823733</v>
      </c>
      <c r="B4590" t="s">
        <v>4986</v>
      </c>
      <c r="C4590" t="s">
        <v>10396</v>
      </c>
      <c r="D4590">
        <v>2</v>
      </c>
      <c r="E4590" t="s">
        <v>4986</v>
      </c>
      <c r="G4590" s="3"/>
      <c r="H4590" s="3">
        <v>0</v>
      </c>
      <c r="I4590" s="3">
        <v>0</v>
      </c>
      <c r="J4590" s="3">
        <v>0</v>
      </c>
      <c r="K4590" s="3">
        <v>0</v>
      </c>
      <c r="L4590" s="3">
        <f t="shared" si="196"/>
        <v>0</v>
      </c>
      <c r="M4590" s="3"/>
      <c r="N4590" s="3">
        <f t="shared" si="197"/>
        <v>0</v>
      </c>
      <c r="R4590" s="89"/>
      <c r="S4590" s="89">
        <f>100%-Table34[[#This Row],[PDF_initial fee]]</f>
        <v>1</v>
      </c>
      <c r="T4590" s="89"/>
      <c r="U4590" s="26"/>
    </row>
    <row r="4591" spans="1:30" hidden="1" x14ac:dyDescent="0.25">
      <c r="A4591">
        <v>823801</v>
      </c>
      <c r="B4591" t="s">
        <v>4987</v>
      </c>
      <c r="C4591" t="s">
        <v>11710</v>
      </c>
      <c r="D4591">
        <v>1</v>
      </c>
      <c r="E4591" t="s">
        <v>4987</v>
      </c>
      <c r="G4591" s="3"/>
      <c r="H4591" s="3">
        <v>0</v>
      </c>
      <c r="I4591" s="3">
        <v>0</v>
      </c>
      <c r="J4591" s="3">
        <v>0</v>
      </c>
      <c r="K4591" s="3">
        <v>0</v>
      </c>
      <c r="L4591" s="3">
        <f t="shared" si="196"/>
        <v>0</v>
      </c>
      <c r="M4591" s="3"/>
      <c r="N4591" s="3">
        <f t="shared" si="197"/>
        <v>0</v>
      </c>
      <c r="R4591" s="89"/>
      <c r="S4591" s="89">
        <f>100%-Table34[[#This Row],[PDF_initial fee]]</f>
        <v>1</v>
      </c>
      <c r="T4591" s="89"/>
      <c r="U4591" s="26"/>
    </row>
    <row r="4592" spans="1:30" hidden="1" x14ac:dyDescent="0.25">
      <c r="A4592">
        <v>823869</v>
      </c>
      <c r="B4592" t="s">
        <v>4988</v>
      </c>
      <c r="C4592" t="s">
        <v>8158</v>
      </c>
      <c r="D4592">
        <v>1</v>
      </c>
      <c r="E4592" t="s">
        <v>4988</v>
      </c>
      <c r="G4592" s="3"/>
      <c r="H4592" s="21">
        <v>0</v>
      </c>
      <c r="I4592" s="21">
        <v>0</v>
      </c>
      <c r="J4592" s="21">
        <v>0</v>
      </c>
      <c r="K4592" s="21">
        <v>0</v>
      </c>
      <c r="L4592" s="3">
        <f t="shared" si="196"/>
        <v>0</v>
      </c>
      <c r="M4592" s="3"/>
      <c r="N4592" s="3">
        <f t="shared" si="197"/>
        <v>0</v>
      </c>
      <c r="R4592" s="89"/>
      <c r="S4592" s="89">
        <f>100%-Table34[[#This Row],[PDF_initial fee]]</f>
        <v>1</v>
      </c>
      <c r="T4592" s="89"/>
      <c r="U4592" s="26"/>
    </row>
    <row r="4593" spans="1:28" x14ac:dyDescent="0.25">
      <c r="A4593">
        <v>985418</v>
      </c>
      <c r="B4593" t="s">
        <v>355</v>
      </c>
      <c r="C4593" t="s">
        <v>11337</v>
      </c>
      <c r="D4593">
        <v>2</v>
      </c>
      <c r="E4593" t="s">
        <v>355</v>
      </c>
      <c r="F4593" t="s">
        <v>3</v>
      </c>
      <c r="G4593" s="3">
        <v>1.4E-3</v>
      </c>
      <c r="H4593" s="3">
        <v>4.4999999999999998E-2</v>
      </c>
      <c r="I4593" s="3">
        <f>(10200/100000)/2</f>
        <v>5.0999999999999997E-2</v>
      </c>
      <c r="J4593" s="6">
        <v>0</v>
      </c>
      <c r="K4593" s="6"/>
      <c r="L4593" s="3">
        <f ca="1">SUM(H4593:L4593)</f>
        <v>6.5000000000000002E-2</v>
      </c>
      <c r="M4593" s="3"/>
      <c r="N4593" s="3">
        <f>SUM(G4593:J4593)</f>
        <v>9.7399999999999987E-2</v>
      </c>
      <c r="O4593" t="s">
        <v>31132</v>
      </c>
      <c r="P4593" s="31" t="s">
        <v>31133</v>
      </c>
      <c r="Q4593" t="s">
        <v>31787</v>
      </c>
      <c r="R4593" s="89">
        <v>0.33333333333333348</v>
      </c>
      <c r="S4593" s="89">
        <f>100%-Table34[[#This Row],[InitialFee]]</f>
        <v>0.95499999999999996</v>
      </c>
      <c r="T4593" s="89">
        <f>(1-Table34[[#This Row],[OngoingFee (plus Platform fee)]])^5</f>
        <v>0.76971697097974867</v>
      </c>
      <c r="U4593" s="26">
        <f>(1+Table34[[#This Row],[Net 5yrs return (mostly up to 28th of Feb 2026)]])*Table34[[#This Row],[Investment after initial charge]]*Table34[[#This Row],[Cummulative 5yrs ongoing advice charge]]-1</f>
        <v>-1.9893723619120007E-2</v>
      </c>
      <c r="V4593" s="9">
        <v>36528</v>
      </c>
      <c r="W4593" t="s">
        <v>29051</v>
      </c>
      <c r="X4593" s="9">
        <v>11295</v>
      </c>
      <c r="Y4593" s="30">
        <f>X4593/V4593</f>
        <v>0.30921484888304862</v>
      </c>
      <c r="AA4593" s="1" t="s">
        <v>31134</v>
      </c>
      <c r="AB4593" t="s">
        <v>29302</v>
      </c>
    </row>
    <row r="4594" spans="1:28" x14ac:dyDescent="0.25">
      <c r="A4594">
        <v>477571</v>
      </c>
      <c r="B4594" t="s">
        <v>188</v>
      </c>
      <c r="C4594" t="s">
        <v>31135</v>
      </c>
      <c r="D4594">
        <v>4</v>
      </c>
      <c r="E4594" t="s">
        <v>188</v>
      </c>
      <c r="F4594" t="s">
        <v>3</v>
      </c>
      <c r="G4594" s="3">
        <v>1.4E-3</v>
      </c>
      <c r="H4594" s="3">
        <v>1.2E-2</v>
      </c>
      <c r="I4594" s="3">
        <v>5.0000000000000001E-3</v>
      </c>
      <c r="J4594" s="6">
        <v>0</v>
      </c>
      <c r="K4594" s="6">
        <v>0</v>
      </c>
      <c r="L4594" s="3">
        <f t="shared" ref="L4594:L4657" si="198">SUM(H4594:K4594)</f>
        <v>1.7000000000000001E-2</v>
      </c>
      <c r="M4594" s="3"/>
      <c r="N4594" s="3">
        <f t="shared" ref="N4594:N4657" si="199">L4594+G4594</f>
        <v>1.84E-2</v>
      </c>
      <c r="P4594" s="31" t="s">
        <v>31136</v>
      </c>
      <c r="Q4594" t="s">
        <v>31787</v>
      </c>
      <c r="R4594" s="89">
        <v>0.33333333333333348</v>
      </c>
      <c r="S4594" s="89">
        <f>100%-Table34[[#This Row],[InitialFee]]</f>
        <v>0.98799999999999999</v>
      </c>
      <c r="T4594" s="89">
        <f>(1-Table34[[#This Row],[OngoingFee (plus Platform fee)]])^5</f>
        <v>0.97524875312187509</v>
      </c>
      <c r="U4594" s="26">
        <f>(1+Table34[[#This Row],[Net 5yrs return (mostly up to 28th of Feb 2026)]])*Table34[[#This Row],[Investment after initial charge]]*Table34[[#This Row],[Cummulative 5yrs ongoing advice charge]]-1</f>
        <v>0.28472769077921689</v>
      </c>
      <c r="V4594" s="10">
        <f>350278+224882</f>
        <v>575160</v>
      </c>
      <c r="W4594" t="s">
        <v>29051</v>
      </c>
      <c r="X4594" s="9">
        <v>342605</v>
      </c>
      <c r="Y4594" s="30">
        <f>X4594/V4594</f>
        <v>0.5956690312260936</v>
      </c>
      <c r="AA4594" s="1" t="s">
        <v>31137</v>
      </c>
    </row>
    <row r="4595" spans="1:28" hidden="1" x14ac:dyDescent="0.25">
      <c r="A4595">
        <v>823964</v>
      </c>
      <c r="B4595" t="s">
        <v>4989</v>
      </c>
      <c r="C4595" t="s">
        <v>6958</v>
      </c>
      <c r="D4595">
        <v>1</v>
      </c>
      <c r="E4595" t="s">
        <v>4989</v>
      </c>
      <c r="F4595" t="s">
        <v>6958</v>
      </c>
      <c r="G4595" s="3"/>
      <c r="H4595" s="21">
        <v>0</v>
      </c>
      <c r="I4595" s="21">
        <v>0</v>
      </c>
      <c r="J4595" s="21">
        <v>0</v>
      </c>
      <c r="K4595" s="21">
        <v>0</v>
      </c>
      <c r="L4595" s="3">
        <f t="shared" si="198"/>
        <v>0</v>
      </c>
      <c r="M4595" s="3"/>
      <c r="N4595" s="3">
        <f t="shared" si="199"/>
        <v>0</v>
      </c>
      <c r="R4595" s="89"/>
      <c r="S4595" s="89">
        <f>100%-Table34[[#This Row],[PDF_initial fee]]</f>
        <v>1</v>
      </c>
      <c r="T4595" s="89"/>
      <c r="U4595" s="26"/>
    </row>
    <row r="4596" spans="1:28" hidden="1" x14ac:dyDescent="0.25">
      <c r="A4596">
        <v>824132</v>
      </c>
      <c r="B4596" t="s">
        <v>4990</v>
      </c>
      <c r="C4596" t="s">
        <v>31138</v>
      </c>
      <c r="D4596">
        <v>4</v>
      </c>
      <c r="E4596" t="s">
        <v>4990</v>
      </c>
      <c r="G4596" s="3"/>
      <c r="H4596" s="21">
        <v>0</v>
      </c>
      <c r="I4596" s="21">
        <v>0</v>
      </c>
      <c r="J4596" s="21">
        <v>0</v>
      </c>
      <c r="K4596" s="21">
        <v>0</v>
      </c>
      <c r="L4596" s="3">
        <f t="shared" si="198"/>
        <v>0</v>
      </c>
      <c r="M4596" s="3"/>
      <c r="N4596" s="3">
        <f t="shared" si="199"/>
        <v>0</v>
      </c>
      <c r="O4596" s="21"/>
      <c r="R4596" s="89"/>
      <c r="S4596" s="89">
        <f>100%-Table34[[#This Row],[PDF_initial fee]]</f>
        <v>1</v>
      </c>
      <c r="T4596" s="89"/>
      <c r="U4596" s="26"/>
    </row>
    <row r="4597" spans="1:28" hidden="1" x14ac:dyDescent="0.25">
      <c r="A4597">
        <v>824411</v>
      </c>
      <c r="B4597" t="s">
        <v>4991</v>
      </c>
      <c r="C4597" t="s">
        <v>12627</v>
      </c>
      <c r="D4597">
        <v>2</v>
      </c>
      <c r="E4597" t="s">
        <v>4991</v>
      </c>
      <c r="G4597" s="3"/>
      <c r="H4597" s="3">
        <v>0</v>
      </c>
      <c r="I4597" s="3">
        <v>0</v>
      </c>
      <c r="J4597" s="3">
        <v>0</v>
      </c>
      <c r="K4597" s="3">
        <v>0</v>
      </c>
      <c r="L4597" s="3">
        <f t="shared" si="198"/>
        <v>0</v>
      </c>
      <c r="M4597" s="3"/>
      <c r="N4597" s="3">
        <f t="shared" si="199"/>
        <v>0</v>
      </c>
      <c r="R4597" s="89"/>
      <c r="S4597" s="89">
        <f>100%-Table34[[#This Row],[PDF_initial fee]]</f>
        <v>1</v>
      </c>
      <c r="T4597" s="89"/>
      <c r="U4597" s="26"/>
    </row>
    <row r="4598" spans="1:28" hidden="1" x14ac:dyDescent="0.25">
      <c r="A4598">
        <v>825023</v>
      </c>
      <c r="B4598" t="s">
        <v>4992</v>
      </c>
      <c r="C4598" t="s">
        <v>10358</v>
      </c>
      <c r="D4598">
        <v>1</v>
      </c>
      <c r="E4598" t="s">
        <v>4992</v>
      </c>
      <c r="G4598" s="3"/>
      <c r="H4598" s="3">
        <v>0</v>
      </c>
      <c r="I4598" s="3">
        <v>0</v>
      </c>
      <c r="J4598" s="3">
        <v>0</v>
      </c>
      <c r="K4598" s="3">
        <v>0</v>
      </c>
      <c r="L4598" s="3">
        <f t="shared" si="198"/>
        <v>0</v>
      </c>
      <c r="M4598" s="3"/>
      <c r="N4598" s="3">
        <f t="shared" si="199"/>
        <v>0</v>
      </c>
      <c r="R4598" s="89"/>
      <c r="S4598" s="89">
        <f>100%-Table34[[#This Row],[PDF_initial fee]]</f>
        <v>1</v>
      </c>
      <c r="T4598" s="89"/>
      <c r="U4598" s="26"/>
    </row>
    <row r="4599" spans="1:28" hidden="1" x14ac:dyDescent="0.25">
      <c r="A4599">
        <v>825467</v>
      </c>
      <c r="B4599" t="s">
        <v>4993</v>
      </c>
      <c r="C4599" t="s">
        <v>8000</v>
      </c>
      <c r="D4599">
        <v>1</v>
      </c>
      <c r="E4599" t="s">
        <v>4993</v>
      </c>
      <c r="G4599" s="3"/>
      <c r="H4599" s="21">
        <v>0</v>
      </c>
      <c r="I4599" s="21">
        <v>0</v>
      </c>
      <c r="J4599" s="21">
        <v>0</v>
      </c>
      <c r="K4599" s="21">
        <v>0</v>
      </c>
      <c r="L4599" s="3">
        <f t="shared" si="198"/>
        <v>0</v>
      </c>
      <c r="M4599" s="3"/>
      <c r="N4599" s="3">
        <f t="shared" si="199"/>
        <v>0</v>
      </c>
      <c r="R4599" s="89"/>
      <c r="S4599" s="89">
        <f>100%-Table34[[#This Row],[PDF_initial fee]]</f>
        <v>1</v>
      </c>
      <c r="T4599" s="89"/>
      <c r="U4599" s="26"/>
    </row>
    <row r="4600" spans="1:28" hidden="1" x14ac:dyDescent="0.25">
      <c r="A4600">
        <v>825734</v>
      </c>
      <c r="B4600" t="s">
        <v>4994</v>
      </c>
      <c r="C4600" t="s">
        <v>8759</v>
      </c>
      <c r="D4600">
        <v>1</v>
      </c>
      <c r="E4600" t="s">
        <v>4994</v>
      </c>
      <c r="G4600" s="3"/>
      <c r="H4600" s="21">
        <v>0</v>
      </c>
      <c r="I4600" s="21">
        <v>0</v>
      </c>
      <c r="J4600" s="21">
        <v>0</v>
      </c>
      <c r="K4600" s="21">
        <v>0</v>
      </c>
      <c r="L4600" s="3">
        <f t="shared" si="198"/>
        <v>0</v>
      </c>
      <c r="M4600" s="3"/>
      <c r="N4600" s="3">
        <f t="shared" si="199"/>
        <v>0</v>
      </c>
      <c r="R4600" s="89"/>
      <c r="S4600" s="89">
        <f>100%-Table34[[#This Row],[PDF_initial fee]]</f>
        <v>1</v>
      </c>
      <c r="T4600" s="89"/>
      <c r="U4600" s="26"/>
    </row>
    <row r="4601" spans="1:28" hidden="1" x14ac:dyDescent="0.25">
      <c r="A4601">
        <v>825768</v>
      </c>
      <c r="B4601" t="s">
        <v>4995</v>
      </c>
      <c r="C4601" t="s">
        <v>6958</v>
      </c>
      <c r="D4601">
        <v>2</v>
      </c>
      <c r="E4601" t="s">
        <v>4995</v>
      </c>
      <c r="F4601" t="s">
        <v>6958</v>
      </c>
      <c r="G4601" s="3"/>
      <c r="H4601" s="21">
        <v>0</v>
      </c>
      <c r="I4601" s="21">
        <v>0</v>
      </c>
      <c r="J4601" s="21">
        <v>0</v>
      </c>
      <c r="K4601" s="21">
        <v>0</v>
      </c>
      <c r="L4601" s="3">
        <f t="shared" si="198"/>
        <v>0</v>
      </c>
      <c r="M4601" s="3"/>
      <c r="N4601" s="3">
        <f t="shared" si="199"/>
        <v>0</v>
      </c>
      <c r="R4601" s="89"/>
      <c r="S4601" s="89">
        <f>100%-Table34[[#This Row],[PDF_initial fee]]</f>
        <v>1</v>
      </c>
      <c r="T4601" s="89"/>
      <c r="U4601" s="26"/>
    </row>
    <row r="4602" spans="1:28" hidden="1" x14ac:dyDescent="0.25">
      <c r="A4602">
        <v>825843</v>
      </c>
      <c r="B4602" t="s">
        <v>4996</v>
      </c>
      <c r="C4602" t="s">
        <v>31139</v>
      </c>
      <c r="D4602">
        <v>2</v>
      </c>
      <c r="E4602" t="s">
        <v>4996</v>
      </c>
      <c r="G4602" s="3"/>
      <c r="H4602" s="3">
        <v>0</v>
      </c>
      <c r="I4602" s="3">
        <v>0</v>
      </c>
      <c r="J4602" s="3">
        <v>0</v>
      </c>
      <c r="K4602" s="3">
        <v>0</v>
      </c>
      <c r="L4602" s="3">
        <f t="shared" si="198"/>
        <v>0</v>
      </c>
      <c r="M4602" s="3"/>
      <c r="N4602" s="3">
        <f t="shared" si="199"/>
        <v>0</v>
      </c>
      <c r="R4602" s="89"/>
      <c r="S4602" s="89">
        <f>100%-Table34[[#This Row],[PDF_initial fee]]</f>
        <v>1</v>
      </c>
      <c r="T4602" s="89"/>
      <c r="U4602" s="26"/>
    </row>
    <row r="4603" spans="1:28" hidden="1" x14ac:dyDescent="0.25">
      <c r="A4603">
        <v>826117</v>
      </c>
      <c r="B4603" t="s">
        <v>4998</v>
      </c>
      <c r="C4603" t="s">
        <v>6958</v>
      </c>
      <c r="D4603">
        <v>1</v>
      </c>
      <c r="E4603" t="s">
        <v>4998</v>
      </c>
      <c r="F4603" t="s">
        <v>6958</v>
      </c>
      <c r="G4603" s="3"/>
      <c r="H4603" s="21">
        <v>0</v>
      </c>
      <c r="I4603" s="21">
        <v>0</v>
      </c>
      <c r="J4603" s="21">
        <v>0</v>
      </c>
      <c r="K4603" s="21">
        <v>0</v>
      </c>
      <c r="L4603" s="3">
        <f t="shared" si="198"/>
        <v>0</v>
      </c>
      <c r="M4603" s="3"/>
      <c r="N4603" s="3">
        <f t="shared" si="199"/>
        <v>0</v>
      </c>
      <c r="R4603" s="89"/>
      <c r="S4603" s="89">
        <f>100%-Table34[[#This Row],[PDF_initial fee]]</f>
        <v>1</v>
      </c>
      <c r="T4603" s="89"/>
      <c r="U4603" s="26"/>
    </row>
    <row r="4604" spans="1:28" hidden="1" x14ac:dyDescent="0.25">
      <c r="A4604">
        <v>826120</v>
      </c>
      <c r="B4604" t="s">
        <v>4999</v>
      </c>
      <c r="C4604" t="s">
        <v>7492</v>
      </c>
      <c r="D4604">
        <v>1</v>
      </c>
      <c r="E4604" t="s">
        <v>4999</v>
      </c>
      <c r="G4604" s="3"/>
      <c r="I4604" s="39" t="s">
        <v>31140</v>
      </c>
      <c r="J4604" s="39"/>
      <c r="K4604" s="39"/>
      <c r="L4604" s="3">
        <f t="shared" si="198"/>
        <v>0</v>
      </c>
      <c r="M4604" s="3"/>
      <c r="N4604" s="3">
        <f t="shared" si="199"/>
        <v>0</v>
      </c>
      <c r="R4604" s="89"/>
      <c r="S4604" s="89">
        <f>100%-Table34[[#This Row],[PDF_initial fee]]</f>
        <v>1</v>
      </c>
      <c r="T4604" s="89"/>
      <c r="U4604" s="26"/>
    </row>
    <row r="4605" spans="1:28" hidden="1" x14ac:dyDescent="0.25">
      <c r="A4605">
        <v>826126</v>
      </c>
      <c r="B4605" t="s">
        <v>5000</v>
      </c>
      <c r="C4605" t="s">
        <v>31141</v>
      </c>
      <c r="D4605">
        <v>2</v>
      </c>
      <c r="E4605" t="s">
        <v>5000</v>
      </c>
      <c r="G4605" s="3"/>
      <c r="H4605" s="21">
        <v>0</v>
      </c>
      <c r="I4605" s="21">
        <v>0</v>
      </c>
      <c r="J4605" s="21">
        <v>0</v>
      </c>
      <c r="K4605" s="21">
        <v>0</v>
      </c>
      <c r="L4605" s="3">
        <f t="shared" si="198"/>
        <v>0</v>
      </c>
      <c r="M4605" s="3"/>
      <c r="N4605" s="3">
        <f t="shared" si="199"/>
        <v>0</v>
      </c>
      <c r="O4605" s="21"/>
      <c r="R4605" s="89"/>
      <c r="S4605" s="89">
        <f>100%-Table34[[#This Row],[PDF_initial fee]]</f>
        <v>1</v>
      </c>
      <c r="T4605" s="89"/>
      <c r="U4605" s="26"/>
    </row>
    <row r="4606" spans="1:28" hidden="1" x14ac:dyDescent="0.25">
      <c r="A4606">
        <v>826357</v>
      </c>
      <c r="B4606" t="s">
        <v>5001</v>
      </c>
      <c r="C4606" t="s">
        <v>31142</v>
      </c>
      <c r="D4606">
        <v>5</v>
      </c>
      <c r="E4606" t="s">
        <v>5001</v>
      </c>
      <c r="G4606" s="3"/>
      <c r="H4606" s="3">
        <v>0</v>
      </c>
      <c r="I4606" s="3">
        <v>0</v>
      </c>
      <c r="J4606" s="3">
        <v>0</v>
      </c>
      <c r="K4606" s="3">
        <v>0</v>
      </c>
      <c r="L4606" s="3">
        <f t="shared" si="198"/>
        <v>0</v>
      </c>
      <c r="M4606" s="3"/>
      <c r="N4606" s="3">
        <f t="shared" si="199"/>
        <v>0</v>
      </c>
      <c r="R4606" s="89"/>
      <c r="S4606" s="89">
        <f>100%-Table34[[#This Row],[PDF_initial fee]]</f>
        <v>1</v>
      </c>
      <c r="T4606" s="89"/>
      <c r="U4606" s="26"/>
    </row>
    <row r="4607" spans="1:28" x14ac:dyDescent="0.25">
      <c r="A4607">
        <v>823702</v>
      </c>
      <c r="B4607" t="s">
        <v>312</v>
      </c>
      <c r="C4607" t="s">
        <v>31143</v>
      </c>
      <c r="D4607">
        <v>4</v>
      </c>
      <c r="E4607" t="s">
        <v>312</v>
      </c>
      <c r="F4607" t="s">
        <v>3</v>
      </c>
      <c r="G4607" s="3">
        <v>1.4E-3</v>
      </c>
      <c r="H4607" s="3">
        <v>2.5000000000000001E-2</v>
      </c>
      <c r="I4607" s="3">
        <v>7.4999999999999997E-3</v>
      </c>
      <c r="J4607" s="6">
        <v>0</v>
      </c>
      <c r="K4607" s="6">
        <v>0</v>
      </c>
      <c r="L4607" s="3">
        <f t="shared" si="198"/>
        <v>3.2500000000000001E-2</v>
      </c>
      <c r="M4607" s="3"/>
      <c r="N4607" s="3">
        <f t="shared" si="199"/>
        <v>3.39E-2</v>
      </c>
      <c r="P4607" s="31" t="s">
        <v>31144</v>
      </c>
      <c r="Q4607" t="s">
        <v>31787</v>
      </c>
      <c r="R4607" s="89">
        <v>0.33333333333333348</v>
      </c>
      <c r="S4607" s="89">
        <f>100%-Table34[[#This Row],[InitialFee]]</f>
        <v>0.97499999999999998</v>
      </c>
      <c r="T4607" s="89">
        <f>(1-Table34[[#This Row],[OngoingFee (plus Platform fee)]])^5</f>
        <v>0.9630582970465823</v>
      </c>
      <c r="U4607" s="26">
        <f>(1+Table34[[#This Row],[Net 5yrs return (mostly up to 28th of Feb 2026)]])*Table34[[#This Row],[Investment after initial charge]]*Table34[[#This Row],[Cummulative 5yrs ongoing advice charge]]-1</f>
        <v>0.25197578616055694</v>
      </c>
      <c r="V4607" s="10">
        <f>202397+35104</f>
        <v>237501</v>
      </c>
      <c r="W4607" t="s">
        <v>29051</v>
      </c>
      <c r="X4607" s="9">
        <v>201711</v>
      </c>
      <c r="Y4607" s="30">
        <f>X4607/V4607</f>
        <v>0.84930589765937825</v>
      </c>
      <c r="AA4607" s="1" t="s">
        <v>31145</v>
      </c>
    </row>
    <row r="4608" spans="1:28" hidden="1" x14ac:dyDescent="0.25">
      <c r="A4608">
        <v>826467</v>
      </c>
      <c r="B4608" t="s">
        <v>5002</v>
      </c>
      <c r="C4608" t="s">
        <v>31146</v>
      </c>
      <c r="D4608">
        <v>3</v>
      </c>
      <c r="E4608" t="s">
        <v>5002</v>
      </c>
      <c r="G4608" s="3"/>
      <c r="H4608" s="21">
        <v>0</v>
      </c>
      <c r="I4608" s="21">
        <v>0</v>
      </c>
      <c r="J4608" s="21">
        <v>0</v>
      </c>
      <c r="K4608" s="21">
        <v>0</v>
      </c>
      <c r="L4608" s="3">
        <f t="shared" si="198"/>
        <v>0</v>
      </c>
      <c r="M4608" s="3"/>
      <c r="N4608" s="3">
        <f t="shared" si="199"/>
        <v>0</v>
      </c>
      <c r="O4608" s="21"/>
      <c r="R4608" s="89"/>
      <c r="S4608" s="89">
        <f>100%-Table34[[#This Row],[PDF_initial fee]]</f>
        <v>1</v>
      </c>
      <c r="T4608" s="89"/>
      <c r="U4608" s="26"/>
    </row>
    <row r="4609" spans="1:30" hidden="1" x14ac:dyDescent="0.25">
      <c r="A4609">
        <v>826786</v>
      </c>
      <c r="B4609" t="s">
        <v>5003</v>
      </c>
      <c r="C4609" t="s">
        <v>6958</v>
      </c>
      <c r="D4609">
        <v>1</v>
      </c>
      <c r="E4609" t="s">
        <v>5003</v>
      </c>
      <c r="F4609" t="s">
        <v>6958</v>
      </c>
      <c r="G4609" s="3"/>
      <c r="L4609" s="3">
        <f t="shared" si="198"/>
        <v>0</v>
      </c>
      <c r="M4609" s="3"/>
      <c r="N4609" s="3">
        <f t="shared" si="199"/>
        <v>0</v>
      </c>
      <c r="R4609" s="89"/>
      <c r="S4609" s="89">
        <f>100%-Table34[[#This Row],[PDF_initial fee]]</f>
        <v>1</v>
      </c>
      <c r="T4609" s="89"/>
      <c r="U4609" s="26"/>
    </row>
    <row r="4610" spans="1:30" hidden="1" x14ac:dyDescent="0.25">
      <c r="A4610">
        <v>826793</v>
      </c>
      <c r="B4610" t="s">
        <v>5004</v>
      </c>
      <c r="C4610" t="s">
        <v>9461</v>
      </c>
      <c r="D4610">
        <v>24</v>
      </c>
      <c r="E4610" t="s">
        <v>5004</v>
      </c>
      <c r="F4610" t="s">
        <v>29936</v>
      </c>
      <c r="G4610" s="3"/>
      <c r="H4610" s="3">
        <v>0</v>
      </c>
      <c r="I4610" s="3">
        <v>0</v>
      </c>
      <c r="J4610" s="3">
        <v>0</v>
      </c>
      <c r="K4610" s="3">
        <v>0</v>
      </c>
      <c r="L4610" s="3">
        <f t="shared" si="198"/>
        <v>0</v>
      </c>
      <c r="M4610" s="3"/>
      <c r="N4610" s="3">
        <f t="shared" si="199"/>
        <v>0</v>
      </c>
      <c r="R4610" s="89"/>
      <c r="S4610" s="89">
        <f>100%-Table34[[#This Row],[PDF_initial fee]]</f>
        <v>1</v>
      </c>
      <c r="T4610" s="89"/>
      <c r="U4610" s="26"/>
    </row>
    <row r="4611" spans="1:30" hidden="1" x14ac:dyDescent="0.25">
      <c r="A4611">
        <v>826849</v>
      </c>
      <c r="B4611" t="s">
        <v>5005</v>
      </c>
      <c r="C4611" t="s">
        <v>8137</v>
      </c>
      <c r="D4611">
        <v>2</v>
      </c>
      <c r="E4611" t="s">
        <v>5005</v>
      </c>
      <c r="G4611" s="3"/>
      <c r="L4611" s="3">
        <f t="shared" si="198"/>
        <v>0</v>
      </c>
      <c r="M4611" s="3"/>
      <c r="N4611" s="3">
        <f t="shared" si="199"/>
        <v>0</v>
      </c>
      <c r="R4611" s="89"/>
      <c r="S4611" s="89">
        <f>100%-Table34[[#This Row],[PDF_initial fee]]</f>
        <v>1</v>
      </c>
      <c r="T4611" s="89"/>
      <c r="U4611" s="26"/>
    </row>
    <row r="4612" spans="1:30" hidden="1" x14ac:dyDescent="0.25">
      <c r="A4612">
        <v>827035</v>
      </c>
      <c r="B4612" t="s">
        <v>5006</v>
      </c>
      <c r="C4612" t="s">
        <v>31147</v>
      </c>
      <c r="D4612">
        <v>2</v>
      </c>
      <c r="E4612" t="s">
        <v>5006</v>
      </c>
      <c r="G4612" s="3"/>
      <c r="H4612" s="3">
        <v>0</v>
      </c>
      <c r="I4612" s="3">
        <v>0</v>
      </c>
      <c r="J4612" s="3">
        <v>0</v>
      </c>
      <c r="K4612" s="3">
        <v>0</v>
      </c>
      <c r="L4612" s="3">
        <f t="shared" si="198"/>
        <v>0</v>
      </c>
      <c r="M4612" s="3"/>
      <c r="N4612" s="3">
        <f t="shared" si="199"/>
        <v>0</v>
      </c>
      <c r="R4612" s="89"/>
      <c r="S4612" s="89">
        <f>100%-Table34[[#This Row],[PDF_initial fee]]</f>
        <v>1</v>
      </c>
      <c r="T4612" s="89"/>
      <c r="U4612" s="26"/>
    </row>
    <row r="4613" spans="1:30" hidden="1" x14ac:dyDescent="0.25">
      <c r="A4613">
        <v>827056</v>
      </c>
      <c r="B4613" t="s">
        <v>5007</v>
      </c>
      <c r="C4613" t="s">
        <v>31148</v>
      </c>
      <c r="D4613">
        <v>4</v>
      </c>
      <c r="E4613" t="s">
        <v>5007</v>
      </c>
      <c r="G4613" s="3"/>
      <c r="H4613" s="3">
        <v>0</v>
      </c>
      <c r="I4613" s="3">
        <v>0</v>
      </c>
      <c r="J4613" s="3">
        <v>0</v>
      </c>
      <c r="K4613" s="3">
        <v>0</v>
      </c>
      <c r="L4613" s="3">
        <f t="shared" si="198"/>
        <v>0</v>
      </c>
      <c r="M4613" s="3"/>
      <c r="N4613" s="3">
        <f t="shared" si="199"/>
        <v>0</v>
      </c>
      <c r="R4613" s="89"/>
      <c r="S4613" s="89">
        <f>100%-Table34[[#This Row],[PDF_initial fee]]</f>
        <v>1</v>
      </c>
      <c r="T4613" s="89"/>
      <c r="U4613" s="26"/>
    </row>
    <row r="4614" spans="1:30" hidden="1" x14ac:dyDescent="0.25">
      <c r="A4614">
        <v>827075</v>
      </c>
      <c r="B4614" t="s">
        <v>5008</v>
      </c>
      <c r="C4614" t="s">
        <v>9413</v>
      </c>
      <c r="D4614">
        <v>1</v>
      </c>
      <c r="E4614" t="s">
        <v>5008</v>
      </c>
      <c r="G4614" s="3"/>
      <c r="H4614" s="3"/>
      <c r="I4614" s="3"/>
      <c r="J4614" s="3"/>
      <c r="K4614" s="3"/>
      <c r="L4614" s="3">
        <f t="shared" si="198"/>
        <v>0</v>
      </c>
      <c r="M4614" s="3"/>
      <c r="N4614" s="3">
        <f t="shared" si="199"/>
        <v>0</v>
      </c>
      <c r="R4614" s="89"/>
      <c r="S4614" s="89">
        <f>100%-Table34[[#This Row],[PDF_initial fee]]</f>
        <v>1</v>
      </c>
      <c r="T4614" s="89"/>
      <c r="U4614" s="26"/>
    </row>
    <row r="4615" spans="1:30" hidden="1" x14ac:dyDescent="0.25">
      <c r="A4615">
        <v>827170</v>
      </c>
      <c r="B4615" t="s">
        <v>5009</v>
      </c>
      <c r="C4615" t="s">
        <v>31149</v>
      </c>
      <c r="D4615">
        <v>12</v>
      </c>
      <c r="E4615" t="s">
        <v>5009</v>
      </c>
      <c r="G4615" s="3"/>
      <c r="H4615" s="21">
        <v>0</v>
      </c>
      <c r="I4615" s="21">
        <v>0</v>
      </c>
      <c r="J4615" s="21">
        <v>0</v>
      </c>
      <c r="K4615" s="21">
        <v>0</v>
      </c>
      <c r="L4615" s="3">
        <f t="shared" si="198"/>
        <v>0</v>
      </c>
      <c r="M4615" s="3"/>
      <c r="N4615" s="3">
        <f t="shared" si="199"/>
        <v>0</v>
      </c>
      <c r="O4615" s="21"/>
      <c r="R4615" s="89"/>
      <c r="S4615" s="89">
        <f>100%-Table34[[#This Row],[PDF_initial fee]]</f>
        <v>1</v>
      </c>
      <c r="T4615" s="89"/>
      <c r="U4615" s="26"/>
    </row>
    <row r="4616" spans="1:30" hidden="1" x14ac:dyDescent="0.25">
      <c r="A4616">
        <v>827270</v>
      </c>
      <c r="B4616" t="s">
        <v>5010</v>
      </c>
      <c r="C4616" t="s">
        <v>12169</v>
      </c>
      <c r="D4616">
        <v>6</v>
      </c>
      <c r="E4616" t="s">
        <v>5010</v>
      </c>
      <c r="G4616" s="3"/>
      <c r="H4616" s="3">
        <v>0</v>
      </c>
      <c r="I4616" s="3">
        <v>0</v>
      </c>
      <c r="J4616" s="3">
        <v>0</v>
      </c>
      <c r="K4616" s="3">
        <v>0</v>
      </c>
      <c r="L4616" s="3">
        <f t="shared" si="198"/>
        <v>0</v>
      </c>
      <c r="M4616" s="3"/>
      <c r="N4616" s="3">
        <f t="shared" si="199"/>
        <v>0</v>
      </c>
      <c r="R4616" s="89"/>
      <c r="S4616" s="89">
        <f>100%-Table34[[#This Row],[PDF_initial fee]]</f>
        <v>1</v>
      </c>
      <c r="T4616" s="89"/>
      <c r="U4616" s="26"/>
    </row>
    <row r="4617" spans="1:30" hidden="1" x14ac:dyDescent="0.25">
      <c r="A4617">
        <v>629539</v>
      </c>
      <c r="B4617" t="s">
        <v>260</v>
      </c>
      <c r="C4617" t="s">
        <v>31150</v>
      </c>
      <c r="D4617">
        <v>4</v>
      </c>
      <c r="E4617" t="s">
        <v>260</v>
      </c>
      <c r="F4617" t="s">
        <v>6</v>
      </c>
      <c r="G4617" s="3">
        <v>2.0999999999999999E-3</v>
      </c>
      <c r="H4617" s="3"/>
      <c r="I4617" s="3">
        <v>5.7999999999999996E-3</v>
      </c>
      <c r="J4617" s="6"/>
      <c r="K4617" s="6"/>
      <c r="L4617" s="3">
        <f t="shared" si="198"/>
        <v>5.7999999999999996E-3</v>
      </c>
      <c r="M4617" s="3"/>
      <c r="N4617" s="3">
        <f t="shared" si="199"/>
        <v>7.899999999999999E-3</v>
      </c>
      <c r="O4617" t="s">
        <v>31151</v>
      </c>
      <c r="P4617" s="1" t="s">
        <v>31152</v>
      </c>
      <c r="R4617" s="89"/>
      <c r="S4617" s="89">
        <f>100%-Table34[[#This Row],[PDF_initial fee]]</f>
        <v>1</v>
      </c>
      <c r="T4617" s="89"/>
      <c r="U4617" s="26"/>
      <c r="V4617" s="10">
        <v>63772000</v>
      </c>
      <c r="W4617" s="10" t="s">
        <v>29051</v>
      </c>
      <c r="X4617" s="10">
        <v>17296000</v>
      </c>
      <c r="Y4617" s="30">
        <f>X4617/V4617</f>
        <v>0.27121620774007399</v>
      </c>
      <c r="AA4617" s="1" t="s">
        <v>31153</v>
      </c>
      <c r="AC4617" t="s">
        <v>29218</v>
      </c>
      <c r="AD4617" s="1" t="s">
        <v>31154</v>
      </c>
    </row>
    <row r="4618" spans="1:30" hidden="1" x14ac:dyDescent="0.25">
      <c r="A4618">
        <v>827693</v>
      </c>
      <c r="B4618" t="s">
        <v>5011</v>
      </c>
      <c r="C4618" t="s">
        <v>9816</v>
      </c>
      <c r="D4618">
        <v>1</v>
      </c>
      <c r="E4618" t="s">
        <v>5011</v>
      </c>
      <c r="G4618" s="3"/>
      <c r="H4618" s="3">
        <v>0</v>
      </c>
      <c r="I4618" s="3">
        <v>0</v>
      </c>
      <c r="J4618" s="3">
        <v>0</v>
      </c>
      <c r="K4618" s="3">
        <v>0</v>
      </c>
      <c r="L4618" s="3">
        <f t="shared" si="198"/>
        <v>0</v>
      </c>
      <c r="M4618" s="3"/>
      <c r="N4618" s="3">
        <f t="shared" si="199"/>
        <v>0</v>
      </c>
      <c r="R4618" s="89"/>
      <c r="S4618" s="89">
        <f>100%-Table34[[#This Row],[PDF_initial fee]]</f>
        <v>1</v>
      </c>
      <c r="T4618" s="89"/>
      <c r="U4618" s="26"/>
    </row>
    <row r="4619" spans="1:30" hidden="1" x14ac:dyDescent="0.25">
      <c r="A4619">
        <v>827778</v>
      </c>
      <c r="B4619" t="s">
        <v>5012</v>
      </c>
      <c r="C4619" t="s">
        <v>6958</v>
      </c>
      <c r="D4619">
        <v>1</v>
      </c>
      <c r="E4619" t="s">
        <v>5012</v>
      </c>
      <c r="F4619" t="s">
        <v>6958</v>
      </c>
      <c r="G4619" s="3"/>
      <c r="H4619" s="21">
        <v>0</v>
      </c>
      <c r="I4619" s="21">
        <v>0</v>
      </c>
      <c r="J4619" s="21">
        <v>0</v>
      </c>
      <c r="K4619" s="21">
        <v>0</v>
      </c>
      <c r="L4619" s="3">
        <f t="shared" si="198"/>
        <v>0</v>
      </c>
      <c r="M4619" s="3"/>
      <c r="N4619" s="3">
        <f t="shared" si="199"/>
        <v>0</v>
      </c>
      <c r="R4619" s="89"/>
      <c r="S4619" s="89">
        <f>100%-Table34[[#This Row],[PDF_initial fee]]</f>
        <v>1</v>
      </c>
      <c r="T4619" s="89"/>
      <c r="U4619" s="26"/>
    </row>
    <row r="4620" spans="1:30" hidden="1" x14ac:dyDescent="0.25">
      <c r="A4620">
        <v>827982</v>
      </c>
      <c r="B4620" t="s">
        <v>5013</v>
      </c>
      <c r="C4620" t="s">
        <v>12236</v>
      </c>
      <c r="D4620">
        <v>8</v>
      </c>
      <c r="E4620" t="s">
        <v>5013</v>
      </c>
      <c r="G4620" s="3"/>
      <c r="H4620" s="3">
        <v>0</v>
      </c>
      <c r="I4620" s="3">
        <v>0</v>
      </c>
      <c r="J4620" s="3">
        <v>0</v>
      </c>
      <c r="K4620" s="3">
        <v>0</v>
      </c>
      <c r="L4620" s="3">
        <f t="shared" si="198"/>
        <v>0</v>
      </c>
      <c r="M4620" s="3"/>
      <c r="N4620" s="3">
        <f t="shared" si="199"/>
        <v>0</v>
      </c>
      <c r="R4620" s="89"/>
      <c r="S4620" s="89">
        <f>100%-Table34[[#This Row],[PDF_initial fee]]</f>
        <v>1</v>
      </c>
      <c r="T4620" s="89"/>
      <c r="U4620" s="26"/>
    </row>
    <row r="4621" spans="1:30" hidden="1" x14ac:dyDescent="0.25">
      <c r="A4621">
        <v>827991</v>
      </c>
      <c r="B4621" t="s">
        <v>5014</v>
      </c>
      <c r="C4621" t="s">
        <v>6958</v>
      </c>
      <c r="D4621">
        <v>4</v>
      </c>
      <c r="E4621" t="s">
        <v>5014</v>
      </c>
      <c r="F4621" t="s">
        <v>6958</v>
      </c>
      <c r="G4621" s="3"/>
      <c r="H4621" s="21">
        <v>0</v>
      </c>
      <c r="I4621" s="21">
        <v>0</v>
      </c>
      <c r="J4621" s="21">
        <v>0</v>
      </c>
      <c r="K4621" s="21">
        <v>0</v>
      </c>
      <c r="L4621" s="3">
        <f t="shared" si="198"/>
        <v>0</v>
      </c>
      <c r="M4621" s="3"/>
      <c r="N4621" s="3">
        <f t="shared" si="199"/>
        <v>0</v>
      </c>
      <c r="R4621" s="89"/>
      <c r="S4621" s="89">
        <f>100%-Table34[[#This Row],[PDF_initial fee]]</f>
        <v>1</v>
      </c>
      <c r="T4621" s="89"/>
      <c r="U4621" s="26"/>
    </row>
    <row r="4622" spans="1:30" hidden="1" x14ac:dyDescent="0.25">
      <c r="A4622">
        <v>828050</v>
      </c>
      <c r="B4622" t="s">
        <v>5015</v>
      </c>
      <c r="C4622" t="s">
        <v>8670</v>
      </c>
      <c r="D4622">
        <v>1</v>
      </c>
      <c r="E4622" t="s">
        <v>5015</v>
      </c>
      <c r="G4622" s="3"/>
      <c r="H4622" s="21">
        <v>0</v>
      </c>
      <c r="I4622" s="21">
        <v>0</v>
      </c>
      <c r="J4622" s="21">
        <v>0</v>
      </c>
      <c r="K4622" s="21">
        <v>0</v>
      </c>
      <c r="L4622" s="3">
        <f t="shared" si="198"/>
        <v>0</v>
      </c>
      <c r="M4622" s="3"/>
      <c r="N4622" s="3">
        <f t="shared" si="199"/>
        <v>0</v>
      </c>
      <c r="R4622" s="89"/>
      <c r="S4622" s="89">
        <f>100%-Table34[[#This Row],[PDF_initial fee]]</f>
        <v>1</v>
      </c>
      <c r="T4622" s="89"/>
      <c r="U4622" s="26"/>
    </row>
    <row r="4623" spans="1:30" hidden="1" x14ac:dyDescent="0.25">
      <c r="A4623">
        <v>828162</v>
      </c>
      <c r="B4623" t="s">
        <v>5016</v>
      </c>
      <c r="C4623" t="s">
        <v>7777</v>
      </c>
      <c r="D4623">
        <v>3</v>
      </c>
      <c r="E4623" t="s">
        <v>5016</v>
      </c>
      <c r="G4623" s="3"/>
      <c r="H4623" s="21">
        <v>0</v>
      </c>
      <c r="I4623" s="21">
        <v>0</v>
      </c>
      <c r="J4623" s="21">
        <v>0</v>
      </c>
      <c r="K4623" s="21">
        <v>0</v>
      </c>
      <c r="L4623" s="3">
        <f t="shared" si="198"/>
        <v>0</v>
      </c>
      <c r="M4623" s="3"/>
      <c r="N4623" s="3">
        <f t="shared" si="199"/>
        <v>0</v>
      </c>
      <c r="R4623" s="89"/>
      <c r="S4623" s="89">
        <f>100%-Table34[[#This Row],[PDF_initial fee]]</f>
        <v>1</v>
      </c>
      <c r="T4623" s="89"/>
      <c r="U4623" s="26"/>
    </row>
    <row r="4624" spans="1:30" hidden="1" x14ac:dyDescent="0.25">
      <c r="A4624">
        <v>828198</v>
      </c>
      <c r="B4624" t="s">
        <v>5017</v>
      </c>
      <c r="C4624" t="s">
        <v>12522</v>
      </c>
      <c r="D4624">
        <v>2</v>
      </c>
      <c r="E4624" t="s">
        <v>5017</v>
      </c>
      <c r="G4624" s="3"/>
      <c r="H4624" s="3">
        <v>0</v>
      </c>
      <c r="I4624" s="3">
        <v>0</v>
      </c>
      <c r="J4624" s="3">
        <v>0</v>
      </c>
      <c r="K4624" s="3">
        <v>0</v>
      </c>
      <c r="L4624" s="3">
        <f t="shared" si="198"/>
        <v>0</v>
      </c>
      <c r="M4624" s="3"/>
      <c r="N4624" s="3">
        <f t="shared" si="199"/>
        <v>0</v>
      </c>
      <c r="R4624" s="89"/>
      <c r="S4624" s="89">
        <f>100%-Table34[[#This Row],[PDF_initial fee]]</f>
        <v>1</v>
      </c>
      <c r="T4624" s="89"/>
      <c r="U4624" s="26"/>
    </row>
    <row r="4625" spans="1:27" hidden="1" x14ac:dyDescent="0.25">
      <c r="A4625">
        <v>828270</v>
      </c>
      <c r="B4625" t="s">
        <v>5018</v>
      </c>
      <c r="C4625" t="s">
        <v>9534</v>
      </c>
      <c r="D4625">
        <v>3</v>
      </c>
      <c r="E4625" t="s">
        <v>5018</v>
      </c>
      <c r="G4625" s="3"/>
      <c r="H4625" s="3">
        <v>0</v>
      </c>
      <c r="I4625" s="3">
        <v>0</v>
      </c>
      <c r="J4625" s="3">
        <v>0</v>
      </c>
      <c r="K4625" s="3">
        <v>0</v>
      </c>
      <c r="L4625" s="3">
        <f t="shared" si="198"/>
        <v>0</v>
      </c>
      <c r="M4625" s="3"/>
      <c r="N4625" s="3">
        <f t="shared" si="199"/>
        <v>0</v>
      </c>
      <c r="R4625" s="89"/>
      <c r="S4625" s="89">
        <f>100%-Table34[[#This Row],[PDF_initial fee]]</f>
        <v>1</v>
      </c>
      <c r="T4625" s="89"/>
      <c r="U4625" s="26"/>
    </row>
    <row r="4626" spans="1:27" hidden="1" x14ac:dyDescent="0.25">
      <c r="A4626">
        <v>828424</v>
      </c>
      <c r="B4626" t="s">
        <v>5019</v>
      </c>
      <c r="C4626" t="s">
        <v>6958</v>
      </c>
      <c r="D4626">
        <v>1</v>
      </c>
      <c r="E4626" t="s">
        <v>5019</v>
      </c>
      <c r="F4626" t="s">
        <v>6958</v>
      </c>
      <c r="G4626" s="3"/>
      <c r="H4626" s="21">
        <v>0</v>
      </c>
      <c r="I4626" s="21">
        <v>0</v>
      </c>
      <c r="J4626" s="21">
        <v>0</v>
      </c>
      <c r="K4626" s="21">
        <v>0</v>
      </c>
      <c r="L4626" s="3">
        <f t="shared" si="198"/>
        <v>0</v>
      </c>
      <c r="M4626" s="3"/>
      <c r="N4626" s="3">
        <f t="shared" si="199"/>
        <v>0</v>
      </c>
      <c r="R4626" s="89"/>
      <c r="S4626" s="89">
        <f>100%-Table34[[#This Row],[PDF_initial fee]]</f>
        <v>1</v>
      </c>
      <c r="T4626" s="89"/>
      <c r="U4626" s="26"/>
    </row>
    <row r="4627" spans="1:27" hidden="1" x14ac:dyDescent="0.25">
      <c r="A4627">
        <v>828483</v>
      </c>
      <c r="B4627" t="s">
        <v>5020</v>
      </c>
      <c r="C4627" t="s">
        <v>6958</v>
      </c>
      <c r="D4627">
        <v>3</v>
      </c>
      <c r="E4627" t="s">
        <v>5020</v>
      </c>
      <c r="F4627" t="s">
        <v>6958</v>
      </c>
      <c r="G4627" s="3"/>
      <c r="H4627" s="21">
        <v>0</v>
      </c>
      <c r="I4627" s="21">
        <v>0</v>
      </c>
      <c r="J4627" s="21">
        <v>0</v>
      </c>
      <c r="K4627" s="21">
        <v>0</v>
      </c>
      <c r="L4627" s="3">
        <f t="shared" si="198"/>
        <v>0</v>
      </c>
      <c r="M4627" s="3"/>
      <c r="N4627" s="3">
        <f t="shared" si="199"/>
        <v>0</v>
      </c>
      <c r="R4627" s="89"/>
      <c r="S4627" s="89">
        <f>100%-Table34[[#This Row],[PDF_initial fee]]</f>
        <v>1</v>
      </c>
      <c r="T4627" s="89"/>
      <c r="U4627" s="26"/>
    </row>
    <row r="4628" spans="1:27" hidden="1" x14ac:dyDescent="0.25">
      <c r="A4628">
        <v>828533</v>
      </c>
      <c r="B4628" t="s">
        <v>5021</v>
      </c>
      <c r="C4628" t="s">
        <v>12460</v>
      </c>
      <c r="D4628">
        <v>5</v>
      </c>
      <c r="E4628" t="s">
        <v>5021</v>
      </c>
      <c r="G4628" s="3"/>
      <c r="H4628" s="3"/>
      <c r="I4628" s="3"/>
      <c r="J4628" s="3"/>
      <c r="K4628" s="3"/>
      <c r="L4628" s="3">
        <f t="shared" si="198"/>
        <v>0</v>
      </c>
      <c r="M4628" s="3"/>
      <c r="N4628" s="3">
        <f t="shared" si="199"/>
        <v>0</v>
      </c>
      <c r="R4628" s="89"/>
      <c r="S4628" s="89">
        <f>100%-Table34[[#This Row],[PDF_initial fee]]</f>
        <v>1</v>
      </c>
      <c r="T4628" s="89"/>
      <c r="U4628" s="26"/>
    </row>
    <row r="4629" spans="1:27" hidden="1" x14ac:dyDescent="0.25">
      <c r="A4629">
        <v>828799</v>
      </c>
      <c r="B4629" t="s">
        <v>5022</v>
      </c>
      <c r="C4629" t="s">
        <v>31155</v>
      </c>
      <c r="D4629">
        <v>1</v>
      </c>
      <c r="E4629" t="s">
        <v>5022</v>
      </c>
      <c r="G4629" s="3"/>
      <c r="H4629" s="21">
        <v>0</v>
      </c>
      <c r="I4629" s="21">
        <v>0</v>
      </c>
      <c r="J4629" s="21">
        <v>0</v>
      </c>
      <c r="K4629" s="21">
        <v>0</v>
      </c>
      <c r="L4629" s="3">
        <f t="shared" si="198"/>
        <v>0</v>
      </c>
      <c r="M4629" s="3"/>
      <c r="N4629" s="3">
        <f t="shared" si="199"/>
        <v>0</v>
      </c>
      <c r="O4629" s="21"/>
      <c r="R4629" s="89"/>
      <c r="S4629" s="89">
        <f>100%-Table34[[#This Row],[PDF_initial fee]]</f>
        <v>1</v>
      </c>
      <c r="T4629" s="89"/>
      <c r="U4629" s="26"/>
    </row>
    <row r="4630" spans="1:27" hidden="1" x14ac:dyDescent="0.25">
      <c r="A4630">
        <v>828966</v>
      </c>
      <c r="B4630" t="s">
        <v>5023</v>
      </c>
      <c r="C4630" t="s">
        <v>6990</v>
      </c>
      <c r="D4630">
        <v>5</v>
      </c>
      <c r="E4630" t="s">
        <v>5023</v>
      </c>
      <c r="G4630" s="3"/>
      <c r="H4630" s="21">
        <v>0</v>
      </c>
      <c r="I4630" s="21">
        <v>0</v>
      </c>
      <c r="J4630" s="21">
        <v>0</v>
      </c>
      <c r="K4630" s="21">
        <v>0</v>
      </c>
      <c r="L4630" s="3">
        <f t="shared" si="198"/>
        <v>0</v>
      </c>
      <c r="M4630" s="3"/>
      <c r="N4630" s="3">
        <f t="shared" si="199"/>
        <v>0</v>
      </c>
      <c r="R4630" s="89"/>
      <c r="S4630" s="89">
        <f>100%-Table34[[#This Row],[PDF_initial fee]]</f>
        <v>1</v>
      </c>
      <c r="T4630" s="89"/>
      <c r="U4630" s="26"/>
    </row>
    <row r="4631" spans="1:27" hidden="1" x14ac:dyDescent="0.25">
      <c r="A4631">
        <v>829204</v>
      </c>
      <c r="B4631" t="s">
        <v>5024</v>
      </c>
      <c r="C4631" t="s">
        <v>7628</v>
      </c>
      <c r="D4631">
        <v>3</v>
      </c>
      <c r="E4631" t="s">
        <v>5024</v>
      </c>
      <c r="G4631" s="3"/>
      <c r="H4631" s="3">
        <v>0</v>
      </c>
      <c r="I4631" s="3">
        <v>0</v>
      </c>
      <c r="J4631" s="3">
        <v>0</v>
      </c>
      <c r="K4631" s="3">
        <v>0</v>
      </c>
      <c r="L4631" s="3">
        <f t="shared" si="198"/>
        <v>0</v>
      </c>
      <c r="M4631" s="3"/>
      <c r="N4631" s="3">
        <f t="shared" si="199"/>
        <v>0</v>
      </c>
      <c r="R4631" s="89"/>
      <c r="S4631" s="89">
        <f>100%-Table34[[#This Row],[PDF_initial fee]]</f>
        <v>1</v>
      </c>
      <c r="T4631" s="89"/>
      <c r="U4631" s="26"/>
    </row>
    <row r="4632" spans="1:27" hidden="1" x14ac:dyDescent="0.25">
      <c r="A4632">
        <v>829694</v>
      </c>
      <c r="B4632" t="s">
        <v>5025</v>
      </c>
      <c r="C4632" t="s">
        <v>7764</v>
      </c>
      <c r="D4632">
        <v>2</v>
      </c>
      <c r="E4632" t="s">
        <v>5025</v>
      </c>
      <c r="G4632" s="3"/>
      <c r="H4632" s="21">
        <v>0</v>
      </c>
      <c r="I4632" s="21">
        <v>0</v>
      </c>
      <c r="J4632" s="21">
        <v>0</v>
      </c>
      <c r="K4632" s="21">
        <v>0</v>
      </c>
      <c r="L4632" s="3">
        <f t="shared" si="198"/>
        <v>0</v>
      </c>
      <c r="M4632" s="3"/>
      <c r="N4632" s="3">
        <f t="shared" si="199"/>
        <v>0</v>
      </c>
      <c r="R4632" s="89"/>
      <c r="S4632" s="89">
        <f>100%-Table34[[#This Row],[PDF_initial fee]]</f>
        <v>1</v>
      </c>
      <c r="T4632" s="89"/>
      <c r="U4632" s="26"/>
    </row>
    <row r="4633" spans="1:27" hidden="1" x14ac:dyDescent="0.25">
      <c r="A4633">
        <v>829695</v>
      </c>
      <c r="B4633" t="s">
        <v>5026</v>
      </c>
      <c r="C4633" t="s">
        <v>31156</v>
      </c>
      <c r="D4633">
        <v>1</v>
      </c>
      <c r="E4633" t="s">
        <v>5026</v>
      </c>
      <c r="G4633" s="3"/>
      <c r="H4633" s="3"/>
      <c r="I4633" s="3"/>
      <c r="J4633" s="3"/>
      <c r="K4633" s="3"/>
      <c r="L4633" s="3">
        <f t="shared" si="198"/>
        <v>0</v>
      </c>
      <c r="M4633" s="3"/>
      <c r="N4633" s="3">
        <f t="shared" si="199"/>
        <v>0</v>
      </c>
      <c r="R4633" s="89"/>
      <c r="S4633" s="89">
        <f>100%-Table34[[#This Row],[PDF_initial fee]]</f>
        <v>1</v>
      </c>
      <c r="T4633" s="89"/>
      <c r="U4633" s="26"/>
    </row>
    <row r="4634" spans="1:27" hidden="1" x14ac:dyDescent="0.25">
      <c r="A4634">
        <v>829727</v>
      </c>
      <c r="B4634" t="s">
        <v>5027</v>
      </c>
      <c r="C4634" t="s">
        <v>6958</v>
      </c>
      <c r="D4634">
        <v>1</v>
      </c>
      <c r="E4634" t="s">
        <v>5027</v>
      </c>
      <c r="F4634" t="s">
        <v>6958</v>
      </c>
      <c r="G4634" s="3"/>
      <c r="L4634" s="3">
        <f t="shared" si="198"/>
        <v>0</v>
      </c>
      <c r="M4634" s="3"/>
      <c r="N4634" s="3">
        <f t="shared" si="199"/>
        <v>0</v>
      </c>
      <c r="R4634" s="89"/>
      <c r="S4634" s="89">
        <f>100%-Table34[[#This Row],[PDF_initial fee]]</f>
        <v>1</v>
      </c>
      <c r="T4634" s="89"/>
      <c r="U4634" s="26"/>
    </row>
    <row r="4635" spans="1:27" hidden="1" x14ac:dyDescent="0.25">
      <c r="A4635">
        <v>829788</v>
      </c>
      <c r="B4635" t="s">
        <v>5028</v>
      </c>
      <c r="C4635" t="s">
        <v>31157</v>
      </c>
      <c r="D4635">
        <v>4</v>
      </c>
      <c r="E4635" t="s">
        <v>5028</v>
      </c>
      <c r="G4635" s="3"/>
      <c r="H4635" s="21">
        <v>0</v>
      </c>
      <c r="I4635" s="21">
        <v>0</v>
      </c>
      <c r="J4635" s="21">
        <v>0</v>
      </c>
      <c r="K4635" s="21">
        <v>0</v>
      </c>
      <c r="L4635" s="3">
        <f t="shared" si="198"/>
        <v>0</v>
      </c>
      <c r="M4635" s="3"/>
      <c r="N4635" s="3">
        <f t="shared" si="199"/>
        <v>0</v>
      </c>
      <c r="O4635" s="21"/>
      <c r="R4635" s="89"/>
      <c r="S4635" s="89">
        <f>100%-Table34[[#This Row],[PDF_initial fee]]</f>
        <v>1</v>
      </c>
      <c r="T4635" s="89"/>
      <c r="U4635" s="26"/>
    </row>
    <row r="4636" spans="1:27" hidden="1" x14ac:dyDescent="0.25">
      <c r="A4636">
        <v>829941</v>
      </c>
      <c r="B4636" t="s">
        <v>5029</v>
      </c>
      <c r="C4636" t="s">
        <v>31158</v>
      </c>
      <c r="D4636">
        <v>1</v>
      </c>
      <c r="E4636" t="s">
        <v>5029</v>
      </c>
      <c r="G4636" s="3"/>
      <c r="H4636" s="3">
        <v>0</v>
      </c>
      <c r="I4636" s="3">
        <v>0</v>
      </c>
      <c r="J4636" s="3">
        <v>0</v>
      </c>
      <c r="K4636" s="3">
        <v>0</v>
      </c>
      <c r="L4636" s="3">
        <f t="shared" si="198"/>
        <v>0</v>
      </c>
      <c r="M4636" s="3"/>
      <c r="N4636" s="3">
        <f t="shared" si="199"/>
        <v>0</v>
      </c>
      <c r="R4636" s="89"/>
      <c r="S4636" s="89">
        <f>100%-Table34[[#This Row],[PDF_initial fee]]</f>
        <v>1</v>
      </c>
      <c r="T4636" s="89"/>
      <c r="U4636" s="26"/>
    </row>
    <row r="4637" spans="1:27" x14ac:dyDescent="0.25">
      <c r="A4637">
        <v>440828</v>
      </c>
      <c r="B4637" t="s">
        <v>163</v>
      </c>
      <c r="C4637" s="1" t="s">
        <v>31159</v>
      </c>
      <c r="D4637">
        <v>2</v>
      </c>
      <c r="E4637" t="s">
        <v>163</v>
      </c>
      <c r="F4637" t="s">
        <v>3</v>
      </c>
      <c r="G4637" s="3">
        <v>1.4E-3</v>
      </c>
      <c r="H4637" s="3">
        <v>0</v>
      </c>
      <c r="I4637" s="3">
        <f>3000/100000</f>
        <v>0.03</v>
      </c>
      <c r="J4637" s="6">
        <v>0</v>
      </c>
      <c r="K4637" s="6">
        <v>0</v>
      </c>
      <c r="L4637" s="3">
        <f t="shared" si="198"/>
        <v>0.03</v>
      </c>
      <c r="M4637" s="3"/>
      <c r="N4637" s="3">
        <f t="shared" si="199"/>
        <v>3.1399999999999997E-2</v>
      </c>
      <c r="O4637" t="s">
        <v>31160</v>
      </c>
      <c r="P4637" s="31" t="s">
        <v>31161</v>
      </c>
      <c r="Q4637" t="s">
        <v>31787</v>
      </c>
      <c r="R4637" s="89">
        <v>0.33333333333333348</v>
      </c>
      <c r="S4637" s="99">
        <f>100%-Table34[[#This Row],[InitialFee]]</f>
        <v>1</v>
      </c>
      <c r="T4637" s="99">
        <f>(1-Table34[[#This Row],[OngoingFee (plus Platform fee)]])^5</f>
        <v>0.8587340256999999</v>
      </c>
      <c r="U4637" s="26">
        <f>(1+Table34[[#This Row],[Net 5yrs return (mostly up to 28th of Feb 2026)]])*Table34[[#This Row],[Investment after initial charge]]*Table34[[#This Row],[Cummulative 5yrs ongoing advice charge]]-1</f>
        <v>0.14497870093333343</v>
      </c>
      <c r="V4637" s="10">
        <f>1979733+123955</f>
        <v>2103688</v>
      </c>
      <c r="W4637" t="s">
        <v>29051</v>
      </c>
      <c r="X4637" s="9">
        <v>1979733</v>
      </c>
      <c r="Y4637" s="30">
        <f>X4637/V4637</f>
        <v>0.94107728902765053</v>
      </c>
      <c r="AA4637" s="1" t="s">
        <v>31162</v>
      </c>
    </row>
    <row r="4638" spans="1:27" hidden="1" x14ac:dyDescent="0.25">
      <c r="A4638">
        <v>830065</v>
      </c>
      <c r="B4638" t="s">
        <v>5030</v>
      </c>
      <c r="C4638" t="s">
        <v>6958</v>
      </c>
      <c r="D4638">
        <v>4</v>
      </c>
      <c r="E4638" t="s">
        <v>5030</v>
      </c>
      <c r="F4638" t="s">
        <v>6958</v>
      </c>
      <c r="G4638" s="3"/>
      <c r="H4638" s="21">
        <v>0</v>
      </c>
      <c r="I4638" s="21">
        <v>0</v>
      </c>
      <c r="J4638" s="21">
        <v>0</v>
      </c>
      <c r="K4638" s="21">
        <v>0</v>
      </c>
      <c r="L4638" s="3">
        <f t="shared" si="198"/>
        <v>0</v>
      </c>
      <c r="M4638" s="3"/>
      <c r="N4638" s="3">
        <f t="shared" si="199"/>
        <v>0</v>
      </c>
      <c r="R4638" s="89"/>
      <c r="S4638" s="89">
        <f>100%-Table34[[#This Row],[PDF_initial fee]]</f>
        <v>1</v>
      </c>
      <c r="T4638" s="89"/>
      <c r="U4638" s="26"/>
      <c r="X4638" s="9"/>
    </row>
    <row r="4639" spans="1:27" hidden="1" x14ac:dyDescent="0.25">
      <c r="A4639">
        <v>830075</v>
      </c>
      <c r="B4639" t="s">
        <v>5031</v>
      </c>
      <c r="C4639" t="s">
        <v>10118</v>
      </c>
      <c r="D4639">
        <v>3</v>
      </c>
      <c r="E4639" t="s">
        <v>5031</v>
      </c>
      <c r="G4639" s="3"/>
      <c r="H4639" s="3"/>
      <c r="I4639" s="3"/>
      <c r="J4639" s="3"/>
      <c r="K4639" s="3"/>
      <c r="L4639" s="3">
        <f t="shared" si="198"/>
        <v>0</v>
      </c>
      <c r="M4639" s="3"/>
      <c r="N4639" s="3">
        <f t="shared" si="199"/>
        <v>0</v>
      </c>
      <c r="R4639" s="89"/>
      <c r="S4639" s="89">
        <f>100%-Table34[[#This Row],[PDF_initial fee]]</f>
        <v>1</v>
      </c>
      <c r="T4639" s="89"/>
      <c r="U4639" s="26"/>
      <c r="X4639" s="9"/>
    </row>
    <row r="4640" spans="1:27" hidden="1" x14ac:dyDescent="0.25">
      <c r="A4640">
        <v>830101</v>
      </c>
      <c r="B4640" t="s">
        <v>5032</v>
      </c>
      <c r="C4640" t="s">
        <v>11335</v>
      </c>
      <c r="D4640">
        <v>1</v>
      </c>
      <c r="E4640" t="s">
        <v>5032</v>
      </c>
      <c r="G4640" s="3"/>
      <c r="H4640" s="3">
        <v>0</v>
      </c>
      <c r="I4640" s="3">
        <v>0</v>
      </c>
      <c r="J4640" s="3">
        <v>0</v>
      </c>
      <c r="K4640" s="3">
        <v>0</v>
      </c>
      <c r="L4640" s="3">
        <f t="shared" si="198"/>
        <v>0</v>
      </c>
      <c r="M4640" s="3"/>
      <c r="N4640" s="3">
        <f t="shared" si="199"/>
        <v>0</v>
      </c>
      <c r="R4640" s="89"/>
      <c r="S4640" s="89">
        <f>100%-Table34[[#This Row],[PDF_initial fee]]</f>
        <v>1</v>
      </c>
      <c r="T4640" s="89"/>
      <c r="U4640" s="26"/>
      <c r="X4640" s="9"/>
    </row>
    <row r="4641" spans="1:24" hidden="1" x14ac:dyDescent="0.25">
      <c r="A4641">
        <v>830134</v>
      </c>
      <c r="B4641" t="s">
        <v>5033</v>
      </c>
      <c r="C4641" t="s">
        <v>8749</v>
      </c>
      <c r="D4641">
        <v>5</v>
      </c>
      <c r="E4641" t="s">
        <v>5033</v>
      </c>
      <c r="G4641" s="3"/>
      <c r="H4641" s="21">
        <v>0</v>
      </c>
      <c r="I4641" s="21">
        <v>0</v>
      </c>
      <c r="J4641" s="21">
        <v>0</v>
      </c>
      <c r="K4641" s="21">
        <v>0</v>
      </c>
      <c r="L4641" s="3">
        <f t="shared" si="198"/>
        <v>0</v>
      </c>
      <c r="M4641" s="3"/>
      <c r="N4641" s="3">
        <f t="shared" si="199"/>
        <v>0</v>
      </c>
      <c r="R4641" s="89"/>
      <c r="S4641" s="89">
        <f>100%-Table34[[#This Row],[PDF_initial fee]]</f>
        <v>1</v>
      </c>
      <c r="T4641" s="89"/>
      <c r="U4641" s="26"/>
      <c r="X4641" s="9"/>
    </row>
    <row r="4642" spans="1:24" hidden="1" x14ac:dyDescent="0.25">
      <c r="A4642">
        <v>830162</v>
      </c>
      <c r="B4642" t="s">
        <v>5034</v>
      </c>
      <c r="C4642" s="1" t="s">
        <v>31163</v>
      </c>
      <c r="D4642">
        <v>21</v>
      </c>
      <c r="E4642" t="s">
        <v>5034</v>
      </c>
      <c r="G4642" s="3"/>
      <c r="H4642" s="3">
        <v>0</v>
      </c>
      <c r="I4642" s="3">
        <v>0</v>
      </c>
      <c r="J4642" s="3">
        <v>0</v>
      </c>
      <c r="K4642" s="3">
        <v>0</v>
      </c>
      <c r="L4642" s="3">
        <f t="shared" si="198"/>
        <v>0</v>
      </c>
      <c r="M4642" s="3"/>
      <c r="N4642" s="3">
        <f t="shared" si="199"/>
        <v>0</v>
      </c>
      <c r="O4642" t="s">
        <v>31164</v>
      </c>
      <c r="R4642" s="89"/>
      <c r="S4642" s="89">
        <f>100%-Table34[[#This Row],[PDF_initial fee]]</f>
        <v>1</v>
      </c>
      <c r="T4642" s="89"/>
      <c r="U4642" s="26"/>
      <c r="X4642" s="9"/>
    </row>
    <row r="4643" spans="1:24" hidden="1" x14ac:dyDescent="0.25">
      <c r="A4643">
        <v>830330</v>
      </c>
      <c r="B4643" t="s">
        <v>5036</v>
      </c>
      <c r="C4643" t="s">
        <v>6958</v>
      </c>
      <c r="D4643">
        <v>1</v>
      </c>
      <c r="E4643" t="s">
        <v>5036</v>
      </c>
      <c r="F4643" t="s">
        <v>6958</v>
      </c>
      <c r="G4643" s="3"/>
      <c r="H4643" s="21">
        <v>0</v>
      </c>
      <c r="I4643" s="21">
        <v>0</v>
      </c>
      <c r="J4643" s="21">
        <v>0</v>
      </c>
      <c r="K4643" s="21">
        <v>0</v>
      </c>
      <c r="L4643" s="3">
        <f t="shared" si="198"/>
        <v>0</v>
      </c>
      <c r="M4643" s="3"/>
      <c r="N4643" s="3">
        <f t="shared" si="199"/>
        <v>0</v>
      </c>
      <c r="O4643" s="21"/>
      <c r="R4643" s="89"/>
      <c r="S4643" s="89">
        <f>100%-Table34[[#This Row],[PDF_initial fee]]</f>
        <v>1</v>
      </c>
      <c r="T4643" s="89"/>
      <c r="U4643" s="26"/>
      <c r="X4643" s="9"/>
    </row>
    <row r="4644" spans="1:24" hidden="1" x14ac:dyDescent="0.25">
      <c r="A4644">
        <v>830372</v>
      </c>
      <c r="B4644" t="s">
        <v>5037</v>
      </c>
      <c r="C4644" t="s">
        <v>6958</v>
      </c>
      <c r="D4644">
        <v>1</v>
      </c>
      <c r="E4644" t="s">
        <v>5037</v>
      </c>
      <c r="F4644" t="s">
        <v>6958</v>
      </c>
      <c r="G4644" s="3"/>
      <c r="H4644" s="21">
        <v>0</v>
      </c>
      <c r="I4644" s="21">
        <v>0</v>
      </c>
      <c r="J4644" s="21">
        <v>0</v>
      </c>
      <c r="K4644" s="21">
        <v>0</v>
      </c>
      <c r="L4644" s="3">
        <f t="shared" si="198"/>
        <v>0</v>
      </c>
      <c r="M4644" s="3"/>
      <c r="N4644" s="3">
        <f t="shared" si="199"/>
        <v>0</v>
      </c>
      <c r="R4644" s="89"/>
      <c r="S4644" s="89">
        <f>100%-Table34[[#This Row],[PDF_initial fee]]</f>
        <v>1</v>
      </c>
      <c r="T4644" s="89"/>
      <c r="U4644" s="26"/>
      <c r="X4644" s="9"/>
    </row>
    <row r="4645" spans="1:24" hidden="1" x14ac:dyDescent="0.25">
      <c r="A4645">
        <v>830471</v>
      </c>
      <c r="B4645" t="s">
        <v>5038</v>
      </c>
      <c r="C4645" t="s">
        <v>10978</v>
      </c>
      <c r="D4645">
        <v>3</v>
      </c>
      <c r="E4645" t="s">
        <v>5038</v>
      </c>
      <c r="G4645" s="3"/>
      <c r="H4645" s="3">
        <v>0</v>
      </c>
      <c r="I4645" s="3">
        <v>0</v>
      </c>
      <c r="J4645" s="3">
        <v>0</v>
      </c>
      <c r="K4645" s="3">
        <v>0</v>
      </c>
      <c r="L4645" s="3">
        <f t="shared" si="198"/>
        <v>0</v>
      </c>
      <c r="M4645" s="3"/>
      <c r="N4645" s="3">
        <f t="shared" si="199"/>
        <v>0</v>
      </c>
      <c r="R4645" s="89"/>
      <c r="S4645" s="89">
        <f>100%-Table34[[#This Row],[PDF_initial fee]]</f>
        <v>1</v>
      </c>
      <c r="T4645" s="89"/>
      <c r="U4645" s="26"/>
      <c r="X4645" s="9"/>
    </row>
    <row r="4646" spans="1:24" hidden="1" x14ac:dyDescent="0.25">
      <c r="A4646">
        <v>830759</v>
      </c>
      <c r="B4646" t="s">
        <v>5039</v>
      </c>
      <c r="C4646" t="s">
        <v>8430</v>
      </c>
      <c r="D4646">
        <v>1</v>
      </c>
      <c r="E4646" t="s">
        <v>5039</v>
      </c>
      <c r="G4646" s="3"/>
      <c r="H4646" s="21">
        <v>0</v>
      </c>
      <c r="I4646" s="21">
        <v>0</v>
      </c>
      <c r="J4646" s="21">
        <v>0</v>
      </c>
      <c r="K4646" s="21">
        <v>0</v>
      </c>
      <c r="L4646" s="3">
        <f t="shared" si="198"/>
        <v>0</v>
      </c>
      <c r="M4646" s="3"/>
      <c r="N4646" s="3">
        <f t="shared" si="199"/>
        <v>0</v>
      </c>
      <c r="R4646" s="89"/>
      <c r="S4646" s="89">
        <f>100%-Table34[[#This Row],[PDF_initial fee]]</f>
        <v>1</v>
      </c>
      <c r="T4646" s="89"/>
      <c r="U4646" s="26"/>
      <c r="X4646" s="9"/>
    </row>
    <row r="4647" spans="1:24" hidden="1" x14ac:dyDescent="0.25">
      <c r="A4647">
        <v>830853</v>
      </c>
      <c r="B4647" t="s">
        <v>5040</v>
      </c>
      <c r="C4647" t="s">
        <v>8308</v>
      </c>
      <c r="D4647">
        <v>3</v>
      </c>
      <c r="E4647" t="s">
        <v>5040</v>
      </c>
      <c r="G4647" s="3"/>
      <c r="H4647" s="21">
        <v>0</v>
      </c>
      <c r="I4647" s="21">
        <v>0</v>
      </c>
      <c r="J4647" s="21">
        <v>0</v>
      </c>
      <c r="K4647" s="21">
        <v>0</v>
      </c>
      <c r="L4647" s="3">
        <f t="shared" si="198"/>
        <v>0</v>
      </c>
      <c r="M4647" s="3"/>
      <c r="N4647" s="3">
        <f t="shared" si="199"/>
        <v>0</v>
      </c>
      <c r="R4647" s="89"/>
      <c r="S4647" s="89">
        <f>100%-Table34[[#This Row],[PDF_initial fee]]</f>
        <v>1</v>
      </c>
      <c r="T4647" s="89"/>
      <c r="U4647" s="26"/>
      <c r="X4647" s="9"/>
    </row>
    <row r="4648" spans="1:24" hidden="1" x14ac:dyDescent="0.25">
      <c r="A4648">
        <v>831039</v>
      </c>
      <c r="B4648" t="s">
        <v>5041</v>
      </c>
      <c r="C4648" t="s">
        <v>6958</v>
      </c>
      <c r="D4648">
        <v>1</v>
      </c>
      <c r="E4648" t="s">
        <v>5041</v>
      </c>
      <c r="F4648" t="s">
        <v>6958</v>
      </c>
      <c r="G4648" s="3"/>
      <c r="H4648" s="21">
        <v>0</v>
      </c>
      <c r="I4648" s="21">
        <v>0</v>
      </c>
      <c r="J4648" s="21">
        <v>0</v>
      </c>
      <c r="K4648" s="21">
        <v>0</v>
      </c>
      <c r="L4648" s="3">
        <f t="shared" si="198"/>
        <v>0</v>
      </c>
      <c r="M4648" s="3"/>
      <c r="N4648" s="3">
        <f t="shared" si="199"/>
        <v>0</v>
      </c>
      <c r="R4648" s="89"/>
      <c r="S4648" s="89">
        <f>100%-Table34[[#This Row],[PDF_initial fee]]</f>
        <v>1</v>
      </c>
      <c r="T4648" s="89"/>
      <c r="U4648" s="26"/>
      <c r="X4648" s="9"/>
    </row>
    <row r="4649" spans="1:24" hidden="1" x14ac:dyDescent="0.25">
      <c r="A4649">
        <v>831148</v>
      </c>
      <c r="B4649" t="s">
        <v>5042</v>
      </c>
      <c r="C4649" t="s">
        <v>31165</v>
      </c>
      <c r="D4649">
        <v>1</v>
      </c>
      <c r="E4649" t="s">
        <v>5042</v>
      </c>
      <c r="G4649" s="3"/>
      <c r="H4649" s="3">
        <v>0</v>
      </c>
      <c r="I4649" s="3">
        <v>0</v>
      </c>
      <c r="J4649" s="3">
        <v>0</v>
      </c>
      <c r="K4649" s="3">
        <v>0</v>
      </c>
      <c r="L4649" s="3">
        <f t="shared" si="198"/>
        <v>0</v>
      </c>
      <c r="M4649" s="3"/>
      <c r="N4649" s="3">
        <f t="shared" si="199"/>
        <v>0</v>
      </c>
      <c r="R4649" s="89"/>
      <c r="S4649" s="89">
        <f>100%-Table34[[#This Row],[PDF_initial fee]]</f>
        <v>1</v>
      </c>
      <c r="T4649" s="89"/>
      <c r="U4649" s="26"/>
      <c r="X4649" s="9"/>
    </row>
    <row r="4650" spans="1:24" hidden="1" x14ac:dyDescent="0.25">
      <c r="A4650">
        <v>831172</v>
      </c>
      <c r="B4650" t="s">
        <v>5043</v>
      </c>
      <c r="C4650" t="s">
        <v>9760</v>
      </c>
      <c r="D4650">
        <v>2</v>
      </c>
      <c r="E4650" t="s">
        <v>5043</v>
      </c>
      <c r="G4650" s="3"/>
      <c r="H4650" s="3">
        <v>0</v>
      </c>
      <c r="I4650" s="3">
        <v>0</v>
      </c>
      <c r="J4650" s="3">
        <v>0</v>
      </c>
      <c r="K4650" s="3">
        <v>0</v>
      </c>
      <c r="L4650" s="3">
        <f t="shared" si="198"/>
        <v>0</v>
      </c>
      <c r="M4650" s="3"/>
      <c r="N4650" s="3">
        <f t="shared" si="199"/>
        <v>0</v>
      </c>
      <c r="R4650" s="89"/>
      <c r="S4650" s="89">
        <f>100%-Table34[[#This Row],[PDF_initial fee]]</f>
        <v>1</v>
      </c>
      <c r="T4650" s="89"/>
      <c r="U4650" s="26"/>
      <c r="X4650" s="9"/>
    </row>
    <row r="4651" spans="1:24" hidden="1" x14ac:dyDescent="0.25">
      <c r="A4651">
        <v>831380</v>
      </c>
      <c r="B4651" t="s">
        <v>5044</v>
      </c>
      <c r="C4651" t="s">
        <v>6958</v>
      </c>
      <c r="D4651">
        <v>3</v>
      </c>
      <c r="E4651" t="s">
        <v>5044</v>
      </c>
      <c r="F4651" t="s">
        <v>6958</v>
      </c>
      <c r="G4651" s="3"/>
      <c r="H4651" s="21">
        <v>0</v>
      </c>
      <c r="I4651" s="21">
        <v>0</v>
      </c>
      <c r="J4651" s="21">
        <v>0</v>
      </c>
      <c r="K4651" s="21">
        <v>0</v>
      </c>
      <c r="L4651" s="3">
        <f t="shared" si="198"/>
        <v>0</v>
      </c>
      <c r="M4651" s="3"/>
      <c r="N4651" s="3">
        <f t="shared" si="199"/>
        <v>0</v>
      </c>
      <c r="R4651" s="89"/>
      <c r="S4651" s="89">
        <f>100%-Table34[[#This Row],[PDF_initial fee]]</f>
        <v>1</v>
      </c>
      <c r="T4651" s="89"/>
      <c r="U4651" s="26"/>
      <c r="X4651" s="9"/>
    </row>
    <row r="4652" spans="1:24" hidden="1" x14ac:dyDescent="0.25">
      <c r="A4652">
        <v>831388</v>
      </c>
      <c r="B4652" t="s">
        <v>5045</v>
      </c>
      <c r="C4652" t="s">
        <v>31166</v>
      </c>
      <c r="D4652">
        <v>1</v>
      </c>
      <c r="E4652" t="s">
        <v>5045</v>
      </c>
      <c r="G4652" s="3"/>
      <c r="H4652" s="3">
        <v>0</v>
      </c>
      <c r="I4652" s="3">
        <v>0</v>
      </c>
      <c r="J4652" s="3">
        <v>0</v>
      </c>
      <c r="K4652" s="3">
        <v>0</v>
      </c>
      <c r="L4652" s="3">
        <f t="shared" si="198"/>
        <v>0</v>
      </c>
      <c r="M4652" s="3"/>
      <c r="N4652" s="3">
        <f t="shared" si="199"/>
        <v>0</v>
      </c>
      <c r="R4652" s="89"/>
      <c r="S4652" s="89">
        <f>100%-Table34[[#This Row],[PDF_initial fee]]</f>
        <v>1</v>
      </c>
      <c r="T4652" s="89"/>
      <c r="U4652" s="26"/>
      <c r="X4652" s="9"/>
    </row>
    <row r="4653" spans="1:24" hidden="1" x14ac:dyDescent="0.25">
      <c r="A4653">
        <v>831581</v>
      </c>
      <c r="B4653" t="s">
        <v>5046</v>
      </c>
      <c r="C4653" t="s">
        <v>7131</v>
      </c>
      <c r="D4653">
        <v>1</v>
      </c>
      <c r="E4653" t="s">
        <v>5046</v>
      </c>
      <c r="G4653" s="3"/>
      <c r="H4653" s="21">
        <v>0</v>
      </c>
      <c r="I4653" s="21">
        <v>0</v>
      </c>
      <c r="J4653" s="21">
        <v>0</v>
      </c>
      <c r="K4653" s="21">
        <v>0</v>
      </c>
      <c r="L4653" s="3">
        <f t="shared" si="198"/>
        <v>0</v>
      </c>
      <c r="M4653" s="3"/>
      <c r="N4653" s="3">
        <f t="shared" si="199"/>
        <v>0</v>
      </c>
      <c r="R4653" s="89"/>
      <c r="S4653" s="89">
        <f>100%-Table34[[#This Row],[PDF_initial fee]]</f>
        <v>1</v>
      </c>
      <c r="T4653" s="89"/>
      <c r="U4653" s="26"/>
      <c r="X4653" s="9"/>
    </row>
    <row r="4654" spans="1:24" hidden="1" x14ac:dyDescent="0.25">
      <c r="A4654">
        <v>831668</v>
      </c>
      <c r="B4654" t="s">
        <v>5049</v>
      </c>
      <c r="C4654" t="s">
        <v>6958</v>
      </c>
      <c r="D4654">
        <v>1</v>
      </c>
      <c r="E4654" t="s">
        <v>5049</v>
      </c>
      <c r="F4654" t="s">
        <v>6958</v>
      </c>
      <c r="G4654" s="3"/>
      <c r="H4654" s="21">
        <v>0</v>
      </c>
      <c r="I4654" s="21">
        <v>0</v>
      </c>
      <c r="J4654" s="21">
        <v>0</v>
      </c>
      <c r="K4654" s="21">
        <v>0</v>
      </c>
      <c r="L4654" s="3">
        <f t="shared" si="198"/>
        <v>0</v>
      </c>
      <c r="M4654" s="3"/>
      <c r="N4654" s="3">
        <f t="shared" si="199"/>
        <v>0</v>
      </c>
      <c r="R4654" s="89"/>
      <c r="S4654" s="89">
        <f>100%-Table34[[#This Row],[PDF_initial fee]]</f>
        <v>1</v>
      </c>
      <c r="T4654" s="89"/>
      <c r="U4654" s="26"/>
      <c r="X4654" s="9"/>
    </row>
    <row r="4655" spans="1:24" hidden="1" x14ac:dyDescent="0.25">
      <c r="A4655">
        <v>832055</v>
      </c>
      <c r="B4655" t="s">
        <v>5050</v>
      </c>
      <c r="C4655" t="s">
        <v>31167</v>
      </c>
      <c r="D4655">
        <v>2</v>
      </c>
      <c r="E4655" t="s">
        <v>5050</v>
      </c>
      <c r="G4655" s="3"/>
      <c r="H4655" s="3">
        <v>0</v>
      </c>
      <c r="I4655" s="3">
        <v>0</v>
      </c>
      <c r="J4655" s="3">
        <v>0</v>
      </c>
      <c r="K4655" s="3">
        <v>0</v>
      </c>
      <c r="L4655" s="3">
        <f t="shared" si="198"/>
        <v>0</v>
      </c>
      <c r="M4655" s="3"/>
      <c r="N4655" s="3">
        <f t="shared" si="199"/>
        <v>0</v>
      </c>
      <c r="R4655" s="89"/>
      <c r="S4655" s="89">
        <f>100%-Table34[[#This Row],[PDF_initial fee]]</f>
        <v>1</v>
      </c>
      <c r="T4655" s="89"/>
      <c r="U4655" s="26"/>
      <c r="X4655" s="9"/>
    </row>
    <row r="4656" spans="1:24" hidden="1" x14ac:dyDescent="0.25">
      <c r="A4656">
        <v>832264</v>
      </c>
      <c r="B4656" t="s">
        <v>5051</v>
      </c>
      <c r="C4656" t="s">
        <v>6958</v>
      </c>
      <c r="D4656">
        <v>0</v>
      </c>
      <c r="E4656" t="s">
        <v>5051</v>
      </c>
      <c r="F4656" t="s">
        <v>6958</v>
      </c>
      <c r="G4656" s="3"/>
      <c r="H4656" s="21">
        <v>0</v>
      </c>
      <c r="I4656" s="21">
        <v>0</v>
      </c>
      <c r="J4656" s="21">
        <v>0</v>
      </c>
      <c r="K4656" s="21">
        <v>0</v>
      </c>
      <c r="L4656" s="3">
        <f t="shared" si="198"/>
        <v>0</v>
      </c>
      <c r="M4656" s="3"/>
      <c r="N4656" s="3">
        <f t="shared" si="199"/>
        <v>0</v>
      </c>
      <c r="O4656" s="21"/>
      <c r="R4656" s="89"/>
      <c r="S4656" s="89">
        <f>100%-Table34[[#This Row],[PDF_initial fee]]</f>
        <v>1</v>
      </c>
      <c r="T4656" s="89"/>
      <c r="U4656" s="26"/>
      <c r="X4656" s="9"/>
    </row>
    <row r="4657" spans="1:24" hidden="1" x14ac:dyDescent="0.25">
      <c r="A4657">
        <v>832417</v>
      </c>
      <c r="B4657" t="s">
        <v>5052</v>
      </c>
      <c r="C4657" t="s">
        <v>31168</v>
      </c>
      <c r="D4657">
        <v>6</v>
      </c>
      <c r="E4657" t="s">
        <v>5052</v>
      </c>
      <c r="G4657" s="3"/>
      <c r="H4657" s="3">
        <v>0</v>
      </c>
      <c r="I4657" s="3">
        <v>0</v>
      </c>
      <c r="J4657" s="3">
        <v>0</v>
      </c>
      <c r="K4657" s="3">
        <v>0</v>
      </c>
      <c r="L4657" s="3">
        <f t="shared" si="198"/>
        <v>0</v>
      </c>
      <c r="M4657" s="3"/>
      <c r="N4657" s="3">
        <f t="shared" si="199"/>
        <v>0</v>
      </c>
      <c r="R4657" s="89"/>
      <c r="S4657" s="89">
        <f>100%-Table34[[#This Row],[PDF_initial fee]]</f>
        <v>1</v>
      </c>
      <c r="T4657" s="89"/>
      <c r="U4657" s="26"/>
      <c r="X4657" s="9"/>
    </row>
    <row r="4658" spans="1:24" hidden="1" x14ac:dyDescent="0.25">
      <c r="A4658">
        <v>832613</v>
      </c>
      <c r="B4658" t="s">
        <v>5053</v>
      </c>
      <c r="C4658" t="s">
        <v>6958</v>
      </c>
      <c r="D4658">
        <v>1</v>
      </c>
      <c r="E4658" t="s">
        <v>5053</v>
      </c>
      <c r="F4658" t="s">
        <v>6958</v>
      </c>
      <c r="G4658" s="3"/>
      <c r="H4658" s="21">
        <v>0</v>
      </c>
      <c r="I4658" s="21">
        <v>0</v>
      </c>
      <c r="J4658" s="21">
        <v>0</v>
      </c>
      <c r="K4658" s="21">
        <v>0</v>
      </c>
      <c r="L4658" s="3">
        <f t="shared" ref="L4658:L4721" si="200">SUM(H4658:K4658)</f>
        <v>0</v>
      </c>
      <c r="M4658" s="3"/>
      <c r="N4658" s="3">
        <f t="shared" ref="N4658:N4721" si="201">L4658+G4658</f>
        <v>0</v>
      </c>
      <c r="R4658" s="89"/>
      <c r="S4658" s="89">
        <f>100%-Table34[[#This Row],[PDF_initial fee]]</f>
        <v>1</v>
      </c>
      <c r="T4658" s="89"/>
      <c r="U4658" s="26"/>
      <c r="X4658" s="9"/>
    </row>
    <row r="4659" spans="1:24" hidden="1" x14ac:dyDescent="0.25">
      <c r="A4659">
        <v>832767</v>
      </c>
      <c r="B4659" t="s">
        <v>5054</v>
      </c>
      <c r="C4659" t="s">
        <v>8587</v>
      </c>
      <c r="D4659">
        <v>2</v>
      </c>
      <c r="E4659" t="s">
        <v>5054</v>
      </c>
      <c r="G4659" s="3"/>
      <c r="H4659" s="21">
        <v>0</v>
      </c>
      <c r="I4659" s="21">
        <v>0</v>
      </c>
      <c r="J4659" s="21">
        <v>0</v>
      </c>
      <c r="K4659" s="21">
        <v>0</v>
      </c>
      <c r="L4659" s="3">
        <f t="shared" si="200"/>
        <v>0</v>
      </c>
      <c r="M4659" s="3"/>
      <c r="N4659" s="3">
        <f t="shared" si="201"/>
        <v>0</v>
      </c>
      <c r="R4659" s="89"/>
      <c r="S4659" s="89">
        <f>100%-Table34[[#This Row],[PDF_initial fee]]</f>
        <v>1</v>
      </c>
      <c r="T4659" s="89"/>
      <c r="U4659" s="26"/>
      <c r="X4659" s="9"/>
    </row>
    <row r="4660" spans="1:24" hidden="1" x14ac:dyDescent="0.25">
      <c r="A4660">
        <v>832988</v>
      </c>
      <c r="B4660" t="s">
        <v>5055</v>
      </c>
      <c r="C4660" t="s">
        <v>6958</v>
      </c>
      <c r="D4660">
        <v>2</v>
      </c>
      <c r="E4660" t="s">
        <v>5055</v>
      </c>
      <c r="F4660" t="s">
        <v>6958</v>
      </c>
      <c r="G4660" s="3"/>
      <c r="H4660" s="21">
        <v>0</v>
      </c>
      <c r="I4660" s="21">
        <v>0</v>
      </c>
      <c r="J4660" s="21">
        <v>0</v>
      </c>
      <c r="K4660" s="21">
        <v>0</v>
      </c>
      <c r="L4660" s="3">
        <f t="shared" si="200"/>
        <v>0</v>
      </c>
      <c r="M4660" s="3"/>
      <c r="N4660" s="3">
        <f t="shared" si="201"/>
        <v>0</v>
      </c>
      <c r="R4660" s="89"/>
      <c r="S4660" s="89">
        <f>100%-Table34[[#This Row],[PDF_initial fee]]</f>
        <v>1</v>
      </c>
      <c r="T4660" s="89"/>
      <c r="U4660" s="26"/>
      <c r="X4660" s="9"/>
    </row>
    <row r="4661" spans="1:24" hidden="1" x14ac:dyDescent="0.25">
      <c r="A4661">
        <v>833119</v>
      </c>
      <c r="B4661" t="s">
        <v>5056</v>
      </c>
      <c r="C4661" t="s">
        <v>31169</v>
      </c>
      <c r="D4661">
        <v>1</v>
      </c>
      <c r="E4661" t="s">
        <v>5056</v>
      </c>
      <c r="G4661" s="3"/>
      <c r="H4661" s="3">
        <v>0</v>
      </c>
      <c r="I4661" s="3">
        <v>0</v>
      </c>
      <c r="J4661" s="3">
        <v>0</v>
      </c>
      <c r="K4661" s="3">
        <v>0</v>
      </c>
      <c r="L4661" s="3">
        <f t="shared" si="200"/>
        <v>0</v>
      </c>
      <c r="M4661" s="3"/>
      <c r="N4661" s="3">
        <f t="shared" si="201"/>
        <v>0</v>
      </c>
      <c r="R4661" s="89"/>
      <c r="S4661" s="89">
        <f>100%-Table34[[#This Row],[PDF_initial fee]]</f>
        <v>1</v>
      </c>
      <c r="T4661" s="89"/>
      <c r="U4661" s="26"/>
      <c r="X4661" s="9"/>
    </row>
    <row r="4662" spans="1:24" hidden="1" x14ac:dyDescent="0.25">
      <c r="A4662">
        <v>833211</v>
      </c>
      <c r="B4662" t="s">
        <v>5057</v>
      </c>
      <c r="C4662" t="s">
        <v>12036</v>
      </c>
      <c r="D4662">
        <v>1</v>
      </c>
      <c r="E4662" t="s">
        <v>5057</v>
      </c>
      <c r="G4662" s="3"/>
      <c r="H4662" s="3">
        <v>0</v>
      </c>
      <c r="I4662" s="3">
        <v>0</v>
      </c>
      <c r="J4662" s="3">
        <v>0</v>
      </c>
      <c r="K4662" s="3">
        <v>0</v>
      </c>
      <c r="L4662" s="3">
        <f t="shared" si="200"/>
        <v>0</v>
      </c>
      <c r="M4662" s="3"/>
      <c r="N4662" s="3">
        <f t="shared" si="201"/>
        <v>0</v>
      </c>
      <c r="R4662" s="89"/>
      <c r="S4662" s="89">
        <f>100%-Table34[[#This Row],[PDF_initial fee]]</f>
        <v>1</v>
      </c>
      <c r="T4662" s="89"/>
      <c r="U4662" s="26"/>
      <c r="X4662" s="9"/>
    </row>
    <row r="4663" spans="1:24" hidden="1" x14ac:dyDescent="0.25">
      <c r="A4663">
        <v>833492</v>
      </c>
      <c r="B4663" t="s">
        <v>5058</v>
      </c>
      <c r="C4663" t="s">
        <v>11152</v>
      </c>
      <c r="D4663">
        <v>6</v>
      </c>
      <c r="E4663" t="s">
        <v>5058</v>
      </c>
      <c r="G4663" s="3"/>
      <c r="H4663" s="3">
        <v>0</v>
      </c>
      <c r="I4663" s="3">
        <v>0</v>
      </c>
      <c r="J4663" s="3">
        <v>0</v>
      </c>
      <c r="K4663" s="3">
        <v>0</v>
      </c>
      <c r="L4663" s="3">
        <f t="shared" si="200"/>
        <v>0</v>
      </c>
      <c r="M4663" s="3"/>
      <c r="N4663" s="3">
        <f t="shared" si="201"/>
        <v>0</v>
      </c>
      <c r="R4663" s="89"/>
      <c r="S4663" s="89">
        <f>100%-Table34[[#This Row],[PDF_initial fee]]</f>
        <v>1</v>
      </c>
      <c r="T4663" s="89"/>
      <c r="U4663" s="26"/>
      <c r="X4663" s="9"/>
    </row>
    <row r="4664" spans="1:24" hidden="1" x14ac:dyDescent="0.25">
      <c r="A4664">
        <v>833813</v>
      </c>
      <c r="B4664" t="s">
        <v>5060</v>
      </c>
      <c r="C4664" t="s">
        <v>8162</v>
      </c>
      <c r="D4664">
        <v>3</v>
      </c>
      <c r="E4664" t="s">
        <v>5060</v>
      </c>
      <c r="G4664" s="3"/>
      <c r="H4664" s="21">
        <v>0</v>
      </c>
      <c r="I4664" s="21">
        <v>0</v>
      </c>
      <c r="J4664" s="21">
        <v>0</v>
      </c>
      <c r="K4664" s="21">
        <v>0</v>
      </c>
      <c r="L4664" s="3">
        <f t="shared" si="200"/>
        <v>0</v>
      </c>
      <c r="M4664" s="3"/>
      <c r="N4664" s="3">
        <f t="shared" si="201"/>
        <v>0</v>
      </c>
      <c r="R4664" s="89"/>
      <c r="S4664" s="89">
        <f>100%-Table34[[#This Row],[PDF_initial fee]]</f>
        <v>1</v>
      </c>
      <c r="T4664" s="89"/>
      <c r="U4664" s="26"/>
      <c r="X4664" s="9"/>
    </row>
    <row r="4665" spans="1:24" hidden="1" x14ac:dyDescent="0.25">
      <c r="A4665">
        <v>833851</v>
      </c>
      <c r="B4665" t="s">
        <v>5061</v>
      </c>
      <c r="C4665" t="s">
        <v>6958</v>
      </c>
      <c r="D4665">
        <v>1</v>
      </c>
      <c r="E4665" t="s">
        <v>5061</v>
      </c>
      <c r="F4665" t="s">
        <v>6958</v>
      </c>
      <c r="G4665" s="3"/>
      <c r="H4665" s="21">
        <v>0</v>
      </c>
      <c r="I4665" s="21">
        <v>0</v>
      </c>
      <c r="J4665" s="21">
        <v>0</v>
      </c>
      <c r="K4665" s="21">
        <v>0</v>
      </c>
      <c r="L4665" s="3">
        <f t="shared" si="200"/>
        <v>0</v>
      </c>
      <c r="M4665" s="3"/>
      <c r="N4665" s="3">
        <f t="shared" si="201"/>
        <v>0</v>
      </c>
      <c r="R4665" s="89"/>
      <c r="S4665" s="89">
        <f>100%-Table34[[#This Row],[PDF_initial fee]]</f>
        <v>1</v>
      </c>
      <c r="T4665" s="89"/>
      <c r="U4665" s="26"/>
      <c r="X4665" s="9"/>
    </row>
    <row r="4666" spans="1:24" hidden="1" x14ac:dyDescent="0.25">
      <c r="A4666">
        <v>834207</v>
      </c>
      <c r="B4666" t="s">
        <v>5062</v>
      </c>
      <c r="C4666" t="s">
        <v>6958</v>
      </c>
      <c r="D4666">
        <v>2</v>
      </c>
      <c r="E4666" t="s">
        <v>5062</v>
      </c>
      <c r="F4666" t="s">
        <v>6958</v>
      </c>
      <c r="G4666" s="3"/>
      <c r="H4666" s="21">
        <v>0</v>
      </c>
      <c r="I4666" s="21">
        <v>0</v>
      </c>
      <c r="J4666" s="21">
        <v>0</v>
      </c>
      <c r="K4666" s="21">
        <v>0</v>
      </c>
      <c r="L4666" s="3">
        <f t="shared" si="200"/>
        <v>0</v>
      </c>
      <c r="M4666" s="3"/>
      <c r="N4666" s="3">
        <f t="shared" si="201"/>
        <v>0</v>
      </c>
      <c r="R4666" s="89"/>
      <c r="S4666" s="89">
        <f>100%-Table34[[#This Row],[PDF_initial fee]]</f>
        <v>1</v>
      </c>
      <c r="T4666" s="89"/>
      <c r="U4666" s="26"/>
      <c r="X4666" s="9"/>
    </row>
    <row r="4667" spans="1:24" hidden="1" x14ac:dyDescent="0.25">
      <c r="A4667">
        <v>834451</v>
      </c>
      <c r="B4667" t="s">
        <v>5063</v>
      </c>
      <c r="C4667" t="s">
        <v>31170</v>
      </c>
      <c r="D4667">
        <v>2</v>
      </c>
      <c r="E4667" t="s">
        <v>5063</v>
      </c>
      <c r="G4667" s="3"/>
      <c r="H4667" s="3">
        <v>0</v>
      </c>
      <c r="I4667" s="3">
        <v>0</v>
      </c>
      <c r="J4667" s="3">
        <v>0</v>
      </c>
      <c r="K4667" s="3">
        <v>0</v>
      </c>
      <c r="L4667" s="3">
        <f t="shared" si="200"/>
        <v>0</v>
      </c>
      <c r="M4667" s="3"/>
      <c r="N4667" s="3">
        <f t="shared" si="201"/>
        <v>0</v>
      </c>
      <c r="R4667" s="89"/>
      <c r="S4667" s="89">
        <f>100%-Table34[[#This Row],[PDF_initial fee]]</f>
        <v>1</v>
      </c>
      <c r="T4667" s="89"/>
      <c r="U4667" s="26"/>
      <c r="X4667" s="9"/>
    </row>
    <row r="4668" spans="1:24" hidden="1" x14ac:dyDescent="0.25">
      <c r="A4668">
        <v>834557</v>
      </c>
      <c r="B4668" t="s">
        <v>5064</v>
      </c>
      <c r="C4668" t="s">
        <v>31171</v>
      </c>
      <c r="D4668">
        <v>1</v>
      </c>
      <c r="E4668" t="s">
        <v>5064</v>
      </c>
      <c r="G4668" s="3"/>
      <c r="H4668" s="3">
        <v>0</v>
      </c>
      <c r="I4668" s="3">
        <v>0</v>
      </c>
      <c r="J4668" s="3">
        <v>0</v>
      </c>
      <c r="K4668" s="3">
        <v>0</v>
      </c>
      <c r="L4668" s="3">
        <f t="shared" si="200"/>
        <v>0</v>
      </c>
      <c r="M4668" s="3"/>
      <c r="N4668" s="3">
        <f t="shared" si="201"/>
        <v>0</v>
      </c>
      <c r="R4668" s="89"/>
      <c r="S4668" s="89">
        <f>100%-Table34[[#This Row],[PDF_initial fee]]</f>
        <v>1</v>
      </c>
      <c r="T4668" s="89"/>
      <c r="U4668" s="26"/>
      <c r="X4668" s="9"/>
    </row>
    <row r="4669" spans="1:24" hidden="1" x14ac:dyDescent="0.25">
      <c r="A4669">
        <v>834602</v>
      </c>
      <c r="B4669" t="s">
        <v>5065</v>
      </c>
      <c r="C4669" t="s">
        <v>10105</v>
      </c>
      <c r="D4669">
        <v>3</v>
      </c>
      <c r="E4669" t="s">
        <v>5065</v>
      </c>
      <c r="G4669" s="3"/>
      <c r="H4669" s="3"/>
      <c r="I4669" s="3"/>
      <c r="J4669" s="3"/>
      <c r="K4669" s="3"/>
      <c r="L4669" s="3">
        <f t="shared" si="200"/>
        <v>0</v>
      </c>
      <c r="M4669" s="3"/>
      <c r="N4669" s="3">
        <f t="shared" si="201"/>
        <v>0</v>
      </c>
      <c r="R4669" s="89"/>
      <c r="S4669" s="89">
        <f>100%-Table34[[#This Row],[PDF_initial fee]]</f>
        <v>1</v>
      </c>
      <c r="T4669" s="89"/>
      <c r="U4669" s="26"/>
      <c r="X4669" s="9"/>
    </row>
    <row r="4670" spans="1:24" hidden="1" x14ac:dyDescent="0.25">
      <c r="A4670">
        <v>834661</v>
      </c>
      <c r="B4670" t="s">
        <v>5066</v>
      </c>
      <c r="C4670" t="s">
        <v>6958</v>
      </c>
      <c r="D4670">
        <v>1</v>
      </c>
      <c r="E4670" t="s">
        <v>5066</v>
      </c>
      <c r="F4670" t="s">
        <v>6958</v>
      </c>
      <c r="G4670" s="3"/>
      <c r="L4670" s="3">
        <f t="shared" si="200"/>
        <v>0</v>
      </c>
      <c r="M4670" s="3"/>
      <c r="N4670" s="3">
        <f t="shared" si="201"/>
        <v>0</v>
      </c>
      <c r="R4670" s="89"/>
      <c r="S4670" s="89">
        <f>100%-Table34[[#This Row],[PDF_initial fee]]</f>
        <v>1</v>
      </c>
      <c r="T4670" s="89"/>
      <c r="U4670" s="26"/>
      <c r="X4670" s="9"/>
    </row>
    <row r="4671" spans="1:24" hidden="1" x14ac:dyDescent="0.25">
      <c r="A4671">
        <v>835577</v>
      </c>
      <c r="B4671" t="s">
        <v>5068</v>
      </c>
      <c r="C4671" t="s">
        <v>6958</v>
      </c>
      <c r="D4671">
        <v>5</v>
      </c>
      <c r="E4671" t="s">
        <v>5068</v>
      </c>
      <c r="F4671" t="s">
        <v>6958</v>
      </c>
      <c r="G4671" s="3"/>
      <c r="H4671" s="21">
        <v>0</v>
      </c>
      <c r="I4671" s="21">
        <v>0</v>
      </c>
      <c r="J4671" s="21">
        <v>0</v>
      </c>
      <c r="K4671" s="21">
        <v>0</v>
      </c>
      <c r="L4671" s="3">
        <f t="shared" si="200"/>
        <v>0</v>
      </c>
      <c r="M4671" s="3"/>
      <c r="N4671" s="3">
        <f t="shared" si="201"/>
        <v>0</v>
      </c>
      <c r="R4671" s="89"/>
      <c r="S4671" s="89">
        <f>100%-Table34[[#This Row],[PDF_initial fee]]</f>
        <v>1</v>
      </c>
      <c r="T4671" s="89"/>
      <c r="U4671" s="26"/>
      <c r="X4671" s="9"/>
    </row>
    <row r="4672" spans="1:24" hidden="1" x14ac:dyDescent="0.25">
      <c r="A4672">
        <v>836096</v>
      </c>
      <c r="B4672" t="s">
        <v>5069</v>
      </c>
      <c r="C4672" t="s">
        <v>8966</v>
      </c>
      <c r="D4672">
        <v>1</v>
      </c>
      <c r="E4672" t="s">
        <v>5069</v>
      </c>
      <c r="G4672" s="3"/>
      <c r="L4672" s="3">
        <f t="shared" si="200"/>
        <v>0</v>
      </c>
      <c r="M4672" s="3"/>
      <c r="N4672" s="3">
        <f t="shared" si="201"/>
        <v>0</v>
      </c>
      <c r="R4672" s="89"/>
      <c r="S4672" s="89">
        <f>100%-Table34[[#This Row],[PDF_initial fee]]</f>
        <v>1</v>
      </c>
      <c r="T4672" s="89"/>
      <c r="U4672" s="26"/>
      <c r="X4672" s="9"/>
    </row>
    <row r="4673" spans="1:27" hidden="1" x14ac:dyDescent="0.25">
      <c r="A4673">
        <v>836163</v>
      </c>
      <c r="B4673" t="s">
        <v>5070</v>
      </c>
      <c r="C4673" t="s">
        <v>8926</v>
      </c>
      <c r="D4673">
        <v>4</v>
      </c>
      <c r="E4673" t="s">
        <v>5070</v>
      </c>
      <c r="G4673" s="3"/>
      <c r="L4673" s="3">
        <f t="shared" si="200"/>
        <v>0</v>
      </c>
      <c r="M4673" s="3"/>
      <c r="N4673" s="3">
        <f t="shared" si="201"/>
        <v>0</v>
      </c>
      <c r="R4673" s="89"/>
      <c r="S4673" s="89">
        <f>100%-Table34[[#This Row],[PDF_initial fee]]</f>
        <v>1</v>
      </c>
      <c r="T4673" s="89"/>
      <c r="U4673" s="26"/>
      <c r="X4673" s="9"/>
    </row>
    <row r="4674" spans="1:27" hidden="1" x14ac:dyDescent="0.25">
      <c r="A4674">
        <v>836465</v>
      </c>
      <c r="B4674" t="s">
        <v>5071</v>
      </c>
      <c r="C4674" s="1" t="s">
        <v>31172</v>
      </c>
      <c r="D4674">
        <v>7</v>
      </c>
      <c r="E4674" t="s">
        <v>5071</v>
      </c>
      <c r="G4674" s="3"/>
      <c r="H4674" s="3">
        <v>0</v>
      </c>
      <c r="I4674" s="3">
        <v>0</v>
      </c>
      <c r="J4674" s="3">
        <v>0</v>
      </c>
      <c r="K4674" s="3">
        <v>0</v>
      </c>
      <c r="L4674" s="3">
        <f t="shared" si="200"/>
        <v>0</v>
      </c>
      <c r="M4674" s="3"/>
      <c r="N4674" s="3">
        <f t="shared" si="201"/>
        <v>0</v>
      </c>
      <c r="R4674" s="89"/>
      <c r="S4674" s="89">
        <f>100%-Table34[[#This Row],[PDF_initial fee]]</f>
        <v>1</v>
      </c>
      <c r="T4674" s="89"/>
      <c r="U4674" s="26"/>
      <c r="X4674" s="9"/>
    </row>
    <row r="4675" spans="1:27" hidden="1" x14ac:dyDescent="0.25">
      <c r="A4675">
        <v>836962</v>
      </c>
      <c r="B4675" t="s">
        <v>5072</v>
      </c>
      <c r="C4675" s="1" t="s">
        <v>31173</v>
      </c>
      <c r="D4675">
        <v>2</v>
      </c>
      <c r="E4675" t="s">
        <v>5072</v>
      </c>
      <c r="G4675" s="3"/>
      <c r="H4675" s="3">
        <v>0</v>
      </c>
      <c r="I4675" s="3">
        <v>0</v>
      </c>
      <c r="J4675" s="3">
        <v>0</v>
      </c>
      <c r="K4675" s="3">
        <v>0</v>
      </c>
      <c r="L4675" s="3">
        <f t="shared" si="200"/>
        <v>0</v>
      </c>
      <c r="M4675" s="3"/>
      <c r="N4675" s="3">
        <f t="shared" si="201"/>
        <v>0</v>
      </c>
      <c r="R4675" s="89"/>
      <c r="S4675" s="89">
        <f>100%-Table34[[#This Row],[PDF_initial fee]]</f>
        <v>1</v>
      </c>
      <c r="T4675" s="89"/>
      <c r="U4675" s="26"/>
      <c r="X4675" s="9"/>
    </row>
    <row r="4676" spans="1:27" hidden="1" x14ac:dyDescent="0.25">
      <c r="A4676">
        <v>837211</v>
      </c>
      <c r="B4676" t="s">
        <v>5073</v>
      </c>
      <c r="C4676" t="s">
        <v>10686</v>
      </c>
      <c r="D4676">
        <v>3</v>
      </c>
      <c r="E4676" t="s">
        <v>5073</v>
      </c>
      <c r="G4676" s="3"/>
      <c r="H4676" s="3">
        <v>0</v>
      </c>
      <c r="I4676" s="3">
        <v>0</v>
      </c>
      <c r="J4676" s="3">
        <v>0</v>
      </c>
      <c r="K4676" s="3">
        <v>0</v>
      </c>
      <c r="L4676" s="3">
        <f t="shared" si="200"/>
        <v>0</v>
      </c>
      <c r="M4676" s="3"/>
      <c r="N4676" s="3">
        <f t="shared" si="201"/>
        <v>0</v>
      </c>
      <c r="R4676" s="89"/>
      <c r="S4676" s="89">
        <f>100%-Table34[[#This Row],[PDF_initial fee]]</f>
        <v>1</v>
      </c>
      <c r="T4676" s="89"/>
      <c r="U4676" s="26"/>
      <c r="X4676" s="9"/>
    </row>
    <row r="4677" spans="1:27" hidden="1" x14ac:dyDescent="0.25">
      <c r="A4677">
        <v>837552</v>
      </c>
      <c r="B4677" t="s">
        <v>5074</v>
      </c>
      <c r="C4677" t="s">
        <v>8456</v>
      </c>
      <c r="D4677">
        <v>1</v>
      </c>
      <c r="E4677" t="s">
        <v>5074</v>
      </c>
      <c r="G4677" s="3"/>
      <c r="L4677" s="3">
        <f t="shared" si="200"/>
        <v>0</v>
      </c>
      <c r="M4677" s="3"/>
      <c r="N4677" s="3">
        <f t="shared" si="201"/>
        <v>0</v>
      </c>
      <c r="R4677" s="89"/>
      <c r="S4677" s="89">
        <f>100%-Table34[[#This Row],[PDF_initial fee]]</f>
        <v>1</v>
      </c>
      <c r="T4677" s="89"/>
      <c r="U4677" s="26"/>
      <c r="X4677" s="9"/>
    </row>
    <row r="4678" spans="1:27" hidden="1" x14ac:dyDescent="0.25">
      <c r="A4678">
        <v>837818</v>
      </c>
      <c r="B4678" t="s">
        <v>5075</v>
      </c>
      <c r="C4678" t="s">
        <v>6958</v>
      </c>
      <c r="D4678">
        <v>1</v>
      </c>
      <c r="E4678" t="s">
        <v>5075</v>
      </c>
      <c r="F4678" t="s">
        <v>6958</v>
      </c>
      <c r="G4678" s="3"/>
      <c r="H4678" s="21">
        <v>0</v>
      </c>
      <c r="I4678" s="21">
        <v>0</v>
      </c>
      <c r="J4678" s="21">
        <v>0</v>
      </c>
      <c r="K4678" s="21">
        <v>0</v>
      </c>
      <c r="L4678" s="3">
        <f t="shared" si="200"/>
        <v>0</v>
      </c>
      <c r="M4678" s="3"/>
      <c r="N4678" s="3">
        <f t="shared" si="201"/>
        <v>0</v>
      </c>
      <c r="R4678" s="89"/>
      <c r="S4678" s="89">
        <f>100%-Table34[[#This Row],[PDF_initial fee]]</f>
        <v>1</v>
      </c>
      <c r="T4678" s="89"/>
      <c r="U4678" s="26"/>
      <c r="X4678" s="9"/>
    </row>
    <row r="4679" spans="1:27" hidden="1" x14ac:dyDescent="0.25">
      <c r="A4679">
        <v>838186</v>
      </c>
      <c r="B4679" t="s">
        <v>5076</v>
      </c>
      <c r="C4679" t="s">
        <v>31174</v>
      </c>
      <c r="D4679">
        <v>19</v>
      </c>
      <c r="E4679" t="s">
        <v>5076</v>
      </c>
      <c r="G4679" s="3"/>
      <c r="H4679" s="3"/>
      <c r="I4679" s="3"/>
      <c r="J4679" s="3"/>
      <c r="K4679" s="3"/>
      <c r="L4679" s="3">
        <f t="shared" si="200"/>
        <v>0</v>
      </c>
      <c r="M4679" s="3"/>
      <c r="N4679" s="3">
        <f t="shared" si="201"/>
        <v>0</v>
      </c>
      <c r="R4679" s="89"/>
      <c r="S4679" s="89">
        <f>100%-Table34[[#This Row],[PDF_initial fee]]</f>
        <v>1</v>
      </c>
      <c r="T4679" s="89"/>
      <c r="U4679" s="26"/>
      <c r="X4679" s="9"/>
    </row>
    <row r="4680" spans="1:27" hidden="1" x14ac:dyDescent="0.25">
      <c r="A4680">
        <v>838234</v>
      </c>
      <c r="B4680" t="s">
        <v>5077</v>
      </c>
      <c r="C4680" t="s">
        <v>8907</v>
      </c>
      <c r="D4680">
        <v>1</v>
      </c>
      <c r="E4680" t="s">
        <v>5077</v>
      </c>
      <c r="G4680" s="3"/>
      <c r="H4680" s="21">
        <v>0</v>
      </c>
      <c r="I4680" s="21">
        <v>0</v>
      </c>
      <c r="J4680" s="21">
        <v>0</v>
      </c>
      <c r="K4680" s="21">
        <v>0</v>
      </c>
      <c r="L4680" s="3">
        <f t="shared" si="200"/>
        <v>0</v>
      </c>
      <c r="M4680" s="3"/>
      <c r="N4680" s="3">
        <f t="shared" si="201"/>
        <v>0</v>
      </c>
      <c r="R4680" s="89"/>
      <c r="S4680" s="89">
        <f>100%-Table34[[#This Row],[PDF_initial fee]]</f>
        <v>1</v>
      </c>
      <c r="T4680" s="89"/>
      <c r="U4680" s="26"/>
      <c r="X4680" s="9"/>
    </row>
    <row r="4681" spans="1:27" hidden="1" x14ac:dyDescent="0.25">
      <c r="A4681">
        <v>838284</v>
      </c>
      <c r="B4681" t="s">
        <v>5078</v>
      </c>
      <c r="C4681" t="s">
        <v>31175</v>
      </c>
      <c r="D4681">
        <v>1</v>
      </c>
      <c r="E4681" t="s">
        <v>5078</v>
      </c>
      <c r="G4681" s="3"/>
      <c r="H4681" s="3">
        <v>0</v>
      </c>
      <c r="I4681" s="3">
        <v>0</v>
      </c>
      <c r="J4681" s="3">
        <v>0</v>
      </c>
      <c r="K4681" s="3">
        <v>0</v>
      </c>
      <c r="L4681" s="3">
        <f t="shared" si="200"/>
        <v>0</v>
      </c>
      <c r="M4681" s="3"/>
      <c r="N4681" s="3">
        <f t="shared" si="201"/>
        <v>0</v>
      </c>
      <c r="R4681" s="89"/>
      <c r="S4681" s="89">
        <f>100%-Table34[[#This Row],[PDF_initial fee]]</f>
        <v>1</v>
      </c>
      <c r="T4681" s="89"/>
      <c r="U4681" s="26"/>
      <c r="X4681" s="9"/>
    </row>
    <row r="4682" spans="1:27" hidden="1" x14ac:dyDescent="0.25">
      <c r="A4682">
        <v>838460</v>
      </c>
      <c r="B4682" t="s">
        <v>5079</v>
      </c>
      <c r="C4682" t="s">
        <v>6958</v>
      </c>
      <c r="D4682">
        <v>1</v>
      </c>
      <c r="E4682" t="s">
        <v>5079</v>
      </c>
      <c r="F4682" t="s">
        <v>6958</v>
      </c>
      <c r="G4682" s="3"/>
      <c r="L4682" s="3">
        <f t="shared" si="200"/>
        <v>0</v>
      </c>
      <c r="M4682" s="3"/>
      <c r="N4682" s="3">
        <f t="shared" si="201"/>
        <v>0</v>
      </c>
      <c r="R4682" s="89"/>
      <c r="S4682" s="89">
        <f>100%-Table34[[#This Row],[PDF_initial fee]]</f>
        <v>1</v>
      </c>
      <c r="T4682" s="89"/>
      <c r="U4682" s="26"/>
      <c r="X4682" s="9"/>
    </row>
    <row r="4683" spans="1:27" hidden="1" x14ac:dyDescent="0.25">
      <c r="A4683">
        <v>839690</v>
      </c>
      <c r="B4683" t="s">
        <v>5080</v>
      </c>
      <c r="C4683" t="s">
        <v>31176</v>
      </c>
      <c r="D4683">
        <v>2</v>
      </c>
      <c r="E4683" t="s">
        <v>5080</v>
      </c>
      <c r="G4683" s="3"/>
      <c r="H4683" s="3">
        <v>0</v>
      </c>
      <c r="I4683" s="3">
        <v>0</v>
      </c>
      <c r="J4683" s="3">
        <v>0</v>
      </c>
      <c r="K4683" s="3">
        <v>0</v>
      </c>
      <c r="L4683" s="3">
        <f t="shared" si="200"/>
        <v>0</v>
      </c>
      <c r="M4683" s="3"/>
      <c r="N4683" s="3">
        <f t="shared" si="201"/>
        <v>0</v>
      </c>
      <c r="R4683" s="89"/>
      <c r="S4683" s="89">
        <f>100%-Table34[[#This Row],[PDF_initial fee]]</f>
        <v>1</v>
      </c>
      <c r="T4683" s="89"/>
      <c r="U4683" s="26"/>
      <c r="X4683" s="9"/>
    </row>
    <row r="4684" spans="1:27" hidden="1" x14ac:dyDescent="0.25">
      <c r="A4684">
        <v>839860</v>
      </c>
      <c r="B4684" t="s">
        <v>5081</v>
      </c>
      <c r="C4684" t="s">
        <v>31177</v>
      </c>
      <c r="D4684">
        <v>4</v>
      </c>
      <c r="E4684" t="s">
        <v>5081</v>
      </c>
      <c r="G4684" s="3"/>
      <c r="H4684" s="3">
        <v>0</v>
      </c>
      <c r="I4684" s="3">
        <v>0</v>
      </c>
      <c r="J4684" s="3">
        <v>0</v>
      </c>
      <c r="K4684" s="3">
        <v>0</v>
      </c>
      <c r="L4684" s="3">
        <f t="shared" si="200"/>
        <v>0</v>
      </c>
      <c r="M4684" s="3"/>
      <c r="N4684" s="3">
        <f t="shared" si="201"/>
        <v>0</v>
      </c>
      <c r="R4684" s="89"/>
      <c r="S4684" s="89">
        <f>100%-Table34[[#This Row],[PDF_initial fee]]</f>
        <v>1</v>
      </c>
      <c r="T4684" s="89"/>
      <c r="U4684" s="26"/>
      <c r="X4684" s="9"/>
    </row>
    <row r="4685" spans="1:27" hidden="1" x14ac:dyDescent="0.25">
      <c r="A4685">
        <v>839943</v>
      </c>
      <c r="B4685" t="s">
        <v>5082</v>
      </c>
      <c r="C4685" t="s">
        <v>31178</v>
      </c>
      <c r="D4685">
        <v>15</v>
      </c>
      <c r="E4685" t="s">
        <v>5082</v>
      </c>
      <c r="G4685" s="3"/>
      <c r="H4685" s="3"/>
      <c r="I4685" s="3"/>
      <c r="J4685" s="3"/>
      <c r="K4685" s="3"/>
      <c r="L4685" s="3">
        <f t="shared" si="200"/>
        <v>0</v>
      </c>
      <c r="M4685" s="3"/>
      <c r="N4685" s="3">
        <f t="shared" si="201"/>
        <v>0</v>
      </c>
      <c r="R4685" s="89"/>
      <c r="S4685" s="89">
        <f>100%-Table34[[#This Row],[PDF_initial fee]]</f>
        <v>1</v>
      </c>
      <c r="T4685" s="89"/>
      <c r="U4685" s="26"/>
      <c r="X4685" s="9"/>
    </row>
    <row r="4686" spans="1:27" hidden="1" x14ac:dyDescent="0.25">
      <c r="A4686">
        <v>840213</v>
      </c>
      <c r="B4686" t="s">
        <v>5083</v>
      </c>
      <c r="C4686" t="s">
        <v>7835</v>
      </c>
      <c r="D4686">
        <v>1</v>
      </c>
      <c r="E4686" t="s">
        <v>5083</v>
      </c>
      <c r="G4686" s="3"/>
      <c r="H4686" s="21">
        <v>0</v>
      </c>
      <c r="I4686" s="21">
        <v>0</v>
      </c>
      <c r="J4686" s="21">
        <v>0</v>
      </c>
      <c r="K4686" s="21">
        <v>0</v>
      </c>
      <c r="L4686" s="3">
        <f t="shared" si="200"/>
        <v>0</v>
      </c>
      <c r="M4686" s="3"/>
      <c r="N4686" s="3">
        <f t="shared" si="201"/>
        <v>0</v>
      </c>
      <c r="R4686" s="89"/>
      <c r="S4686" s="89">
        <f>100%-Table34[[#This Row],[PDF_initial fee]]</f>
        <v>1</v>
      </c>
      <c r="T4686" s="89"/>
      <c r="U4686" s="26"/>
      <c r="X4686" s="9"/>
    </row>
    <row r="4687" spans="1:27" x14ac:dyDescent="0.25">
      <c r="A4687">
        <v>717593</v>
      </c>
      <c r="B4687" t="s">
        <v>274</v>
      </c>
      <c r="C4687" t="s">
        <v>8373</v>
      </c>
      <c r="D4687">
        <v>7</v>
      </c>
      <c r="E4687" t="s">
        <v>274</v>
      </c>
      <c r="F4687" t="s">
        <v>3</v>
      </c>
      <c r="G4687" s="3">
        <v>1.4E-3</v>
      </c>
      <c r="H4687" s="3">
        <v>1.4999999999999999E-2</v>
      </c>
      <c r="I4687" s="3">
        <v>0.01</v>
      </c>
      <c r="J4687" s="6"/>
      <c r="K4687" s="6"/>
      <c r="L4687" s="3">
        <f t="shared" si="200"/>
        <v>2.5000000000000001E-2</v>
      </c>
      <c r="M4687" s="3"/>
      <c r="N4687" s="3">
        <f t="shared" si="201"/>
        <v>2.64E-2</v>
      </c>
      <c r="P4687" s="31" t="s">
        <v>31179</v>
      </c>
      <c r="Q4687" t="s">
        <v>31787</v>
      </c>
      <c r="R4687" s="89">
        <v>0.33333333333333348</v>
      </c>
      <c r="S4687" s="89">
        <f>100%-Table34[[#This Row],[InitialFee]]</f>
        <v>0.98499999999999999</v>
      </c>
      <c r="T4687" s="89">
        <f>(1-Table34[[#This Row],[OngoingFee (plus Platform fee)]])^5</f>
        <v>0.95099004989999991</v>
      </c>
      <c r="U4687" s="26">
        <f>(1+Table34[[#This Row],[Net 5yrs return (mostly up to 28th of Feb 2026)]])*Table34[[#This Row],[Investment after initial charge]]*Table34[[#This Row],[Cummulative 5yrs ongoing advice charge]]-1</f>
        <v>0.24896693220200006</v>
      </c>
      <c r="V4687" s="10">
        <f>1016169+318825</f>
        <v>1334994</v>
      </c>
      <c r="W4687" t="s">
        <v>29051</v>
      </c>
      <c r="X4687" s="9">
        <v>977003</v>
      </c>
      <c r="Y4687" s="30">
        <f>X4687/V4687</f>
        <v>0.73184074235539631</v>
      </c>
      <c r="AA4687" s="1" t="s">
        <v>31180</v>
      </c>
    </row>
    <row r="4688" spans="1:27" hidden="1" x14ac:dyDescent="0.25">
      <c r="A4688">
        <v>840938</v>
      </c>
      <c r="B4688" t="s">
        <v>5084</v>
      </c>
      <c r="C4688" t="s">
        <v>6958</v>
      </c>
      <c r="D4688">
        <v>1</v>
      </c>
      <c r="E4688" t="s">
        <v>5084</v>
      </c>
      <c r="F4688" t="s">
        <v>6958</v>
      </c>
      <c r="G4688" s="3"/>
      <c r="H4688" s="21">
        <v>0</v>
      </c>
      <c r="I4688" s="21">
        <v>0</v>
      </c>
      <c r="J4688" s="21">
        <v>0</v>
      </c>
      <c r="K4688" s="21">
        <v>0</v>
      </c>
      <c r="L4688" s="3">
        <f t="shared" si="200"/>
        <v>0</v>
      </c>
      <c r="M4688" s="3"/>
      <c r="N4688" s="3">
        <f t="shared" si="201"/>
        <v>0</v>
      </c>
      <c r="R4688" s="89"/>
      <c r="S4688" s="89">
        <f>100%-Table34[[#This Row],[PDF_initial fee]]</f>
        <v>1</v>
      </c>
      <c r="T4688" s="89"/>
      <c r="U4688" s="26"/>
      <c r="X4688" s="9"/>
    </row>
    <row r="4689" spans="1:27" hidden="1" x14ac:dyDescent="0.25">
      <c r="A4689">
        <v>840964</v>
      </c>
      <c r="B4689" t="s">
        <v>5085</v>
      </c>
      <c r="C4689" t="s">
        <v>10546</v>
      </c>
      <c r="D4689">
        <v>1</v>
      </c>
      <c r="E4689" t="s">
        <v>5085</v>
      </c>
      <c r="G4689" s="3"/>
      <c r="H4689" s="3">
        <v>0</v>
      </c>
      <c r="I4689" s="3">
        <v>0</v>
      </c>
      <c r="J4689" s="3">
        <v>0</v>
      </c>
      <c r="K4689" s="3">
        <v>0</v>
      </c>
      <c r="L4689" s="3">
        <f t="shared" si="200"/>
        <v>0</v>
      </c>
      <c r="M4689" s="3"/>
      <c r="N4689" s="3">
        <f t="shared" si="201"/>
        <v>0</v>
      </c>
      <c r="R4689" s="89"/>
      <c r="S4689" s="89">
        <f>100%-Table34[[#This Row],[PDF_initial fee]]</f>
        <v>1</v>
      </c>
      <c r="T4689" s="89"/>
      <c r="U4689" s="26"/>
      <c r="X4689" s="9"/>
    </row>
    <row r="4690" spans="1:27" hidden="1" x14ac:dyDescent="0.25">
      <c r="A4690">
        <v>841099</v>
      </c>
      <c r="B4690" t="s">
        <v>5086</v>
      </c>
      <c r="C4690" t="s">
        <v>6958</v>
      </c>
      <c r="D4690">
        <v>3</v>
      </c>
      <c r="E4690" t="s">
        <v>5086</v>
      </c>
      <c r="F4690" t="s">
        <v>6958</v>
      </c>
      <c r="G4690" s="3"/>
      <c r="L4690" s="3">
        <f t="shared" si="200"/>
        <v>0</v>
      </c>
      <c r="M4690" s="3"/>
      <c r="N4690" s="3">
        <f t="shared" si="201"/>
        <v>0</v>
      </c>
      <c r="R4690" s="89"/>
      <c r="S4690" s="89">
        <f>100%-Table34[[#This Row],[PDF_initial fee]]</f>
        <v>1</v>
      </c>
      <c r="T4690" s="89"/>
      <c r="U4690" s="26"/>
      <c r="X4690" s="9"/>
    </row>
    <row r="4691" spans="1:27" hidden="1" x14ac:dyDescent="0.25">
      <c r="A4691">
        <v>841219</v>
      </c>
      <c r="B4691" t="s">
        <v>5087</v>
      </c>
      <c r="C4691" t="s">
        <v>9459</v>
      </c>
      <c r="D4691">
        <v>4</v>
      </c>
      <c r="E4691" t="s">
        <v>5087</v>
      </c>
      <c r="G4691" s="3"/>
      <c r="H4691" s="3">
        <v>0</v>
      </c>
      <c r="I4691" s="3">
        <v>0</v>
      </c>
      <c r="J4691" s="3">
        <v>0</v>
      </c>
      <c r="K4691" s="3">
        <v>0</v>
      </c>
      <c r="L4691" s="3">
        <f t="shared" si="200"/>
        <v>0</v>
      </c>
      <c r="M4691" s="3"/>
      <c r="N4691" s="3">
        <f t="shared" si="201"/>
        <v>0</v>
      </c>
      <c r="R4691" s="89"/>
      <c r="S4691" s="89">
        <f>100%-Table34[[#This Row],[PDF_initial fee]]</f>
        <v>1</v>
      </c>
      <c r="T4691" s="89"/>
      <c r="U4691" s="26"/>
      <c r="X4691" s="9"/>
    </row>
    <row r="4692" spans="1:27" hidden="1" x14ac:dyDescent="0.25">
      <c r="A4692">
        <v>841266</v>
      </c>
      <c r="B4692" t="s">
        <v>5088</v>
      </c>
      <c r="C4692" t="s">
        <v>9327</v>
      </c>
      <c r="D4692">
        <v>10</v>
      </c>
      <c r="E4692" t="s">
        <v>5088</v>
      </c>
      <c r="G4692" s="3"/>
      <c r="L4692" s="3">
        <f t="shared" si="200"/>
        <v>0</v>
      </c>
      <c r="M4692" s="3"/>
      <c r="N4692" s="3">
        <f t="shared" si="201"/>
        <v>0</v>
      </c>
      <c r="R4692" s="89"/>
      <c r="S4692" s="89">
        <f>100%-Table34[[#This Row],[PDF_initial fee]]</f>
        <v>1</v>
      </c>
      <c r="T4692" s="89"/>
      <c r="U4692" s="26"/>
      <c r="X4692" s="9"/>
    </row>
    <row r="4693" spans="1:27" hidden="1" x14ac:dyDescent="0.25">
      <c r="A4693">
        <v>841309</v>
      </c>
      <c r="B4693" t="s">
        <v>5089</v>
      </c>
      <c r="C4693" t="s">
        <v>31181</v>
      </c>
      <c r="D4693">
        <v>2</v>
      </c>
      <c r="E4693" t="s">
        <v>5089</v>
      </c>
      <c r="G4693" s="3"/>
      <c r="H4693" s="3">
        <v>0</v>
      </c>
      <c r="I4693" s="3">
        <v>0</v>
      </c>
      <c r="J4693" s="3">
        <v>0</v>
      </c>
      <c r="K4693" s="3">
        <v>0</v>
      </c>
      <c r="L4693" s="3">
        <f t="shared" si="200"/>
        <v>0</v>
      </c>
      <c r="M4693" s="3"/>
      <c r="N4693" s="3">
        <f t="shared" si="201"/>
        <v>0</v>
      </c>
      <c r="R4693" s="89"/>
      <c r="S4693" s="89">
        <f>100%-Table34[[#This Row],[PDF_initial fee]]</f>
        <v>1</v>
      </c>
      <c r="T4693" s="89"/>
      <c r="U4693" s="26"/>
      <c r="X4693" s="9"/>
    </row>
    <row r="4694" spans="1:27" hidden="1" x14ac:dyDescent="0.25">
      <c r="A4694">
        <v>841524</v>
      </c>
      <c r="B4694" t="s">
        <v>5090</v>
      </c>
      <c r="C4694" t="s">
        <v>31182</v>
      </c>
      <c r="D4694">
        <v>2</v>
      </c>
      <c r="E4694" t="s">
        <v>5090</v>
      </c>
      <c r="G4694" s="3"/>
      <c r="H4694" s="3">
        <v>0</v>
      </c>
      <c r="I4694" s="3">
        <v>0</v>
      </c>
      <c r="J4694" s="3">
        <v>0</v>
      </c>
      <c r="K4694" s="3">
        <v>0</v>
      </c>
      <c r="L4694" s="3">
        <f t="shared" si="200"/>
        <v>0</v>
      </c>
      <c r="M4694" s="3"/>
      <c r="N4694" s="3">
        <f t="shared" si="201"/>
        <v>0</v>
      </c>
      <c r="R4694" s="89"/>
      <c r="S4694" s="89">
        <f>100%-Table34[[#This Row],[PDF_initial fee]]</f>
        <v>1</v>
      </c>
      <c r="T4694" s="89"/>
      <c r="U4694" s="26"/>
      <c r="X4694" s="9"/>
    </row>
    <row r="4695" spans="1:27" hidden="1" x14ac:dyDescent="0.25">
      <c r="A4695">
        <v>841556</v>
      </c>
      <c r="B4695" t="s">
        <v>5091</v>
      </c>
      <c r="C4695" t="s">
        <v>31183</v>
      </c>
      <c r="D4695">
        <v>1</v>
      </c>
      <c r="E4695" t="s">
        <v>5091</v>
      </c>
      <c r="G4695" s="3"/>
      <c r="H4695" s="21">
        <v>0</v>
      </c>
      <c r="I4695" s="21">
        <v>0</v>
      </c>
      <c r="J4695" s="21">
        <v>0</v>
      </c>
      <c r="K4695" s="21">
        <v>0</v>
      </c>
      <c r="L4695" s="3">
        <f t="shared" si="200"/>
        <v>0</v>
      </c>
      <c r="M4695" s="3"/>
      <c r="N4695" s="3">
        <f t="shared" si="201"/>
        <v>0</v>
      </c>
      <c r="O4695" s="21"/>
      <c r="R4695" s="89"/>
      <c r="S4695" s="89">
        <f>100%-Table34[[#This Row],[PDF_initial fee]]</f>
        <v>1</v>
      </c>
      <c r="T4695" s="89"/>
      <c r="U4695" s="26"/>
      <c r="X4695" s="9"/>
    </row>
    <row r="4696" spans="1:27" hidden="1" x14ac:dyDescent="0.25">
      <c r="A4696">
        <v>841587</v>
      </c>
      <c r="B4696" t="s">
        <v>5092</v>
      </c>
      <c r="C4696" t="s">
        <v>31184</v>
      </c>
      <c r="D4696">
        <v>3</v>
      </c>
      <c r="E4696" t="s">
        <v>5092</v>
      </c>
      <c r="G4696" s="3"/>
      <c r="H4696" s="3">
        <v>0</v>
      </c>
      <c r="I4696" s="3">
        <v>0</v>
      </c>
      <c r="J4696" s="3">
        <v>0</v>
      </c>
      <c r="K4696" s="3">
        <v>0</v>
      </c>
      <c r="L4696" s="3">
        <f t="shared" si="200"/>
        <v>0</v>
      </c>
      <c r="M4696" s="3"/>
      <c r="N4696" s="3">
        <f t="shared" si="201"/>
        <v>0</v>
      </c>
      <c r="R4696" s="89"/>
      <c r="S4696" s="89">
        <f>100%-Table34[[#This Row],[PDF_initial fee]]</f>
        <v>1</v>
      </c>
      <c r="T4696" s="89"/>
      <c r="U4696" s="26"/>
      <c r="X4696" s="9"/>
    </row>
    <row r="4697" spans="1:27" hidden="1" x14ac:dyDescent="0.25">
      <c r="A4697">
        <v>841810</v>
      </c>
      <c r="B4697" t="s">
        <v>5093</v>
      </c>
      <c r="C4697" t="s">
        <v>8857</v>
      </c>
      <c r="D4697">
        <v>1</v>
      </c>
      <c r="E4697" t="s">
        <v>5093</v>
      </c>
      <c r="G4697" s="3"/>
      <c r="H4697" s="21">
        <v>0</v>
      </c>
      <c r="I4697" s="21">
        <v>0</v>
      </c>
      <c r="J4697" s="21">
        <v>0</v>
      </c>
      <c r="K4697" s="21">
        <v>0</v>
      </c>
      <c r="L4697" s="3">
        <f t="shared" si="200"/>
        <v>0</v>
      </c>
      <c r="M4697" s="3"/>
      <c r="N4697" s="3">
        <f t="shared" si="201"/>
        <v>0</v>
      </c>
      <c r="R4697" s="89"/>
      <c r="S4697" s="89">
        <f>100%-Table34[[#This Row],[PDF_initial fee]]</f>
        <v>1</v>
      </c>
      <c r="T4697" s="89"/>
      <c r="U4697" s="26"/>
      <c r="X4697" s="9"/>
    </row>
    <row r="4698" spans="1:27" hidden="1" x14ac:dyDescent="0.25">
      <c r="A4698">
        <v>841978</v>
      </c>
      <c r="B4698" t="s">
        <v>5094</v>
      </c>
      <c r="C4698" t="s">
        <v>31185</v>
      </c>
      <c r="D4698">
        <v>3</v>
      </c>
      <c r="E4698" t="s">
        <v>5094</v>
      </c>
      <c r="G4698" s="3"/>
      <c r="H4698" s="3">
        <v>0</v>
      </c>
      <c r="I4698" s="3">
        <v>0</v>
      </c>
      <c r="J4698" s="3">
        <v>0</v>
      </c>
      <c r="K4698" s="3">
        <v>0</v>
      </c>
      <c r="L4698" s="3">
        <f t="shared" si="200"/>
        <v>0</v>
      </c>
      <c r="M4698" s="3"/>
      <c r="N4698" s="3">
        <f t="shared" si="201"/>
        <v>0</v>
      </c>
      <c r="R4698" s="89"/>
      <c r="S4698" s="89">
        <f>100%-Table34[[#This Row],[PDF_initial fee]]</f>
        <v>1</v>
      </c>
      <c r="T4698" s="89"/>
      <c r="U4698" s="26"/>
      <c r="X4698" s="9"/>
    </row>
    <row r="4699" spans="1:27" hidden="1" x14ac:dyDescent="0.25">
      <c r="A4699">
        <v>842070</v>
      </c>
      <c r="B4699" t="s">
        <v>5095</v>
      </c>
      <c r="C4699" t="s">
        <v>8357</v>
      </c>
      <c r="D4699">
        <v>1</v>
      </c>
      <c r="E4699" t="s">
        <v>5095</v>
      </c>
      <c r="G4699" s="3"/>
      <c r="H4699" s="21">
        <v>0</v>
      </c>
      <c r="I4699" s="21">
        <v>0</v>
      </c>
      <c r="J4699" s="21">
        <v>0</v>
      </c>
      <c r="K4699" s="21">
        <v>0</v>
      </c>
      <c r="L4699" s="3">
        <f t="shared" si="200"/>
        <v>0</v>
      </c>
      <c r="M4699" s="3"/>
      <c r="N4699" s="3">
        <f t="shared" si="201"/>
        <v>0</v>
      </c>
      <c r="R4699" s="89"/>
      <c r="S4699" s="89">
        <f>100%-Table34[[#This Row],[PDF_initial fee]]</f>
        <v>1</v>
      </c>
      <c r="T4699" s="89"/>
      <c r="U4699" s="26"/>
      <c r="X4699" s="9"/>
    </row>
    <row r="4700" spans="1:27" hidden="1" x14ac:dyDescent="0.25">
      <c r="A4700">
        <v>842242</v>
      </c>
      <c r="B4700" t="s">
        <v>5096</v>
      </c>
      <c r="C4700" t="s">
        <v>6958</v>
      </c>
      <c r="D4700">
        <v>1</v>
      </c>
      <c r="E4700" t="s">
        <v>5096</v>
      </c>
      <c r="F4700" t="s">
        <v>6958</v>
      </c>
      <c r="G4700" s="3"/>
      <c r="H4700" s="21">
        <v>0</v>
      </c>
      <c r="I4700" s="21">
        <v>0</v>
      </c>
      <c r="J4700" s="21">
        <v>0</v>
      </c>
      <c r="K4700" s="21">
        <v>0</v>
      </c>
      <c r="L4700" s="3">
        <f t="shared" si="200"/>
        <v>0</v>
      </c>
      <c r="M4700" s="3"/>
      <c r="N4700" s="3">
        <f t="shared" si="201"/>
        <v>0</v>
      </c>
      <c r="R4700" s="89"/>
      <c r="S4700" s="89">
        <f>100%-Table34[[#This Row],[PDF_initial fee]]</f>
        <v>1</v>
      </c>
      <c r="T4700" s="89"/>
      <c r="U4700" s="26"/>
      <c r="X4700" s="9"/>
    </row>
    <row r="4701" spans="1:27" hidden="1" x14ac:dyDescent="0.25">
      <c r="A4701">
        <v>842402</v>
      </c>
      <c r="B4701" t="s">
        <v>5097</v>
      </c>
      <c r="C4701" t="s">
        <v>31186</v>
      </c>
      <c r="D4701">
        <v>2</v>
      </c>
      <c r="E4701" t="s">
        <v>5097</v>
      </c>
      <c r="G4701" s="3"/>
      <c r="H4701" s="3">
        <v>0</v>
      </c>
      <c r="I4701" s="3">
        <v>0</v>
      </c>
      <c r="J4701" s="3">
        <v>0</v>
      </c>
      <c r="K4701" s="3">
        <v>0</v>
      </c>
      <c r="L4701" s="3">
        <f t="shared" si="200"/>
        <v>0</v>
      </c>
      <c r="M4701" s="3"/>
      <c r="N4701" s="3">
        <f t="shared" si="201"/>
        <v>0</v>
      </c>
      <c r="R4701" s="89"/>
      <c r="S4701" s="89">
        <f>100%-Table34[[#This Row],[PDF_initial fee]]</f>
        <v>1</v>
      </c>
      <c r="T4701" s="89"/>
      <c r="U4701" s="26"/>
      <c r="X4701" s="9"/>
    </row>
    <row r="4702" spans="1:27" hidden="1" x14ac:dyDescent="0.25">
      <c r="A4702">
        <v>842433</v>
      </c>
      <c r="B4702" t="s">
        <v>5098</v>
      </c>
      <c r="C4702" t="s">
        <v>31187</v>
      </c>
      <c r="D4702">
        <v>1</v>
      </c>
      <c r="E4702" t="s">
        <v>5098</v>
      </c>
      <c r="G4702" s="3"/>
      <c r="H4702" s="3">
        <v>0</v>
      </c>
      <c r="I4702" s="3">
        <v>0</v>
      </c>
      <c r="J4702" s="3">
        <v>0</v>
      </c>
      <c r="K4702" s="3">
        <v>0</v>
      </c>
      <c r="L4702" s="3">
        <f t="shared" si="200"/>
        <v>0</v>
      </c>
      <c r="M4702" s="3"/>
      <c r="N4702" s="3">
        <f t="shared" si="201"/>
        <v>0</v>
      </c>
      <c r="R4702" s="89"/>
      <c r="S4702" s="89">
        <f>100%-Table34[[#This Row],[PDF_initial fee]]</f>
        <v>1</v>
      </c>
      <c r="T4702" s="89"/>
      <c r="U4702" s="26"/>
      <c r="X4702" s="9"/>
    </row>
    <row r="4703" spans="1:27" hidden="1" x14ac:dyDescent="0.25">
      <c r="A4703">
        <v>842662</v>
      </c>
      <c r="B4703" t="s">
        <v>5099</v>
      </c>
      <c r="C4703" t="s">
        <v>31188</v>
      </c>
      <c r="D4703">
        <v>1</v>
      </c>
      <c r="E4703" t="s">
        <v>5099</v>
      </c>
      <c r="G4703" s="3"/>
      <c r="H4703" s="3">
        <v>0</v>
      </c>
      <c r="I4703" s="3">
        <v>0</v>
      </c>
      <c r="J4703" s="3">
        <v>0</v>
      </c>
      <c r="K4703" s="3">
        <v>0</v>
      </c>
      <c r="L4703" s="3">
        <f t="shared" si="200"/>
        <v>0</v>
      </c>
      <c r="M4703" s="3"/>
      <c r="N4703" s="3">
        <f t="shared" si="201"/>
        <v>0</v>
      </c>
      <c r="R4703" s="89"/>
      <c r="S4703" s="89">
        <f>100%-Table34[[#This Row],[PDF_initial fee]]</f>
        <v>1</v>
      </c>
      <c r="T4703" s="89"/>
      <c r="U4703" s="26"/>
      <c r="X4703" s="9"/>
    </row>
    <row r="4704" spans="1:27" x14ac:dyDescent="0.25">
      <c r="A4704">
        <v>961278</v>
      </c>
      <c r="B4704" t="s">
        <v>348</v>
      </c>
      <c r="C4704" t="s">
        <v>31189</v>
      </c>
      <c r="D4704">
        <v>4</v>
      </c>
      <c r="E4704" t="s">
        <v>348</v>
      </c>
      <c r="F4704" t="s">
        <v>3</v>
      </c>
      <c r="G4704" s="3">
        <v>1.4E-3</v>
      </c>
      <c r="H4704" s="3">
        <v>0.01</v>
      </c>
      <c r="I4704" s="3">
        <v>7.4999999999999997E-3</v>
      </c>
      <c r="J4704" s="6"/>
      <c r="K4704" s="6"/>
      <c r="L4704" s="3">
        <f t="shared" si="200"/>
        <v>1.7500000000000002E-2</v>
      </c>
      <c r="M4704" s="3"/>
      <c r="N4704" s="3">
        <f t="shared" si="201"/>
        <v>1.89E-2</v>
      </c>
      <c r="P4704" s="31" t="s">
        <v>31190</v>
      </c>
      <c r="Q4704" t="s">
        <v>31787</v>
      </c>
      <c r="R4704" s="89">
        <v>0.33333333333333348</v>
      </c>
      <c r="S4704" s="89">
        <f>100%-Table34[[#This Row],[InitialFee]]</f>
        <v>0.99</v>
      </c>
      <c r="T4704" s="89">
        <f>(1-Table34[[#This Row],[OngoingFee (plus Platform fee)]])^5</f>
        <v>0.9630582970465823</v>
      </c>
      <c r="U4704" s="26">
        <f>(1+Table34[[#This Row],[Net 5yrs return (mostly up to 28th of Feb 2026)]])*Table34[[#This Row],[Investment after initial charge]]*Table34[[#This Row],[Cummulative 5yrs ongoing advice charge]]-1</f>
        <v>0.27123695210148879</v>
      </c>
      <c r="V4704">
        <f>36153+77767</f>
        <v>113920</v>
      </c>
      <c r="W4704" t="s">
        <v>29051</v>
      </c>
      <c r="X4704" s="9">
        <v>22624</v>
      </c>
      <c r="Y4704" s="30">
        <f>X4704/V4704</f>
        <v>0.19859550561797754</v>
      </c>
      <c r="AA4704" s="1" t="s">
        <v>31191</v>
      </c>
    </row>
    <row r="4705" spans="1:29" hidden="1" x14ac:dyDescent="0.25">
      <c r="A4705">
        <v>842769</v>
      </c>
      <c r="B4705" t="s">
        <v>5100</v>
      </c>
      <c r="C4705" t="s">
        <v>6958</v>
      </c>
      <c r="D4705">
        <v>1</v>
      </c>
      <c r="E4705" t="s">
        <v>5100</v>
      </c>
      <c r="F4705" t="s">
        <v>6958</v>
      </c>
      <c r="G4705" s="3"/>
      <c r="H4705" s="21">
        <v>0</v>
      </c>
      <c r="I4705" s="21">
        <v>0</v>
      </c>
      <c r="J4705" s="21">
        <v>0</v>
      </c>
      <c r="K4705" s="21">
        <v>0</v>
      </c>
      <c r="L4705" s="3">
        <f t="shared" si="200"/>
        <v>0</v>
      </c>
      <c r="M4705" s="3"/>
      <c r="N4705" s="3">
        <f t="shared" si="201"/>
        <v>0</v>
      </c>
      <c r="R4705" s="89"/>
      <c r="S4705" s="89">
        <f>100%-Table34[[#This Row],[PDF_initial fee]]</f>
        <v>1</v>
      </c>
      <c r="T4705" s="89"/>
      <c r="U4705" s="26"/>
      <c r="X4705" s="9"/>
    </row>
    <row r="4706" spans="1:29" hidden="1" x14ac:dyDescent="0.25">
      <c r="A4706">
        <v>843149</v>
      </c>
      <c r="B4706" t="s">
        <v>5101</v>
      </c>
      <c r="C4706" t="s">
        <v>12304</v>
      </c>
      <c r="D4706">
        <v>1</v>
      </c>
      <c r="E4706" t="s">
        <v>5101</v>
      </c>
      <c r="G4706" s="3"/>
      <c r="H4706" s="3">
        <v>0</v>
      </c>
      <c r="I4706" s="3">
        <v>0</v>
      </c>
      <c r="J4706" s="3">
        <v>0</v>
      </c>
      <c r="K4706" s="3">
        <v>0</v>
      </c>
      <c r="L4706" s="3">
        <f t="shared" si="200"/>
        <v>0</v>
      </c>
      <c r="M4706" s="3"/>
      <c r="N4706" s="3">
        <f t="shared" si="201"/>
        <v>0</v>
      </c>
      <c r="R4706" s="89"/>
      <c r="S4706" s="89">
        <f>100%-Table34[[#This Row],[PDF_initial fee]]</f>
        <v>1</v>
      </c>
      <c r="T4706" s="89"/>
      <c r="U4706" s="26"/>
      <c r="X4706" s="9"/>
    </row>
    <row r="4707" spans="1:29" hidden="1" x14ac:dyDescent="0.25">
      <c r="A4707">
        <v>843370</v>
      </c>
      <c r="B4707" t="s">
        <v>5102</v>
      </c>
      <c r="C4707" t="s">
        <v>6958</v>
      </c>
      <c r="D4707">
        <v>2</v>
      </c>
      <c r="E4707" t="s">
        <v>5102</v>
      </c>
      <c r="F4707" t="s">
        <v>6958</v>
      </c>
      <c r="G4707" s="3"/>
      <c r="H4707" s="21">
        <v>0</v>
      </c>
      <c r="I4707" s="21">
        <v>0</v>
      </c>
      <c r="J4707" s="21">
        <v>0</v>
      </c>
      <c r="K4707" s="21">
        <v>0</v>
      </c>
      <c r="L4707" s="3">
        <f t="shared" si="200"/>
        <v>0</v>
      </c>
      <c r="M4707" s="3"/>
      <c r="N4707" s="3">
        <f t="shared" si="201"/>
        <v>0</v>
      </c>
      <c r="R4707" s="89"/>
      <c r="S4707" s="89">
        <f>100%-Table34[[#This Row],[PDF_initial fee]]</f>
        <v>1</v>
      </c>
      <c r="T4707" s="89"/>
      <c r="U4707" s="26"/>
      <c r="X4707" s="9"/>
    </row>
    <row r="4708" spans="1:29" hidden="1" x14ac:dyDescent="0.25">
      <c r="A4708">
        <v>843450</v>
      </c>
      <c r="B4708" t="s">
        <v>5104</v>
      </c>
      <c r="C4708" t="s">
        <v>8802</v>
      </c>
      <c r="D4708">
        <v>11</v>
      </c>
      <c r="E4708" t="s">
        <v>5104</v>
      </c>
      <c r="G4708" s="3"/>
      <c r="L4708" s="3">
        <f t="shared" si="200"/>
        <v>0</v>
      </c>
      <c r="M4708" s="3"/>
      <c r="N4708" s="3">
        <f t="shared" si="201"/>
        <v>0</v>
      </c>
      <c r="R4708" s="89"/>
      <c r="S4708" s="89">
        <f>100%-Table34[[#This Row],[PDF_initial fee]]</f>
        <v>1</v>
      </c>
      <c r="T4708" s="89"/>
      <c r="U4708" s="26"/>
      <c r="X4708" s="9"/>
    </row>
    <row r="4709" spans="1:29" hidden="1" x14ac:dyDescent="0.25">
      <c r="A4709">
        <v>843556</v>
      </c>
      <c r="B4709" t="s">
        <v>5105</v>
      </c>
      <c r="C4709" t="s">
        <v>7480</v>
      </c>
      <c r="D4709">
        <v>2</v>
      </c>
      <c r="E4709" t="s">
        <v>5105</v>
      </c>
      <c r="G4709" s="3"/>
      <c r="H4709" s="21">
        <v>0</v>
      </c>
      <c r="I4709" s="21">
        <v>0</v>
      </c>
      <c r="J4709" s="21">
        <v>0</v>
      </c>
      <c r="K4709" s="21">
        <v>0</v>
      </c>
      <c r="L4709" s="3">
        <f t="shared" si="200"/>
        <v>0</v>
      </c>
      <c r="M4709" s="3"/>
      <c r="N4709" s="3">
        <f t="shared" si="201"/>
        <v>0</v>
      </c>
      <c r="R4709" s="89"/>
      <c r="S4709" s="89">
        <f>100%-Table34[[#This Row],[PDF_initial fee]]</f>
        <v>1</v>
      </c>
      <c r="T4709" s="89"/>
      <c r="U4709" s="26"/>
      <c r="X4709" s="9"/>
    </row>
    <row r="4710" spans="1:29" hidden="1" x14ac:dyDescent="0.25">
      <c r="A4710">
        <v>843625</v>
      </c>
      <c r="B4710" t="s">
        <v>5106</v>
      </c>
      <c r="C4710" t="s">
        <v>6958</v>
      </c>
      <c r="D4710">
        <v>4</v>
      </c>
      <c r="E4710" t="s">
        <v>5106</v>
      </c>
      <c r="F4710" t="s">
        <v>6958</v>
      </c>
      <c r="G4710" s="3"/>
      <c r="H4710" s="21">
        <v>0</v>
      </c>
      <c r="I4710" s="21">
        <v>0</v>
      </c>
      <c r="J4710" s="21">
        <v>0</v>
      </c>
      <c r="K4710" s="21">
        <v>0</v>
      </c>
      <c r="L4710" s="3">
        <f t="shared" si="200"/>
        <v>0</v>
      </c>
      <c r="M4710" s="3"/>
      <c r="N4710" s="3">
        <f t="shared" si="201"/>
        <v>0</v>
      </c>
      <c r="R4710" s="89"/>
      <c r="S4710" s="89">
        <f>100%-Table34[[#This Row],[PDF_initial fee]]</f>
        <v>1</v>
      </c>
      <c r="T4710" s="89"/>
      <c r="U4710" s="26"/>
      <c r="X4710" s="9"/>
    </row>
    <row r="4711" spans="1:29" hidden="1" x14ac:dyDescent="0.25">
      <c r="A4711">
        <v>843990</v>
      </c>
      <c r="B4711" t="s">
        <v>5108</v>
      </c>
      <c r="C4711" t="s">
        <v>31192</v>
      </c>
      <c r="D4711">
        <v>2</v>
      </c>
      <c r="E4711" t="s">
        <v>5108</v>
      </c>
      <c r="G4711" s="3"/>
      <c r="H4711" s="3">
        <v>0</v>
      </c>
      <c r="I4711" s="3">
        <v>0</v>
      </c>
      <c r="J4711" s="3">
        <v>0</v>
      </c>
      <c r="K4711" s="3">
        <v>0</v>
      </c>
      <c r="L4711" s="3">
        <f t="shared" si="200"/>
        <v>0</v>
      </c>
      <c r="M4711" s="3"/>
      <c r="N4711" s="3">
        <f t="shared" si="201"/>
        <v>0</v>
      </c>
      <c r="R4711" s="89"/>
      <c r="S4711" s="89">
        <f>100%-Table34[[#This Row],[PDF_initial fee]]</f>
        <v>1</v>
      </c>
      <c r="T4711" s="89"/>
      <c r="U4711" s="26"/>
      <c r="X4711" s="9"/>
    </row>
    <row r="4712" spans="1:29" hidden="1" x14ac:dyDescent="0.25">
      <c r="A4712">
        <v>844011</v>
      </c>
      <c r="B4712" t="s">
        <v>5109</v>
      </c>
      <c r="C4712" t="s">
        <v>31193</v>
      </c>
      <c r="D4712">
        <v>2</v>
      </c>
      <c r="E4712" t="s">
        <v>5109</v>
      </c>
      <c r="G4712" s="3"/>
      <c r="H4712" s="3">
        <v>0</v>
      </c>
      <c r="I4712" s="3">
        <v>0</v>
      </c>
      <c r="J4712" s="3">
        <v>0</v>
      </c>
      <c r="K4712" s="3">
        <v>0</v>
      </c>
      <c r="L4712" s="3">
        <f t="shared" si="200"/>
        <v>0</v>
      </c>
      <c r="M4712" s="3"/>
      <c r="N4712" s="3">
        <f t="shared" si="201"/>
        <v>0</v>
      </c>
      <c r="R4712" s="89"/>
      <c r="S4712" s="89">
        <f>100%-Table34[[#This Row],[PDF_initial fee]]</f>
        <v>1</v>
      </c>
      <c r="T4712" s="89"/>
      <c r="U4712" s="26"/>
      <c r="X4712" s="9"/>
    </row>
    <row r="4713" spans="1:29" hidden="1" x14ac:dyDescent="0.25">
      <c r="A4713">
        <v>844153</v>
      </c>
      <c r="B4713" t="s">
        <v>5110</v>
      </c>
      <c r="C4713" t="s">
        <v>8972</v>
      </c>
      <c r="D4713">
        <v>6</v>
      </c>
      <c r="E4713" t="s">
        <v>5110</v>
      </c>
      <c r="G4713" s="3"/>
      <c r="H4713" s="21">
        <v>0</v>
      </c>
      <c r="I4713" s="21">
        <v>0</v>
      </c>
      <c r="J4713" s="21">
        <v>0</v>
      </c>
      <c r="K4713" s="21">
        <v>0</v>
      </c>
      <c r="L4713" s="3">
        <f t="shared" si="200"/>
        <v>0</v>
      </c>
      <c r="M4713" s="3"/>
      <c r="N4713" s="3">
        <f t="shared" si="201"/>
        <v>0</v>
      </c>
      <c r="R4713" s="89"/>
      <c r="S4713" s="89">
        <f>100%-Table34[[#This Row],[PDF_initial fee]]</f>
        <v>1</v>
      </c>
      <c r="T4713" s="89"/>
      <c r="U4713" s="26"/>
      <c r="X4713" s="9"/>
    </row>
    <row r="4714" spans="1:29" hidden="1" x14ac:dyDescent="0.25">
      <c r="A4714">
        <v>844194</v>
      </c>
      <c r="B4714" t="s">
        <v>5111</v>
      </c>
      <c r="C4714" t="s">
        <v>7609</v>
      </c>
      <c r="D4714">
        <v>5</v>
      </c>
      <c r="E4714" t="s">
        <v>5111</v>
      </c>
      <c r="G4714" s="3"/>
      <c r="H4714" s="21">
        <v>0</v>
      </c>
      <c r="I4714" s="21">
        <v>0</v>
      </c>
      <c r="J4714" s="21">
        <v>0</v>
      </c>
      <c r="K4714" s="21">
        <v>0</v>
      </c>
      <c r="L4714" s="3">
        <f t="shared" si="200"/>
        <v>0</v>
      </c>
      <c r="M4714" s="3"/>
      <c r="N4714" s="3">
        <f t="shared" si="201"/>
        <v>0</v>
      </c>
      <c r="R4714" s="89"/>
      <c r="S4714" s="89">
        <f>100%-Table34[[#This Row],[PDF_initial fee]]</f>
        <v>1</v>
      </c>
      <c r="T4714" s="89"/>
      <c r="U4714" s="26"/>
      <c r="X4714" s="9"/>
    </row>
    <row r="4715" spans="1:29" hidden="1" x14ac:dyDescent="0.25">
      <c r="A4715">
        <v>844313</v>
      </c>
      <c r="B4715" t="s">
        <v>5112</v>
      </c>
      <c r="C4715" t="s">
        <v>31194</v>
      </c>
      <c r="D4715">
        <v>6</v>
      </c>
      <c r="E4715" t="s">
        <v>5112</v>
      </c>
      <c r="G4715" s="3"/>
      <c r="H4715" s="3">
        <v>0</v>
      </c>
      <c r="I4715" s="3">
        <v>0</v>
      </c>
      <c r="J4715" s="3">
        <v>0</v>
      </c>
      <c r="K4715" s="3">
        <v>0</v>
      </c>
      <c r="L4715" s="3">
        <f t="shared" si="200"/>
        <v>0</v>
      </c>
      <c r="M4715" s="3"/>
      <c r="N4715" s="3">
        <f t="shared" si="201"/>
        <v>0</v>
      </c>
      <c r="R4715" s="89"/>
      <c r="S4715" s="89">
        <f>100%-Table34[[#This Row],[PDF_initial fee]]</f>
        <v>1</v>
      </c>
      <c r="T4715" s="89"/>
      <c r="U4715" s="26"/>
      <c r="X4715" s="9"/>
    </row>
    <row r="4716" spans="1:29" hidden="1" x14ac:dyDescent="0.25">
      <c r="A4716">
        <v>844316</v>
      </c>
      <c r="B4716" t="s">
        <v>5113</v>
      </c>
      <c r="C4716" t="s">
        <v>6958</v>
      </c>
      <c r="D4716">
        <v>3</v>
      </c>
      <c r="E4716" t="s">
        <v>5113</v>
      </c>
      <c r="F4716" t="s">
        <v>6958</v>
      </c>
      <c r="G4716" s="3"/>
      <c r="H4716" s="21">
        <v>0</v>
      </c>
      <c r="I4716" s="21">
        <v>0</v>
      </c>
      <c r="J4716" s="21">
        <v>0</v>
      </c>
      <c r="K4716" s="21">
        <v>0</v>
      </c>
      <c r="L4716" s="3">
        <f t="shared" si="200"/>
        <v>0</v>
      </c>
      <c r="M4716" s="3"/>
      <c r="N4716" s="3">
        <f t="shared" si="201"/>
        <v>0</v>
      </c>
      <c r="R4716" s="89"/>
      <c r="S4716" s="89">
        <f>100%-Table34[[#This Row],[PDF_initial fee]]</f>
        <v>1</v>
      </c>
      <c r="T4716" s="89"/>
      <c r="U4716" s="26"/>
      <c r="X4716" s="9"/>
    </row>
    <row r="4717" spans="1:29" hidden="1" x14ac:dyDescent="0.25">
      <c r="A4717">
        <v>844345</v>
      </c>
      <c r="B4717" t="s">
        <v>5114</v>
      </c>
      <c r="C4717" t="s">
        <v>9234</v>
      </c>
      <c r="D4717">
        <v>2</v>
      </c>
      <c r="E4717" t="s">
        <v>5114</v>
      </c>
      <c r="G4717" s="3"/>
      <c r="H4717" s="21">
        <v>0</v>
      </c>
      <c r="I4717" s="21">
        <v>0</v>
      </c>
      <c r="J4717" s="21">
        <v>0</v>
      </c>
      <c r="K4717" s="21">
        <v>0</v>
      </c>
      <c r="L4717" s="3">
        <f t="shared" si="200"/>
        <v>0</v>
      </c>
      <c r="M4717" s="3"/>
      <c r="N4717" s="3">
        <f t="shared" si="201"/>
        <v>0</v>
      </c>
      <c r="R4717" s="89"/>
      <c r="S4717" s="89">
        <f>100%-Table34[[#This Row],[PDF_initial fee]]</f>
        <v>1</v>
      </c>
      <c r="T4717" s="89"/>
      <c r="U4717" s="26"/>
      <c r="X4717" s="9"/>
    </row>
    <row r="4718" spans="1:29" hidden="1" x14ac:dyDescent="0.25">
      <c r="A4718">
        <v>844368</v>
      </c>
      <c r="B4718" t="s">
        <v>5115</v>
      </c>
      <c r="C4718" t="s">
        <v>6958</v>
      </c>
      <c r="D4718">
        <v>1</v>
      </c>
      <c r="E4718" t="s">
        <v>5115</v>
      </c>
      <c r="F4718" t="s">
        <v>6958</v>
      </c>
      <c r="G4718" s="3"/>
      <c r="H4718" s="21">
        <v>0</v>
      </c>
      <c r="I4718" s="21">
        <v>0</v>
      </c>
      <c r="J4718" s="21">
        <v>0</v>
      </c>
      <c r="K4718" s="21">
        <v>0</v>
      </c>
      <c r="L4718" s="3">
        <f t="shared" si="200"/>
        <v>0</v>
      </c>
      <c r="M4718" s="3"/>
      <c r="N4718" s="3">
        <f t="shared" si="201"/>
        <v>0</v>
      </c>
      <c r="R4718" s="89"/>
      <c r="S4718" s="89">
        <f>100%-Table34[[#This Row],[PDF_initial fee]]</f>
        <v>1</v>
      </c>
      <c r="T4718" s="89"/>
      <c r="U4718" s="26"/>
      <c r="X4718" s="9"/>
    </row>
    <row r="4719" spans="1:29" x14ac:dyDescent="0.25">
      <c r="A4719">
        <v>121328</v>
      </c>
      <c r="B4719" t="s">
        <v>21</v>
      </c>
      <c r="C4719" s="1" t="s">
        <v>31195</v>
      </c>
      <c r="D4719">
        <v>1</v>
      </c>
      <c r="E4719" t="s">
        <v>21</v>
      </c>
      <c r="F4719" t="s">
        <v>6</v>
      </c>
      <c r="G4719" s="3">
        <v>5.4999999999999997E-3</v>
      </c>
      <c r="H4719" s="3">
        <v>1.4999999999999999E-2</v>
      </c>
      <c r="I4719">
        <v>0</v>
      </c>
      <c r="J4719" s="6"/>
      <c r="K4719" s="6"/>
      <c r="L4719" s="3">
        <f t="shared" si="200"/>
        <v>1.4999999999999999E-2</v>
      </c>
      <c r="M4719" s="3"/>
      <c r="N4719" s="3">
        <f t="shared" si="201"/>
        <v>2.0499999999999997E-2</v>
      </c>
      <c r="O4719" t="s">
        <v>31196</v>
      </c>
      <c r="P4719" s="1" t="s">
        <v>31197</v>
      </c>
      <c r="Q4719" s="1" t="s">
        <v>31198</v>
      </c>
      <c r="R4719" s="89">
        <v>0.308</v>
      </c>
      <c r="S4719" s="89">
        <f>100%-Table34[[#This Row],[InitialFee]]</f>
        <v>0.98499999999999999</v>
      </c>
      <c r="T4719" s="89">
        <f>(1-Table34[[#This Row],[OngoingFee (plus Platform fee)]])^5</f>
        <v>1</v>
      </c>
      <c r="U4719" s="26">
        <f>(1+Table34[[#This Row],[Net 5yrs return (mostly up to 28th of Feb 2026)]])*Table34[[#This Row],[Investment after initial charge]]*Table34[[#This Row],[Cummulative 5yrs ongoing advice charge]]-1</f>
        <v>0.28838000000000008</v>
      </c>
      <c r="V4719" s="10">
        <v>13783347</v>
      </c>
      <c r="W4719" t="s">
        <v>29051</v>
      </c>
      <c r="X4719" s="10">
        <v>12066814</v>
      </c>
      <c r="Y4719" s="30">
        <f>X4719/V4719</f>
        <v>0.87546326737620406</v>
      </c>
      <c r="AA4719" s="1" t="s">
        <v>31199</v>
      </c>
      <c r="AC4719" t="s">
        <v>30655</v>
      </c>
    </row>
    <row r="4720" spans="1:29" hidden="1" x14ac:dyDescent="0.25">
      <c r="A4720">
        <v>844501</v>
      </c>
      <c r="B4720" t="s">
        <v>5116</v>
      </c>
      <c r="C4720" t="s">
        <v>10836</v>
      </c>
      <c r="D4720">
        <v>2</v>
      </c>
      <c r="E4720" t="s">
        <v>5116</v>
      </c>
      <c r="G4720" s="3"/>
      <c r="H4720" s="3">
        <v>0</v>
      </c>
      <c r="I4720" s="3">
        <v>0</v>
      </c>
      <c r="J4720" s="3">
        <v>0</v>
      </c>
      <c r="K4720" s="3">
        <v>0</v>
      </c>
      <c r="L4720" s="3">
        <f t="shared" si="200"/>
        <v>0</v>
      </c>
      <c r="M4720" s="3"/>
      <c r="N4720" s="3">
        <f t="shared" si="201"/>
        <v>0</v>
      </c>
      <c r="R4720" s="89"/>
      <c r="S4720" s="89">
        <f>100%-Table34[[#This Row],[PDF_initial fee]]</f>
        <v>1</v>
      </c>
      <c r="T4720" s="89"/>
      <c r="U4720" s="26"/>
      <c r="X4720" s="9"/>
    </row>
    <row r="4721" spans="1:24" hidden="1" x14ac:dyDescent="0.25">
      <c r="A4721">
        <v>844546</v>
      </c>
      <c r="B4721" t="s">
        <v>5117</v>
      </c>
      <c r="C4721" t="s">
        <v>31200</v>
      </c>
      <c r="D4721">
        <v>2</v>
      </c>
      <c r="E4721" t="s">
        <v>5117</v>
      </c>
      <c r="G4721" s="3"/>
      <c r="H4721" s="3">
        <v>0</v>
      </c>
      <c r="I4721" s="3">
        <v>0</v>
      </c>
      <c r="J4721" s="3">
        <v>0</v>
      </c>
      <c r="K4721" s="3">
        <v>0</v>
      </c>
      <c r="L4721" s="3">
        <f t="shared" si="200"/>
        <v>0</v>
      </c>
      <c r="M4721" s="3"/>
      <c r="N4721" s="3">
        <f t="shared" si="201"/>
        <v>0</v>
      </c>
      <c r="R4721" s="89"/>
      <c r="S4721" s="89">
        <f>100%-Table34[[#This Row],[PDF_initial fee]]</f>
        <v>1</v>
      </c>
      <c r="T4721" s="89"/>
      <c r="U4721" s="26"/>
      <c r="X4721" s="9"/>
    </row>
    <row r="4722" spans="1:24" hidden="1" x14ac:dyDescent="0.25">
      <c r="A4722">
        <v>844756</v>
      </c>
      <c r="B4722" t="s">
        <v>5118</v>
      </c>
      <c r="C4722" t="s">
        <v>6958</v>
      </c>
      <c r="D4722">
        <v>1</v>
      </c>
      <c r="E4722" t="s">
        <v>5118</v>
      </c>
      <c r="F4722" t="s">
        <v>6958</v>
      </c>
      <c r="G4722" s="3"/>
      <c r="H4722" s="21">
        <v>0</v>
      </c>
      <c r="I4722" s="21">
        <v>0</v>
      </c>
      <c r="J4722" s="21">
        <v>0</v>
      </c>
      <c r="K4722" s="21">
        <v>0</v>
      </c>
      <c r="L4722" s="3">
        <f t="shared" ref="L4722:L4785" si="202">SUM(H4722:K4722)</f>
        <v>0</v>
      </c>
      <c r="M4722" s="3"/>
      <c r="N4722" s="3">
        <f t="shared" ref="N4722:N4785" si="203">L4722+G4722</f>
        <v>0</v>
      </c>
      <c r="R4722" s="89"/>
      <c r="S4722" s="89">
        <f>100%-Table34[[#This Row],[PDF_initial fee]]</f>
        <v>1</v>
      </c>
      <c r="T4722" s="89"/>
      <c r="U4722" s="26"/>
      <c r="X4722" s="9"/>
    </row>
    <row r="4723" spans="1:24" hidden="1" x14ac:dyDescent="0.25">
      <c r="A4723">
        <v>844878</v>
      </c>
      <c r="B4723" t="s">
        <v>5119</v>
      </c>
      <c r="C4723" t="s">
        <v>10251</v>
      </c>
      <c r="D4723">
        <v>2</v>
      </c>
      <c r="E4723" t="s">
        <v>5119</v>
      </c>
      <c r="G4723" s="3"/>
      <c r="H4723" s="3">
        <v>0</v>
      </c>
      <c r="I4723" s="3">
        <v>0</v>
      </c>
      <c r="J4723" s="3">
        <v>0</v>
      </c>
      <c r="K4723" s="3">
        <v>0</v>
      </c>
      <c r="L4723" s="3">
        <f t="shared" si="202"/>
        <v>0</v>
      </c>
      <c r="M4723" s="3"/>
      <c r="N4723" s="3">
        <f t="shared" si="203"/>
        <v>0</v>
      </c>
      <c r="R4723" s="89"/>
      <c r="S4723" s="89">
        <f>100%-Table34[[#This Row],[PDF_initial fee]]</f>
        <v>1</v>
      </c>
      <c r="T4723" s="89"/>
      <c r="U4723" s="26"/>
      <c r="X4723" s="9"/>
    </row>
    <row r="4724" spans="1:24" hidden="1" x14ac:dyDescent="0.25">
      <c r="A4724">
        <v>844879</v>
      </c>
      <c r="B4724" t="s">
        <v>5120</v>
      </c>
      <c r="C4724" t="s">
        <v>6958</v>
      </c>
      <c r="D4724">
        <v>2</v>
      </c>
      <c r="E4724" t="s">
        <v>5120</v>
      </c>
      <c r="F4724" t="s">
        <v>6958</v>
      </c>
      <c r="G4724" s="3"/>
      <c r="H4724" s="21">
        <v>0</v>
      </c>
      <c r="I4724" s="21">
        <v>0</v>
      </c>
      <c r="J4724" s="21">
        <v>0</v>
      </c>
      <c r="K4724" s="21">
        <v>0</v>
      </c>
      <c r="L4724" s="3">
        <f t="shared" si="202"/>
        <v>0</v>
      </c>
      <c r="M4724" s="3"/>
      <c r="N4724" s="3">
        <f t="shared" si="203"/>
        <v>0</v>
      </c>
      <c r="R4724" s="89"/>
      <c r="S4724" s="89">
        <f>100%-Table34[[#This Row],[PDF_initial fee]]</f>
        <v>1</v>
      </c>
      <c r="T4724" s="89"/>
      <c r="U4724" s="26"/>
      <c r="X4724" s="9"/>
    </row>
    <row r="4725" spans="1:24" hidden="1" x14ac:dyDescent="0.25">
      <c r="A4725">
        <v>844892</v>
      </c>
      <c r="B4725" t="s">
        <v>5121</v>
      </c>
      <c r="C4725" t="s">
        <v>9551</v>
      </c>
      <c r="D4725">
        <v>1</v>
      </c>
      <c r="E4725" t="s">
        <v>5121</v>
      </c>
      <c r="G4725" s="3"/>
      <c r="H4725" s="3"/>
      <c r="I4725" s="3"/>
      <c r="J4725" s="3"/>
      <c r="K4725" s="3"/>
      <c r="L4725" s="3">
        <f t="shared" si="202"/>
        <v>0</v>
      </c>
      <c r="M4725" s="3"/>
      <c r="N4725" s="3">
        <f t="shared" si="203"/>
        <v>0</v>
      </c>
      <c r="R4725" s="89"/>
      <c r="S4725" s="89">
        <f>100%-Table34[[#This Row],[PDF_initial fee]]</f>
        <v>1</v>
      </c>
      <c r="T4725" s="89"/>
      <c r="U4725" s="26"/>
      <c r="X4725" s="9"/>
    </row>
    <row r="4726" spans="1:24" hidden="1" x14ac:dyDescent="0.25">
      <c r="A4726">
        <v>844903</v>
      </c>
      <c r="B4726" t="s">
        <v>5122</v>
      </c>
      <c r="C4726" t="s">
        <v>10780</v>
      </c>
      <c r="D4726">
        <v>1</v>
      </c>
      <c r="E4726" t="s">
        <v>5122</v>
      </c>
      <c r="G4726" s="3"/>
      <c r="H4726" s="3">
        <v>0</v>
      </c>
      <c r="I4726" s="3">
        <v>0</v>
      </c>
      <c r="J4726" s="3">
        <v>0</v>
      </c>
      <c r="K4726" s="3">
        <v>0</v>
      </c>
      <c r="L4726" s="3">
        <f t="shared" si="202"/>
        <v>0</v>
      </c>
      <c r="M4726" s="3"/>
      <c r="N4726" s="3">
        <f t="shared" si="203"/>
        <v>0</v>
      </c>
      <c r="R4726" s="89"/>
      <c r="S4726" s="89">
        <f>100%-Table34[[#This Row],[PDF_initial fee]]</f>
        <v>1</v>
      </c>
      <c r="T4726" s="89"/>
      <c r="U4726" s="26"/>
      <c r="X4726" s="9"/>
    </row>
    <row r="4727" spans="1:24" hidden="1" x14ac:dyDescent="0.25">
      <c r="A4727">
        <v>844964</v>
      </c>
      <c r="B4727" t="s">
        <v>5123</v>
      </c>
      <c r="C4727" t="s">
        <v>8310</v>
      </c>
      <c r="D4727">
        <v>1</v>
      </c>
      <c r="E4727" t="s">
        <v>5123</v>
      </c>
      <c r="G4727" s="3"/>
      <c r="H4727" s="21">
        <v>0</v>
      </c>
      <c r="I4727" s="21">
        <v>0</v>
      </c>
      <c r="J4727" s="21">
        <v>0</v>
      </c>
      <c r="K4727" s="21">
        <v>0</v>
      </c>
      <c r="L4727" s="3">
        <f t="shared" si="202"/>
        <v>0</v>
      </c>
      <c r="M4727" s="3"/>
      <c r="N4727" s="3">
        <f t="shared" si="203"/>
        <v>0</v>
      </c>
      <c r="R4727" s="89"/>
      <c r="S4727" s="89">
        <f>100%-Table34[[#This Row],[PDF_initial fee]]</f>
        <v>1</v>
      </c>
      <c r="T4727" s="89"/>
      <c r="U4727" s="26"/>
      <c r="X4727" s="9"/>
    </row>
    <row r="4728" spans="1:24" hidden="1" x14ac:dyDescent="0.25">
      <c r="A4728">
        <v>845012</v>
      </c>
      <c r="B4728" t="s">
        <v>5124</v>
      </c>
      <c r="C4728" t="s">
        <v>6958</v>
      </c>
      <c r="D4728">
        <v>1</v>
      </c>
      <c r="E4728" t="s">
        <v>5124</v>
      </c>
      <c r="F4728" t="s">
        <v>6958</v>
      </c>
      <c r="G4728" s="3"/>
      <c r="L4728" s="3">
        <f t="shared" si="202"/>
        <v>0</v>
      </c>
      <c r="M4728" s="3"/>
      <c r="N4728" s="3">
        <f t="shared" si="203"/>
        <v>0</v>
      </c>
      <c r="R4728" s="89"/>
      <c r="S4728" s="89">
        <f>100%-Table34[[#This Row],[PDF_initial fee]]</f>
        <v>1</v>
      </c>
      <c r="T4728" s="89"/>
      <c r="U4728" s="26"/>
      <c r="X4728" s="9"/>
    </row>
    <row r="4729" spans="1:24" hidden="1" x14ac:dyDescent="0.25">
      <c r="A4729">
        <v>845091</v>
      </c>
      <c r="B4729" t="s">
        <v>5125</v>
      </c>
      <c r="C4729" t="s">
        <v>31201</v>
      </c>
      <c r="D4729">
        <v>2</v>
      </c>
      <c r="E4729" t="s">
        <v>5125</v>
      </c>
      <c r="G4729" s="3"/>
      <c r="H4729" s="3">
        <v>0</v>
      </c>
      <c r="I4729" s="3">
        <v>0</v>
      </c>
      <c r="J4729" s="3">
        <v>0</v>
      </c>
      <c r="K4729" s="3">
        <v>0</v>
      </c>
      <c r="L4729" s="3">
        <f t="shared" si="202"/>
        <v>0</v>
      </c>
      <c r="M4729" s="3"/>
      <c r="N4729" s="3">
        <f t="shared" si="203"/>
        <v>0</v>
      </c>
      <c r="R4729" s="89"/>
      <c r="S4729" s="89">
        <f>100%-Table34[[#This Row],[PDF_initial fee]]</f>
        <v>1</v>
      </c>
      <c r="T4729" s="89"/>
      <c r="U4729" s="26"/>
      <c r="X4729" s="9"/>
    </row>
    <row r="4730" spans="1:24" hidden="1" x14ac:dyDescent="0.25">
      <c r="A4730">
        <v>845117</v>
      </c>
      <c r="B4730" t="s">
        <v>5126</v>
      </c>
      <c r="C4730" t="s">
        <v>8036</v>
      </c>
      <c r="D4730">
        <v>1</v>
      </c>
      <c r="E4730" t="s">
        <v>5126</v>
      </c>
      <c r="G4730" s="3"/>
      <c r="H4730" s="21">
        <v>0</v>
      </c>
      <c r="I4730" s="21">
        <v>0</v>
      </c>
      <c r="J4730" s="21">
        <v>0</v>
      </c>
      <c r="K4730" s="21">
        <v>0</v>
      </c>
      <c r="L4730" s="3">
        <f t="shared" si="202"/>
        <v>0</v>
      </c>
      <c r="M4730" s="3"/>
      <c r="N4730" s="3">
        <f t="shared" si="203"/>
        <v>0</v>
      </c>
      <c r="R4730" s="89"/>
      <c r="S4730" s="89">
        <f>100%-Table34[[#This Row],[PDF_initial fee]]</f>
        <v>1</v>
      </c>
      <c r="T4730" s="89"/>
      <c r="U4730" s="26"/>
      <c r="X4730" s="9"/>
    </row>
    <row r="4731" spans="1:24" hidden="1" x14ac:dyDescent="0.25">
      <c r="A4731">
        <v>845232</v>
      </c>
      <c r="B4731" t="s">
        <v>5127</v>
      </c>
      <c r="C4731" t="s">
        <v>31202</v>
      </c>
      <c r="D4731">
        <v>2</v>
      </c>
      <c r="E4731" t="s">
        <v>5127</v>
      </c>
      <c r="G4731" s="3"/>
      <c r="H4731" s="3">
        <v>0</v>
      </c>
      <c r="I4731" s="3">
        <v>0</v>
      </c>
      <c r="J4731" s="3">
        <v>0</v>
      </c>
      <c r="K4731" s="3">
        <v>0</v>
      </c>
      <c r="L4731" s="3">
        <f t="shared" si="202"/>
        <v>0</v>
      </c>
      <c r="M4731" s="3"/>
      <c r="N4731" s="3">
        <f t="shared" si="203"/>
        <v>0</v>
      </c>
      <c r="R4731" s="89"/>
      <c r="S4731" s="89">
        <f>100%-Table34[[#This Row],[PDF_initial fee]]</f>
        <v>1</v>
      </c>
      <c r="T4731" s="89"/>
      <c r="U4731" s="26"/>
      <c r="X4731" s="9"/>
    </row>
    <row r="4732" spans="1:24" hidden="1" x14ac:dyDescent="0.25">
      <c r="A4732">
        <v>845274</v>
      </c>
      <c r="B4732" t="s">
        <v>5128</v>
      </c>
      <c r="C4732" t="s">
        <v>12000</v>
      </c>
      <c r="D4732">
        <v>5</v>
      </c>
      <c r="E4732" t="s">
        <v>5128</v>
      </c>
      <c r="G4732" s="3"/>
      <c r="H4732" s="3">
        <v>0</v>
      </c>
      <c r="I4732" s="3">
        <v>0</v>
      </c>
      <c r="J4732" s="3">
        <v>0</v>
      </c>
      <c r="K4732" s="3">
        <v>0</v>
      </c>
      <c r="L4732" s="3">
        <f t="shared" si="202"/>
        <v>0</v>
      </c>
      <c r="M4732" s="3"/>
      <c r="N4732" s="3">
        <f t="shared" si="203"/>
        <v>0</v>
      </c>
      <c r="R4732" s="89"/>
      <c r="S4732" s="89">
        <f>100%-Table34[[#This Row],[PDF_initial fee]]</f>
        <v>1</v>
      </c>
      <c r="T4732" s="89"/>
      <c r="U4732" s="26"/>
      <c r="X4732" s="9"/>
    </row>
    <row r="4733" spans="1:24" hidden="1" x14ac:dyDescent="0.25">
      <c r="A4733">
        <v>845508</v>
      </c>
      <c r="B4733" t="s">
        <v>5129</v>
      </c>
      <c r="C4733" t="s">
        <v>6958</v>
      </c>
      <c r="D4733">
        <v>1</v>
      </c>
      <c r="E4733" t="s">
        <v>5129</v>
      </c>
      <c r="F4733" t="s">
        <v>6958</v>
      </c>
      <c r="G4733" s="3"/>
      <c r="H4733" s="21">
        <v>0</v>
      </c>
      <c r="I4733" s="21">
        <v>0</v>
      </c>
      <c r="J4733" s="21">
        <v>0</v>
      </c>
      <c r="K4733" s="21">
        <v>0</v>
      </c>
      <c r="L4733" s="3">
        <f t="shared" si="202"/>
        <v>0</v>
      </c>
      <c r="M4733" s="3"/>
      <c r="N4733" s="3">
        <f t="shared" si="203"/>
        <v>0</v>
      </c>
      <c r="R4733" s="89"/>
      <c r="S4733" s="89">
        <f>100%-Table34[[#This Row],[PDF_initial fee]]</f>
        <v>1</v>
      </c>
      <c r="T4733" s="89"/>
      <c r="U4733" s="26"/>
      <c r="X4733" s="9"/>
    </row>
    <row r="4734" spans="1:24" hidden="1" x14ac:dyDescent="0.25">
      <c r="A4734">
        <v>845514</v>
      </c>
      <c r="B4734" t="s">
        <v>5130</v>
      </c>
      <c r="C4734" t="s">
        <v>7741</v>
      </c>
      <c r="D4734">
        <v>4</v>
      </c>
      <c r="E4734" t="s">
        <v>5130</v>
      </c>
      <c r="G4734" s="3"/>
      <c r="H4734" s="21">
        <v>0</v>
      </c>
      <c r="I4734" s="21">
        <v>0</v>
      </c>
      <c r="J4734" s="21">
        <v>0</v>
      </c>
      <c r="K4734" s="21">
        <v>0</v>
      </c>
      <c r="L4734" s="3">
        <f t="shared" si="202"/>
        <v>0</v>
      </c>
      <c r="M4734" s="3"/>
      <c r="N4734" s="3">
        <f t="shared" si="203"/>
        <v>0</v>
      </c>
      <c r="R4734" s="89"/>
      <c r="S4734" s="89">
        <f>100%-Table34[[#This Row],[PDF_initial fee]]</f>
        <v>1</v>
      </c>
      <c r="T4734" s="89"/>
      <c r="U4734" s="26"/>
      <c r="X4734" s="9"/>
    </row>
    <row r="4735" spans="1:24" hidden="1" x14ac:dyDescent="0.25">
      <c r="A4735">
        <v>845589</v>
      </c>
      <c r="B4735" t="s">
        <v>5131</v>
      </c>
      <c r="C4735" t="s">
        <v>7888</v>
      </c>
      <c r="D4735">
        <v>1</v>
      </c>
      <c r="E4735" t="s">
        <v>5131</v>
      </c>
      <c r="G4735" s="3"/>
      <c r="H4735" s="21">
        <v>0</v>
      </c>
      <c r="I4735" s="21">
        <v>0</v>
      </c>
      <c r="J4735" s="21">
        <v>0</v>
      </c>
      <c r="K4735" s="21">
        <v>0</v>
      </c>
      <c r="L4735" s="3">
        <f t="shared" si="202"/>
        <v>0</v>
      </c>
      <c r="M4735" s="3"/>
      <c r="N4735" s="3">
        <f t="shared" si="203"/>
        <v>0</v>
      </c>
      <c r="R4735" s="89"/>
      <c r="S4735" s="89">
        <f>100%-Table34[[#This Row],[PDF_initial fee]]</f>
        <v>1</v>
      </c>
      <c r="T4735" s="89"/>
      <c r="U4735" s="26"/>
      <c r="X4735" s="9"/>
    </row>
    <row r="4736" spans="1:24" hidden="1" x14ac:dyDescent="0.25">
      <c r="A4736">
        <v>845638</v>
      </c>
      <c r="B4736" t="s">
        <v>5132</v>
      </c>
      <c r="C4736" t="s">
        <v>31203</v>
      </c>
      <c r="D4736">
        <v>1</v>
      </c>
      <c r="E4736" t="s">
        <v>5132</v>
      </c>
      <c r="G4736" s="3"/>
      <c r="H4736" s="3">
        <v>0</v>
      </c>
      <c r="I4736" s="3">
        <v>0</v>
      </c>
      <c r="J4736" s="3">
        <v>0</v>
      </c>
      <c r="K4736" s="3">
        <v>0</v>
      </c>
      <c r="L4736" s="3">
        <f t="shared" si="202"/>
        <v>0</v>
      </c>
      <c r="M4736" s="3"/>
      <c r="N4736" s="3">
        <f t="shared" si="203"/>
        <v>0</v>
      </c>
      <c r="R4736" s="89"/>
      <c r="S4736" s="89">
        <f>100%-Table34[[#This Row],[PDF_initial fee]]</f>
        <v>1</v>
      </c>
      <c r="T4736" s="89"/>
      <c r="U4736" s="26"/>
      <c r="X4736" s="9"/>
    </row>
    <row r="4737" spans="1:24" hidden="1" x14ac:dyDescent="0.25">
      <c r="A4737">
        <v>845715</v>
      </c>
      <c r="B4737" t="s">
        <v>5133</v>
      </c>
      <c r="C4737" t="s">
        <v>7902</v>
      </c>
      <c r="D4737">
        <v>3</v>
      </c>
      <c r="E4737" t="s">
        <v>5133</v>
      </c>
      <c r="G4737" s="3"/>
      <c r="H4737" s="21">
        <v>0</v>
      </c>
      <c r="I4737" s="21">
        <v>0</v>
      </c>
      <c r="J4737" s="21">
        <v>0</v>
      </c>
      <c r="K4737" s="21">
        <v>0</v>
      </c>
      <c r="L4737" s="3">
        <f t="shared" si="202"/>
        <v>0</v>
      </c>
      <c r="M4737" s="3"/>
      <c r="N4737" s="3">
        <f t="shared" si="203"/>
        <v>0</v>
      </c>
      <c r="R4737" s="89"/>
      <c r="S4737" s="89">
        <f>100%-Table34[[#This Row],[PDF_initial fee]]</f>
        <v>1</v>
      </c>
      <c r="T4737" s="89"/>
      <c r="U4737" s="26"/>
      <c r="X4737" s="9"/>
    </row>
    <row r="4738" spans="1:24" hidden="1" x14ac:dyDescent="0.25">
      <c r="A4738">
        <v>845744</v>
      </c>
      <c r="B4738" t="s">
        <v>5134</v>
      </c>
      <c r="C4738" t="s">
        <v>6958</v>
      </c>
      <c r="D4738">
        <v>1</v>
      </c>
      <c r="E4738" t="s">
        <v>5134</v>
      </c>
      <c r="F4738" t="s">
        <v>6958</v>
      </c>
      <c r="G4738" s="3"/>
      <c r="L4738" s="3">
        <f t="shared" si="202"/>
        <v>0</v>
      </c>
      <c r="M4738" s="3"/>
      <c r="N4738" s="3">
        <f t="shared" si="203"/>
        <v>0</v>
      </c>
      <c r="R4738" s="89"/>
      <c r="S4738" s="89">
        <f>100%-Table34[[#This Row],[PDF_initial fee]]</f>
        <v>1</v>
      </c>
      <c r="T4738" s="89"/>
      <c r="U4738" s="26"/>
      <c r="X4738" s="9"/>
    </row>
    <row r="4739" spans="1:24" hidden="1" x14ac:dyDescent="0.25">
      <c r="A4739">
        <v>846067</v>
      </c>
      <c r="B4739" t="s">
        <v>5135</v>
      </c>
      <c r="C4739" t="s">
        <v>31204</v>
      </c>
      <c r="D4739">
        <v>0</v>
      </c>
      <c r="E4739" t="s">
        <v>5135</v>
      </c>
      <c r="F4739" t="s">
        <v>29136</v>
      </c>
      <c r="G4739" s="3"/>
      <c r="H4739" s="3">
        <v>0</v>
      </c>
      <c r="I4739" s="3">
        <v>0</v>
      </c>
      <c r="J4739" s="3">
        <v>0</v>
      </c>
      <c r="K4739" s="3">
        <v>0</v>
      </c>
      <c r="L4739" s="3">
        <f t="shared" si="202"/>
        <v>0</v>
      </c>
      <c r="M4739" s="3"/>
      <c r="N4739" s="3">
        <f t="shared" si="203"/>
        <v>0</v>
      </c>
      <c r="R4739" s="89"/>
      <c r="S4739" s="89">
        <f>100%-Table34[[#This Row],[PDF_initial fee]]</f>
        <v>1</v>
      </c>
      <c r="T4739" s="89"/>
      <c r="U4739" s="26"/>
      <c r="X4739" s="9"/>
    </row>
    <row r="4740" spans="1:24" hidden="1" x14ac:dyDescent="0.25">
      <c r="A4740">
        <v>846158</v>
      </c>
      <c r="B4740" t="s">
        <v>5136</v>
      </c>
      <c r="C4740" t="s">
        <v>6958</v>
      </c>
      <c r="D4740">
        <v>1</v>
      </c>
      <c r="E4740" t="s">
        <v>5136</v>
      </c>
      <c r="F4740" t="s">
        <v>6958</v>
      </c>
      <c r="G4740" s="3"/>
      <c r="H4740" s="21">
        <v>0</v>
      </c>
      <c r="I4740" s="21">
        <v>0</v>
      </c>
      <c r="J4740" s="21">
        <v>0</v>
      </c>
      <c r="K4740" s="21">
        <v>0</v>
      </c>
      <c r="L4740" s="3">
        <f t="shared" si="202"/>
        <v>0</v>
      </c>
      <c r="M4740" s="3"/>
      <c r="N4740" s="3">
        <f t="shared" si="203"/>
        <v>0</v>
      </c>
      <c r="R4740" s="89"/>
      <c r="S4740" s="89">
        <f>100%-Table34[[#This Row],[PDF_initial fee]]</f>
        <v>1</v>
      </c>
      <c r="T4740" s="89"/>
      <c r="U4740" s="26"/>
      <c r="X4740" s="9"/>
    </row>
    <row r="4741" spans="1:24" hidden="1" x14ac:dyDescent="0.25">
      <c r="A4741">
        <v>846282</v>
      </c>
      <c r="B4741" t="s">
        <v>5137</v>
      </c>
      <c r="C4741" t="s">
        <v>31205</v>
      </c>
      <c r="D4741">
        <v>1</v>
      </c>
      <c r="E4741" t="s">
        <v>5137</v>
      </c>
      <c r="G4741" s="3"/>
      <c r="H4741" s="21">
        <v>0</v>
      </c>
      <c r="I4741" s="21">
        <v>0</v>
      </c>
      <c r="J4741" s="21">
        <v>0</v>
      </c>
      <c r="K4741" s="21">
        <v>0</v>
      </c>
      <c r="L4741" s="3">
        <f t="shared" si="202"/>
        <v>0</v>
      </c>
      <c r="M4741" s="3"/>
      <c r="N4741" s="3">
        <f t="shared" si="203"/>
        <v>0</v>
      </c>
      <c r="O4741" s="21"/>
      <c r="P4741" s="22" t="s">
        <v>31206</v>
      </c>
      <c r="R4741" s="89"/>
      <c r="S4741" s="89">
        <f>100%-Table34[[#This Row],[PDF_initial fee]]</f>
        <v>1</v>
      </c>
      <c r="T4741" s="89"/>
      <c r="U4741" s="26"/>
      <c r="X4741" s="9"/>
    </row>
    <row r="4742" spans="1:24" hidden="1" x14ac:dyDescent="0.25">
      <c r="A4742">
        <v>846348</v>
      </c>
      <c r="B4742" t="s">
        <v>5138</v>
      </c>
      <c r="C4742" t="s">
        <v>8285</v>
      </c>
      <c r="D4742">
        <v>1</v>
      </c>
      <c r="E4742" t="s">
        <v>5138</v>
      </c>
      <c r="G4742" s="3"/>
      <c r="H4742" s="21">
        <v>0</v>
      </c>
      <c r="I4742" s="21">
        <v>0</v>
      </c>
      <c r="J4742" s="21">
        <v>0</v>
      </c>
      <c r="K4742" s="21">
        <v>0</v>
      </c>
      <c r="L4742" s="3">
        <f t="shared" si="202"/>
        <v>0</v>
      </c>
      <c r="M4742" s="3"/>
      <c r="N4742" s="3">
        <f t="shared" si="203"/>
        <v>0</v>
      </c>
      <c r="R4742" s="89"/>
      <c r="S4742" s="89">
        <f>100%-Table34[[#This Row],[PDF_initial fee]]</f>
        <v>1</v>
      </c>
      <c r="T4742" s="89"/>
      <c r="U4742" s="26"/>
      <c r="X4742" s="9"/>
    </row>
    <row r="4743" spans="1:24" hidden="1" x14ac:dyDescent="0.25">
      <c r="A4743">
        <v>846361</v>
      </c>
      <c r="B4743" t="s">
        <v>5139</v>
      </c>
      <c r="C4743" t="s">
        <v>31207</v>
      </c>
      <c r="D4743">
        <v>2</v>
      </c>
      <c r="E4743" t="s">
        <v>5139</v>
      </c>
      <c r="G4743" s="3"/>
      <c r="H4743" s="3">
        <v>0</v>
      </c>
      <c r="I4743" s="3">
        <v>0</v>
      </c>
      <c r="J4743" s="3">
        <v>0</v>
      </c>
      <c r="K4743" s="3">
        <v>0</v>
      </c>
      <c r="L4743" s="3">
        <f t="shared" si="202"/>
        <v>0</v>
      </c>
      <c r="M4743" s="3"/>
      <c r="N4743" s="3">
        <f t="shared" si="203"/>
        <v>0</v>
      </c>
      <c r="R4743" s="89"/>
      <c r="S4743" s="89">
        <f>100%-Table34[[#This Row],[PDF_initial fee]]</f>
        <v>1</v>
      </c>
      <c r="T4743" s="89"/>
      <c r="U4743" s="26"/>
      <c r="X4743" s="9"/>
    </row>
    <row r="4744" spans="1:24" hidden="1" x14ac:dyDescent="0.25">
      <c r="A4744">
        <v>846691</v>
      </c>
      <c r="B4744" t="s">
        <v>5140</v>
      </c>
      <c r="C4744" t="s">
        <v>11902</v>
      </c>
      <c r="D4744">
        <v>2</v>
      </c>
      <c r="E4744" t="s">
        <v>5140</v>
      </c>
      <c r="G4744" s="3"/>
      <c r="H4744" s="3"/>
      <c r="I4744" s="3"/>
      <c r="J4744" s="3"/>
      <c r="K4744" s="3"/>
      <c r="L4744" s="3">
        <f t="shared" si="202"/>
        <v>0</v>
      </c>
      <c r="M4744" s="3"/>
      <c r="N4744" s="3">
        <f t="shared" si="203"/>
        <v>0</v>
      </c>
      <c r="R4744" s="89"/>
      <c r="S4744" s="89">
        <f>100%-Table34[[#This Row],[PDF_initial fee]]</f>
        <v>1</v>
      </c>
      <c r="T4744" s="89"/>
      <c r="U4744" s="26"/>
      <c r="X4744" s="9"/>
    </row>
    <row r="4745" spans="1:24" hidden="1" x14ac:dyDescent="0.25">
      <c r="A4745">
        <v>911599</v>
      </c>
      <c r="B4745" t="s">
        <v>5142</v>
      </c>
      <c r="C4745" t="s">
        <v>12511</v>
      </c>
      <c r="D4745">
        <v>1</v>
      </c>
      <c r="E4745" t="s">
        <v>5142</v>
      </c>
      <c r="G4745" s="3"/>
      <c r="H4745" s="3">
        <v>0</v>
      </c>
      <c r="I4745" s="3">
        <v>0</v>
      </c>
      <c r="J4745" s="3">
        <v>0</v>
      </c>
      <c r="K4745" s="3">
        <v>0</v>
      </c>
      <c r="L4745" s="3">
        <f t="shared" si="202"/>
        <v>0</v>
      </c>
      <c r="M4745" s="3"/>
      <c r="N4745" s="3">
        <f t="shared" si="203"/>
        <v>0</v>
      </c>
      <c r="R4745" s="89"/>
      <c r="S4745" s="89">
        <f>100%-Table34[[#This Row],[PDF_initial fee]]</f>
        <v>1</v>
      </c>
      <c r="T4745" s="89"/>
      <c r="U4745" s="26"/>
      <c r="X4745" s="9"/>
    </row>
    <row r="4746" spans="1:24" hidden="1" x14ac:dyDescent="0.25">
      <c r="A4746">
        <v>911629</v>
      </c>
      <c r="B4746" t="s">
        <v>5143</v>
      </c>
      <c r="C4746" t="s">
        <v>10899</v>
      </c>
      <c r="D4746">
        <v>1</v>
      </c>
      <c r="E4746" t="s">
        <v>5143</v>
      </c>
      <c r="G4746" s="3"/>
      <c r="H4746" s="3">
        <v>0</v>
      </c>
      <c r="I4746" s="3">
        <v>0</v>
      </c>
      <c r="J4746" s="3">
        <v>0</v>
      </c>
      <c r="K4746" s="3">
        <v>0</v>
      </c>
      <c r="L4746" s="3">
        <f t="shared" si="202"/>
        <v>0</v>
      </c>
      <c r="M4746" s="3"/>
      <c r="N4746" s="3">
        <f t="shared" si="203"/>
        <v>0</v>
      </c>
      <c r="R4746" s="89"/>
      <c r="S4746" s="89">
        <f>100%-Table34[[#This Row],[PDF_initial fee]]</f>
        <v>1</v>
      </c>
      <c r="T4746" s="89"/>
      <c r="U4746" s="26"/>
      <c r="X4746" s="9"/>
    </row>
    <row r="4747" spans="1:24" hidden="1" x14ac:dyDescent="0.25">
      <c r="A4747">
        <v>911899</v>
      </c>
      <c r="B4747" t="s">
        <v>5144</v>
      </c>
      <c r="C4747" t="s">
        <v>31208</v>
      </c>
      <c r="D4747">
        <v>5</v>
      </c>
      <c r="E4747" t="s">
        <v>5144</v>
      </c>
      <c r="G4747" s="3"/>
      <c r="H4747" s="3">
        <v>0</v>
      </c>
      <c r="I4747" s="3">
        <v>0</v>
      </c>
      <c r="J4747" s="3">
        <v>0</v>
      </c>
      <c r="K4747" s="3">
        <v>0</v>
      </c>
      <c r="L4747" s="3">
        <f t="shared" si="202"/>
        <v>0</v>
      </c>
      <c r="M4747" s="3"/>
      <c r="N4747" s="3">
        <f t="shared" si="203"/>
        <v>0</v>
      </c>
      <c r="R4747" s="89"/>
      <c r="S4747" s="89">
        <f>100%-Table34[[#This Row],[PDF_initial fee]]</f>
        <v>1</v>
      </c>
      <c r="T4747" s="89"/>
      <c r="U4747" s="26"/>
      <c r="X4747" s="9"/>
    </row>
    <row r="4748" spans="1:24" hidden="1" x14ac:dyDescent="0.25">
      <c r="A4748">
        <v>911947</v>
      </c>
      <c r="B4748" t="s">
        <v>5145</v>
      </c>
      <c r="C4748" t="s">
        <v>31209</v>
      </c>
      <c r="D4748">
        <v>2</v>
      </c>
      <c r="E4748" t="s">
        <v>5145</v>
      </c>
      <c r="G4748" s="3"/>
      <c r="H4748" s="21">
        <v>0</v>
      </c>
      <c r="I4748" s="21">
        <v>0</v>
      </c>
      <c r="J4748" s="21">
        <v>0</v>
      </c>
      <c r="K4748" s="21">
        <v>0</v>
      </c>
      <c r="L4748" s="3">
        <f t="shared" si="202"/>
        <v>0</v>
      </c>
      <c r="M4748" s="3"/>
      <c r="N4748" s="3">
        <f t="shared" si="203"/>
        <v>0</v>
      </c>
      <c r="O4748" s="21"/>
      <c r="R4748" s="89"/>
      <c r="S4748" s="89">
        <f>100%-Table34[[#This Row],[PDF_initial fee]]</f>
        <v>1</v>
      </c>
      <c r="T4748" s="89"/>
      <c r="U4748" s="26"/>
      <c r="X4748" s="9"/>
    </row>
    <row r="4749" spans="1:24" hidden="1" x14ac:dyDescent="0.25">
      <c r="A4749">
        <v>912035</v>
      </c>
      <c r="B4749" t="s">
        <v>5146</v>
      </c>
      <c r="C4749" t="s">
        <v>6958</v>
      </c>
      <c r="D4749">
        <v>1</v>
      </c>
      <c r="E4749" t="s">
        <v>5146</v>
      </c>
      <c r="F4749" t="s">
        <v>6958</v>
      </c>
      <c r="G4749" s="3"/>
      <c r="H4749" s="21">
        <v>0</v>
      </c>
      <c r="I4749" s="21">
        <v>0</v>
      </c>
      <c r="J4749" s="21">
        <v>0</v>
      </c>
      <c r="K4749" s="21">
        <v>0</v>
      </c>
      <c r="L4749" s="3">
        <f t="shared" si="202"/>
        <v>0</v>
      </c>
      <c r="M4749" s="3"/>
      <c r="N4749" s="3">
        <f t="shared" si="203"/>
        <v>0</v>
      </c>
      <c r="R4749" s="89"/>
      <c r="S4749" s="89">
        <f>100%-Table34[[#This Row],[PDF_initial fee]]</f>
        <v>1</v>
      </c>
      <c r="T4749" s="89"/>
      <c r="U4749" s="26"/>
      <c r="X4749" s="9"/>
    </row>
    <row r="4750" spans="1:24" hidden="1" x14ac:dyDescent="0.25">
      <c r="A4750">
        <v>912036</v>
      </c>
      <c r="B4750" t="s">
        <v>5147</v>
      </c>
      <c r="C4750" t="s">
        <v>6958</v>
      </c>
      <c r="D4750">
        <v>4</v>
      </c>
      <c r="E4750" t="s">
        <v>5147</v>
      </c>
      <c r="F4750" t="s">
        <v>6958</v>
      </c>
      <c r="G4750" s="3"/>
      <c r="H4750" s="21">
        <v>0</v>
      </c>
      <c r="I4750" s="21">
        <v>0</v>
      </c>
      <c r="J4750" s="21">
        <v>0</v>
      </c>
      <c r="K4750" s="21">
        <v>0</v>
      </c>
      <c r="L4750" s="3">
        <f t="shared" si="202"/>
        <v>0</v>
      </c>
      <c r="M4750" s="3"/>
      <c r="N4750" s="3">
        <f t="shared" si="203"/>
        <v>0</v>
      </c>
      <c r="R4750" s="89"/>
      <c r="S4750" s="89">
        <f>100%-Table34[[#This Row],[PDF_initial fee]]</f>
        <v>1</v>
      </c>
      <c r="T4750" s="89"/>
      <c r="U4750" s="26"/>
      <c r="X4750" s="9"/>
    </row>
    <row r="4751" spans="1:24" hidden="1" x14ac:dyDescent="0.25">
      <c r="A4751">
        <v>912037</v>
      </c>
      <c r="B4751" t="s">
        <v>5148</v>
      </c>
      <c r="C4751" t="s">
        <v>12067</v>
      </c>
      <c r="D4751">
        <v>1</v>
      </c>
      <c r="E4751" t="s">
        <v>5148</v>
      </c>
      <c r="G4751" s="3"/>
      <c r="H4751" s="3"/>
      <c r="I4751" s="3"/>
      <c r="J4751" s="3"/>
      <c r="K4751" s="3"/>
      <c r="L4751" s="3">
        <f t="shared" si="202"/>
        <v>0</v>
      </c>
      <c r="M4751" s="3"/>
      <c r="N4751" s="3">
        <f t="shared" si="203"/>
        <v>0</v>
      </c>
      <c r="R4751" s="89"/>
      <c r="S4751" s="89">
        <f>100%-Table34[[#This Row],[PDF_initial fee]]</f>
        <v>1</v>
      </c>
      <c r="T4751" s="89"/>
      <c r="U4751" s="26"/>
      <c r="X4751" s="9"/>
    </row>
    <row r="4752" spans="1:24" hidden="1" x14ac:dyDescent="0.25">
      <c r="A4752">
        <v>912049</v>
      </c>
      <c r="B4752" t="s">
        <v>5149</v>
      </c>
      <c r="C4752" t="s">
        <v>6958</v>
      </c>
      <c r="D4752">
        <v>1</v>
      </c>
      <c r="E4752" t="s">
        <v>5149</v>
      </c>
      <c r="F4752" t="s">
        <v>6958</v>
      </c>
      <c r="G4752" s="3"/>
      <c r="H4752" s="21">
        <v>0</v>
      </c>
      <c r="I4752" s="21">
        <v>0</v>
      </c>
      <c r="J4752" s="21">
        <v>0</v>
      </c>
      <c r="K4752" s="21">
        <v>0</v>
      </c>
      <c r="L4752" s="3">
        <f t="shared" si="202"/>
        <v>0</v>
      </c>
      <c r="M4752" s="3"/>
      <c r="N4752" s="3">
        <f t="shared" si="203"/>
        <v>0</v>
      </c>
      <c r="R4752" s="89"/>
      <c r="S4752" s="89">
        <f>100%-Table34[[#This Row],[PDF_initial fee]]</f>
        <v>1</v>
      </c>
      <c r="T4752" s="89"/>
      <c r="U4752" s="26"/>
      <c r="X4752" s="9"/>
    </row>
    <row r="4753" spans="1:28" x14ac:dyDescent="0.25">
      <c r="A4753">
        <v>805232</v>
      </c>
      <c r="B4753" t="s">
        <v>304</v>
      </c>
      <c r="C4753" t="s">
        <v>31210</v>
      </c>
      <c r="D4753">
        <v>3</v>
      </c>
      <c r="E4753" t="s">
        <v>304</v>
      </c>
      <c r="F4753" t="s">
        <v>3</v>
      </c>
      <c r="G4753" s="3">
        <v>1.4E-3</v>
      </c>
      <c r="H4753" s="3">
        <v>3.85E-2</v>
      </c>
      <c r="I4753" s="3">
        <v>7.4999999999999997E-3</v>
      </c>
      <c r="J4753" s="6">
        <v>0</v>
      </c>
      <c r="K4753" s="6">
        <v>0</v>
      </c>
      <c r="L4753" s="3">
        <f t="shared" si="202"/>
        <v>4.5999999999999999E-2</v>
      </c>
      <c r="M4753" s="3"/>
      <c r="N4753" s="3">
        <f t="shared" si="203"/>
        <v>4.7399999999999998E-2</v>
      </c>
      <c r="P4753" s="31" t="s">
        <v>31211</v>
      </c>
      <c r="Q4753" t="s">
        <v>31787</v>
      </c>
      <c r="R4753" s="89">
        <v>0.33333333333333348</v>
      </c>
      <c r="S4753" s="89">
        <f>100%-Table34[[#This Row],[InitialFee]]</f>
        <v>0.96150000000000002</v>
      </c>
      <c r="T4753" s="89">
        <f>(1-Table34[[#This Row],[OngoingFee (plus Platform fee)]])^5</f>
        <v>0.9630582970465823</v>
      </c>
      <c r="U4753" s="26">
        <f>(1+Table34[[#This Row],[Net 5yrs return (mostly up to 28th of Feb 2026)]])*Table34[[#This Row],[Investment after initial charge]]*Table34[[#This Row],[Cummulative 5yrs ongoing advice charge]]-1</f>
        <v>0.23464073681371866</v>
      </c>
      <c r="V4753" s="10">
        <f>10932+21911</f>
        <v>32843</v>
      </c>
      <c r="W4753" t="s">
        <v>29051</v>
      </c>
      <c r="X4753" s="9">
        <v>10193</v>
      </c>
      <c r="Y4753" s="30">
        <f>X4753/V4753</f>
        <v>0.31035532685808237</v>
      </c>
      <c r="AA4753" s="1" t="s">
        <v>31212</v>
      </c>
      <c r="AB4753" t="s">
        <v>29302</v>
      </c>
    </row>
    <row r="4754" spans="1:28" hidden="1" x14ac:dyDescent="0.25">
      <c r="A4754">
        <v>912092</v>
      </c>
      <c r="B4754" t="s">
        <v>5150</v>
      </c>
      <c r="C4754" t="s">
        <v>6958</v>
      </c>
      <c r="D4754">
        <v>1</v>
      </c>
      <c r="E4754" t="s">
        <v>5150</v>
      </c>
      <c r="F4754" t="s">
        <v>6958</v>
      </c>
      <c r="G4754" s="3"/>
      <c r="H4754" s="21">
        <v>0</v>
      </c>
      <c r="I4754" s="21">
        <v>0</v>
      </c>
      <c r="J4754" s="21">
        <v>0</v>
      </c>
      <c r="K4754" s="21">
        <v>0</v>
      </c>
      <c r="L4754" s="3">
        <f t="shared" si="202"/>
        <v>0</v>
      </c>
      <c r="M4754" s="3"/>
      <c r="N4754" s="3">
        <f t="shared" si="203"/>
        <v>0</v>
      </c>
      <c r="R4754" s="89"/>
      <c r="S4754" s="89">
        <f>100%-Table34[[#This Row],[PDF_initial fee]]</f>
        <v>1</v>
      </c>
      <c r="T4754" s="89"/>
      <c r="U4754" s="26"/>
      <c r="X4754" s="9"/>
    </row>
    <row r="4755" spans="1:28" hidden="1" x14ac:dyDescent="0.25">
      <c r="A4755">
        <v>912100</v>
      </c>
      <c r="B4755" t="s">
        <v>5151</v>
      </c>
      <c r="C4755" t="s">
        <v>6958</v>
      </c>
      <c r="D4755">
        <v>2</v>
      </c>
      <c r="E4755" t="s">
        <v>5151</v>
      </c>
      <c r="F4755" t="s">
        <v>6958</v>
      </c>
      <c r="G4755" s="3"/>
      <c r="H4755" s="21">
        <v>0</v>
      </c>
      <c r="I4755" s="21">
        <v>0</v>
      </c>
      <c r="J4755" s="21">
        <v>0</v>
      </c>
      <c r="K4755" s="21">
        <v>0</v>
      </c>
      <c r="L4755" s="3">
        <f t="shared" si="202"/>
        <v>0</v>
      </c>
      <c r="M4755" s="3"/>
      <c r="N4755" s="3">
        <f t="shared" si="203"/>
        <v>0</v>
      </c>
      <c r="R4755" s="89"/>
      <c r="S4755" s="89">
        <f>100%-Table34[[#This Row],[PDF_initial fee]]</f>
        <v>1</v>
      </c>
      <c r="T4755" s="89"/>
      <c r="U4755" s="26"/>
      <c r="X4755" s="9"/>
    </row>
    <row r="4756" spans="1:28" hidden="1" x14ac:dyDescent="0.25">
      <c r="A4756">
        <v>912215</v>
      </c>
      <c r="B4756" t="s">
        <v>5153</v>
      </c>
      <c r="C4756" t="s">
        <v>31213</v>
      </c>
      <c r="D4756">
        <v>4</v>
      </c>
      <c r="E4756" t="s">
        <v>5153</v>
      </c>
      <c r="G4756" s="3"/>
      <c r="H4756" s="3">
        <v>0</v>
      </c>
      <c r="I4756" s="3">
        <v>0</v>
      </c>
      <c r="J4756" s="3">
        <v>0</v>
      </c>
      <c r="K4756" s="3">
        <v>0</v>
      </c>
      <c r="L4756" s="3">
        <f t="shared" si="202"/>
        <v>0</v>
      </c>
      <c r="M4756" s="3"/>
      <c r="N4756" s="3">
        <f t="shared" si="203"/>
        <v>0</v>
      </c>
      <c r="R4756" s="89"/>
      <c r="S4756" s="89">
        <f>100%-Table34[[#This Row],[PDF_initial fee]]</f>
        <v>1</v>
      </c>
      <c r="T4756" s="89"/>
      <c r="U4756" s="26"/>
      <c r="X4756" s="9"/>
    </row>
    <row r="4757" spans="1:28" hidden="1" x14ac:dyDescent="0.25">
      <c r="A4757">
        <v>912266</v>
      </c>
      <c r="B4757" t="s">
        <v>5154</v>
      </c>
      <c r="C4757" t="s">
        <v>8194</v>
      </c>
      <c r="D4757">
        <v>5</v>
      </c>
      <c r="E4757" t="s">
        <v>5154</v>
      </c>
      <c r="G4757" s="3"/>
      <c r="H4757" s="21">
        <v>0</v>
      </c>
      <c r="I4757" s="21">
        <v>0</v>
      </c>
      <c r="J4757" s="21">
        <v>0</v>
      </c>
      <c r="K4757" s="21">
        <v>0</v>
      </c>
      <c r="L4757" s="3">
        <f t="shared" si="202"/>
        <v>0</v>
      </c>
      <c r="M4757" s="3"/>
      <c r="N4757" s="3">
        <f t="shared" si="203"/>
        <v>0</v>
      </c>
      <c r="R4757" s="89"/>
      <c r="S4757" s="89">
        <f>100%-Table34[[#This Row],[PDF_initial fee]]</f>
        <v>1</v>
      </c>
      <c r="T4757" s="89"/>
      <c r="U4757" s="26"/>
      <c r="X4757" s="9"/>
    </row>
    <row r="4758" spans="1:28" hidden="1" x14ac:dyDescent="0.25">
      <c r="A4758">
        <v>912555</v>
      </c>
      <c r="B4758" t="s">
        <v>5155</v>
      </c>
      <c r="C4758" t="s">
        <v>6958</v>
      </c>
      <c r="D4758">
        <v>1</v>
      </c>
      <c r="E4758" t="s">
        <v>5155</v>
      </c>
      <c r="F4758" t="s">
        <v>6958</v>
      </c>
      <c r="G4758" s="3"/>
      <c r="H4758" s="21">
        <v>0</v>
      </c>
      <c r="I4758" s="21">
        <v>0</v>
      </c>
      <c r="J4758" s="21">
        <v>0</v>
      </c>
      <c r="K4758" s="21">
        <v>0</v>
      </c>
      <c r="L4758" s="3">
        <f t="shared" si="202"/>
        <v>0</v>
      </c>
      <c r="M4758" s="3"/>
      <c r="N4758" s="3">
        <f t="shared" si="203"/>
        <v>0</v>
      </c>
      <c r="R4758" s="89"/>
      <c r="S4758" s="89">
        <f>100%-Table34[[#This Row],[PDF_initial fee]]</f>
        <v>1</v>
      </c>
      <c r="T4758" s="89"/>
      <c r="U4758" s="26"/>
      <c r="X4758" s="9"/>
    </row>
    <row r="4759" spans="1:28" hidden="1" x14ac:dyDescent="0.25">
      <c r="A4759">
        <v>912675</v>
      </c>
      <c r="B4759" t="s">
        <v>5156</v>
      </c>
      <c r="C4759" t="s">
        <v>6958</v>
      </c>
      <c r="D4759">
        <v>1</v>
      </c>
      <c r="E4759" t="s">
        <v>5156</v>
      </c>
      <c r="F4759" t="s">
        <v>6958</v>
      </c>
      <c r="G4759" s="3"/>
      <c r="H4759" s="21">
        <v>0</v>
      </c>
      <c r="I4759" s="21">
        <v>0</v>
      </c>
      <c r="J4759" s="21">
        <v>0</v>
      </c>
      <c r="K4759" s="21">
        <v>0</v>
      </c>
      <c r="L4759" s="3">
        <f t="shared" si="202"/>
        <v>0</v>
      </c>
      <c r="M4759" s="3"/>
      <c r="N4759" s="3">
        <f t="shared" si="203"/>
        <v>0</v>
      </c>
      <c r="R4759" s="89"/>
      <c r="S4759" s="89">
        <f>100%-Table34[[#This Row],[PDF_initial fee]]</f>
        <v>1</v>
      </c>
      <c r="T4759" s="89"/>
      <c r="U4759" s="26"/>
      <c r="X4759" s="9"/>
    </row>
    <row r="4760" spans="1:28" hidden="1" x14ac:dyDescent="0.25">
      <c r="A4760">
        <v>912818</v>
      </c>
      <c r="B4760" t="s">
        <v>5157</v>
      </c>
      <c r="C4760" t="s">
        <v>10543</v>
      </c>
      <c r="D4760">
        <v>1</v>
      </c>
      <c r="E4760" t="s">
        <v>5157</v>
      </c>
      <c r="G4760" s="3"/>
      <c r="H4760" s="3">
        <v>0</v>
      </c>
      <c r="I4760" s="3">
        <v>0</v>
      </c>
      <c r="J4760" s="3">
        <v>0</v>
      </c>
      <c r="K4760" s="3">
        <v>0</v>
      </c>
      <c r="L4760" s="3">
        <f t="shared" si="202"/>
        <v>0</v>
      </c>
      <c r="M4760" s="3"/>
      <c r="N4760" s="3">
        <f t="shared" si="203"/>
        <v>0</v>
      </c>
      <c r="R4760" s="89"/>
      <c r="S4760" s="89">
        <f>100%-Table34[[#This Row],[PDF_initial fee]]</f>
        <v>1</v>
      </c>
      <c r="T4760" s="89"/>
      <c r="U4760" s="26"/>
      <c r="X4760" s="9"/>
    </row>
    <row r="4761" spans="1:28" hidden="1" x14ac:dyDescent="0.25">
      <c r="A4761">
        <v>912826</v>
      </c>
      <c r="B4761" t="s">
        <v>5158</v>
      </c>
      <c r="C4761" t="s">
        <v>6958</v>
      </c>
      <c r="D4761">
        <v>1</v>
      </c>
      <c r="E4761" t="s">
        <v>5158</v>
      </c>
      <c r="F4761" t="s">
        <v>6958</v>
      </c>
      <c r="G4761" s="3"/>
      <c r="H4761" s="21">
        <v>0</v>
      </c>
      <c r="I4761" s="21">
        <v>0</v>
      </c>
      <c r="J4761" s="21">
        <v>0</v>
      </c>
      <c r="K4761" s="21">
        <v>0</v>
      </c>
      <c r="L4761" s="3">
        <f t="shared" si="202"/>
        <v>0</v>
      </c>
      <c r="M4761" s="3"/>
      <c r="N4761" s="3">
        <f t="shared" si="203"/>
        <v>0</v>
      </c>
      <c r="R4761" s="89"/>
      <c r="S4761" s="89">
        <f>100%-Table34[[#This Row],[PDF_initial fee]]</f>
        <v>1</v>
      </c>
      <c r="T4761" s="89"/>
      <c r="U4761" s="26"/>
      <c r="X4761" s="9"/>
    </row>
    <row r="4762" spans="1:28" hidden="1" x14ac:dyDescent="0.25">
      <c r="A4762">
        <v>912872</v>
      </c>
      <c r="B4762" t="s">
        <v>5159</v>
      </c>
      <c r="C4762" t="s">
        <v>6958</v>
      </c>
      <c r="D4762">
        <v>1</v>
      </c>
      <c r="E4762" t="s">
        <v>5159</v>
      </c>
      <c r="F4762" t="s">
        <v>6958</v>
      </c>
      <c r="G4762" s="3"/>
      <c r="H4762" s="21">
        <v>0</v>
      </c>
      <c r="I4762" s="21">
        <v>0</v>
      </c>
      <c r="J4762" s="21">
        <v>0</v>
      </c>
      <c r="K4762" s="21">
        <v>0</v>
      </c>
      <c r="L4762" s="3">
        <f t="shared" si="202"/>
        <v>0</v>
      </c>
      <c r="M4762" s="3"/>
      <c r="N4762" s="3">
        <f t="shared" si="203"/>
        <v>0</v>
      </c>
      <c r="R4762" s="89"/>
      <c r="S4762" s="89">
        <f>100%-Table34[[#This Row],[PDF_initial fee]]</f>
        <v>1</v>
      </c>
      <c r="T4762" s="89"/>
      <c r="U4762" s="26"/>
      <c r="X4762" s="9"/>
    </row>
    <row r="4763" spans="1:28" hidden="1" x14ac:dyDescent="0.25">
      <c r="A4763">
        <v>912883</v>
      </c>
      <c r="B4763" t="s">
        <v>5160</v>
      </c>
      <c r="C4763" s="1" t="s">
        <v>31214</v>
      </c>
      <c r="D4763">
        <v>1</v>
      </c>
      <c r="E4763" t="s">
        <v>5160</v>
      </c>
      <c r="G4763" s="3"/>
      <c r="H4763" s="21">
        <v>0</v>
      </c>
      <c r="I4763" s="21">
        <v>0</v>
      </c>
      <c r="J4763" s="21">
        <v>0</v>
      </c>
      <c r="K4763" s="21">
        <v>0</v>
      </c>
      <c r="L4763" s="3">
        <f t="shared" si="202"/>
        <v>0</v>
      </c>
      <c r="M4763" s="3"/>
      <c r="N4763" s="3">
        <f t="shared" si="203"/>
        <v>0</v>
      </c>
      <c r="O4763" s="21"/>
      <c r="R4763" s="89"/>
      <c r="S4763" s="89">
        <f>100%-Table34[[#This Row],[PDF_initial fee]]</f>
        <v>1</v>
      </c>
      <c r="T4763" s="89"/>
      <c r="U4763" s="26"/>
      <c r="X4763" s="9"/>
    </row>
    <row r="4764" spans="1:28" x14ac:dyDescent="0.25">
      <c r="A4764">
        <v>629538</v>
      </c>
      <c r="B4764" t="s">
        <v>259</v>
      </c>
      <c r="C4764" t="s">
        <v>7927</v>
      </c>
      <c r="D4764">
        <v>1</v>
      </c>
      <c r="E4764" t="s">
        <v>259</v>
      </c>
      <c r="F4764" t="s">
        <v>3</v>
      </c>
      <c r="G4764" s="3">
        <v>1.4E-3</v>
      </c>
      <c r="H4764" s="3">
        <v>3.7999999999999999E-2</v>
      </c>
      <c r="I4764" s="3">
        <v>0.01</v>
      </c>
      <c r="J4764" s="6">
        <v>0</v>
      </c>
      <c r="K4764" s="6">
        <v>0</v>
      </c>
      <c r="L4764" s="3">
        <f t="shared" si="202"/>
        <v>4.8000000000000001E-2</v>
      </c>
      <c r="M4764" s="3"/>
      <c r="N4764" s="3">
        <f t="shared" si="203"/>
        <v>4.9399999999999999E-2</v>
      </c>
      <c r="P4764" s="31" t="s">
        <v>31215</v>
      </c>
      <c r="Q4764" t="s">
        <v>31787</v>
      </c>
      <c r="R4764" s="89">
        <v>0.33333333333333348</v>
      </c>
      <c r="S4764" s="89">
        <f>100%-Table34[[#This Row],[InitialFee]]</f>
        <v>0.96199999999999997</v>
      </c>
      <c r="T4764" s="89">
        <f>(1-Table34[[#This Row],[OngoingFee (plus Platform fee)]])^5</f>
        <v>0.95099004989999991</v>
      </c>
      <c r="U4764" s="26">
        <f>(1+Table34[[#This Row],[Net 5yrs return (mostly up to 28th of Feb 2026)]])*Table34[[#This Row],[Investment after initial charge]]*Table34[[#This Row],[Cummulative 5yrs ongoing advice charge]]-1</f>
        <v>0.21980323733840001</v>
      </c>
      <c r="V4764">
        <f>24454+40605</f>
        <v>65059</v>
      </c>
      <c r="W4764" t="s">
        <v>29051</v>
      </c>
      <c r="X4764" s="10">
        <v>669</v>
      </c>
      <c r="Y4764" s="30">
        <f>X4764/V4764</f>
        <v>1.0282973915983953E-2</v>
      </c>
      <c r="AA4764" s="1" t="s">
        <v>31216</v>
      </c>
      <c r="AB4764" t="s">
        <v>29302</v>
      </c>
    </row>
    <row r="4765" spans="1:28" hidden="1" x14ac:dyDescent="0.25">
      <c r="A4765">
        <v>912920</v>
      </c>
      <c r="B4765" t="s">
        <v>5161</v>
      </c>
      <c r="C4765" t="s">
        <v>6958</v>
      </c>
      <c r="D4765">
        <v>5</v>
      </c>
      <c r="E4765" t="s">
        <v>5161</v>
      </c>
      <c r="F4765" t="s">
        <v>6958</v>
      </c>
      <c r="G4765" s="3"/>
      <c r="H4765" s="21">
        <v>0</v>
      </c>
      <c r="I4765" s="21">
        <v>0</v>
      </c>
      <c r="J4765" s="21">
        <v>0</v>
      </c>
      <c r="K4765" s="21">
        <v>0</v>
      </c>
      <c r="L4765" s="3">
        <f t="shared" si="202"/>
        <v>0</v>
      </c>
      <c r="M4765" s="3"/>
      <c r="N4765" s="3">
        <f t="shared" si="203"/>
        <v>0</v>
      </c>
      <c r="O4765" s="21"/>
      <c r="R4765" s="89"/>
      <c r="S4765" s="89">
        <f>100%-Table34[[#This Row],[PDF_initial fee]]</f>
        <v>1</v>
      </c>
      <c r="T4765" s="89"/>
      <c r="U4765" s="26"/>
      <c r="X4765" s="9"/>
    </row>
    <row r="4766" spans="1:28" hidden="1" x14ac:dyDescent="0.25">
      <c r="A4766">
        <v>912923</v>
      </c>
      <c r="B4766" t="s">
        <v>5162</v>
      </c>
      <c r="C4766" t="s">
        <v>31217</v>
      </c>
      <c r="D4766">
        <v>2</v>
      </c>
      <c r="E4766" t="s">
        <v>5162</v>
      </c>
      <c r="G4766" s="3"/>
      <c r="H4766" s="21">
        <v>0</v>
      </c>
      <c r="I4766" s="21">
        <v>0</v>
      </c>
      <c r="J4766" s="21">
        <v>0</v>
      </c>
      <c r="K4766" s="21">
        <v>0</v>
      </c>
      <c r="L4766" s="3">
        <f t="shared" si="202"/>
        <v>0</v>
      </c>
      <c r="M4766" s="3"/>
      <c r="N4766" s="3">
        <f t="shared" si="203"/>
        <v>0</v>
      </c>
      <c r="O4766" s="21"/>
      <c r="R4766" s="89"/>
      <c r="S4766" s="89">
        <f>100%-Table34[[#This Row],[PDF_initial fee]]</f>
        <v>1</v>
      </c>
      <c r="T4766" s="89"/>
      <c r="U4766" s="26"/>
      <c r="X4766" s="9"/>
    </row>
    <row r="4767" spans="1:28" hidden="1" x14ac:dyDescent="0.25">
      <c r="A4767">
        <v>913052</v>
      </c>
      <c r="B4767" t="s">
        <v>5163</v>
      </c>
      <c r="C4767" t="s">
        <v>6958</v>
      </c>
      <c r="D4767">
        <v>1</v>
      </c>
      <c r="E4767" t="s">
        <v>5163</v>
      </c>
      <c r="F4767" t="s">
        <v>6958</v>
      </c>
      <c r="G4767" s="3"/>
      <c r="H4767" s="21">
        <v>0</v>
      </c>
      <c r="I4767" s="21">
        <v>0</v>
      </c>
      <c r="J4767" s="21">
        <v>0</v>
      </c>
      <c r="K4767" s="21">
        <v>0</v>
      </c>
      <c r="L4767" s="3">
        <f t="shared" si="202"/>
        <v>0</v>
      </c>
      <c r="M4767" s="3"/>
      <c r="N4767" s="3">
        <f t="shared" si="203"/>
        <v>0</v>
      </c>
      <c r="R4767" s="89"/>
      <c r="S4767" s="89">
        <f>100%-Table34[[#This Row],[PDF_initial fee]]</f>
        <v>1</v>
      </c>
      <c r="T4767" s="89"/>
      <c r="U4767" s="26"/>
      <c r="X4767" s="9"/>
    </row>
    <row r="4768" spans="1:28" hidden="1" x14ac:dyDescent="0.25">
      <c r="A4768">
        <v>913262</v>
      </c>
      <c r="B4768" t="s">
        <v>5164</v>
      </c>
      <c r="C4768" t="s">
        <v>7768</v>
      </c>
      <c r="D4768">
        <v>1</v>
      </c>
      <c r="E4768" t="s">
        <v>5164</v>
      </c>
      <c r="G4768" s="3"/>
      <c r="H4768" s="21">
        <v>0</v>
      </c>
      <c r="I4768" s="21">
        <v>0</v>
      </c>
      <c r="J4768" s="21">
        <v>0</v>
      </c>
      <c r="K4768" s="21">
        <v>0</v>
      </c>
      <c r="L4768" s="3">
        <f t="shared" si="202"/>
        <v>0</v>
      </c>
      <c r="M4768" s="3"/>
      <c r="N4768" s="3">
        <f t="shared" si="203"/>
        <v>0</v>
      </c>
      <c r="R4768" s="89"/>
      <c r="S4768" s="89">
        <f>100%-Table34[[#This Row],[PDF_initial fee]]</f>
        <v>1</v>
      </c>
      <c r="T4768" s="89"/>
      <c r="U4768" s="26"/>
      <c r="X4768" s="9"/>
    </row>
    <row r="4769" spans="1:28" hidden="1" x14ac:dyDescent="0.25">
      <c r="A4769">
        <v>913317</v>
      </c>
      <c r="B4769" t="s">
        <v>5165</v>
      </c>
      <c r="C4769" t="s">
        <v>10535</v>
      </c>
      <c r="D4769">
        <v>1</v>
      </c>
      <c r="E4769" t="s">
        <v>5165</v>
      </c>
      <c r="G4769" s="3"/>
      <c r="H4769" s="3">
        <v>0</v>
      </c>
      <c r="I4769" s="3">
        <v>0</v>
      </c>
      <c r="J4769" s="3">
        <v>0</v>
      </c>
      <c r="K4769" s="3">
        <v>0</v>
      </c>
      <c r="L4769" s="3">
        <f t="shared" si="202"/>
        <v>0</v>
      </c>
      <c r="M4769" s="3"/>
      <c r="N4769" s="3">
        <f t="shared" si="203"/>
        <v>0</v>
      </c>
      <c r="R4769" s="89"/>
      <c r="S4769" s="89">
        <f>100%-Table34[[#This Row],[PDF_initial fee]]</f>
        <v>1</v>
      </c>
      <c r="T4769" s="89"/>
      <c r="U4769" s="26"/>
      <c r="X4769" s="9"/>
    </row>
    <row r="4770" spans="1:28" hidden="1" x14ac:dyDescent="0.25">
      <c r="A4770">
        <v>913319</v>
      </c>
      <c r="B4770" t="s">
        <v>5166</v>
      </c>
      <c r="C4770" t="s">
        <v>9677</v>
      </c>
      <c r="D4770">
        <v>0</v>
      </c>
      <c r="E4770" t="s">
        <v>5166</v>
      </c>
      <c r="F4770" t="s">
        <v>29136</v>
      </c>
      <c r="G4770" s="3"/>
      <c r="H4770" s="3">
        <v>0</v>
      </c>
      <c r="I4770" s="3">
        <v>0</v>
      </c>
      <c r="J4770" s="3">
        <v>0</v>
      </c>
      <c r="K4770" s="3">
        <v>0</v>
      </c>
      <c r="L4770" s="3">
        <f t="shared" si="202"/>
        <v>0</v>
      </c>
      <c r="M4770" s="3"/>
      <c r="N4770" s="3">
        <f t="shared" si="203"/>
        <v>0</v>
      </c>
      <c r="R4770" s="89"/>
      <c r="S4770" s="89">
        <f>100%-Table34[[#This Row],[PDF_initial fee]]</f>
        <v>1</v>
      </c>
      <c r="T4770" s="89"/>
      <c r="U4770" s="26"/>
      <c r="X4770" s="9"/>
    </row>
    <row r="4771" spans="1:28" hidden="1" x14ac:dyDescent="0.25">
      <c r="A4771">
        <v>913372</v>
      </c>
      <c r="B4771" t="s">
        <v>5167</v>
      </c>
      <c r="C4771" t="s">
        <v>6958</v>
      </c>
      <c r="D4771">
        <v>1</v>
      </c>
      <c r="E4771" t="s">
        <v>5167</v>
      </c>
      <c r="F4771" t="s">
        <v>6958</v>
      </c>
      <c r="G4771" s="3"/>
      <c r="H4771" s="21">
        <v>0</v>
      </c>
      <c r="I4771" s="21">
        <v>0</v>
      </c>
      <c r="J4771" s="21">
        <v>0</v>
      </c>
      <c r="K4771" s="21">
        <v>0</v>
      </c>
      <c r="L4771" s="3">
        <f t="shared" si="202"/>
        <v>0</v>
      </c>
      <c r="M4771" s="3"/>
      <c r="N4771" s="3">
        <f t="shared" si="203"/>
        <v>0</v>
      </c>
      <c r="R4771" s="89"/>
      <c r="S4771" s="89">
        <f>100%-Table34[[#This Row],[PDF_initial fee]]</f>
        <v>1</v>
      </c>
      <c r="T4771" s="89"/>
      <c r="U4771" s="26"/>
      <c r="X4771" s="9"/>
    </row>
    <row r="4772" spans="1:28" x14ac:dyDescent="0.25">
      <c r="A4772">
        <v>785589</v>
      </c>
      <c r="B4772" t="s">
        <v>298</v>
      </c>
      <c r="C4772" t="s">
        <v>10789</v>
      </c>
      <c r="D4772">
        <v>1</v>
      </c>
      <c r="E4772" t="s">
        <v>298</v>
      </c>
      <c r="F4772" t="s">
        <v>3</v>
      </c>
      <c r="G4772" s="3">
        <v>1.4E-3</v>
      </c>
      <c r="H4772" s="3">
        <v>0.02</v>
      </c>
      <c r="I4772" s="3">
        <v>1.5599999999999999E-2</v>
      </c>
      <c r="J4772" s="6"/>
      <c r="K4772" s="6"/>
      <c r="L4772" s="3">
        <f t="shared" si="202"/>
        <v>3.56E-2</v>
      </c>
      <c r="M4772" s="3"/>
      <c r="N4772" s="3">
        <f t="shared" si="203"/>
        <v>3.6999999999999998E-2</v>
      </c>
      <c r="P4772" s="31" t="s">
        <v>31218</v>
      </c>
      <c r="Q4772" t="s">
        <v>31787</v>
      </c>
      <c r="R4772" s="89">
        <v>0.33333333333333348</v>
      </c>
      <c r="S4772" s="89">
        <f>100%-Table34[[#This Row],[InitialFee]]</f>
        <v>0.98</v>
      </c>
      <c r="T4772" s="89">
        <f>(1-Table34[[#This Row],[OngoingFee (plus Platform fee)]])^5</f>
        <v>0.92439593103655249</v>
      </c>
      <c r="U4772" s="26">
        <f>(1+Table34[[#This Row],[Net 5yrs return (mostly up to 28th of Feb 2026)]])*Table34[[#This Row],[Investment after initial charge]]*Table34[[#This Row],[Cummulative 5yrs ongoing advice charge]]-1</f>
        <v>0.20787734988776219</v>
      </c>
      <c r="V4772">
        <f>126296+68470</f>
        <v>194766</v>
      </c>
      <c r="W4772" t="s">
        <v>29051</v>
      </c>
      <c r="X4772" s="9">
        <v>106437</v>
      </c>
      <c r="Y4772" s="30">
        <f>X4772/V4772</f>
        <v>0.54648655309448257</v>
      </c>
      <c r="AA4772" s="1" t="s">
        <v>31219</v>
      </c>
    </row>
    <row r="4773" spans="1:28" hidden="1" x14ac:dyDescent="0.25">
      <c r="A4773">
        <v>913374</v>
      </c>
      <c r="B4773" t="s">
        <v>5168</v>
      </c>
      <c r="C4773" t="s">
        <v>6958</v>
      </c>
      <c r="D4773">
        <v>1</v>
      </c>
      <c r="E4773" t="s">
        <v>5168</v>
      </c>
      <c r="F4773" t="s">
        <v>6958</v>
      </c>
      <c r="G4773" s="3"/>
      <c r="H4773" s="21">
        <v>0</v>
      </c>
      <c r="I4773" s="21">
        <v>0</v>
      </c>
      <c r="J4773" s="21">
        <v>0</v>
      </c>
      <c r="K4773" s="21">
        <v>0</v>
      </c>
      <c r="L4773" s="3">
        <f t="shared" si="202"/>
        <v>0</v>
      </c>
      <c r="M4773" s="3"/>
      <c r="N4773" s="3">
        <f t="shared" si="203"/>
        <v>0</v>
      </c>
      <c r="R4773" s="89"/>
      <c r="S4773" s="89">
        <f>100%-Table34[[#This Row],[PDF_initial fee]]</f>
        <v>1</v>
      </c>
      <c r="T4773" s="89"/>
      <c r="U4773" s="26"/>
      <c r="X4773" s="9"/>
    </row>
    <row r="4774" spans="1:28" hidden="1" x14ac:dyDescent="0.25">
      <c r="A4774">
        <v>913426</v>
      </c>
      <c r="B4774" t="s">
        <v>5169</v>
      </c>
      <c r="C4774" t="s">
        <v>31220</v>
      </c>
      <c r="D4774">
        <v>1</v>
      </c>
      <c r="E4774" t="s">
        <v>5169</v>
      </c>
      <c r="G4774" s="3"/>
      <c r="H4774" s="3">
        <v>0</v>
      </c>
      <c r="I4774" s="3">
        <v>0</v>
      </c>
      <c r="J4774" s="3">
        <v>0</v>
      </c>
      <c r="K4774" s="3">
        <v>0</v>
      </c>
      <c r="L4774" s="3">
        <f t="shared" si="202"/>
        <v>0</v>
      </c>
      <c r="M4774" s="3"/>
      <c r="N4774" s="3">
        <f t="shared" si="203"/>
        <v>0</v>
      </c>
      <c r="R4774" s="89"/>
      <c r="S4774" s="89">
        <f>100%-Table34[[#This Row],[PDF_initial fee]]</f>
        <v>1</v>
      </c>
      <c r="T4774" s="89"/>
      <c r="U4774" s="26"/>
      <c r="X4774" s="9"/>
    </row>
    <row r="4775" spans="1:28" hidden="1" x14ac:dyDescent="0.25">
      <c r="A4775">
        <v>913719</v>
      </c>
      <c r="B4775" t="s">
        <v>5171</v>
      </c>
      <c r="C4775" t="s">
        <v>12358</v>
      </c>
      <c r="D4775">
        <v>1</v>
      </c>
      <c r="E4775" t="s">
        <v>5171</v>
      </c>
      <c r="G4775" s="3"/>
      <c r="H4775" s="3">
        <v>0</v>
      </c>
      <c r="I4775" s="3">
        <v>0</v>
      </c>
      <c r="J4775" s="3">
        <v>0</v>
      </c>
      <c r="K4775" s="3">
        <v>0</v>
      </c>
      <c r="L4775" s="3">
        <f t="shared" si="202"/>
        <v>0</v>
      </c>
      <c r="M4775" s="3"/>
      <c r="N4775" s="3">
        <f t="shared" si="203"/>
        <v>0</v>
      </c>
      <c r="R4775" s="89"/>
      <c r="S4775" s="89">
        <f>100%-Table34[[#This Row],[PDF_initial fee]]</f>
        <v>1</v>
      </c>
      <c r="T4775" s="89"/>
      <c r="U4775" s="26"/>
      <c r="X4775" s="9"/>
    </row>
    <row r="4776" spans="1:28" hidden="1" x14ac:dyDescent="0.25">
      <c r="A4776">
        <v>913761</v>
      </c>
      <c r="B4776" t="s">
        <v>5172</v>
      </c>
      <c r="C4776" t="s">
        <v>6958</v>
      </c>
      <c r="D4776">
        <v>2</v>
      </c>
      <c r="E4776" t="s">
        <v>5172</v>
      </c>
      <c r="F4776" t="s">
        <v>6958</v>
      </c>
      <c r="G4776" s="3"/>
      <c r="H4776" s="21">
        <v>0</v>
      </c>
      <c r="I4776" s="21">
        <v>0</v>
      </c>
      <c r="J4776" s="21">
        <v>0</v>
      </c>
      <c r="K4776" s="21">
        <v>0</v>
      </c>
      <c r="L4776" s="3">
        <f t="shared" si="202"/>
        <v>0</v>
      </c>
      <c r="M4776" s="3"/>
      <c r="N4776" s="3">
        <f t="shared" si="203"/>
        <v>0</v>
      </c>
      <c r="R4776" s="89"/>
      <c r="S4776" s="89">
        <f>100%-Table34[[#This Row],[PDF_initial fee]]</f>
        <v>1</v>
      </c>
      <c r="T4776" s="89"/>
      <c r="U4776" s="26"/>
      <c r="X4776" s="9"/>
    </row>
    <row r="4777" spans="1:28" hidden="1" x14ac:dyDescent="0.25">
      <c r="A4777">
        <v>914010</v>
      </c>
      <c r="B4777" t="s">
        <v>5173</v>
      </c>
      <c r="C4777" t="s">
        <v>6958</v>
      </c>
      <c r="D4777">
        <v>1</v>
      </c>
      <c r="E4777" t="s">
        <v>5173</v>
      </c>
      <c r="F4777" t="s">
        <v>6958</v>
      </c>
      <c r="G4777" s="3"/>
      <c r="H4777" s="21">
        <v>0</v>
      </c>
      <c r="I4777" s="21">
        <v>0</v>
      </c>
      <c r="J4777" s="21">
        <v>0</v>
      </c>
      <c r="K4777" s="21">
        <v>0</v>
      </c>
      <c r="L4777" s="3">
        <f t="shared" si="202"/>
        <v>0</v>
      </c>
      <c r="M4777" s="3"/>
      <c r="N4777" s="3">
        <f t="shared" si="203"/>
        <v>0</v>
      </c>
      <c r="R4777" s="89"/>
      <c r="S4777" s="89">
        <f>100%-Table34[[#This Row],[PDF_initial fee]]</f>
        <v>1</v>
      </c>
      <c r="T4777" s="89"/>
      <c r="U4777" s="26"/>
      <c r="X4777" s="9"/>
    </row>
    <row r="4778" spans="1:28" hidden="1" x14ac:dyDescent="0.25">
      <c r="A4778">
        <v>914109</v>
      </c>
      <c r="B4778" t="s">
        <v>5174</v>
      </c>
      <c r="C4778" t="s">
        <v>8947</v>
      </c>
      <c r="D4778">
        <v>1</v>
      </c>
      <c r="E4778" t="s">
        <v>5174</v>
      </c>
      <c r="G4778" s="3"/>
      <c r="H4778" s="21">
        <v>0</v>
      </c>
      <c r="I4778" s="21">
        <v>0</v>
      </c>
      <c r="J4778" s="21">
        <v>0</v>
      </c>
      <c r="K4778" s="21">
        <v>0</v>
      </c>
      <c r="L4778" s="3">
        <f t="shared" si="202"/>
        <v>0</v>
      </c>
      <c r="M4778" s="3"/>
      <c r="N4778" s="3">
        <f t="shared" si="203"/>
        <v>0</v>
      </c>
      <c r="R4778" s="89"/>
      <c r="S4778" s="89">
        <f>100%-Table34[[#This Row],[PDF_initial fee]]</f>
        <v>1</v>
      </c>
      <c r="T4778" s="89"/>
      <c r="U4778" s="26"/>
      <c r="X4778" s="9"/>
    </row>
    <row r="4779" spans="1:28" hidden="1" x14ac:dyDescent="0.25">
      <c r="A4779">
        <v>914115</v>
      </c>
      <c r="B4779" t="s">
        <v>5175</v>
      </c>
      <c r="C4779" t="s">
        <v>8502</v>
      </c>
      <c r="D4779">
        <v>2</v>
      </c>
      <c r="E4779" t="s">
        <v>5175</v>
      </c>
      <c r="G4779" s="3"/>
      <c r="H4779" s="21">
        <v>0</v>
      </c>
      <c r="I4779" s="21">
        <v>0</v>
      </c>
      <c r="J4779" s="21">
        <v>0</v>
      </c>
      <c r="K4779" s="21">
        <v>0</v>
      </c>
      <c r="L4779" s="3">
        <f t="shared" si="202"/>
        <v>0</v>
      </c>
      <c r="M4779" s="3"/>
      <c r="N4779" s="3">
        <f t="shared" si="203"/>
        <v>0</v>
      </c>
      <c r="R4779" s="89"/>
      <c r="S4779" s="89">
        <f>100%-Table34[[#This Row],[PDF_initial fee]]</f>
        <v>1</v>
      </c>
      <c r="T4779" s="89"/>
      <c r="U4779" s="26"/>
      <c r="X4779" s="9"/>
    </row>
    <row r="4780" spans="1:28" hidden="1" x14ac:dyDescent="0.25">
      <c r="A4780">
        <v>914187</v>
      </c>
      <c r="B4780" t="s">
        <v>5176</v>
      </c>
      <c r="C4780" t="s">
        <v>12034</v>
      </c>
      <c r="D4780">
        <v>1</v>
      </c>
      <c r="E4780" t="s">
        <v>5176</v>
      </c>
      <c r="G4780" s="3"/>
      <c r="H4780" s="3">
        <v>0</v>
      </c>
      <c r="I4780" s="3">
        <v>0</v>
      </c>
      <c r="J4780" s="3">
        <v>0</v>
      </c>
      <c r="K4780" s="3">
        <v>0</v>
      </c>
      <c r="L4780" s="3">
        <f t="shared" si="202"/>
        <v>0</v>
      </c>
      <c r="M4780" s="3"/>
      <c r="N4780" s="3">
        <f t="shared" si="203"/>
        <v>0</v>
      </c>
      <c r="R4780" s="89"/>
      <c r="S4780" s="89">
        <f>100%-Table34[[#This Row],[PDF_initial fee]]</f>
        <v>1</v>
      </c>
      <c r="T4780" s="89"/>
      <c r="U4780" s="26"/>
      <c r="X4780" s="9"/>
    </row>
    <row r="4781" spans="1:28" hidden="1" x14ac:dyDescent="0.25">
      <c r="A4781">
        <v>914259</v>
      </c>
      <c r="B4781" t="s">
        <v>5177</v>
      </c>
      <c r="C4781" t="s">
        <v>31221</v>
      </c>
      <c r="D4781">
        <v>1</v>
      </c>
      <c r="E4781" t="s">
        <v>5177</v>
      </c>
      <c r="G4781" s="3"/>
      <c r="H4781" s="21">
        <v>0</v>
      </c>
      <c r="I4781" s="21">
        <v>0</v>
      </c>
      <c r="J4781" s="21">
        <v>0</v>
      </c>
      <c r="K4781" s="21">
        <v>0</v>
      </c>
      <c r="L4781" s="3">
        <f t="shared" si="202"/>
        <v>0</v>
      </c>
      <c r="M4781" s="3"/>
      <c r="N4781" s="3">
        <f t="shared" si="203"/>
        <v>0</v>
      </c>
      <c r="O4781" s="21"/>
      <c r="R4781" s="89"/>
      <c r="S4781" s="89">
        <f>100%-Table34[[#This Row],[PDF_initial fee]]</f>
        <v>1</v>
      </c>
      <c r="T4781" s="89"/>
      <c r="U4781" s="26"/>
      <c r="X4781" s="9"/>
    </row>
    <row r="4782" spans="1:28" x14ac:dyDescent="0.25">
      <c r="A4782">
        <v>840337</v>
      </c>
      <c r="B4782" t="s">
        <v>319</v>
      </c>
      <c r="C4782" t="s">
        <v>31222</v>
      </c>
      <c r="D4782">
        <v>1</v>
      </c>
      <c r="E4782" t="s">
        <v>319</v>
      </c>
      <c r="F4782" t="s">
        <v>3</v>
      </c>
      <c r="G4782" s="3">
        <v>1.4E-3</v>
      </c>
      <c r="H4782" s="3">
        <v>3.2000000000000001E-2</v>
      </c>
      <c r="I4782" s="3">
        <v>0.01</v>
      </c>
      <c r="J4782" s="6"/>
      <c r="K4782" s="6"/>
      <c r="L4782" s="3">
        <f t="shared" si="202"/>
        <v>4.2000000000000003E-2</v>
      </c>
      <c r="M4782" s="3"/>
      <c r="N4782" s="3">
        <f t="shared" si="203"/>
        <v>4.3400000000000001E-2</v>
      </c>
      <c r="P4782" s="31" t="s">
        <v>31223</v>
      </c>
      <c r="Q4782" t="s">
        <v>31787</v>
      </c>
      <c r="R4782" s="89">
        <v>0.33333333333333348</v>
      </c>
      <c r="S4782" s="89">
        <f>100%-Table34[[#This Row],[InitialFee]]</f>
        <v>0.96799999999999997</v>
      </c>
      <c r="T4782" s="89">
        <f>(1-Table34[[#This Row],[OngoingFee (plus Platform fee)]])^5</f>
        <v>0.95099004989999991</v>
      </c>
      <c r="U4782" s="26">
        <f>(1+Table34[[#This Row],[Net 5yrs return (mostly up to 28th of Feb 2026)]])*Table34[[#This Row],[Investment after initial charge]]*Table34[[#This Row],[Cummulative 5yrs ongoing advice charge]]-1</f>
        <v>0.22741115773760012</v>
      </c>
      <c r="V4782">
        <f>180272 +37241</f>
        <v>217513</v>
      </c>
      <c r="W4782" t="s">
        <v>29051</v>
      </c>
      <c r="X4782" s="9">
        <v>180272</v>
      </c>
      <c r="Y4782" s="30">
        <f>X4782/V4782</f>
        <v>0.82878724490030486</v>
      </c>
      <c r="AA4782" s="1" t="s">
        <v>31224</v>
      </c>
      <c r="AB4782" t="s">
        <v>29302</v>
      </c>
    </row>
    <row r="4783" spans="1:28" hidden="1" x14ac:dyDescent="0.25">
      <c r="A4783">
        <v>914561</v>
      </c>
      <c r="B4783" t="s">
        <v>5178</v>
      </c>
      <c r="C4783" t="s">
        <v>31225</v>
      </c>
      <c r="D4783">
        <v>4</v>
      </c>
      <c r="E4783" t="s">
        <v>5178</v>
      </c>
      <c r="G4783" s="3"/>
      <c r="H4783" s="3">
        <v>0</v>
      </c>
      <c r="I4783" s="3">
        <v>0</v>
      </c>
      <c r="J4783" s="3">
        <v>0</v>
      </c>
      <c r="K4783" s="3">
        <v>0</v>
      </c>
      <c r="L4783" s="3">
        <f t="shared" si="202"/>
        <v>0</v>
      </c>
      <c r="M4783" s="3"/>
      <c r="N4783" s="3">
        <f t="shared" si="203"/>
        <v>0</v>
      </c>
      <c r="R4783" s="89"/>
      <c r="S4783" s="89">
        <f>100%-Table34[[#This Row],[PDF_initial fee]]</f>
        <v>1</v>
      </c>
      <c r="T4783" s="89"/>
      <c r="U4783" s="26"/>
      <c r="X4783" s="9"/>
    </row>
    <row r="4784" spans="1:28" hidden="1" x14ac:dyDescent="0.25">
      <c r="A4784">
        <v>914746</v>
      </c>
      <c r="B4784" t="s">
        <v>5179</v>
      </c>
      <c r="C4784" t="s">
        <v>10513</v>
      </c>
      <c r="D4784">
        <v>7</v>
      </c>
      <c r="E4784" t="s">
        <v>5179</v>
      </c>
      <c r="G4784" s="3"/>
      <c r="H4784" s="3">
        <v>0</v>
      </c>
      <c r="I4784" s="3">
        <v>0</v>
      </c>
      <c r="J4784" s="3">
        <v>0</v>
      </c>
      <c r="K4784" s="3">
        <v>0</v>
      </c>
      <c r="L4784" s="3">
        <f t="shared" si="202"/>
        <v>0</v>
      </c>
      <c r="M4784" s="3"/>
      <c r="N4784" s="3">
        <f t="shared" si="203"/>
        <v>0</v>
      </c>
      <c r="R4784" s="89"/>
      <c r="S4784" s="89">
        <f>100%-Table34[[#This Row],[PDF_initial fee]]</f>
        <v>1</v>
      </c>
      <c r="T4784" s="89"/>
      <c r="U4784" s="26"/>
      <c r="X4784" s="9"/>
    </row>
    <row r="4785" spans="1:27" hidden="1" x14ac:dyDescent="0.25">
      <c r="A4785">
        <v>915090</v>
      </c>
      <c r="B4785" t="s">
        <v>5180</v>
      </c>
      <c r="C4785" t="s">
        <v>6958</v>
      </c>
      <c r="D4785">
        <v>1</v>
      </c>
      <c r="E4785" t="s">
        <v>5180</v>
      </c>
      <c r="F4785" t="s">
        <v>6958</v>
      </c>
      <c r="G4785" s="3"/>
      <c r="H4785" s="21">
        <v>0</v>
      </c>
      <c r="I4785" s="21">
        <v>0</v>
      </c>
      <c r="J4785" s="21">
        <v>0</v>
      </c>
      <c r="K4785" s="21">
        <v>0</v>
      </c>
      <c r="L4785" s="3">
        <f t="shared" si="202"/>
        <v>0</v>
      </c>
      <c r="M4785" s="3"/>
      <c r="N4785" s="3">
        <f t="shared" si="203"/>
        <v>0</v>
      </c>
      <c r="R4785" s="89"/>
      <c r="S4785" s="89">
        <f>100%-Table34[[#This Row],[PDF_initial fee]]</f>
        <v>1</v>
      </c>
      <c r="T4785" s="89"/>
      <c r="U4785" s="26"/>
      <c r="X4785" s="9"/>
    </row>
    <row r="4786" spans="1:27" hidden="1" x14ac:dyDescent="0.25">
      <c r="A4786">
        <v>915191</v>
      </c>
      <c r="B4786" t="s">
        <v>5181</v>
      </c>
      <c r="C4786" t="s">
        <v>10232</v>
      </c>
      <c r="D4786">
        <v>2</v>
      </c>
      <c r="E4786" t="s">
        <v>5181</v>
      </c>
      <c r="G4786" s="3"/>
      <c r="H4786" s="3">
        <v>0</v>
      </c>
      <c r="I4786" s="3">
        <v>0</v>
      </c>
      <c r="J4786" s="3">
        <v>0</v>
      </c>
      <c r="K4786" s="3">
        <v>0</v>
      </c>
      <c r="L4786" s="3">
        <f t="shared" ref="L4786:L4849" si="204">SUM(H4786:K4786)</f>
        <v>0</v>
      </c>
      <c r="M4786" s="3"/>
      <c r="N4786" s="3">
        <f t="shared" ref="N4786:N4849" si="205">L4786+G4786</f>
        <v>0</v>
      </c>
      <c r="R4786" s="89"/>
      <c r="S4786" s="89">
        <f>100%-Table34[[#This Row],[PDF_initial fee]]</f>
        <v>1</v>
      </c>
      <c r="T4786" s="89"/>
      <c r="U4786" s="26"/>
      <c r="X4786" s="9"/>
    </row>
    <row r="4787" spans="1:27" hidden="1" x14ac:dyDescent="0.25">
      <c r="A4787">
        <v>915218</v>
      </c>
      <c r="B4787" t="s">
        <v>5182</v>
      </c>
      <c r="C4787" t="s">
        <v>31226</v>
      </c>
      <c r="D4787">
        <v>6</v>
      </c>
      <c r="E4787" t="s">
        <v>5182</v>
      </c>
      <c r="G4787" s="3"/>
      <c r="H4787" s="3">
        <v>0</v>
      </c>
      <c r="I4787" s="3">
        <v>0</v>
      </c>
      <c r="J4787" s="3">
        <v>0</v>
      </c>
      <c r="K4787" s="3">
        <v>0</v>
      </c>
      <c r="L4787" s="3">
        <f t="shared" si="204"/>
        <v>0</v>
      </c>
      <c r="M4787" s="3"/>
      <c r="N4787" s="3">
        <f t="shared" si="205"/>
        <v>0</v>
      </c>
      <c r="R4787" s="89"/>
      <c r="S4787" s="89">
        <f>100%-Table34[[#This Row],[PDF_initial fee]]</f>
        <v>1</v>
      </c>
      <c r="T4787" s="89"/>
      <c r="U4787" s="26"/>
      <c r="X4787" s="9"/>
    </row>
    <row r="4788" spans="1:27" x14ac:dyDescent="0.25">
      <c r="A4788">
        <v>119278</v>
      </c>
      <c r="B4788" t="s">
        <v>18</v>
      </c>
      <c r="C4788" t="s">
        <v>31227</v>
      </c>
      <c r="D4788">
        <v>328</v>
      </c>
      <c r="E4788" t="s">
        <v>18</v>
      </c>
      <c r="F4788" t="s">
        <v>6</v>
      </c>
      <c r="G4788" s="3">
        <v>1.0200000000000001E-2</v>
      </c>
      <c r="H4788" s="3">
        <v>1.7500000000000002E-2</v>
      </c>
      <c r="I4788" s="3">
        <v>6.4999999999999997E-3</v>
      </c>
      <c r="J4788" s="6">
        <v>0</v>
      </c>
      <c r="K4788" s="6">
        <v>0</v>
      </c>
      <c r="L4788" s="3">
        <f t="shared" si="204"/>
        <v>2.4E-2</v>
      </c>
      <c r="M4788" s="3"/>
      <c r="N4788" s="3">
        <f t="shared" si="205"/>
        <v>3.4200000000000001E-2</v>
      </c>
      <c r="O4788" s="21" t="s">
        <v>31228</v>
      </c>
      <c r="P4788" s="1" t="s">
        <v>31229</v>
      </c>
      <c r="Q4788" s="1" t="s">
        <v>30546</v>
      </c>
      <c r="R4788" s="89">
        <v>0.30599999999999999</v>
      </c>
      <c r="S4788" s="89">
        <f>100%-Table34[[#This Row],[InitialFee]]</f>
        <v>0.98250000000000004</v>
      </c>
      <c r="T4788" s="89">
        <f>(1-Table34[[#This Row],[OngoingFee (plus Platform fee)]])^5</f>
        <v>0.96791976266370983</v>
      </c>
      <c r="U4788" s="26">
        <f>(1+Table34[[#This Row],[Net 5yrs return (mostly up to 28th of Feb 2026)]])*Table34[[#This Row],[Investment after initial charge]]*Table34[[#This Row],[Cummulative 5yrs ongoing advice charge]]-1</f>
        <v>0.24198140386312605</v>
      </c>
      <c r="V4788" s="10">
        <v>103002000</v>
      </c>
      <c r="W4788" s="10" t="s">
        <v>29081</v>
      </c>
      <c r="X4788" s="10">
        <v>63667000</v>
      </c>
      <c r="Y4788" s="30">
        <f>X4788/V4788</f>
        <v>0.61811421137453637</v>
      </c>
      <c r="Z4788" s="10"/>
      <c r="AA4788" t="s">
        <v>29117</v>
      </c>
    </row>
    <row r="4789" spans="1:27" hidden="1" x14ac:dyDescent="0.25">
      <c r="A4789">
        <v>915248</v>
      </c>
      <c r="B4789" t="s">
        <v>5183</v>
      </c>
      <c r="C4789" s="1" t="s">
        <v>31230</v>
      </c>
      <c r="D4789">
        <v>0</v>
      </c>
      <c r="E4789" t="s">
        <v>5183</v>
      </c>
      <c r="F4789" t="s">
        <v>29136</v>
      </c>
      <c r="G4789" s="3"/>
      <c r="H4789" s="21">
        <v>0</v>
      </c>
      <c r="I4789" s="21">
        <v>0</v>
      </c>
      <c r="J4789" s="21">
        <v>0</v>
      </c>
      <c r="K4789" s="21">
        <v>0</v>
      </c>
      <c r="L4789" s="3">
        <f t="shared" si="204"/>
        <v>0</v>
      </c>
      <c r="M4789" s="3"/>
      <c r="N4789" s="3">
        <f t="shared" si="205"/>
        <v>0</v>
      </c>
      <c r="O4789" s="21"/>
      <c r="R4789" s="89"/>
      <c r="S4789" s="89">
        <f>100%-Table34[[#This Row],[PDF_initial fee]]</f>
        <v>1</v>
      </c>
      <c r="T4789" s="89"/>
      <c r="U4789" s="26"/>
      <c r="X4789" s="9"/>
    </row>
    <row r="4790" spans="1:27" hidden="1" x14ac:dyDescent="0.25">
      <c r="A4790">
        <v>915729</v>
      </c>
      <c r="B4790" t="s">
        <v>5184</v>
      </c>
      <c r="C4790" t="s">
        <v>7011</v>
      </c>
      <c r="D4790">
        <v>7</v>
      </c>
      <c r="E4790" t="s">
        <v>5184</v>
      </c>
      <c r="G4790" s="3"/>
      <c r="H4790" s="21">
        <v>0</v>
      </c>
      <c r="I4790" s="21">
        <v>0</v>
      </c>
      <c r="J4790" s="21">
        <v>0</v>
      </c>
      <c r="K4790" s="21">
        <v>0</v>
      </c>
      <c r="L4790" s="3">
        <f t="shared" si="204"/>
        <v>0</v>
      </c>
      <c r="M4790" s="3"/>
      <c r="N4790" s="3">
        <f t="shared" si="205"/>
        <v>0</v>
      </c>
      <c r="R4790" s="89"/>
      <c r="S4790" s="89">
        <f>100%-Table34[[#This Row],[PDF_initial fee]]</f>
        <v>1</v>
      </c>
      <c r="T4790" s="89"/>
      <c r="U4790" s="26"/>
      <c r="X4790" s="9"/>
    </row>
    <row r="4791" spans="1:27" hidden="1" x14ac:dyDescent="0.25">
      <c r="A4791">
        <v>915784</v>
      </c>
      <c r="B4791" t="s">
        <v>5185</v>
      </c>
      <c r="C4791" t="s">
        <v>7041</v>
      </c>
      <c r="D4791">
        <v>1</v>
      </c>
      <c r="E4791" t="s">
        <v>5185</v>
      </c>
      <c r="G4791" s="3"/>
      <c r="L4791" s="3">
        <f t="shared" si="204"/>
        <v>0</v>
      </c>
      <c r="M4791" s="3"/>
      <c r="N4791" s="3">
        <f t="shared" si="205"/>
        <v>0</v>
      </c>
      <c r="R4791" s="89"/>
      <c r="S4791" s="89">
        <f>100%-Table34[[#This Row],[PDF_initial fee]]</f>
        <v>1</v>
      </c>
      <c r="T4791" s="89"/>
      <c r="U4791" s="26"/>
      <c r="X4791" s="9"/>
    </row>
    <row r="4792" spans="1:27" hidden="1" x14ac:dyDescent="0.25">
      <c r="A4792">
        <v>915934</v>
      </c>
      <c r="B4792" t="s">
        <v>5186</v>
      </c>
      <c r="C4792" t="s">
        <v>7310</v>
      </c>
      <c r="D4792">
        <v>2</v>
      </c>
      <c r="E4792" t="s">
        <v>5186</v>
      </c>
      <c r="G4792" s="3"/>
      <c r="H4792" s="21">
        <v>0</v>
      </c>
      <c r="I4792" s="21">
        <v>0</v>
      </c>
      <c r="J4792" s="21">
        <v>0</v>
      </c>
      <c r="K4792" s="21">
        <v>0</v>
      </c>
      <c r="L4792" s="3">
        <f t="shared" si="204"/>
        <v>0</v>
      </c>
      <c r="M4792" s="3"/>
      <c r="N4792" s="3">
        <f t="shared" si="205"/>
        <v>0</v>
      </c>
      <c r="R4792" s="89"/>
      <c r="S4792" s="89">
        <f>100%-Table34[[#This Row],[PDF_initial fee]]</f>
        <v>1</v>
      </c>
      <c r="T4792" s="89"/>
      <c r="U4792" s="26"/>
      <c r="X4792" s="9"/>
    </row>
    <row r="4793" spans="1:27" x14ac:dyDescent="0.25">
      <c r="A4793">
        <v>718005</v>
      </c>
      <c r="B4793" t="s">
        <v>275</v>
      </c>
      <c r="C4793" t="s">
        <v>11626</v>
      </c>
      <c r="D4793">
        <v>2</v>
      </c>
      <c r="E4793" t="s">
        <v>275</v>
      </c>
      <c r="F4793" t="s">
        <v>3</v>
      </c>
      <c r="G4793" s="3">
        <v>1.4E-3</v>
      </c>
      <c r="H4793" s="3">
        <v>2.5000000000000001E-2</v>
      </c>
      <c r="I4793" s="3">
        <v>0.01</v>
      </c>
      <c r="J4793" s="6"/>
      <c r="K4793" s="6"/>
      <c r="L4793" s="3">
        <f t="shared" si="204"/>
        <v>3.5000000000000003E-2</v>
      </c>
      <c r="M4793" s="3"/>
      <c r="N4793" s="3">
        <f t="shared" si="205"/>
        <v>3.6400000000000002E-2</v>
      </c>
      <c r="P4793" s="31" t="s">
        <v>31231</v>
      </c>
      <c r="Q4793" t="s">
        <v>31787</v>
      </c>
      <c r="R4793" s="89">
        <v>0.33333333333333348</v>
      </c>
      <c r="S4793" s="89">
        <f>100%-Table34[[#This Row],[InitialFee]]</f>
        <v>0.97499999999999998</v>
      </c>
      <c r="T4793" s="89">
        <f>(1-Table34[[#This Row],[OngoingFee (plus Platform fee)]])^5</f>
        <v>0.95099004989999991</v>
      </c>
      <c r="U4793" s="26">
        <f>(1+Table34[[#This Row],[Net 5yrs return (mostly up to 28th of Feb 2026)]])*Table34[[#This Row],[Investment after initial charge]]*Table34[[#This Row],[Cummulative 5yrs ongoing advice charge]]-1</f>
        <v>0.23628706486999995</v>
      </c>
      <c r="V4793">
        <f>184554+102329</f>
        <v>286883</v>
      </c>
      <c r="W4793" t="s">
        <v>29051</v>
      </c>
      <c r="X4793" s="9">
        <v>156047</v>
      </c>
      <c r="Y4793" s="30">
        <f>X4793/V4793</f>
        <v>0.54393951541220642</v>
      </c>
      <c r="AA4793" s="1" t="s">
        <v>31232</v>
      </c>
    </row>
    <row r="4794" spans="1:27" hidden="1" x14ac:dyDescent="0.25">
      <c r="A4794">
        <v>916127</v>
      </c>
      <c r="B4794" t="s">
        <v>5187</v>
      </c>
      <c r="C4794" t="s">
        <v>7811</v>
      </c>
      <c r="D4794">
        <v>1</v>
      </c>
      <c r="E4794" t="s">
        <v>5187</v>
      </c>
      <c r="G4794" s="3"/>
      <c r="L4794" s="3">
        <f t="shared" si="204"/>
        <v>0</v>
      </c>
      <c r="M4794" s="3"/>
      <c r="N4794" s="3">
        <f t="shared" si="205"/>
        <v>0</v>
      </c>
      <c r="R4794" s="89"/>
      <c r="S4794" s="89">
        <f>100%-Table34[[#This Row],[PDF_initial fee]]</f>
        <v>1</v>
      </c>
      <c r="T4794" s="89"/>
      <c r="U4794" s="26"/>
      <c r="X4794" s="9"/>
    </row>
    <row r="4795" spans="1:27" hidden="1" x14ac:dyDescent="0.25">
      <c r="A4795">
        <v>916184</v>
      </c>
      <c r="B4795" t="s">
        <v>5188</v>
      </c>
      <c r="C4795" t="s">
        <v>8238</v>
      </c>
      <c r="D4795">
        <v>1</v>
      </c>
      <c r="E4795" t="s">
        <v>5188</v>
      </c>
      <c r="G4795" s="3"/>
      <c r="H4795" s="21">
        <v>0</v>
      </c>
      <c r="I4795" s="21">
        <v>0</v>
      </c>
      <c r="J4795" s="21">
        <v>0</v>
      </c>
      <c r="K4795" s="21">
        <v>0</v>
      </c>
      <c r="L4795" s="3">
        <f t="shared" si="204"/>
        <v>0</v>
      </c>
      <c r="M4795" s="3"/>
      <c r="N4795" s="3">
        <f t="shared" si="205"/>
        <v>0</v>
      </c>
      <c r="R4795" s="89"/>
      <c r="S4795" s="89">
        <f>100%-Table34[[#This Row],[PDF_initial fee]]</f>
        <v>1</v>
      </c>
      <c r="T4795" s="89"/>
      <c r="U4795" s="26"/>
      <c r="X4795" s="9"/>
    </row>
    <row r="4796" spans="1:27" hidden="1" x14ac:dyDescent="0.25">
      <c r="A4796">
        <v>916202</v>
      </c>
      <c r="B4796" t="s">
        <v>5189</v>
      </c>
      <c r="C4796" t="s">
        <v>12674</v>
      </c>
      <c r="D4796">
        <v>2</v>
      </c>
      <c r="E4796" t="s">
        <v>5189</v>
      </c>
      <c r="G4796" s="3"/>
      <c r="H4796" s="3">
        <v>0</v>
      </c>
      <c r="I4796" s="3">
        <v>0</v>
      </c>
      <c r="J4796" s="3">
        <v>0</v>
      </c>
      <c r="K4796" s="3">
        <v>0</v>
      </c>
      <c r="L4796" s="3">
        <f t="shared" si="204"/>
        <v>0</v>
      </c>
      <c r="M4796" s="3"/>
      <c r="N4796" s="3">
        <f t="shared" si="205"/>
        <v>0</v>
      </c>
      <c r="R4796" s="89"/>
      <c r="S4796" s="89">
        <f>100%-Table34[[#This Row],[PDF_initial fee]]</f>
        <v>1</v>
      </c>
      <c r="T4796" s="89"/>
      <c r="U4796" s="26"/>
      <c r="X4796" s="9"/>
    </row>
    <row r="4797" spans="1:27" hidden="1" x14ac:dyDescent="0.25">
      <c r="A4797">
        <v>916452</v>
      </c>
      <c r="B4797" t="s">
        <v>5190</v>
      </c>
      <c r="C4797" t="s">
        <v>9112</v>
      </c>
      <c r="D4797">
        <v>1</v>
      </c>
      <c r="E4797" t="s">
        <v>5190</v>
      </c>
      <c r="G4797" s="3"/>
      <c r="L4797" s="3">
        <f t="shared" si="204"/>
        <v>0</v>
      </c>
      <c r="M4797" s="3"/>
      <c r="N4797" s="3">
        <f t="shared" si="205"/>
        <v>0</v>
      </c>
      <c r="R4797" s="89"/>
      <c r="S4797" s="89">
        <f>100%-Table34[[#This Row],[PDF_initial fee]]</f>
        <v>1</v>
      </c>
      <c r="T4797" s="89"/>
      <c r="U4797" s="26"/>
      <c r="X4797" s="9"/>
    </row>
    <row r="4798" spans="1:27" hidden="1" x14ac:dyDescent="0.25">
      <c r="A4798">
        <v>916506</v>
      </c>
      <c r="B4798" t="s">
        <v>5191</v>
      </c>
      <c r="C4798" t="s">
        <v>31233</v>
      </c>
      <c r="D4798">
        <v>3</v>
      </c>
      <c r="E4798" t="s">
        <v>5191</v>
      </c>
      <c r="G4798" s="3"/>
      <c r="H4798" s="3">
        <v>0</v>
      </c>
      <c r="I4798" s="3">
        <v>0</v>
      </c>
      <c r="J4798" s="3">
        <v>0</v>
      </c>
      <c r="K4798" s="3">
        <v>0</v>
      </c>
      <c r="L4798" s="3">
        <f t="shared" si="204"/>
        <v>0</v>
      </c>
      <c r="M4798" s="3"/>
      <c r="N4798" s="3">
        <f t="shared" si="205"/>
        <v>0</v>
      </c>
      <c r="R4798" s="89"/>
      <c r="S4798" s="89">
        <f>100%-Table34[[#This Row],[PDF_initial fee]]</f>
        <v>1</v>
      </c>
      <c r="T4798" s="89"/>
      <c r="U4798" s="26"/>
      <c r="X4798" s="9"/>
    </row>
    <row r="4799" spans="1:27" hidden="1" x14ac:dyDescent="0.25">
      <c r="A4799">
        <v>916537</v>
      </c>
      <c r="B4799" t="s">
        <v>5192</v>
      </c>
      <c r="C4799" t="s">
        <v>10715</v>
      </c>
      <c r="D4799">
        <v>2</v>
      </c>
      <c r="E4799" t="s">
        <v>5192</v>
      </c>
      <c r="G4799" s="3"/>
      <c r="H4799" s="3">
        <v>0</v>
      </c>
      <c r="I4799" s="3">
        <v>0</v>
      </c>
      <c r="J4799" s="3">
        <v>0</v>
      </c>
      <c r="K4799" s="3">
        <v>0</v>
      </c>
      <c r="L4799" s="3">
        <f t="shared" si="204"/>
        <v>0</v>
      </c>
      <c r="M4799" s="3"/>
      <c r="N4799" s="3">
        <f t="shared" si="205"/>
        <v>0</v>
      </c>
      <c r="R4799" s="89"/>
      <c r="S4799" s="89">
        <f>100%-Table34[[#This Row],[PDF_initial fee]]</f>
        <v>1</v>
      </c>
      <c r="T4799" s="89"/>
      <c r="U4799" s="26"/>
      <c r="X4799" s="9"/>
    </row>
    <row r="4800" spans="1:27" hidden="1" x14ac:dyDescent="0.25">
      <c r="A4800">
        <v>916767</v>
      </c>
      <c r="B4800" t="s">
        <v>5193</v>
      </c>
      <c r="C4800" t="s">
        <v>6958</v>
      </c>
      <c r="D4800">
        <v>2</v>
      </c>
      <c r="E4800" t="s">
        <v>5193</v>
      </c>
      <c r="F4800" t="s">
        <v>6958</v>
      </c>
      <c r="G4800" s="3"/>
      <c r="L4800" s="3">
        <f t="shared" si="204"/>
        <v>0</v>
      </c>
      <c r="M4800" s="3"/>
      <c r="N4800" s="3">
        <f t="shared" si="205"/>
        <v>0</v>
      </c>
      <c r="R4800" s="89"/>
      <c r="S4800" s="89">
        <f>100%-Table34[[#This Row],[PDF_initial fee]]</f>
        <v>1</v>
      </c>
      <c r="T4800" s="89"/>
      <c r="U4800" s="26"/>
      <c r="X4800" s="9"/>
    </row>
    <row r="4801" spans="1:27" hidden="1" x14ac:dyDescent="0.25">
      <c r="A4801">
        <v>916792</v>
      </c>
      <c r="B4801" t="s">
        <v>5194</v>
      </c>
      <c r="C4801" s="1" t="s">
        <v>31234</v>
      </c>
      <c r="D4801">
        <v>1</v>
      </c>
      <c r="E4801" t="s">
        <v>5194</v>
      </c>
      <c r="G4801" s="3"/>
      <c r="H4801" s="3">
        <v>0</v>
      </c>
      <c r="I4801" s="3">
        <v>0</v>
      </c>
      <c r="J4801" s="3">
        <v>0</v>
      </c>
      <c r="K4801" s="3">
        <v>0</v>
      </c>
      <c r="L4801" s="3">
        <f t="shared" si="204"/>
        <v>0</v>
      </c>
      <c r="M4801" s="3"/>
      <c r="N4801" s="3">
        <f t="shared" si="205"/>
        <v>0</v>
      </c>
      <c r="R4801" s="89"/>
      <c r="S4801" s="89">
        <f>100%-Table34[[#This Row],[PDF_initial fee]]</f>
        <v>1</v>
      </c>
      <c r="T4801" s="89"/>
      <c r="U4801" s="26"/>
      <c r="X4801" s="9"/>
    </row>
    <row r="4802" spans="1:27" x14ac:dyDescent="0.25">
      <c r="A4802">
        <v>616455</v>
      </c>
      <c r="B4802" t="s">
        <v>256</v>
      </c>
      <c r="C4802" s="1" t="s">
        <v>31235</v>
      </c>
      <c r="D4802">
        <v>1</v>
      </c>
      <c r="E4802" t="s">
        <v>256</v>
      </c>
      <c r="F4802" t="s">
        <v>3</v>
      </c>
      <c r="G4802" s="3">
        <v>1.4E-3</v>
      </c>
      <c r="H4802" s="3">
        <v>0</v>
      </c>
      <c r="I4802" s="3">
        <v>0</v>
      </c>
      <c r="J4802" s="3">
        <f>0.75%+1.5%</f>
        <v>2.2499999999999999E-2</v>
      </c>
      <c r="K4802" s="3">
        <v>1.2E-2</v>
      </c>
      <c r="L4802" s="3">
        <f t="shared" si="204"/>
        <v>3.4500000000000003E-2</v>
      </c>
      <c r="M4802" s="3"/>
      <c r="N4802" s="3">
        <f t="shared" si="205"/>
        <v>3.5900000000000001E-2</v>
      </c>
      <c r="O4802" s="21" t="s">
        <v>31236</v>
      </c>
      <c r="P4802" s="31" t="s">
        <v>29895</v>
      </c>
      <c r="Q4802" t="s">
        <v>31787</v>
      </c>
      <c r="R4802" s="89">
        <v>0.33333333333333348</v>
      </c>
      <c r="S4802" s="89">
        <f>100%-Table34[[#This Row],[PDF_initial fee]]</f>
        <v>0.97750000000000004</v>
      </c>
      <c r="T4802" s="89">
        <f>(1-Table34[[#This Row],[PDF ongoing fee]])^5</f>
        <v>0.94142282343116801</v>
      </c>
      <c r="U4802" s="26">
        <f>(1+Table34[[#This Row],[Net 5yrs return (mostly up to 28th of Feb 2026)]])*Table34[[#This Row],[Investment after initial charge]]*Table34[[#This Row],[Cummulative 5yrs ongoing advice charge]]-1</f>
        <v>0.22698774653862253</v>
      </c>
      <c r="V4802" s="10">
        <f>1998332+177212</f>
        <v>2175544</v>
      </c>
      <c r="W4802" t="s">
        <v>29051</v>
      </c>
      <c r="X4802" s="9">
        <v>1987311</v>
      </c>
      <c r="Y4802" s="30">
        <f>X4802/V4802</f>
        <v>0.91347773246599473</v>
      </c>
      <c r="AA4802" s="1" t="s">
        <v>31237</v>
      </c>
    </row>
    <row r="4803" spans="1:27" hidden="1" x14ac:dyDescent="0.25">
      <c r="A4803">
        <v>917079</v>
      </c>
      <c r="B4803" t="s">
        <v>5196</v>
      </c>
      <c r="C4803" t="s">
        <v>11190</v>
      </c>
      <c r="D4803">
        <v>2</v>
      </c>
      <c r="E4803" t="s">
        <v>5196</v>
      </c>
      <c r="G4803" s="3"/>
      <c r="H4803" s="3">
        <v>0</v>
      </c>
      <c r="I4803" s="3">
        <v>0</v>
      </c>
      <c r="J4803" s="3">
        <v>0</v>
      </c>
      <c r="K4803" s="3">
        <v>0</v>
      </c>
      <c r="L4803" s="3">
        <f t="shared" si="204"/>
        <v>0</v>
      </c>
      <c r="M4803" s="3"/>
      <c r="N4803" s="3">
        <f t="shared" si="205"/>
        <v>0</v>
      </c>
      <c r="R4803" s="89"/>
      <c r="S4803" s="89">
        <f>100%-Table34[[#This Row],[PDF_initial fee]]</f>
        <v>1</v>
      </c>
      <c r="T4803" s="89"/>
      <c r="U4803" s="26"/>
      <c r="X4803" s="9"/>
    </row>
    <row r="4804" spans="1:27" hidden="1" x14ac:dyDescent="0.25">
      <c r="A4804">
        <v>917090</v>
      </c>
      <c r="B4804" t="s">
        <v>5197</v>
      </c>
      <c r="C4804" t="s">
        <v>31238</v>
      </c>
      <c r="D4804">
        <v>4</v>
      </c>
      <c r="E4804" t="s">
        <v>5197</v>
      </c>
      <c r="G4804" s="3"/>
      <c r="H4804" s="21">
        <v>0</v>
      </c>
      <c r="I4804" s="21">
        <v>0</v>
      </c>
      <c r="J4804" s="21">
        <v>0</v>
      </c>
      <c r="K4804" s="21">
        <v>0</v>
      </c>
      <c r="L4804" s="3">
        <f t="shared" si="204"/>
        <v>0</v>
      </c>
      <c r="M4804" s="3"/>
      <c r="N4804" s="3">
        <f t="shared" si="205"/>
        <v>0</v>
      </c>
      <c r="O4804" s="21"/>
      <c r="R4804" s="89"/>
      <c r="S4804" s="89">
        <f>100%-Table34[[#This Row],[PDF_initial fee]]</f>
        <v>1</v>
      </c>
      <c r="T4804" s="89"/>
      <c r="U4804" s="26"/>
      <c r="X4804" s="9"/>
    </row>
    <row r="4805" spans="1:27" hidden="1" x14ac:dyDescent="0.25">
      <c r="A4805">
        <v>917125</v>
      </c>
      <c r="B4805" t="s">
        <v>5198</v>
      </c>
      <c r="C4805" t="s">
        <v>12593</v>
      </c>
      <c r="D4805">
        <v>4</v>
      </c>
      <c r="E4805" t="s">
        <v>5198</v>
      </c>
      <c r="G4805" s="3"/>
      <c r="H4805" s="3"/>
      <c r="I4805" s="3"/>
      <c r="J4805" s="3"/>
      <c r="K4805" s="3"/>
      <c r="L4805" s="3">
        <f t="shared" si="204"/>
        <v>0</v>
      </c>
      <c r="M4805" s="3"/>
      <c r="N4805" s="3">
        <f t="shared" si="205"/>
        <v>0</v>
      </c>
      <c r="R4805" s="89"/>
      <c r="S4805" s="89">
        <f>100%-Table34[[#This Row],[PDF_initial fee]]</f>
        <v>1</v>
      </c>
      <c r="T4805" s="89"/>
      <c r="U4805" s="26"/>
      <c r="X4805" s="9"/>
    </row>
    <row r="4806" spans="1:27" hidden="1" x14ac:dyDescent="0.25">
      <c r="A4806">
        <v>917152</v>
      </c>
      <c r="B4806" t="s">
        <v>5199</v>
      </c>
      <c r="C4806" t="s">
        <v>11867</v>
      </c>
      <c r="D4806">
        <v>4</v>
      </c>
      <c r="E4806" t="s">
        <v>5199</v>
      </c>
      <c r="G4806" s="3"/>
      <c r="H4806" s="3">
        <v>0</v>
      </c>
      <c r="I4806" s="3">
        <v>0</v>
      </c>
      <c r="J4806" s="3">
        <v>0</v>
      </c>
      <c r="K4806" s="3">
        <v>0</v>
      </c>
      <c r="L4806" s="3">
        <f t="shared" si="204"/>
        <v>0</v>
      </c>
      <c r="M4806" s="3"/>
      <c r="N4806" s="3">
        <f t="shared" si="205"/>
        <v>0</v>
      </c>
      <c r="R4806" s="89"/>
      <c r="S4806" s="89">
        <f>100%-Table34[[#This Row],[PDF_initial fee]]</f>
        <v>1</v>
      </c>
      <c r="T4806" s="89"/>
      <c r="U4806" s="26"/>
      <c r="X4806" s="9"/>
    </row>
    <row r="4807" spans="1:27" hidden="1" x14ac:dyDescent="0.25">
      <c r="A4807">
        <v>917170</v>
      </c>
      <c r="B4807" t="s">
        <v>5200</v>
      </c>
      <c r="C4807" t="s">
        <v>31239</v>
      </c>
      <c r="D4807">
        <v>1</v>
      </c>
      <c r="E4807" t="s">
        <v>5200</v>
      </c>
      <c r="G4807" s="3"/>
      <c r="H4807" s="21">
        <v>0</v>
      </c>
      <c r="I4807" s="21">
        <v>0</v>
      </c>
      <c r="J4807" s="21">
        <v>0</v>
      </c>
      <c r="K4807" s="21">
        <v>0</v>
      </c>
      <c r="L4807" s="3">
        <f t="shared" si="204"/>
        <v>0</v>
      </c>
      <c r="M4807" s="3"/>
      <c r="N4807" s="3">
        <f t="shared" si="205"/>
        <v>0</v>
      </c>
      <c r="O4807" s="21"/>
      <c r="R4807" s="89"/>
      <c r="S4807" s="89">
        <f>100%-Table34[[#This Row],[PDF_initial fee]]</f>
        <v>1</v>
      </c>
      <c r="T4807" s="89"/>
      <c r="U4807" s="26"/>
      <c r="X4807" s="9"/>
    </row>
    <row r="4808" spans="1:27" hidden="1" x14ac:dyDescent="0.25">
      <c r="A4808">
        <v>917171</v>
      </c>
      <c r="B4808" t="s">
        <v>5201</v>
      </c>
      <c r="C4808" t="s">
        <v>6958</v>
      </c>
      <c r="D4808">
        <v>1</v>
      </c>
      <c r="E4808" t="s">
        <v>5201</v>
      </c>
      <c r="F4808" t="s">
        <v>6958</v>
      </c>
      <c r="G4808" s="3"/>
      <c r="H4808" s="21">
        <v>0</v>
      </c>
      <c r="I4808" s="21">
        <v>0</v>
      </c>
      <c r="J4808" s="21">
        <v>0</v>
      </c>
      <c r="K4808" s="21">
        <v>0</v>
      </c>
      <c r="L4808" s="3">
        <f t="shared" si="204"/>
        <v>0</v>
      </c>
      <c r="M4808" s="3"/>
      <c r="N4808" s="3">
        <f t="shared" si="205"/>
        <v>0</v>
      </c>
      <c r="R4808" s="89"/>
      <c r="S4808" s="89">
        <f>100%-Table34[[#This Row],[PDF_initial fee]]</f>
        <v>1</v>
      </c>
      <c r="T4808" s="89"/>
      <c r="U4808" s="26"/>
      <c r="X4808" s="9"/>
    </row>
    <row r="4809" spans="1:27" hidden="1" x14ac:dyDescent="0.25">
      <c r="A4809">
        <v>917269</v>
      </c>
      <c r="B4809" t="s">
        <v>5203</v>
      </c>
      <c r="C4809" t="s">
        <v>31240</v>
      </c>
      <c r="D4809">
        <v>3</v>
      </c>
      <c r="E4809" t="s">
        <v>5203</v>
      </c>
      <c r="G4809" s="3"/>
      <c r="H4809" s="21">
        <v>0</v>
      </c>
      <c r="I4809" s="21">
        <v>0</v>
      </c>
      <c r="J4809" s="21">
        <v>0</v>
      </c>
      <c r="K4809" s="21">
        <v>0</v>
      </c>
      <c r="L4809" s="3">
        <f t="shared" si="204"/>
        <v>0</v>
      </c>
      <c r="M4809" s="3"/>
      <c r="N4809" s="3">
        <f t="shared" si="205"/>
        <v>0</v>
      </c>
      <c r="O4809" s="21"/>
      <c r="R4809" s="89"/>
      <c r="S4809" s="89">
        <f>100%-Table34[[#This Row],[PDF_initial fee]]</f>
        <v>1</v>
      </c>
      <c r="T4809" s="89"/>
      <c r="U4809" s="26"/>
      <c r="X4809" s="9"/>
    </row>
    <row r="4810" spans="1:27" hidden="1" x14ac:dyDescent="0.25">
      <c r="A4810">
        <v>917358</v>
      </c>
      <c r="B4810" t="s">
        <v>5204</v>
      </c>
      <c r="C4810" t="s">
        <v>6958</v>
      </c>
      <c r="D4810">
        <v>2</v>
      </c>
      <c r="E4810" t="s">
        <v>5204</v>
      </c>
      <c r="F4810" t="s">
        <v>6958</v>
      </c>
      <c r="G4810" s="3"/>
      <c r="H4810" s="21">
        <v>0</v>
      </c>
      <c r="I4810" s="21">
        <v>0</v>
      </c>
      <c r="J4810" s="21">
        <v>0</v>
      </c>
      <c r="K4810" s="21">
        <v>0</v>
      </c>
      <c r="L4810" s="3">
        <f t="shared" si="204"/>
        <v>0</v>
      </c>
      <c r="M4810" s="3"/>
      <c r="N4810" s="3">
        <f t="shared" si="205"/>
        <v>0</v>
      </c>
      <c r="R4810" s="89"/>
      <c r="S4810" s="89">
        <f>100%-Table34[[#This Row],[PDF_initial fee]]</f>
        <v>1</v>
      </c>
      <c r="T4810" s="89"/>
      <c r="U4810" s="26"/>
      <c r="X4810" s="9"/>
    </row>
    <row r="4811" spans="1:27" hidden="1" x14ac:dyDescent="0.25">
      <c r="A4811">
        <v>917403</v>
      </c>
      <c r="B4811" t="s">
        <v>5205</v>
      </c>
      <c r="C4811" t="s">
        <v>31241</v>
      </c>
      <c r="D4811">
        <v>18</v>
      </c>
      <c r="E4811" t="s">
        <v>5205</v>
      </c>
      <c r="G4811" s="3"/>
      <c r="H4811" s="3"/>
      <c r="I4811" s="3"/>
      <c r="J4811" s="3"/>
      <c r="K4811" s="3"/>
      <c r="L4811" s="3">
        <f t="shared" si="204"/>
        <v>0</v>
      </c>
      <c r="M4811" s="3"/>
      <c r="N4811" s="3">
        <f t="shared" si="205"/>
        <v>0</v>
      </c>
      <c r="R4811" s="89"/>
      <c r="S4811" s="89">
        <f>100%-Table34[[#This Row],[PDF_initial fee]]</f>
        <v>1</v>
      </c>
      <c r="T4811" s="89"/>
      <c r="U4811" s="26"/>
      <c r="X4811" s="9"/>
    </row>
    <row r="4812" spans="1:27" hidden="1" x14ac:dyDescent="0.25">
      <c r="A4812">
        <v>917560</v>
      </c>
      <c r="B4812" t="s">
        <v>5206</v>
      </c>
      <c r="C4812" t="s">
        <v>6958</v>
      </c>
      <c r="D4812">
        <v>1</v>
      </c>
      <c r="E4812" t="s">
        <v>5206</v>
      </c>
      <c r="F4812" t="s">
        <v>6958</v>
      </c>
      <c r="G4812" s="3"/>
      <c r="H4812" s="21">
        <v>0</v>
      </c>
      <c r="I4812" s="21">
        <v>0</v>
      </c>
      <c r="J4812" s="21">
        <v>0</v>
      </c>
      <c r="K4812" s="21">
        <v>0</v>
      </c>
      <c r="L4812" s="3">
        <f t="shared" si="204"/>
        <v>0</v>
      </c>
      <c r="M4812" s="3"/>
      <c r="N4812" s="3">
        <f t="shared" si="205"/>
        <v>0</v>
      </c>
      <c r="R4812" s="89"/>
      <c r="S4812" s="89">
        <f>100%-Table34[[#This Row],[PDF_initial fee]]</f>
        <v>1</v>
      </c>
      <c r="T4812" s="89"/>
      <c r="U4812" s="26"/>
      <c r="X4812" s="9"/>
    </row>
    <row r="4813" spans="1:27" hidden="1" x14ac:dyDescent="0.25">
      <c r="A4813">
        <v>917602</v>
      </c>
      <c r="B4813" t="s">
        <v>5207</v>
      </c>
      <c r="C4813" t="s">
        <v>31242</v>
      </c>
      <c r="D4813">
        <v>2</v>
      </c>
      <c r="E4813" t="s">
        <v>5207</v>
      </c>
      <c r="G4813" s="3"/>
      <c r="H4813" s="21">
        <v>0</v>
      </c>
      <c r="I4813" s="21">
        <v>0</v>
      </c>
      <c r="J4813" s="21">
        <v>0</v>
      </c>
      <c r="K4813" s="21">
        <v>0</v>
      </c>
      <c r="L4813" s="3">
        <f t="shared" si="204"/>
        <v>0</v>
      </c>
      <c r="M4813" s="3"/>
      <c r="N4813" s="3">
        <f t="shared" si="205"/>
        <v>0</v>
      </c>
      <c r="O4813" s="21"/>
      <c r="R4813" s="89"/>
      <c r="S4813" s="89">
        <f>100%-Table34[[#This Row],[PDF_initial fee]]</f>
        <v>1</v>
      </c>
      <c r="T4813" s="89"/>
      <c r="U4813" s="26"/>
      <c r="X4813" s="9"/>
    </row>
    <row r="4814" spans="1:27" hidden="1" x14ac:dyDescent="0.25">
      <c r="A4814">
        <v>917832</v>
      </c>
      <c r="B4814" t="s">
        <v>5208</v>
      </c>
      <c r="C4814" t="s">
        <v>10988</v>
      </c>
      <c r="D4814">
        <v>1</v>
      </c>
      <c r="E4814" t="s">
        <v>5208</v>
      </c>
      <c r="G4814" s="3"/>
      <c r="H4814" s="3">
        <v>0</v>
      </c>
      <c r="I4814" s="3">
        <v>0</v>
      </c>
      <c r="J4814" s="3">
        <v>0</v>
      </c>
      <c r="K4814" s="3">
        <v>0</v>
      </c>
      <c r="L4814" s="3">
        <f t="shared" si="204"/>
        <v>0</v>
      </c>
      <c r="M4814" s="3"/>
      <c r="N4814" s="3">
        <f t="shared" si="205"/>
        <v>0</v>
      </c>
      <c r="R4814" s="89"/>
      <c r="S4814" s="89">
        <f>100%-Table34[[#This Row],[PDF_initial fee]]</f>
        <v>1</v>
      </c>
      <c r="T4814" s="89"/>
      <c r="U4814" s="26"/>
      <c r="X4814" s="9"/>
    </row>
    <row r="4815" spans="1:27" hidden="1" x14ac:dyDescent="0.25">
      <c r="A4815">
        <v>917929</v>
      </c>
      <c r="B4815" t="s">
        <v>5209</v>
      </c>
      <c r="C4815" t="s">
        <v>31243</v>
      </c>
      <c r="D4815">
        <v>4</v>
      </c>
      <c r="E4815" t="s">
        <v>5209</v>
      </c>
      <c r="G4815" s="3"/>
      <c r="H4815" s="21">
        <v>0</v>
      </c>
      <c r="I4815" s="21">
        <v>0</v>
      </c>
      <c r="J4815" s="21">
        <v>0</v>
      </c>
      <c r="K4815" s="21">
        <v>0</v>
      </c>
      <c r="L4815" s="3">
        <f t="shared" si="204"/>
        <v>0</v>
      </c>
      <c r="M4815" s="3"/>
      <c r="N4815" s="3">
        <f t="shared" si="205"/>
        <v>0</v>
      </c>
      <c r="O4815" s="21"/>
      <c r="R4815" s="89"/>
      <c r="S4815" s="89">
        <f>100%-Table34[[#This Row],[PDF_initial fee]]</f>
        <v>1</v>
      </c>
      <c r="T4815" s="89"/>
      <c r="U4815" s="26"/>
      <c r="X4815" s="9"/>
    </row>
    <row r="4816" spans="1:27" hidden="1" x14ac:dyDescent="0.25">
      <c r="A4816">
        <v>917942</v>
      </c>
      <c r="B4816" t="s">
        <v>5210</v>
      </c>
      <c r="C4816" t="s">
        <v>10490</v>
      </c>
      <c r="D4816">
        <v>2</v>
      </c>
      <c r="E4816" t="s">
        <v>5210</v>
      </c>
      <c r="G4816" s="3"/>
      <c r="H4816" s="3">
        <v>0</v>
      </c>
      <c r="I4816" s="3">
        <v>0</v>
      </c>
      <c r="J4816" s="3">
        <v>0</v>
      </c>
      <c r="K4816" s="3">
        <v>0</v>
      </c>
      <c r="L4816" s="3">
        <f t="shared" si="204"/>
        <v>0</v>
      </c>
      <c r="M4816" s="3"/>
      <c r="N4816" s="3">
        <f t="shared" si="205"/>
        <v>0</v>
      </c>
      <c r="R4816" s="89"/>
      <c r="S4816" s="89">
        <f>100%-Table34[[#This Row],[PDF_initial fee]]</f>
        <v>1</v>
      </c>
      <c r="T4816" s="89"/>
      <c r="U4816" s="26"/>
      <c r="X4816" s="9"/>
    </row>
    <row r="4817" spans="1:24" hidden="1" x14ac:dyDescent="0.25">
      <c r="A4817">
        <v>918191</v>
      </c>
      <c r="B4817" t="s">
        <v>5211</v>
      </c>
      <c r="C4817" t="s">
        <v>12643</v>
      </c>
      <c r="D4817">
        <v>1</v>
      </c>
      <c r="E4817" t="s">
        <v>5211</v>
      </c>
      <c r="G4817" s="3"/>
      <c r="H4817" s="3">
        <v>0</v>
      </c>
      <c r="I4817" s="3">
        <v>0</v>
      </c>
      <c r="J4817" s="3">
        <v>0</v>
      </c>
      <c r="K4817" s="3">
        <v>0</v>
      </c>
      <c r="L4817" s="3">
        <f t="shared" si="204"/>
        <v>0</v>
      </c>
      <c r="M4817" s="3"/>
      <c r="N4817" s="3">
        <f t="shared" si="205"/>
        <v>0</v>
      </c>
      <c r="R4817" s="89"/>
      <c r="S4817" s="89">
        <f>100%-Table34[[#This Row],[PDF_initial fee]]</f>
        <v>1</v>
      </c>
      <c r="T4817" s="89"/>
      <c r="U4817" s="26"/>
      <c r="X4817" s="9"/>
    </row>
    <row r="4818" spans="1:24" hidden="1" x14ac:dyDescent="0.25">
      <c r="A4818">
        <v>918425</v>
      </c>
      <c r="B4818" t="s">
        <v>5212</v>
      </c>
      <c r="C4818" t="s">
        <v>8578</v>
      </c>
      <c r="D4818">
        <v>2</v>
      </c>
      <c r="E4818" t="s">
        <v>5212</v>
      </c>
      <c r="G4818" s="3"/>
      <c r="L4818" s="3">
        <f t="shared" si="204"/>
        <v>0</v>
      </c>
      <c r="M4818" s="3"/>
      <c r="N4818" s="3">
        <f t="shared" si="205"/>
        <v>0</v>
      </c>
      <c r="R4818" s="89"/>
      <c r="S4818" s="89">
        <f>100%-Table34[[#This Row],[PDF_initial fee]]</f>
        <v>1</v>
      </c>
      <c r="T4818" s="89"/>
      <c r="U4818" s="26"/>
      <c r="X4818" s="9"/>
    </row>
    <row r="4819" spans="1:24" hidden="1" x14ac:dyDescent="0.25">
      <c r="A4819">
        <v>918826</v>
      </c>
      <c r="B4819" t="s">
        <v>5213</v>
      </c>
      <c r="C4819" t="s">
        <v>6958</v>
      </c>
      <c r="D4819">
        <v>1</v>
      </c>
      <c r="E4819" t="s">
        <v>5213</v>
      </c>
      <c r="F4819" t="s">
        <v>6958</v>
      </c>
      <c r="G4819" s="3"/>
      <c r="H4819" s="21">
        <v>0</v>
      </c>
      <c r="I4819" s="21">
        <v>0</v>
      </c>
      <c r="J4819" s="21">
        <v>0</v>
      </c>
      <c r="K4819" s="21">
        <v>0</v>
      </c>
      <c r="L4819" s="3">
        <f t="shared" si="204"/>
        <v>0</v>
      </c>
      <c r="M4819" s="3"/>
      <c r="N4819" s="3">
        <f t="shared" si="205"/>
        <v>0</v>
      </c>
      <c r="R4819" s="89"/>
      <c r="S4819" s="89">
        <f>100%-Table34[[#This Row],[PDF_initial fee]]</f>
        <v>1</v>
      </c>
      <c r="T4819" s="89"/>
      <c r="U4819" s="26"/>
      <c r="X4819" s="9"/>
    </row>
    <row r="4820" spans="1:24" hidden="1" x14ac:dyDescent="0.25">
      <c r="A4820">
        <v>919115</v>
      </c>
      <c r="B4820" t="s">
        <v>5214</v>
      </c>
      <c r="C4820" t="s">
        <v>31244</v>
      </c>
      <c r="D4820">
        <v>2</v>
      </c>
      <c r="E4820" t="s">
        <v>5214</v>
      </c>
      <c r="G4820" s="3"/>
      <c r="H4820" s="3">
        <v>0</v>
      </c>
      <c r="I4820" s="3">
        <v>0</v>
      </c>
      <c r="J4820" s="3">
        <v>0</v>
      </c>
      <c r="K4820" s="3">
        <v>0</v>
      </c>
      <c r="L4820" s="3">
        <f t="shared" si="204"/>
        <v>0</v>
      </c>
      <c r="M4820" s="3"/>
      <c r="N4820" s="3">
        <f t="shared" si="205"/>
        <v>0</v>
      </c>
      <c r="R4820" s="89"/>
      <c r="S4820" s="89">
        <f>100%-Table34[[#This Row],[PDF_initial fee]]</f>
        <v>1</v>
      </c>
      <c r="T4820" s="89"/>
      <c r="U4820" s="26"/>
      <c r="X4820" s="9"/>
    </row>
    <row r="4821" spans="1:24" hidden="1" x14ac:dyDescent="0.25">
      <c r="A4821">
        <v>919164</v>
      </c>
      <c r="B4821" t="s">
        <v>5215</v>
      </c>
      <c r="C4821" t="s">
        <v>10521</v>
      </c>
      <c r="D4821">
        <v>2</v>
      </c>
      <c r="E4821" t="s">
        <v>5215</v>
      </c>
      <c r="G4821" s="3"/>
      <c r="H4821" s="3">
        <v>0</v>
      </c>
      <c r="I4821" s="3">
        <v>0</v>
      </c>
      <c r="J4821" s="3">
        <v>0</v>
      </c>
      <c r="K4821" s="3">
        <v>0</v>
      </c>
      <c r="L4821" s="3">
        <f t="shared" si="204"/>
        <v>0</v>
      </c>
      <c r="M4821" s="3"/>
      <c r="N4821" s="3">
        <f t="shared" si="205"/>
        <v>0</v>
      </c>
      <c r="R4821" s="89"/>
      <c r="S4821" s="89">
        <f>100%-Table34[[#This Row],[PDF_initial fee]]</f>
        <v>1</v>
      </c>
      <c r="T4821" s="89"/>
      <c r="U4821" s="26"/>
      <c r="X4821" s="9"/>
    </row>
    <row r="4822" spans="1:24" hidden="1" x14ac:dyDescent="0.25">
      <c r="A4822">
        <v>919204</v>
      </c>
      <c r="B4822" t="s">
        <v>5216</v>
      </c>
      <c r="C4822" t="s">
        <v>31245</v>
      </c>
      <c r="D4822">
        <v>3</v>
      </c>
      <c r="E4822" t="s">
        <v>5216</v>
      </c>
      <c r="G4822" s="3"/>
      <c r="H4822" s="21">
        <v>0</v>
      </c>
      <c r="I4822" s="21">
        <v>0</v>
      </c>
      <c r="J4822" s="21">
        <v>0</v>
      </c>
      <c r="K4822" s="21">
        <v>0</v>
      </c>
      <c r="L4822" s="3">
        <f t="shared" si="204"/>
        <v>0</v>
      </c>
      <c r="M4822" s="3"/>
      <c r="N4822" s="3">
        <f t="shared" si="205"/>
        <v>0</v>
      </c>
      <c r="O4822" s="21"/>
      <c r="R4822" s="89"/>
      <c r="S4822" s="89">
        <f>100%-Table34[[#This Row],[PDF_initial fee]]</f>
        <v>1</v>
      </c>
      <c r="T4822" s="89"/>
      <c r="U4822" s="26"/>
      <c r="X4822" s="9"/>
    </row>
    <row r="4823" spans="1:24" hidden="1" x14ac:dyDescent="0.25">
      <c r="A4823">
        <v>919575</v>
      </c>
      <c r="B4823" t="s">
        <v>5217</v>
      </c>
      <c r="C4823" t="s">
        <v>6958</v>
      </c>
      <c r="D4823">
        <v>4</v>
      </c>
      <c r="E4823" t="s">
        <v>5217</v>
      </c>
      <c r="F4823" t="s">
        <v>6958</v>
      </c>
      <c r="G4823" s="3"/>
      <c r="H4823" s="21">
        <v>0</v>
      </c>
      <c r="I4823" s="21">
        <v>0</v>
      </c>
      <c r="J4823" s="21">
        <v>0</v>
      </c>
      <c r="K4823" s="21">
        <v>0</v>
      </c>
      <c r="L4823" s="3">
        <f t="shared" si="204"/>
        <v>0</v>
      </c>
      <c r="M4823" s="3"/>
      <c r="N4823" s="3">
        <f t="shared" si="205"/>
        <v>0</v>
      </c>
      <c r="R4823" s="89"/>
      <c r="S4823" s="89">
        <f>100%-Table34[[#This Row],[PDF_initial fee]]</f>
        <v>1</v>
      </c>
      <c r="T4823" s="89"/>
      <c r="U4823" s="26"/>
      <c r="X4823" s="9"/>
    </row>
    <row r="4824" spans="1:24" hidden="1" x14ac:dyDescent="0.25">
      <c r="A4824">
        <v>919807</v>
      </c>
      <c r="B4824" t="s">
        <v>5218</v>
      </c>
      <c r="C4824" t="s">
        <v>31246</v>
      </c>
      <c r="D4824">
        <v>5</v>
      </c>
      <c r="E4824" t="s">
        <v>5218</v>
      </c>
      <c r="G4824" s="3"/>
      <c r="H4824" s="3">
        <v>0</v>
      </c>
      <c r="I4824" s="3">
        <v>0</v>
      </c>
      <c r="J4824" s="3">
        <v>0</v>
      </c>
      <c r="K4824" s="3">
        <v>0</v>
      </c>
      <c r="L4824" s="3">
        <f t="shared" si="204"/>
        <v>0</v>
      </c>
      <c r="M4824" s="3"/>
      <c r="N4824" s="3">
        <f t="shared" si="205"/>
        <v>0</v>
      </c>
      <c r="R4824" s="89"/>
      <c r="S4824" s="89">
        <f>100%-Table34[[#This Row],[PDF_initial fee]]</f>
        <v>1</v>
      </c>
      <c r="T4824" s="89"/>
      <c r="U4824" s="26"/>
      <c r="X4824" s="9"/>
    </row>
    <row r="4825" spans="1:24" hidden="1" x14ac:dyDescent="0.25">
      <c r="A4825">
        <v>920310</v>
      </c>
      <c r="B4825" t="s">
        <v>5219</v>
      </c>
      <c r="C4825" t="s">
        <v>6958</v>
      </c>
      <c r="D4825">
        <v>0</v>
      </c>
      <c r="E4825" t="s">
        <v>5219</v>
      </c>
      <c r="F4825" t="s">
        <v>6958</v>
      </c>
      <c r="G4825" s="3"/>
      <c r="H4825" s="21">
        <v>0</v>
      </c>
      <c r="I4825" s="21">
        <v>0</v>
      </c>
      <c r="J4825" s="21">
        <v>0</v>
      </c>
      <c r="K4825" s="21">
        <v>0</v>
      </c>
      <c r="L4825" s="3">
        <f t="shared" si="204"/>
        <v>0</v>
      </c>
      <c r="M4825" s="3"/>
      <c r="N4825" s="3">
        <f t="shared" si="205"/>
        <v>0</v>
      </c>
      <c r="R4825" s="89"/>
      <c r="S4825" s="89">
        <f>100%-Table34[[#This Row],[PDF_initial fee]]</f>
        <v>1</v>
      </c>
      <c r="T4825" s="89"/>
      <c r="U4825" s="26"/>
      <c r="X4825" s="9"/>
    </row>
    <row r="4826" spans="1:24" hidden="1" x14ac:dyDescent="0.25">
      <c r="A4826">
        <v>920851</v>
      </c>
      <c r="B4826" t="s">
        <v>5220</v>
      </c>
      <c r="C4826" s="1" t="s">
        <v>31247</v>
      </c>
      <c r="D4826">
        <v>1</v>
      </c>
      <c r="E4826" t="s">
        <v>5220</v>
      </c>
      <c r="G4826" s="3"/>
      <c r="H4826" s="3">
        <v>0</v>
      </c>
      <c r="I4826" s="3">
        <v>0</v>
      </c>
      <c r="J4826" s="3">
        <v>0</v>
      </c>
      <c r="K4826" s="3">
        <v>0</v>
      </c>
      <c r="L4826" s="3">
        <f t="shared" si="204"/>
        <v>0</v>
      </c>
      <c r="M4826" s="3"/>
      <c r="N4826" s="3">
        <f t="shared" si="205"/>
        <v>0</v>
      </c>
      <c r="R4826" s="89"/>
      <c r="S4826" s="89">
        <f>100%-Table34[[#This Row],[PDF_initial fee]]</f>
        <v>1</v>
      </c>
      <c r="T4826" s="89"/>
      <c r="U4826" s="26"/>
      <c r="X4826" s="9"/>
    </row>
    <row r="4827" spans="1:24" hidden="1" x14ac:dyDescent="0.25">
      <c r="A4827">
        <v>920993</v>
      </c>
      <c r="B4827" t="s">
        <v>5221</v>
      </c>
      <c r="C4827" t="s">
        <v>8706</v>
      </c>
      <c r="D4827">
        <v>1</v>
      </c>
      <c r="E4827" t="s">
        <v>5221</v>
      </c>
      <c r="G4827" s="3"/>
      <c r="H4827" s="21">
        <v>0</v>
      </c>
      <c r="I4827" s="21">
        <v>0</v>
      </c>
      <c r="J4827" s="21">
        <v>0</v>
      </c>
      <c r="K4827" s="21">
        <v>0</v>
      </c>
      <c r="L4827" s="3">
        <f t="shared" si="204"/>
        <v>0</v>
      </c>
      <c r="M4827" s="3"/>
      <c r="N4827" s="3">
        <f t="shared" si="205"/>
        <v>0</v>
      </c>
      <c r="R4827" s="89"/>
      <c r="S4827" s="89">
        <f>100%-Table34[[#This Row],[PDF_initial fee]]</f>
        <v>1</v>
      </c>
      <c r="T4827" s="89"/>
      <c r="U4827" s="26"/>
      <c r="X4827" s="9"/>
    </row>
    <row r="4828" spans="1:24" hidden="1" x14ac:dyDescent="0.25">
      <c r="A4828">
        <v>921103</v>
      </c>
      <c r="B4828" t="s">
        <v>5222</v>
      </c>
      <c r="C4828" t="s">
        <v>12495</v>
      </c>
      <c r="D4828">
        <v>4</v>
      </c>
      <c r="E4828" t="s">
        <v>5222</v>
      </c>
      <c r="G4828" s="3"/>
      <c r="H4828" s="3"/>
      <c r="I4828" s="3"/>
      <c r="J4828" s="3"/>
      <c r="K4828" s="3"/>
      <c r="L4828" s="3">
        <f t="shared" si="204"/>
        <v>0</v>
      </c>
      <c r="M4828" s="3"/>
      <c r="N4828" s="3">
        <f t="shared" si="205"/>
        <v>0</v>
      </c>
      <c r="R4828" s="89"/>
      <c r="S4828" s="89">
        <f>100%-Table34[[#This Row],[PDF_initial fee]]</f>
        <v>1</v>
      </c>
      <c r="T4828" s="89"/>
      <c r="U4828" s="26"/>
      <c r="X4828" s="9"/>
    </row>
    <row r="4829" spans="1:24" hidden="1" x14ac:dyDescent="0.25">
      <c r="A4829">
        <v>921294</v>
      </c>
      <c r="B4829" t="s">
        <v>5225</v>
      </c>
      <c r="C4829" t="s">
        <v>8355</v>
      </c>
      <c r="D4829">
        <v>2</v>
      </c>
      <c r="E4829" t="s">
        <v>5225</v>
      </c>
      <c r="G4829" s="3"/>
      <c r="H4829" s="39"/>
      <c r="I4829" s="39"/>
      <c r="J4829" s="39"/>
      <c r="K4829" s="39"/>
      <c r="L4829" s="3">
        <f t="shared" si="204"/>
        <v>0</v>
      </c>
      <c r="M4829" s="3"/>
      <c r="N4829" s="3">
        <f t="shared" si="205"/>
        <v>0</v>
      </c>
      <c r="R4829" s="89"/>
      <c r="S4829" s="89">
        <f>100%-Table34[[#This Row],[PDF_initial fee]]</f>
        <v>1</v>
      </c>
      <c r="T4829" s="89"/>
      <c r="U4829" s="26"/>
      <c r="X4829" s="9"/>
    </row>
    <row r="4830" spans="1:24" hidden="1" x14ac:dyDescent="0.25">
      <c r="A4830">
        <v>921339</v>
      </c>
      <c r="B4830" t="s">
        <v>5226</v>
      </c>
      <c r="C4830" t="s">
        <v>8038</v>
      </c>
      <c r="D4830">
        <v>3</v>
      </c>
      <c r="E4830" t="s">
        <v>5226</v>
      </c>
      <c r="G4830" s="3"/>
      <c r="H4830" s="21">
        <v>0</v>
      </c>
      <c r="I4830" s="21">
        <v>0</v>
      </c>
      <c r="J4830" s="21">
        <v>0</v>
      </c>
      <c r="K4830" s="21">
        <v>0</v>
      </c>
      <c r="L4830" s="3">
        <f t="shared" si="204"/>
        <v>0</v>
      </c>
      <c r="M4830" s="3"/>
      <c r="N4830" s="3">
        <f t="shared" si="205"/>
        <v>0</v>
      </c>
      <c r="R4830" s="89"/>
      <c r="S4830" s="89">
        <f>100%-Table34[[#This Row],[PDF_initial fee]]</f>
        <v>1</v>
      </c>
      <c r="T4830" s="89"/>
      <c r="U4830" s="26"/>
      <c r="X4830" s="9"/>
    </row>
    <row r="4831" spans="1:24" hidden="1" x14ac:dyDescent="0.25">
      <c r="A4831">
        <v>921376</v>
      </c>
      <c r="B4831" t="s">
        <v>5227</v>
      </c>
      <c r="C4831" t="s">
        <v>8551</v>
      </c>
      <c r="D4831">
        <v>5</v>
      </c>
      <c r="E4831" t="s">
        <v>5227</v>
      </c>
      <c r="G4831" s="3"/>
      <c r="H4831" s="21">
        <v>0</v>
      </c>
      <c r="I4831" s="21">
        <v>0</v>
      </c>
      <c r="J4831" s="21">
        <v>0</v>
      </c>
      <c r="K4831" s="21">
        <v>0</v>
      </c>
      <c r="L4831" s="3">
        <f t="shared" si="204"/>
        <v>0</v>
      </c>
      <c r="M4831" s="3"/>
      <c r="N4831" s="3">
        <f t="shared" si="205"/>
        <v>0</v>
      </c>
      <c r="R4831" s="89"/>
      <c r="S4831" s="89">
        <f>100%-Table34[[#This Row],[PDF_initial fee]]</f>
        <v>1</v>
      </c>
      <c r="T4831" s="89"/>
      <c r="U4831" s="26"/>
      <c r="X4831" s="9"/>
    </row>
    <row r="4832" spans="1:24" hidden="1" x14ac:dyDescent="0.25">
      <c r="A4832">
        <v>921450</v>
      </c>
      <c r="B4832" t="s">
        <v>5228</v>
      </c>
      <c r="C4832" t="s">
        <v>8530</v>
      </c>
      <c r="D4832">
        <v>5</v>
      </c>
      <c r="E4832" t="s">
        <v>5228</v>
      </c>
      <c r="G4832" s="3"/>
      <c r="H4832" s="21">
        <v>0</v>
      </c>
      <c r="I4832" s="21">
        <v>0</v>
      </c>
      <c r="J4832" s="21">
        <v>0</v>
      </c>
      <c r="K4832" s="21">
        <v>0</v>
      </c>
      <c r="L4832" s="3">
        <f t="shared" si="204"/>
        <v>0</v>
      </c>
      <c r="M4832" s="3"/>
      <c r="N4832" s="3">
        <f t="shared" si="205"/>
        <v>0</v>
      </c>
      <c r="R4832" s="89"/>
      <c r="S4832" s="89">
        <f>100%-Table34[[#This Row],[PDF_initial fee]]</f>
        <v>1</v>
      </c>
      <c r="T4832" s="89"/>
      <c r="U4832" s="26"/>
      <c r="X4832" s="9"/>
    </row>
    <row r="4833" spans="1:31" hidden="1" x14ac:dyDescent="0.25">
      <c r="A4833">
        <v>921503</v>
      </c>
      <c r="B4833" t="s">
        <v>5230</v>
      </c>
      <c r="C4833" t="s">
        <v>9751</v>
      </c>
      <c r="D4833">
        <v>1</v>
      </c>
      <c r="E4833" t="s">
        <v>5230</v>
      </c>
      <c r="G4833" s="3"/>
      <c r="H4833" s="3">
        <v>0</v>
      </c>
      <c r="I4833" s="3">
        <v>0</v>
      </c>
      <c r="J4833" s="3">
        <v>0</v>
      </c>
      <c r="K4833" s="3">
        <v>0</v>
      </c>
      <c r="L4833" s="3">
        <f t="shared" si="204"/>
        <v>0</v>
      </c>
      <c r="M4833" s="3"/>
      <c r="N4833" s="3">
        <f t="shared" si="205"/>
        <v>0</v>
      </c>
      <c r="R4833" s="89"/>
      <c r="S4833" s="89">
        <f>100%-Table34[[#This Row],[PDF_initial fee]]</f>
        <v>1</v>
      </c>
      <c r="T4833" s="89"/>
      <c r="U4833" s="26"/>
      <c r="X4833" s="9"/>
    </row>
    <row r="4834" spans="1:31" hidden="1" x14ac:dyDescent="0.25">
      <c r="A4834">
        <v>921536</v>
      </c>
      <c r="B4834" t="s">
        <v>5231</v>
      </c>
      <c r="C4834" t="s">
        <v>6958</v>
      </c>
      <c r="D4834">
        <v>7</v>
      </c>
      <c r="E4834" t="s">
        <v>5231</v>
      </c>
      <c r="F4834" t="s">
        <v>6958</v>
      </c>
      <c r="G4834" s="3"/>
      <c r="H4834" s="21">
        <v>0</v>
      </c>
      <c r="I4834" s="21">
        <v>0</v>
      </c>
      <c r="J4834" s="21">
        <v>0</v>
      </c>
      <c r="K4834" s="21">
        <v>0</v>
      </c>
      <c r="L4834" s="3">
        <f t="shared" si="204"/>
        <v>0</v>
      </c>
      <c r="M4834" s="3"/>
      <c r="N4834" s="3">
        <f t="shared" si="205"/>
        <v>0</v>
      </c>
      <c r="R4834" s="89"/>
      <c r="S4834" s="89">
        <f>100%-Table34[[#This Row],[PDF_initial fee]]</f>
        <v>1</v>
      </c>
      <c r="T4834" s="89"/>
      <c r="U4834" s="26"/>
      <c r="X4834" s="9"/>
    </row>
    <row r="4835" spans="1:31" hidden="1" x14ac:dyDescent="0.25">
      <c r="A4835">
        <v>921581</v>
      </c>
      <c r="B4835" t="s">
        <v>5232</v>
      </c>
      <c r="C4835" t="s">
        <v>31248</v>
      </c>
      <c r="D4835">
        <v>6</v>
      </c>
      <c r="E4835" t="s">
        <v>5232</v>
      </c>
      <c r="G4835" s="3"/>
      <c r="H4835" s="3">
        <v>0</v>
      </c>
      <c r="I4835" s="3">
        <v>0</v>
      </c>
      <c r="J4835" s="3">
        <v>0</v>
      </c>
      <c r="K4835" s="3">
        <v>0</v>
      </c>
      <c r="L4835" s="3">
        <f t="shared" si="204"/>
        <v>0</v>
      </c>
      <c r="M4835" s="3"/>
      <c r="N4835" s="3">
        <f t="shared" si="205"/>
        <v>0</v>
      </c>
      <c r="R4835" s="89"/>
      <c r="S4835" s="89">
        <f>100%-Table34[[#This Row],[PDF_initial fee]]</f>
        <v>1</v>
      </c>
      <c r="T4835" s="89"/>
      <c r="U4835" s="26"/>
      <c r="X4835" s="9"/>
    </row>
    <row r="4836" spans="1:31" hidden="1" x14ac:dyDescent="0.25">
      <c r="A4836">
        <v>921582</v>
      </c>
      <c r="B4836" t="s">
        <v>5233</v>
      </c>
      <c r="C4836" t="s">
        <v>31249</v>
      </c>
      <c r="D4836">
        <v>3</v>
      </c>
      <c r="E4836" t="s">
        <v>5233</v>
      </c>
      <c r="G4836" s="3"/>
      <c r="H4836" s="3">
        <v>0</v>
      </c>
      <c r="I4836" s="3">
        <v>0</v>
      </c>
      <c r="J4836" s="3">
        <v>0</v>
      </c>
      <c r="K4836" s="3">
        <v>0</v>
      </c>
      <c r="L4836" s="3">
        <f t="shared" si="204"/>
        <v>0</v>
      </c>
      <c r="M4836" s="3"/>
      <c r="N4836" s="3">
        <f t="shared" si="205"/>
        <v>0</v>
      </c>
      <c r="R4836" s="89"/>
      <c r="S4836" s="89">
        <f>100%-Table34[[#This Row],[PDF_initial fee]]</f>
        <v>1</v>
      </c>
      <c r="T4836" s="89"/>
      <c r="U4836" s="26"/>
      <c r="X4836" s="9"/>
    </row>
    <row r="4837" spans="1:31" hidden="1" x14ac:dyDescent="0.25">
      <c r="A4837">
        <v>921710</v>
      </c>
      <c r="B4837" t="s">
        <v>5234</v>
      </c>
      <c r="C4837" t="s">
        <v>6958</v>
      </c>
      <c r="D4837">
        <v>2</v>
      </c>
      <c r="E4837" t="s">
        <v>5234</v>
      </c>
      <c r="F4837" t="s">
        <v>6958</v>
      </c>
      <c r="G4837" s="3"/>
      <c r="L4837" s="3">
        <f t="shared" si="204"/>
        <v>0</v>
      </c>
      <c r="M4837" s="3"/>
      <c r="N4837" s="3">
        <f t="shared" si="205"/>
        <v>0</v>
      </c>
      <c r="R4837" s="89"/>
      <c r="S4837" s="89">
        <f>100%-Table34[[#This Row],[PDF_initial fee]]</f>
        <v>1</v>
      </c>
      <c r="T4837" s="89"/>
      <c r="U4837" s="26"/>
      <c r="X4837" s="9"/>
    </row>
    <row r="4838" spans="1:31" hidden="1" x14ac:dyDescent="0.25">
      <c r="A4838">
        <v>137914</v>
      </c>
      <c r="B4838" t="s">
        <v>52</v>
      </c>
      <c r="C4838" s="1" t="s">
        <v>31250</v>
      </c>
      <c r="D4838">
        <v>228</v>
      </c>
      <c r="E4838" t="s">
        <v>52</v>
      </c>
      <c r="F4838" t="s">
        <v>6</v>
      </c>
      <c r="G4838" s="3">
        <v>0.02</v>
      </c>
      <c r="H4838" s="21">
        <v>0.03</v>
      </c>
      <c r="I4838" s="3">
        <v>7.4999999999999997E-3</v>
      </c>
      <c r="J4838" s="6"/>
      <c r="K4838" s="6"/>
      <c r="L4838" s="3">
        <f t="shared" si="204"/>
        <v>3.7499999999999999E-2</v>
      </c>
      <c r="M4838" s="3"/>
      <c r="N4838" s="3">
        <f t="shared" si="205"/>
        <v>5.7499999999999996E-2</v>
      </c>
      <c r="O4838" t="s">
        <v>31251</v>
      </c>
      <c r="P4838" s="1" t="s">
        <v>31252</v>
      </c>
      <c r="Q4838" s="1" t="s">
        <v>31778</v>
      </c>
      <c r="R4838" s="89" t="s">
        <v>369</v>
      </c>
      <c r="S4838" s="89">
        <f>100%-Table34[[#This Row],[PDF_initial fee]]</f>
        <v>1</v>
      </c>
      <c r="T4838" s="89"/>
      <c r="U4838" s="26"/>
      <c r="V4838" s="10">
        <v>54908000</v>
      </c>
      <c r="W4838" t="s">
        <v>29051</v>
      </c>
      <c r="X4838" s="10">
        <v>43815000</v>
      </c>
      <c r="Y4838" s="30">
        <f>X4838/V4838</f>
        <v>0.79797115174473665</v>
      </c>
      <c r="Z4838" t="s">
        <v>29118</v>
      </c>
      <c r="AA4838" s="1" t="s">
        <v>31253</v>
      </c>
      <c r="AE4838" t="s">
        <v>31779</v>
      </c>
    </row>
    <row r="4839" spans="1:31" hidden="1" x14ac:dyDescent="0.25">
      <c r="A4839">
        <v>921915</v>
      </c>
      <c r="B4839" t="s">
        <v>5235</v>
      </c>
      <c r="C4839" t="s">
        <v>10959</v>
      </c>
      <c r="D4839">
        <v>1</v>
      </c>
      <c r="E4839" t="s">
        <v>5235</v>
      </c>
      <c r="G4839" s="3"/>
      <c r="H4839" s="3">
        <v>0</v>
      </c>
      <c r="I4839" s="3">
        <v>0</v>
      </c>
      <c r="J4839" s="3">
        <v>0</v>
      </c>
      <c r="K4839" s="3">
        <v>0</v>
      </c>
      <c r="L4839" s="3">
        <f t="shared" si="204"/>
        <v>0</v>
      </c>
      <c r="M4839" s="3"/>
      <c r="N4839" s="3">
        <f t="shared" si="205"/>
        <v>0</v>
      </c>
      <c r="R4839" s="89"/>
      <c r="S4839" s="89">
        <f>100%-Table34[[#This Row],[PDF_initial fee]]</f>
        <v>1</v>
      </c>
      <c r="T4839" s="89"/>
      <c r="U4839" s="26"/>
      <c r="X4839" s="9"/>
    </row>
    <row r="4840" spans="1:31" hidden="1" x14ac:dyDescent="0.25">
      <c r="A4840">
        <v>922010</v>
      </c>
      <c r="B4840" t="s">
        <v>5236</v>
      </c>
      <c r="C4840" t="s">
        <v>8623</v>
      </c>
      <c r="D4840">
        <v>1</v>
      </c>
      <c r="E4840" t="s">
        <v>5236</v>
      </c>
      <c r="G4840" s="3"/>
      <c r="H4840" s="21">
        <v>0</v>
      </c>
      <c r="I4840" s="21">
        <v>0</v>
      </c>
      <c r="J4840" s="21">
        <v>0</v>
      </c>
      <c r="K4840" s="21">
        <v>0</v>
      </c>
      <c r="L4840" s="3">
        <f t="shared" si="204"/>
        <v>0</v>
      </c>
      <c r="M4840" s="3"/>
      <c r="N4840" s="3">
        <f t="shared" si="205"/>
        <v>0</v>
      </c>
      <c r="R4840" s="89"/>
      <c r="S4840" s="89">
        <f>100%-Table34[[#This Row],[PDF_initial fee]]</f>
        <v>1</v>
      </c>
      <c r="T4840" s="89"/>
      <c r="U4840" s="26"/>
      <c r="X4840" s="9"/>
    </row>
    <row r="4841" spans="1:31" hidden="1" x14ac:dyDescent="0.25">
      <c r="A4841">
        <v>922187</v>
      </c>
      <c r="B4841" t="s">
        <v>5238</v>
      </c>
      <c r="C4841" s="1" t="s">
        <v>31254</v>
      </c>
      <c r="D4841">
        <v>2</v>
      </c>
      <c r="E4841" t="s">
        <v>5238</v>
      </c>
      <c r="G4841" s="3"/>
      <c r="H4841" s="3">
        <v>0</v>
      </c>
      <c r="I4841" s="3">
        <v>0</v>
      </c>
      <c r="J4841" s="3">
        <v>0</v>
      </c>
      <c r="K4841" s="3">
        <v>0</v>
      </c>
      <c r="L4841" s="3">
        <f t="shared" si="204"/>
        <v>0</v>
      </c>
      <c r="M4841" s="3"/>
      <c r="N4841" s="3">
        <f t="shared" si="205"/>
        <v>0</v>
      </c>
      <c r="R4841" s="89"/>
      <c r="S4841" s="89">
        <f>100%-Table34[[#This Row],[PDF_initial fee]]</f>
        <v>1</v>
      </c>
      <c r="T4841" s="89"/>
      <c r="U4841" s="26"/>
      <c r="X4841" s="9"/>
    </row>
    <row r="4842" spans="1:31" hidden="1" x14ac:dyDescent="0.25">
      <c r="A4842">
        <v>922221</v>
      </c>
      <c r="B4842" t="s">
        <v>5239</v>
      </c>
      <c r="C4842" t="s">
        <v>7431</v>
      </c>
      <c r="D4842">
        <v>23</v>
      </c>
      <c r="E4842" t="s">
        <v>5239</v>
      </c>
      <c r="G4842" s="3"/>
      <c r="H4842" s="39"/>
      <c r="I4842" s="39"/>
      <c r="J4842" s="39"/>
      <c r="K4842" s="39"/>
      <c r="L4842" s="3">
        <f t="shared" si="204"/>
        <v>0</v>
      </c>
      <c r="M4842" s="3"/>
      <c r="N4842" s="3">
        <f t="shared" si="205"/>
        <v>0</v>
      </c>
      <c r="R4842" s="89"/>
      <c r="S4842" s="89">
        <f>100%-Table34[[#This Row],[PDF_initial fee]]</f>
        <v>1</v>
      </c>
      <c r="T4842" s="89"/>
      <c r="U4842" s="26"/>
      <c r="X4842" s="9"/>
    </row>
    <row r="4843" spans="1:31" hidden="1" x14ac:dyDescent="0.25">
      <c r="A4843">
        <v>922435</v>
      </c>
      <c r="B4843" t="s">
        <v>5240</v>
      </c>
      <c r="C4843" t="s">
        <v>7273</v>
      </c>
      <c r="D4843">
        <v>1</v>
      </c>
      <c r="E4843" t="s">
        <v>5240</v>
      </c>
      <c r="G4843" s="3"/>
      <c r="H4843" s="21">
        <v>0</v>
      </c>
      <c r="I4843" s="21">
        <v>0</v>
      </c>
      <c r="J4843" s="21">
        <v>0</v>
      </c>
      <c r="K4843" s="21">
        <v>0</v>
      </c>
      <c r="L4843" s="3">
        <f t="shared" si="204"/>
        <v>0</v>
      </c>
      <c r="M4843" s="3"/>
      <c r="N4843" s="3">
        <f t="shared" si="205"/>
        <v>0</v>
      </c>
      <c r="R4843" s="89"/>
      <c r="S4843" s="89">
        <f>100%-Table34[[#This Row],[PDF_initial fee]]</f>
        <v>1</v>
      </c>
      <c r="T4843" s="89"/>
      <c r="U4843" s="26"/>
      <c r="X4843" s="9"/>
    </row>
    <row r="4844" spans="1:31" hidden="1" x14ac:dyDescent="0.25">
      <c r="A4844">
        <v>575235</v>
      </c>
      <c r="B4844" t="s">
        <v>227</v>
      </c>
      <c r="C4844" s="1" t="s">
        <v>31250</v>
      </c>
      <c r="D4844">
        <v>3</v>
      </c>
      <c r="E4844" t="s">
        <v>227</v>
      </c>
      <c r="F4844" t="s">
        <v>6</v>
      </c>
      <c r="G4844" s="3">
        <v>0.02</v>
      </c>
      <c r="H4844" s="21">
        <v>0.03</v>
      </c>
      <c r="I4844" s="3">
        <v>7.4999999999999997E-3</v>
      </c>
      <c r="J4844" s="6"/>
      <c r="K4844" s="6"/>
      <c r="L4844" s="3">
        <f t="shared" si="204"/>
        <v>3.7499999999999999E-2</v>
      </c>
      <c r="M4844" s="3"/>
      <c r="N4844" s="3">
        <f t="shared" si="205"/>
        <v>5.7499999999999996E-2</v>
      </c>
      <c r="P4844" s="1" t="s">
        <v>31252</v>
      </c>
      <c r="Q4844" s="1" t="s">
        <v>31778</v>
      </c>
      <c r="R4844" s="89" t="s">
        <v>369</v>
      </c>
      <c r="S4844" s="89">
        <f>100%-Table34[[#This Row],[PDF_initial fee]]</f>
        <v>1</v>
      </c>
      <c r="T4844" s="89"/>
      <c r="U4844" s="26"/>
      <c r="V4844" s="10">
        <v>54908000</v>
      </c>
      <c r="W4844" t="s">
        <v>29051</v>
      </c>
      <c r="X4844" s="10">
        <v>43815000</v>
      </c>
      <c r="Y4844" s="30">
        <f>X4844/V4844</f>
        <v>0.79797115174473665</v>
      </c>
      <c r="Z4844" t="s">
        <v>29118</v>
      </c>
      <c r="AA4844" s="1" t="s">
        <v>31253</v>
      </c>
      <c r="AD4844" s="1"/>
      <c r="AE4844" t="s">
        <v>31779</v>
      </c>
    </row>
    <row r="4845" spans="1:31" hidden="1" x14ac:dyDescent="0.25">
      <c r="A4845">
        <v>922829</v>
      </c>
      <c r="B4845" t="s">
        <v>5241</v>
      </c>
      <c r="C4845" t="s">
        <v>6958</v>
      </c>
      <c r="D4845">
        <v>1</v>
      </c>
      <c r="E4845" t="s">
        <v>5241</v>
      </c>
      <c r="F4845" t="s">
        <v>6958</v>
      </c>
      <c r="G4845" s="3"/>
      <c r="H4845" s="21">
        <v>0</v>
      </c>
      <c r="I4845" s="21">
        <v>0</v>
      </c>
      <c r="J4845" s="21">
        <v>0</v>
      </c>
      <c r="K4845" s="21">
        <v>0</v>
      </c>
      <c r="L4845" s="3">
        <f t="shared" si="204"/>
        <v>0</v>
      </c>
      <c r="M4845" s="3"/>
      <c r="N4845" s="3">
        <f t="shared" si="205"/>
        <v>0</v>
      </c>
      <c r="R4845" s="89"/>
      <c r="S4845" s="89">
        <f>100%-Table34[[#This Row],[PDF_initial fee]]</f>
        <v>1</v>
      </c>
      <c r="T4845" s="89"/>
      <c r="U4845" s="26"/>
      <c r="X4845" s="9"/>
    </row>
    <row r="4846" spans="1:31" hidden="1" x14ac:dyDescent="0.25">
      <c r="A4846">
        <v>922923</v>
      </c>
      <c r="B4846" t="s">
        <v>5242</v>
      </c>
      <c r="C4846" t="s">
        <v>11482</v>
      </c>
      <c r="D4846">
        <v>1</v>
      </c>
      <c r="E4846" t="s">
        <v>5242</v>
      </c>
      <c r="G4846" s="3"/>
      <c r="H4846" s="3">
        <v>0</v>
      </c>
      <c r="I4846" s="3">
        <v>0</v>
      </c>
      <c r="J4846" s="3">
        <v>0</v>
      </c>
      <c r="K4846" s="3">
        <v>0</v>
      </c>
      <c r="L4846" s="3">
        <f t="shared" si="204"/>
        <v>0</v>
      </c>
      <c r="M4846" s="3"/>
      <c r="N4846" s="3">
        <f t="shared" si="205"/>
        <v>0</v>
      </c>
      <c r="R4846" s="89"/>
      <c r="S4846" s="89">
        <f>100%-Table34[[#This Row],[PDF_initial fee]]</f>
        <v>1</v>
      </c>
      <c r="T4846" s="89"/>
      <c r="U4846" s="26"/>
      <c r="X4846" s="9"/>
    </row>
    <row r="4847" spans="1:31" hidden="1" x14ac:dyDescent="0.25">
      <c r="A4847">
        <v>922993</v>
      </c>
      <c r="B4847" t="s">
        <v>5243</v>
      </c>
      <c r="C4847" t="s">
        <v>6958</v>
      </c>
      <c r="D4847">
        <v>1</v>
      </c>
      <c r="E4847" t="s">
        <v>5243</v>
      </c>
      <c r="F4847" t="s">
        <v>6958</v>
      </c>
      <c r="G4847" s="3"/>
      <c r="H4847" s="21">
        <v>0</v>
      </c>
      <c r="I4847" s="21">
        <v>0</v>
      </c>
      <c r="J4847" s="21">
        <v>0</v>
      </c>
      <c r="K4847" s="21">
        <v>0</v>
      </c>
      <c r="L4847" s="3">
        <f t="shared" si="204"/>
        <v>0</v>
      </c>
      <c r="M4847" s="3"/>
      <c r="N4847" s="3">
        <f t="shared" si="205"/>
        <v>0</v>
      </c>
      <c r="R4847" s="89"/>
      <c r="S4847" s="89">
        <f>100%-Table34[[#This Row],[PDF_initial fee]]</f>
        <v>1</v>
      </c>
      <c r="T4847" s="89"/>
      <c r="U4847" s="26"/>
      <c r="X4847" s="9"/>
    </row>
    <row r="4848" spans="1:31" hidden="1" x14ac:dyDescent="0.25">
      <c r="A4848">
        <v>923235</v>
      </c>
      <c r="B4848" t="s">
        <v>5244</v>
      </c>
      <c r="C4848" t="s">
        <v>31255</v>
      </c>
      <c r="D4848">
        <v>5</v>
      </c>
      <c r="E4848" t="s">
        <v>5244</v>
      </c>
      <c r="G4848" s="3"/>
      <c r="H4848" s="21">
        <v>0</v>
      </c>
      <c r="I4848" s="21">
        <v>0</v>
      </c>
      <c r="J4848" s="21">
        <v>0</v>
      </c>
      <c r="K4848" s="21">
        <v>0</v>
      </c>
      <c r="L4848" s="3">
        <f t="shared" si="204"/>
        <v>0</v>
      </c>
      <c r="M4848" s="3"/>
      <c r="N4848" s="3">
        <f t="shared" si="205"/>
        <v>0</v>
      </c>
      <c r="O4848" s="21"/>
      <c r="R4848" s="89"/>
      <c r="S4848" s="89">
        <f>100%-Table34[[#This Row],[PDF_initial fee]]</f>
        <v>1</v>
      </c>
      <c r="T4848" s="89"/>
      <c r="U4848" s="26"/>
      <c r="X4848" s="9"/>
    </row>
    <row r="4849" spans="1:24" hidden="1" x14ac:dyDescent="0.25">
      <c r="A4849">
        <v>923347</v>
      </c>
      <c r="B4849" t="s">
        <v>5245</v>
      </c>
      <c r="C4849" t="s">
        <v>10281</v>
      </c>
      <c r="D4849">
        <v>1</v>
      </c>
      <c r="E4849" t="s">
        <v>5245</v>
      </c>
      <c r="G4849" s="3"/>
      <c r="H4849" s="3">
        <v>0</v>
      </c>
      <c r="I4849" s="3">
        <v>0</v>
      </c>
      <c r="J4849" s="3">
        <v>0</v>
      </c>
      <c r="K4849" s="3">
        <v>0</v>
      </c>
      <c r="L4849" s="3">
        <f t="shared" si="204"/>
        <v>0</v>
      </c>
      <c r="M4849" s="3"/>
      <c r="N4849" s="3">
        <f t="shared" si="205"/>
        <v>0</v>
      </c>
      <c r="R4849" s="89"/>
      <c r="S4849" s="89">
        <f>100%-Table34[[#This Row],[PDF_initial fee]]</f>
        <v>1</v>
      </c>
      <c r="T4849" s="89"/>
      <c r="U4849" s="26"/>
      <c r="X4849" s="9"/>
    </row>
    <row r="4850" spans="1:24" hidden="1" x14ac:dyDescent="0.25">
      <c r="A4850">
        <v>923398</v>
      </c>
      <c r="B4850" t="s">
        <v>5246</v>
      </c>
      <c r="C4850" t="s">
        <v>6958</v>
      </c>
      <c r="D4850">
        <v>1</v>
      </c>
      <c r="E4850" t="s">
        <v>5246</v>
      </c>
      <c r="F4850" t="s">
        <v>6958</v>
      </c>
      <c r="G4850" s="3"/>
      <c r="H4850" s="21">
        <v>0</v>
      </c>
      <c r="I4850" s="21">
        <v>0</v>
      </c>
      <c r="J4850" s="21">
        <v>0</v>
      </c>
      <c r="K4850" s="21">
        <v>0</v>
      </c>
      <c r="L4850" s="3">
        <f t="shared" ref="L4850:L4913" si="206">SUM(H4850:K4850)</f>
        <v>0</v>
      </c>
      <c r="M4850" s="3"/>
      <c r="N4850" s="3">
        <f t="shared" ref="N4850:N4913" si="207">L4850+G4850</f>
        <v>0</v>
      </c>
      <c r="R4850" s="89"/>
      <c r="S4850" s="89">
        <f>100%-Table34[[#This Row],[PDF_initial fee]]</f>
        <v>1</v>
      </c>
      <c r="T4850" s="89"/>
      <c r="U4850" s="26"/>
      <c r="X4850" s="9"/>
    </row>
    <row r="4851" spans="1:24" hidden="1" x14ac:dyDescent="0.25">
      <c r="A4851">
        <v>923697</v>
      </c>
      <c r="B4851" t="s">
        <v>5247</v>
      </c>
      <c r="C4851" t="s">
        <v>11432</v>
      </c>
      <c r="D4851">
        <v>1</v>
      </c>
      <c r="E4851" t="s">
        <v>5247</v>
      </c>
      <c r="G4851" s="3"/>
      <c r="H4851" s="3">
        <v>0</v>
      </c>
      <c r="I4851" s="3">
        <v>0</v>
      </c>
      <c r="J4851" s="3">
        <v>0</v>
      </c>
      <c r="K4851" s="3">
        <v>0</v>
      </c>
      <c r="L4851" s="3">
        <f t="shared" si="206"/>
        <v>0</v>
      </c>
      <c r="M4851" s="3"/>
      <c r="N4851" s="3">
        <f t="shared" si="207"/>
        <v>0</v>
      </c>
      <c r="R4851" s="89"/>
      <c r="S4851" s="89">
        <f>100%-Table34[[#This Row],[PDF_initial fee]]</f>
        <v>1</v>
      </c>
      <c r="T4851" s="89"/>
      <c r="U4851" s="26"/>
      <c r="X4851" s="9"/>
    </row>
    <row r="4852" spans="1:24" hidden="1" x14ac:dyDescent="0.25">
      <c r="A4852">
        <v>923726</v>
      </c>
      <c r="B4852" t="s">
        <v>5248</v>
      </c>
      <c r="C4852" t="s">
        <v>10921</v>
      </c>
      <c r="D4852">
        <v>3</v>
      </c>
      <c r="E4852" t="s">
        <v>5248</v>
      </c>
      <c r="G4852" s="3"/>
      <c r="H4852" s="3">
        <v>0</v>
      </c>
      <c r="I4852" s="3">
        <v>0</v>
      </c>
      <c r="J4852" s="3">
        <v>0</v>
      </c>
      <c r="K4852" s="3">
        <v>0</v>
      </c>
      <c r="L4852" s="3">
        <f t="shared" si="206"/>
        <v>0</v>
      </c>
      <c r="M4852" s="3"/>
      <c r="N4852" s="3">
        <f t="shared" si="207"/>
        <v>0</v>
      </c>
      <c r="R4852" s="89"/>
      <c r="S4852" s="89">
        <f>100%-Table34[[#This Row],[PDF_initial fee]]</f>
        <v>1</v>
      </c>
      <c r="T4852" s="89"/>
      <c r="U4852" s="26"/>
      <c r="X4852" s="9"/>
    </row>
    <row r="4853" spans="1:24" hidden="1" x14ac:dyDescent="0.25">
      <c r="A4853">
        <v>923809</v>
      </c>
      <c r="B4853" t="s">
        <v>5249</v>
      </c>
      <c r="C4853" t="s">
        <v>8666</v>
      </c>
      <c r="D4853">
        <v>1</v>
      </c>
      <c r="E4853" t="s">
        <v>5249</v>
      </c>
      <c r="G4853" s="3"/>
      <c r="L4853" s="3">
        <f t="shared" si="206"/>
        <v>0</v>
      </c>
      <c r="M4853" s="3"/>
      <c r="N4853" s="3">
        <f t="shared" si="207"/>
        <v>0</v>
      </c>
      <c r="R4853" s="89"/>
      <c r="S4853" s="89">
        <f>100%-Table34[[#This Row],[PDF_initial fee]]</f>
        <v>1</v>
      </c>
      <c r="T4853" s="89"/>
      <c r="U4853" s="26"/>
      <c r="X4853" s="9"/>
    </row>
    <row r="4854" spans="1:24" hidden="1" x14ac:dyDescent="0.25">
      <c r="A4854">
        <v>923827</v>
      </c>
      <c r="B4854" t="s">
        <v>5250</v>
      </c>
      <c r="C4854" t="s">
        <v>31256</v>
      </c>
      <c r="D4854">
        <v>17</v>
      </c>
      <c r="E4854" t="s">
        <v>5250</v>
      </c>
      <c r="G4854" s="3"/>
      <c r="H4854" s="21">
        <v>0</v>
      </c>
      <c r="I4854" s="21">
        <v>0</v>
      </c>
      <c r="J4854" s="21">
        <v>0</v>
      </c>
      <c r="K4854" s="21">
        <v>0</v>
      </c>
      <c r="L4854" s="3">
        <f t="shared" si="206"/>
        <v>0</v>
      </c>
      <c r="M4854" s="3"/>
      <c r="N4854" s="3">
        <f t="shared" si="207"/>
        <v>0</v>
      </c>
      <c r="O4854" s="21"/>
      <c r="R4854" s="89"/>
      <c r="S4854" s="89">
        <f>100%-Table34[[#This Row],[PDF_initial fee]]</f>
        <v>1</v>
      </c>
      <c r="T4854" s="89"/>
      <c r="U4854" s="26"/>
      <c r="X4854" s="9"/>
    </row>
    <row r="4855" spans="1:24" hidden="1" x14ac:dyDescent="0.25">
      <c r="A4855">
        <v>924279</v>
      </c>
      <c r="B4855" t="s">
        <v>5251</v>
      </c>
      <c r="C4855" t="s">
        <v>6958</v>
      </c>
      <c r="D4855">
        <v>1</v>
      </c>
      <c r="E4855" t="s">
        <v>5251</v>
      </c>
      <c r="F4855" t="s">
        <v>6958</v>
      </c>
      <c r="G4855" s="3"/>
      <c r="H4855" s="21">
        <v>0</v>
      </c>
      <c r="I4855" s="21">
        <v>0</v>
      </c>
      <c r="J4855" s="21">
        <v>0</v>
      </c>
      <c r="K4855" s="21">
        <v>0</v>
      </c>
      <c r="L4855" s="3">
        <f t="shared" si="206"/>
        <v>0</v>
      </c>
      <c r="M4855" s="3"/>
      <c r="N4855" s="3">
        <f t="shared" si="207"/>
        <v>0</v>
      </c>
      <c r="R4855" s="89"/>
      <c r="S4855" s="89">
        <f>100%-Table34[[#This Row],[PDF_initial fee]]</f>
        <v>1</v>
      </c>
      <c r="T4855" s="89"/>
      <c r="U4855" s="26"/>
      <c r="X4855" s="9"/>
    </row>
    <row r="4856" spans="1:24" hidden="1" x14ac:dyDescent="0.25">
      <c r="A4856">
        <v>924298</v>
      </c>
      <c r="B4856" t="s">
        <v>5252</v>
      </c>
      <c r="C4856" t="s">
        <v>8957</v>
      </c>
      <c r="D4856">
        <v>1</v>
      </c>
      <c r="E4856" t="s">
        <v>5252</v>
      </c>
      <c r="G4856" s="3"/>
      <c r="H4856" s="21">
        <v>0</v>
      </c>
      <c r="I4856" s="21">
        <v>0</v>
      </c>
      <c r="J4856" s="21">
        <v>0</v>
      </c>
      <c r="K4856" s="21">
        <v>0</v>
      </c>
      <c r="L4856" s="3">
        <f t="shared" si="206"/>
        <v>0</v>
      </c>
      <c r="M4856" s="3"/>
      <c r="N4856" s="3">
        <f t="shared" si="207"/>
        <v>0</v>
      </c>
      <c r="R4856" s="89"/>
      <c r="S4856" s="89">
        <f>100%-Table34[[#This Row],[PDF_initial fee]]</f>
        <v>1</v>
      </c>
      <c r="T4856" s="89"/>
      <c r="U4856" s="26"/>
      <c r="X4856" s="9"/>
    </row>
    <row r="4857" spans="1:24" hidden="1" x14ac:dyDescent="0.25">
      <c r="A4857">
        <v>924689</v>
      </c>
      <c r="B4857" t="s">
        <v>5253</v>
      </c>
      <c r="C4857" t="s">
        <v>6963</v>
      </c>
      <c r="D4857">
        <v>1</v>
      </c>
      <c r="E4857" t="s">
        <v>5253</v>
      </c>
      <c r="G4857" s="3"/>
      <c r="H4857" s="21">
        <v>0</v>
      </c>
      <c r="I4857" s="21">
        <v>0</v>
      </c>
      <c r="J4857" s="21">
        <v>0</v>
      </c>
      <c r="K4857" s="21">
        <v>0</v>
      </c>
      <c r="L4857" s="3">
        <f t="shared" si="206"/>
        <v>0</v>
      </c>
      <c r="M4857" s="3"/>
      <c r="N4857" s="3">
        <f t="shared" si="207"/>
        <v>0</v>
      </c>
      <c r="R4857" s="89"/>
      <c r="S4857" s="89">
        <f>100%-Table34[[#This Row],[PDF_initial fee]]</f>
        <v>1</v>
      </c>
      <c r="T4857" s="89"/>
      <c r="U4857" s="26"/>
      <c r="X4857" s="9"/>
    </row>
    <row r="4858" spans="1:24" hidden="1" x14ac:dyDescent="0.25">
      <c r="A4858">
        <v>924765</v>
      </c>
      <c r="B4858" t="s">
        <v>5254</v>
      </c>
      <c r="C4858" t="s">
        <v>9290</v>
      </c>
      <c r="D4858">
        <v>2</v>
      </c>
      <c r="E4858" t="s">
        <v>5254</v>
      </c>
      <c r="G4858" s="3"/>
      <c r="H4858" s="21">
        <v>0</v>
      </c>
      <c r="I4858" s="21">
        <v>0</v>
      </c>
      <c r="J4858" s="21">
        <v>0</v>
      </c>
      <c r="K4858" s="21">
        <v>0</v>
      </c>
      <c r="L4858" s="3">
        <f t="shared" si="206"/>
        <v>0</v>
      </c>
      <c r="M4858" s="3"/>
      <c r="N4858" s="3">
        <f t="shared" si="207"/>
        <v>0</v>
      </c>
      <c r="R4858" s="89"/>
      <c r="S4858" s="89">
        <f>100%-Table34[[#This Row],[PDF_initial fee]]</f>
        <v>1</v>
      </c>
      <c r="T4858" s="89"/>
      <c r="U4858" s="26"/>
      <c r="X4858" s="9"/>
    </row>
    <row r="4859" spans="1:24" hidden="1" x14ac:dyDescent="0.25">
      <c r="A4859">
        <v>924826</v>
      </c>
      <c r="B4859" t="s">
        <v>5255</v>
      </c>
      <c r="C4859" t="s">
        <v>9296</v>
      </c>
      <c r="D4859">
        <v>1</v>
      </c>
      <c r="E4859" t="s">
        <v>5255</v>
      </c>
      <c r="G4859" s="3"/>
      <c r="H4859" s="21">
        <v>0</v>
      </c>
      <c r="I4859" s="21">
        <v>0</v>
      </c>
      <c r="J4859" s="21">
        <v>0</v>
      </c>
      <c r="K4859" s="21">
        <v>0</v>
      </c>
      <c r="L4859" s="3">
        <f t="shared" si="206"/>
        <v>0</v>
      </c>
      <c r="M4859" s="3"/>
      <c r="N4859" s="3">
        <f t="shared" si="207"/>
        <v>0</v>
      </c>
      <c r="R4859" s="89"/>
      <c r="S4859" s="89">
        <f>100%-Table34[[#This Row],[PDF_initial fee]]</f>
        <v>1</v>
      </c>
      <c r="T4859" s="89"/>
      <c r="U4859" s="26"/>
      <c r="X4859" s="9"/>
    </row>
    <row r="4860" spans="1:24" hidden="1" x14ac:dyDescent="0.25">
      <c r="A4860">
        <v>924828</v>
      </c>
      <c r="B4860" t="s">
        <v>5256</v>
      </c>
      <c r="C4860" t="s">
        <v>10189</v>
      </c>
      <c r="D4860">
        <v>1</v>
      </c>
      <c r="E4860" t="s">
        <v>5256</v>
      </c>
      <c r="G4860" s="3"/>
      <c r="H4860" s="3">
        <v>0</v>
      </c>
      <c r="I4860" s="3">
        <v>0</v>
      </c>
      <c r="J4860" s="3">
        <v>0</v>
      </c>
      <c r="K4860" s="3">
        <v>0</v>
      </c>
      <c r="L4860" s="3">
        <f t="shared" si="206"/>
        <v>0</v>
      </c>
      <c r="M4860" s="3"/>
      <c r="N4860" s="3">
        <f t="shared" si="207"/>
        <v>0</v>
      </c>
      <c r="R4860" s="89"/>
      <c r="S4860" s="89">
        <f>100%-Table34[[#This Row],[PDF_initial fee]]</f>
        <v>1</v>
      </c>
      <c r="T4860" s="89"/>
      <c r="U4860" s="26"/>
      <c r="X4860" s="9"/>
    </row>
    <row r="4861" spans="1:24" hidden="1" x14ac:dyDescent="0.25">
      <c r="A4861">
        <v>924839</v>
      </c>
      <c r="B4861" t="s">
        <v>5257</v>
      </c>
      <c r="C4861" t="s">
        <v>9120</v>
      </c>
      <c r="D4861">
        <v>3</v>
      </c>
      <c r="E4861" t="s">
        <v>5257</v>
      </c>
      <c r="G4861" s="3"/>
      <c r="H4861" s="21">
        <v>0</v>
      </c>
      <c r="I4861" s="21">
        <v>0</v>
      </c>
      <c r="J4861" s="21">
        <v>0</v>
      </c>
      <c r="K4861" s="21">
        <v>0</v>
      </c>
      <c r="L4861" s="3">
        <f t="shared" si="206"/>
        <v>0</v>
      </c>
      <c r="M4861" s="3"/>
      <c r="N4861" s="3">
        <f t="shared" si="207"/>
        <v>0</v>
      </c>
      <c r="R4861" s="89"/>
      <c r="S4861" s="89">
        <f>100%-Table34[[#This Row],[PDF_initial fee]]</f>
        <v>1</v>
      </c>
      <c r="T4861" s="89"/>
      <c r="U4861" s="26"/>
      <c r="X4861" s="9"/>
    </row>
    <row r="4862" spans="1:24" hidden="1" x14ac:dyDescent="0.25">
      <c r="A4862">
        <v>924928</v>
      </c>
      <c r="B4862" t="s">
        <v>5258</v>
      </c>
      <c r="C4862" t="s">
        <v>31257</v>
      </c>
      <c r="D4862">
        <v>2</v>
      </c>
      <c r="E4862" t="s">
        <v>5258</v>
      </c>
      <c r="G4862" s="3"/>
      <c r="H4862" s="21">
        <v>0</v>
      </c>
      <c r="I4862" s="21">
        <v>0</v>
      </c>
      <c r="J4862" s="21">
        <v>0</v>
      </c>
      <c r="K4862" s="21">
        <v>0</v>
      </c>
      <c r="L4862" s="3">
        <f t="shared" si="206"/>
        <v>0</v>
      </c>
      <c r="M4862" s="3"/>
      <c r="N4862" s="3">
        <f t="shared" si="207"/>
        <v>0</v>
      </c>
      <c r="O4862" s="21"/>
      <c r="R4862" s="89"/>
      <c r="S4862" s="89">
        <f>100%-Table34[[#This Row],[PDF_initial fee]]</f>
        <v>1</v>
      </c>
      <c r="T4862" s="89"/>
      <c r="U4862" s="26"/>
      <c r="X4862" s="9"/>
    </row>
    <row r="4863" spans="1:24" hidden="1" x14ac:dyDescent="0.25">
      <c r="A4863">
        <v>924983</v>
      </c>
      <c r="B4863" t="s">
        <v>5259</v>
      </c>
      <c r="C4863" t="s">
        <v>6958</v>
      </c>
      <c r="D4863">
        <v>1</v>
      </c>
      <c r="E4863" t="s">
        <v>5259</v>
      </c>
      <c r="F4863" t="s">
        <v>6958</v>
      </c>
      <c r="G4863" s="3"/>
      <c r="H4863" s="21">
        <v>0</v>
      </c>
      <c r="I4863" s="21">
        <v>0</v>
      </c>
      <c r="J4863" s="21">
        <v>0</v>
      </c>
      <c r="K4863" s="21">
        <v>0</v>
      </c>
      <c r="L4863" s="3">
        <f t="shared" si="206"/>
        <v>0</v>
      </c>
      <c r="M4863" s="3"/>
      <c r="N4863" s="3">
        <f t="shared" si="207"/>
        <v>0</v>
      </c>
      <c r="R4863" s="89"/>
      <c r="S4863" s="89">
        <f>100%-Table34[[#This Row],[PDF_initial fee]]</f>
        <v>1</v>
      </c>
      <c r="T4863" s="89"/>
      <c r="U4863" s="26"/>
      <c r="X4863" s="9"/>
    </row>
    <row r="4864" spans="1:24" hidden="1" x14ac:dyDescent="0.25">
      <c r="A4864">
        <v>924987</v>
      </c>
      <c r="B4864" t="s">
        <v>5260</v>
      </c>
      <c r="C4864" t="s">
        <v>10046</v>
      </c>
      <c r="D4864">
        <v>2</v>
      </c>
      <c r="E4864" t="s">
        <v>5260</v>
      </c>
      <c r="G4864" s="3"/>
      <c r="H4864" s="3">
        <v>0</v>
      </c>
      <c r="I4864" s="3">
        <v>0</v>
      </c>
      <c r="J4864" s="3">
        <v>0</v>
      </c>
      <c r="K4864" s="3">
        <v>0</v>
      </c>
      <c r="L4864" s="3">
        <f t="shared" si="206"/>
        <v>0</v>
      </c>
      <c r="M4864" s="3"/>
      <c r="N4864" s="3">
        <f t="shared" si="207"/>
        <v>0</v>
      </c>
      <c r="R4864" s="89"/>
      <c r="S4864" s="89">
        <f>100%-Table34[[#This Row],[PDF_initial fee]]</f>
        <v>1</v>
      </c>
      <c r="T4864" s="89"/>
      <c r="U4864" s="26"/>
      <c r="X4864" s="9"/>
    </row>
    <row r="4865" spans="1:24" hidden="1" x14ac:dyDescent="0.25">
      <c r="A4865">
        <v>925053</v>
      </c>
      <c r="B4865" t="s">
        <v>5261</v>
      </c>
      <c r="C4865" t="s">
        <v>6958</v>
      </c>
      <c r="D4865">
        <v>1</v>
      </c>
      <c r="E4865" t="s">
        <v>5261</v>
      </c>
      <c r="F4865" t="s">
        <v>6958</v>
      </c>
      <c r="G4865" s="3"/>
      <c r="H4865" s="21">
        <v>0</v>
      </c>
      <c r="I4865" s="21">
        <v>0</v>
      </c>
      <c r="J4865" s="21">
        <v>0</v>
      </c>
      <c r="K4865" s="21">
        <v>0</v>
      </c>
      <c r="L4865" s="3">
        <f t="shared" si="206"/>
        <v>0</v>
      </c>
      <c r="M4865" s="3"/>
      <c r="N4865" s="3">
        <f t="shared" si="207"/>
        <v>0</v>
      </c>
      <c r="R4865" s="89"/>
      <c r="S4865" s="89">
        <f>100%-Table34[[#This Row],[PDF_initial fee]]</f>
        <v>1</v>
      </c>
      <c r="T4865" s="89"/>
      <c r="U4865" s="26"/>
      <c r="X4865" s="9"/>
    </row>
    <row r="4866" spans="1:24" hidden="1" x14ac:dyDescent="0.25">
      <c r="A4866">
        <v>925064</v>
      </c>
      <c r="B4866" t="s">
        <v>5263</v>
      </c>
      <c r="C4866" t="s">
        <v>11413</v>
      </c>
      <c r="D4866">
        <v>2</v>
      </c>
      <c r="E4866" t="s">
        <v>5263</v>
      </c>
      <c r="G4866" s="3"/>
      <c r="H4866" s="3">
        <v>0</v>
      </c>
      <c r="I4866" s="3">
        <v>0</v>
      </c>
      <c r="J4866" s="3">
        <v>0</v>
      </c>
      <c r="K4866" s="3">
        <v>0</v>
      </c>
      <c r="L4866" s="3">
        <f t="shared" si="206"/>
        <v>0</v>
      </c>
      <c r="M4866" s="3"/>
      <c r="N4866" s="3">
        <f t="shared" si="207"/>
        <v>0</v>
      </c>
      <c r="R4866" s="89"/>
      <c r="S4866" s="89">
        <f>100%-Table34[[#This Row],[PDF_initial fee]]</f>
        <v>1</v>
      </c>
      <c r="T4866" s="89"/>
      <c r="U4866" s="26"/>
      <c r="X4866" s="9"/>
    </row>
    <row r="4867" spans="1:24" hidden="1" x14ac:dyDescent="0.25">
      <c r="A4867">
        <v>925093</v>
      </c>
      <c r="B4867" t="s">
        <v>5264</v>
      </c>
      <c r="C4867" t="s">
        <v>7341</v>
      </c>
      <c r="D4867">
        <v>2</v>
      </c>
      <c r="E4867" t="s">
        <v>5264</v>
      </c>
      <c r="G4867" s="3"/>
      <c r="H4867" s="21">
        <v>0</v>
      </c>
      <c r="I4867" s="21">
        <v>0</v>
      </c>
      <c r="J4867" s="21">
        <v>0</v>
      </c>
      <c r="K4867" s="21">
        <v>0</v>
      </c>
      <c r="L4867" s="3">
        <f t="shared" si="206"/>
        <v>0</v>
      </c>
      <c r="M4867" s="3"/>
      <c r="N4867" s="3">
        <f t="shared" si="207"/>
        <v>0</v>
      </c>
      <c r="R4867" s="89"/>
      <c r="S4867" s="89">
        <f>100%-Table34[[#This Row],[PDF_initial fee]]</f>
        <v>1</v>
      </c>
      <c r="T4867" s="89"/>
      <c r="U4867" s="26"/>
      <c r="X4867" s="9"/>
    </row>
    <row r="4868" spans="1:24" hidden="1" x14ac:dyDescent="0.25">
      <c r="A4868">
        <v>925160</v>
      </c>
      <c r="B4868" t="s">
        <v>5265</v>
      </c>
      <c r="C4868" t="s">
        <v>6958</v>
      </c>
      <c r="D4868">
        <v>1</v>
      </c>
      <c r="E4868" t="s">
        <v>5265</v>
      </c>
      <c r="F4868" t="s">
        <v>6958</v>
      </c>
      <c r="G4868" s="3"/>
      <c r="H4868" s="21">
        <v>0</v>
      </c>
      <c r="I4868" s="21">
        <v>0</v>
      </c>
      <c r="J4868" s="21">
        <v>0</v>
      </c>
      <c r="K4868" s="21">
        <v>0</v>
      </c>
      <c r="L4868" s="3">
        <f t="shared" si="206"/>
        <v>0</v>
      </c>
      <c r="M4868" s="3"/>
      <c r="N4868" s="3">
        <f t="shared" si="207"/>
        <v>0</v>
      </c>
      <c r="R4868" s="89"/>
      <c r="S4868" s="89">
        <f>100%-Table34[[#This Row],[PDF_initial fee]]</f>
        <v>1</v>
      </c>
      <c r="T4868" s="89"/>
      <c r="U4868" s="26"/>
      <c r="X4868" s="9"/>
    </row>
    <row r="4869" spans="1:24" hidden="1" x14ac:dyDescent="0.25">
      <c r="A4869">
        <v>925203</v>
      </c>
      <c r="B4869" t="s">
        <v>5266</v>
      </c>
      <c r="C4869" t="s">
        <v>10462</v>
      </c>
      <c r="D4869">
        <v>1</v>
      </c>
      <c r="E4869" t="s">
        <v>5266</v>
      </c>
      <c r="G4869" s="3"/>
      <c r="H4869" s="3">
        <v>0</v>
      </c>
      <c r="I4869" s="3">
        <v>0</v>
      </c>
      <c r="J4869" s="3">
        <v>0</v>
      </c>
      <c r="K4869" s="3">
        <v>0</v>
      </c>
      <c r="L4869" s="3">
        <f t="shared" si="206"/>
        <v>0</v>
      </c>
      <c r="M4869" s="3"/>
      <c r="N4869" s="3">
        <f t="shared" si="207"/>
        <v>0</v>
      </c>
      <c r="R4869" s="89"/>
      <c r="S4869" s="89">
        <f>100%-Table34[[#This Row],[PDF_initial fee]]</f>
        <v>1</v>
      </c>
      <c r="T4869" s="89"/>
      <c r="U4869" s="26"/>
      <c r="X4869" s="9"/>
    </row>
    <row r="4870" spans="1:24" hidden="1" x14ac:dyDescent="0.25">
      <c r="A4870">
        <v>925231</v>
      </c>
      <c r="B4870" t="s">
        <v>5267</v>
      </c>
      <c r="C4870" t="s">
        <v>31258</v>
      </c>
      <c r="D4870">
        <v>0</v>
      </c>
      <c r="E4870" t="s">
        <v>5267</v>
      </c>
      <c r="F4870" t="s">
        <v>3</v>
      </c>
      <c r="G4870" s="3"/>
      <c r="H4870" s="3">
        <v>0</v>
      </c>
      <c r="I4870" s="3">
        <v>0</v>
      </c>
      <c r="J4870" s="3">
        <v>0</v>
      </c>
      <c r="K4870" s="3">
        <v>0</v>
      </c>
      <c r="L4870" s="3">
        <f t="shared" si="206"/>
        <v>0</v>
      </c>
      <c r="M4870" s="3"/>
      <c r="N4870" s="3">
        <f t="shared" si="207"/>
        <v>0</v>
      </c>
      <c r="R4870" s="89"/>
      <c r="S4870" s="89">
        <f>100%-Table34[[#This Row],[PDF_initial fee]]</f>
        <v>1</v>
      </c>
      <c r="T4870" s="89"/>
      <c r="U4870" s="26"/>
      <c r="X4870" s="9"/>
    </row>
    <row r="4871" spans="1:24" hidden="1" x14ac:dyDescent="0.25">
      <c r="A4871">
        <v>925583</v>
      </c>
      <c r="B4871" t="s">
        <v>5268</v>
      </c>
      <c r="C4871" s="1" t="s">
        <v>31259</v>
      </c>
      <c r="D4871">
        <v>1</v>
      </c>
      <c r="E4871" t="s">
        <v>5268</v>
      </c>
      <c r="G4871" s="3"/>
      <c r="H4871" s="3">
        <v>0</v>
      </c>
      <c r="I4871" s="3">
        <v>0</v>
      </c>
      <c r="J4871" s="3">
        <v>0</v>
      </c>
      <c r="K4871" s="3">
        <v>0</v>
      </c>
      <c r="L4871" s="3">
        <f t="shared" si="206"/>
        <v>0</v>
      </c>
      <c r="M4871" s="3"/>
      <c r="N4871" s="3">
        <f t="shared" si="207"/>
        <v>0</v>
      </c>
      <c r="R4871" s="89"/>
      <c r="S4871" s="89">
        <f>100%-Table34[[#This Row],[PDF_initial fee]]</f>
        <v>1</v>
      </c>
      <c r="T4871" s="89"/>
      <c r="U4871" s="26"/>
      <c r="X4871" s="9"/>
    </row>
    <row r="4872" spans="1:24" hidden="1" x14ac:dyDescent="0.25">
      <c r="A4872">
        <v>925667</v>
      </c>
      <c r="B4872" t="s">
        <v>5269</v>
      </c>
      <c r="C4872" t="s">
        <v>7367</v>
      </c>
      <c r="D4872">
        <v>1</v>
      </c>
      <c r="E4872" t="s">
        <v>5269</v>
      </c>
      <c r="G4872" s="3"/>
      <c r="H4872" s="21">
        <v>0</v>
      </c>
      <c r="I4872" s="21">
        <v>0</v>
      </c>
      <c r="J4872" s="21">
        <v>0</v>
      </c>
      <c r="K4872" s="21">
        <v>0</v>
      </c>
      <c r="L4872" s="3">
        <f t="shared" si="206"/>
        <v>0</v>
      </c>
      <c r="M4872" s="3"/>
      <c r="N4872" s="3">
        <f t="shared" si="207"/>
        <v>0</v>
      </c>
      <c r="R4872" s="89"/>
      <c r="S4872" s="89">
        <f>100%-Table34[[#This Row],[PDF_initial fee]]</f>
        <v>1</v>
      </c>
      <c r="T4872" s="89"/>
      <c r="U4872" s="26"/>
      <c r="X4872" s="9"/>
    </row>
    <row r="4873" spans="1:24" hidden="1" x14ac:dyDescent="0.25">
      <c r="A4873">
        <v>925725</v>
      </c>
      <c r="B4873" t="s">
        <v>5270</v>
      </c>
      <c r="C4873" t="s">
        <v>6958</v>
      </c>
      <c r="D4873">
        <v>1</v>
      </c>
      <c r="E4873" t="s">
        <v>5270</v>
      </c>
      <c r="F4873" t="s">
        <v>6958</v>
      </c>
      <c r="G4873" s="3"/>
      <c r="H4873" s="21">
        <v>0</v>
      </c>
      <c r="I4873" s="21">
        <v>0</v>
      </c>
      <c r="J4873" s="21">
        <v>0</v>
      </c>
      <c r="K4873" s="21">
        <v>0</v>
      </c>
      <c r="L4873" s="3">
        <f t="shared" si="206"/>
        <v>0</v>
      </c>
      <c r="M4873" s="3"/>
      <c r="N4873" s="3">
        <f t="shared" si="207"/>
        <v>0</v>
      </c>
      <c r="R4873" s="89"/>
      <c r="S4873" s="89">
        <f>100%-Table34[[#This Row],[PDF_initial fee]]</f>
        <v>1</v>
      </c>
      <c r="T4873" s="89"/>
      <c r="U4873" s="26"/>
      <c r="X4873" s="9"/>
    </row>
    <row r="4874" spans="1:24" hidden="1" x14ac:dyDescent="0.25">
      <c r="A4874">
        <v>925792</v>
      </c>
      <c r="B4874" t="s">
        <v>5271</v>
      </c>
      <c r="C4874" t="s">
        <v>31260</v>
      </c>
      <c r="D4874">
        <v>1</v>
      </c>
      <c r="E4874" t="s">
        <v>5271</v>
      </c>
      <c r="G4874" s="3"/>
      <c r="H4874" s="3">
        <v>0</v>
      </c>
      <c r="I4874" s="3">
        <v>0</v>
      </c>
      <c r="J4874" s="3">
        <v>0</v>
      </c>
      <c r="K4874" s="3">
        <v>0</v>
      </c>
      <c r="L4874" s="3">
        <f t="shared" si="206"/>
        <v>0</v>
      </c>
      <c r="M4874" s="3"/>
      <c r="N4874" s="3">
        <f t="shared" si="207"/>
        <v>0</v>
      </c>
      <c r="R4874" s="89"/>
      <c r="S4874" s="89">
        <f>100%-Table34[[#This Row],[PDF_initial fee]]</f>
        <v>1</v>
      </c>
      <c r="T4874" s="89"/>
      <c r="U4874" s="26"/>
      <c r="X4874" s="9"/>
    </row>
    <row r="4875" spans="1:24" hidden="1" x14ac:dyDescent="0.25">
      <c r="A4875">
        <v>925897</v>
      </c>
      <c r="B4875" t="s">
        <v>5272</v>
      </c>
      <c r="C4875" t="s">
        <v>6958</v>
      </c>
      <c r="D4875">
        <v>1</v>
      </c>
      <c r="E4875" t="s">
        <v>5272</v>
      </c>
      <c r="F4875" t="s">
        <v>6958</v>
      </c>
      <c r="G4875" s="3"/>
      <c r="L4875" s="3">
        <f t="shared" si="206"/>
        <v>0</v>
      </c>
      <c r="M4875" s="3"/>
      <c r="N4875" s="3">
        <f t="shared" si="207"/>
        <v>0</v>
      </c>
      <c r="R4875" s="89"/>
      <c r="S4875" s="89">
        <f>100%-Table34[[#This Row],[PDF_initial fee]]</f>
        <v>1</v>
      </c>
      <c r="T4875" s="89"/>
      <c r="U4875" s="26"/>
      <c r="X4875" s="9"/>
    </row>
    <row r="4876" spans="1:24" hidden="1" x14ac:dyDescent="0.25">
      <c r="A4876">
        <v>926034</v>
      </c>
      <c r="B4876" t="s">
        <v>5273</v>
      </c>
      <c r="C4876" t="s">
        <v>6958</v>
      </c>
      <c r="D4876">
        <v>1</v>
      </c>
      <c r="E4876" t="s">
        <v>5273</v>
      </c>
      <c r="F4876" t="s">
        <v>6958</v>
      </c>
      <c r="G4876" s="3"/>
      <c r="H4876" s="21">
        <v>0</v>
      </c>
      <c r="I4876" s="21">
        <v>0</v>
      </c>
      <c r="J4876" s="21">
        <v>0</v>
      </c>
      <c r="K4876" s="21">
        <v>0</v>
      </c>
      <c r="L4876" s="3">
        <f t="shared" si="206"/>
        <v>0</v>
      </c>
      <c r="M4876" s="3"/>
      <c r="N4876" s="3">
        <f t="shared" si="207"/>
        <v>0</v>
      </c>
      <c r="R4876" s="89"/>
      <c r="S4876" s="89">
        <f>100%-Table34[[#This Row],[PDF_initial fee]]</f>
        <v>1</v>
      </c>
      <c r="T4876" s="89"/>
      <c r="U4876" s="26"/>
      <c r="X4876" s="9"/>
    </row>
    <row r="4877" spans="1:24" hidden="1" x14ac:dyDescent="0.25">
      <c r="A4877">
        <v>926137</v>
      </c>
      <c r="B4877" t="s">
        <v>5275</v>
      </c>
      <c r="C4877" t="s">
        <v>31261</v>
      </c>
      <c r="D4877">
        <v>8</v>
      </c>
      <c r="E4877" t="s">
        <v>5275</v>
      </c>
      <c r="G4877" s="3"/>
      <c r="H4877" s="3"/>
      <c r="I4877" s="3"/>
      <c r="J4877" s="3"/>
      <c r="K4877" s="3"/>
      <c r="L4877" s="3">
        <f t="shared" si="206"/>
        <v>0</v>
      </c>
      <c r="M4877" s="3"/>
      <c r="N4877" s="3">
        <f t="shared" si="207"/>
        <v>0</v>
      </c>
      <c r="R4877" s="89"/>
      <c r="S4877" s="89">
        <f>100%-Table34[[#This Row],[PDF_initial fee]]</f>
        <v>1</v>
      </c>
      <c r="T4877" s="89"/>
      <c r="U4877" s="26"/>
      <c r="X4877" s="9"/>
    </row>
    <row r="4878" spans="1:24" hidden="1" x14ac:dyDescent="0.25">
      <c r="A4878">
        <v>926354</v>
      </c>
      <c r="B4878" t="s">
        <v>5277</v>
      </c>
      <c r="C4878" t="s">
        <v>6958</v>
      </c>
      <c r="D4878">
        <v>1</v>
      </c>
      <c r="E4878" t="s">
        <v>5277</v>
      </c>
      <c r="F4878" t="s">
        <v>6958</v>
      </c>
      <c r="G4878" s="3"/>
      <c r="H4878" s="21">
        <v>0</v>
      </c>
      <c r="I4878" s="21">
        <v>0</v>
      </c>
      <c r="J4878" s="21">
        <v>0</v>
      </c>
      <c r="K4878" s="21">
        <v>0</v>
      </c>
      <c r="L4878" s="3">
        <f t="shared" si="206"/>
        <v>0</v>
      </c>
      <c r="M4878" s="3"/>
      <c r="N4878" s="3">
        <f t="shared" si="207"/>
        <v>0</v>
      </c>
      <c r="R4878" s="89"/>
      <c r="S4878" s="89">
        <f>100%-Table34[[#This Row],[PDF_initial fee]]</f>
        <v>1</v>
      </c>
      <c r="T4878" s="89"/>
      <c r="U4878" s="26"/>
      <c r="X4878" s="9"/>
    </row>
    <row r="4879" spans="1:24" hidden="1" x14ac:dyDescent="0.25">
      <c r="A4879">
        <v>926368</v>
      </c>
      <c r="B4879" t="s">
        <v>5278</v>
      </c>
      <c r="C4879" t="s">
        <v>6958</v>
      </c>
      <c r="D4879">
        <v>1</v>
      </c>
      <c r="E4879" t="s">
        <v>5278</v>
      </c>
      <c r="F4879" t="s">
        <v>6958</v>
      </c>
      <c r="G4879" s="3"/>
      <c r="H4879" s="21">
        <v>0</v>
      </c>
      <c r="I4879" s="21">
        <v>0</v>
      </c>
      <c r="J4879" s="21">
        <v>0</v>
      </c>
      <c r="K4879" s="21">
        <v>0</v>
      </c>
      <c r="L4879" s="3">
        <f t="shared" si="206"/>
        <v>0</v>
      </c>
      <c r="M4879" s="3"/>
      <c r="N4879" s="3">
        <f t="shared" si="207"/>
        <v>0</v>
      </c>
      <c r="O4879" s="21"/>
      <c r="R4879" s="89"/>
      <c r="S4879" s="89">
        <f>100%-Table34[[#This Row],[PDF_initial fee]]</f>
        <v>1</v>
      </c>
      <c r="T4879" s="89"/>
      <c r="U4879" s="26"/>
      <c r="X4879" s="9"/>
    </row>
    <row r="4880" spans="1:24" hidden="1" x14ac:dyDescent="0.25">
      <c r="A4880">
        <v>926565</v>
      </c>
      <c r="B4880" t="s">
        <v>5279</v>
      </c>
      <c r="C4880" s="1" t="s">
        <v>31262</v>
      </c>
      <c r="D4880">
        <v>1</v>
      </c>
      <c r="E4880" t="s">
        <v>5279</v>
      </c>
      <c r="G4880" s="3"/>
      <c r="H4880" s="3">
        <v>0</v>
      </c>
      <c r="I4880" s="3">
        <v>0</v>
      </c>
      <c r="J4880" s="3">
        <v>0</v>
      </c>
      <c r="K4880" s="3">
        <v>0</v>
      </c>
      <c r="L4880" s="3">
        <f t="shared" si="206"/>
        <v>0</v>
      </c>
      <c r="M4880" s="3"/>
      <c r="N4880" s="3">
        <f t="shared" si="207"/>
        <v>0</v>
      </c>
      <c r="R4880" s="89"/>
      <c r="S4880" s="89">
        <f>100%-Table34[[#This Row],[PDF_initial fee]]</f>
        <v>1</v>
      </c>
      <c r="T4880" s="89"/>
      <c r="U4880" s="26"/>
      <c r="X4880" s="9"/>
    </row>
    <row r="4881" spans="1:27" hidden="1" x14ac:dyDescent="0.25">
      <c r="A4881">
        <v>926629</v>
      </c>
      <c r="B4881" t="s">
        <v>5280</v>
      </c>
      <c r="C4881" t="s">
        <v>10479</v>
      </c>
      <c r="D4881">
        <v>1</v>
      </c>
      <c r="E4881" t="s">
        <v>5280</v>
      </c>
      <c r="G4881" s="3"/>
      <c r="H4881" s="3">
        <v>0</v>
      </c>
      <c r="I4881" s="3">
        <v>0</v>
      </c>
      <c r="J4881" s="3">
        <v>0</v>
      </c>
      <c r="K4881" s="3">
        <v>0</v>
      </c>
      <c r="L4881" s="3">
        <f t="shared" si="206"/>
        <v>0</v>
      </c>
      <c r="M4881" s="3"/>
      <c r="N4881" s="3">
        <f t="shared" si="207"/>
        <v>0</v>
      </c>
      <c r="R4881" s="89"/>
      <c r="S4881" s="89">
        <f>100%-Table34[[#This Row],[PDF_initial fee]]</f>
        <v>1</v>
      </c>
      <c r="T4881" s="89"/>
      <c r="U4881" s="26"/>
      <c r="X4881" s="9"/>
    </row>
    <row r="4882" spans="1:27" hidden="1" x14ac:dyDescent="0.25">
      <c r="A4882">
        <v>926756</v>
      </c>
      <c r="B4882" t="s">
        <v>5281</v>
      </c>
      <c r="C4882" t="s">
        <v>6958</v>
      </c>
      <c r="D4882">
        <v>1</v>
      </c>
      <c r="E4882" t="s">
        <v>5281</v>
      </c>
      <c r="F4882" t="s">
        <v>6958</v>
      </c>
      <c r="G4882" s="3"/>
      <c r="H4882" s="21">
        <v>0</v>
      </c>
      <c r="I4882" s="21">
        <v>0</v>
      </c>
      <c r="J4882" s="21">
        <v>0</v>
      </c>
      <c r="K4882" s="21">
        <v>0</v>
      </c>
      <c r="L4882" s="3">
        <f t="shared" si="206"/>
        <v>0</v>
      </c>
      <c r="M4882" s="3"/>
      <c r="N4882" s="3">
        <f t="shared" si="207"/>
        <v>0</v>
      </c>
      <c r="R4882" s="89"/>
      <c r="S4882" s="89">
        <f>100%-Table34[[#This Row],[PDF_initial fee]]</f>
        <v>1</v>
      </c>
      <c r="T4882" s="89"/>
      <c r="U4882" s="26"/>
      <c r="X4882" s="9"/>
    </row>
    <row r="4883" spans="1:27" hidden="1" x14ac:dyDescent="0.25">
      <c r="A4883">
        <v>926961</v>
      </c>
      <c r="B4883" t="s">
        <v>5282</v>
      </c>
      <c r="C4883" t="s">
        <v>31263</v>
      </c>
      <c r="D4883">
        <v>2</v>
      </c>
      <c r="E4883" t="s">
        <v>5282</v>
      </c>
      <c r="F4883" t="s">
        <v>29136</v>
      </c>
      <c r="G4883" s="3"/>
      <c r="H4883" s="21">
        <v>0</v>
      </c>
      <c r="I4883" s="21">
        <v>0</v>
      </c>
      <c r="J4883" s="21">
        <v>0</v>
      </c>
      <c r="K4883" s="21">
        <v>0</v>
      </c>
      <c r="L4883" s="3">
        <f t="shared" si="206"/>
        <v>0</v>
      </c>
      <c r="M4883" s="3"/>
      <c r="N4883" s="3">
        <f t="shared" si="207"/>
        <v>0</v>
      </c>
      <c r="O4883" s="21"/>
      <c r="R4883" s="89"/>
      <c r="S4883" s="89">
        <f>100%-Table34[[#This Row],[PDF_initial fee]]</f>
        <v>1</v>
      </c>
      <c r="T4883" s="89"/>
      <c r="U4883" s="26"/>
      <c r="X4883" s="9"/>
    </row>
    <row r="4884" spans="1:27" hidden="1" x14ac:dyDescent="0.25">
      <c r="A4884">
        <v>927062</v>
      </c>
      <c r="B4884" t="s">
        <v>5283</v>
      </c>
      <c r="C4884" t="s">
        <v>6958</v>
      </c>
      <c r="D4884">
        <v>2</v>
      </c>
      <c r="E4884" t="s">
        <v>5283</v>
      </c>
      <c r="F4884" t="s">
        <v>6958</v>
      </c>
      <c r="G4884" s="3"/>
      <c r="H4884" s="21">
        <v>0</v>
      </c>
      <c r="I4884" s="21">
        <v>0</v>
      </c>
      <c r="J4884" s="21">
        <v>0</v>
      </c>
      <c r="K4884" s="21">
        <v>0</v>
      </c>
      <c r="L4884" s="3">
        <f t="shared" si="206"/>
        <v>0</v>
      </c>
      <c r="M4884" s="3"/>
      <c r="N4884" s="3">
        <f t="shared" si="207"/>
        <v>0</v>
      </c>
      <c r="R4884" s="89"/>
      <c r="S4884" s="89">
        <f>100%-Table34[[#This Row],[PDF_initial fee]]</f>
        <v>1</v>
      </c>
      <c r="T4884" s="89"/>
      <c r="U4884" s="26"/>
      <c r="X4884" s="9"/>
    </row>
    <row r="4885" spans="1:27" hidden="1" x14ac:dyDescent="0.25">
      <c r="A4885">
        <v>927531</v>
      </c>
      <c r="B4885" t="s">
        <v>5285</v>
      </c>
      <c r="C4885" t="s">
        <v>31264</v>
      </c>
      <c r="D4885">
        <v>2</v>
      </c>
      <c r="E4885" t="s">
        <v>5285</v>
      </c>
      <c r="G4885" s="3"/>
      <c r="H4885" s="21">
        <v>0</v>
      </c>
      <c r="I4885" s="3">
        <v>0</v>
      </c>
      <c r="J4885" s="3">
        <v>0</v>
      </c>
      <c r="K4885">
        <v>0</v>
      </c>
      <c r="L4885" s="3">
        <f t="shared" si="206"/>
        <v>0</v>
      </c>
      <c r="M4885" s="3"/>
      <c r="N4885" s="3">
        <f t="shared" si="207"/>
        <v>0</v>
      </c>
      <c r="R4885" s="89"/>
      <c r="S4885" s="89">
        <f>100%-Table34[[#This Row],[PDF_initial fee]]</f>
        <v>1</v>
      </c>
      <c r="T4885" s="89"/>
      <c r="U4885" s="26"/>
      <c r="X4885" s="9"/>
    </row>
    <row r="4886" spans="1:27" hidden="1" x14ac:dyDescent="0.25">
      <c r="A4886">
        <v>927711</v>
      </c>
      <c r="B4886" t="s">
        <v>5286</v>
      </c>
      <c r="C4886" t="s">
        <v>6958</v>
      </c>
      <c r="D4886">
        <v>1</v>
      </c>
      <c r="E4886" t="s">
        <v>5286</v>
      </c>
      <c r="F4886" t="s">
        <v>6958</v>
      </c>
      <c r="G4886" s="3"/>
      <c r="H4886" s="21">
        <v>0</v>
      </c>
      <c r="I4886" s="21">
        <v>0</v>
      </c>
      <c r="J4886" s="21">
        <v>0</v>
      </c>
      <c r="K4886" s="21">
        <v>0</v>
      </c>
      <c r="L4886" s="3">
        <f t="shared" si="206"/>
        <v>0</v>
      </c>
      <c r="M4886" s="3"/>
      <c r="N4886" s="3">
        <f t="shared" si="207"/>
        <v>0</v>
      </c>
      <c r="R4886" s="89"/>
      <c r="S4886" s="89">
        <f>100%-Table34[[#This Row],[PDF_initial fee]]</f>
        <v>1</v>
      </c>
      <c r="T4886" s="89"/>
      <c r="U4886" s="26"/>
      <c r="X4886" s="9"/>
    </row>
    <row r="4887" spans="1:27" hidden="1" x14ac:dyDescent="0.25">
      <c r="A4887">
        <v>927752</v>
      </c>
      <c r="B4887" t="s">
        <v>5287</v>
      </c>
      <c r="C4887" s="1" t="s">
        <v>31265</v>
      </c>
      <c r="D4887">
        <v>2</v>
      </c>
      <c r="E4887" t="s">
        <v>5287</v>
      </c>
      <c r="G4887" s="3"/>
      <c r="H4887" s="21">
        <v>0</v>
      </c>
      <c r="I4887" s="21">
        <v>0</v>
      </c>
      <c r="J4887" s="21">
        <v>0</v>
      </c>
      <c r="K4887" s="21">
        <v>0</v>
      </c>
      <c r="L4887" s="3">
        <f t="shared" si="206"/>
        <v>0</v>
      </c>
      <c r="M4887" s="3"/>
      <c r="N4887" s="3">
        <f t="shared" si="207"/>
        <v>0</v>
      </c>
      <c r="R4887" s="89"/>
      <c r="S4887" s="89">
        <f>100%-Table34[[#This Row],[PDF_initial fee]]</f>
        <v>1</v>
      </c>
      <c r="T4887" s="89"/>
      <c r="U4887" s="26"/>
      <c r="X4887" s="9"/>
    </row>
    <row r="4888" spans="1:27" hidden="1" x14ac:dyDescent="0.25">
      <c r="A4888">
        <v>927830</v>
      </c>
      <c r="B4888" t="s">
        <v>5288</v>
      </c>
      <c r="C4888" s="1" t="s">
        <v>31266</v>
      </c>
      <c r="D4888">
        <v>1</v>
      </c>
      <c r="E4888" t="s">
        <v>5288</v>
      </c>
      <c r="G4888" s="3"/>
      <c r="H4888" s="3">
        <v>0</v>
      </c>
      <c r="I4888" s="3">
        <v>0</v>
      </c>
      <c r="J4888" s="3">
        <v>0</v>
      </c>
      <c r="K4888" s="3">
        <v>0</v>
      </c>
      <c r="L4888" s="3">
        <f t="shared" si="206"/>
        <v>0</v>
      </c>
      <c r="M4888" s="3"/>
      <c r="N4888" s="3">
        <f t="shared" si="207"/>
        <v>0</v>
      </c>
      <c r="R4888" s="89"/>
      <c r="S4888" s="89">
        <f>100%-Table34[[#This Row],[PDF_initial fee]]</f>
        <v>1</v>
      </c>
      <c r="T4888" s="89"/>
      <c r="U4888" s="26"/>
      <c r="X4888" s="9"/>
    </row>
    <row r="4889" spans="1:27" hidden="1" x14ac:dyDescent="0.25">
      <c r="A4889">
        <v>927912</v>
      </c>
      <c r="B4889" t="s">
        <v>5289</v>
      </c>
      <c r="C4889" t="s">
        <v>6958</v>
      </c>
      <c r="D4889">
        <v>1</v>
      </c>
      <c r="E4889" t="s">
        <v>5289</v>
      </c>
      <c r="F4889" t="s">
        <v>6958</v>
      </c>
      <c r="G4889" s="3"/>
      <c r="H4889" s="21">
        <v>0</v>
      </c>
      <c r="I4889" s="21">
        <v>0</v>
      </c>
      <c r="J4889" s="21">
        <v>0</v>
      </c>
      <c r="K4889" s="21">
        <v>0</v>
      </c>
      <c r="L4889" s="3">
        <f t="shared" si="206"/>
        <v>0</v>
      </c>
      <c r="M4889" s="3"/>
      <c r="N4889" s="3">
        <f t="shared" si="207"/>
        <v>0</v>
      </c>
      <c r="R4889" s="89"/>
      <c r="S4889" s="89">
        <f>100%-Table34[[#This Row],[PDF_initial fee]]</f>
        <v>1</v>
      </c>
      <c r="T4889" s="89"/>
      <c r="U4889" s="26"/>
      <c r="X4889" s="9"/>
    </row>
    <row r="4890" spans="1:27" hidden="1" x14ac:dyDescent="0.25">
      <c r="A4890">
        <v>927943</v>
      </c>
      <c r="B4890" t="s">
        <v>5291</v>
      </c>
      <c r="C4890" t="s">
        <v>9165</v>
      </c>
      <c r="D4890">
        <v>2</v>
      </c>
      <c r="E4890" t="s">
        <v>5291</v>
      </c>
      <c r="G4890" s="3"/>
      <c r="L4890" s="3">
        <f t="shared" si="206"/>
        <v>0</v>
      </c>
      <c r="M4890" s="3"/>
      <c r="N4890" s="3">
        <f t="shared" si="207"/>
        <v>0</v>
      </c>
      <c r="R4890" s="89"/>
      <c r="S4890" s="89">
        <f>100%-Table34[[#This Row],[PDF_initial fee]]</f>
        <v>1</v>
      </c>
      <c r="T4890" s="89"/>
      <c r="U4890" s="26"/>
      <c r="X4890" s="9"/>
    </row>
    <row r="4891" spans="1:27" hidden="1" x14ac:dyDescent="0.25">
      <c r="A4891">
        <v>927966</v>
      </c>
      <c r="B4891" t="s">
        <v>5292</v>
      </c>
      <c r="C4891" t="s">
        <v>31267</v>
      </c>
      <c r="D4891">
        <v>3</v>
      </c>
      <c r="E4891" t="s">
        <v>5292</v>
      </c>
      <c r="G4891" s="3"/>
      <c r="H4891" s="21">
        <v>0</v>
      </c>
      <c r="I4891" s="21">
        <v>0</v>
      </c>
      <c r="J4891" s="21">
        <v>0</v>
      </c>
      <c r="K4891" s="21">
        <v>0</v>
      </c>
      <c r="L4891" s="3">
        <f t="shared" si="206"/>
        <v>0</v>
      </c>
      <c r="M4891" s="3"/>
      <c r="N4891" s="3">
        <f t="shared" si="207"/>
        <v>0</v>
      </c>
      <c r="O4891" s="21"/>
      <c r="R4891" s="89"/>
      <c r="S4891" s="89">
        <f>100%-Table34[[#This Row],[PDF_initial fee]]</f>
        <v>1</v>
      </c>
      <c r="T4891" s="89"/>
      <c r="U4891" s="26"/>
      <c r="X4891" s="9"/>
    </row>
    <row r="4892" spans="1:27" hidden="1" x14ac:dyDescent="0.25">
      <c r="A4892">
        <v>928132</v>
      </c>
      <c r="B4892" t="s">
        <v>5293</v>
      </c>
      <c r="C4892" t="s">
        <v>31268</v>
      </c>
      <c r="D4892">
        <v>4</v>
      </c>
      <c r="E4892" t="s">
        <v>5293</v>
      </c>
      <c r="G4892" s="3"/>
      <c r="H4892" s="21">
        <v>0</v>
      </c>
      <c r="I4892" s="21">
        <v>0</v>
      </c>
      <c r="J4892" s="21">
        <v>0</v>
      </c>
      <c r="K4892" s="21">
        <v>0</v>
      </c>
      <c r="L4892" s="3">
        <f t="shared" si="206"/>
        <v>0</v>
      </c>
      <c r="M4892" s="3"/>
      <c r="N4892" s="3">
        <f t="shared" si="207"/>
        <v>0</v>
      </c>
      <c r="O4892" s="21"/>
      <c r="R4892" s="89"/>
      <c r="S4892" s="89">
        <f>100%-Table34[[#This Row],[PDF_initial fee]]</f>
        <v>1</v>
      </c>
      <c r="T4892" s="89"/>
      <c r="U4892" s="26"/>
      <c r="X4892" s="9"/>
    </row>
    <row r="4893" spans="1:27" x14ac:dyDescent="0.25">
      <c r="A4893">
        <v>115235</v>
      </c>
      <c r="B4893" t="s">
        <v>12</v>
      </c>
      <c r="C4893" s="1" t="s">
        <v>31269</v>
      </c>
      <c r="D4893">
        <v>39</v>
      </c>
      <c r="E4893" t="s">
        <v>12</v>
      </c>
      <c r="F4893" t="s">
        <v>6</v>
      </c>
      <c r="G4893" s="3">
        <v>5.4999999999999997E-3</v>
      </c>
      <c r="H4893" s="3">
        <v>2.5000000000000001E-2</v>
      </c>
      <c r="I4893" s="21">
        <v>0</v>
      </c>
      <c r="J4893" s="6">
        <v>0</v>
      </c>
      <c r="K4893" s="6">
        <v>0</v>
      </c>
      <c r="L4893" s="3">
        <f t="shared" si="206"/>
        <v>2.5000000000000001E-2</v>
      </c>
      <c r="M4893" s="3"/>
      <c r="N4893" s="3">
        <f t="shared" si="207"/>
        <v>3.0499999999999999E-2</v>
      </c>
      <c r="O4893" t="s">
        <v>31270</v>
      </c>
      <c r="P4893" s="1" t="s">
        <v>31271</v>
      </c>
      <c r="Q4893" s="1" t="s">
        <v>31772</v>
      </c>
      <c r="R4893" s="89">
        <v>0.26219999999999999</v>
      </c>
      <c r="S4893" s="89">
        <f>100%-Table34[[#This Row],[InitialFee]]</f>
        <v>0.97499999999999998</v>
      </c>
      <c r="T4893" s="89">
        <f>(1-Table34[[#This Row],[OngoingFee (plus Platform fee)]])^5</f>
        <v>1</v>
      </c>
      <c r="U4893" s="26">
        <f>(1+Table34[[#This Row],[Net 5yrs return (mostly up to 28th of Feb 2026)]])*Table34[[#This Row],[Investment after initial charge]]*Table34[[#This Row],[Cummulative 5yrs ongoing advice charge]]-1</f>
        <v>0.23064499999999999</v>
      </c>
      <c r="V4893" s="10">
        <v>20860775</v>
      </c>
      <c r="W4893" s="10" t="s">
        <v>29081</v>
      </c>
      <c r="X4893" s="10">
        <v>13151141</v>
      </c>
      <c r="Y4893" s="30">
        <f>X4893/V4893</f>
        <v>0.63042437301586352</v>
      </c>
      <c r="Z4893" s="10"/>
      <c r="AA4893" s="1" t="s">
        <v>31272</v>
      </c>
    </row>
    <row r="4894" spans="1:27" hidden="1" x14ac:dyDescent="0.25">
      <c r="A4894">
        <v>928734</v>
      </c>
      <c r="B4894" t="s">
        <v>5294</v>
      </c>
      <c r="C4894" t="s">
        <v>31273</v>
      </c>
      <c r="D4894">
        <v>1</v>
      </c>
      <c r="E4894" t="s">
        <v>5294</v>
      </c>
      <c r="G4894" s="3"/>
      <c r="H4894" s="3">
        <v>0</v>
      </c>
      <c r="I4894" s="3">
        <v>0</v>
      </c>
      <c r="J4894" s="3">
        <v>0</v>
      </c>
      <c r="K4894" s="3">
        <v>0</v>
      </c>
      <c r="L4894" s="3">
        <f t="shared" si="206"/>
        <v>0</v>
      </c>
      <c r="M4894" s="3"/>
      <c r="N4894" s="3">
        <f t="shared" si="207"/>
        <v>0</v>
      </c>
      <c r="R4894" s="89"/>
      <c r="S4894" s="89">
        <f>100%-Table34[[#This Row],[PDF_initial fee]]</f>
        <v>1</v>
      </c>
      <c r="T4894" s="89"/>
      <c r="U4894" s="26"/>
      <c r="X4894" s="9"/>
    </row>
    <row r="4895" spans="1:27" hidden="1" x14ac:dyDescent="0.25">
      <c r="A4895">
        <v>928771</v>
      </c>
      <c r="B4895" t="s">
        <v>5295</v>
      </c>
      <c r="C4895" t="s">
        <v>6958</v>
      </c>
      <c r="D4895">
        <v>4</v>
      </c>
      <c r="E4895" t="s">
        <v>5295</v>
      </c>
      <c r="F4895" t="s">
        <v>6958</v>
      </c>
      <c r="G4895" s="3"/>
      <c r="H4895" s="21">
        <v>0</v>
      </c>
      <c r="I4895" s="21">
        <v>0</v>
      </c>
      <c r="J4895" s="21">
        <v>0</v>
      </c>
      <c r="K4895" s="21">
        <v>0</v>
      </c>
      <c r="L4895" s="3">
        <f t="shared" si="206"/>
        <v>0</v>
      </c>
      <c r="M4895" s="3"/>
      <c r="N4895" s="3">
        <f t="shared" si="207"/>
        <v>0</v>
      </c>
      <c r="R4895" s="89"/>
      <c r="S4895" s="89">
        <f>100%-Table34[[#This Row],[PDF_initial fee]]</f>
        <v>1</v>
      </c>
      <c r="T4895" s="89"/>
      <c r="U4895" s="26"/>
      <c r="X4895" s="9"/>
    </row>
    <row r="4896" spans="1:27" hidden="1" x14ac:dyDescent="0.25">
      <c r="A4896">
        <v>928795</v>
      </c>
      <c r="B4896" t="s">
        <v>5296</v>
      </c>
      <c r="C4896" t="s">
        <v>10444</v>
      </c>
      <c r="D4896">
        <v>3</v>
      </c>
      <c r="E4896" t="s">
        <v>5296</v>
      </c>
      <c r="G4896" s="3"/>
      <c r="H4896" s="3">
        <v>0</v>
      </c>
      <c r="I4896" s="3">
        <v>0</v>
      </c>
      <c r="J4896" s="3">
        <v>0</v>
      </c>
      <c r="K4896" s="3">
        <v>0</v>
      </c>
      <c r="L4896" s="3">
        <f t="shared" si="206"/>
        <v>0</v>
      </c>
      <c r="M4896" s="3"/>
      <c r="N4896" s="3">
        <f t="shared" si="207"/>
        <v>0</v>
      </c>
      <c r="R4896" s="89"/>
      <c r="S4896" s="89">
        <f>100%-Table34[[#This Row],[PDF_initial fee]]</f>
        <v>1</v>
      </c>
      <c r="T4896" s="89"/>
      <c r="U4896" s="26"/>
      <c r="X4896" s="9"/>
    </row>
    <row r="4897" spans="1:27" hidden="1" x14ac:dyDescent="0.25">
      <c r="A4897">
        <v>928946</v>
      </c>
      <c r="B4897" t="s">
        <v>5297</v>
      </c>
      <c r="C4897" t="s">
        <v>6958</v>
      </c>
      <c r="D4897">
        <v>2</v>
      </c>
      <c r="E4897" t="s">
        <v>5297</v>
      </c>
      <c r="F4897" t="s">
        <v>6958</v>
      </c>
      <c r="G4897" s="3"/>
      <c r="H4897" s="21">
        <v>0</v>
      </c>
      <c r="I4897" s="21">
        <v>0</v>
      </c>
      <c r="J4897" s="21">
        <v>0</v>
      </c>
      <c r="K4897" s="21">
        <v>0</v>
      </c>
      <c r="L4897" s="3">
        <f t="shared" si="206"/>
        <v>0</v>
      </c>
      <c r="M4897" s="3"/>
      <c r="N4897" s="3">
        <f t="shared" si="207"/>
        <v>0</v>
      </c>
      <c r="R4897" s="89"/>
      <c r="S4897" s="89">
        <f>100%-Table34[[#This Row],[PDF_initial fee]]</f>
        <v>1</v>
      </c>
      <c r="T4897" s="89"/>
      <c r="U4897" s="26"/>
      <c r="X4897" s="9"/>
    </row>
    <row r="4898" spans="1:27" hidden="1" x14ac:dyDescent="0.25">
      <c r="A4898">
        <v>928949</v>
      </c>
      <c r="B4898" t="s">
        <v>5298</v>
      </c>
      <c r="C4898" t="s">
        <v>6958</v>
      </c>
      <c r="D4898">
        <v>1</v>
      </c>
      <c r="E4898" t="s">
        <v>5298</v>
      </c>
      <c r="F4898" t="s">
        <v>6958</v>
      </c>
      <c r="G4898" s="3"/>
      <c r="L4898" s="3">
        <f t="shared" si="206"/>
        <v>0</v>
      </c>
      <c r="M4898" s="3"/>
      <c r="N4898" s="3">
        <f t="shared" si="207"/>
        <v>0</v>
      </c>
      <c r="R4898" s="89"/>
      <c r="S4898" s="89">
        <f>100%-Table34[[#This Row],[PDF_initial fee]]</f>
        <v>1</v>
      </c>
      <c r="T4898" s="89"/>
      <c r="U4898" s="26"/>
      <c r="X4898" s="9"/>
    </row>
    <row r="4899" spans="1:27" hidden="1" x14ac:dyDescent="0.25">
      <c r="A4899">
        <v>929247</v>
      </c>
      <c r="B4899" t="s">
        <v>5299</v>
      </c>
      <c r="C4899" t="s">
        <v>6958</v>
      </c>
      <c r="D4899">
        <v>1</v>
      </c>
      <c r="E4899" t="s">
        <v>5299</v>
      </c>
      <c r="F4899" t="s">
        <v>6958</v>
      </c>
      <c r="G4899" s="3"/>
      <c r="L4899" s="3">
        <f t="shared" si="206"/>
        <v>0</v>
      </c>
      <c r="M4899" s="3"/>
      <c r="N4899" s="3">
        <f t="shared" si="207"/>
        <v>0</v>
      </c>
      <c r="R4899" s="89"/>
      <c r="S4899" s="89">
        <f>100%-Table34[[#This Row],[PDF_initial fee]]</f>
        <v>1</v>
      </c>
      <c r="T4899" s="89"/>
      <c r="U4899" s="26"/>
      <c r="X4899" s="9"/>
    </row>
    <row r="4900" spans="1:27" x14ac:dyDescent="0.25">
      <c r="A4900">
        <v>116316</v>
      </c>
      <c r="B4900" t="s">
        <v>13</v>
      </c>
      <c r="C4900" t="s">
        <v>31274</v>
      </c>
      <c r="D4900">
        <v>476</v>
      </c>
      <c r="E4900" t="s">
        <v>13</v>
      </c>
      <c r="F4900" t="s">
        <v>6</v>
      </c>
      <c r="G4900" s="3">
        <v>5.4999999999999997E-3</v>
      </c>
      <c r="H4900" s="3">
        <v>2.5000000000000001E-2</v>
      </c>
      <c r="I4900" s="21">
        <v>0</v>
      </c>
      <c r="J4900" s="6">
        <v>0</v>
      </c>
      <c r="K4900" s="6">
        <v>0</v>
      </c>
      <c r="L4900" s="3">
        <f t="shared" si="206"/>
        <v>2.5000000000000001E-2</v>
      </c>
      <c r="M4900" s="3"/>
      <c r="N4900" s="3">
        <f t="shared" si="207"/>
        <v>3.0499999999999999E-2</v>
      </c>
      <c r="O4900" s="21"/>
      <c r="P4900" s="1" t="s">
        <v>31271</v>
      </c>
      <c r="Q4900" s="1" t="s">
        <v>31772</v>
      </c>
      <c r="R4900" s="89">
        <v>0.26219999999999999</v>
      </c>
      <c r="S4900" s="89">
        <f>100%-Table34[[#This Row],[InitialFee]]</f>
        <v>0.97499999999999998</v>
      </c>
      <c r="T4900" s="89">
        <f>(1-Table34[[#This Row],[OngoingFee (plus Platform fee)]])^5</f>
        <v>1</v>
      </c>
      <c r="U4900" s="26">
        <f>(1+Table34[[#This Row],[Net 5yrs return (mostly up to 28th of Feb 2026)]])*Table34[[#This Row],[Investment after initial charge]]*Table34[[#This Row],[Cummulative 5yrs ongoing advice charge]]-1</f>
        <v>0.23064499999999999</v>
      </c>
      <c r="V4900" s="10">
        <v>3017731000</v>
      </c>
      <c r="W4900" s="10" t="s">
        <v>29081</v>
      </c>
      <c r="X4900" s="10">
        <v>405212000</v>
      </c>
      <c r="Y4900" s="30">
        <f>X4900/V4900</f>
        <v>0.13427704457421819</v>
      </c>
      <c r="Z4900" s="10"/>
      <c r="AA4900" s="1" t="s">
        <v>31275</v>
      </c>
    </row>
    <row r="4901" spans="1:27" hidden="1" x14ac:dyDescent="0.25">
      <c r="A4901">
        <v>929419</v>
      </c>
      <c r="B4901" t="s">
        <v>5300</v>
      </c>
      <c r="C4901" t="s">
        <v>6958</v>
      </c>
      <c r="D4901">
        <v>2</v>
      </c>
      <c r="E4901" t="s">
        <v>5300</v>
      </c>
      <c r="F4901" t="s">
        <v>6958</v>
      </c>
      <c r="G4901" s="3"/>
      <c r="L4901" s="3">
        <f t="shared" si="206"/>
        <v>0</v>
      </c>
      <c r="M4901" s="3"/>
      <c r="N4901" s="3">
        <f t="shared" si="207"/>
        <v>0</v>
      </c>
      <c r="R4901" s="89"/>
      <c r="S4901" s="89">
        <f>100%-Table34[[#This Row],[PDF_initial fee]]</f>
        <v>1</v>
      </c>
      <c r="T4901" s="89"/>
      <c r="U4901" s="26"/>
      <c r="X4901" s="9"/>
    </row>
    <row r="4902" spans="1:27" hidden="1" x14ac:dyDescent="0.25">
      <c r="A4902">
        <v>929508</v>
      </c>
      <c r="B4902" t="s">
        <v>5301</v>
      </c>
      <c r="C4902" t="s">
        <v>6958</v>
      </c>
      <c r="D4902">
        <v>1</v>
      </c>
      <c r="E4902" t="s">
        <v>5301</v>
      </c>
      <c r="F4902" t="s">
        <v>6958</v>
      </c>
      <c r="G4902" s="3"/>
      <c r="H4902" s="21">
        <v>0</v>
      </c>
      <c r="I4902" s="21">
        <v>0</v>
      </c>
      <c r="J4902" s="21">
        <v>0</v>
      </c>
      <c r="K4902" s="21">
        <v>0</v>
      </c>
      <c r="L4902" s="3">
        <f t="shared" si="206"/>
        <v>0</v>
      </c>
      <c r="M4902" s="3"/>
      <c r="N4902" s="3">
        <f t="shared" si="207"/>
        <v>0</v>
      </c>
      <c r="R4902" s="89"/>
      <c r="S4902" s="89">
        <f>100%-Table34[[#This Row],[PDF_initial fee]]</f>
        <v>1</v>
      </c>
      <c r="T4902" s="89"/>
      <c r="U4902" s="26"/>
      <c r="X4902" s="9"/>
    </row>
    <row r="4903" spans="1:27" hidden="1" x14ac:dyDescent="0.25">
      <c r="A4903">
        <v>929577</v>
      </c>
      <c r="B4903" t="s">
        <v>5302</v>
      </c>
      <c r="C4903" t="s">
        <v>11608</v>
      </c>
      <c r="D4903">
        <v>1</v>
      </c>
      <c r="E4903" t="s">
        <v>5302</v>
      </c>
      <c r="G4903" s="3"/>
      <c r="H4903" s="3">
        <v>0</v>
      </c>
      <c r="I4903" s="3">
        <v>0</v>
      </c>
      <c r="J4903" s="3">
        <v>0</v>
      </c>
      <c r="K4903" s="3">
        <v>0</v>
      </c>
      <c r="L4903" s="3">
        <f t="shared" si="206"/>
        <v>0</v>
      </c>
      <c r="M4903" s="3"/>
      <c r="N4903" s="3">
        <f t="shared" si="207"/>
        <v>0</v>
      </c>
      <c r="R4903" s="89"/>
      <c r="S4903" s="89">
        <f>100%-Table34[[#This Row],[PDF_initial fee]]</f>
        <v>1</v>
      </c>
      <c r="T4903" s="89"/>
      <c r="U4903" s="26"/>
      <c r="X4903" s="9"/>
    </row>
    <row r="4904" spans="1:27" hidden="1" x14ac:dyDescent="0.25">
      <c r="A4904">
        <v>929578</v>
      </c>
      <c r="B4904" t="s">
        <v>5303</v>
      </c>
      <c r="C4904" t="s">
        <v>31276</v>
      </c>
      <c r="D4904">
        <v>4</v>
      </c>
      <c r="E4904" t="s">
        <v>5303</v>
      </c>
      <c r="G4904" s="3"/>
      <c r="H4904" s="3">
        <v>0</v>
      </c>
      <c r="I4904" s="3">
        <v>0</v>
      </c>
      <c r="J4904" s="3">
        <v>0</v>
      </c>
      <c r="K4904" s="3">
        <v>0</v>
      </c>
      <c r="L4904" s="3">
        <f t="shared" si="206"/>
        <v>0</v>
      </c>
      <c r="M4904" s="3"/>
      <c r="N4904" s="3">
        <f t="shared" si="207"/>
        <v>0</v>
      </c>
      <c r="R4904" s="89"/>
      <c r="S4904" s="89">
        <f>100%-Table34[[#This Row],[PDF_initial fee]]</f>
        <v>1</v>
      </c>
      <c r="T4904" s="89"/>
      <c r="U4904" s="26"/>
      <c r="X4904" s="9"/>
    </row>
    <row r="4905" spans="1:27" hidden="1" x14ac:dyDescent="0.25">
      <c r="A4905">
        <v>929626</v>
      </c>
      <c r="B4905" t="s">
        <v>5304</v>
      </c>
      <c r="C4905" t="s">
        <v>6958</v>
      </c>
      <c r="D4905">
        <v>1</v>
      </c>
      <c r="E4905" t="s">
        <v>5304</v>
      </c>
      <c r="F4905" t="s">
        <v>6958</v>
      </c>
      <c r="G4905" s="3"/>
      <c r="H4905" s="21">
        <v>0</v>
      </c>
      <c r="I4905" s="21">
        <v>0</v>
      </c>
      <c r="J4905" s="21">
        <v>0</v>
      </c>
      <c r="K4905" s="21">
        <v>0</v>
      </c>
      <c r="L4905" s="3">
        <f t="shared" si="206"/>
        <v>0</v>
      </c>
      <c r="M4905" s="3"/>
      <c r="N4905" s="3">
        <f t="shared" si="207"/>
        <v>0</v>
      </c>
      <c r="R4905" s="89"/>
      <c r="S4905" s="89">
        <f>100%-Table34[[#This Row],[PDF_initial fee]]</f>
        <v>1</v>
      </c>
      <c r="T4905" s="89"/>
      <c r="U4905" s="26"/>
      <c r="X4905" s="9"/>
    </row>
    <row r="4906" spans="1:27" hidden="1" x14ac:dyDescent="0.25">
      <c r="A4906">
        <v>929749</v>
      </c>
      <c r="B4906" t="s">
        <v>5305</v>
      </c>
      <c r="C4906" t="s">
        <v>6958</v>
      </c>
      <c r="D4906">
        <v>1</v>
      </c>
      <c r="E4906" t="s">
        <v>5305</v>
      </c>
      <c r="F4906" t="s">
        <v>6958</v>
      </c>
      <c r="G4906" s="3"/>
      <c r="L4906" s="3">
        <f t="shared" si="206"/>
        <v>0</v>
      </c>
      <c r="M4906" s="3"/>
      <c r="N4906" s="3">
        <f t="shared" si="207"/>
        <v>0</v>
      </c>
      <c r="R4906" s="89"/>
      <c r="S4906" s="89">
        <f>100%-Table34[[#This Row],[PDF_initial fee]]</f>
        <v>1</v>
      </c>
      <c r="T4906" s="89"/>
      <c r="U4906" s="26"/>
      <c r="X4906" s="9"/>
    </row>
    <row r="4907" spans="1:27" hidden="1" x14ac:dyDescent="0.25">
      <c r="A4907">
        <v>929810</v>
      </c>
      <c r="B4907" t="s">
        <v>5306</v>
      </c>
      <c r="C4907" t="s">
        <v>7611</v>
      </c>
      <c r="D4907">
        <v>3</v>
      </c>
      <c r="E4907" t="s">
        <v>5306</v>
      </c>
      <c r="G4907" s="3"/>
      <c r="L4907" s="3">
        <f t="shared" si="206"/>
        <v>0</v>
      </c>
      <c r="M4907" s="3"/>
      <c r="N4907" s="3">
        <f t="shared" si="207"/>
        <v>0</v>
      </c>
      <c r="R4907" s="89"/>
      <c r="S4907" s="89">
        <f>100%-Table34[[#This Row],[PDF_initial fee]]</f>
        <v>1</v>
      </c>
      <c r="T4907" s="89"/>
      <c r="U4907" s="26"/>
      <c r="X4907" s="9"/>
    </row>
    <row r="4908" spans="1:27" x14ac:dyDescent="0.25">
      <c r="A4908">
        <v>124537</v>
      </c>
      <c r="B4908" t="s">
        <v>29</v>
      </c>
      <c r="C4908" t="s">
        <v>31277</v>
      </c>
      <c r="D4908">
        <v>341</v>
      </c>
      <c r="E4908" t="s">
        <v>29</v>
      </c>
      <c r="F4908" t="s">
        <v>6</v>
      </c>
      <c r="G4908" s="3">
        <v>5.4999999999999997E-3</v>
      </c>
      <c r="H4908" s="3">
        <v>2.5000000000000001E-2</v>
      </c>
      <c r="I4908" s="21">
        <v>0</v>
      </c>
      <c r="J4908" s="6">
        <v>0</v>
      </c>
      <c r="K4908" s="6">
        <v>0</v>
      </c>
      <c r="L4908" s="3">
        <f t="shared" si="206"/>
        <v>2.5000000000000001E-2</v>
      </c>
      <c r="M4908" s="3"/>
      <c r="N4908" s="3">
        <f t="shared" si="207"/>
        <v>3.0499999999999999E-2</v>
      </c>
      <c r="O4908" s="21"/>
      <c r="P4908" s="1" t="s">
        <v>31271</v>
      </c>
      <c r="Q4908" s="1" t="s">
        <v>31772</v>
      </c>
      <c r="R4908" s="89">
        <v>0.26219999999999999</v>
      </c>
      <c r="S4908" s="89">
        <f>100%-Table34[[#This Row],[InitialFee]]</f>
        <v>0.97499999999999998</v>
      </c>
      <c r="T4908" s="89">
        <f>(1-Table34[[#This Row],[OngoingFee (plus Platform fee)]])^5</f>
        <v>1</v>
      </c>
      <c r="U4908" s="26">
        <f>(1+Table34[[#This Row],[Net 5yrs return (mostly up to 28th of Feb 2026)]])*Table34[[#This Row],[Investment after initial charge]]*Table34[[#This Row],[Cummulative 5yrs ongoing advice charge]]-1</f>
        <v>0.23064499999999999</v>
      </c>
      <c r="V4908" s="10">
        <v>414464000</v>
      </c>
      <c r="W4908" s="10" t="s">
        <v>29081</v>
      </c>
      <c r="X4908" s="10">
        <v>210536000</v>
      </c>
      <c r="Y4908" s="30">
        <f>X4908/V4908</f>
        <v>0.50797174181593574</v>
      </c>
      <c r="Z4908" s="10"/>
      <c r="AA4908" t="s">
        <v>31278</v>
      </c>
    </row>
    <row r="4909" spans="1:27" hidden="1" x14ac:dyDescent="0.25">
      <c r="A4909">
        <v>930071</v>
      </c>
      <c r="B4909" t="s">
        <v>5307</v>
      </c>
      <c r="C4909" t="s">
        <v>9764</v>
      </c>
      <c r="D4909">
        <v>8</v>
      </c>
      <c r="E4909" t="s">
        <v>5307</v>
      </c>
      <c r="G4909" s="3"/>
      <c r="H4909" s="3">
        <v>0</v>
      </c>
      <c r="I4909" s="3">
        <v>0</v>
      </c>
      <c r="J4909" s="3">
        <v>0</v>
      </c>
      <c r="K4909" s="3">
        <v>0</v>
      </c>
      <c r="L4909" s="3">
        <f t="shared" si="206"/>
        <v>0</v>
      </c>
      <c r="M4909" s="3"/>
      <c r="N4909" s="3">
        <f t="shared" si="207"/>
        <v>0</v>
      </c>
      <c r="R4909" s="89"/>
      <c r="S4909" s="89">
        <f>100%-Table34[[#This Row],[PDF_initial fee]]</f>
        <v>1</v>
      </c>
      <c r="T4909" s="89"/>
      <c r="U4909" s="26"/>
      <c r="X4909" s="9"/>
    </row>
    <row r="4910" spans="1:27" hidden="1" x14ac:dyDescent="0.25">
      <c r="A4910">
        <v>930109</v>
      </c>
      <c r="B4910" t="s">
        <v>5308</v>
      </c>
      <c r="C4910" t="s">
        <v>12401</v>
      </c>
      <c r="D4910">
        <v>4</v>
      </c>
      <c r="E4910" t="s">
        <v>5308</v>
      </c>
      <c r="G4910" s="3"/>
      <c r="H4910" s="3">
        <v>0</v>
      </c>
      <c r="I4910" s="3">
        <v>0</v>
      </c>
      <c r="J4910" s="3">
        <v>0</v>
      </c>
      <c r="K4910" s="3">
        <v>0</v>
      </c>
      <c r="L4910" s="3">
        <f t="shared" si="206"/>
        <v>0</v>
      </c>
      <c r="M4910" s="3"/>
      <c r="N4910" s="3">
        <f t="shared" si="207"/>
        <v>0</v>
      </c>
      <c r="R4910" s="89"/>
      <c r="S4910" s="89">
        <f>100%-Table34[[#This Row],[PDF_initial fee]]</f>
        <v>1</v>
      </c>
      <c r="T4910" s="89"/>
      <c r="U4910" s="26"/>
      <c r="X4910" s="9"/>
    </row>
    <row r="4911" spans="1:27" hidden="1" x14ac:dyDescent="0.25">
      <c r="A4911">
        <v>930257</v>
      </c>
      <c r="B4911" t="s">
        <v>5309</v>
      </c>
      <c r="C4911" t="s">
        <v>11177</v>
      </c>
      <c r="D4911">
        <v>1</v>
      </c>
      <c r="E4911" t="s">
        <v>5309</v>
      </c>
      <c r="G4911" s="3"/>
      <c r="H4911" s="3">
        <v>0</v>
      </c>
      <c r="I4911" s="3">
        <v>0</v>
      </c>
      <c r="J4911" s="3">
        <v>0</v>
      </c>
      <c r="K4911" s="3">
        <v>0</v>
      </c>
      <c r="L4911" s="3">
        <f t="shared" si="206"/>
        <v>0</v>
      </c>
      <c r="M4911" s="3"/>
      <c r="N4911" s="3">
        <f t="shared" si="207"/>
        <v>0</v>
      </c>
      <c r="R4911" s="89"/>
      <c r="S4911" s="89">
        <f>100%-Table34[[#This Row],[PDF_initial fee]]</f>
        <v>1</v>
      </c>
      <c r="T4911" s="89"/>
      <c r="U4911" s="26"/>
      <c r="X4911" s="9"/>
    </row>
    <row r="4912" spans="1:27" hidden="1" x14ac:dyDescent="0.25">
      <c r="A4912">
        <v>930272</v>
      </c>
      <c r="B4912" t="s">
        <v>5310</v>
      </c>
      <c r="C4912" t="s">
        <v>31279</v>
      </c>
      <c r="D4912">
        <v>2</v>
      </c>
      <c r="E4912" t="s">
        <v>5310</v>
      </c>
      <c r="G4912" s="3"/>
      <c r="H4912" s="3">
        <v>0</v>
      </c>
      <c r="I4912" s="3">
        <v>0</v>
      </c>
      <c r="J4912" s="3">
        <v>0</v>
      </c>
      <c r="K4912" s="3">
        <v>0</v>
      </c>
      <c r="L4912" s="3">
        <f t="shared" si="206"/>
        <v>0</v>
      </c>
      <c r="M4912" s="3"/>
      <c r="N4912" s="3">
        <f t="shared" si="207"/>
        <v>0</v>
      </c>
      <c r="R4912" s="89"/>
      <c r="S4912" s="89">
        <f>100%-Table34[[#This Row],[PDF_initial fee]]</f>
        <v>1</v>
      </c>
      <c r="T4912" s="89"/>
      <c r="U4912" s="26"/>
      <c r="X4912" s="9"/>
    </row>
    <row r="4913" spans="1:27" x14ac:dyDescent="0.25">
      <c r="A4913">
        <v>452261</v>
      </c>
      <c r="B4913" t="s">
        <v>169</v>
      </c>
      <c r="C4913" s="1" t="s">
        <v>8641</v>
      </c>
      <c r="D4913">
        <v>16</v>
      </c>
      <c r="E4913" t="s">
        <v>169</v>
      </c>
      <c r="F4913" t="s">
        <v>6</v>
      </c>
      <c r="G4913" s="3">
        <v>5.0000000000000001E-3</v>
      </c>
      <c r="H4913" s="21">
        <v>0</v>
      </c>
      <c r="I4913" s="21">
        <v>0</v>
      </c>
      <c r="J4913" s="3">
        <v>1.6199999999999999E-2</v>
      </c>
      <c r="K4913" s="3">
        <v>1.0800000000000001E-2</v>
      </c>
      <c r="L4913" s="3">
        <f t="shared" si="206"/>
        <v>2.7E-2</v>
      </c>
      <c r="M4913" s="3"/>
      <c r="N4913" s="3">
        <f t="shared" si="207"/>
        <v>3.2000000000000001E-2</v>
      </c>
      <c r="P4913" s="1" t="s">
        <v>31280</v>
      </c>
      <c r="Q4913" s="1" t="s">
        <v>31281</v>
      </c>
      <c r="R4913" s="89">
        <f>139.4/114.8-1</f>
        <v>0.21428571428571441</v>
      </c>
      <c r="S4913" s="99">
        <f>100%-Table34[[#This Row],[PDF_initial fee]]</f>
        <v>0.98380000000000001</v>
      </c>
      <c r="T4913" s="89">
        <f>(1-Table34[[#This Row],[PDF ongoing fee]])^5</f>
        <v>0.947153870757515</v>
      </c>
      <c r="U4913" s="26">
        <f>(1+Table34[[#This Row],[Net 5yrs return (mostly up to 28th of Feb 2026)]])*Table34[[#This Row],[Investment after initial charge]]*Table34[[#This Row],[Cummulative 5yrs ongoing advice charge]]-1</f>
        <v>0.1314835447765097</v>
      </c>
      <c r="V4913" s="10">
        <f>1799002-13954</f>
        <v>1785048</v>
      </c>
      <c r="W4913" s="10" t="s">
        <v>29051</v>
      </c>
      <c r="X4913" s="10">
        <v>1413064</v>
      </c>
      <c r="Y4913" s="30">
        <f>X4913/V4913</f>
        <v>0.79161120597317269</v>
      </c>
      <c r="AA4913" t="s">
        <v>31282</v>
      </c>
    </row>
    <row r="4914" spans="1:27" hidden="1" x14ac:dyDescent="0.25">
      <c r="A4914">
        <v>930489</v>
      </c>
      <c r="B4914" t="s">
        <v>5312</v>
      </c>
      <c r="C4914" t="s">
        <v>10015</v>
      </c>
      <c r="D4914">
        <v>1</v>
      </c>
      <c r="E4914" t="s">
        <v>5312</v>
      </c>
      <c r="G4914" s="3"/>
      <c r="H4914" s="3">
        <v>0</v>
      </c>
      <c r="I4914" s="3">
        <v>0</v>
      </c>
      <c r="J4914" s="3">
        <v>0</v>
      </c>
      <c r="K4914" s="3">
        <v>0</v>
      </c>
      <c r="L4914" s="3">
        <f t="shared" ref="L4914:L4977" si="208">SUM(H4914:K4914)</f>
        <v>0</v>
      </c>
      <c r="M4914" s="3"/>
      <c r="N4914" s="3">
        <f t="shared" ref="N4914:N4977" si="209">L4914+G4914</f>
        <v>0</v>
      </c>
      <c r="R4914" s="89"/>
      <c r="S4914" s="89">
        <f>100%-Table34[[#This Row],[PDF_initial fee]]</f>
        <v>1</v>
      </c>
      <c r="T4914" s="89"/>
      <c r="U4914" s="26"/>
      <c r="X4914" s="9"/>
    </row>
    <row r="4915" spans="1:27" hidden="1" x14ac:dyDescent="0.25">
      <c r="A4915">
        <v>930699</v>
      </c>
      <c r="B4915" t="s">
        <v>5313</v>
      </c>
      <c r="C4915" t="s">
        <v>7515</v>
      </c>
      <c r="D4915">
        <v>1</v>
      </c>
      <c r="E4915" t="s">
        <v>5313</v>
      </c>
      <c r="G4915" s="3"/>
      <c r="H4915" s="21">
        <v>0</v>
      </c>
      <c r="I4915" s="21">
        <v>0</v>
      </c>
      <c r="J4915" s="21">
        <v>0</v>
      </c>
      <c r="K4915" s="21">
        <v>0</v>
      </c>
      <c r="L4915" s="3">
        <f t="shared" si="208"/>
        <v>0</v>
      </c>
      <c r="M4915" s="3"/>
      <c r="N4915" s="3">
        <f t="shared" si="209"/>
        <v>0</v>
      </c>
      <c r="R4915" s="89"/>
      <c r="S4915" s="89">
        <f>100%-Table34[[#This Row],[PDF_initial fee]]</f>
        <v>1</v>
      </c>
      <c r="T4915" s="89"/>
      <c r="U4915" s="26"/>
      <c r="X4915" s="9"/>
    </row>
    <row r="4916" spans="1:27" hidden="1" x14ac:dyDescent="0.25">
      <c r="A4916">
        <v>930918</v>
      </c>
      <c r="B4916" t="s">
        <v>5314</v>
      </c>
      <c r="C4916" t="s">
        <v>8848</v>
      </c>
      <c r="D4916">
        <v>1</v>
      </c>
      <c r="E4916" t="s">
        <v>5314</v>
      </c>
      <c r="G4916" s="3"/>
      <c r="H4916" s="3">
        <v>0</v>
      </c>
      <c r="I4916" s="3">
        <v>0</v>
      </c>
      <c r="J4916" s="3">
        <v>0</v>
      </c>
      <c r="K4916" s="3">
        <v>0</v>
      </c>
      <c r="L4916" s="3">
        <f t="shared" si="208"/>
        <v>0</v>
      </c>
      <c r="M4916" s="3"/>
      <c r="N4916" s="3">
        <f t="shared" si="209"/>
        <v>0</v>
      </c>
      <c r="R4916" s="89"/>
      <c r="S4916" s="89">
        <f>100%-Table34[[#This Row],[PDF_initial fee]]</f>
        <v>1</v>
      </c>
      <c r="T4916" s="89"/>
      <c r="U4916" s="26"/>
      <c r="X4916" s="9"/>
    </row>
    <row r="4917" spans="1:27" hidden="1" x14ac:dyDescent="0.25">
      <c r="A4917">
        <v>931067</v>
      </c>
      <c r="B4917" t="s">
        <v>5315</v>
      </c>
      <c r="C4917" t="s">
        <v>10450</v>
      </c>
      <c r="D4917">
        <v>1</v>
      </c>
      <c r="E4917" t="s">
        <v>5315</v>
      </c>
      <c r="G4917" s="3"/>
      <c r="H4917" s="3">
        <v>0</v>
      </c>
      <c r="I4917" s="3">
        <v>0</v>
      </c>
      <c r="J4917" s="3">
        <v>0</v>
      </c>
      <c r="K4917" s="3">
        <v>0</v>
      </c>
      <c r="L4917" s="3">
        <f t="shared" si="208"/>
        <v>0</v>
      </c>
      <c r="M4917" s="3"/>
      <c r="N4917" s="3">
        <f t="shared" si="209"/>
        <v>0</v>
      </c>
      <c r="R4917" s="89"/>
      <c r="S4917" s="89">
        <f>100%-Table34[[#This Row],[PDF_initial fee]]</f>
        <v>1</v>
      </c>
      <c r="T4917" s="89"/>
      <c r="U4917" s="26"/>
      <c r="X4917" s="9"/>
    </row>
    <row r="4918" spans="1:27" hidden="1" x14ac:dyDescent="0.25">
      <c r="A4918">
        <v>931135</v>
      </c>
      <c r="B4918" t="s">
        <v>5316</v>
      </c>
      <c r="C4918" t="s">
        <v>6958</v>
      </c>
      <c r="D4918">
        <v>2</v>
      </c>
      <c r="E4918" t="s">
        <v>5316</v>
      </c>
      <c r="F4918" t="s">
        <v>6958</v>
      </c>
      <c r="G4918" s="3"/>
      <c r="H4918" s="21">
        <v>0</v>
      </c>
      <c r="I4918" s="21">
        <v>0</v>
      </c>
      <c r="J4918" s="21">
        <v>0</v>
      </c>
      <c r="K4918" s="21">
        <v>0</v>
      </c>
      <c r="L4918" s="3">
        <f t="shared" si="208"/>
        <v>0</v>
      </c>
      <c r="M4918" s="3"/>
      <c r="N4918" s="3">
        <f t="shared" si="209"/>
        <v>0</v>
      </c>
      <c r="R4918" s="89"/>
      <c r="S4918" s="89">
        <f>100%-Table34[[#This Row],[PDF_initial fee]]</f>
        <v>1</v>
      </c>
      <c r="T4918" s="89"/>
      <c r="U4918" s="26"/>
      <c r="X4918" s="9"/>
    </row>
    <row r="4919" spans="1:27" hidden="1" x14ac:dyDescent="0.25">
      <c r="A4919">
        <v>931393</v>
      </c>
      <c r="B4919" t="s">
        <v>5318</v>
      </c>
      <c r="C4919" t="s">
        <v>6958</v>
      </c>
      <c r="D4919">
        <v>1</v>
      </c>
      <c r="E4919" t="s">
        <v>5318</v>
      </c>
      <c r="F4919" t="s">
        <v>6958</v>
      </c>
      <c r="G4919" s="3"/>
      <c r="H4919" s="21">
        <v>0</v>
      </c>
      <c r="I4919" s="21">
        <v>0</v>
      </c>
      <c r="J4919" s="21">
        <v>0</v>
      </c>
      <c r="K4919" s="21">
        <v>0</v>
      </c>
      <c r="L4919" s="3">
        <f t="shared" si="208"/>
        <v>0</v>
      </c>
      <c r="M4919" s="3"/>
      <c r="N4919" s="3">
        <f t="shared" si="209"/>
        <v>0</v>
      </c>
      <c r="R4919" s="89"/>
      <c r="S4919" s="89">
        <f>100%-Table34[[#This Row],[PDF_initial fee]]</f>
        <v>1</v>
      </c>
      <c r="T4919" s="89"/>
      <c r="U4919" s="26"/>
      <c r="X4919" s="9"/>
    </row>
    <row r="4920" spans="1:27" hidden="1" x14ac:dyDescent="0.25">
      <c r="A4920">
        <v>931450</v>
      </c>
      <c r="B4920" t="s">
        <v>5319</v>
      </c>
      <c r="C4920" t="s">
        <v>6958</v>
      </c>
      <c r="D4920">
        <v>1</v>
      </c>
      <c r="E4920" t="s">
        <v>5319</v>
      </c>
      <c r="F4920" t="s">
        <v>6958</v>
      </c>
      <c r="G4920" s="3"/>
      <c r="H4920" s="21">
        <v>0</v>
      </c>
      <c r="I4920" s="21">
        <v>0</v>
      </c>
      <c r="J4920" s="21">
        <v>0</v>
      </c>
      <c r="K4920" s="21">
        <v>0</v>
      </c>
      <c r="L4920" s="3">
        <f t="shared" si="208"/>
        <v>0</v>
      </c>
      <c r="M4920" s="3"/>
      <c r="N4920" s="3">
        <f t="shared" si="209"/>
        <v>0</v>
      </c>
      <c r="R4920" s="89"/>
      <c r="S4920" s="89">
        <f>100%-Table34[[#This Row],[PDF_initial fee]]</f>
        <v>1</v>
      </c>
      <c r="T4920" s="89"/>
      <c r="U4920" s="26"/>
      <c r="X4920" s="9"/>
    </row>
    <row r="4921" spans="1:27" hidden="1" x14ac:dyDescent="0.25">
      <c r="A4921">
        <v>931464</v>
      </c>
      <c r="B4921" t="s">
        <v>5320</v>
      </c>
      <c r="C4921" t="s">
        <v>31283</v>
      </c>
      <c r="D4921">
        <v>2</v>
      </c>
      <c r="E4921" t="s">
        <v>5320</v>
      </c>
      <c r="G4921" s="3"/>
      <c r="H4921" s="3"/>
      <c r="I4921" s="3"/>
      <c r="J4921" s="3"/>
      <c r="K4921" s="3"/>
      <c r="L4921" s="3">
        <f t="shared" si="208"/>
        <v>0</v>
      </c>
      <c r="M4921" s="3"/>
      <c r="N4921" s="3">
        <f t="shared" si="209"/>
        <v>0</v>
      </c>
      <c r="R4921" s="89"/>
      <c r="S4921" s="89">
        <f>100%-Table34[[#This Row],[PDF_initial fee]]</f>
        <v>1</v>
      </c>
      <c r="T4921" s="89"/>
      <c r="U4921" s="26"/>
      <c r="X4921" s="9"/>
    </row>
    <row r="4922" spans="1:27" hidden="1" x14ac:dyDescent="0.25">
      <c r="A4922">
        <v>931893</v>
      </c>
      <c r="B4922" t="s">
        <v>5321</v>
      </c>
      <c r="C4922" t="s">
        <v>11978</v>
      </c>
      <c r="D4922">
        <v>1</v>
      </c>
      <c r="E4922" t="s">
        <v>5321</v>
      </c>
      <c r="G4922" s="3"/>
      <c r="H4922" s="3">
        <v>0</v>
      </c>
      <c r="I4922" s="3">
        <v>0</v>
      </c>
      <c r="J4922" s="3">
        <v>0</v>
      </c>
      <c r="K4922" s="3">
        <v>0</v>
      </c>
      <c r="L4922" s="3">
        <f t="shared" si="208"/>
        <v>0</v>
      </c>
      <c r="M4922" s="3"/>
      <c r="N4922" s="3">
        <f t="shared" si="209"/>
        <v>0</v>
      </c>
      <c r="R4922" s="89"/>
      <c r="S4922" s="89">
        <f>100%-Table34[[#This Row],[PDF_initial fee]]</f>
        <v>1</v>
      </c>
      <c r="T4922" s="89"/>
      <c r="U4922" s="26"/>
      <c r="X4922" s="9"/>
    </row>
    <row r="4923" spans="1:27" hidden="1" x14ac:dyDescent="0.25">
      <c r="A4923">
        <v>932404</v>
      </c>
      <c r="B4923" t="s">
        <v>5322</v>
      </c>
      <c r="C4923" t="s">
        <v>6958</v>
      </c>
      <c r="D4923">
        <v>1</v>
      </c>
      <c r="E4923" t="s">
        <v>5322</v>
      </c>
      <c r="F4923" t="s">
        <v>6958</v>
      </c>
      <c r="G4923" s="3"/>
      <c r="H4923" s="21">
        <v>0</v>
      </c>
      <c r="I4923" s="21">
        <v>0</v>
      </c>
      <c r="J4923" s="21">
        <v>0</v>
      </c>
      <c r="K4923" s="21">
        <v>0</v>
      </c>
      <c r="L4923" s="3">
        <f t="shared" si="208"/>
        <v>0</v>
      </c>
      <c r="M4923" s="3"/>
      <c r="N4923" s="3">
        <f t="shared" si="209"/>
        <v>0</v>
      </c>
      <c r="R4923" s="89"/>
      <c r="S4923" s="89">
        <f>100%-Table34[[#This Row],[PDF_initial fee]]</f>
        <v>1</v>
      </c>
      <c r="T4923" s="89"/>
      <c r="U4923" s="26"/>
      <c r="X4923" s="9"/>
    </row>
    <row r="4924" spans="1:27" hidden="1" x14ac:dyDescent="0.25">
      <c r="A4924">
        <v>932482</v>
      </c>
      <c r="B4924" t="s">
        <v>5323</v>
      </c>
      <c r="C4924" t="s">
        <v>11890</v>
      </c>
      <c r="D4924">
        <v>1</v>
      </c>
      <c r="E4924" t="s">
        <v>5323</v>
      </c>
      <c r="G4924" s="3"/>
      <c r="H4924" s="3">
        <v>0</v>
      </c>
      <c r="I4924" s="3">
        <v>0</v>
      </c>
      <c r="J4924" s="3">
        <v>0</v>
      </c>
      <c r="K4924" s="3">
        <v>0</v>
      </c>
      <c r="L4924" s="3">
        <f t="shared" si="208"/>
        <v>0</v>
      </c>
      <c r="M4924" s="3"/>
      <c r="N4924" s="3">
        <f t="shared" si="209"/>
        <v>0</v>
      </c>
      <c r="R4924" s="89"/>
      <c r="S4924" s="89">
        <f>100%-Table34[[#This Row],[PDF_initial fee]]</f>
        <v>1</v>
      </c>
      <c r="T4924" s="89"/>
      <c r="U4924" s="26"/>
      <c r="X4924" s="9"/>
    </row>
    <row r="4925" spans="1:27" hidden="1" x14ac:dyDescent="0.25">
      <c r="A4925">
        <v>933340</v>
      </c>
      <c r="B4925" t="s">
        <v>5324</v>
      </c>
      <c r="C4925" t="s">
        <v>31284</v>
      </c>
      <c r="D4925">
        <v>1</v>
      </c>
      <c r="E4925" t="s">
        <v>5324</v>
      </c>
      <c r="G4925" s="3"/>
      <c r="H4925" s="3">
        <v>0</v>
      </c>
      <c r="I4925" s="3">
        <v>0</v>
      </c>
      <c r="J4925" s="3">
        <v>0</v>
      </c>
      <c r="K4925" s="3">
        <v>0</v>
      </c>
      <c r="L4925" s="3">
        <f t="shared" si="208"/>
        <v>0</v>
      </c>
      <c r="M4925" s="3"/>
      <c r="N4925" s="3">
        <f t="shared" si="209"/>
        <v>0</v>
      </c>
      <c r="R4925" s="89"/>
      <c r="S4925" s="89">
        <f>100%-Table34[[#This Row],[PDF_initial fee]]</f>
        <v>1</v>
      </c>
      <c r="T4925" s="89"/>
      <c r="U4925" s="26"/>
      <c r="X4925" s="9"/>
    </row>
    <row r="4926" spans="1:27" hidden="1" x14ac:dyDescent="0.25">
      <c r="A4926">
        <v>933488</v>
      </c>
      <c r="B4926" t="s">
        <v>5325</v>
      </c>
      <c r="C4926" t="s">
        <v>11450</v>
      </c>
      <c r="D4926">
        <v>1</v>
      </c>
      <c r="E4926" t="s">
        <v>5325</v>
      </c>
      <c r="G4926" s="3"/>
      <c r="H4926" s="3">
        <v>0</v>
      </c>
      <c r="I4926" s="3">
        <v>0</v>
      </c>
      <c r="J4926" s="3">
        <v>0</v>
      </c>
      <c r="K4926" s="3">
        <v>0</v>
      </c>
      <c r="L4926" s="3">
        <f t="shared" si="208"/>
        <v>0</v>
      </c>
      <c r="M4926" s="3"/>
      <c r="N4926" s="3">
        <f t="shared" si="209"/>
        <v>0</v>
      </c>
      <c r="R4926" s="89"/>
      <c r="S4926" s="89">
        <f>100%-Table34[[#This Row],[PDF_initial fee]]</f>
        <v>1</v>
      </c>
      <c r="T4926" s="89"/>
      <c r="U4926" s="26"/>
      <c r="X4926" s="9"/>
    </row>
    <row r="4927" spans="1:27" hidden="1" x14ac:dyDescent="0.25">
      <c r="A4927">
        <v>933688</v>
      </c>
      <c r="B4927" t="s">
        <v>5327</v>
      </c>
      <c r="C4927" t="s">
        <v>11421</v>
      </c>
      <c r="D4927">
        <v>4</v>
      </c>
      <c r="E4927" t="s">
        <v>5327</v>
      </c>
      <c r="G4927" s="3"/>
      <c r="H4927" s="3">
        <v>0</v>
      </c>
      <c r="I4927" s="3">
        <v>0</v>
      </c>
      <c r="J4927" s="3">
        <v>0</v>
      </c>
      <c r="K4927" s="3">
        <v>0</v>
      </c>
      <c r="L4927" s="3">
        <f t="shared" si="208"/>
        <v>0</v>
      </c>
      <c r="M4927" s="3"/>
      <c r="N4927" s="3">
        <f t="shared" si="209"/>
        <v>0</v>
      </c>
      <c r="R4927" s="89"/>
      <c r="S4927" s="89">
        <f>100%-Table34[[#This Row],[PDF_initial fee]]</f>
        <v>1</v>
      </c>
      <c r="T4927" s="89"/>
      <c r="U4927" s="26"/>
      <c r="X4927" s="9"/>
    </row>
    <row r="4928" spans="1:27" hidden="1" x14ac:dyDescent="0.25">
      <c r="A4928">
        <v>933757</v>
      </c>
      <c r="B4928" t="s">
        <v>5328</v>
      </c>
      <c r="C4928" t="s">
        <v>31285</v>
      </c>
      <c r="D4928">
        <v>8</v>
      </c>
      <c r="E4928" t="s">
        <v>5328</v>
      </c>
      <c r="G4928" s="3"/>
      <c r="H4928" s="21">
        <v>0</v>
      </c>
      <c r="I4928" s="21">
        <v>0</v>
      </c>
      <c r="J4928" s="21">
        <v>0</v>
      </c>
      <c r="K4928" s="21">
        <v>0</v>
      </c>
      <c r="L4928" s="3">
        <f t="shared" si="208"/>
        <v>0</v>
      </c>
      <c r="M4928" s="3"/>
      <c r="N4928" s="3">
        <f t="shared" si="209"/>
        <v>0</v>
      </c>
      <c r="O4928" s="21"/>
      <c r="R4928" s="89"/>
      <c r="S4928" s="89">
        <f>100%-Table34[[#This Row],[PDF_initial fee]]</f>
        <v>1</v>
      </c>
      <c r="T4928" s="89"/>
      <c r="U4928" s="26"/>
      <c r="X4928" s="9"/>
    </row>
    <row r="4929" spans="1:24" hidden="1" x14ac:dyDescent="0.25">
      <c r="A4929">
        <v>934368</v>
      </c>
      <c r="B4929" t="s">
        <v>5329</v>
      </c>
      <c r="C4929" t="s">
        <v>9248</v>
      </c>
      <c r="D4929">
        <v>4</v>
      </c>
      <c r="E4929" t="s">
        <v>5329</v>
      </c>
      <c r="G4929" s="3"/>
      <c r="L4929" s="3">
        <f t="shared" si="208"/>
        <v>0</v>
      </c>
      <c r="M4929" s="3"/>
      <c r="N4929" s="3">
        <f t="shared" si="209"/>
        <v>0</v>
      </c>
      <c r="R4929" s="89"/>
      <c r="S4929" s="89">
        <f>100%-Table34[[#This Row],[PDF_initial fee]]</f>
        <v>1</v>
      </c>
      <c r="T4929" s="89"/>
      <c r="U4929" s="26"/>
      <c r="X4929" s="9"/>
    </row>
    <row r="4930" spans="1:24" hidden="1" x14ac:dyDescent="0.25">
      <c r="A4930">
        <v>934686</v>
      </c>
      <c r="B4930" t="s">
        <v>5330</v>
      </c>
      <c r="C4930" t="s">
        <v>10293</v>
      </c>
      <c r="D4930">
        <v>1</v>
      </c>
      <c r="E4930" t="s">
        <v>5330</v>
      </c>
      <c r="G4930" s="3"/>
      <c r="H4930" s="3">
        <v>0</v>
      </c>
      <c r="I4930" s="3">
        <v>0</v>
      </c>
      <c r="J4930" s="3">
        <v>0</v>
      </c>
      <c r="K4930" s="3">
        <v>0</v>
      </c>
      <c r="L4930" s="3">
        <f t="shared" si="208"/>
        <v>0</v>
      </c>
      <c r="M4930" s="3"/>
      <c r="N4930" s="3">
        <f t="shared" si="209"/>
        <v>0</v>
      </c>
      <c r="R4930" s="89"/>
      <c r="S4930" s="89">
        <f>100%-Table34[[#This Row],[PDF_initial fee]]</f>
        <v>1</v>
      </c>
      <c r="T4930" s="89"/>
      <c r="U4930" s="26"/>
      <c r="X4930" s="9"/>
    </row>
    <row r="4931" spans="1:24" hidden="1" x14ac:dyDescent="0.25">
      <c r="A4931">
        <v>934787</v>
      </c>
      <c r="B4931" t="s">
        <v>5331</v>
      </c>
      <c r="C4931" t="s">
        <v>8342</v>
      </c>
      <c r="D4931">
        <v>2</v>
      </c>
      <c r="E4931" t="s">
        <v>5331</v>
      </c>
      <c r="G4931" s="3"/>
      <c r="H4931" s="21">
        <v>0</v>
      </c>
      <c r="I4931" s="21">
        <v>0</v>
      </c>
      <c r="J4931" s="21">
        <v>0</v>
      </c>
      <c r="K4931" s="21">
        <v>0</v>
      </c>
      <c r="L4931" s="3">
        <f t="shared" si="208"/>
        <v>0</v>
      </c>
      <c r="M4931" s="3"/>
      <c r="N4931" s="3">
        <f t="shared" si="209"/>
        <v>0</v>
      </c>
      <c r="R4931" s="89"/>
      <c r="S4931" s="89">
        <f>100%-Table34[[#This Row],[PDF_initial fee]]</f>
        <v>1</v>
      </c>
      <c r="T4931" s="89"/>
      <c r="U4931" s="26"/>
      <c r="X4931" s="9"/>
    </row>
    <row r="4932" spans="1:24" hidden="1" x14ac:dyDescent="0.25">
      <c r="A4932">
        <v>934844</v>
      </c>
      <c r="B4932" t="s">
        <v>5332</v>
      </c>
      <c r="C4932" t="s">
        <v>8675</v>
      </c>
      <c r="D4932">
        <v>1</v>
      </c>
      <c r="E4932" t="s">
        <v>5332</v>
      </c>
      <c r="G4932" s="3"/>
      <c r="L4932" s="3">
        <f t="shared" si="208"/>
        <v>0</v>
      </c>
      <c r="M4932" s="3"/>
      <c r="N4932" s="3">
        <f t="shared" si="209"/>
        <v>0</v>
      </c>
      <c r="R4932" s="89"/>
      <c r="S4932" s="89">
        <f>100%-Table34[[#This Row],[PDF_initial fee]]</f>
        <v>1</v>
      </c>
      <c r="T4932" s="89"/>
      <c r="U4932" s="26"/>
      <c r="X4932" s="9"/>
    </row>
    <row r="4933" spans="1:24" hidden="1" x14ac:dyDescent="0.25">
      <c r="A4933">
        <v>934946</v>
      </c>
      <c r="B4933" t="s">
        <v>5333</v>
      </c>
      <c r="C4933" t="s">
        <v>31286</v>
      </c>
      <c r="D4933">
        <v>0</v>
      </c>
      <c r="E4933" t="s">
        <v>5333</v>
      </c>
      <c r="F4933" t="s">
        <v>29136</v>
      </c>
      <c r="G4933" s="3"/>
      <c r="H4933" s="3">
        <v>0</v>
      </c>
      <c r="I4933" s="3">
        <v>0</v>
      </c>
      <c r="J4933" s="3">
        <v>0</v>
      </c>
      <c r="K4933" s="3">
        <v>0</v>
      </c>
      <c r="L4933" s="3">
        <f t="shared" si="208"/>
        <v>0</v>
      </c>
      <c r="M4933" s="3"/>
      <c r="N4933" s="3">
        <f t="shared" si="209"/>
        <v>0</v>
      </c>
      <c r="R4933" s="89"/>
      <c r="S4933" s="89">
        <f>100%-Table34[[#This Row],[PDF_initial fee]]</f>
        <v>1</v>
      </c>
      <c r="T4933" s="89"/>
      <c r="U4933" s="26"/>
      <c r="X4933" s="9"/>
    </row>
    <row r="4934" spans="1:24" hidden="1" x14ac:dyDescent="0.25">
      <c r="A4934">
        <v>935116</v>
      </c>
      <c r="B4934" t="s">
        <v>5334</v>
      </c>
      <c r="C4934" t="s">
        <v>12645</v>
      </c>
      <c r="D4934">
        <v>1</v>
      </c>
      <c r="E4934" t="s">
        <v>5334</v>
      </c>
      <c r="G4934" s="3"/>
      <c r="H4934" s="3">
        <v>0</v>
      </c>
      <c r="I4934" s="3">
        <v>0</v>
      </c>
      <c r="J4934" s="3">
        <v>0</v>
      </c>
      <c r="K4934" s="3">
        <v>0</v>
      </c>
      <c r="L4934" s="3">
        <f t="shared" si="208"/>
        <v>0</v>
      </c>
      <c r="M4934" s="3"/>
      <c r="N4934" s="3">
        <f t="shared" si="209"/>
        <v>0</v>
      </c>
      <c r="R4934" s="89"/>
      <c r="S4934" s="89">
        <f>100%-Table34[[#This Row],[PDF_initial fee]]</f>
        <v>1</v>
      </c>
      <c r="T4934" s="89"/>
      <c r="U4934" s="26"/>
      <c r="X4934" s="9"/>
    </row>
    <row r="4935" spans="1:24" hidden="1" x14ac:dyDescent="0.25">
      <c r="A4935">
        <v>935219</v>
      </c>
      <c r="B4935" t="s">
        <v>5335</v>
      </c>
      <c r="C4935" t="s">
        <v>6958</v>
      </c>
      <c r="D4935">
        <v>1</v>
      </c>
      <c r="E4935" t="s">
        <v>5335</v>
      </c>
      <c r="F4935" t="s">
        <v>6958</v>
      </c>
      <c r="G4935" s="3"/>
      <c r="H4935" s="21">
        <v>0</v>
      </c>
      <c r="I4935" s="21">
        <v>0</v>
      </c>
      <c r="J4935" s="21">
        <v>0</v>
      </c>
      <c r="K4935" s="21">
        <v>0</v>
      </c>
      <c r="L4935" s="3">
        <f t="shared" si="208"/>
        <v>0</v>
      </c>
      <c r="M4935" s="3"/>
      <c r="N4935" s="3">
        <f t="shared" si="209"/>
        <v>0</v>
      </c>
      <c r="O4935" s="21"/>
      <c r="R4935" s="89"/>
      <c r="S4935" s="89">
        <f>100%-Table34[[#This Row],[PDF_initial fee]]</f>
        <v>1</v>
      </c>
      <c r="T4935" s="89"/>
      <c r="U4935" s="26"/>
      <c r="X4935" s="9"/>
    </row>
    <row r="4936" spans="1:24" hidden="1" x14ac:dyDescent="0.25">
      <c r="A4936">
        <v>935827</v>
      </c>
      <c r="B4936" t="s">
        <v>5336</v>
      </c>
      <c r="C4936" t="s">
        <v>6958</v>
      </c>
      <c r="D4936">
        <v>2</v>
      </c>
      <c r="E4936" t="s">
        <v>5336</v>
      </c>
      <c r="F4936" t="s">
        <v>6958</v>
      </c>
      <c r="G4936" s="3"/>
      <c r="H4936" s="21">
        <v>0</v>
      </c>
      <c r="I4936" s="21">
        <v>0</v>
      </c>
      <c r="J4936" s="21">
        <v>0</v>
      </c>
      <c r="K4936" s="21">
        <v>0</v>
      </c>
      <c r="L4936" s="3">
        <f t="shared" si="208"/>
        <v>0</v>
      </c>
      <c r="M4936" s="3"/>
      <c r="N4936" s="3">
        <f t="shared" si="209"/>
        <v>0</v>
      </c>
      <c r="R4936" s="89"/>
      <c r="S4936" s="89">
        <f>100%-Table34[[#This Row],[PDF_initial fee]]</f>
        <v>1</v>
      </c>
      <c r="T4936" s="89"/>
      <c r="U4936" s="26"/>
      <c r="X4936" s="9"/>
    </row>
    <row r="4937" spans="1:24" hidden="1" x14ac:dyDescent="0.25">
      <c r="A4937">
        <v>936085</v>
      </c>
      <c r="B4937" t="s">
        <v>5337</v>
      </c>
      <c r="C4937" t="s">
        <v>7548</v>
      </c>
      <c r="D4937">
        <v>0</v>
      </c>
      <c r="E4937" t="s">
        <v>5337</v>
      </c>
      <c r="F4937" t="s">
        <v>29136</v>
      </c>
      <c r="G4937" s="3"/>
      <c r="H4937" s="21">
        <v>0</v>
      </c>
      <c r="I4937" s="21">
        <v>0</v>
      </c>
      <c r="J4937" s="21">
        <v>0</v>
      </c>
      <c r="K4937" s="21">
        <v>0</v>
      </c>
      <c r="L4937" s="3">
        <f t="shared" si="208"/>
        <v>0</v>
      </c>
      <c r="M4937" s="3"/>
      <c r="N4937" s="3">
        <f t="shared" si="209"/>
        <v>0</v>
      </c>
      <c r="R4937" s="89"/>
      <c r="S4937" s="89">
        <f>100%-Table34[[#This Row],[PDF_initial fee]]</f>
        <v>1</v>
      </c>
      <c r="T4937" s="89"/>
      <c r="U4937" s="26"/>
      <c r="X4937" s="9"/>
    </row>
    <row r="4938" spans="1:24" hidden="1" x14ac:dyDescent="0.25">
      <c r="A4938">
        <v>936168</v>
      </c>
      <c r="B4938" t="s">
        <v>5338</v>
      </c>
      <c r="C4938" t="s">
        <v>10422</v>
      </c>
      <c r="D4938">
        <v>1</v>
      </c>
      <c r="E4938" t="s">
        <v>5338</v>
      </c>
      <c r="G4938" s="3"/>
      <c r="H4938" s="3">
        <v>0</v>
      </c>
      <c r="I4938" s="3">
        <v>0</v>
      </c>
      <c r="J4938" s="3">
        <v>0</v>
      </c>
      <c r="K4938" s="3">
        <v>0</v>
      </c>
      <c r="L4938" s="3">
        <f t="shared" si="208"/>
        <v>0</v>
      </c>
      <c r="M4938" s="3"/>
      <c r="N4938" s="3">
        <f t="shared" si="209"/>
        <v>0</v>
      </c>
      <c r="R4938" s="89"/>
      <c r="S4938" s="89">
        <f>100%-Table34[[#This Row],[PDF_initial fee]]</f>
        <v>1</v>
      </c>
      <c r="T4938" s="89"/>
      <c r="U4938" s="26"/>
      <c r="X4938" s="9"/>
    </row>
    <row r="4939" spans="1:24" hidden="1" x14ac:dyDescent="0.25">
      <c r="A4939">
        <v>936586</v>
      </c>
      <c r="B4939" t="s">
        <v>5339</v>
      </c>
      <c r="C4939" t="s">
        <v>31287</v>
      </c>
      <c r="D4939">
        <v>0</v>
      </c>
      <c r="E4939" t="s">
        <v>5339</v>
      </c>
      <c r="F4939" t="s">
        <v>29136</v>
      </c>
      <c r="G4939" s="3"/>
      <c r="H4939" s="21">
        <v>0</v>
      </c>
      <c r="I4939" s="21">
        <v>0</v>
      </c>
      <c r="J4939" s="21">
        <v>0</v>
      </c>
      <c r="K4939" s="21">
        <v>0</v>
      </c>
      <c r="L4939" s="3">
        <f t="shared" si="208"/>
        <v>0</v>
      </c>
      <c r="M4939" s="3"/>
      <c r="N4939" s="3">
        <f t="shared" si="209"/>
        <v>0</v>
      </c>
      <c r="O4939" s="21"/>
      <c r="R4939" s="89"/>
      <c r="S4939" s="89">
        <f>100%-Table34[[#This Row],[PDF_initial fee]]</f>
        <v>1</v>
      </c>
      <c r="T4939" s="89"/>
      <c r="U4939" s="26"/>
      <c r="X4939" s="9"/>
    </row>
    <row r="4940" spans="1:24" hidden="1" x14ac:dyDescent="0.25">
      <c r="A4940">
        <v>936681</v>
      </c>
      <c r="B4940" t="s">
        <v>5340</v>
      </c>
      <c r="C4940" t="s">
        <v>7026</v>
      </c>
      <c r="D4940">
        <v>3</v>
      </c>
      <c r="E4940" t="s">
        <v>5340</v>
      </c>
      <c r="G4940" s="3"/>
      <c r="H4940" s="21">
        <v>0</v>
      </c>
      <c r="I4940" s="21">
        <v>0</v>
      </c>
      <c r="J4940" s="21">
        <v>0</v>
      </c>
      <c r="K4940" s="21">
        <v>0</v>
      </c>
      <c r="L4940" s="3">
        <f t="shared" si="208"/>
        <v>0</v>
      </c>
      <c r="M4940" s="3"/>
      <c r="N4940" s="3">
        <f t="shared" si="209"/>
        <v>0</v>
      </c>
      <c r="R4940" s="89"/>
      <c r="S4940" s="89">
        <f>100%-Table34[[#This Row],[PDF_initial fee]]</f>
        <v>1</v>
      </c>
      <c r="T4940" s="89"/>
      <c r="U4940" s="26"/>
      <c r="X4940" s="9"/>
    </row>
    <row r="4941" spans="1:24" hidden="1" x14ac:dyDescent="0.25">
      <c r="A4941">
        <v>936711</v>
      </c>
      <c r="B4941" t="s">
        <v>5341</v>
      </c>
      <c r="C4941" t="s">
        <v>6958</v>
      </c>
      <c r="D4941">
        <v>1</v>
      </c>
      <c r="E4941" t="s">
        <v>5341</v>
      </c>
      <c r="F4941" t="s">
        <v>6958</v>
      </c>
      <c r="G4941" s="3"/>
      <c r="H4941" s="21">
        <v>0</v>
      </c>
      <c r="I4941" s="21">
        <v>0</v>
      </c>
      <c r="J4941" s="21">
        <v>0</v>
      </c>
      <c r="K4941" s="21">
        <v>0</v>
      </c>
      <c r="L4941" s="3">
        <f t="shared" si="208"/>
        <v>0</v>
      </c>
      <c r="M4941" s="3"/>
      <c r="N4941" s="3">
        <f t="shared" si="209"/>
        <v>0</v>
      </c>
      <c r="R4941" s="89"/>
      <c r="S4941" s="89">
        <f>100%-Table34[[#This Row],[PDF_initial fee]]</f>
        <v>1</v>
      </c>
      <c r="T4941" s="89"/>
      <c r="U4941" s="26"/>
      <c r="X4941" s="9"/>
    </row>
    <row r="4942" spans="1:24" hidden="1" x14ac:dyDescent="0.25">
      <c r="A4942">
        <v>936766</v>
      </c>
      <c r="B4942" t="s">
        <v>5342</v>
      </c>
      <c r="C4942" t="s">
        <v>8205</v>
      </c>
      <c r="D4942">
        <v>0</v>
      </c>
      <c r="E4942" t="s">
        <v>5342</v>
      </c>
      <c r="F4942" t="s">
        <v>29136</v>
      </c>
      <c r="G4942" s="3"/>
      <c r="H4942" s="21">
        <v>0</v>
      </c>
      <c r="I4942" s="21">
        <v>0</v>
      </c>
      <c r="J4942" s="21">
        <v>0</v>
      </c>
      <c r="K4942" s="21">
        <v>0</v>
      </c>
      <c r="L4942" s="3">
        <f t="shared" si="208"/>
        <v>0</v>
      </c>
      <c r="M4942" s="3"/>
      <c r="N4942" s="3">
        <f t="shared" si="209"/>
        <v>0</v>
      </c>
      <c r="R4942" s="89"/>
      <c r="S4942" s="89">
        <f>100%-Table34[[#This Row],[PDF_initial fee]]</f>
        <v>1</v>
      </c>
      <c r="T4942" s="89"/>
      <c r="U4942" s="26"/>
      <c r="X4942" s="9"/>
    </row>
    <row r="4943" spans="1:24" hidden="1" x14ac:dyDescent="0.25">
      <c r="A4943">
        <v>936831</v>
      </c>
      <c r="B4943" t="s">
        <v>5343</v>
      </c>
      <c r="C4943" t="s">
        <v>8631</v>
      </c>
      <c r="D4943">
        <v>2</v>
      </c>
      <c r="E4943" t="s">
        <v>5343</v>
      </c>
      <c r="G4943" s="3"/>
      <c r="H4943" s="21">
        <v>0</v>
      </c>
      <c r="I4943" s="21">
        <v>0</v>
      </c>
      <c r="J4943" s="21">
        <v>0</v>
      </c>
      <c r="K4943" s="21">
        <v>0</v>
      </c>
      <c r="L4943" s="3">
        <f t="shared" si="208"/>
        <v>0</v>
      </c>
      <c r="M4943" s="3"/>
      <c r="N4943" s="3">
        <f t="shared" si="209"/>
        <v>0</v>
      </c>
      <c r="R4943" s="89"/>
      <c r="S4943" s="89">
        <f>100%-Table34[[#This Row],[PDF_initial fee]]</f>
        <v>1</v>
      </c>
      <c r="T4943" s="89"/>
      <c r="U4943" s="26"/>
      <c r="X4943" s="9"/>
    </row>
    <row r="4944" spans="1:24" hidden="1" x14ac:dyDescent="0.25">
      <c r="A4944">
        <v>936859</v>
      </c>
      <c r="B4944" t="s">
        <v>5344</v>
      </c>
      <c r="C4944" t="s">
        <v>11840</v>
      </c>
      <c r="D4944">
        <v>1</v>
      </c>
      <c r="E4944" t="s">
        <v>5344</v>
      </c>
      <c r="G4944" s="3"/>
      <c r="H4944" s="3">
        <v>0</v>
      </c>
      <c r="I4944" s="3">
        <v>0</v>
      </c>
      <c r="J4944" s="3">
        <v>0</v>
      </c>
      <c r="K4944" s="3">
        <v>0</v>
      </c>
      <c r="L4944" s="3">
        <f t="shared" si="208"/>
        <v>0</v>
      </c>
      <c r="M4944" s="3"/>
      <c r="N4944" s="3">
        <f t="shared" si="209"/>
        <v>0</v>
      </c>
      <c r="R4944" s="89"/>
      <c r="S4944" s="89">
        <f>100%-Table34[[#This Row],[PDF_initial fee]]</f>
        <v>1</v>
      </c>
      <c r="T4944" s="89"/>
      <c r="U4944" s="26"/>
      <c r="X4944" s="9"/>
    </row>
    <row r="4945" spans="1:30" hidden="1" x14ac:dyDescent="0.25">
      <c r="A4945">
        <v>936903</v>
      </c>
      <c r="B4945" t="s">
        <v>5345</v>
      </c>
      <c r="C4945" t="s">
        <v>6958</v>
      </c>
      <c r="D4945">
        <v>1</v>
      </c>
      <c r="E4945" t="s">
        <v>5345</v>
      </c>
      <c r="F4945" t="s">
        <v>6958</v>
      </c>
      <c r="G4945" s="3"/>
      <c r="H4945" s="21">
        <v>0</v>
      </c>
      <c r="I4945" s="21">
        <v>0</v>
      </c>
      <c r="J4945" s="21">
        <v>0</v>
      </c>
      <c r="K4945" s="21">
        <v>0</v>
      </c>
      <c r="L4945" s="3">
        <f t="shared" si="208"/>
        <v>0</v>
      </c>
      <c r="M4945" s="3"/>
      <c r="N4945" s="3">
        <f t="shared" si="209"/>
        <v>0</v>
      </c>
      <c r="R4945" s="89"/>
      <c r="S4945" s="89">
        <f>100%-Table34[[#This Row],[PDF_initial fee]]</f>
        <v>1</v>
      </c>
      <c r="T4945" s="89"/>
      <c r="U4945" s="26"/>
      <c r="X4945" s="9"/>
    </row>
    <row r="4946" spans="1:30" hidden="1" x14ac:dyDescent="0.25">
      <c r="A4946">
        <v>936948</v>
      </c>
      <c r="B4946" t="s">
        <v>5346</v>
      </c>
      <c r="C4946" t="s">
        <v>6958</v>
      </c>
      <c r="D4946">
        <v>1</v>
      </c>
      <c r="E4946" t="s">
        <v>5346</v>
      </c>
      <c r="F4946" t="s">
        <v>6958</v>
      </c>
      <c r="G4946" s="3"/>
      <c r="H4946" s="21">
        <v>0</v>
      </c>
      <c r="I4946" s="21">
        <v>0</v>
      </c>
      <c r="J4946" s="21">
        <v>0</v>
      </c>
      <c r="K4946" s="21">
        <v>0</v>
      </c>
      <c r="L4946" s="3">
        <f t="shared" si="208"/>
        <v>0</v>
      </c>
      <c r="M4946" s="3"/>
      <c r="N4946" s="3">
        <f t="shared" si="209"/>
        <v>0</v>
      </c>
      <c r="R4946" s="89"/>
      <c r="S4946" s="89">
        <f>100%-Table34[[#This Row],[PDF_initial fee]]</f>
        <v>1</v>
      </c>
      <c r="T4946" s="89"/>
      <c r="U4946" s="26"/>
      <c r="X4946" s="9"/>
    </row>
    <row r="4947" spans="1:30" hidden="1" x14ac:dyDescent="0.25">
      <c r="A4947">
        <v>937127</v>
      </c>
      <c r="B4947" t="s">
        <v>5347</v>
      </c>
      <c r="C4947" t="s">
        <v>31288</v>
      </c>
      <c r="D4947">
        <v>6</v>
      </c>
      <c r="E4947" t="s">
        <v>5347</v>
      </c>
      <c r="G4947" s="3"/>
      <c r="H4947" s="21">
        <v>0</v>
      </c>
      <c r="I4947" s="21">
        <v>0</v>
      </c>
      <c r="J4947" s="21">
        <v>0</v>
      </c>
      <c r="K4947" s="21">
        <v>0</v>
      </c>
      <c r="L4947" s="3">
        <f t="shared" si="208"/>
        <v>0</v>
      </c>
      <c r="M4947" s="3"/>
      <c r="N4947" s="3">
        <f t="shared" si="209"/>
        <v>0</v>
      </c>
      <c r="O4947" s="21"/>
      <c r="R4947" s="89"/>
      <c r="S4947" s="89">
        <f>100%-Table34[[#This Row],[PDF_initial fee]]</f>
        <v>1</v>
      </c>
      <c r="T4947" s="89"/>
      <c r="U4947" s="26"/>
      <c r="X4947" s="9"/>
    </row>
    <row r="4948" spans="1:30" hidden="1" x14ac:dyDescent="0.25">
      <c r="A4948">
        <v>937280</v>
      </c>
      <c r="B4948" t="s">
        <v>5348</v>
      </c>
      <c r="C4948" t="s">
        <v>31289</v>
      </c>
      <c r="D4948">
        <v>2</v>
      </c>
      <c r="E4948" t="s">
        <v>5348</v>
      </c>
      <c r="G4948" s="3"/>
      <c r="H4948" s="21">
        <v>0</v>
      </c>
      <c r="I4948" s="3">
        <v>0</v>
      </c>
      <c r="J4948" s="3">
        <v>0</v>
      </c>
      <c r="K4948">
        <v>0</v>
      </c>
      <c r="L4948" s="3">
        <f t="shared" si="208"/>
        <v>0</v>
      </c>
      <c r="M4948" s="3"/>
      <c r="N4948" s="3">
        <f t="shared" si="209"/>
        <v>0</v>
      </c>
      <c r="R4948" s="89"/>
      <c r="S4948" s="89">
        <f>100%-Table34[[#This Row],[PDF_initial fee]]</f>
        <v>1</v>
      </c>
      <c r="T4948" s="89"/>
      <c r="U4948" s="26"/>
      <c r="X4948" s="9"/>
    </row>
    <row r="4949" spans="1:30" hidden="1" x14ac:dyDescent="0.25">
      <c r="A4949">
        <v>937373</v>
      </c>
      <c r="B4949" t="s">
        <v>5349</v>
      </c>
      <c r="C4949" t="s">
        <v>7212</v>
      </c>
      <c r="D4949">
        <v>2</v>
      </c>
      <c r="E4949" t="s">
        <v>5349</v>
      </c>
      <c r="G4949" s="3"/>
      <c r="H4949" s="21">
        <v>0</v>
      </c>
      <c r="I4949" s="21">
        <v>0</v>
      </c>
      <c r="J4949" s="21">
        <v>0</v>
      </c>
      <c r="K4949" s="21">
        <v>0</v>
      </c>
      <c r="L4949" s="3">
        <f t="shared" si="208"/>
        <v>0</v>
      </c>
      <c r="M4949" s="3"/>
      <c r="N4949" s="3">
        <f t="shared" si="209"/>
        <v>0</v>
      </c>
      <c r="R4949" s="89"/>
      <c r="S4949" s="89">
        <f>100%-Table34[[#This Row],[PDF_initial fee]]</f>
        <v>1</v>
      </c>
      <c r="T4949" s="89"/>
      <c r="U4949" s="26"/>
      <c r="X4949" s="9"/>
    </row>
    <row r="4950" spans="1:30" x14ac:dyDescent="0.25">
      <c r="A4950">
        <v>776977</v>
      </c>
      <c r="B4950" t="s">
        <v>293</v>
      </c>
      <c r="C4950" s="1" t="s">
        <v>8641</v>
      </c>
      <c r="D4950">
        <v>6</v>
      </c>
      <c r="E4950" t="s">
        <v>293</v>
      </c>
      <c r="F4950" t="s">
        <v>6</v>
      </c>
      <c r="G4950" s="3">
        <v>5.0000000000000001E-3</v>
      </c>
      <c r="H4950" s="21">
        <v>0</v>
      </c>
      <c r="I4950" s="21">
        <v>0</v>
      </c>
      <c r="J4950" s="3">
        <v>1.6199999999999999E-2</v>
      </c>
      <c r="K4950" s="3">
        <v>1.0800000000000001E-2</v>
      </c>
      <c r="L4950" s="3">
        <f t="shared" si="208"/>
        <v>2.7E-2</v>
      </c>
      <c r="M4950" s="3"/>
      <c r="N4950" s="3">
        <f t="shared" si="209"/>
        <v>3.2000000000000001E-2</v>
      </c>
      <c r="P4950" s="1" t="s">
        <v>31280</v>
      </c>
      <c r="Q4950" s="1" t="s">
        <v>31281</v>
      </c>
      <c r="R4950" s="89">
        <f>139.4/114.8-1</f>
        <v>0.21428571428571441</v>
      </c>
      <c r="S4950" s="99">
        <f>100%-Table34[[#This Row],[PDF_initial fee]]</f>
        <v>0.98380000000000001</v>
      </c>
      <c r="T4950" s="89">
        <f>(1-Table34[[#This Row],[PDF ongoing fee]])^5</f>
        <v>0.947153870757515</v>
      </c>
      <c r="U4950" s="26">
        <f>(1+Table34[[#This Row],[Net 5yrs return (mostly up to 28th of Feb 2026)]])*Table34[[#This Row],[Investment after initial charge]]*Table34[[#This Row],[Cummulative 5yrs ongoing advice charge]]-1</f>
        <v>0.1314835447765097</v>
      </c>
      <c r="V4950" s="10">
        <v>1352967</v>
      </c>
      <c r="W4950" s="10" t="s">
        <v>29051</v>
      </c>
      <c r="X4950" s="10">
        <v>1180790</v>
      </c>
      <c r="Y4950" s="30">
        <f>X4950/V4950</f>
        <v>0.87274116811422597</v>
      </c>
      <c r="AA4950" s="1" t="s">
        <v>31290</v>
      </c>
    </row>
    <row r="4951" spans="1:30" hidden="1" x14ac:dyDescent="0.25">
      <c r="A4951">
        <v>937655</v>
      </c>
      <c r="B4951" t="s">
        <v>5350</v>
      </c>
      <c r="C4951" t="s">
        <v>31291</v>
      </c>
      <c r="D4951">
        <v>9</v>
      </c>
      <c r="E4951" t="s">
        <v>5350</v>
      </c>
      <c r="G4951" s="3"/>
      <c r="H4951" s="3"/>
      <c r="I4951" s="3"/>
      <c r="J4951" s="3"/>
      <c r="K4951" s="3"/>
      <c r="L4951" s="3">
        <f t="shared" si="208"/>
        <v>0</v>
      </c>
      <c r="M4951" s="3"/>
      <c r="N4951" s="3">
        <f t="shared" si="209"/>
        <v>0</v>
      </c>
      <c r="R4951" s="89"/>
      <c r="S4951" s="89">
        <f>100%-Table34[[#This Row],[PDF_initial fee]]</f>
        <v>1</v>
      </c>
      <c r="T4951" s="89"/>
      <c r="U4951" s="26"/>
      <c r="X4951" s="9"/>
    </row>
    <row r="4952" spans="1:30" hidden="1" x14ac:dyDescent="0.25">
      <c r="A4952">
        <v>937741</v>
      </c>
      <c r="B4952" t="s">
        <v>5351</v>
      </c>
      <c r="C4952" t="s">
        <v>31292</v>
      </c>
      <c r="D4952">
        <v>1</v>
      </c>
      <c r="E4952" t="s">
        <v>5351</v>
      </c>
      <c r="G4952" s="3"/>
      <c r="H4952" s="21">
        <v>0</v>
      </c>
      <c r="I4952" s="21">
        <v>0</v>
      </c>
      <c r="J4952" s="21">
        <v>0</v>
      </c>
      <c r="K4952" s="21">
        <v>0</v>
      </c>
      <c r="L4952" s="3">
        <f t="shared" si="208"/>
        <v>0</v>
      </c>
      <c r="M4952" s="3"/>
      <c r="N4952" s="3">
        <f t="shared" si="209"/>
        <v>0</v>
      </c>
      <c r="O4952" s="21"/>
      <c r="R4952" s="89"/>
      <c r="S4952" s="89">
        <f>100%-Table34[[#This Row],[PDF_initial fee]]</f>
        <v>1</v>
      </c>
      <c r="T4952" s="89"/>
      <c r="U4952" s="26"/>
      <c r="X4952" s="9"/>
    </row>
    <row r="4953" spans="1:30" hidden="1" x14ac:dyDescent="0.25">
      <c r="A4953">
        <v>937742</v>
      </c>
      <c r="B4953" t="s">
        <v>5352</v>
      </c>
      <c r="C4953" t="s">
        <v>12505</v>
      </c>
      <c r="D4953">
        <v>1</v>
      </c>
      <c r="E4953" t="s">
        <v>5352</v>
      </c>
      <c r="G4953" s="3"/>
      <c r="H4953" s="3">
        <v>0</v>
      </c>
      <c r="I4953" s="3">
        <v>0</v>
      </c>
      <c r="J4953" s="3">
        <v>0</v>
      </c>
      <c r="K4953" s="3">
        <v>0</v>
      </c>
      <c r="L4953" s="3">
        <f t="shared" si="208"/>
        <v>0</v>
      </c>
      <c r="M4953" s="3"/>
      <c r="N4953" s="3">
        <f t="shared" si="209"/>
        <v>0</v>
      </c>
      <c r="R4953" s="89"/>
      <c r="S4953" s="89">
        <f>100%-Table34[[#This Row],[PDF_initial fee]]</f>
        <v>1</v>
      </c>
      <c r="T4953" s="89"/>
      <c r="U4953" s="26"/>
      <c r="X4953" s="9"/>
    </row>
    <row r="4954" spans="1:30" hidden="1" x14ac:dyDescent="0.25">
      <c r="A4954">
        <v>937938</v>
      </c>
      <c r="B4954" t="s">
        <v>5353</v>
      </c>
      <c r="C4954" t="s">
        <v>6958</v>
      </c>
      <c r="D4954">
        <v>0</v>
      </c>
      <c r="E4954" t="s">
        <v>5353</v>
      </c>
      <c r="F4954" t="s">
        <v>6958</v>
      </c>
      <c r="G4954" s="3"/>
      <c r="L4954" s="3">
        <f t="shared" si="208"/>
        <v>0</v>
      </c>
      <c r="M4954" s="3"/>
      <c r="N4954" s="3">
        <f t="shared" si="209"/>
        <v>0</v>
      </c>
      <c r="R4954" s="89"/>
      <c r="S4954" s="89">
        <f>100%-Table34[[#This Row],[PDF_initial fee]]</f>
        <v>1</v>
      </c>
      <c r="T4954" s="89"/>
      <c r="U4954" s="26"/>
      <c r="X4954" s="9"/>
    </row>
    <row r="4955" spans="1:30" hidden="1" x14ac:dyDescent="0.25">
      <c r="A4955">
        <v>938221</v>
      </c>
      <c r="B4955" t="s">
        <v>5354</v>
      </c>
      <c r="C4955" t="s">
        <v>6958</v>
      </c>
      <c r="D4955">
        <v>1</v>
      </c>
      <c r="E4955" t="s">
        <v>5354</v>
      </c>
      <c r="F4955" t="s">
        <v>6958</v>
      </c>
      <c r="G4955" s="3"/>
      <c r="L4955" s="3">
        <f t="shared" si="208"/>
        <v>0</v>
      </c>
      <c r="M4955" s="3"/>
      <c r="N4955" s="3">
        <f t="shared" si="209"/>
        <v>0</v>
      </c>
      <c r="R4955" s="89"/>
      <c r="S4955" s="89">
        <f>100%-Table34[[#This Row],[PDF_initial fee]]</f>
        <v>1</v>
      </c>
      <c r="T4955" s="89"/>
      <c r="U4955" s="26"/>
      <c r="X4955" s="9"/>
    </row>
    <row r="4956" spans="1:30" hidden="1" x14ac:dyDescent="0.25">
      <c r="A4956">
        <v>938243</v>
      </c>
      <c r="B4956" t="s">
        <v>5355</v>
      </c>
      <c r="C4956" t="s">
        <v>12500</v>
      </c>
      <c r="D4956">
        <v>1</v>
      </c>
      <c r="E4956" t="s">
        <v>5355</v>
      </c>
      <c r="G4956" s="3"/>
      <c r="H4956" s="3">
        <v>0</v>
      </c>
      <c r="I4956" s="3">
        <v>0</v>
      </c>
      <c r="J4956" s="3">
        <v>0</v>
      </c>
      <c r="K4956" s="3">
        <v>0</v>
      </c>
      <c r="L4956" s="3">
        <f t="shared" si="208"/>
        <v>0</v>
      </c>
      <c r="M4956" s="3"/>
      <c r="N4956" s="3">
        <f t="shared" si="209"/>
        <v>0</v>
      </c>
      <c r="R4956" s="89"/>
      <c r="S4956" s="89">
        <f>100%-Table34[[#This Row],[PDF_initial fee]]</f>
        <v>1</v>
      </c>
      <c r="T4956" s="89"/>
      <c r="U4956" s="26"/>
      <c r="X4956" s="9"/>
    </row>
    <row r="4957" spans="1:30" hidden="1" x14ac:dyDescent="0.25">
      <c r="A4957">
        <v>938269</v>
      </c>
      <c r="B4957" t="s">
        <v>5356</v>
      </c>
      <c r="C4957" t="s">
        <v>12682</v>
      </c>
      <c r="D4957">
        <v>1</v>
      </c>
      <c r="E4957" t="s">
        <v>5356</v>
      </c>
      <c r="G4957" s="3"/>
      <c r="H4957" s="3">
        <v>0</v>
      </c>
      <c r="I4957" s="3">
        <v>0</v>
      </c>
      <c r="J4957" s="3">
        <v>0</v>
      </c>
      <c r="K4957" s="3">
        <v>0</v>
      </c>
      <c r="L4957" s="3">
        <f t="shared" si="208"/>
        <v>0</v>
      </c>
      <c r="M4957" s="3"/>
      <c r="N4957" s="3">
        <f t="shared" si="209"/>
        <v>0</v>
      </c>
      <c r="R4957" s="89"/>
      <c r="S4957" s="89">
        <f>100%-Table34[[#This Row],[PDF_initial fee]]</f>
        <v>1</v>
      </c>
      <c r="T4957" s="89"/>
      <c r="U4957" s="26"/>
      <c r="X4957" s="9"/>
    </row>
    <row r="4958" spans="1:30" hidden="1" x14ac:dyDescent="0.25">
      <c r="A4958">
        <v>143286</v>
      </c>
      <c r="B4958" t="s">
        <v>363</v>
      </c>
      <c r="C4958" s="1" t="s">
        <v>31777</v>
      </c>
      <c r="D4958">
        <v>23</v>
      </c>
      <c r="E4958" t="s">
        <v>363</v>
      </c>
      <c r="F4958" t="s">
        <v>6</v>
      </c>
      <c r="G4958" s="3"/>
      <c r="H4958" s="3"/>
      <c r="I4958" s="3"/>
      <c r="J4958" s="6"/>
      <c r="K4958" s="6"/>
      <c r="L4958" s="3"/>
      <c r="M4958" s="3"/>
      <c r="N4958" s="3"/>
      <c r="P4958" s="31"/>
      <c r="R4958" s="89"/>
      <c r="S4958" s="89"/>
      <c r="T4958" s="89"/>
      <c r="U4958" s="26"/>
      <c r="V4958" s="10">
        <f>7544963+681934</f>
        <v>8226897</v>
      </c>
      <c r="W4958" t="s">
        <v>29051</v>
      </c>
      <c r="X4958" s="9">
        <v>5289820</v>
      </c>
      <c r="Y4958" s="30">
        <f>X4958/V4958</f>
        <v>0.64299091139709175</v>
      </c>
      <c r="AA4958" s="1" t="s">
        <v>31293</v>
      </c>
      <c r="AD4958" s="1" t="s">
        <v>31294</v>
      </c>
    </row>
    <row r="4959" spans="1:30" hidden="1" x14ac:dyDescent="0.25">
      <c r="A4959">
        <v>938401</v>
      </c>
      <c r="B4959" t="s">
        <v>5357</v>
      </c>
      <c r="C4959" t="s">
        <v>7256</v>
      </c>
      <c r="D4959">
        <v>1</v>
      </c>
      <c r="E4959" t="s">
        <v>5357</v>
      </c>
      <c r="G4959" s="3"/>
      <c r="H4959" s="21">
        <v>0</v>
      </c>
      <c r="I4959" s="21">
        <v>0</v>
      </c>
      <c r="J4959" s="21">
        <v>0</v>
      </c>
      <c r="K4959" s="21">
        <v>0</v>
      </c>
      <c r="L4959" s="3">
        <f t="shared" si="208"/>
        <v>0</v>
      </c>
      <c r="M4959" s="3"/>
      <c r="N4959" s="3">
        <f t="shared" si="209"/>
        <v>0</v>
      </c>
      <c r="R4959" s="89"/>
      <c r="S4959" s="89">
        <f>100%-Table34[[#This Row],[PDF_initial fee]]</f>
        <v>1</v>
      </c>
      <c r="T4959" s="89"/>
      <c r="U4959" s="26"/>
      <c r="X4959" s="9"/>
    </row>
    <row r="4960" spans="1:30" hidden="1" x14ac:dyDescent="0.25">
      <c r="A4960">
        <v>938409</v>
      </c>
      <c r="B4960" t="s">
        <v>5358</v>
      </c>
      <c r="C4960" t="s">
        <v>6958</v>
      </c>
      <c r="D4960">
        <v>1</v>
      </c>
      <c r="E4960" t="s">
        <v>5358</v>
      </c>
      <c r="F4960" t="s">
        <v>6958</v>
      </c>
      <c r="G4960" s="3"/>
      <c r="H4960" s="21">
        <v>0</v>
      </c>
      <c r="I4960" s="21">
        <v>0</v>
      </c>
      <c r="J4960" s="21">
        <v>0</v>
      </c>
      <c r="K4960" s="21">
        <v>0</v>
      </c>
      <c r="L4960" s="3">
        <f t="shared" si="208"/>
        <v>0</v>
      </c>
      <c r="M4960" s="3"/>
      <c r="N4960" s="3">
        <f t="shared" si="209"/>
        <v>0</v>
      </c>
      <c r="R4960" s="89"/>
      <c r="S4960" s="89">
        <f>100%-Table34[[#This Row],[PDF_initial fee]]</f>
        <v>1</v>
      </c>
      <c r="T4960" s="89"/>
      <c r="U4960" s="26"/>
      <c r="X4960" s="9"/>
    </row>
    <row r="4961" spans="1:24" hidden="1" x14ac:dyDescent="0.25">
      <c r="A4961">
        <v>938619</v>
      </c>
      <c r="B4961" t="s">
        <v>5359</v>
      </c>
      <c r="C4961" t="s">
        <v>6958</v>
      </c>
      <c r="D4961">
        <v>1</v>
      </c>
      <c r="E4961" t="s">
        <v>5359</v>
      </c>
      <c r="F4961" t="s">
        <v>6958</v>
      </c>
      <c r="G4961" s="3"/>
      <c r="L4961" s="3">
        <f t="shared" si="208"/>
        <v>0</v>
      </c>
      <c r="M4961" s="3"/>
      <c r="N4961" s="3">
        <f t="shared" si="209"/>
        <v>0</v>
      </c>
      <c r="R4961" s="89"/>
      <c r="S4961" s="89">
        <f>100%-Table34[[#This Row],[PDF_initial fee]]</f>
        <v>1</v>
      </c>
      <c r="T4961" s="89"/>
      <c r="U4961" s="26"/>
      <c r="X4961" s="9"/>
    </row>
    <row r="4962" spans="1:24" hidden="1" x14ac:dyDescent="0.25">
      <c r="A4962">
        <v>938688</v>
      </c>
      <c r="B4962" t="s">
        <v>5360</v>
      </c>
      <c r="C4962" t="s">
        <v>12638</v>
      </c>
      <c r="D4962">
        <v>4</v>
      </c>
      <c r="E4962" t="s">
        <v>5360</v>
      </c>
      <c r="G4962" s="3"/>
      <c r="H4962" s="3">
        <v>0</v>
      </c>
      <c r="I4962" s="3">
        <v>0</v>
      </c>
      <c r="J4962" s="3">
        <v>0</v>
      </c>
      <c r="K4962" s="3">
        <v>0</v>
      </c>
      <c r="L4962" s="3">
        <f t="shared" si="208"/>
        <v>0</v>
      </c>
      <c r="M4962" s="3"/>
      <c r="N4962" s="3">
        <f t="shared" si="209"/>
        <v>0</v>
      </c>
      <c r="R4962" s="89"/>
      <c r="S4962" s="89">
        <f>100%-Table34[[#This Row],[PDF_initial fee]]</f>
        <v>1</v>
      </c>
      <c r="T4962" s="89"/>
      <c r="U4962" s="26"/>
      <c r="X4962" s="9"/>
    </row>
    <row r="4963" spans="1:24" hidden="1" x14ac:dyDescent="0.25">
      <c r="A4963">
        <v>938844</v>
      </c>
      <c r="B4963" t="s">
        <v>5361</v>
      </c>
      <c r="C4963" t="s">
        <v>12063</v>
      </c>
      <c r="D4963">
        <v>1</v>
      </c>
      <c r="E4963" t="s">
        <v>5361</v>
      </c>
      <c r="G4963" s="3"/>
      <c r="H4963" s="3">
        <v>0</v>
      </c>
      <c r="I4963" s="3">
        <v>0</v>
      </c>
      <c r="J4963" s="3">
        <v>0</v>
      </c>
      <c r="K4963" s="3">
        <v>0</v>
      </c>
      <c r="L4963" s="3">
        <f t="shared" si="208"/>
        <v>0</v>
      </c>
      <c r="M4963" s="3"/>
      <c r="N4963" s="3">
        <f t="shared" si="209"/>
        <v>0</v>
      </c>
      <c r="R4963" s="89"/>
      <c r="S4963" s="89">
        <f>100%-Table34[[#This Row],[PDF_initial fee]]</f>
        <v>1</v>
      </c>
      <c r="T4963" s="89"/>
      <c r="U4963" s="26"/>
      <c r="X4963" s="9"/>
    </row>
    <row r="4964" spans="1:24" hidden="1" x14ac:dyDescent="0.25">
      <c r="A4964">
        <v>938877</v>
      </c>
      <c r="B4964" t="s">
        <v>5362</v>
      </c>
      <c r="C4964" s="1" t="s">
        <v>31295</v>
      </c>
      <c r="D4964">
        <v>1</v>
      </c>
      <c r="E4964" t="s">
        <v>5362</v>
      </c>
      <c r="G4964" s="3"/>
      <c r="H4964" s="3">
        <v>0</v>
      </c>
      <c r="I4964" s="3">
        <v>0</v>
      </c>
      <c r="J4964" s="3">
        <v>0</v>
      </c>
      <c r="K4964" s="3">
        <v>0</v>
      </c>
      <c r="L4964" s="3">
        <f t="shared" si="208"/>
        <v>0</v>
      </c>
      <c r="M4964" s="3"/>
      <c r="N4964" s="3">
        <f t="shared" si="209"/>
        <v>0</v>
      </c>
      <c r="R4964" s="89"/>
      <c r="S4964" s="89">
        <f>100%-Table34[[#This Row],[PDF_initial fee]]</f>
        <v>1</v>
      </c>
      <c r="T4964" s="89"/>
      <c r="U4964" s="26"/>
      <c r="X4964" s="9"/>
    </row>
    <row r="4965" spans="1:24" hidden="1" x14ac:dyDescent="0.25">
      <c r="A4965">
        <v>938967</v>
      </c>
      <c r="B4965" t="s">
        <v>5363</v>
      </c>
      <c r="C4965" t="s">
        <v>6958</v>
      </c>
      <c r="D4965">
        <v>1</v>
      </c>
      <c r="E4965" t="s">
        <v>5363</v>
      </c>
      <c r="F4965" t="s">
        <v>6958</v>
      </c>
      <c r="G4965" s="3"/>
      <c r="H4965" s="21">
        <v>0</v>
      </c>
      <c r="I4965" s="21">
        <v>0</v>
      </c>
      <c r="J4965" s="21">
        <v>0</v>
      </c>
      <c r="K4965" s="21">
        <v>0</v>
      </c>
      <c r="L4965" s="3">
        <f t="shared" si="208"/>
        <v>0</v>
      </c>
      <c r="M4965" s="3"/>
      <c r="N4965" s="3">
        <f t="shared" si="209"/>
        <v>0</v>
      </c>
      <c r="R4965" s="89"/>
      <c r="S4965" s="89">
        <f>100%-Table34[[#This Row],[PDF_initial fee]]</f>
        <v>1</v>
      </c>
      <c r="T4965" s="89"/>
      <c r="U4965" s="26"/>
      <c r="X4965" s="9"/>
    </row>
    <row r="4966" spans="1:24" hidden="1" x14ac:dyDescent="0.25">
      <c r="A4966">
        <v>939118</v>
      </c>
      <c r="B4966" t="s">
        <v>5364</v>
      </c>
      <c r="C4966" t="s">
        <v>7825</v>
      </c>
      <c r="D4966">
        <v>1</v>
      </c>
      <c r="E4966" t="s">
        <v>5364</v>
      </c>
      <c r="G4966" s="3"/>
      <c r="H4966" s="21">
        <v>0</v>
      </c>
      <c r="I4966" s="21">
        <v>0</v>
      </c>
      <c r="J4966" s="21">
        <v>0</v>
      </c>
      <c r="K4966" s="21">
        <v>0</v>
      </c>
      <c r="L4966" s="3">
        <f t="shared" si="208"/>
        <v>0</v>
      </c>
      <c r="M4966" s="3"/>
      <c r="N4966" s="3">
        <f t="shared" si="209"/>
        <v>0</v>
      </c>
      <c r="R4966" s="89"/>
      <c r="S4966" s="89">
        <f>100%-Table34[[#This Row],[PDF_initial fee]]</f>
        <v>1</v>
      </c>
      <c r="T4966" s="89"/>
      <c r="U4966" s="26"/>
      <c r="X4966" s="9"/>
    </row>
    <row r="4967" spans="1:24" hidden="1" x14ac:dyDescent="0.25">
      <c r="A4967">
        <v>939397</v>
      </c>
      <c r="B4967" t="s">
        <v>5365</v>
      </c>
      <c r="C4967" t="s">
        <v>10150</v>
      </c>
      <c r="D4967">
        <v>1</v>
      </c>
      <c r="E4967" t="s">
        <v>5365</v>
      </c>
      <c r="G4967" s="3"/>
      <c r="H4967" s="3">
        <v>0</v>
      </c>
      <c r="I4967" s="3">
        <v>0</v>
      </c>
      <c r="J4967" s="3">
        <v>0</v>
      </c>
      <c r="K4967" s="3">
        <v>0</v>
      </c>
      <c r="L4967" s="3">
        <f t="shared" si="208"/>
        <v>0</v>
      </c>
      <c r="M4967" s="3"/>
      <c r="N4967" s="3">
        <f t="shared" si="209"/>
        <v>0</v>
      </c>
      <c r="R4967" s="89"/>
      <c r="S4967" s="89">
        <f>100%-Table34[[#This Row],[PDF_initial fee]]</f>
        <v>1</v>
      </c>
      <c r="T4967" s="89"/>
      <c r="U4967" s="26"/>
      <c r="X4967" s="9"/>
    </row>
    <row r="4968" spans="1:24" hidden="1" x14ac:dyDescent="0.25">
      <c r="A4968">
        <v>939415</v>
      </c>
      <c r="B4968" t="s">
        <v>5366</v>
      </c>
      <c r="C4968" t="s">
        <v>6958</v>
      </c>
      <c r="D4968">
        <v>1</v>
      </c>
      <c r="E4968" t="s">
        <v>5366</v>
      </c>
      <c r="F4968" t="s">
        <v>6958</v>
      </c>
      <c r="G4968" s="3"/>
      <c r="H4968" s="21">
        <v>0</v>
      </c>
      <c r="I4968" s="21">
        <v>0</v>
      </c>
      <c r="J4968" s="21">
        <v>0</v>
      </c>
      <c r="K4968" s="21">
        <v>0</v>
      </c>
      <c r="L4968" s="3">
        <f t="shared" si="208"/>
        <v>0</v>
      </c>
      <c r="M4968" s="3"/>
      <c r="N4968" s="3">
        <f t="shared" si="209"/>
        <v>0</v>
      </c>
      <c r="R4968" s="89"/>
      <c r="S4968" s="89">
        <f>100%-Table34[[#This Row],[PDF_initial fee]]</f>
        <v>1</v>
      </c>
      <c r="T4968" s="89"/>
      <c r="U4968" s="26"/>
      <c r="X4968" s="9"/>
    </row>
    <row r="4969" spans="1:24" hidden="1" x14ac:dyDescent="0.25">
      <c r="A4969">
        <v>939595</v>
      </c>
      <c r="B4969" t="s">
        <v>5367</v>
      </c>
      <c r="C4969" t="s">
        <v>31296</v>
      </c>
      <c r="D4969">
        <v>2</v>
      </c>
      <c r="E4969" t="s">
        <v>5367</v>
      </c>
      <c r="G4969" s="3"/>
      <c r="H4969" s="3">
        <v>0</v>
      </c>
      <c r="I4969" s="3">
        <v>0</v>
      </c>
      <c r="J4969" s="3">
        <v>0</v>
      </c>
      <c r="K4969" s="3">
        <v>0</v>
      </c>
      <c r="L4969" s="3">
        <f t="shared" si="208"/>
        <v>0</v>
      </c>
      <c r="M4969" s="3"/>
      <c r="N4969" s="3">
        <f t="shared" si="209"/>
        <v>0</v>
      </c>
      <c r="R4969" s="89"/>
      <c r="S4969" s="89">
        <f>100%-Table34[[#This Row],[PDF_initial fee]]</f>
        <v>1</v>
      </c>
      <c r="T4969" s="89"/>
      <c r="U4969" s="26"/>
      <c r="X4969" s="9"/>
    </row>
    <row r="4970" spans="1:24" hidden="1" x14ac:dyDescent="0.25">
      <c r="A4970">
        <v>940374</v>
      </c>
      <c r="B4970" t="s">
        <v>5368</v>
      </c>
      <c r="C4970" t="s">
        <v>6958</v>
      </c>
      <c r="D4970">
        <v>0</v>
      </c>
      <c r="E4970" t="s">
        <v>5368</v>
      </c>
      <c r="F4970" t="s">
        <v>6958</v>
      </c>
      <c r="G4970" s="3"/>
      <c r="H4970" s="21">
        <v>0</v>
      </c>
      <c r="I4970" s="21">
        <v>0</v>
      </c>
      <c r="J4970" s="21">
        <v>0</v>
      </c>
      <c r="K4970" s="21">
        <v>0</v>
      </c>
      <c r="L4970" s="3">
        <f t="shared" si="208"/>
        <v>0</v>
      </c>
      <c r="M4970" s="3"/>
      <c r="N4970" s="3">
        <f t="shared" si="209"/>
        <v>0</v>
      </c>
      <c r="R4970" s="89"/>
      <c r="S4970" s="89">
        <f>100%-Table34[[#This Row],[PDF_initial fee]]</f>
        <v>1</v>
      </c>
      <c r="T4970" s="89"/>
      <c r="U4970" s="26"/>
      <c r="X4970" s="9"/>
    </row>
    <row r="4971" spans="1:24" hidden="1" x14ac:dyDescent="0.25">
      <c r="A4971">
        <v>940407</v>
      </c>
      <c r="B4971" t="s">
        <v>5369</v>
      </c>
      <c r="C4971" t="s">
        <v>31297</v>
      </c>
      <c r="D4971">
        <v>0</v>
      </c>
      <c r="E4971" t="s">
        <v>5369</v>
      </c>
      <c r="F4971" t="s">
        <v>29136</v>
      </c>
      <c r="G4971" s="3"/>
      <c r="H4971" s="21">
        <v>0</v>
      </c>
      <c r="I4971" s="21">
        <v>0</v>
      </c>
      <c r="J4971" s="21">
        <v>0</v>
      </c>
      <c r="K4971" s="21">
        <v>0</v>
      </c>
      <c r="L4971" s="3">
        <f t="shared" si="208"/>
        <v>0</v>
      </c>
      <c r="M4971" s="3"/>
      <c r="N4971" s="3">
        <f t="shared" si="209"/>
        <v>0</v>
      </c>
      <c r="O4971" s="21"/>
      <c r="R4971" s="89"/>
      <c r="S4971" s="89">
        <f>100%-Table34[[#This Row],[PDF_initial fee]]</f>
        <v>1</v>
      </c>
      <c r="T4971" s="89"/>
      <c r="U4971" s="26"/>
      <c r="X4971" s="9"/>
    </row>
    <row r="4972" spans="1:24" hidden="1" x14ac:dyDescent="0.25">
      <c r="A4972">
        <v>940511</v>
      </c>
      <c r="B4972" t="s">
        <v>5370</v>
      </c>
      <c r="C4972" t="s">
        <v>6958</v>
      </c>
      <c r="D4972">
        <v>1</v>
      </c>
      <c r="E4972" t="s">
        <v>5370</v>
      </c>
      <c r="F4972" t="s">
        <v>6958</v>
      </c>
      <c r="G4972" s="3"/>
      <c r="H4972" s="21">
        <v>0</v>
      </c>
      <c r="I4972" s="21">
        <v>0</v>
      </c>
      <c r="J4972" s="21">
        <v>0</v>
      </c>
      <c r="K4972" s="21">
        <v>0</v>
      </c>
      <c r="L4972" s="3">
        <f t="shared" si="208"/>
        <v>0</v>
      </c>
      <c r="M4972" s="3"/>
      <c r="N4972" s="3">
        <f t="shared" si="209"/>
        <v>0</v>
      </c>
      <c r="R4972" s="89"/>
      <c r="S4972" s="89">
        <f>100%-Table34[[#This Row],[PDF_initial fee]]</f>
        <v>1</v>
      </c>
      <c r="T4972" s="89"/>
      <c r="U4972" s="26"/>
      <c r="X4972" s="9"/>
    </row>
    <row r="4973" spans="1:24" hidden="1" x14ac:dyDescent="0.25">
      <c r="A4973">
        <v>940607</v>
      </c>
      <c r="B4973" t="s">
        <v>5371</v>
      </c>
      <c r="C4973" t="s">
        <v>11602</v>
      </c>
      <c r="D4973">
        <v>1</v>
      </c>
      <c r="E4973" t="s">
        <v>5371</v>
      </c>
      <c r="G4973" s="3"/>
      <c r="H4973" s="3">
        <v>0</v>
      </c>
      <c r="I4973" s="3">
        <v>0</v>
      </c>
      <c r="J4973" s="3">
        <v>0</v>
      </c>
      <c r="K4973" s="3">
        <v>0</v>
      </c>
      <c r="L4973" s="3">
        <f t="shared" si="208"/>
        <v>0</v>
      </c>
      <c r="M4973" s="3"/>
      <c r="N4973" s="3">
        <f t="shared" si="209"/>
        <v>0</v>
      </c>
      <c r="R4973" s="89"/>
      <c r="S4973" s="89">
        <f>100%-Table34[[#This Row],[PDF_initial fee]]</f>
        <v>1</v>
      </c>
      <c r="T4973" s="89"/>
      <c r="U4973" s="26"/>
      <c r="X4973" s="9"/>
    </row>
    <row r="4974" spans="1:24" hidden="1" x14ac:dyDescent="0.25">
      <c r="A4974">
        <v>940694</v>
      </c>
      <c r="B4974" t="s">
        <v>5372</v>
      </c>
      <c r="C4974" t="s">
        <v>6958</v>
      </c>
      <c r="D4974">
        <v>1</v>
      </c>
      <c r="E4974" t="s">
        <v>5372</v>
      </c>
      <c r="F4974" t="s">
        <v>6958</v>
      </c>
      <c r="G4974" s="3"/>
      <c r="H4974" s="21">
        <v>0</v>
      </c>
      <c r="I4974" s="21">
        <v>0</v>
      </c>
      <c r="J4974" s="21">
        <v>0</v>
      </c>
      <c r="K4974" s="21">
        <v>0</v>
      </c>
      <c r="L4974" s="3">
        <f t="shared" si="208"/>
        <v>0</v>
      </c>
      <c r="M4974" s="3"/>
      <c r="N4974" s="3">
        <f t="shared" si="209"/>
        <v>0</v>
      </c>
      <c r="R4974" s="89"/>
      <c r="S4974" s="89">
        <f>100%-Table34[[#This Row],[PDF_initial fee]]</f>
        <v>1</v>
      </c>
      <c r="T4974" s="89"/>
      <c r="U4974" s="26"/>
      <c r="X4974" s="9"/>
    </row>
    <row r="4975" spans="1:24" hidden="1" x14ac:dyDescent="0.25">
      <c r="A4975">
        <v>940788</v>
      </c>
      <c r="B4975" t="s">
        <v>5373</v>
      </c>
      <c r="C4975" t="s">
        <v>7980</v>
      </c>
      <c r="D4975">
        <v>1</v>
      </c>
      <c r="E4975" t="s">
        <v>5373</v>
      </c>
      <c r="G4975" s="3"/>
      <c r="H4975" s="21">
        <v>0</v>
      </c>
      <c r="I4975" s="21">
        <v>0</v>
      </c>
      <c r="J4975" s="21">
        <v>0</v>
      </c>
      <c r="K4975" s="21">
        <v>0</v>
      </c>
      <c r="L4975" s="3">
        <f t="shared" si="208"/>
        <v>0</v>
      </c>
      <c r="M4975" s="3"/>
      <c r="N4975" s="3">
        <f t="shared" si="209"/>
        <v>0</v>
      </c>
      <c r="R4975" s="89"/>
      <c r="S4975" s="89">
        <f>100%-Table34[[#This Row],[PDF_initial fee]]</f>
        <v>1</v>
      </c>
      <c r="T4975" s="89"/>
      <c r="U4975" s="26"/>
      <c r="X4975" s="9"/>
    </row>
    <row r="4976" spans="1:24" hidden="1" x14ac:dyDescent="0.25">
      <c r="A4976">
        <v>941061</v>
      </c>
      <c r="B4976" t="s">
        <v>5374</v>
      </c>
      <c r="C4976" t="s">
        <v>12269</v>
      </c>
      <c r="D4976">
        <v>2</v>
      </c>
      <c r="E4976" t="s">
        <v>5374</v>
      </c>
      <c r="G4976" s="3"/>
      <c r="H4976" s="3">
        <v>0</v>
      </c>
      <c r="I4976" s="3">
        <v>0</v>
      </c>
      <c r="J4976" s="3">
        <v>0</v>
      </c>
      <c r="K4976" s="3">
        <v>0</v>
      </c>
      <c r="L4976" s="3">
        <f t="shared" si="208"/>
        <v>0</v>
      </c>
      <c r="M4976" s="3"/>
      <c r="N4976" s="3">
        <f t="shared" si="209"/>
        <v>0</v>
      </c>
      <c r="R4976" s="89"/>
      <c r="S4976" s="89">
        <f>100%-Table34[[#This Row],[PDF_initial fee]]</f>
        <v>1</v>
      </c>
      <c r="T4976" s="89"/>
      <c r="U4976" s="26"/>
      <c r="X4976" s="9"/>
    </row>
    <row r="4977" spans="1:27" hidden="1" x14ac:dyDescent="0.25">
      <c r="A4977">
        <v>941150</v>
      </c>
      <c r="B4977" t="s">
        <v>5375</v>
      </c>
      <c r="C4977" t="s">
        <v>10860</v>
      </c>
      <c r="D4977">
        <v>2</v>
      </c>
      <c r="E4977" t="s">
        <v>5375</v>
      </c>
      <c r="G4977" s="3"/>
      <c r="H4977" s="3">
        <v>0</v>
      </c>
      <c r="I4977" s="3">
        <v>0</v>
      </c>
      <c r="J4977" s="3">
        <v>0</v>
      </c>
      <c r="K4977" s="3">
        <v>0</v>
      </c>
      <c r="L4977" s="3">
        <f t="shared" si="208"/>
        <v>0</v>
      </c>
      <c r="M4977" s="3"/>
      <c r="N4977" s="3">
        <f t="shared" si="209"/>
        <v>0</v>
      </c>
      <c r="R4977" s="89"/>
      <c r="S4977" s="89">
        <f>100%-Table34[[#This Row],[PDF_initial fee]]</f>
        <v>1</v>
      </c>
      <c r="T4977" s="89"/>
      <c r="U4977" s="26"/>
      <c r="X4977" s="9"/>
    </row>
    <row r="4978" spans="1:27" hidden="1" x14ac:dyDescent="0.25">
      <c r="A4978">
        <v>941258</v>
      </c>
      <c r="B4978" t="s">
        <v>5376</v>
      </c>
      <c r="C4978" t="s">
        <v>11892</v>
      </c>
      <c r="D4978">
        <v>1</v>
      </c>
      <c r="E4978" t="s">
        <v>5376</v>
      </c>
      <c r="G4978" s="3"/>
      <c r="H4978" s="3">
        <v>0</v>
      </c>
      <c r="I4978" s="3">
        <v>0</v>
      </c>
      <c r="J4978" s="3">
        <v>0</v>
      </c>
      <c r="K4978" s="3">
        <v>0</v>
      </c>
      <c r="L4978" s="3">
        <f t="shared" ref="L4978:L5003" si="210">SUM(H4978:K4978)</f>
        <v>0</v>
      </c>
      <c r="M4978" s="3"/>
      <c r="N4978" s="3">
        <f t="shared" ref="N4978:N5041" si="211">L4978+G4978</f>
        <v>0</v>
      </c>
      <c r="R4978" s="89"/>
      <c r="S4978" s="89">
        <f>100%-Table34[[#This Row],[PDF_initial fee]]</f>
        <v>1</v>
      </c>
      <c r="T4978" s="89"/>
      <c r="U4978" s="26"/>
      <c r="X4978" s="9"/>
    </row>
    <row r="4979" spans="1:27" hidden="1" x14ac:dyDescent="0.25">
      <c r="A4979">
        <v>941341</v>
      </c>
      <c r="B4979" t="s">
        <v>5377</v>
      </c>
      <c r="C4979" t="s">
        <v>31298</v>
      </c>
      <c r="D4979">
        <v>2</v>
      </c>
      <c r="E4979" t="s">
        <v>5377</v>
      </c>
      <c r="G4979" s="3"/>
      <c r="H4979" s="21">
        <v>0</v>
      </c>
      <c r="I4979" s="3">
        <v>0</v>
      </c>
      <c r="J4979" s="3">
        <v>0</v>
      </c>
      <c r="K4979">
        <v>0</v>
      </c>
      <c r="L4979" s="3">
        <f t="shared" si="210"/>
        <v>0</v>
      </c>
      <c r="M4979" s="3"/>
      <c r="N4979" s="3">
        <f t="shared" si="211"/>
        <v>0</v>
      </c>
      <c r="R4979" s="89"/>
      <c r="S4979" s="89">
        <f>100%-Table34[[#This Row],[PDF_initial fee]]</f>
        <v>1</v>
      </c>
      <c r="T4979" s="89"/>
      <c r="U4979" s="26"/>
      <c r="X4979" s="9"/>
    </row>
    <row r="4980" spans="1:27" hidden="1" x14ac:dyDescent="0.25">
      <c r="A4980">
        <v>941420</v>
      </c>
      <c r="B4980" t="s">
        <v>5378</v>
      </c>
      <c r="C4980" t="s">
        <v>7474</v>
      </c>
      <c r="D4980">
        <v>2</v>
      </c>
      <c r="E4980" t="s">
        <v>5378</v>
      </c>
      <c r="G4980" s="3"/>
      <c r="H4980" s="21">
        <v>0</v>
      </c>
      <c r="I4980" s="21">
        <v>0</v>
      </c>
      <c r="J4980" s="21">
        <v>0</v>
      </c>
      <c r="K4980" s="21">
        <v>0</v>
      </c>
      <c r="L4980" s="3">
        <f t="shared" si="210"/>
        <v>0</v>
      </c>
      <c r="M4980" s="3"/>
      <c r="N4980" s="3">
        <f t="shared" si="211"/>
        <v>0</v>
      </c>
      <c r="R4980" s="89"/>
      <c r="S4980" s="89">
        <f>100%-Table34[[#This Row],[PDF_initial fee]]</f>
        <v>1</v>
      </c>
      <c r="T4980" s="89"/>
      <c r="U4980" s="26"/>
      <c r="X4980" s="9"/>
    </row>
    <row r="4981" spans="1:27" hidden="1" x14ac:dyDescent="0.25">
      <c r="A4981">
        <v>941435</v>
      </c>
      <c r="B4981" t="s">
        <v>5379</v>
      </c>
      <c r="C4981" t="s">
        <v>31299</v>
      </c>
      <c r="D4981">
        <v>8</v>
      </c>
      <c r="E4981" t="s">
        <v>5379</v>
      </c>
      <c r="G4981" s="3"/>
      <c r="H4981" s="3"/>
      <c r="I4981" s="3"/>
      <c r="J4981" s="3"/>
      <c r="K4981" s="3"/>
      <c r="L4981" s="3">
        <f t="shared" si="210"/>
        <v>0</v>
      </c>
      <c r="M4981" s="3"/>
      <c r="N4981" s="3">
        <f t="shared" si="211"/>
        <v>0</v>
      </c>
      <c r="R4981" s="89"/>
      <c r="S4981" s="89">
        <f>100%-Table34[[#This Row],[PDF_initial fee]]</f>
        <v>1</v>
      </c>
      <c r="T4981" s="89"/>
      <c r="U4981" s="26"/>
      <c r="X4981" s="9"/>
    </row>
    <row r="4982" spans="1:27" hidden="1" x14ac:dyDescent="0.25">
      <c r="A4982">
        <v>941692</v>
      </c>
      <c r="B4982" t="s">
        <v>5380</v>
      </c>
      <c r="C4982" t="s">
        <v>6958</v>
      </c>
      <c r="D4982">
        <v>1</v>
      </c>
      <c r="E4982" t="s">
        <v>5380</v>
      </c>
      <c r="F4982" t="s">
        <v>6958</v>
      </c>
      <c r="G4982" s="3"/>
      <c r="H4982" s="21">
        <v>0</v>
      </c>
      <c r="I4982" s="21">
        <v>0</v>
      </c>
      <c r="J4982" s="21">
        <v>0</v>
      </c>
      <c r="K4982" s="21">
        <v>0</v>
      </c>
      <c r="L4982" s="3">
        <f t="shared" si="210"/>
        <v>0</v>
      </c>
      <c r="M4982" s="3"/>
      <c r="N4982" s="3">
        <f t="shared" si="211"/>
        <v>0</v>
      </c>
      <c r="R4982" s="89"/>
      <c r="S4982" s="89">
        <f>100%-Table34[[#This Row],[PDF_initial fee]]</f>
        <v>1</v>
      </c>
      <c r="T4982" s="89"/>
      <c r="U4982" s="26"/>
      <c r="X4982" s="9"/>
    </row>
    <row r="4983" spans="1:27" hidden="1" x14ac:dyDescent="0.25">
      <c r="A4983">
        <v>941765</v>
      </c>
      <c r="B4983" t="s">
        <v>5381</v>
      </c>
      <c r="C4983" t="s">
        <v>10635</v>
      </c>
      <c r="D4983">
        <v>1</v>
      </c>
      <c r="E4983" t="s">
        <v>5381</v>
      </c>
      <c r="G4983" s="3"/>
      <c r="H4983" s="3">
        <v>0</v>
      </c>
      <c r="I4983" s="3">
        <v>0</v>
      </c>
      <c r="J4983" s="3">
        <v>0</v>
      </c>
      <c r="K4983" s="3">
        <v>0</v>
      </c>
      <c r="L4983" s="3">
        <f t="shared" si="210"/>
        <v>0</v>
      </c>
      <c r="M4983" s="3"/>
      <c r="N4983" s="3">
        <f t="shared" si="211"/>
        <v>0</v>
      </c>
      <c r="R4983" s="89"/>
      <c r="S4983" s="89">
        <f>100%-Table34[[#This Row],[PDF_initial fee]]</f>
        <v>1</v>
      </c>
      <c r="T4983" s="89"/>
      <c r="U4983" s="26"/>
      <c r="X4983" s="9"/>
    </row>
    <row r="4984" spans="1:27" hidden="1" x14ac:dyDescent="0.25">
      <c r="A4984">
        <v>941825</v>
      </c>
      <c r="B4984" t="s">
        <v>5382</v>
      </c>
      <c r="C4984" t="s">
        <v>31300</v>
      </c>
      <c r="D4984">
        <v>3</v>
      </c>
      <c r="E4984" t="s">
        <v>5382</v>
      </c>
      <c r="G4984" s="3"/>
      <c r="H4984" s="3">
        <v>0</v>
      </c>
      <c r="I4984" s="3">
        <v>0</v>
      </c>
      <c r="J4984" s="3">
        <v>0</v>
      </c>
      <c r="K4984" s="3">
        <v>0</v>
      </c>
      <c r="L4984" s="3">
        <f t="shared" si="210"/>
        <v>0</v>
      </c>
      <c r="M4984" s="3"/>
      <c r="N4984" s="3">
        <f t="shared" si="211"/>
        <v>0</v>
      </c>
      <c r="R4984" s="89"/>
      <c r="S4984" s="89">
        <f>100%-Table34[[#This Row],[PDF_initial fee]]</f>
        <v>1</v>
      </c>
      <c r="T4984" s="89"/>
      <c r="U4984" s="26"/>
      <c r="X4984" s="9"/>
    </row>
    <row r="4985" spans="1:27" hidden="1" x14ac:dyDescent="0.25">
      <c r="A4985">
        <v>941826</v>
      </c>
      <c r="B4985" t="s">
        <v>5383</v>
      </c>
      <c r="C4985" t="s">
        <v>12127</v>
      </c>
      <c r="D4985">
        <v>1</v>
      </c>
      <c r="E4985" t="s">
        <v>5383</v>
      </c>
      <c r="G4985" s="3"/>
      <c r="H4985" s="3">
        <v>0</v>
      </c>
      <c r="I4985" s="3">
        <v>0</v>
      </c>
      <c r="J4985" s="3">
        <v>0</v>
      </c>
      <c r="K4985" s="3">
        <v>0</v>
      </c>
      <c r="L4985" s="3">
        <f t="shared" si="210"/>
        <v>0</v>
      </c>
      <c r="M4985" s="3"/>
      <c r="N4985" s="3">
        <f t="shared" si="211"/>
        <v>0</v>
      </c>
      <c r="R4985" s="89"/>
      <c r="S4985" s="89">
        <f>100%-Table34[[#This Row],[PDF_initial fee]]</f>
        <v>1</v>
      </c>
      <c r="T4985" s="89"/>
      <c r="U4985" s="26"/>
      <c r="X4985" s="9"/>
    </row>
    <row r="4986" spans="1:27" hidden="1" x14ac:dyDescent="0.25">
      <c r="A4986">
        <v>941828</v>
      </c>
      <c r="B4986" t="s">
        <v>5384</v>
      </c>
      <c r="C4986" t="s">
        <v>9005</v>
      </c>
      <c r="D4986">
        <v>1</v>
      </c>
      <c r="E4986" t="s">
        <v>5384</v>
      </c>
      <c r="G4986" s="3"/>
      <c r="H4986" s="21">
        <v>0</v>
      </c>
      <c r="I4986" s="21">
        <v>0</v>
      </c>
      <c r="J4986" s="21">
        <v>0</v>
      </c>
      <c r="K4986" s="21">
        <v>0</v>
      </c>
      <c r="L4986" s="3">
        <f t="shared" si="210"/>
        <v>0</v>
      </c>
      <c r="M4986" s="3"/>
      <c r="N4986" s="3">
        <f t="shared" si="211"/>
        <v>0</v>
      </c>
      <c r="R4986" s="89"/>
      <c r="S4986" s="89">
        <f>100%-Table34[[#This Row],[PDF_initial fee]]</f>
        <v>1</v>
      </c>
      <c r="T4986" s="89"/>
      <c r="U4986" s="26"/>
      <c r="X4986" s="9"/>
    </row>
    <row r="4987" spans="1:27" hidden="1" x14ac:dyDescent="0.25">
      <c r="A4987">
        <v>942580</v>
      </c>
      <c r="B4987" t="s">
        <v>5385</v>
      </c>
      <c r="C4987" t="s">
        <v>31301</v>
      </c>
      <c r="D4987">
        <v>2</v>
      </c>
      <c r="E4987" t="s">
        <v>5385</v>
      </c>
      <c r="G4987" s="3"/>
      <c r="H4987" s="21">
        <v>0</v>
      </c>
      <c r="I4987" s="21">
        <v>0</v>
      </c>
      <c r="J4987" s="21">
        <v>0</v>
      </c>
      <c r="K4987" s="21">
        <v>0</v>
      </c>
      <c r="L4987" s="3">
        <f t="shared" si="210"/>
        <v>0</v>
      </c>
      <c r="M4987" s="3"/>
      <c r="N4987" s="3">
        <f t="shared" si="211"/>
        <v>0</v>
      </c>
      <c r="O4987" s="21"/>
      <c r="R4987" s="89"/>
      <c r="S4987" s="89">
        <f>100%-Table34[[#This Row],[PDF_initial fee]]</f>
        <v>1</v>
      </c>
      <c r="T4987" s="89"/>
      <c r="U4987" s="26"/>
      <c r="X4987" s="9"/>
    </row>
    <row r="4988" spans="1:27" x14ac:dyDescent="0.25">
      <c r="A4988">
        <v>125177</v>
      </c>
      <c r="B4988" t="s">
        <v>31</v>
      </c>
      <c r="C4988" s="1" t="s">
        <v>6982</v>
      </c>
      <c r="D4988">
        <v>2</v>
      </c>
      <c r="E4988" t="s">
        <v>31</v>
      </c>
      <c r="F4988" t="s">
        <v>3</v>
      </c>
      <c r="G4988" s="3">
        <v>1.4E-3</v>
      </c>
      <c r="H4988" s="3"/>
      <c r="I4988" s="3"/>
      <c r="J4988" s="6">
        <v>0.02</v>
      </c>
      <c r="K4988" s="6">
        <v>8.5000000000000006E-3</v>
      </c>
      <c r="L4988" s="3">
        <f t="shared" si="210"/>
        <v>2.8500000000000001E-2</v>
      </c>
      <c r="M4988" s="3"/>
      <c r="N4988" s="3">
        <f t="shared" si="211"/>
        <v>2.9899999999999999E-2</v>
      </c>
      <c r="O4988" s="1" t="s">
        <v>31302</v>
      </c>
      <c r="P4988" s="1" t="s">
        <v>31302</v>
      </c>
      <c r="Q4988" t="s">
        <v>31787</v>
      </c>
      <c r="R4988" s="89">
        <v>0.33333333333333348</v>
      </c>
      <c r="S4988" s="89">
        <f>100%-Table34[[#This Row],[PDF_initial fee]]</f>
        <v>0.98</v>
      </c>
      <c r="T4988" s="89">
        <f>(1-Table34[[#This Row],[PDF ongoing fee]])^5</f>
        <v>0.95821638480594218</v>
      </c>
      <c r="U4988" s="26">
        <f>(1+Table34[[#This Row],[Net 5yrs return (mostly up to 28th of Feb 2026)]])*Table34[[#This Row],[Investment after initial charge]]*Table34[[#This Row],[Cummulative 5yrs ongoing advice charge]]-1</f>
        <v>0.25206940947976464</v>
      </c>
      <c r="V4988">
        <v>479302</v>
      </c>
      <c r="W4988" t="s">
        <v>29051</v>
      </c>
      <c r="X4988" s="10">
        <v>185878</v>
      </c>
      <c r="Y4988" s="30">
        <f>X4988/V4988</f>
        <v>0.3878097733787883</v>
      </c>
      <c r="AA4988" s="1" t="s">
        <v>31303</v>
      </c>
    </row>
    <row r="4989" spans="1:27" hidden="1" x14ac:dyDescent="0.25">
      <c r="A4989">
        <v>942692</v>
      </c>
      <c r="B4989" t="s">
        <v>5386</v>
      </c>
      <c r="C4989" t="s">
        <v>31304</v>
      </c>
      <c r="D4989">
        <v>1</v>
      </c>
      <c r="E4989" t="s">
        <v>5386</v>
      </c>
      <c r="G4989" s="3"/>
      <c r="H4989" s="21">
        <v>0</v>
      </c>
      <c r="I4989" s="3">
        <v>0</v>
      </c>
      <c r="J4989" s="3">
        <v>0</v>
      </c>
      <c r="K4989">
        <v>0</v>
      </c>
      <c r="L4989" s="3">
        <f t="shared" si="210"/>
        <v>0</v>
      </c>
      <c r="M4989" s="3"/>
      <c r="N4989" s="3">
        <f t="shared" si="211"/>
        <v>0</v>
      </c>
      <c r="R4989" s="89"/>
      <c r="S4989" s="89">
        <f>100%-Table34[[#This Row],[PDF_initial fee]]</f>
        <v>1</v>
      </c>
      <c r="T4989" s="89"/>
      <c r="U4989" s="26"/>
      <c r="X4989" s="9"/>
    </row>
    <row r="4990" spans="1:27" hidden="1" x14ac:dyDescent="0.25">
      <c r="A4990">
        <v>942693</v>
      </c>
      <c r="B4990" t="s">
        <v>5387</v>
      </c>
      <c r="C4990" t="s">
        <v>6958</v>
      </c>
      <c r="D4990">
        <v>1</v>
      </c>
      <c r="E4990" t="s">
        <v>5387</v>
      </c>
      <c r="F4990" t="s">
        <v>6958</v>
      </c>
      <c r="G4990" s="3"/>
      <c r="H4990" s="21">
        <v>0</v>
      </c>
      <c r="I4990" s="21">
        <v>0</v>
      </c>
      <c r="J4990" s="21">
        <v>0</v>
      </c>
      <c r="K4990" s="21">
        <v>0</v>
      </c>
      <c r="L4990" s="3">
        <f t="shared" si="210"/>
        <v>0</v>
      </c>
      <c r="M4990" s="3"/>
      <c r="N4990" s="3">
        <f t="shared" si="211"/>
        <v>0</v>
      </c>
      <c r="R4990" s="89"/>
      <c r="S4990" s="89">
        <f>100%-Table34[[#This Row],[PDF_initial fee]]</f>
        <v>1</v>
      </c>
      <c r="T4990" s="89"/>
      <c r="U4990" s="26"/>
      <c r="X4990" s="9"/>
    </row>
    <row r="4991" spans="1:27" hidden="1" x14ac:dyDescent="0.25">
      <c r="A4991">
        <v>942822</v>
      </c>
      <c r="B4991" t="s">
        <v>5388</v>
      </c>
      <c r="C4991" t="s">
        <v>6958</v>
      </c>
      <c r="D4991">
        <v>2</v>
      </c>
      <c r="E4991" t="s">
        <v>5388</v>
      </c>
      <c r="F4991" t="s">
        <v>6958</v>
      </c>
      <c r="G4991" s="3"/>
      <c r="H4991" s="21">
        <v>0</v>
      </c>
      <c r="I4991" s="21">
        <v>0</v>
      </c>
      <c r="J4991" s="21">
        <v>0</v>
      </c>
      <c r="K4991" s="21">
        <v>0</v>
      </c>
      <c r="L4991" s="3">
        <f t="shared" si="210"/>
        <v>0</v>
      </c>
      <c r="M4991" s="3"/>
      <c r="N4991" s="3">
        <f t="shared" si="211"/>
        <v>0</v>
      </c>
      <c r="R4991" s="89"/>
      <c r="S4991" s="89">
        <f>100%-Table34[[#This Row],[PDF_initial fee]]</f>
        <v>1</v>
      </c>
      <c r="T4991" s="89"/>
      <c r="U4991" s="26"/>
      <c r="X4991" s="9"/>
    </row>
    <row r="4992" spans="1:27" hidden="1" x14ac:dyDescent="0.25">
      <c r="A4992">
        <v>942824</v>
      </c>
      <c r="B4992" t="s">
        <v>5389</v>
      </c>
      <c r="C4992" t="s">
        <v>8192</v>
      </c>
      <c r="D4992">
        <v>1</v>
      </c>
      <c r="E4992" t="s">
        <v>5389</v>
      </c>
      <c r="G4992" s="3"/>
      <c r="H4992" s="21">
        <v>0</v>
      </c>
      <c r="I4992" s="21">
        <v>0</v>
      </c>
      <c r="J4992" s="21">
        <v>0</v>
      </c>
      <c r="K4992" s="21">
        <v>0</v>
      </c>
      <c r="L4992" s="3">
        <f t="shared" si="210"/>
        <v>0</v>
      </c>
      <c r="M4992" s="3"/>
      <c r="N4992" s="3">
        <f t="shared" si="211"/>
        <v>0</v>
      </c>
      <c r="R4992" s="89"/>
      <c r="S4992" s="89">
        <f>100%-Table34[[#This Row],[PDF_initial fee]]</f>
        <v>1</v>
      </c>
      <c r="T4992" s="89"/>
      <c r="U4992" s="26"/>
      <c r="X4992" s="9"/>
    </row>
    <row r="4993" spans="1:28" hidden="1" x14ac:dyDescent="0.25">
      <c r="A4993">
        <v>942872</v>
      </c>
      <c r="B4993" t="s">
        <v>5390</v>
      </c>
      <c r="C4993" t="s">
        <v>9922</v>
      </c>
      <c r="D4993">
        <v>1</v>
      </c>
      <c r="E4993" t="s">
        <v>5390</v>
      </c>
      <c r="G4993" s="3"/>
      <c r="H4993" s="3">
        <v>0</v>
      </c>
      <c r="I4993" s="3">
        <v>0</v>
      </c>
      <c r="J4993" s="3">
        <v>0</v>
      </c>
      <c r="K4993" s="3">
        <v>0</v>
      </c>
      <c r="L4993" s="3">
        <f t="shared" si="210"/>
        <v>0</v>
      </c>
      <c r="M4993" s="3"/>
      <c r="N4993" s="3">
        <f t="shared" si="211"/>
        <v>0</v>
      </c>
      <c r="R4993" s="89"/>
      <c r="S4993" s="89">
        <f>100%-Table34[[#This Row],[PDF_initial fee]]</f>
        <v>1</v>
      </c>
      <c r="T4993" s="89"/>
      <c r="U4993" s="26"/>
      <c r="X4993" s="9"/>
    </row>
    <row r="4994" spans="1:28" hidden="1" x14ac:dyDescent="0.25">
      <c r="A4994">
        <v>942874</v>
      </c>
      <c r="B4994" t="s">
        <v>5391</v>
      </c>
      <c r="C4994" t="s">
        <v>11910</v>
      </c>
      <c r="D4994">
        <v>1</v>
      </c>
      <c r="E4994" t="s">
        <v>5391</v>
      </c>
      <c r="G4994" s="3"/>
      <c r="H4994" s="3">
        <v>0</v>
      </c>
      <c r="I4994" s="3">
        <v>0</v>
      </c>
      <c r="J4994" s="3">
        <v>0</v>
      </c>
      <c r="K4994" s="3">
        <v>0</v>
      </c>
      <c r="L4994" s="3">
        <f t="shared" si="210"/>
        <v>0</v>
      </c>
      <c r="M4994" s="3"/>
      <c r="N4994" s="3">
        <f t="shared" si="211"/>
        <v>0</v>
      </c>
      <c r="R4994" s="89"/>
      <c r="S4994" s="89">
        <f>100%-Table34[[#This Row],[PDF_initial fee]]</f>
        <v>1</v>
      </c>
      <c r="T4994" s="89"/>
      <c r="U4994" s="26"/>
      <c r="X4994" s="9"/>
    </row>
    <row r="4995" spans="1:28" hidden="1" x14ac:dyDescent="0.25">
      <c r="A4995">
        <v>942906</v>
      </c>
      <c r="B4995" t="s">
        <v>5392</v>
      </c>
      <c r="C4995" t="s">
        <v>9053</v>
      </c>
      <c r="D4995">
        <v>7</v>
      </c>
      <c r="E4995" t="s">
        <v>5392</v>
      </c>
      <c r="G4995" s="3"/>
      <c r="H4995" s="21">
        <v>0</v>
      </c>
      <c r="I4995" s="21">
        <v>0</v>
      </c>
      <c r="J4995" s="21">
        <v>0</v>
      </c>
      <c r="K4995" s="21">
        <v>0</v>
      </c>
      <c r="L4995" s="3">
        <f t="shared" si="210"/>
        <v>0</v>
      </c>
      <c r="M4995" s="3"/>
      <c r="N4995" s="3">
        <f t="shared" si="211"/>
        <v>0</v>
      </c>
      <c r="R4995" s="89"/>
      <c r="S4995" s="89">
        <f>100%-Table34[[#This Row],[PDF_initial fee]]</f>
        <v>1</v>
      </c>
      <c r="T4995" s="89"/>
      <c r="U4995" s="26"/>
      <c r="X4995" s="9"/>
    </row>
    <row r="4996" spans="1:28" hidden="1" x14ac:dyDescent="0.25">
      <c r="A4996">
        <v>943119</v>
      </c>
      <c r="B4996" t="s">
        <v>5393</v>
      </c>
      <c r="C4996" t="s">
        <v>9879</v>
      </c>
      <c r="D4996">
        <v>1</v>
      </c>
      <c r="E4996" t="s">
        <v>5393</v>
      </c>
      <c r="G4996" s="3"/>
      <c r="H4996" s="3">
        <v>0</v>
      </c>
      <c r="I4996" s="3">
        <v>0</v>
      </c>
      <c r="J4996" s="3">
        <v>0</v>
      </c>
      <c r="K4996" s="3">
        <v>0</v>
      </c>
      <c r="L4996" s="3">
        <f t="shared" si="210"/>
        <v>0</v>
      </c>
      <c r="M4996" s="3"/>
      <c r="N4996" s="3">
        <f t="shared" si="211"/>
        <v>0</v>
      </c>
      <c r="R4996" s="89"/>
      <c r="S4996" s="89">
        <f>100%-Table34[[#This Row],[PDF_initial fee]]</f>
        <v>1</v>
      </c>
      <c r="T4996" s="89"/>
      <c r="U4996" s="26"/>
      <c r="X4996" s="9"/>
    </row>
    <row r="4997" spans="1:28" hidden="1" x14ac:dyDescent="0.25">
      <c r="A4997">
        <v>943133</v>
      </c>
      <c r="B4997" t="s">
        <v>5394</v>
      </c>
      <c r="C4997" t="s">
        <v>8556</v>
      </c>
      <c r="D4997">
        <v>1</v>
      </c>
      <c r="E4997" t="s">
        <v>5394</v>
      </c>
      <c r="G4997" s="3"/>
      <c r="L4997" s="3">
        <f t="shared" si="210"/>
        <v>0</v>
      </c>
      <c r="M4997" s="3"/>
      <c r="N4997" s="3">
        <f t="shared" si="211"/>
        <v>0</v>
      </c>
      <c r="R4997" s="89"/>
      <c r="S4997" s="89">
        <f>100%-Table34[[#This Row],[PDF_initial fee]]</f>
        <v>1</v>
      </c>
      <c r="T4997" s="89"/>
      <c r="U4997" s="26"/>
      <c r="X4997" s="9"/>
    </row>
    <row r="4998" spans="1:28" hidden="1" x14ac:dyDescent="0.25">
      <c r="A4998">
        <v>943190</v>
      </c>
      <c r="B4998" t="s">
        <v>5395</v>
      </c>
      <c r="C4998" t="s">
        <v>6958</v>
      </c>
      <c r="D4998">
        <v>1</v>
      </c>
      <c r="E4998" t="s">
        <v>5395</v>
      </c>
      <c r="F4998" t="s">
        <v>6958</v>
      </c>
      <c r="G4998" s="3"/>
      <c r="H4998" s="21">
        <v>0</v>
      </c>
      <c r="I4998" s="21">
        <v>0</v>
      </c>
      <c r="J4998" s="21">
        <v>0</v>
      </c>
      <c r="K4998" s="21">
        <v>0</v>
      </c>
      <c r="L4998" s="3">
        <f t="shared" si="210"/>
        <v>0</v>
      </c>
      <c r="M4998" s="3"/>
      <c r="N4998" s="3">
        <f t="shared" si="211"/>
        <v>0</v>
      </c>
      <c r="R4998" s="89"/>
      <c r="S4998" s="89">
        <f>100%-Table34[[#This Row],[PDF_initial fee]]</f>
        <v>1</v>
      </c>
      <c r="T4998" s="89"/>
      <c r="U4998" s="26"/>
      <c r="X4998" s="9"/>
    </row>
    <row r="4999" spans="1:28" hidden="1" x14ac:dyDescent="0.25">
      <c r="A4999">
        <v>943519</v>
      </c>
      <c r="B4999" t="s">
        <v>5396</v>
      </c>
      <c r="C4999" t="s">
        <v>6958</v>
      </c>
      <c r="D4999">
        <v>1</v>
      </c>
      <c r="E4999" t="s">
        <v>5396</v>
      </c>
      <c r="F4999" t="s">
        <v>6958</v>
      </c>
      <c r="G4999" s="3"/>
      <c r="H4999" s="21">
        <v>0</v>
      </c>
      <c r="I4999" s="21">
        <v>0</v>
      </c>
      <c r="J4999" s="21">
        <v>0</v>
      </c>
      <c r="K4999" s="21">
        <v>0</v>
      </c>
      <c r="L4999" s="3">
        <f t="shared" si="210"/>
        <v>0</v>
      </c>
      <c r="M4999" s="3"/>
      <c r="N4999" s="3">
        <f t="shared" si="211"/>
        <v>0</v>
      </c>
      <c r="R4999" s="89"/>
      <c r="S4999" s="89">
        <f>100%-Table34[[#This Row],[PDF_initial fee]]</f>
        <v>1</v>
      </c>
      <c r="T4999" s="89"/>
      <c r="U4999" s="26"/>
      <c r="X4999" s="9"/>
    </row>
    <row r="5000" spans="1:28" hidden="1" x14ac:dyDescent="0.25">
      <c r="A5000">
        <v>943567</v>
      </c>
      <c r="B5000" t="s">
        <v>5397</v>
      </c>
      <c r="C5000" t="s">
        <v>6958</v>
      </c>
      <c r="D5000">
        <v>1</v>
      </c>
      <c r="E5000" t="s">
        <v>5397</v>
      </c>
      <c r="F5000" t="s">
        <v>6958</v>
      </c>
      <c r="G5000" s="3"/>
      <c r="H5000" s="21">
        <v>0</v>
      </c>
      <c r="I5000" s="21">
        <v>0</v>
      </c>
      <c r="J5000" s="21">
        <v>0</v>
      </c>
      <c r="K5000" s="21">
        <v>0</v>
      </c>
      <c r="L5000" s="3">
        <f t="shared" si="210"/>
        <v>0</v>
      </c>
      <c r="M5000" s="3"/>
      <c r="N5000" s="3">
        <f t="shared" si="211"/>
        <v>0</v>
      </c>
      <c r="R5000" s="89"/>
      <c r="S5000" s="89">
        <f>100%-Table34[[#This Row],[PDF_initial fee]]</f>
        <v>1</v>
      </c>
      <c r="T5000" s="89"/>
      <c r="U5000" s="26"/>
      <c r="X5000" s="9"/>
    </row>
    <row r="5001" spans="1:28" hidden="1" x14ac:dyDescent="0.25">
      <c r="A5001">
        <v>943846</v>
      </c>
      <c r="B5001" t="s">
        <v>5398</v>
      </c>
      <c r="C5001" t="s">
        <v>6958</v>
      </c>
      <c r="D5001">
        <v>1</v>
      </c>
      <c r="E5001" t="s">
        <v>5398</v>
      </c>
      <c r="F5001" t="s">
        <v>6958</v>
      </c>
      <c r="G5001" s="3"/>
      <c r="H5001" s="21">
        <v>0</v>
      </c>
      <c r="I5001" s="21">
        <v>0</v>
      </c>
      <c r="J5001" s="21">
        <v>0</v>
      </c>
      <c r="K5001" s="21">
        <v>0</v>
      </c>
      <c r="L5001" s="3">
        <f t="shared" si="210"/>
        <v>0</v>
      </c>
      <c r="M5001" s="3"/>
      <c r="N5001" s="3">
        <f t="shared" si="211"/>
        <v>0</v>
      </c>
      <c r="R5001" s="89"/>
      <c r="S5001" s="89">
        <f>100%-Table34[[#This Row],[PDF_initial fee]]</f>
        <v>1</v>
      </c>
      <c r="T5001" s="89"/>
      <c r="U5001" s="26"/>
      <c r="X5001" s="9"/>
    </row>
    <row r="5002" spans="1:28" hidden="1" x14ac:dyDescent="0.25">
      <c r="A5002">
        <v>944080</v>
      </c>
      <c r="B5002" t="s">
        <v>5399</v>
      </c>
      <c r="C5002" t="s">
        <v>7425</v>
      </c>
      <c r="D5002">
        <v>2</v>
      </c>
      <c r="E5002" t="s">
        <v>5399</v>
      </c>
      <c r="G5002" s="3"/>
      <c r="H5002" s="40">
        <v>0</v>
      </c>
      <c r="I5002" s="40">
        <v>0</v>
      </c>
      <c r="J5002" s="40">
        <v>0</v>
      </c>
      <c r="K5002" s="40">
        <v>0</v>
      </c>
      <c r="L5002" s="3">
        <f t="shared" si="210"/>
        <v>0</v>
      </c>
      <c r="M5002" s="3"/>
      <c r="N5002" s="3">
        <f t="shared" si="211"/>
        <v>0</v>
      </c>
      <c r="O5002" s="39"/>
      <c r="R5002" s="89"/>
      <c r="S5002" s="89">
        <f>100%-Table34[[#This Row],[PDF_initial fee]]</f>
        <v>1</v>
      </c>
      <c r="T5002" s="89"/>
      <c r="U5002" s="26"/>
      <c r="X5002" s="9"/>
    </row>
    <row r="5003" spans="1:28" hidden="1" x14ac:dyDescent="0.25">
      <c r="A5003">
        <v>944220</v>
      </c>
      <c r="B5003" t="s">
        <v>5400</v>
      </c>
      <c r="C5003" t="s">
        <v>11001</v>
      </c>
      <c r="D5003">
        <v>2</v>
      </c>
      <c r="E5003" t="s">
        <v>5400</v>
      </c>
      <c r="G5003" s="3"/>
      <c r="H5003" s="3">
        <v>0</v>
      </c>
      <c r="I5003" s="3">
        <v>0</v>
      </c>
      <c r="J5003" s="3">
        <v>0</v>
      </c>
      <c r="K5003" s="3">
        <v>0</v>
      </c>
      <c r="L5003" s="3">
        <f t="shared" si="210"/>
        <v>0</v>
      </c>
      <c r="M5003" s="3"/>
      <c r="N5003" s="3">
        <f t="shared" si="211"/>
        <v>0</v>
      </c>
      <c r="R5003" s="89"/>
      <c r="S5003" s="89">
        <f>100%-Table34[[#This Row],[PDF_initial fee]]</f>
        <v>1</v>
      </c>
      <c r="T5003" s="89"/>
      <c r="U5003" s="26"/>
      <c r="X5003" s="9"/>
    </row>
    <row r="5004" spans="1:28" x14ac:dyDescent="0.25">
      <c r="A5004">
        <v>992948</v>
      </c>
      <c r="B5004" t="s">
        <v>357</v>
      </c>
      <c r="C5004" t="s">
        <v>11503</v>
      </c>
      <c r="D5004">
        <v>4</v>
      </c>
      <c r="E5004" t="s">
        <v>357</v>
      </c>
      <c r="F5004" t="s">
        <v>3</v>
      </c>
      <c r="G5004" s="3">
        <v>1.4E-3</v>
      </c>
      <c r="H5004" s="3"/>
      <c r="I5004" s="3"/>
      <c r="J5004" s="6">
        <v>0.04</v>
      </c>
      <c r="K5004" s="6">
        <v>7.4999999999999997E-3</v>
      </c>
      <c r="L5004" s="3">
        <f>SUM(J5004:K5004)</f>
        <v>4.7500000000000001E-2</v>
      </c>
      <c r="M5004" s="3"/>
      <c r="N5004" s="3">
        <f t="shared" si="211"/>
        <v>4.8899999999999999E-2</v>
      </c>
      <c r="O5004" s="1"/>
      <c r="P5004" s="31" t="s">
        <v>31305</v>
      </c>
      <c r="Q5004" t="s">
        <v>31787</v>
      </c>
      <c r="R5004" s="89">
        <v>0.33333333333333348</v>
      </c>
      <c r="S5004" s="89">
        <f>100%-Table34[[#This Row],[PDF_initial fee]]</f>
        <v>0.96</v>
      </c>
      <c r="T5004" s="89">
        <f>(1-Table34[[#This Row],[PDF ongoing fee]])^5</f>
        <v>0.9630582970465823</v>
      </c>
      <c r="U5004" s="26">
        <f>(1+Table34[[#This Row],[Net 5yrs return (mostly up to 28th of Feb 2026)]])*Table34[[#This Row],[Investment after initial charge]]*Table34[[#This Row],[Cummulative 5yrs ongoing advice charge]]-1</f>
        <v>0.2327146202196253</v>
      </c>
      <c r="V5004">
        <f>213468+72736</f>
        <v>286204</v>
      </c>
      <c r="W5004" t="s">
        <v>29051</v>
      </c>
      <c r="X5004" s="9">
        <v>136968</v>
      </c>
      <c r="Y5004" s="30">
        <f>X5004/V5004</f>
        <v>0.47856773490237731</v>
      </c>
      <c r="AA5004" s="1" t="s">
        <v>31306</v>
      </c>
      <c r="AB5004" t="s">
        <v>29302</v>
      </c>
    </row>
    <row r="5005" spans="1:28" hidden="1" x14ac:dyDescent="0.25">
      <c r="A5005">
        <v>944677</v>
      </c>
      <c r="B5005" t="s">
        <v>5402</v>
      </c>
      <c r="C5005" s="1" t="s">
        <v>31307</v>
      </c>
      <c r="D5005">
        <v>3</v>
      </c>
      <c r="E5005" t="s">
        <v>5402</v>
      </c>
      <c r="G5005" s="3"/>
      <c r="H5005" s="3">
        <v>0</v>
      </c>
      <c r="I5005" s="3">
        <v>0</v>
      </c>
      <c r="J5005" s="3">
        <v>0</v>
      </c>
      <c r="K5005" s="3">
        <v>0</v>
      </c>
      <c r="L5005" s="3">
        <f t="shared" ref="L5005:L5036" si="212">SUM(H5005:K5005)</f>
        <v>0</v>
      </c>
      <c r="M5005" s="3"/>
      <c r="N5005" s="3">
        <f t="shared" si="211"/>
        <v>0</v>
      </c>
      <c r="R5005" s="89"/>
      <c r="S5005" s="89">
        <f>100%-Table34[[#This Row],[PDF_initial fee]]</f>
        <v>1</v>
      </c>
      <c r="T5005" s="89"/>
      <c r="U5005" s="26"/>
      <c r="X5005" s="9"/>
    </row>
    <row r="5006" spans="1:28" hidden="1" x14ac:dyDescent="0.25">
      <c r="A5006">
        <v>944768</v>
      </c>
      <c r="B5006" t="s">
        <v>5403</v>
      </c>
      <c r="C5006" t="s">
        <v>6958</v>
      </c>
      <c r="D5006">
        <v>1</v>
      </c>
      <c r="E5006" t="s">
        <v>5403</v>
      </c>
      <c r="F5006" t="s">
        <v>6958</v>
      </c>
      <c r="G5006" s="3"/>
      <c r="H5006" s="21">
        <v>0</v>
      </c>
      <c r="I5006" s="21">
        <v>0</v>
      </c>
      <c r="J5006" s="21">
        <v>0</v>
      </c>
      <c r="K5006" s="21">
        <v>0</v>
      </c>
      <c r="L5006" s="3">
        <f t="shared" si="212"/>
        <v>0</v>
      </c>
      <c r="M5006" s="3"/>
      <c r="N5006" s="3">
        <f t="shared" si="211"/>
        <v>0</v>
      </c>
      <c r="R5006" s="89"/>
      <c r="S5006" s="89">
        <f>100%-Table34[[#This Row],[PDF_initial fee]]</f>
        <v>1</v>
      </c>
      <c r="T5006" s="89"/>
      <c r="U5006" s="26"/>
      <c r="X5006" s="9"/>
    </row>
    <row r="5007" spans="1:28" hidden="1" x14ac:dyDescent="0.25">
      <c r="A5007">
        <v>944965</v>
      </c>
      <c r="B5007" t="s">
        <v>5404</v>
      </c>
      <c r="C5007" t="s">
        <v>7079</v>
      </c>
      <c r="D5007">
        <v>2</v>
      </c>
      <c r="E5007" t="s">
        <v>5404</v>
      </c>
      <c r="G5007" s="3"/>
      <c r="H5007" s="21">
        <v>0</v>
      </c>
      <c r="I5007" s="21">
        <v>0</v>
      </c>
      <c r="J5007" s="21">
        <v>0</v>
      </c>
      <c r="K5007" s="21">
        <v>0</v>
      </c>
      <c r="L5007" s="3">
        <f t="shared" si="212"/>
        <v>0</v>
      </c>
      <c r="M5007" s="3"/>
      <c r="N5007" s="3">
        <f t="shared" si="211"/>
        <v>0</v>
      </c>
      <c r="R5007" s="89"/>
      <c r="S5007" s="89">
        <f>100%-Table34[[#This Row],[PDF_initial fee]]</f>
        <v>1</v>
      </c>
      <c r="T5007" s="89"/>
      <c r="U5007" s="26"/>
      <c r="X5007" s="9"/>
    </row>
    <row r="5008" spans="1:28" hidden="1" x14ac:dyDescent="0.25">
      <c r="A5008">
        <v>945007</v>
      </c>
      <c r="B5008" t="s">
        <v>5405</v>
      </c>
      <c r="C5008" t="s">
        <v>8109</v>
      </c>
      <c r="D5008">
        <v>2</v>
      </c>
      <c r="E5008" t="s">
        <v>5405</v>
      </c>
      <c r="G5008" s="3"/>
      <c r="H5008" s="21">
        <v>0</v>
      </c>
      <c r="I5008" s="21">
        <v>0</v>
      </c>
      <c r="J5008" s="21">
        <v>0</v>
      </c>
      <c r="K5008" s="21">
        <v>0</v>
      </c>
      <c r="L5008" s="3">
        <f t="shared" si="212"/>
        <v>0</v>
      </c>
      <c r="M5008" s="3"/>
      <c r="N5008" s="3">
        <f t="shared" si="211"/>
        <v>0</v>
      </c>
      <c r="R5008" s="89"/>
      <c r="S5008" s="89">
        <f>100%-Table34[[#This Row],[PDF_initial fee]]</f>
        <v>1</v>
      </c>
      <c r="T5008" s="89"/>
      <c r="U5008" s="26"/>
      <c r="X5008" s="9"/>
    </row>
    <row r="5009" spans="1:27" x14ac:dyDescent="0.25">
      <c r="A5009">
        <v>131216</v>
      </c>
      <c r="B5009" t="s">
        <v>37</v>
      </c>
      <c r="C5009" t="s">
        <v>10417</v>
      </c>
      <c r="D5009">
        <v>3</v>
      </c>
      <c r="E5009" t="s">
        <v>37</v>
      </c>
      <c r="F5009" t="s">
        <v>3</v>
      </c>
      <c r="G5009" s="3">
        <v>1.4E-3</v>
      </c>
      <c r="H5009" s="3">
        <v>1.8499999999999999E-2</v>
      </c>
      <c r="I5009" s="21">
        <v>0</v>
      </c>
      <c r="J5009" s="6">
        <v>0</v>
      </c>
      <c r="K5009" s="6">
        <v>5.0000000000000001E-3</v>
      </c>
      <c r="L5009" s="3">
        <f t="shared" si="212"/>
        <v>2.35E-2</v>
      </c>
      <c r="M5009" s="3"/>
      <c r="N5009" s="3">
        <f t="shared" si="211"/>
        <v>2.4899999999999999E-2</v>
      </c>
      <c r="P5009" s="1" t="s">
        <v>31308</v>
      </c>
      <c r="Q5009" s="1" t="s">
        <v>31787</v>
      </c>
      <c r="R5009" s="89">
        <v>0.33333333333333348</v>
      </c>
      <c r="S5009" s="89">
        <f>100%-Table34[[#This Row],[InitialFee]]</f>
        <v>0.98150000000000004</v>
      </c>
      <c r="T5009" s="89">
        <f>(1-Table34[[#This Row],[PDF ongoing fee]])^5</f>
        <v>0.97524875312187509</v>
      </c>
      <c r="U5009" s="26">
        <f>(1+Table34[[#This Row],[Net 5yrs return (mostly up to 28th of Feb 2026)]])*Table34[[#This Row],[Investment after initial charge]]*Table34[[#This Row],[Cummulative 5yrs ongoing advice charge]]-1</f>
        <v>0.2762755349188275</v>
      </c>
      <c r="V5009" s="10">
        <v>81481</v>
      </c>
      <c r="W5009" t="s">
        <v>29051</v>
      </c>
      <c r="X5009" s="10">
        <v>81481</v>
      </c>
      <c r="Y5009" s="30">
        <f>X5009/V5009</f>
        <v>1</v>
      </c>
      <c r="AA5009" s="1" t="s">
        <v>31309</v>
      </c>
    </row>
    <row r="5010" spans="1:27" hidden="1" x14ac:dyDescent="0.25">
      <c r="A5010">
        <v>945107</v>
      </c>
      <c r="B5010" t="s">
        <v>5406</v>
      </c>
      <c r="C5010" t="s">
        <v>31310</v>
      </c>
      <c r="D5010">
        <v>4</v>
      </c>
      <c r="E5010" t="s">
        <v>5406</v>
      </c>
      <c r="G5010" s="3"/>
      <c r="H5010" s="3">
        <v>0</v>
      </c>
      <c r="I5010" s="3">
        <v>0</v>
      </c>
      <c r="J5010" s="3">
        <v>0</v>
      </c>
      <c r="K5010" s="3">
        <v>0</v>
      </c>
      <c r="L5010" s="3">
        <f t="shared" si="212"/>
        <v>0</v>
      </c>
      <c r="M5010" s="3"/>
      <c r="N5010" s="3">
        <f t="shared" si="211"/>
        <v>0</v>
      </c>
      <c r="R5010" s="89"/>
      <c r="S5010" s="89">
        <f>100%-Table34[[#This Row],[PDF_initial fee]]</f>
        <v>1</v>
      </c>
      <c r="T5010" s="89"/>
      <c r="U5010" s="26"/>
      <c r="X5010" s="9"/>
    </row>
    <row r="5011" spans="1:27" hidden="1" x14ac:dyDescent="0.25">
      <c r="A5011">
        <v>945304</v>
      </c>
      <c r="B5011" t="s">
        <v>5407</v>
      </c>
      <c r="C5011" s="1" t="s">
        <v>12456</v>
      </c>
      <c r="D5011">
        <v>2</v>
      </c>
      <c r="E5011" t="s">
        <v>5407</v>
      </c>
      <c r="G5011" s="3"/>
      <c r="H5011" s="3">
        <v>0</v>
      </c>
      <c r="I5011" s="3">
        <v>0</v>
      </c>
      <c r="J5011" s="3">
        <v>0</v>
      </c>
      <c r="K5011" s="3">
        <v>0</v>
      </c>
      <c r="L5011" s="3">
        <f t="shared" si="212"/>
        <v>0</v>
      </c>
      <c r="M5011" s="3"/>
      <c r="N5011" s="3">
        <f t="shared" si="211"/>
        <v>0</v>
      </c>
      <c r="R5011" s="89"/>
      <c r="S5011" s="89">
        <f>100%-Table34[[#This Row],[PDF_initial fee]]</f>
        <v>1</v>
      </c>
      <c r="T5011" s="89"/>
      <c r="U5011" s="26"/>
      <c r="X5011" s="9"/>
    </row>
    <row r="5012" spans="1:27" hidden="1" x14ac:dyDescent="0.25">
      <c r="A5012">
        <v>945599</v>
      </c>
      <c r="B5012" t="s">
        <v>5408</v>
      </c>
      <c r="C5012" t="s">
        <v>31311</v>
      </c>
      <c r="D5012">
        <v>3</v>
      </c>
      <c r="E5012" t="s">
        <v>5408</v>
      </c>
      <c r="G5012" s="3"/>
      <c r="H5012" s="3">
        <v>0</v>
      </c>
      <c r="I5012" s="3">
        <v>0</v>
      </c>
      <c r="J5012" s="3">
        <v>0</v>
      </c>
      <c r="K5012" s="3">
        <v>0</v>
      </c>
      <c r="L5012" s="3">
        <f t="shared" si="212"/>
        <v>0</v>
      </c>
      <c r="M5012" s="3"/>
      <c r="N5012" s="3">
        <f t="shared" si="211"/>
        <v>0</v>
      </c>
      <c r="R5012" s="89"/>
      <c r="S5012" s="89">
        <f>100%-Table34[[#This Row],[PDF_initial fee]]</f>
        <v>1</v>
      </c>
      <c r="T5012" s="89"/>
      <c r="U5012" s="26"/>
      <c r="X5012" s="9"/>
    </row>
    <row r="5013" spans="1:27" hidden="1" x14ac:dyDescent="0.25">
      <c r="A5013">
        <v>945625</v>
      </c>
      <c r="B5013" t="s">
        <v>5409</v>
      </c>
      <c r="C5013" t="s">
        <v>10519</v>
      </c>
      <c r="D5013">
        <v>1</v>
      </c>
      <c r="E5013" t="s">
        <v>5409</v>
      </c>
      <c r="G5013" s="3"/>
      <c r="H5013" s="3">
        <v>0</v>
      </c>
      <c r="I5013" s="3">
        <v>0</v>
      </c>
      <c r="J5013" s="3">
        <v>0</v>
      </c>
      <c r="K5013" s="3">
        <v>0</v>
      </c>
      <c r="L5013" s="3">
        <f t="shared" si="212"/>
        <v>0</v>
      </c>
      <c r="M5013" s="3"/>
      <c r="N5013" s="3">
        <f t="shared" si="211"/>
        <v>0</v>
      </c>
      <c r="R5013" s="89"/>
      <c r="S5013" s="89">
        <f>100%-Table34[[#This Row],[PDF_initial fee]]</f>
        <v>1</v>
      </c>
      <c r="T5013" s="89"/>
      <c r="U5013" s="26"/>
      <c r="X5013" s="9"/>
    </row>
    <row r="5014" spans="1:27" hidden="1" x14ac:dyDescent="0.25">
      <c r="A5014">
        <v>945723</v>
      </c>
      <c r="B5014" t="s">
        <v>5410</v>
      </c>
      <c r="C5014" t="s">
        <v>10338</v>
      </c>
      <c r="D5014">
        <v>1</v>
      </c>
      <c r="E5014" t="s">
        <v>5410</v>
      </c>
      <c r="G5014" s="3"/>
      <c r="H5014" s="3">
        <v>0</v>
      </c>
      <c r="I5014" s="3">
        <v>0</v>
      </c>
      <c r="J5014" s="3">
        <v>0</v>
      </c>
      <c r="K5014" s="3">
        <v>0</v>
      </c>
      <c r="L5014" s="3">
        <f t="shared" si="212"/>
        <v>0</v>
      </c>
      <c r="M5014" s="3"/>
      <c r="N5014" s="3">
        <f t="shared" si="211"/>
        <v>0</v>
      </c>
      <c r="R5014" s="89"/>
      <c r="S5014" s="89">
        <f>100%-Table34[[#This Row],[PDF_initial fee]]</f>
        <v>1</v>
      </c>
      <c r="T5014" s="89"/>
      <c r="U5014" s="26"/>
      <c r="X5014" s="9"/>
    </row>
    <row r="5015" spans="1:27" hidden="1" x14ac:dyDescent="0.25">
      <c r="A5015">
        <v>945863</v>
      </c>
      <c r="B5015" t="s">
        <v>5411</v>
      </c>
      <c r="C5015" t="s">
        <v>6958</v>
      </c>
      <c r="D5015">
        <v>1</v>
      </c>
      <c r="E5015" t="s">
        <v>5411</v>
      </c>
      <c r="F5015" t="s">
        <v>6958</v>
      </c>
      <c r="G5015" s="3"/>
      <c r="H5015" s="21">
        <v>0</v>
      </c>
      <c r="I5015" s="21">
        <v>0</v>
      </c>
      <c r="J5015" s="21">
        <v>0</v>
      </c>
      <c r="K5015" s="21">
        <v>0</v>
      </c>
      <c r="L5015" s="3">
        <f t="shared" si="212"/>
        <v>0</v>
      </c>
      <c r="M5015" s="3"/>
      <c r="N5015" s="3">
        <f t="shared" si="211"/>
        <v>0</v>
      </c>
      <c r="R5015" s="89"/>
      <c r="S5015" s="89">
        <f>100%-Table34[[#This Row],[PDF_initial fee]]</f>
        <v>1</v>
      </c>
      <c r="T5015" s="89"/>
      <c r="U5015" s="26"/>
      <c r="X5015" s="9"/>
    </row>
    <row r="5016" spans="1:27" hidden="1" x14ac:dyDescent="0.25">
      <c r="A5016">
        <v>945907</v>
      </c>
      <c r="B5016" t="s">
        <v>5412</v>
      </c>
      <c r="C5016" t="s">
        <v>7745</v>
      </c>
      <c r="D5016">
        <v>1</v>
      </c>
      <c r="E5016" t="s">
        <v>5412</v>
      </c>
      <c r="G5016" s="3"/>
      <c r="L5016" s="3">
        <f t="shared" si="212"/>
        <v>0</v>
      </c>
      <c r="M5016" s="3"/>
      <c r="N5016" s="3">
        <f t="shared" si="211"/>
        <v>0</v>
      </c>
      <c r="R5016" s="89"/>
      <c r="S5016" s="89">
        <f>100%-Table34[[#This Row],[PDF_initial fee]]</f>
        <v>1</v>
      </c>
      <c r="T5016" s="89"/>
      <c r="U5016" s="26"/>
      <c r="X5016" s="9"/>
    </row>
    <row r="5017" spans="1:27" hidden="1" x14ac:dyDescent="0.25">
      <c r="A5017">
        <v>945968</v>
      </c>
      <c r="B5017" t="s">
        <v>5413</v>
      </c>
      <c r="C5017" t="s">
        <v>6958</v>
      </c>
      <c r="D5017">
        <v>1</v>
      </c>
      <c r="E5017" t="s">
        <v>5413</v>
      </c>
      <c r="F5017" t="s">
        <v>6958</v>
      </c>
      <c r="G5017" s="3"/>
      <c r="H5017" s="21">
        <v>0</v>
      </c>
      <c r="I5017" s="21">
        <v>0</v>
      </c>
      <c r="J5017" s="21">
        <v>0</v>
      </c>
      <c r="K5017" s="21">
        <v>0</v>
      </c>
      <c r="L5017" s="3">
        <f t="shared" si="212"/>
        <v>0</v>
      </c>
      <c r="M5017" s="3"/>
      <c r="N5017" s="3">
        <f t="shared" si="211"/>
        <v>0</v>
      </c>
      <c r="R5017" s="89"/>
      <c r="S5017" s="89">
        <f>100%-Table34[[#This Row],[PDF_initial fee]]</f>
        <v>1</v>
      </c>
      <c r="T5017" s="89"/>
      <c r="U5017" s="26"/>
      <c r="X5017" s="9"/>
    </row>
    <row r="5018" spans="1:27" hidden="1" x14ac:dyDescent="0.25">
      <c r="A5018">
        <v>946172</v>
      </c>
      <c r="B5018" t="s">
        <v>5414</v>
      </c>
      <c r="C5018" t="s">
        <v>10220</v>
      </c>
      <c r="D5018">
        <v>1</v>
      </c>
      <c r="E5018" t="s">
        <v>5414</v>
      </c>
      <c r="G5018" s="3"/>
      <c r="H5018" s="3"/>
      <c r="I5018" s="3"/>
      <c r="J5018" s="3"/>
      <c r="K5018" s="3"/>
      <c r="L5018" s="3">
        <f t="shared" si="212"/>
        <v>0</v>
      </c>
      <c r="M5018" s="3"/>
      <c r="N5018" s="3">
        <f t="shared" si="211"/>
        <v>0</v>
      </c>
      <c r="R5018" s="89"/>
      <c r="S5018" s="89">
        <f>100%-Table34[[#This Row],[PDF_initial fee]]</f>
        <v>1</v>
      </c>
      <c r="T5018" s="89"/>
      <c r="U5018" s="26"/>
      <c r="X5018" s="9"/>
    </row>
    <row r="5019" spans="1:27" hidden="1" x14ac:dyDescent="0.25">
      <c r="A5019">
        <v>946176</v>
      </c>
      <c r="B5019" t="s">
        <v>5415</v>
      </c>
      <c r="C5019" t="s">
        <v>6958</v>
      </c>
      <c r="D5019">
        <v>2</v>
      </c>
      <c r="E5019" t="s">
        <v>5415</v>
      </c>
      <c r="F5019" t="s">
        <v>6958</v>
      </c>
      <c r="G5019" s="3"/>
      <c r="H5019" s="21">
        <v>0</v>
      </c>
      <c r="I5019" s="21">
        <v>0</v>
      </c>
      <c r="J5019" s="21">
        <v>0</v>
      </c>
      <c r="K5019" s="21">
        <v>0</v>
      </c>
      <c r="L5019" s="3">
        <f t="shared" si="212"/>
        <v>0</v>
      </c>
      <c r="M5019" s="3"/>
      <c r="N5019" s="3">
        <f t="shared" si="211"/>
        <v>0</v>
      </c>
      <c r="R5019" s="89"/>
      <c r="S5019" s="89">
        <f>100%-Table34[[#This Row],[PDF_initial fee]]</f>
        <v>1</v>
      </c>
      <c r="T5019" s="89"/>
      <c r="U5019" s="26"/>
      <c r="X5019" s="9"/>
    </row>
    <row r="5020" spans="1:27" hidden="1" x14ac:dyDescent="0.25">
      <c r="A5020">
        <v>946514</v>
      </c>
      <c r="B5020" t="s">
        <v>5416</v>
      </c>
      <c r="C5020" s="1" t="s">
        <v>31312</v>
      </c>
      <c r="D5020">
        <v>1</v>
      </c>
      <c r="E5020" t="s">
        <v>5416</v>
      </c>
      <c r="G5020" s="3"/>
      <c r="H5020" s="3">
        <v>0</v>
      </c>
      <c r="I5020" s="3">
        <v>0</v>
      </c>
      <c r="J5020" s="3">
        <v>0</v>
      </c>
      <c r="K5020" s="3">
        <v>0</v>
      </c>
      <c r="L5020" s="3">
        <f t="shared" si="212"/>
        <v>0</v>
      </c>
      <c r="M5020" s="3"/>
      <c r="N5020" s="3">
        <f t="shared" si="211"/>
        <v>0</v>
      </c>
      <c r="R5020" s="89"/>
      <c r="S5020" s="89">
        <f>100%-Table34[[#This Row],[PDF_initial fee]]</f>
        <v>1</v>
      </c>
      <c r="T5020" s="89"/>
      <c r="U5020" s="26"/>
      <c r="X5020" s="9"/>
    </row>
    <row r="5021" spans="1:27" hidden="1" x14ac:dyDescent="0.25">
      <c r="A5021">
        <v>946540</v>
      </c>
      <c r="B5021" t="s">
        <v>5417</v>
      </c>
      <c r="C5021" t="s">
        <v>31313</v>
      </c>
      <c r="D5021">
        <v>2</v>
      </c>
      <c r="E5021" t="s">
        <v>5417</v>
      </c>
      <c r="G5021" s="3"/>
      <c r="H5021" s="3">
        <v>0</v>
      </c>
      <c r="I5021" s="3">
        <v>0</v>
      </c>
      <c r="J5021" s="3">
        <v>0</v>
      </c>
      <c r="K5021" s="3">
        <v>0</v>
      </c>
      <c r="L5021" s="3">
        <f t="shared" si="212"/>
        <v>0</v>
      </c>
      <c r="M5021" s="3"/>
      <c r="N5021" s="3">
        <f t="shared" si="211"/>
        <v>0</v>
      </c>
      <c r="R5021" s="89"/>
      <c r="S5021" s="89">
        <f>100%-Table34[[#This Row],[PDF_initial fee]]</f>
        <v>1</v>
      </c>
      <c r="T5021" s="89"/>
      <c r="U5021" s="26"/>
      <c r="X5021" s="9"/>
    </row>
    <row r="5022" spans="1:27" hidden="1" x14ac:dyDescent="0.25">
      <c r="A5022">
        <v>946569</v>
      </c>
      <c r="B5022" t="s">
        <v>5418</v>
      </c>
      <c r="C5022" t="s">
        <v>31314</v>
      </c>
      <c r="D5022">
        <v>2</v>
      </c>
      <c r="E5022" t="s">
        <v>5418</v>
      </c>
      <c r="G5022" s="3"/>
      <c r="H5022" s="3">
        <v>0</v>
      </c>
      <c r="I5022" s="3">
        <v>0</v>
      </c>
      <c r="J5022" s="3">
        <v>0</v>
      </c>
      <c r="K5022" s="3">
        <v>0</v>
      </c>
      <c r="L5022" s="3">
        <f t="shared" si="212"/>
        <v>0</v>
      </c>
      <c r="M5022" s="3"/>
      <c r="N5022" s="3">
        <f t="shared" si="211"/>
        <v>0</v>
      </c>
      <c r="R5022" s="89"/>
      <c r="S5022" s="89">
        <f>100%-Table34[[#This Row],[PDF_initial fee]]</f>
        <v>1</v>
      </c>
      <c r="T5022" s="89"/>
      <c r="U5022" s="26"/>
      <c r="X5022" s="9"/>
    </row>
    <row r="5023" spans="1:27" hidden="1" x14ac:dyDescent="0.25">
      <c r="A5023">
        <v>946617</v>
      </c>
      <c r="B5023" t="s">
        <v>5419</v>
      </c>
      <c r="C5023" t="s">
        <v>6958</v>
      </c>
      <c r="D5023">
        <v>1</v>
      </c>
      <c r="E5023" t="s">
        <v>5419</v>
      </c>
      <c r="F5023" t="s">
        <v>6958</v>
      </c>
      <c r="G5023" s="3"/>
      <c r="H5023" s="21">
        <v>0</v>
      </c>
      <c r="I5023" s="21">
        <v>0</v>
      </c>
      <c r="J5023" s="21">
        <v>0</v>
      </c>
      <c r="K5023" s="21">
        <v>0</v>
      </c>
      <c r="L5023" s="3">
        <f t="shared" si="212"/>
        <v>0</v>
      </c>
      <c r="M5023" s="3"/>
      <c r="N5023" s="3">
        <f t="shared" si="211"/>
        <v>0</v>
      </c>
      <c r="R5023" s="89"/>
      <c r="S5023" s="89">
        <f>100%-Table34[[#This Row],[PDF_initial fee]]</f>
        <v>1</v>
      </c>
      <c r="T5023" s="89"/>
      <c r="U5023" s="26"/>
      <c r="X5023" s="9"/>
    </row>
    <row r="5024" spans="1:27" hidden="1" x14ac:dyDescent="0.25">
      <c r="A5024">
        <v>946656</v>
      </c>
      <c r="B5024" t="s">
        <v>5420</v>
      </c>
      <c r="C5024" t="s">
        <v>10581</v>
      </c>
      <c r="D5024">
        <v>2</v>
      </c>
      <c r="E5024" t="s">
        <v>5420</v>
      </c>
      <c r="G5024" s="3"/>
      <c r="H5024" s="3">
        <v>0</v>
      </c>
      <c r="I5024" s="3">
        <v>0</v>
      </c>
      <c r="J5024" s="3">
        <v>0</v>
      </c>
      <c r="K5024" s="3">
        <v>0</v>
      </c>
      <c r="L5024" s="3">
        <f t="shared" si="212"/>
        <v>0</v>
      </c>
      <c r="M5024" s="3"/>
      <c r="N5024" s="3">
        <f t="shared" si="211"/>
        <v>0</v>
      </c>
      <c r="R5024" s="89"/>
      <c r="S5024" s="89">
        <f>100%-Table34[[#This Row],[PDF_initial fee]]</f>
        <v>1</v>
      </c>
      <c r="T5024" s="89"/>
      <c r="U5024" s="26"/>
      <c r="X5024" s="9"/>
    </row>
    <row r="5025" spans="1:27" hidden="1" x14ac:dyDescent="0.25">
      <c r="A5025">
        <v>946945</v>
      </c>
      <c r="B5025" t="s">
        <v>5421</v>
      </c>
      <c r="C5025" t="s">
        <v>6958</v>
      </c>
      <c r="D5025">
        <v>1</v>
      </c>
      <c r="E5025" t="s">
        <v>5421</v>
      </c>
      <c r="F5025" t="s">
        <v>6958</v>
      </c>
      <c r="G5025" s="3"/>
      <c r="H5025" s="21">
        <v>0</v>
      </c>
      <c r="I5025" s="21">
        <v>0</v>
      </c>
      <c r="J5025" s="21">
        <v>0</v>
      </c>
      <c r="K5025" s="21">
        <v>0</v>
      </c>
      <c r="L5025" s="3">
        <f t="shared" si="212"/>
        <v>0</v>
      </c>
      <c r="M5025" s="3"/>
      <c r="N5025" s="3">
        <f t="shared" si="211"/>
        <v>0</v>
      </c>
      <c r="R5025" s="89"/>
      <c r="S5025" s="89">
        <f>100%-Table34[[#This Row],[PDF_initial fee]]</f>
        <v>1</v>
      </c>
      <c r="T5025" s="89"/>
      <c r="U5025" s="26"/>
      <c r="X5025" s="9"/>
    </row>
    <row r="5026" spans="1:27" hidden="1" x14ac:dyDescent="0.25">
      <c r="A5026">
        <v>946981</v>
      </c>
      <c r="B5026" t="s">
        <v>5422</v>
      </c>
      <c r="C5026" t="s">
        <v>31315</v>
      </c>
      <c r="D5026">
        <v>3</v>
      </c>
      <c r="E5026" t="s">
        <v>5422</v>
      </c>
      <c r="G5026" s="3"/>
      <c r="H5026" s="21">
        <v>0</v>
      </c>
      <c r="I5026" s="3">
        <v>0</v>
      </c>
      <c r="J5026" s="3">
        <v>0</v>
      </c>
      <c r="K5026">
        <v>0</v>
      </c>
      <c r="L5026" s="3">
        <f t="shared" si="212"/>
        <v>0</v>
      </c>
      <c r="M5026" s="3"/>
      <c r="N5026" s="3">
        <f t="shared" si="211"/>
        <v>0</v>
      </c>
      <c r="R5026" s="89"/>
      <c r="S5026" s="89">
        <f>100%-Table34[[#This Row],[PDF_initial fee]]</f>
        <v>1</v>
      </c>
      <c r="T5026" s="89"/>
      <c r="U5026" s="26"/>
      <c r="X5026" s="9"/>
    </row>
    <row r="5027" spans="1:27" hidden="1" x14ac:dyDescent="0.25">
      <c r="A5027">
        <v>947091</v>
      </c>
      <c r="B5027" t="s">
        <v>5423</v>
      </c>
      <c r="C5027" t="s">
        <v>6958</v>
      </c>
      <c r="D5027">
        <v>3</v>
      </c>
      <c r="E5027" t="s">
        <v>5423</v>
      </c>
      <c r="F5027" t="s">
        <v>6958</v>
      </c>
      <c r="G5027" s="3"/>
      <c r="H5027" s="21">
        <v>0</v>
      </c>
      <c r="I5027" s="21">
        <v>0</v>
      </c>
      <c r="J5027" s="21">
        <v>0</v>
      </c>
      <c r="K5027" s="21">
        <v>0</v>
      </c>
      <c r="L5027" s="3">
        <f t="shared" si="212"/>
        <v>0</v>
      </c>
      <c r="M5027" s="3"/>
      <c r="N5027" s="3">
        <f t="shared" si="211"/>
        <v>0</v>
      </c>
      <c r="R5027" s="89"/>
      <c r="S5027" s="89">
        <f>100%-Table34[[#This Row],[PDF_initial fee]]</f>
        <v>1</v>
      </c>
      <c r="T5027" s="89"/>
      <c r="U5027" s="26"/>
      <c r="X5027" s="9"/>
    </row>
    <row r="5028" spans="1:27" x14ac:dyDescent="0.25">
      <c r="A5028">
        <v>191667</v>
      </c>
      <c r="B5028" t="s">
        <v>99</v>
      </c>
      <c r="C5028" t="s">
        <v>10623</v>
      </c>
      <c r="D5028">
        <v>2</v>
      </c>
      <c r="E5028" t="s">
        <v>99</v>
      </c>
      <c r="F5028" t="s">
        <v>3</v>
      </c>
      <c r="G5028" s="3">
        <v>1.4E-3</v>
      </c>
      <c r="H5028" s="3">
        <v>0.03</v>
      </c>
      <c r="I5028" s="3">
        <v>5.0000000000000001E-3</v>
      </c>
      <c r="J5028" s="21">
        <v>0</v>
      </c>
      <c r="K5028" s="21">
        <v>0</v>
      </c>
      <c r="L5028" s="3">
        <f t="shared" si="212"/>
        <v>3.4999999999999996E-2</v>
      </c>
      <c r="M5028" s="3"/>
      <c r="N5028" s="3">
        <f t="shared" si="211"/>
        <v>3.6399999999999995E-2</v>
      </c>
      <c r="P5028" s="1" t="s">
        <v>31316</v>
      </c>
      <c r="Q5028" t="s">
        <v>31787</v>
      </c>
      <c r="R5028" s="89">
        <v>0.33333333333333348</v>
      </c>
      <c r="S5028" s="89">
        <f>100%-Table34[[#This Row],[InitialFee]]</f>
        <v>0.97</v>
      </c>
      <c r="T5028" s="89">
        <f>(1-Table34[[#This Row],[OngoingFee (plus Platform fee)]])^5</f>
        <v>0.97524875312187509</v>
      </c>
      <c r="U5028" s="26">
        <f>(1+Table34[[#This Row],[Net 5yrs return (mostly up to 28th of Feb 2026)]])*Table34[[#This Row],[Investment after initial charge]]*Table34[[#This Row],[Cummulative 5yrs ongoing advice charge]]-1</f>
        <v>0.26132172070429194</v>
      </c>
      <c r="V5028" s="81">
        <f>220265+2315</f>
        <v>222580</v>
      </c>
      <c r="W5028" t="s">
        <v>29051</v>
      </c>
      <c r="X5028" s="81">
        <v>150556</v>
      </c>
      <c r="Y5028" s="30">
        <f>X5028/V5028</f>
        <v>0.67641297511007281</v>
      </c>
      <c r="AA5028" s="1" t="s">
        <v>31317</v>
      </c>
    </row>
    <row r="5029" spans="1:27" hidden="1" x14ac:dyDescent="0.25">
      <c r="A5029">
        <v>947128</v>
      </c>
      <c r="B5029" t="s">
        <v>5424</v>
      </c>
      <c r="C5029" t="s">
        <v>6958</v>
      </c>
      <c r="D5029">
        <v>1</v>
      </c>
      <c r="E5029" t="s">
        <v>5424</v>
      </c>
      <c r="F5029" t="s">
        <v>6958</v>
      </c>
      <c r="G5029" s="3"/>
      <c r="L5029" s="3">
        <f t="shared" si="212"/>
        <v>0</v>
      </c>
      <c r="M5029" s="3"/>
      <c r="N5029" s="3">
        <f t="shared" si="211"/>
        <v>0</v>
      </c>
      <c r="R5029" s="89"/>
      <c r="S5029" s="89">
        <f>100%-Table34[[#This Row],[PDF_initial fee]]</f>
        <v>1</v>
      </c>
      <c r="T5029" s="89"/>
      <c r="U5029" s="26"/>
      <c r="X5029" s="9"/>
    </row>
    <row r="5030" spans="1:27" hidden="1" x14ac:dyDescent="0.25">
      <c r="A5030">
        <v>947426</v>
      </c>
      <c r="B5030" t="s">
        <v>5425</v>
      </c>
      <c r="C5030" t="s">
        <v>7127</v>
      </c>
      <c r="D5030">
        <v>1</v>
      </c>
      <c r="E5030" t="s">
        <v>5425</v>
      </c>
      <c r="G5030" s="3"/>
      <c r="L5030" s="3">
        <f t="shared" si="212"/>
        <v>0</v>
      </c>
      <c r="M5030" s="3"/>
      <c r="N5030" s="3">
        <f t="shared" si="211"/>
        <v>0</v>
      </c>
      <c r="R5030" s="89"/>
      <c r="S5030" s="89">
        <f>100%-Table34[[#This Row],[PDF_initial fee]]</f>
        <v>1</v>
      </c>
      <c r="T5030" s="89"/>
      <c r="U5030" s="26"/>
      <c r="X5030" s="9"/>
    </row>
    <row r="5031" spans="1:27" hidden="1" x14ac:dyDescent="0.25">
      <c r="A5031">
        <v>947515</v>
      </c>
      <c r="B5031" t="s">
        <v>5426</v>
      </c>
      <c r="C5031" t="s">
        <v>31318</v>
      </c>
      <c r="D5031">
        <v>2</v>
      </c>
      <c r="E5031" t="s">
        <v>5426</v>
      </c>
      <c r="G5031" s="3"/>
      <c r="H5031" s="21">
        <v>0</v>
      </c>
      <c r="I5031" s="21">
        <v>0</v>
      </c>
      <c r="J5031" s="21">
        <v>0</v>
      </c>
      <c r="K5031" s="21">
        <v>0</v>
      </c>
      <c r="L5031" s="3">
        <f t="shared" si="212"/>
        <v>0</v>
      </c>
      <c r="M5031" s="3"/>
      <c r="N5031" s="3">
        <f t="shared" si="211"/>
        <v>0</v>
      </c>
      <c r="O5031" s="21"/>
      <c r="R5031" s="89"/>
      <c r="S5031" s="89">
        <f>100%-Table34[[#This Row],[PDF_initial fee]]</f>
        <v>1</v>
      </c>
      <c r="T5031" s="89"/>
      <c r="U5031" s="26"/>
      <c r="X5031" s="9"/>
    </row>
    <row r="5032" spans="1:27" hidden="1" x14ac:dyDescent="0.25">
      <c r="A5032">
        <v>947611</v>
      </c>
      <c r="B5032" t="s">
        <v>5427</v>
      </c>
      <c r="C5032" t="s">
        <v>7045</v>
      </c>
      <c r="D5032">
        <v>1</v>
      </c>
      <c r="E5032" t="s">
        <v>5427</v>
      </c>
      <c r="G5032" s="3"/>
      <c r="H5032" s="21">
        <v>0</v>
      </c>
      <c r="I5032" s="21">
        <v>0</v>
      </c>
      <c r="J5032" s="21">
        <v>0</v>
      </c>
      <c r="K5032" s="21">
        <v>0</v>
      </c>
      <c r="L5032" s="3">
        <f t="shared" si="212"/>
        <v>0</v>
      </c>
      <c r="M5032" s="3"/>
      <c r="N5032" s="3">
        <f t="shared" si="211"/>
        <v>0</v>
      </c>
      <c r="R5032" s="89"/>
      <c r="S5032" s="89">
        <f>100%-Table34[[#This Row],[PDF_initial fee]]</f>
        <v>1</v>
      </c>
      <c r="T5032" s="89"/>
      <c r="U5032" s="26"/>
      <c r="X5032" s="9"/>
    </row>
    <row r="5033" spans="1:27" hidden="1" x14ac:dyDescent="0.25">
      <c r="A5033">
        <v>947792</v>
      </c>
      <c r="B5033" t="s">
        <v>5429</v>
      </c>
      <c r="C5033" t="s">
        <v>7563</v>
      </c>
      <c r="D5033">
        <v>1</v>
      </c>
      <c r="E5033" t="s">
        <v>5429</v>
      </c>
      <c r="G5033" s="3"/>
      <c r="H5033" s="21">
        <v>0</v>
      </c>
      <c r="I5033" s="21">
        <v>0</v>
      </c>
      <c r="J5033" s="21">
        <v>0</v>
      </c>
      <c r="K5033" s="21">
        <v>0</v>
      </c>
      <c r="L5033" s="3">
        <f t="shared" si="212"/>
        <v>0</v>
      </c>
      <c r="M5033" s="3"/>
      <c r="N5033" s="3">
        <f t="shared" si="211"/>
        <v>0</v>
      </c>
      <c r="R5033" s="89"/>
      <c r="S5033" s="89">
        <f>100%-Table34[[#This Row],[PDF_initial fee]]</f>
        <v>1</v>
      </c>
      <c r="T5033" s="89"/>
      <c r="U5033" s="26"/>
      <c r="X5033" s="9"/>
    </row>
    <row r="5034" spans="1:27" hidden="1" x14ac:dyDescent="0.25">
      <c r="A5034">
        <v>947852</v>
      </c>
      <c r="B5034" t="s">
        <v>5430</v>
      </c>
      <c r="C5034" t="s">
        <v>31319</v>
      </c>
      <c r="D5034">
        <v>8</v>
      </c>
      <c r="E5034" t="s">
        <v>5430</v>
      </c>
      <c r="G5034" s="3"/>
      <c r="H5034" s="3">
        <v>0</v>
      </c>
      <c r="I5034" s="3">
        <v>0</v>
      </c>
      <c r="J5034" s="3">
        <v>0</v>
      </c>
      <c r="K5034" s="3">
        <v>0</v>
      </c>
      <c r="L5034" s="3">
        <f t="shared" si="212"/>
        <v>0</v>
      </c>
      <c r="M5034" s="3"/>
      <c r="N5034" s="3">
        <f t="shared" si="211"/>
        <v>0</v>
      </c>
      <c r="R5034" s="89"/>
      <c r="S5034" s="89">
        <f>100%-Table34[[#This Row],[PDF_initial fee]]</f>
        <v>1</v>
      </c>
      <c r="T5034" s="89"/>
      <c r="U5034" s="26"/>
      <c r="X5034" s="9"/>
    </row>
    <row r="5035" spans="1:27" hidden="1" x14ac:dyDescent="0.25">
      <c r="A5035">
        <v>947911</v>
      </c>
      <c r="B5035" t="s">
        <v>5431</v>
      </c>
      <c r="C5035" t="s">
        <v>6958</v>
      </c>
      <c r="D5035">
        <v>5</v>
      </c>
      <c r="E5035" t="s">
        <v>5431</v>
      </c>
      <c r="F5035" t="s">
        <v>6958</v>
      </c>
      <c r="G5035" s="3"/>
      <c r="H5035" s="21">
        <v>0</v>
      </c>
      <c r="I5035" s="21">
        <v>0</v>
      </c>
      <c r="J5035" s="21">
        <v>0</v>
      </c>
      <c r="K5035" s="21">
        <v>0</v>
      </c>
      <c r="L5035" s="3">
        <f t="shared" si="212"/>
        <v>0</v>
      </c>
      <c r="M5035" s="3"/>
      <c r="N5035" s="3">
        <f t="shared" si="211"/>
        <v>0</v>
      </c>
      <c r="R5035" s="89"/>
      <c r="S5035" s="89">
        <f>100%-Table34[[#This Row],[PDF_initial fee]]</f>
        <v>1</v>
      </c>
      <c r="T5035" s="89"/>
      <c r="U5035" s="26"/>
      <c r="X5035" s="9"/>
    </row>
    <row r="5036" spans="1:27" hidden="1" x14ac:dyDescent="0.25">
      <c r="A5036">
        <v>948018</v>
      </c>
      <c r="B5036" t="s">
        <v>5432</v>
      </c>
      <c r="C5036" t="s">
        <v>31320</v>
      </c>
      <c r="D5036">
        <v>3</v>
      </c>
      <c r="E5036" t="s">
        <v>5432</v>
      </c>
      <c r="G5036" s="3"/>
      <c r="H5036" s="21">
        <v>0</v>
      </c>
      <c r="I5036" s="21">
        <v>0</v>
      </c>
      <c r="J5036" s="21">
        <v>0</v>
      </c>
      <c r="K5036" s="21">
        <v>0</v>
      </c>
      <c r="L5036" s="3">
        <f t="shared" si="212"/>
        <v>0</v>
      </c>
      <c r="M5036" s="3"/>
      <c r="N5036" s="3">
        <f t="shared" si="211"/>
        <v>0</v>
      </c>
      <c r="O5036" s="21"/>
      <c r="R5036" s="89"/>
      <c r="S5036" s="89">
        <f>100%-Table34[[#This Row],[PDF_initial fee]]</f>
        <v>1</v>
      </c>
      <c r="T5036" s="89"/>
      <c r="U5036" s="26"/>
      <c r="X5036" s="9"/>
    </row>
    <row r="5037" spans="1:27" hidden="1" x14ac:dyDescent="0.25">
      <c r="A5037">
        <v>948167</v>
      </c>
      <c r="B5037" t="s">
        <v>5433</v>
      </c>
      <c r="C5037" t="s">
        <v>11722</v>
      </c>
      <c r="D5037">
        <v>3</v>
      </c>
      <c r="E5037" t="s">
        <v>5433</v>
      </c>
      <c r="G5037" s="3"/>
      <c r="H5037" s="3"/>
      <c r="I5037" s="3"/>
      <c r="J5037" s="3"/>
      <c r="K5037" s="3"/>
      <c r="L5037" s="3">
        <f t="shared" ref="L5037:L5068" si="213">SUM(H5037:K5037)</f>
        <v>0</v>
      </c>
      <c r="M5037" s="3"/>
      <c r="N5037" s="3">
        <f t="shared" si="211"/>
        <v>0</v>
      </c>
      <c r="R5037" s="89"/>
      <c r="S5037" s="89">
        <f>100%-Table34[[#This Row],[PDF_initial fee]]</f>
        <v>1</v>
      </c>
      <c r="T5037" s="89"/>
      <c r="U5037" s="26"/>
      <c r="X5037" s="9"/>
    </row>
    <row r="5038" spans="1:27" hidden="1" x14ac:dyDescent="0.25">
      <c r="A5038">
        <v>948183</v>
      </c>
      <c r="B5038" t="s">
        <v>5434</v>
      </c>
      <c r="C5038" t="s">
        <v>31321</v>
      </c>
      <c r="D5038">
        <v>2</v>
      </c>
      <c r="E5038" t="s">
        <v>5434</v>
      </c>
      <c r="G5038" s="3"/>
      <c r="H5038" s="3"/>
      <c r="I5038" s="3"/>
      <c r="J5038" s="3"/>
      <c r="K5038" s="3"/>
      <c r="L5038" s="3">
        <f t="shared" si="213"/>
        <v>0</v>
      </c>
      <c r="M5038" s="3"/>
      <c r="N5038" s="3">
        <f t="shared" si="211"/>
        <v>0</v>
      </c>
      <c r="R5038" s="89"/>
      <c r="S5038" s="89">
        <f>100%-Table34[[#This Row],[PDF_initial fee]]</f>
        <v>1</v>
      </c>
      <c r="T5038" s="89"/>
      <c r="U5038" s="26"/>
      <c r="X5038" s="9"/>
    </row>
    <row r="5039" spans="1:27" hidden="1" x14ac:dyDescent="0.25">
      <c r="A5039">
        <v>948260</v>
      </c>
      <c r="B5039" t="s">
        <v>5436</v>
      </c>
      <c r="C5039" t="s">
        <v>10704</v>
      </c>
      <c r="D5039">
        <v>1</v>
      </c>
      <c r="E5039" t="s">
        <v>5436</v>
      </c>
      <c r="G5039" s="3"/>
      <c r="H5039" s="3">
        <v>0</v>
      </c>
      <c r="I5039" s="3">
        <v>0</v>
      </c>
      <c r="J5039" s="3">
        <v>0</v>
      </c>
      <c r="K5039" s="3">
        <v>0</v>
      </c>
      <c r="L5039" s="3">
        <f t="shared" si="213"/>
        <v>0</v>
      </c>
      <c r="M5039" s="3"/>
      <c r="N5039" s="3">
        <f t="shared" si="211"/>
        <v>0</v>
      </c>
      <c r="R5039" s="89"/>
      <c r="S5039" s="89">
        <f>100%-Table34[[#This Row],[PDF_initial fee]]</f>
        <v>1</v>
      </c>
      <c r="T5039" s="89"/>
      <c r="U5039" s="26"/>
      <c r="X5039" s="9"/>
    </row>
    <row r="5040" spans="1:27" hidden="1" x14ac:dyDescent="0.25">
      <c r="A5040">
        <v>948359</v>
      </c>
      <c r="B5040" t="s">
        <v>5437</v>
      </c>
      <c r="C5040" t="s">
        <v>6958</v>
      </c>
      <c r="D5040">
        <v>2</v>
      </c>
      <c r="E5040" t="s">
        <v>5437</v>
      </c>
      <c r="F5040" t="s">
        <v>6958</v>
      </c>
      <c r="G5040" s="3"/>
      <c r="H5040" s="21">
        <v>0</v>
      </c>
      <c r="I5040" s="21">
        <v>0</v>
      </c>
      <c r="J5040" s="21">
        <v>0</v>
      </c>
      <c r="K5040" s="21">
        <v>0</v>
      </c>
      <c r="L5040" s="3">
        <f t="shared" si="213"/>
        <v>0</v>
      </c>
      <c r="M5040" s="3"/>
      <c r="N5040" s="3">
        <f t="shared" si="211"/>
        <v>0</v>
      </c>
      <c r="R5040" s="89"/>
      <c r="S5040" s="89">
        <f>100%-Table34[[#This Row],[PDF_initial fee]]</f>
        <v>1</v>
      </c>
      <c r="T5040" s="89"/>
      <c r="U5040" s="26"/>
      <c r="X5040" s="9"/>
    </row>
    <row r="5041" spans="1:27" hidden="1" x14ac:dyDescent="0.25">
      <c r="A5041">
        <v>948417</v>
      </c>
      <c r="B5041" t="s">
        <v>5438</v>
      </c>
      <c r="C5041" t="s">
        <v>9225</v>
      </c>
      <c r="D5041">
        <v>2</v>
      </c>
      <c r="E5041" t="s">
        <v>5438</v>
      </c>
      <c r="G5041" s="3"/>
      <c r="H5041" s="21">
        <v>0</v>
      </c>
      <c r="I5041" s="21">
        <v>0</v>
      </c>
      <c r="J5041" s="21">
        <v>0</v>
      </c>
      <c r="K5041" s="21">
        <v>0</v>
      </c>
      <c r="L5041" s="3">
        <f t="shared" si="213"/>
        <v>0</v>
      </c>
      <c r="M5041" s="3"/>
      <c r="N5041" s="3">
        <f t="shared" si="211"/>
        <v>0</v>
      </c>
      <c r="R5041" s="89"/>
      <c r="S5041" s="89">
        <f>100%-Table34[[#This Row],[PDF_initial fee]]</f>
        <v>1</v>
      </c>
      <c r="T5041" s="89"/>
      <c r="U5041" s="26"/>
      <c r="X5041" s="9"/>
    </row>
    <row r="5042" spans="1:27" hidden="1" x14ac:dyDescent="0.25">
      <c r="A5042">
        <v>948449</v>
      </c>
      <c r="B5042" t="s">
        <v>5439</v>
      </c>
      <c r="C5042" t="s">
        <v>6958</v>
      </c>
      <c r="D5042">
        <v>1</v>
      </c>
      <c r="E5042" t="s">
        <v>5439</v>
      </c>
      <c r="F5042" t="s">
        <v>6958</v>
      </c>
      <c r="G5042" s="3"/>
      <c r="H5042" s="21">
        <v>0</v>
      </c>
      <c r="I5042" s="21">
        <v>0</v>
      </c>
      <c r="J5042" s="21">
        <v>0</v>
      </c>
      <c r="K5042" s="21">
        <v>0</v>
      </c>
      <c r="L5042" s="3">
        <f t="shared" si="213"/>
        <v>0</v>
      </c>
      <c r="M5042" s="3"/>
      <c r="N5042" s="3">
        <f t="shared" ref="N5042:N5077" si="214">L5042+G5042</f>
        <v>0</v>
      </c>
      <c r="R5042" s="89"/>
      <c r="S5042" s="89">
        <f>100%-Table34[[#This Row],[PDF_initial fee]]</f>
        <v>1</v>
      </c>
      <c r="T5042" s="89"/>
      <c r="U5042" s="26"/>
      <c r="X5042" s="9"/>
    </row>
    <row r="5043" spans="1:27" hidden="1" x14ac:dyDescent="0.25">
      <c r="A5043">
        <v>948483</v>
      </c>
      <c r="B5043" t="s">
        <v>5440</v>
      </c>
      <c r="C5043" t="s">
        <v>6958</v>
      </c>
      <c r="D5043">
        <v>1</v>
      </c>
      <c r="E5043" t="s">
        <v>5440</v>
      </c>
      <c r="F5043" t="s">
        <v>6958</v>
      </c>
      <c r="G5043" s="3"/>
      <c r="H5043" s="21">
        <v>0</v>
      </c>
      <c r="I5043" s="21">
        <v>0</v>
      </c>
      <c r="J5043" s="21">
        <v>0</v>
      </c>
      <c r="K5043" s="21">
        <v>0</v>
      </c>
      <c r="L5043" s="3">
        <f t="shared" si="213"/>
        <v>0</v>
      </c>
      <c r="M5043" s="3"/>
      <c r="N5043" s="3">
        <f t="shared" si="214"/>
        <v>0</v>
      </c>
      <c r="R5043" s="89"/>
      <c r="S5043" s="89">
        <f>100%-Table34[[#This Row],[PDF_initial fee]]</f>
        <v>1</v>
      </c>
      <c r="T5043" s="89"/>
      <c r="U5043" s="26"/>
      <c r="X5043" s="9"/>
    </row>
    <row r="5044" spans="1:27" hidden="1" x14ac:dyDescent="0.25">
      <c r="A5044">
        <v>948484</v>
      </c>
      <c r="B5044" t="s">
        <v>5441</v>
      </c>
      <c r="C5044" t="s">
        <v>31322</v>
      </c>
      <c r="D5044">
        <v>1</v>
      </c>
      <c r="E5044" t="s">
        <v>5441</v>
      </c>
      <c r="G5044" s="3"/>
      <c r="H5044" s="3">
        <v>0</v>
      </c>
      <c r="I5044" s="3">
        <v>0</v>
      </c>
      <c r="J5044" s="3">
        <v>0</v>
      </c>
      <c r="K5044" s="3">
        <v>0</v>
      </c>
      <c r="L5044" s="3">
        <f t="shared" si="213"/>
        <v>0</v>
      </c>
      <c r="M5044" s="3"/>
      <c r="N5044" s="3">
        <f t="shared" si="214"/>
        <v>0</v>
      </c>
      <c r="R5044" s="89"/>
      <c r="S5044" s="89">
        <f>100%-Table34[[#This Row],[PDF_initial fee]]</f>
        <v>1</v>
      </c>
      <c r="T5044" s="89"/>
      <c r="U5044" s="26"/>
      <c r="X5044" s="9"/>
    </row>
    <row r="5045" spans="1:27" hidden="1" x14ac:dyDescent="0.25">
      <c r="A5045">
        <v>948639</v>
      </c>
      <c r="B5045" t="s">
        <v>5442</v>
      </c>
      <c r="C5045" t="s">
        <v>11425</v>
      </c>
      <c r="D5045">
        <v>3</v>
      </c>
      <c r="E5045" t="s">
        <v>5442</v>
      </c>
      <c r="G5045" s="3"/>
      <c r="H5045" s="3">
        <v>0</v>
      </c>
      <c r="I5045" s="3">
        <v>0</v>
      </c>
      <c r="J5045" s="3">
        <v>0</v>
      </c>
      <c r="K5045" s="3">
        <v>0</v>
      </c>
      <c r="L5045" s="3">
        <f t="shared" si="213"/>
        <v>0</v>
      </c>
      <c r="M5045" s="3"/>
      <c r="N5045" s="3">
        <f t="shared" si="214"/>
        <v>0</v>
      </c>
      <c r="R5045" s="89"/>
      <c r="S5045" s="89">
        <f>100%-Table34[[#This Row],[PDF_initial fee]]</f>
        <v>1</v>
      </c>
      <c r="T5045" s="89"/>
      <c r="U5045" s="26"/>
      <c r="X5045" s="9"/>
    </row>
    <row r="5046" spans="1:27" hidden="1" x14ac:dyDescent="0.25">
      <c r="A5046">
        <v>948646</v>
      </c>
      <c r="B5046" t="s">
        <v>5443</v>
      </c>
      <c r="C5046" t="s">
        <v>31323</v>
      </c>
      <c r="D5046">
        <v>6</v>
      </c>
      <c r="E5046" t="s">
        <v>5443</v>
      </c>
      <c r="G5046" s="3"/>
      <c r="H5046" s="3">
        <v>0</v>
      </c>
      <c r="I5046" s="3">
        <v>0</v>
      </c>
      <c r="J5046" s="3">
        <v>0</v>
      </c>
      <c r="K5046" s="3">
        <v>0</v>
      </c>
      <c r="L5046" s="3">
        <f t="shared" si="213"/>
        <v>0</v>
      </c>
      <c r="M5046" s="3"/>
      <c r="N5046" s="3">
        <f t="shared" si="214"/>
        <v>0</v>
      </c>
      <c r="R5046" s="89"/>
      <c r="S5046" s="89">
        <f>100%-Table34[[#This Row],[PDF_initial fee]]</f>
        <v>1</v>
      </c>
      <c r="T5046" s="89"/>
      <c r="U5046" s="26"/>
      <c r="X5046" s="9"/>
    </row>
    <row r="5047" spans="1:27" hidden="1" x14ac:dyDescent="0.25">
      <c r="A5047">
        <v>949148</v>
      </c>
      <c r="B5047" t="s">
        <v>5444</v>
      </c>
      <c r="C5047" t="s">
        <v>9026</v>
      </c>
      <c r="D5047">
        <v>3</v>
      </c>
      <c r="E5047" t="s">
        <v>5444</v>
      </c>
      <c r="G5047" s="3"/>
      <c r="H5047" s="21">
        <v>0</v>
      </c>
      <c r="I5047" s="21">
        <v>0</v>
      </c>
      <c r="J5047" s="21">
        <v>0</v>
      </c>
      <c r="K5047" s="21">
        <v>0</v>
      </c>
      <c r="L5047" s="3">
        <f t="shared" si="213"/>
        <v>0</v>
      </c>
      <c r="M5047" s="3"/>
      <c r="N5047" s="3">
        <f t="shared" si="214"/>
        <v>0</v>
      </c>
      <c r="R5047" s="89"/>
      <c r="S5047" s="89">
        <f>100%-Table34[[#This Row],[PDF_initial fee]]</f>
        <v>1</v>
      </c>
      <c r="T5047" s="89"/>
      <c r="U5047" s="26"/>
      <c r="X5047" s="9"/>
    </row>
    <row r="5048" spans="1:27" x14ac:dyDescent="0.25">
      <c r="A5048">
        <v>195351</v>
      </c>
      <c r="B5048" t="s">
        <v>106</v>
      </c>
      <c r="C5048" s="1" t="s">
        <v>31324</v>
      </c>
      <c r="D5048">
        <v>4938</v>
      </c>
      <c r="E5048" t="s">
        <v>106</v>
      </c>
      <c r="F5048" t="s">
        <v>6</v>
      </c>
      <c r="G5048" s="3">
        <f>0.27%+0.34%</f>
        <v>6.1000000000000004E-3</v>
      </c>
      <c r="H5048" s="21">
        <v>0.03</v>
      </c>
      <c r="I5048" s="51">
        <v>8.0000000000000002E-3</v>
      </c>
      <c r="J5048" s="6">
        <v>0</v>
      </c>
      <c r="K5048" s="6">
        <v>0</v>
      </c>
      <c r="L5048" s="3">
        <f t="shared" si="213"/>
        <v>3.7999999999999999E-2</v>
      </c>
      <c r="M5048" s="3"/>
      <c r="N5048" s="3">
        <f t="shared" si="214"/>
        <v>4.41E-2</v>
      </c>
      <c r="O5048" t="s">
        <v>31325</v>
      </c>
      <c r="P5048" s="1" t="s">
        <v>31785</v>
      </c>
      <c r="Q5048" s="101" t="s">
        <v>31786</v>
      </c>
      <c r="R5048" s="89">
        <v>0.44579999999999997</v>
      </c>
      <c r="S5048" s="89">
        <f>100%-Table34[[#This Row],[InitialFee]]</f>
        <v>0.97</v>
      </c>
      <c r="T5048" s="89">
        <f>(1-Table34[[#This Row],[OngoingFee (plus Platform fee)]])^5</f>
        <v>0.96063490044723188</v>
      </c>
      <c r="U5048" s="26">
        <f>(1+Table34[[#This Row],[Net 5yrs return (mostly up to 28th of Feb 2026)]])*Table34[[#This Row],[Investment after initial charge]]*Table34[[#This Row],[Cummulative 5yrs ongoing advice charge]]-1</f>
        <v>0.34721936089460947</v>
      </c>
      <c r="V5048" s="10">
        <f>829806000</f>
        <v>829806000</v>
      </c>
      <c r="W5048" s="10" t="s">
        <v>29081</v>
      </c>
      <c r="X5048" s="10">
        <v>142417000</v>
      </c>
      <c r="Y5048" s="30">
        <f>X5048/V5048</f>
        <v>0.17162686218224502</v>
      </c>
      <c r="Z5048" s="10"/>
      <c r="AA5048" s="1" t="s">
        <v>31326</v>
      </c>
    </row>
    <row r="5049" spans="1:27" hidden="1" x14ac:dyDescent="0.25">
      <c r="A5049">
        <v>949555</v>
      </c>
      <c r="B5049" t="s">
        <v>5445</v>
      </c>
      <c r="C5049" t="s">
        <v>9608</v>
      </c>
      <c r="D5049">
        <v>1</v>
      </c>
      <c r="E5049" t="s">
        <v>5445</v>
      </c>
      <c r="G5049" s="3"/>
      <c r="H5049" s="3">
        <v>0</v>
      </c>
      <c r="I5049" s="3">
        <v>0</v>
      </c>
      <c r="J5049" s="3">
        <v>0</v>
      </c>
      <c r="K5049" s="3">
        <v>0</v>
      </c>
      <c r="L5049" s="3">
        <f t="shared" si="213"/>
        <v>0</v>
      </c>
      <c r="M5049" s="3"/>
      <c r="N5049" s="3">
        <f t="shared" si="214"/>
        <v>0</v>
      </c>
      <c r="R5049" s="89"/>
      <c r="S5049" s="89">
        <f>100%-Table34[[#This Row],[PDF_initial fee]]</f>
        <v>1</v>
      </c>
      <c r="T5049" s="89"/>
      <c r="U5049" s="26"/>
      <c r="X5049" s="9"/>
    </row>
    <row r="5050" spans="1:27" hidden="1" x14ac:dyDescent="0.25">
      <c r="A5050">
        <v>949588</v>
      </c>
      <c r="B5050" t="s">
        <v>5446</v>
      </c>
      <c r="C5050" t="s">
        <v>10637</v>
      </c>
      <c r="D5050">
        <v>3</v>
      </c>
      <c r="E5050" t="s">
        <v>5446</v>
      </c>
      <c r="G5050" s="3"/>
      <c r="H5050" s="3">
        <v>0</v>
      </c>
      <c r="I5050" s="3">
        <v>0</v>
      </c>
      <c r="J5050" s="3">
        <v>0</v>
      </c>
      <c r="K5050" s="3">
        <v>0</v>
      </c>
      <c r="L5050" s="3">
        <f t="shared" si="213"/>
        <v>0</v>
      </c>
      <c r="M5050" s="3"/>
      <c r="N5050" s="3">
        <f t="shared" si="214"/>
        <v>0</v>
      </c>
      <c r="R5050" s="89"/>
      <c r="S5050" s="89">
        <f>100%-Table34[[#This Row],[PDF_initial fee]]</f>
        <v>1</v>
      </c>
      <c r="T5050" s="89"/>
      <c r="U5050" s="26"/>
      <c r="X5050" s="9"/>
    </row>
    <row r="5051" spans="1:27" hidden="1" x14ac:dyDescent="0.25">
      <c r="A5051">
        <v>949651</v>
      </c>
      <c r="B5051" t="s">
        <v>5447</v>
      </c>
      <c r="C5051" t="s">
        <v>9672</v>
      </c>
      <c r="D5051">
        <v>1</v>
      </c>
      <c r="E5051" t="s">
        <v>5447</v>
      </c>
      <c r="G5051" s="3"/>
      <c r="H5051" s="3"/>
      <c r="I5051" s="3"/>
      <c r="J5051" s="3"/>
      <c r="K5051" s="3"/>
      <c r="L5051" s="3">
        <f t="shared" si="213"/>
        <v>0</v>
      </c>
      <c r="M5051" s="3"/>
      <c r="N5051" s="3">
        <f t="shared" si="214"/>
        <v>0</v>
      </c>
      <c r="R5051" s="89"/>
      <c r="S5051" s="89">
        <f>100%-Table34[[#This Row],[PDF_initial fee]]</f>
        <v>1</v>
      </c>
      <c r="T5051" s="89"/>
      <c r="U5051" s="26"/>
      <c r="X5051" s="9"/>
    </row>
    <row r="5052" spans="1:27" hidden="1" x14ac:dyDescent="0.25">
      <c r="A5052">
        <v>949773</v>
      </c>
      <c r="B5052" t="s">
        <v>5448</v>
      </c>
      <c r="C5052" t="s">
        <v>9667</v>
      </c>
      <c r="D5052">
        <v>1</v>
      </c>
      <c r="E5052" t="s">
        <v>5448</v>
      </c>
      <c r="G5052" s="3"/>
      <c r="H5052" s="3">
        <v>0</v>
      </c>
      <c r="I5052" s="3">
        <v>0</v>
      </c>
      <c r="J5052" s="3">
        <v>0</v>
      </c>
      <c r="K5052" s="3">
        <v>0</v>
      </c>
      <c r="L5052" s="3">
        <f t="shared" si="213"/>
        <v>0</v>
      </c>
      <c r="M5052" s="3"/>
      <c r="N5052" s="3">
        <f t="shared" si="214"/>
        <v>0</v>
      </c>
      <c r="R5052" s="89"/>
      <c r="S5052" s="89">
        <f>100%-Table34[[#This Row],[PDF_initial fee]]</f>
        <v>1</v>
      </c>
      <c r="T5052" s="89"/>
      <c r="U5052" s="26"/>
      <c r="X5052" s="9"/>
    </row>
    <row r="5053" spans="1:27" hidden="1" x14ac:dyDescent="0.25">
      <c r="A5053">
        <v>949808</v>
      </c>
      <c r="B5053" t="s">
        <v>5449</v>
      </c>
      <c r="C5053" t="s">
        <v>8142</v>
      </c>
      <c r="D5053">
        <v>1</v>
      </c>
      <c r="E5053" t="s">
        <v>5449</v>
      </c>
      <c r="G5053" s="3"/>
      <c r="L5053" s="3">
        <f t="shared" si="213"/>
        <v>0</v>
      </c>
      <c r="M5053" s="3"/>
      <c r="N5053" s="3">
        <f t="shared" si="214"/>
        <v>0</v>
      </c>
      <c r="R5053" s="89"/>
      <c r="S5053" s="89">
        <f>100%-Table34[[#This Row],[PDF_initial fee]]</f>
        <v>1</v>
      </c>
      <c r="T5053" s="89"/>
      <c r="U5053" s="26"/>
      <c r="X5053" s="9"/>
    </row>
    <row r="5054" spans="1:27" hidden="1" x14ac:dyDescent="0.25">
      <c r="A5054">
        <v>949845</v>
      </c>
      <c r="B5054" t="s">
        <v>5450</v>
      </c>
      <c r="C5054" t="s">
        <v>31327</v>
      </c>
      <c r="D5054">
        <v>1</v>
      </c>
      <c r="E5054" t="s">
        <v>5450</v>
      </c>
      <c r="G5054" s="3"/>
      <c r="H5054" s="3">
        <v>0</v>
      </c>
      <c r="I5054" s="3">
        <v>0</v>
      </c>
      <c r="J5054" s="3">
        <v>0</v>
      </c>
      <c r="K5054" s="3">
        <v>0</v>
      </c>
      <c r="L5054" s="3">
        <f t="shared" si="213"/>
        <v>0</v>
      </c>
      <c r="M5054" s="3"/>
      <c r="N5054" s="3">
        <f t="shared" si="214"/>
        <v>0</v>
      </c>
      <c r="R5054" s="89"/>
      <c r="S5054" s="89">
        <f>100%-Table34[[#This Row],[PDF_initial fee]]</f>
        <v>1</v>
      </c>
      <c r="T5054" s="89"/>
      <c r="U5054" s="26"/>
      <c r="X5054" s="9"/>
    </row>
    <row r="5055" spans="1:27" hidden="1" x14ac:dyDescent="0.25">
      <c r="A5055">
        <v>949987</v>
      </c>
      <c r="B5055" t="s">
        <v>5451</v>
      </c>
      <c r="C5055" t="s">
        <v>7034</v>
      </c>
      <c r="D5055">
        <v>2</v>
      </c>
      <c r="E5055" t="s">
        <v>5451</v>
      </c>
      <c r="G5055" s="3"/>
      <c r="L5055" s="3">
        <f t="shared" si="213"/>
        <v>0</v>
      </c>
      <c r="M5055" s="3"/>
      <c r="N5055" s="3">
        <f t="shared" si="214"/>
        <v>0</v>
      </c>
      <c r="R5055" s="89"/>
      <c r="S5055" s="89">
        <f>100%-Table34[[#This Row],[PDF_initial fee]]</f>
        <v>1</v>
      </c>
      <c r="T5055" s="89"/>
      <c r="U5055" s="26"/>
      <c r="X5055" s="9"/>
    </row>
    <row r="5056" spans="1:27" hidden="1" x14ac:dyDescent="0.25">
      <c r="A5056">
        <v>950060</v>
      </c>
      <c r="B5056" t="s">
        <v>5452</v>
      </c>
      <c r="C5056" t="s">
        <v>11328</v>
      </c>
      <c r="D5056">
        <v>2</v>
      </c>
      <c r="E5056" t="s">
        <v>5452</v>
      </c>
      <c r="G5056" s="3"/>
      <c r="H5056" s="3">
        <v>0</v>
      </c>
      <c r="I5056" s="3">
        <v>0</v>
      </c>
      <c r="J5056" s="3">
        <v>0</v>
      </c>
      <c r="K5056" s="3">
        <v>0</v>
      </c>
      <c r="L5056" s="3">
        <f t="shared" si="213"/>
        <v>0</v>
      </c>
      <c r="M5056" s="3"/>
      <c r="N5056" s="3">
        <f t="shared" si="214"/>
        <v>0</v>
      </c>
      <c r="R5056" s="89"/>
      <c r="S5056" s="89">
        <f>100%-Table34[[#This Row],[PDF_initial fee]]</f>
        <v>1</v>
      </c>
      <c r="T5056" s="89"/>
      <c r="U5056" s="26"/>
      <c r="X5056" s="9"/>
    </row>
    <row r="5057" spans="1:27" hidden="1" x14ac:dyDescent="0.25">
      <c r="A5057">
        <v>950421</v>
      </c>
      <c r="B5057" t="s">
        <v>5453</v>
      </c>
      <c r="C5057" t="s">
        <v>7722</v>
      </c>
      <c r="D5057">
        <v>3</v>
      </c>
      <c r="E5057" t="s">
        <v>5453</v>
      </c>
      <c r="G5057" s="3"/>
      <c r="H5057" s="21">
        <v>0</v>
      </c>
      <c r="I5057" s="21">
        <v>0</v>
      </c>
      <c r="J5057" s="21">
        <v>0</v>
      </c>
      <c r="K5057" s="21">
        <v>0</v>
      </c>
      <c r="L5057" s="3">
        <f t="shared" si="213"/>
        <v>0</v>
      </c>
      <c r="M5057" s="3"/>
      <c r="N5057" s="3">
        <f t="shared" si="214"/>
        <v>0</v>
      </c>
      <c r="R5057" s="89"/>
      <c r="S5057" s="89">
        <f>100%-Table34[[#This Row],[PDF_initial fee]]</f>
        <v>1</v>
      </c>
      <c r="T5057" s="89"/>
      <c r="U5057" s="26"/>
      <c r="X5057" s="9"/>
    </row>
    <row r="5058" spans="1:27" hidden="1" x14ac:dyDescent="0.25">
      <c r="A5058">
        <v>950744</v>
      </c>
      <c r="B5058" t="s">
        <v>5454</v>
      </c>
      <c r="C5058" t="s">
        <v>10717</v>
      </c>
      <c r="D5058">
        <v>2</v>
      </c>
      <c r="E5058" t="s">
        <v>5454</v>
      </c>
      <c r="G5058" s="3"/>
      <c r="H5058" s="3">
        <v>0</v>
      </c>
      <c r="I5058" s="3">
        <v>0</v>
      </c>
      <c r="J5058" s="3">
        <v>0</v>
      </c>
      <c r="K5058" s="3">
        <v>0</v>
      </c>
      <c r="L5058" s="3">
        <f t="shared" si="213"/>
        <v>0</v>
      </c>
      <c r="M5058" s="3"/>
      <c r="N5058" s="3">
        <f t="shared" si="214"/>
        <v>0</v>
      </c>
      <c r="R5058" s="89"/>
      <c r="S5058" s="89">
        <f>100%-Table34[[#This Row],[PDF_initial fee]]</f>
        <v>1</v>
      </c>
      <c r="T5058" s="89"/>
      <c r="U5058" s="26"/>
      <c r="X5058" s="9"/>
    </row>
    <row r="5059" spans="1:27" hidden="1" x14ac:dyDescent="0.25">
      <c r="A5059">
        <v>950748</v>
      </c>
      <c r="B5059" t="s">
        <v>5455</v>
      </c>
      <c r="C5059" t="s">
        <v>31328</v>
      </c>
      <c r="D5059">
        <v>1</v>
      </c>
      <c r="E5059" t="s">
        <v>5455</v>
      </c>
      <c r="G5059" s="3"/>
      <c r="H5059" s="3">
        <v>0</v>
      </c>
      <c r="I5059" s="3">
        <v>0</v>
      </c>
      <c r="J5059" s="3">
        <v>0</v>
      </c>
      <c r="K5059" s="3">
        <v>0</v>
      </c>
      <c r="L5059" s="3">
        <f t="shared" si="213"/>
        <v>0</v>
      </c>
      <c r="M5059" s="3"/>
      <c r="N5059" s="3">
        <f t="shared" si="214"/>
        <v>0</v>
      </c>
      <c r="R5059" s="89"/>
      <c r="S5059" s="89">
        <f>100%-Table34[[#This Row],[PDF_initial fee]]</f>
        <v>1</v>
      </c>
      <c r="T5059" s="89"/>
      <c r="U5059" s="26"/>
      <c r="X5059" s="9"/>
    </row>
    <row r="5060" spans="1:27" hidden="1" x14ac:dyDescent="0.25">
      <c r="A5060">
        <v>950809</v>
      </c>
      <c r="B5060" t="s">
        <v>5456</v>
      </c>
      <c r="C5060" t="s">
        <v>6958</v>
      </c>
      <c r="D5060">
        <v>7</v>
      </c>
      <c r="E5060" t="s">
        <v>5456</v>
      </c>
      <c r="F5060" t="s">
        <v>6958</v>
      </c>
      <c r="G5060" s="3"/>
      <c r="H5060" s="21">
        <v>0</v>
      </c>
      <c r="I5060" s="21">
        <v>0</v>
      </c>
      <c r="J5060" s="21">
        <v>0</v>
      </c>
      <c r="K5060" s="21">
        <v>0</v>
      </c>
      <c r="L5060" s="3">
        <f t="shared" si="213"/>
        <v>0</v>
      </c>
      <c r="M5060" s="3"/>
      <c r="N5060" s="3">
        <f t="shared" si="214"/>
        <v>0</v>
      </c>
      <c r="R5060" s="89"/>
      <c r="S5060" s="89">
        <f>100%-Table34[[#This Row],[PDF_initial fee]]</f>
        <v>1</v>
      </c>
      <c r="T5060" s="89"/>
      <c r="U5060" s="26"/>
      <c r="X5060" s="9"/>
    </row>
    <row r="5061" spans="1:27" hidden="1" x14ac:dyDescent="0.25">
      <c r="A5061">
        <v>950811</v>
      </c>
      <c r="B5061" t="s">
        <v>5457</v>
      </c>
      <c r="C5061" t="s">
        <v>29195</v>
      </c>
      <c r="D5061">
        <v>0</v>
      </c>
      <c r="E5061" t="s">
        <v>5457</v>
      </c>
      <c r="F5061" t="s">
        <v>29136</v>
      </c>
      <c r="G5061" s="3"/>
      <c r="H5061" s="21">
        <v>0</v>
      </c>
      <c r="I5061" s="21">
        <v>0</v>
      </c>
      <c r="J5061" s="21">
        <v>0</v>
      </c>
      <c r="K5061" s="21">
        <v>0</v>
      </c>
      <c r="L5061" s="3">
        <f t="shared" si="213"/>
        <v>0</v>
      </c>
      <c r="M5061" s="3"/>
      <c r="N5061" s="3">
        <f t="shared" si="214"/>
        <v>0</v>
      </c>
      <c r="O5061" s="21"/>
      <c r="R5061" s="89"/>
      <c r="S5061" s="89">
        <f>100%-Table34[[#This Row],[PDF_initial fee]]</f>
        <v>1</v>
      </c>
      <c r="T5061" s="89"/>
      <c r="U5061" s="26"/>
      <c r="X5061" s="9"/>
    </row>
    <row r="5062" spans="1:27" hidden="1" x14ac:dyDescent="0.25">
      <c r="A5062">
        <v>950859</v>
      </c>
      <c r="B5062" t="s">
        <v>5458</v>
      </c>
      <c r="C5062" t="s">
        <v>7099</v>
      </c>
      <c r="D5062">
        <v>2</v>
      </c>
      <c r="E5062" t="s">
        <v>5458</v>
      </c>
      <c r="G5062" s="3"/>
      <c r="H5062" s="21">
        <v>0</v>
      </c>
      <c r="I5062" s="21">
        <v>0</v>
      </c>
      <c r="J5062" s="21">
        <v>0</v>
      </c>
      <c r="K5062" s="21">
        <v>0</v>
      </c>
      <c r="L5062" s="3">
        <f t="shared" si="213"/>
        <v>0</v>
      </c>
      <c r="M5062" s="3"/>
      <c r="N5062" s="3">
        <f t="shared" si="214"/>
        <v>0</v>
      </c>
      <c r="R5062" s="89"/>
      <c r="S5062" s="89">
        <f>100%-Table34[[#This Row],[PDF_initial fee]]</f>
        <v>1</v>
      </c>
      <c r="T5062" s="89"/>
      <c r="U5062" s="26"/>
      <c r="X5062" s="9"/>
    </row>
    <row r="5063" spans="1:27" hidden="1" x14ac:dyDescent="0.25">
      <c r="A5063">
        <v>950964</v>
      </c>
      <c r="B5063" t="s">
        <v>5459</v>
      </c>
      <c r="C5063" s="1" t="s">
        <v>31329</v>
      </c>
      <c r="D5063">
        <v>1</v>
      </c>
      <c r="E5063" t="s">
        <v>5459</v>
      </c>
      <c r="G5063" s="3"/>
      <c r="H5063" s="3">
        <v>0</v>
      </c>
      <c r="I5063" s="3">
        <v>0</v>
      </c>
      <c r="J5063" s="3">
        <v>0</v>
      </c>
      <c r="K5063" s="3">
        <v>0</v>
      </c>
      <c r="L5063" s="3">
        <f t="shared" si="213"/>
        <v>0</v>
      </c>
      <c r="M5063" s="3"/>
      <c r="N5063" s="3">
        <f t="shared" si="214"/>
        <v>0</v>
      </c>
      <c r="R5063" s="89"/>
      <c r="S5063" s="89">
        <f>100%-Table34[[#This Row],[PDF_initial fee]]</f>
        <v>1</v>
      </c>
      <c r="T5063" s="89"/>
      <c r="U5063" s="26"/>
      <c r="X5063" s="9"/>
    </row>
    <row r="5064" spans="1:27" hidden="1" x14ac:dyDescent="0.25">
      <c r="A5064">
        <v>950974</v>
      </c>
      <c r="B5064" t="s">
        <v>5460</v>
      </c>
      <c r="C5064" t="s">
        <v>31330</v>
      </c>
      <c r="D5064">
        <v>1</v>
      </c>
      <c r="E5064" t="s">
        <v>5460</v>
      </c>
      <c r="G5064" s="3"/>
      <c r="H5064" s="3">
        <v>0</v>
      </c>
      <c r="I5064" s="3">
        <v>0</v>
      </c>
      <c r="J5064" s="3">
        <v>0</v>
      </c>
      <c r="K5064" s="3">
        <v>0</v>
      </c>
      <c r="L5064" s="3">
        <f t="shared" si="213"/>
        <v>0</v>
      </c>
      <c r="M5064" s="3"/>
      <c r="N5064" s="3">
        <f t="shared" si="214"/>
        <v>0</v>
      </c>
      <c r="R5064" s="89"/>
      <c r="S5064" s="89">
        <f>100%-Table34[[#This Row],[PDF_initial fee]]</f>
        <v>1</v>
      </c>
      <c r="T5064" s="89"/>
      <c r="U5064" s="26"/>
      <c r="X5064" s="9"/>
    </row>
    <row r="5065" spans="1:27" x14ac:dyDescent="0.25">
      <c r="A5065">
        <v>223609</v>
      </c>
      <c r="B5065" t="s">
        <v>124</v>
      </c>
      <c r="C5065" s="1" t="s">
        <v>29846</v>
      </c>
      <c r="D5065">
        <v>2</v>
      </c>
      <c r="E5065" t="s">
        <v>124</v>
      </c>
      <c r="F5065" t="s">
        <v>6</v>
      </c>
      <c r="G5065" s="3">
        <v>3.0000000000000001E-3</v>
      </c>
      <c r="H5065" s="3">
        <v>2.5000000000000001E-2</v>
      </c>
      <c r="I5065" s="3">
        <v>0.01</v>
      </c>
      <c r="J5065" s="6"/>
      <c r="K5065" s="6"/>
      <c r="L5065" s="3">
        <f t="shared" si="213"/>
        <v>3.5000000000000003E-2</v>
      </c>
      <c r="M5065" s="3"/>
      <c r="N5065" s="3">
        <f t="shared" si="214"/>
        <v>3.8000000000000006E-2</v>
      </c>
      <c r="P5065" s="1" t="s">
        <v>29849</v>
      </c>
      <c r="Q5065" s="1" t="s">
        <v>31331</v>
      </c>
      <c r="R5065" s="89">
        <v>0.31850000000000001</v>
      </c>
      <c r="S5065" s="89">
        <f>100%-Table34[[#This Row],[InitialFee]]</f>
        <v>0.97499999999999998</v>
      </c>
      <c r="T5065" s="89">
        <f>(1-Table34[[#This Row],[OngoingFee (plus Platform fee)]])^5</f>
        <v>0.95099004989999991</v>
      </c>
      <c r="U5065" s="26">
        <f>(1+Table34[[#This Row],[Net 5yrs return (mostly up to 28th of Feb 2026)]])*Table34[[#This Row],[Investment after initial charge]]*Table34[[#This Row],[Cummulative 5yrs ongoing advice charge]]-1</f>
        <v>0.22253337127332107</v>
      </c>
      <c r="V5065" s="10">
        <v>4028000</v>
      </c>
      <c r="W5065" t="s">
        <v>29081</v>
      </c>
      <c r="X5065" s="10">
        <v>2033000</v>
      </c>
      <c r="Y5065" s="30">
        <f>X5065/V5065</f>
        <v>0.50471698113207553</v>
      </c>
      <c r="AA5065" s="1" t="s">
        <v>31332</v>
      </c>
    </row>
    <row r="5066" spans="1:27" hidden="1" x14ac:dyDescent="0.25">
      <c r="A5066">
        <v>951030</v>
      </c>
      <c r="B5066" t="s">
        <v>5461</v>
      </c>
      <c r="C5066" s="1" t="s">
        <v>31333</v>
      </c>
      <c r="D5066">
        <v>3</v>
      </c>
      <c r="E5066" t="s">
        <v>5461</v>
      </c>
      <c r="G5066" s="3"/>
      <c r="H5066" s="3">
        <v>0</v>
      </c>
      <c r="I5066" s="3">
        <v>0</v>
      </c>
      <c r="J5066" s="3">
        <v>0</v>
      </c>
      <c r="K5066" s="3">
        <v>0</v>
      </c>
      <c r="L5066" s="3">
        <f t="shared" si="213"/>
        <v>0</v>
      </c>
      <c r="M5066" s="3"/>
      <c r="N5066" s="3">
        <f t="shared" si="214"/>
        <v>0</v>
      </c>
      <c r="R5066" s="89"/>
      <c r="S5066" s="89">
        <f>100%-Table34[[#This Row],[PDF_initial fee]]</f>
        <v>1</v>
      </c>
      <c r="T5066" s="89"/>
      <c r="U5066" s="26"/>
      <c r="X5066" s="9"/>
    </row>
    <row r="5067" spans="1:27" hidden="1" x14ac:dyDescent="0.25">
      <c r="A5067">
        <v>951048</v>
      </c>
      <c r="B5067" t="s">
        <v>5462</v>
      </c>
      <c r="C5067" t="s">
        <v>8359</v>
      </c>
      <c r="D5067">
        <v>1</v>
      </c>
      <c r="E5067" t="s">
        <v>5462</v>
      </c>
      <c r="G5067" s="3"/>
      <c r="L5067" s="3">
        <f t="shared" si="213"/>
        <v>0</v>
      </c>
      <c r="M5067" s="3"/>
      <c r="N5067" s="3">
        <f t="shared" si="214"/>
        <v>0</v>
      </c>
      <c r="R5067" s="89"/>
      <c r="S5067" s="89">
        <f>100%-Table34[[#This Row],[PDF_initial fee]]</f>
        <v>1</v>
      </c>
      <c r="T5067" s="89"/>
      <c r="U5067" s="26"/>
      <c r="X5067" s="9"/>
    </row>
    <row r="5068" spans="1:27" hidden="1" x14ac:dyDescent="0.25">
      <c r="A5068">
        <v>951050</v>
      </c>
      <c r="B5068" t="s">
        <v>5463</v>
      </c>
      <c r="C5068" t="s">
        <v>6958</v>
      </c>
      <c r="D5068">
        <v>1</v>
      </c>
      <c r="E5068" t="s">
        <v>5463</v>
      </c>
      <c r="F5068" t="s">
        <v>6958</v>
      </c>
      <c r="G5068" s="3"/>
      <c r="H5068" s="21">
        <v>0</v>
      </c>
      <c r="I5068" s="21">
        <v>0</v>
      </c>
      <c r="J5068" s="21">
        <v>0</v>
      </c>
      <c r="K5068" s="21">
        <v>0</v>
      </c>
      <c r="L5068" s="3">
        <f t="shared" si="213"/>
        <v>0</v>
      </c>
      <c r="M5068" s="3"/>
      <c r="N5068" s="3">
        <f t="shared" si="214"/>
        <v>0</v>
      </c>
      <c r="R5068" s="89"/>
      <c r="S5068" s="89">
        <f>100%-Table34[[#This Row],[PDF_initial fee]]</f>
        <v>1</v>
      </c>
      <c r="T5068" s="89"/>
      <c r="U5068" s="26"/>
      <c r="X5068" s="9"/>
    </row>
    <row r="5069" spans="1:27" hidden="1" x14ac:dyDescent="0.25">
      <c r="A5069">
        <v>951157</v>
      </c>
      <c r="B5069" t="s">
        <v>5464</v>
      </c>
      <c r="C5069" t="s">
        <v>6958</v>
      </c>
      <c r="D5069">
        <v>2</v>
      </c>
      <c r="E5069" t="s">
        <v>5464</v>
      </c>
      <c r="F5069" t="s">
        <v>6958</v>
      </c>
      <c r="G5069" s="3"/>
      <c r="L5069" s="3">
        <f t="shared" ref="L5069:L5077" si="215">SUM(H5069:K5069)</f>
        <v>0</v>
      </c>
      <c r="M5069" s="3"/>
      <c r="N5069" s="3">
        <f t="shared" si="214"/>
        <v>0</v>
      </c>
      <c r="R5069" s="89"/>
      <c r="S5069" s="89">
        <f>100%-Table34[[#This Row],[PDF_initial fee]]</f>
        <v>1</v>
      </c>
      <c r="T5069" s="89"/>
      <c r="U5069" s="26"/>
      <c r="X5069" s="9"/>
    </row>
    <row r="5070" spans="1:27" hidden="1" x14ac:dyDescent="0.25">
      <c r="A5070">
        <v>951210</v>
      </c>
      <c r="B5070" t="s">
        <v>5465</v>
      </c>
      <c r="C5070" t="s">
        <v>7795</v>
      </c>
      <c r="D5070">
        <v>0</v>
      </c>
      <c r="E5070" t="s">
        <v>5465</v>
      </c>
      <c r="F5070" t="s">
        <v>3</v>
      </c>
      <c r="G5070" s="3"/>
      <c r="H5070" s="21">
        <v>0</v>
      </c>
      <c r="I5070" s="21">
        <v>0</v>
      </c>
      <c r="J5070" s="21">
        <v>0</v>
      </c>
      <c r="K5070" s="21">
        <v>0</v>
      </c>
      <c r="L5070" s="3">
        <f t="shared" si="215"/>
        <v>0</v>
      </c>
      <c r="M5070" s="3"/>
      <c r="N5070" s="3">
        <f t="shared" si="214"/>
        <v>0</v>
      </c>
      <c r="R5070" s="89"/>
      <c r="S5070" s="89">
        <f>100%-Table34[[#This Row],[PDF_initial fee]]</f>
        <v>1</v>
      </c>
      <c r="T5070" s="89"/>
      <c r="U5070" s="26"/>
      <c r="X5070" s="9"/>
    </row>
    <row r="5071" spans="1:27" hidden="1" x14ac:dyDescent="0.25">
      <c r="A5071">
        <v>951388</v>
      </c>
      <c r="B5071" t="s">
        <v>5466</v>
      </c>
      <c r="C5071" t="s">
        <v>11188</v>
      </c>
      <c r="D5071">
        <v>1</v>
      </c>
      <c r="E5071" t="s">
        <v>5466</v>
      </c>
      <c r="G5071" s="3"/>
      <c r="H5071" s="3"/>
      <c r="I5071" s="3"/>
      <c r="J5071" s="3"/>
      <c r="K5071" s="3"/>
      <c r="L5071" s="3">
        <f t="shared" si="215"/>
        <v>0</v>
      </c>
      <c r="M5071" s="3"/>
      <c r="N5071" s="3">
        <f t="shared" si="214"/>
        <v>0</v>
      </c>
      <c r="R5071" s="89"/>
      <c r="S5071" s="89">
        <f>100%-Table34[[#This Row],[PDF_initial fee]]</f>
        <v>1</v>
      </c>
      <c r="T5071" s="89"/>
      <c r="U5071" s="26"/>
      <c r="X5071" s="9"/>
    </row>
    <row r="5072" spans="1:27" hidden="1" x14ac:dyDescent="0.25">
      <c r="A5072">
        <v>951685</v>
      </c>
      <c r="B5072" t="s">
        <v>5467</v>
      </c>
      <c r="C5072" t="s">
        <v>6958</v>
      </c>
      <c r="D5072">
        <v>1</v>
      </c>
      <c r="E5072" t="s">
        <v>5467</v>
      </c>
      <c r="F5072" t="s">
        <v>6958</v>
      </c>
      <c r="G5072" s="3"/>
      <c r="H5072" s="21">
        <v>0</v>
      </c>
      <c r="I5072" s="21">
        <v>0</v>
      </c>
      <c r="J5072" s="21">
        <v>0</v>
      </c>
      <c r="K5072" s="21">
        <v>0</v>
      </c>
      <c r="L5072" s="3">
        <f t="shared" si="215"/>
        <v>0</v>
      </c>
      <c r="M5072" s="3"/>
      <c r="N5072" s="3">
        <f t="shared" si="214"/>
        <v>0</v>
      </c>
      <c r="R5072" s="89"/>
      <c r="S5072" s="89">
        <f>100%-Table34[[#This Row],[PDF_initial fee]]</f>
        <v>1</v>
      </c>
      <c r="T5072" s="89"/>
      <c r="U5072" s="26"/>
      <c r="X5072" s="9"/>
    </row>
    <row r="5073" spans="1:30" hidden="1" x14ac:dyDescent="0.25">
      <c r="A5073">
        <v>951973</v>
      </c>
      <c r="B5073" t="s">
        <v>5468</v>
      </c>
      <c r="C5073" t="s">
        <v>6958</v>
      </c>
      <c r="D5073">
        <v>1</v>
      </c>
      <c r="E5073" t="s">
        <v>5468</v>
      </c>
      <c r="F5073" t="s">
        <v>6958</v>
      </c>
      <c r="G5073" s="3"/>
      <c r="L5073" s="3">
        <f t="shared" si="215"/>
        <v>0</v>
      </c>
      <c r="M5073" s="3"/>
      <c r="N5073" s="3">
        <f t="shared" si="214"/>
        <v>0</v>
      </c>
      <c r="R5073" s="89"/>
      <c r="S5073" s="89">
        <f>100%-Table34[[#This Row],[PDF_initial fee]]</f>
        <v>1</v>
      </c>
      <c r="T5073" s="89"/>
      <c r="U5073" s="26"/>
      <c r="X5073" s="9"/>
    </row>
    <row r="5074" spans="1:30" hidden="1" x14ac:dyDescent="0.25">
      <c r="A5074">
        <v>952089</v>
      </c>
      <c r="B5074" t="s">
        <v>5469</v>
      </c>
      <c r="C5074" t="s">
        <v>11752</v>
      </c>
      <c r="D5074">
        <v>2</v>
      </c>
      <c r="E5074" t="s">
        <v>5469</v>
      </c>
      <c r="G5074" s="3"/>
      <c r="H5074" s="3">
        <v>0</v>
      </c>
      <c r="I5074" s="3">
        <v>0</v>
      </c>
      <c r="J5074" s="3">
        <v>0</v>
      </c>
      <c r="K5074" s="3">
        <v>0</v>
      </c>
      <c r="L5074" s="3">
        <f t="shared" si="215"/>
        <v>0</v>
      </c>
      <c r="M5074" s="3"/>
      <c r="N5074" s="3">
        <f t="shared" si="214"/>
        <v>0</v>
      </c>
      <c r="R5074" s="89"/>
      <c r="S5074" s="89">
        <f>100%-Table34[[#This Row],[PDF_initial fee]]</f>
        <v>1</v>
      </c>
      <c r="T5074" s="89"/>
      <c r="U5074" s="26"/>
      <c r="X5074" s="9"/>
    </row>
    <row r="5075" spans="1:30" hidden="1" x14ac:dyDescent="0.25">
      <c r="A5075">
        <v>952110</v>
      </c>
      <c r="B5075" t="s">
        <v>5470</v>
      </c>
      <c r="C5075" t="s">
        <v>31334</v>
      </c>
      <c r="D5075">
        <v>0</v>
      </c>
      <c r="E5075" t="s">
        <v>5470</v>
      </c>
      <c r="F5075" t="s">
        <v>3</v>
      </c>
      <c r="G5075" s="3"/>
      <c r="H5075" s="3"/>
      <c r="I5075" s="3"/>
      <c r="J5075" s="3"/>
      <c r="K5075" s="3"/>
      <c r="L5075" s="3">
        <f t="shared" si="215"/>
        <v>0</v>
      </c>
      <c r="M5075" s="3"/>
      <c r="N5075" s="3">
        <f t="shared" si="214"/>
        <v>0</v>
      </c>
      <c r="R5075" s="89"/>
      <c r="S5075" s="89">
        <f>100%-Table34[[#This Row],[PDF_initial fee]]</f>
        <v>1</v>
      </c>
      <c r="T5075" s="89"/>
      <c r="U5075" s="26"/>
      <c r="X5075" s="9"/>
    </row>
    <row r="5076" spans="1:30" hidden="1" x14ac:dyDescent="0.25">
      <c r="A5076">
        <v>952121</v>
      </c>
      <c r="B5076" t="s">
        <v>5471</v>
      </c>
      <c r="C5076" t="s">
        <v>9976</v>
      </c>
      <c r="D5076">
        <v>1</v>
      </c>
      <c r="E5076" t="s">
        <v>5471</v>
      </c>
      <c r="G5076" s="3"/>
      <c r="H5076" s="3">
        <v>0</v>
      </c>
      <c r="I5076" s="3">
        <v>0</v>
      </c>
      <c r="J5076" s="3">
        <v>0</v>
      </c>
      <c r="K5076" s="3">
        <v>0</v>
      </c>
      <c r="L5076" s="3">
        <f t="shared" si="215"/>
        <v>0</v>
      </c>
      <c r="M5076" s="3"/>
      <c r="N5076" s="3">
        <f t="shared" si="214"/>
        <v>0</v>
      </c>
      <c r="R5076" s="89"/>
      <c r="S5076" s="89">
        <f>100%-Table34[[#This Row],[PDF_initial fee]]</f>
        <v>1</v>
      </c>
      <c r="T5076" s="89"/>
      <c r="U5076" s="26"/>
      <c r="X5076" s="9"/>
    </row>
    <row r="5077" spans="1:30" hidden="1" x14ac:dyDescent="0.25">
      <c r="A5077">
        <v>952209</v>
      </c>
      <c r="B5077" t="s">
        <v>5472</v>
      </c>
      <c r="C5077" t="s">
        <v>9193</v>
      </c>
      <c r="D5077">
        <v>2</v>
      </c>
      <c r="E5077" t="s">
        <v>5472</v>
      </c>
      <c r="G5077" s="3"/>
      <c r="H5077" s="21">
        <v>0</v>
      </c>
      <c r="I5077" s="21">
        <v>0</v>
      </c>
      <c r="J5077" s="21">
        <v>0</v>
      </c>
      <c r="K5077" s="21">
        <v>0</v>
      </c>
      <c r="L5077" s="3">
        <f t="shared" si="215"/>
        <v>0</v>
      </c>
      <c r="M5077" s="3"/>
      <c r="N5077" s="3">
        <f t="shared" si="214"/>
        <v>0</v>
      </c>
      <c r="R5077" s="89"/>
      <c r="S5077" s="89">
        <f>100%-Table34[[#This Row],[PDF_initial fee]]</f>
        <v>1</v>
      </c>
      <c r="T5077" s="89"/>
      <c r="U5077" s="26"/>
      <c r="X5077" s="9"/>
    </row>
    <row r="5078" spans="1:30" hidden="1" x14ac:dyDescent="0.25">
      <c r="A5078">
        <v>952233</v>
      </c>
      <c r="B5078" t="s">
        <v>5473</v>
      </c>
      <c r="C5078" t="s">
        <v>8122</v>
      </c>
      <c r="D5078">
        <v>6</v>
      </c>
      <c r="E5078" t="s">
        <v>5473</v>
      </c>
      <c r="F5078" t="s">
        <v>3</v>
      </c>
      <c r="G5078" s="3"/>
      <c r="H5078" s="3"/>
      <c r="I5078" s="3"/>
      <c r="J5078" s="6"/>
      <c r="K5078" s="6"/>
      <c r="L5078" s="3">
        <v>0</v>
      </c>
      <c r="M5078" s="3"/>
      <c r="N5078" s="3">
        <v>0</v>
      </c>
      <c r="O5078" t="s">
        <v>31335</v>
      </c>
      <c r="R5078" s="89"/>
      <c r="S5078" s="89">
        <f>100%-Table34[[#This Row],[PDF_initial fee]]</f>
        <v>1</v>
      </c>
      <c r="T5078" s="89"/>
      <c r="U5078" s="26"/>
      <c r="X5078" s="9"/>
    </row>
    <row r="5079" spans="1:30" hidden="1" x14ac:dyDescent="0.25">
      <c r="A5079">
        <v>952234</v>
      </c>
      <c r="B5079" t="s">
        <v>5474</v>
      </c>
      <c r="C5079" t="s">
        <v>6958</v>
      </c>
      <c r="D5079">
        <v>1</v>
      </c>
      <c r="E5079" t="s">
        <v>5474</v>
      </c>
      <c r="F5079" t="s">
        <v>6958</v>
      </c>
      <c r="G5079" s="3"/>
      <c r="L5079" s="3">
        <f t="shared" ref="L5079:L5097" si="216">SUM(H5079:K5079)</f>
        <v>0</v>
      </c>
      <c r="M5079" s="3"/>
      <c r="N5079" s="3">
        <f t="shared" ref="N5079:N5110" si="217">L5079+G5079</f>
        <v>0</v>
      </c>
      <c r="R5079" s="89"/>
      <c r="S5079" s="89">
        <f>100%-Table34[[#This Row],[PDF_initial fee]]</f>
        <v>1</v>
      </c>
      <c r="T5079" s="89"/>
      <c r="U5079" s="26"/>
      <c r="X5079" s="9"/>
    </row>
    <row r="5080" spans="1:30" x14ac:dyDescent="0.25">
      <c r="A5080">
        <v>225831</v>
      </c>
      <c r="B5080" t="s">
        <v>126</v>
      </c>
      <c r="C5080" t="s">
        <v>29846</v>
      </c>
      <c r="D5080">
        <v>180</v>
      </c>
      <c r="E5080" t="s">
        <v>126</v>
      </c>
      <c r="F5080" t="s">
        <v>6</v>
      </c>
      <c r="G5080" s="3">
        <v>1.4E-2</v>
      </c>
      <c r="H5080" s="3">
        <v>2.5000000000000001E-2</v>
      </c>
      <c r="I5080" s="3">
        <v>0.01</v>
      </c>
      <c r="J5080" s="6">
        <v>0</v>
      </c>
      <c r="K5080" s="6">
        <v>0</v>
      </c>
      <c r="L5080" s="3">
        <f t="shared" si="216"/>
        <v>3.5000000000000003E-2</v>
      </c>
      <c r="M5080" s="3"/>
      <c r="N5080" s="3">
        <f t="shared" si="217"/>
        <v>4.9000000000000002E-2</v>
      </c>
      <c r="P5080" s="1" t="s">
        <v>29849</v>
      </c>
      <c r="Q5080" s="1" t="s">
        <v>31798</v>
      </c>
      <c r="R5080" s="106">
        <f>20/100</f>
        <v>0.2</v>
      </c>
      <c r="S5080" s="89">
        <f>100%-Table34[[#This Row],[InitialFee]]</f>
        <v>0.97499999999999998</v>
      </c>
      <c r="T5080" s="89">
        <f>(1-Table34[[#This Row],[OngoingFee (plus Platform fee)]])^5</f>
        <v>0.95099004989999991</v>
      </c>
      <c r="U5080" s="26">
        <f>(1+Table34[[#This Row],[Net 5yrs return (mostly up to 28th of Feb 2026)]])*Table34[[#This Row],[Investment after initial charge]]*Table34[[#This Row],[Cummulative 5yrs ongoing advice charge]]-1</f>
        <v>0.11265835838299987</v>
      </c>
      <c r="V5080" s="10">
        <v>4028000</v>
      </c>
      <c r="W5080" t="s">
        <v>29081</v>
      </c>
      <c r="X5080" s="10">
        <v>2033000</v>
      </c>
      <c r="Y5080" s="30">
        <f>X5080/V5080</f>
        <v>0.50471698113207553</v>
      </c>
      <c r="AA5080" s="1" t="s">
        <v>31332</v>
      </c>
      <c r="AD5080" s="101" t="s">
        <v>31797</v>
      </c>
    </row>
    <row r="5081" spans="1:30" x14ac:dyDescent="0.25">
      <c r="A5081">
        <v>587701</v>
      </c>
      <c r="B5081" t="s">
        <v>241</v>
      </c>
      <c r="C5081" s="1" t="s">
        <v>31336</v>
      </c>
      <c r="D5081">
        <v>13</v>
      </c>
      <c r="E5081" t="s">
        <v>241</v>
      </c>
      <c r="F5081" t="s">
        <v>6</v>
      </c>
      <c r="G5081" s="3">
        <v>1.4E-2</v>
      </c>
      <c r="H5081" s="3">
        <v>2.5000000000000001E-2</v>
      </c>
      <c r="I5081" s="3">
        <v>0.01</v>
      </c>
      <c r="J5081" s="6"/>
      <c r="K5081" s="6"/>
      <c r="L5081" s="3">
        <f t="shared" si="216"/>
        <v>3.5000000000000003E-2</v>
      </c>
      <c r="M5081" s="3"/>
      <c r="N5081" s="3">
        <f t="shared" si="217"/>
        <v>4.9000000000000002E-2</v>
      </c>
      <c r="O5081" t="s">
        <v>29848</v>
      </c>
      <c r="P5081" s="1" t="s">
        <v>29849</v>
      </c>
      <c r="Q5081" s="1" t="s">
        <v>31798</v>
      </c>
      <c r="R5081" s="106">
        <f>20/100</f>
        <v>0.2</v>
      </c>
      <c r="S5081" s="89">
        <f>100%-Table34[[#This Row],[InitialFee]]</f>
        <v>0.97499999999999998</v>
      </c>
      <c r="T5081" s="89">
        <f>(1-Table34[[#This Row],[OngoingFee (plus Platform fee)]])^5</f>
        <v>0.95099004989999991</v>
      </c>
      <c r="U5081" s="26">
        <f>(1+Table34[[#This Row],[Net 5yrs return (mostly up to 28th of Feb 2026)]])*Table34[[#This Row],[Investment after initial charge]]*Table34[[#This Row],[Cummulative 5yrs ongoing advice charge]]-1</f>
        <v>0.11265835838299987</v>
      </c>
      <c r="V5081" s="10">
        <v>4028000</v>
      </c>
      <c r="W5081" t="s">
        <v>29081</v>
      </c>
      <c r="X5081" s="10">
        <v>2033000</v>
      </c>
      <c r="Y5081" s="30">
        <f>X5081/V5081</f>
        <v>0.50471698113207553</v>
      </c>
      <c r="AA5081" s="1" t="s">
        <v>31332</v>
      </c>
      <c r="AD5081" s="101" t="s">
        <v>31797</v>
      </c>
    </row>
    <row r="5082" spans="1:30" hidden="1" x14ac:dyDescent="0.25">
      <c r="A5082">
        <v>952537</v>
      </c>
      <c r="B5082" t="s">
        <v>5475</v>
      </c>
      <c r="C5082" t="s">
        <v>9128</v>
      </c>
      <c r="D5082">
        <v>1</v>
      </c>
      <c r="E5082" t="s">
        <v>5475</v>
      </c>
      <c r="G5082" s="3"/>
      <c r="H5082" s="21">
        <v>0</v>
      </c>
      <c r="I5082" s="21">
        <v>0</v>
      </c>
      <c r="J5082" s="21">
        <v>0</v>
      </c>
      <c r="K5082" s="21">
        <v>0</v>
      </c>
      <c r="L5082" s="3">
        <f t="shared" si="216"/>
        <v>0</v>
      </c>
      <c r="M5082" s="3"/>
      <c r="N5082" s="3">
        <f t="shared" si="217"/>
        <v>0</v>
      </c>
      <c r="R5082" s="89"/>
      <c r="S5082" s="89">
        <f>100%-Table34[[#This Row],[PDF_initial fee]]</f>
        <v>1</v>
      </c>
      <c r="T5082" s="89"/>
      <c r="U5082" s="26"/>
      <c r="X5082" s="9"/>
    </row>
    <row r="5083" spans="1:30" hidden="1" x14ac:dyDescent="0.25">
      <c r="A5083">
        <v>952580</v>
      </c>
      <c r="B5083" t="s">
        <v>5476</v>
      </c>
      <c r="C5083" t="s">
        <v>31337</v>
      </c>
      <c r="D5083">
        <v>2</v>
      </c>
      <c r="E5083" t="s">
        <v>5476</v>
      </c>
      <c r="G5083" s="3"/>
      <c r="H5083" s="3">
        <v>0</v>
      </c>
      <c r="I5083" s="3">
        <v>0</v>
      </c>
      <c r="J5083" s="3">
        <v>0</v>
      </c>
      <c r="K5083" s="3">
        <v>0</v>
      </c>
      <c r="L5083" s="3">
        <f t="shared" si="216"/>
        <v>0</v>
      </c>
      <c r="M5083" s="3"/>
      <c r="N5083" s="3">
        <f t="shared" si="217"/>
        <v>0</v>
      </c>
      <c r="R5083" s="89"/>
      <c r="S5083" s="89">
        <f>100%-Table34[[#This Row],[PDF_initial fee]]</f>
        <v>1</v>
      </c>
      <c r="T5083" s="89"/>
      <c r="U5083" s="26"/>
      <c r="X5083" s="9"/>
    </row>
    <row r="5084" spans="1:30" hidden="1" x14ac:dyDescent="0.25">
      <c r="A5084">
        <v>952637</v>
      </c>
      <c r="B5084" t="s">
        <v>5477</v>
      </c>
      <c r="C5084" t="s">
        <v>6958</v>
      </c>
      <c r="D5084">
        <v>4</v>
      </c>
      <c r="E5084" t="s">
        <v>5477</v>
      </c>
      <c r="F5084" t="s">
        <v>6958</v>
      </c>
      <c r="G5084" s="3"/>
      <c r="H5084" s="21">
        <v>0</v>
      </c>
      <c r="I5084" s="21">
        <v>0</v>
      </c>
      <c r="J5084" s="21">
        <v>0</v>
      </c>
      <c r="K5084" s="21">
        <v>0</v>
      </c>
      <c r="L5084" s="3">
        <f t="shared" si="216"/>
        <v>0</v>
      </c>
      <c r="M5084" s="3"/>
      <c r="N5084" s="3">
        <f t="shared" si="217"/>
        <v>0</v>
      </c>
      <c r="R5084" s="89"/>
      <c r="S5084" s="89">
        <f>100%-Table34[[#This Row],[PDF_initial fee]]</f>
        <v>1</v>
      </c>
      <c r="T5084" s="89"/>
      <c r="U5084" s="26"/>
      <c r="X5084" s="9"/>
    </row>
    <row r="5085" spans="1:30" hidden="1" x14ac:dyDescent="0.25">
      <c r="A5085">
        <v>952823</v>
      </c>
      <c r="B5085" t="s">
        <v>5478</v>
      </c>
      <c r="C5085" t="s">
        <v>12555</v>
      </c>
      <c r="D5085">
        <v>1</v>
      </c>
      <c r="E5085" t="s">
        <v>5478</v>
      </c>
      <c r="G5085" s="3"/>
      <c r="H5085" s="3"/>
      <c r="I5085" s="3"/>
      <c r="J5085" s="3"/>
      <c r="K5085" s="3"/>
      <c r="L5085" s="3">
        <f t="shared" si="216"/>
        <v>0</v>
      </c>
      <c r="M5085" s="3"/>
      <c r="N5085" s="3">
        <f t="shared" si="217"/>
        <v>0</v>
      </c>
      <c r="R5085" s="89"/>
      <c r="S5085" s="89">
        <f>100%-Table34[[#This Row],[PDF_initial fee]]</f>
        <v>1</v>
      </c>
      <c r="T5085" s="89"/>
      <c r="U5085" s="26"/>
      <c r="X5085" s="9"/>
    </row>
    <row r="5086" spans="1:30" hidden="1" x14ac:dyDescent="0.25">
      <c r="A5086">
        <v>952886</v>
      </c>
      <c r="B5086" t="s">
        <v>5479</v>
      </c>
      <c r="C5086" t="s">
        <v>8540</v>
      </c>
      <c r="D5086">
        <v>3</v>
      </c>
      <c r="E5086" t="s">
        <v>5479</v>
      </c>
      <c r="G5086" s="3"/>
      <c r="H5086" s="21">
        <v>0</v>
      </c>
      <c r="I5086" s="21">
        <v>0</v>
      </c>
      <c r="J5086" s="21">
        <v>0</v>
      </c>
      <c r="K5086" s="21">
        <v>0</v>
      </c>
      <c r="L5086" s="3">
        <f t="shared" si="216"/>
        <v>0</v>
      </c>
      <c r="M5086" s="3"/>
      <c r="N5086" s="3">
        <f t="shared" si="217"/>
        <v>0</v>
      </c>
      <c r="R5086" s="89"/>
      <c r="S5086" s="89">
        <f>100%-Table34[[#This Row],[PDF_initial fee]]</f>
        <v>1</v>
      </c>
      <c r="T5086" s="89"/>
      <c r="U5086" s="26"/>
      <c r="X5086" s="9"/>
    </row>
    <row r="5087" spans="1:30" hidden="1" x14ac:dyDescent="0.25">
      <c r="A5087">
        <v>953323</v>
      </c>
      <c r="B5087" t="s">
        <v>5480</v>
      </c>
      <c r="C5087" t="s">
        <v>31338</v>
      </c>
      <c r="D5087">
        <v>1</v>
      </c>
      <c r="E5087" t="s">
        <v>5480</v>
      </c>
      <c r="G5087" s="3"/>
      <c r="H5087" s="3">
        <v>0</v>
      </c>
      <c r="I5087" s="3">
        <v>0</v>
      </c>
      <c r="J5087" s="3">
        <v>0</v>
      </c>
      <c r="K5087" s="3">
        <v>0</v>
      </c>
      <c r="L5087" s="3">
        <f t="shared" si="216"/>
        <v>0</v>
      </c>
      <c r="M5087" s="3"/>
      <c r="N5087" s="3">
        <f t="shared" si="217"/>
        <v>0</v>
      </c>
      <c r="R5087" s="89"/>
      <c r="S5087" s="89">
        <f>100%-Table34[[#This Row],[PDF_initial fee]]</f>
        <v>1</v>
      </c>
      <c r="T5087" s="89"/>
      <c r="U5087" s="26"/>
      <c r="X5087" s="9"/>
    </row>
    <row r="5088" spans="1:30" hidden="1" x14ac:dyDescent="0.25">
      <c r="A5088">
        <v>953469</v>
      </c>
      <c r="B5088" t="s">
        <v>5481</v>
      </c>
      <c r="C5088" t="s">
        <v>6958</v>
      </c>
      <c r="D5088">
        <v>1</v>
      </c>
      <c r="E5088" t="s">
        <v>5481</v>
      </c>
      <c r="F5088" t="s">
        <v>6958</v>
      </c>
      <c r="G5088" s="3"/>
      <c r="H5088" s="21">
        <v>0</v>
      </c>
      <c r="I5088" s="21">
        <v>0</v>
      </c>
      <c r="J5088" s="21">
        <v>0</v>
      </c>
      <c r="K5088" s="21">
        <v>0</v>
      </c>
      <c r="L5088" s="3">
        <f t="shared" si="216"/>
        <v>0</v>
      </c>
      <c r="M5088" s="3"/>
      <c r="N5088" s="3">
        <f t="shared" si="217"/>
        <v>0</v>
      </c>
      <c r="R5088" s="89"/>
      <c r="S5088" s="89">
        <f>100%-Table34[[#This Row],[PDF_initial fee]]</f>
        <v>1</v>
      </c>
      <c r="T5088" s="89"/>
      <c r="U5088" s="26"/>
      <c r="X5088" s="9"/>
    </row>
    <row r="5089" spans="1:24" hidden="1" x14ac:dyDescent="0.25">
      <c r="A5089">
        <v>953471</v>
      </c>
      <c r="B5089" t="s">
        <v>5482</v>
      </c>
      <c r="C5089" t="s">
        <v>9116</v>
      </c>
      <c r="D5089">
        <v>2</v>
      </c>
      <c r="E5089" t="s">
        <v>5482</v>
      </c>
      <c r="G5089" s="3"/>
      <c r="H5089" s="21">
        <v>0</v>
      </c>
      <c r="I5089" s="21">
        <v>0</v>
      </c>
      <c r="J5089" s="21">
        <v>0</v>
      </c>
      <c r="K5089" s="21">
        <v>0</v>
      </c>
      <c r="L5089" s="3">
        <f t="shared" si="216"/>
        <v>0</v>
      </c>
      <c r="M5089" s="3"/>
      <c r="N5089" s="3">
        <f t="shared" si="217"/>
        <v>0</v>
      </c>
      <c r="R5089" s="89"/>
      <c r="S5089" s="89">
        <f>100%-Table34[[#This Row],[PDF_initial fee]]</f>
        <v>1</v>
      </c>
      <c r="T5089" s="89"/>
      <c r="U5089" s="26"/>
      <c r="X5089" s="9"/>
    </row>
    <row r="5090" spans="1:24" hidden="1" x14ac:dyDescent="0.25">
      <c r="A5090">
        <v>953473</v>
      </c>
      <c r="B5090" t="s">
        <v>5483</v>
      </c>
      <c r="C5090" s="1" t="s">
        <v>31339</v>
      </c>
      <c r="D5090">
        <v>1</v>
      </c>
      <c r="E5090" t="s">
        <v>5483</v>
      </c>
      <c r="G5090" s="3"/>
      <c r="H5090" s="3">
        <v>0</v>
      </c>
      <c r="I5090" s="3">
        <v>0</v>
      </c>
      <c r="J5090" s="3">
        <v>0</v>
      </c>
      <c r="K5090" s="3">
        <v>0</v>
      </c>
      <c r="L5090" s="3">
        <f t="shared" si="216"/>
        <v>0</v>
      </c>
      <c r="M5090" s="3"/>
      <c r="N5090" s="3">
        <f t="shared" si="217"/>
        <v>0</v>
      </c>
      <c r="R5090" s="89"/>
      <c r="S5090" s="89">
        <f>100%-Table34[[#This Row],[PDF_initial fee]]</f>
        <v>1</v>
      </c>
      <c r="T5090" s="89"/>
      <c r="U5090" s="26"/>
      <c r="X5090" s="9"/>
    </row>
    <row r="5091" spans="1:24" hidden="1" x14ac:dyDescent="0.25">
      <c r="A5091">
        <v>953492</v>
      </c>
      <c r="B5091" t="s">
        <v>5484</v>
      </c>
      <c r="C5091" t="s">
        <v>12374</v>
      </c>
      <c r="D5091">
        <v>1</v>
      </c>
      <c r="E5091" t="s">
        <v>5484</v>
      </c>
      <c r="G5091" s="3"/>
      <c r="H5091" s="3">
        <v>0</v>
      </c>
      <c r="I5091" s="3">
        <v>0</v>
      </c>
      <c r="J5091" s="3">
        <v>0</v>
      </c>
      <c r="K5091" s="3">
        <v>0</v>
      </c>
      <c r="L5091" s="3">
        <f t="shared" si="216"/>
        <v>0</v>
      </c>
      <c r="M5091" s="3"/>
      <c r="N5091" s="3">
        <f t="shared" si="217"/>
        <v>0</v>
      </c>
      <c r="R5091" s="89"/>
      <c r="S5091" s="89">
        <f>100%-Table34[[#This Row],[PDF_initial fee]]</f>
        <v>1</v>
      </c>
      <c r="T5091" s="89"/>
      <c r="U5091" s="26"/>
      <c r="X5091" s="9"/>
    </row>
    <row r="5092" spans="1:24" hidden="1" x14ac:dyDescent="0.25">
      <c r="A5092">
        <v>953494</v>
      </c>
      <c r="B5092" t="s">
        <v>5485</v>
      </c>
      <c r="C5092" t="s">
        <v>6958</v>
      </c>
      <c r="D5092">
        <v>1</v>
      </c>
      <c r="E5092" t="s">
        <v>5485</v>
      </c>
      <c r="F5092" t="s">
        <v>6958</v>
      </c>
      <c r="G5092" s="3"/>
      <c r="L5092" s="3">
        <f t="shared" si="216"/>
        <v>0</v>
      </c>
      <c r="M5092" s="3"/>
      <c r="N5092" s="3">
        <f t="shared" si="217"/>
        <v>0</v>
      </c>
      <c r="R5092" s="89"/>
      <c r="S5092" s="89">
        <f>100%-Table34[[#This Row],[PDF_initial fee]]</f>
        <v>1</v>
      </c>
      <c r="T5092" s="89"/>
      <c r="U5092" s="26"/>
      <c r="X5092" s="9"/>
    </row>
    <row r="5093" spans="1:24" hidden="1" x14ac:dyDescent="0.25">
      <c r="A5093">
        <v>953556</v>
      </c>
      <c r="B5093" t="s">
        <v>5486</v>
      </c>
      <c r="C5093" t="s">
        <v>8726</v>
      </c>
      <c r="D5093">
        <v>1</v>
      </c>
      <c r="E5093" t="s">
        <v>5486</v>
      </c>
      <c r="G5093" s="3"/>
      <c r="H5093" s="21">
        <v>0</v>
      </c>
      <c r="I5093" s="21">
        <v>0</v>
      </c>
      <c r="J5093" s="21">
        <v>0</v>
      </c>
      <c r="K5093" s="21">
        <v>0</v>
      </c>
      <c r="L5093" s="3">
        <f t="shared" si="216"/>
        <v>0</v>
      </c>
      <c r="M5093" s="3"/>
      <c r="N5093" s="3">
        <f t="shared" si="217"/>
        <v>0</v>
      </c>
      <c r="R5093" s="89"/>
      <c r="S5093" s="89">
        <f>100%-Table34[[#This Row],[PDF_initial fee]]</f>
        <v>1</v>
      </c>
      <c r="T5093" s="89"/>
      <c r="U5093" s="26"/>
      <c r="X5093" s="9"/>
    </row>
    <row r="5094" spans="1:24" hidden="1" x14ac:dyDescent="0.25">
      <c r="A5094">
        <v>953633</v>
      </c>
      <c r="B5094" t="s">
        <v>5487</v>
      </c>
      <c r="C5094" t="s">
        <v>8836</v>
      </c>
      <c r="D5094">
        <v>2</v>
      </c>
      <c r="E5094" t="s">
        <v>5487</v>
      </c>
      <c r="G5094" s="3"/>
      <c r="H5094" s="21">
        <v>0</v>
      </c>
      <c r="I5094" s="21">
        <v>0</v>
      </c>
      <c r="J5094" s="21">
        <v>0</v>
      </c>
      <c r="K5094" s="21">
        <v>0</v>
      </c>
      <c r="L5094" s="3">
        <f t="shared" si="216"/>
        <v>0</v>
      </c>
      <c r="M5094" s="3"/>
      <c r="N5094" s="3">
        <f t="shared" si="217"/>
        <v>0</v>
      </c>
      <c r="R5094" s="89"/>
      <c r="S5094" s="89">
        <f>100%-Table34[[#This Row],[PDF_initial fee]]</f>
        <v>1</v>
      </c>
      <c r="T5094" s="89"/>
      <c r="U5094" s="26"/>
      <c r="X5094" s="9"/>
    </row>
    <row r="5095" spans="1:24" hidden="1" x14ac:dyDescent="0.25">
      <c r="A5095">
        <v>954112</v>
      </c>
      <c r="B5095" t="s">
        <v>5489</v>
      </c>
      <c r="C5095" t="s">
        <v>31340</v>
      </c>
      <c r="D5095">
        <v>2</v>
      </c>
      <c r="E5095" t="s">
        <v>5489</v>
      </c>
      <c r="G5095" s="3"/>
      <c r="H5095" s="3">
        <v>0</v>
      </c>
      <c r="I5095" s="3">
        <v>0</v>
      </c>
      <c r="J5095" s="3">
        <v>0</v>
      </c>
      <c r="K5095" s="3">
        <v>0</v>
      </c>
      <c r="L5095" s="3">
        <f t="shared" si="216"/>
        <v>0</v>
      </c>
      <c r="M5095" s="3"/>
      <c r="N5095" s="3">
        <f t="shared" si="217"/>
        <v>0</v>
      </c>
      <c r="R5095" s="89"/>
      <c r="S5095" s="89">
        <f>100%-Table34[[#This Row],[PDF_initial fee]]</f>
        <v>1</v>
      </c>
      <c r="T5095" s="89"/>
      <c r="U5095" s="26"/>
      <c r="X5095" s="9"/>
    </row>
    <row r="5096" spans="1:24" hidden="1" x14ac:dyDescent="0.25">
      <c r="A5096">
        <v>954208</v>
      </c>
      <c r="B5096" t="s">
        <v>5490</v>
      </c>
      <c r="C5096" t="s">
        <v>10326</v>
      </c>
      <c r="D5096">
        <v>1</v>
      </c>
      <c r="E5096" t="s">
        <v>5490</v>
      </c>
      <c r="G5096" s="3"/>
      <c r="H5096" s="3"/>
      <c r="I5096" s="3"/>
      <c r="J5096" s="3"/>
      <c r="K5096" s="3"/>
      <c r="L5096" s="3">
        <f t="shared" si="216"/>
        <v>0</v>
      </c>
      <c r="M5096" s="3"/>
      <c r="N5096" s="3">
        <f t="shared" si="217"/>
        <v>0</v>
      </c>
      <c r="R5096" s="89"/>
      <c r="S5096" s="89">
        <f>100%-Table34[[#This Row],[PDF_initial fee]]</f>
        <v>1</v>
      </c>
      <c r="T5096" s="89"/>
      <c r="U5096" s="26"/>
      <c r="X5096" s="9"/>
    </row>
    <row r="5097" spans="1:24" hidden="1" x14ac:dyDescent="0.25">
      <c r="A5097">
        <v>954255</v>
      </c>
      <c r="B5097" t="s">
        <v>5491</v>
      </c>
      <c r="C5097" t="s">
        <v>31341</v>
      </c>
      <c r="D5097">
        <v>2</v>
      </c>
      <c r="E5097" t="s">
        <v>5491</v>
      </c>
      <c r="G5097" s="3"/>
      <c r="H5097" s="3">
        <v>0</v>
      </c>
      <c r="I5097" s="3">
        <v>0</v>
      </c>
      <c r="J5097" s="3">
        <v>0</v>
      </c>
      <c r="K5097" s="3">
        <v>0</v>
      </c>
      <c r="L5097" s="3">
        <f t="shared" si="216"/>
        <v>0</v>
      </c>
      <c r="M5097" s="3"/>
      <c r="N5097" s="3">
        <f t="shared" si="217"/>
        <v>0</v>
      </c>
      <c r="R5097" s="89"/>
      <c r="S5097" s="89">
        <f>100%-Table34[[#This Row],[PDF_initial fee]]</f>
        <v>1</v>
      </c>
      <c r="T5097" s="89"/>
      <c r="U5097" s="26"/>
      <c r="X5097" s="9"/>
    </row>
    <row r="5098" spans="1:24" hidden="1" x14ac:dyDescent="0.25">
      <c r="A5098">
        <v>954352</v>
      </c>
      <c r="B5098" t="s">
        <v>5492</v>
      </c>
      <c r="C5098" t="s">
        <v>10283</v>
      </c>
      <c r="D5098">
        <v>1</v>
      </c>
      <c r="E5098" t="s">
        <v>5492</v>
      </c>
      <c r="F5098" t="s">
        <v>3</v>
      </c>
      <c r="G5098" s="3"/>
      <c r="H5098" s="3"/>
      <c r="I5098" s="3"/>
      <c r="J5098" s="3"/>
      <c r="K5098" s="3"/>
      <c r="L5098" s="3">
        <v>0</v>
      </c>
      <c r="M5098" s="3"/>
      <c r="N5098" s="3">
        <f t="shared" si="217"/>
        <v>0</v>
      </c>
      <c r="P5098" s="22" t="s">
        <v>31342</v>
      </c>
      <c r="R5098" s="89"/>
      <c r="S5098" s="89">
        <f>100%-Table34[[#This Row],[PDF_initial fee]]</f>
        <v>1</v>
      </c>
      <c r="T5098" s="89"/>
      <c r="U5098" s="26"/>
      <c r="X5098" s="9"/>
    </row>
    <row r="5099" spans="1:24" hidden="1" x14ac:dyDescent="0.25">
      <c r="A5099">
        <v>954553</v>
      </c>
      <c r="B5099" t="s">
        <v>5493</v>
      </c>
      <c r="C5099" t="s">
        <v>9956</v>
      </c>
      <c r="D5099">
        <v>4</v>
      </c>
      <c r="E5099" t="s">
        <v>5493</v>
      </c>
      <c r="G5099" s="3"/>
      <c r="H5099" s="21">
        <v>0</v>
      </c>
      <c r="I5099" s="21">
        <v>0</v>
      </c>
      <c r="J5099" s="21">
        <v>0</v>
      </c>
      <c r="K5099" s="21">
        <v>0</v>
      </c>
      <c r="L5099" s="3">
        <f t="shared" ref="L5099:L5130" si="218">SUM(H5099:K5099)</f>
        <v>0</v>
      </c>
      <c r="M5099" s="3"/>
      <c r="N5099" s="3">
        <f t="shared" si="217"/>
        <v>0</v>
      </c>
      <c r="O5099" s="21"/>
      <c r="R5099" s="89"/>
      <c r="S5099" s="89">
        <f>100%-Table34[[#This Row],[PDF_initial fee]]</f>
        <v>1</v>
      </c>
      <c r="T5099" s="89"/>
      <c r="U5099" s="26"/>
      <c r="X5099" s="9"/>
    </row>
    <row r="5100" spans="1:24" hidden="1" x14ac:dyDescent="0.25">
      <c r="A5100">
        <v>954596</v>
      </c>
      <c r="B5100" t="s">
        <v>5494</v>
      </c>
      <c r="C5100" t="s">
        <v>11455</v>
      </c>
      <c r="D5100">
        <v>1</v>
      </c>
      <c r="E5100" t="s">
        <v>5494</v>
      </c>
      <c r="G5100" s="3"/>
      <c r="H5100" s="21">
        <v>0</v>
      </c>
      <c r="I5100" s="21">
        <v>0</v>
      </c>
      <c r="J5100" s="21">
        <v>0</v>
      </c>
      <c r="K5100" s="21">
        <v>0</v>
      </c>
      <c r="L5100" s="3">
        <f t="shared" si="218"/>
        <v>0</v>
      </c>
      <c r="M5100" s="3"/>
      <c r="N5100" s="3">
        <f t="shared" si="217"/>
        <v>0</v>
      </c>
      <c r="O5100" s="21"/>
      <c r="R5100" s="89"/>
      <c r="S5100" s="89">
        <f>100%-Table34[[#This Row],[PDF_initial fee]]</f>
        <v>1</v>
      </c>
      <c r="T5100" s="89"/>
      <c r="U5100" s="26"/>
      <c r="X5100" s="9"/>
    </row>
    <row r="5101" spans="1:24" hidden="1" x14ac:dyDescent="0.25">
      <c r="A5101">
        <v>954615</v>
      </c>
      <c r="B5101" t="s">
        <v>5495</v>
      </c>
      <c r="C5101" t="s">
        <v>8450</v>
      </c>
      <c r="D5101">
        <v>1</v>
      </c>
      <c r="E5101" t="s">
        <v>5495</v>
      </c>
      <c r="G5101" s="3"/>
      <c r="H5101" s="21">
        <v>0</v>
      </c>
      <c r="I5101" s="21">
        <v>0</v>
      </c>
      <c r="J5101" s="21">
        <v>0</v>
      </c>
      <c r="K5101" s="21">
        <v>0</v>
      </c>
      <c r="L5101" s="3">
        <f t="shared" si="218"/>
        <v>0</v>
      </c>
      <c r="M5101" s="3"/>
      <c r="N5101" s="3">
        <f t="shared" si="217"/>
        <v>0</v>
      </c>
      <c r="R5101" s="89"/>
      <c r="S5101" s="89">
        <f>100%-Table34[[#This Row],[PDF_initial fee]]</f>
        <v>1</v>
      </c>
      <c r="T5101" s="89"/>
      <c r="U5101" s="26"/>
      <c r="X5101" s="9"/>
    </row>
    <row r="5102" spans="1:24" hidden="1" x14ac:dyDescent="0.25">
      <c r="A5102">
        <v>954704</v>
      </c>
      <c r="B5102" t="s">
        <v>5496</v>
      </c>
      <c r="C5102" t="s">
        <v>6958</v>
      </c>
      <c r="D5102">
        <v>2</v>
      </c>
      <c r="E5102" t="s">
        <v>5496</v>
      </c>
      <c r="F5102" t="s">
        <v>6958</v>
      </c>
      <c r="G5102" s="3"/>
      <c r="H5102" s="21">
        <v>0</v>
      </c>
      <c r="I5102" s="21">
        <v>0</v>
      </c>
      <c r="J5102" s="21">
        <v>0</v>
      </c>
      <c r="K5102" s="21">
        <v>0</v>
      </c>
      <c r="L5102" s="3">
        <f t="shared" si="218"/>
        <v>0</v>
      </c>
      <c r="M5102" s="3"/>
      <c r="N5102" s="3">
        <f t="shared" si="217"/>
        <v>0</v>
      </c>
      <c r="R5102" s="89"/>
      <c r="S5102" s="89">
        <f>100%-Table34[[#This Row],[PDF_initial fee]]</f>
        <v>1</v>
      </c>
      <c r="T5102" s="89"/>
      <c r="U5102" s="26"/>
      <c r="X5102" s="9"/>
    </row>
    <row r="5103" spans="1:24" hidden="1" x14ac:dyDescent="0.25">
      <c r="A5103">
        <v>954710</v>
      </c>
      <c r="B5103" t="s">
        <v>5497</v>
      </c>
      <c r="C5103" t="s">
        <v>6958</v>
      </c>
      <c r="D5103">
        <v>1</v>
      </c>
      <c r="E5103" t="s">
        <v>5497</v>
      </c>
      <c r="F5103" t="s">
        <v>6958</v>
      </c>
      <c r="G5103" s="3"/>
      <c r="H5103" s="21">
        <v>0</v>
      </c>
      <c r="I5103" s="21">
        <v>0</v>
      </c>
      <c r="J5103" s="21">
        <v>0</v>
      </c>
      <c r="K5103" s="21">
        <v>0</v>
      </c>
      <c r="L5103" s="3">
        <f t="shared" si="218"/>
        <v>0</v>
      </c>
      <c r="M5103" s="3"/>
      <c r="N5103" s="3">
        <f t="shared" si="217"/>
        <v>0</v>
      </c>
      <c r="R5103" s="89"/>
      <c r="S5103" s="89">
        <f>100%-Table34[[#This Row],[PDF_initial fee]]</f>
        <v>1</v>
      </c>
      <c r="T5103" s="89"/>
      <c r="U5103" s="26"/>
      <c r="X5103" s="9"/>
    </row>
    <row r="5104" spans="1:24" hidden="1" x14ac:dyDescent="0.25">
      <c r="A5104">
        <v>955055</v>
      </c>
      <c r="B5104" t="s">
        <v>5498</v>
      </c>
      <c r="C5104" t="s">
        <v>6958</v>
      </c>
      <c r="D5104">
        <v>1</v>
      </c>
      <c r="E5104" t="s">
        <v>5498</v>
      </c>
      <c r="F5104" t="s">
        <v>6958</v>
      </c>
      <c r="G5104" s="3"/>
      <c r="L5104" s="3">
        <f t="shared" si="218"/>
        <v>0</v>
      </c>
      <c r="M5104" s="3"/>
      <c r="N5104" s="3">
        <f t="shared" si="217"/>
        <v>0</v>
      </c>
      <c r="R5104" s="89"/>
      <c r="S5104" s="89">
        <f>100%-Table34[[#This Row],[PDF_initial fee]]</f>
        <v>1</v>
      </c>
      <c r="T5104" s="89"/>
      <c r="U5104" s="26"/>
      <c r="X5104" s="9"/>
    </row>
    <row r="5105" spans="1:30" hidden="1" x14ac:dyDescent="0.25">
      <c r="A5105">
        <v>955306</v>
      </c>
      <c r="B5105" t="s">
        <v>5499</v>
      </c>
      <c r="C5105" t="s">
        <v>7324</v>
      </c>
      <c r="D5105">
        <v>1</v>
      </c>
      <c r="E5105" t="s">
        <v>5499</v>
      </c>
      <c r="G5105" s="3"/>
      <c r="H5105" s="3"/>
      <c r="I5105" s="3"/>
      <c r="J5105" s="3"/>
      <c r="K5105" s="3"/>
      <c r="L5105" s="3">
        <f t="shared" si="218"/>
        <v>0</v>
      </c>
      <c r="M5105" s="3"/>
      <c r="N5105" s="3">
        <f t="shared" si="217"/>
        <v>0</v>
      </c>
      <c r="R5105" s="89"/>
      <c r="S5105" s="89">
        <f>100%-Table34[[#This Row],[PDF_initial fee]]</f>
        <v>1</v>
      </c>
      <c r="T5105" s="89"/>
      <c r="U5105" s="26"/>
      <c r="X5105" s="9"/>
    </row>
    <row r="5106" spans="1:30" hidden="1" x14ac:dyDescent="0.25">
      <c r="A5106">
        <v>955432</v>
      </c>
      <c r="B5106" t="s">
        <v>5500</v>
      </c>
      <c r="C5106" s="1" t="s">
        <v>31343</v>
      </c>
      <c r="D5106">
        <v>2</v>
      </c>
      <c r="E5106" t="s">
        <v>5500</v>
      </c>
      <c r="G5106" s="3"/>
      <c r="H5106" s="3">
        <v>0</v>
      </c>
      <c r="I5106" s="3">
        <v>0</v>
      </c>
      <c r="J5106" s="3">
        <v>0</v>
      </c>
      <c r="K5106" s="3">
        <v>0</v>
      </c>
      <c r="L5106" s="3">
        <f t="shared" si="218"/>
        <v>0</v>
      </c>
      <c r="M5106" s="3"/>
      <c r="N5106" s="3">
        <f t="shared" si="217"/>
        <v>0</v>
      </c>
      <c r="R5106" s="89"/>
      <c r="S5106" s="89">
        <f>100%-Table34[[#This Row],[PDF_initial fee]]</f>
        <v>1</v>
      </c>
      <c r="T5106" s="89"/>
      <c r="U5106" s="26"/>
      <c r="X5106" s="9"/>
    </row>
    <row r="5107" spans="1:30" hidden="1" x14ac:dyDescent="0.25">
      <c r="A5107">
        <v>955612</v>
      </c>
      <c r="B5107" t="s">
        <v>5501</v>
      </c>
      <c r="C5107" t="s">
        <v>6958</v>
      </c>
      <c r="D5107">
        <v>1</v>
      </c>
      <c r="E5107" t="s">
        <v>5501</v>
      </c>
      <c r="F5107" t="s">
        <v>6958</v>
      </c>
      <c r="G5107" s="3"/>
      <c r="H5107" s="21">
        <v>0</v>
      </c>
      <c r="I5107" s="21">
        <v>0</v>
      </c>
      <c r="J5107" s="21">
        <v>0</v>
      </c>
      <c r="K5107" s="21">
        <v>0</v>
      </c>
      <c r="L5107" s="3">
        <f t="shared" si="218"/>
        <v>0</v>
      </c>
      <c r="M5107" s="3"/>
      <c r="N5107" s="3">
        <f t="shared" si="217"/>
        <v>0</v>
      </c>
      <c r="R5107" s="89"/>
      <c r="S5107" s="89">
        <f>100%-Table34[[#This Row],[PDF_initial fee]]</f>
        <v>1</v>
      </c>
      <c r="T5107" s="89"/>
      <c r="U5107" s="26"/>
      <c r="X5107" s="9"/>
    </row>
    <row r="5108" spans="1:30" hidden="1" x14ac:dyDescent="0.25">
      <c r="A5108">
        <v>955830</v>
      </c>
      <c r="B5108" t="s">
        <v>5502</v>
      </c>
      <c r="C5108" t="s">
        <v>6958</v>
      </c>
      <c r="D5108">
        <v>5</v>
      </c>
      <c r="E5108" t="s">
        <v>5502</v>
      </c>
      <c r="F5108" t="s">
        <v>6958</v>
      </c>
      <c r="G5108" s="3"/>
      <c r="H5108" s="21">
        <v>0</v>
      </c>
      <c r="I5108" s="21">
        <v>0</v>
      </c>
      <c r="J5108" s="21">
        <v>0</v>
      </c>
      <c r="K5108" s="21">
        <v>0</v>
      </c>
      <c r="L5108" s="3">
        <f t="shared" si="218"/>
        <v>0</v>
      </c>
      <c r="M5108" s="3"/>
      <c r="N5108" s="3">
        <f t="shared" si="217"/>
        <v>0</v>
      </c>
      <c r="R5108" s="89"/>
      <c r="S5108" s="89">
        <f>100%-Table34[[#This Row],[PDF_initial fee]]</f>
        <v>1</v>
      </c>
      <c r="T5108" s="89"/>
      <c r="U5108" s="26"/>
      <c r="X5108" s="9"/>
    </row>
    <row r="5109" spans="1:30" x14ac:dyDescent="0.25">
      <c r="A5109">
        <v>588378</v>
      </c>
      <c r="B5109" t="s">
        <v>242</v>
      </c>
      <c r="C5109" t="s">
        <v>29846</v>
      </c>
      <c r="D5109">
        <v>150</v>
      </c>
      <c r="E5109" t="s">
        <v>242</v>
      </c>
      <c r="F5109" t="s">
        <v>6</v>
      </c>
      <c r="G5109" s="3">
        <v>1.4E-2</v>
      </c>
      <c r="H5109" s="3">
        <v>2.5000000000000001E-2</v>
      </c>
      <c r="I5109" s="3">
        <v>0.01</v>
      </c>
      <c r="J5109" s="6">
        <v>0</v>
      </c>
      <c r="K5109" s="6">
        <v>0</v>
      </c>
      <c r="L5109" s="3">
        <f t="shared" si="218"/>
        <v>3.5000000000000003E-2</v>
      </c>
      <c r="M5109" s="3"/>
      <c r="N5109" s="3">
        <f t="shared" si="217"/>
        <v>4.9000000000000002E-2</v>
      </c>
      <c r="P5109" s="1" t="s">
        <v>29849</v>
      </c>
      <c r="Q5109" s="1" t="s">
        <v>31798</v>
      </c>
      <c r="R5109" s="106">
        <f>20/100</f>
        <v>0.2</v>
      </c>
      <c r="S5109" s="89">
        <f>100%-Table34[[#This Row],[InitialFee]]</f>
        <v>0.97499999999999998</v>
      </c>
      <c r="T5109" s="89">
        <f>(1-Table34[[#This Row],[OngoingFee (plus Platform fee)]])^5</f>
        <v>0.95099004989999991</v>
      </c>
      <c r="U5109" s="26">
        <f>(1+Table34[[#This Row],[Net 5yrs return (mostly up to 28th of Feb 2026)]])*Table34[[#This Row],[Investment after initial charge]]*Table34[[#This Row],[Cummulative 5yrs ongoing advice charge]]-1</f>
        <v>0.11265835838299987</v>
      </c>
      <c r="V5109" s="10">
        <v>4028000</v>
      </c>
      <c r="W5109" t="s">
        <v>29081</v>
      </c>
      <c r="X5109" s="10">
        <v>2033000</v>
      </c>
      <c r="Y5109" s="30">
        <f>X5109/V5109</f>
        <v>0.50471698113207553</v>
      </c>
      <c r="AA5109" s="1" t="s">
        <v>31332</v>
      </c>
      <c r="AD5109" s="101" t="s">
        <v>31797</v>
      </c>
    </row>
    <row r="5110" spans="1:30" hidden="1" x14ac:dyDescent="0.25">
      <c r="A5110">
        <v>956001</v>
      </c>
      <c r="B5110" t="s">
        <v>5503</v>
      </c>
      <c r="C5110" t="s">
        <v>6958</v>
      </c>
      <c r="D5110">
        <v>1</v>
      </c>
      <c r="E5110" t="s">
        <v>5503</v>
      </c>
      <c r="F5110" t="s">
        <v>6958</v>
      </c>
      <c r="G5110" s="3"/>
      <c r="H5110" s="21">
        <v>0</v>
      </c>
      <c r="I5110" s="21">
        <v>0</v>
      </c>
      <c r="J5110" s="21">
        <v>0</v>
      </c>
      <c r="K5110" s="21">
        <v>0</v>
      </c>
      <c r="L5110" s="3">
        <f t="shared" si="218"/>
        <v>0</v>
      </c>
      <c r="M5110" s="3"/>
      <c r="N5110" s="3">
        <f t="shared" si="217"/>
        <v>0</v>
      </c>
      <c r="O5110" s="21"/>
      <c r="R5110" s="89"/>
      <c r="S5110" s="89">
        <f>100%-Table34[[#This Row],[PDF_initial fee]]</f>
        <v>1</v>
      </c>
      <c r="T5110" s="89"/>
      <c r="U5110" s="26"/>
      <c r="X5110" s="9"/>
    </row>
    <row r="5111" spans="1:30" hidden="1" x14ac:dyDescent="0.25">
      <c r="A5111">
        <v>956372</v>
      </c>
      <c r="B5111" t="s">
        <v>5504</v>
      </c>
      <c r="C5111" t="s">
        <v>11904</v>
      </c>
      <c r="D5111">
        <v>3</v>
      </c>
      <c r="E5111" t="s">
        <v>5504</v>
      </c>
      <c r="G5111" s="3"/>
      <c r="H5111" s="3">
        <v>0</v>
      </c>
      <c r="I5111" s="3">
        <v>0</v>
      </c>
      <c r="J5111" s="3">
        <v>0</v>
      </c>
      <c r="K5111" s="3">
        <v>0</v>
      </c>
      <c r="L5111" s="3">
        <f t="shared" si="218"/>
        <v>0</v>
      </c>
      <c r="M5111" s="3"/>
      <c r="N5111" s="3">
        <f t="shared" ref="N5111:N5142" si="219">L5111+G5111</f>
        <v>0</v>
      </c>
      <c r="R5111" s="89"/>
      <c r="S5111" s="89">
        <f>100%-Table34[[#This Row],[PDF_initial fee]]</f>
        <v>1</v>
      </c>
      <c r="T5111" s="89"/>
      <c r="U5111" s="26"/>
      <c r="X5111" s="9"/>
    </row>
    <row r="5112" spans="1:30" hidden="1" x14ac:dyDescent="0.25">
      <c r="A5112">
        <v>956681</v>
      </c>
      <c r="B5112" t="s">
        <v>5505</v>
      </c>
      <c r="C5112" t="s">
        <v>6958</v>
      </c>
      <c r="D5112">
        <v>2</v>
      </c>
      <c r="E5112" t="s">
        <v>5505</v>
      </c>
      <c r="F5112" t="s">
        <v>6958</v>
      </c>
      <c r="G5112" s="3"/>
      <c r="H5112" s="21">
        <v>0</v>
      </c>
      <c r="I5112" s="21">
        <v>0</v>
      </c>
      <c r="J5112" s="21">
        <v>0</v>
      </c>
      <c r="K5112" s="21">
        <v>0</v>
      </c>
      <c r="L5112" s="3">
        <f t="shared" si="218"/>
        <v>0</v>
      </c>
      <c r="M5112" s="3"/>
      <c r="N5112" s="3">
        <f t="shared" si="219"/>
        <v>0</v>
      </c>
      <c r="R5112" s="89"/>
      <c r="S5112" s="89">
        <f>100%-Table34[[#This Row],[PDF_initial fee]]</f>
        <v>1</v>
      </c>
      <c r="T5112" s="89"/>
      <c r="U5112" s="26"/>
      <c r="X5112" s="9"/>
    </row>
    <row r="5113" spans="1:30" hidden="1" x14ac:dyDescent="0.25">
      <c r="A5113">
        <v>956993</v>
      </c>
      <c r="B5113" t="s">
        <v>5506</v>
      </c>
      <c r="C5113" t="s">
        <v>9167</v>
      </c>
      <c r="D5113">
        <v>3</v>
      </c>
      <c r="E5113" t="s">
        <v>5506</v>
      </c>
      <c r="G5113" s="3"/>
      <c r="H5113" s="21">
        <v>0</v>
      </c>
      <c r="I5113" s="21">
        <v>0</v>
      </c>
      <c r="J5113" s="21">
        <v>0</v>
      </c>
      <c r="K5113" s="21">
        <v>0</v>
      </c>
      <c r="L5113" s="3">
        <f t="shared" si="218"/>
        <v>0</v>
      </c>
      <c r="M5113" s="3"/>
      <c r="N5113" s="3">
        <f t="shared" si="219"/>
        <v>0</v>
      </c>
      <c r="R5113" s="89"/>
      <c r="S5113" s="89">
        <f>100%-Table34[[#This Row],[PDF_initial fee]]</f>
        <v>1</v>
      </c>
      <c r="T5113" s="89"/>
      <c r="U5113" s="26"/>
      <c r="X5113" s="9"/>
    </row>
    <row r="5114" spans="1:30" hidden="1" x14ac:dyDescent="0.25">
      <c r="A5114">
        <v>957006</v>
      </c>
      <c r="B5114" t="s">
        <v>5507</v>
      </c>
      <c r="C5114" t="s">
        <v>6958</v>
      </c>
      <c r="D5114">
        <v>1</v>
      </c>
      <c r="E5114" t="s">
        <v>5507</v>
      </c>
      <c r="F5114" t="s">
        <v>6958</v>
      </c>
      <c r="G5114" s="3"/>
      <c r="H5114" s="21">
        <v>0</v>
      </c>
      <c r="I5114" s="21">
        <v>0</v>
      </c>
      <c r="J5114" s="21">
        <v>0</v>
      </c>
      <c r="K5114" s="21">
        <v>0</v>
      </c>
      <c r="L5114" s="3">
        <f t="shared" si="218"/>
        <v>0</v>
      </c>
      <c r="M5114" s="3"/>
      <c r="N5114" s="3">
        <f t="shared" si="219"/>
        <v>0</v>
      </c>
      <c r="R5114" s="89"/>
      <c r="S5114" s="89">
        <f>100%-Table34[[#This Row],[PDF_initial fee]]</f>
        <v>1</v>
      </c>
      <c r="T5114" s="89"/>
      <c r="U5114" s="26"/>
      <c r="X5114" s="9"/>
    </row>
    <row r="5115" spans="1:30" hidden="1" x14ac:dyDescent="0.25">
      <c r="A5115">
        <v>957221</v>
      </c>
      <c r="B5115" t="s">
        <v>5508</v>
      </c>
      <c r="C5115" t="s">
        <v>31344</v>
      </c>
      <c r="D5115">
        <v>5</v>
      </c>
      <c r="E5115" t="s">
        <v>5508</v>
      </c>
      <c r="G5115" s="3"/>
      <c r="H5115" s="21">
        <v>0</v>
      </c>
      <c r="I5115" s="21">
        <v>0</v>
      </c>
      <c r="J5115" s="21">
        <v>0</v>
      </c>
      <c r="K5115" s="21">
        <v>0</v>
      </c>
      <c r="L5115" s="3">
        <f t="shared" si="218"/>
        <v>0</v>
      </c>
      <c r="M5115" s="3"/>
      <c r="N5115" s="3">
        <f t="shared" si="219"/>
        <v>0</v>
      </c>
      <c r="O5115" s="21"/>
      <c r="R5115" s="89"/>
      <c r="S5115" s="89">
        <f>100%-Table34[[#This Row],[PDF_initial fee]]</f>
        <v>1</v>
      </c>
      <c r="T5115" s="89"/>
      <c r="U5115" s="26"/>
      <c r="X5115" s="9"/>
    </row>
    <row r="5116" spans="1:30" hidden="1" x14ac:dyDescent="0.25">
      <c r="A5116">
        <v>957546</v>
      </c>
      <c r="B5116" t="s">
        <v>5509</v>
      </c>
      <c r="C5116" t="s">
        <v>6958</v>
      </c>
      <c r="D5116">
        <v>2</v>
      </c>
      <c r="E5116" t="s">
        <v>5509</v>
      </c>
      <c r="F5116" t="s">
        <v>6958</v>
      </c>
      <c r="G5116" s="3"/>
      <c r="L5116" s="3">
        <f t="shared" si="218"/>
        <v>0</v>
      </c>
      <c r="M5116" s="3"/>
      <c r="N5116" s="3">
        <f t="shared" si="219"/>
        <v>0</v>
      </c>
      <c r="R5116" s="89"/>
      <c r="S5116" s="89">
        <f>100%-Table34[[#This Row],[PDF_initial fee]]</f>
        <v>1</v>
      </c>
      <c r="T5116" s="89"/>
      <c r="U5116" s="26"/>
      <c r="X5116" s="9"/>
    </row>
    <row r="5117" spans="1:30" hidden="1" x14ac:dyDescent="0.25">
      <c r="A5117">
        <v>958141</v>
      </c>
      <c r="B5117" t="s">
        <v>5510</v>
      </c>
      <c r="C5117" t="s">
        <v>7358</v>
      </c>
      <c r="D5117">
        <v>1</v>
      </c>
      <c r="E5117" t="s">
        <v>5510</v>
      </c>
      <c r="G5117" s="3"/>
      <c r="H5117" s="21">
        <v>0</v>
      </c>
      <c r="I5117" s="21">
        <v>0</v>
      </c>
      <c r="J5117" s="21">
        <v>0</v>
      </c>
      <c r="K5117" s="21">
        <v>0</v>
      </c>
      <c r="L5117" s="3">
        <f t="shared" si="218"/>
        <v>0</v>
      </c>
      <c r="M5117" s="3"/>
      <c r="N5117" s="3">
        <f t="shared" si="219"/>
        <v>0</v>
      </c>
      <c r="O5117" s="21"/>
      <c r="R5117" s="89"/>
      <c r="S5117" s="89">
        <f>100%-Table34[[#This Row],[PDF_initial fee]]</f>
        <v>1</v>
      </c>
      <c r="T5117" s="89"/>
      <c r="U5117" s="26"/>
      <c r="X5117" s="9"/>
    </row>
    <row r="5118" spans="1:30" hidden="1" x14ac:dyDescent="0.25">
      <c r="A5118">
        <v>958151</v>
      </c>
      <c r="B5118" t="s">
        <v>5511</v>
      </c>
      <c r="C5118" t="s">
        <v>10862</v>
      </c>
      <c r="D5118">
        <v>1</v>
      </c>
      <c r="E5118" t="s">
        <v>5511</v>
      </c>
      <c r="G5118" s="3"/>
      <c r="H5118" s="3">
        <v>0</v>
      </c>
      <c r="I5118" s="3">
        <v>0</v>
      </c>
      <c r="J5118" s="3">
        <v>0</v>
      </c>
      <c r="K5118" s="3">
        <v>0</v>
      </c>
      <c r="L5118" s="3">
        <f t="shared" si="218"/>
        <v>0</v>
      </c>
      <c r="M5118" s="3"/>
      <c r="N5118" s="3">
        <f t="shared" si="219"/>
        <v>0</v>
      </c>
      <c r="R5118" s="89"/>
      <c r="S5118" s="89">
        <f>100%-Table34[[#This Row],[PDF_initial fee]]</f>
        <v>1</v>
      </c>
      <c r="T5118" s="89"/>
      <c r="U5118" s="26"/>
      <c r="X5118" s="9"/>
    </row>
    <row r="5119" spans="1:30" hidden="1" x14ac:dyDescent="0.25">
      <c r="A5119">
        <v>958154</v>
      </c>
      <c r="B5119" t="s">
        <v>5512</v>
      </c>
      <c r="C5119" t="s">
        <v>31345</v>
      </c>
      <c r="D5119">
        <v>1</v>
      </c>
      <c r="E5119" t="s">
        <v>5512</v>
      </c>
      <c r="G5119" s="3"/>
      <c r="H5119" s="3">
        <v>0</v>
      </c>
      <c r="I5119" s="3">
        <v>0</v>
      </c>
      <c r="J5119" s="3">
        <v>0</v>
      </c>
      <c r="K5119" s="3">
        <v>0</v>
      </c>
      <c r="L5119" s="3">
        <f t="shared" si="218"/>
        <v>0</v>
      </c>
      <c r="M5119" s="3"/>
      <c r="N5119" s="3">
        <f t="shared" si="219"/>
        <v>0</v>
      </c>
      <c r="R5119" s="89"/>
      <c r="S5119" s="89">
        <f>100%-Table34[[#This Row],[PDF_initial fee]]</f>
        <v>1</v>
      </c>
      <c r="T5119" s="89"/>
      <c r="U5119" s="26"/>
      <c r="X5119" s="9"/>
    </row>
    <row r="5120" spans="1:30" hidden="1" x14ac:dyDescent="0.25">
      <c r="A5120">
        <v>958173</v>
      </c>
      <c r="B5120" t="s">
        <v>5513</v>
      </c>
      <c r="C5120" t="s">
        <v>6958</v>
      </c>
      <c r="D5120">
        <v>1</v>
      </c>
      <c r="E5120" t="s">
        <v>5513</v>
      </c>
      <c r="F5120" t="s">
        <v>6958</v>
      </c>
      <c r="G5120" s="3"/>
      <c r="H5120" s="21">
        <v>0</v>
      </c>
      <c r="I5120" s="21">
        <v>0</v>
      </c>
      <c r="J5120" s="21">
        <v>0</v>
      </c>
      <c r="K5120" s="21">
        <v>0</v>
      </c>
      <c r="L5120" s="3">
        <f t="shared" si="218"/>
        <v>0</v>
      </c>
      <c r="M5120" s="3"/>
      <c r="N5120" s="3">
        <f t="shared" si="219"/>
        <v>0</v>
      </c>
      <c r="R5120" s="89"/>
      <c r="S5120" s="89">
        <f>100%-Table34[[#This Row],[PDF_initial fee]]</f>
        <v>1</v>
      </c>
      <c r="T5120" s="89"/>
      <c r="U5120" s="26"/>
      <c r="X5120" s="9"/>
    </row>
    <row r="5121" spans="1:28" hidden="1" x14ac:dyDescent="0.25">
      <c r="A5121">
        <v>958344</v>
      </c>
      <c r="B5121" t="s">
        <v>5514</v>
      </c>
      <c r="C5121" t="s">
        <v>31346</v>
      </c>
      <c r="D5121">
        <v>1</v>
      </c>
      <c r="E5121" t="s">
        <v>5514</v>
      </c>
      <c r="G5121" s="3"/>
      <c r="H5121" s="3">
        <v>0</v>
      </c>
      <c r="I5121" s="3">
        <v>0</v>
      </c>
      <c r="J5121" s="3">
        <v>0</v>
      </c>
      <c r="K5121" s="3">
        <v>0</v>
      </c>
      <c r="L5121" s="3">
        <f t="shared" si="218"/>
        <v>0</v>
      </c>
      <c r="M5121" s="3"/>
      <c r="N5121" s="3">
        <f t="shared" si="219"/>
        <v>0</v>
      </c>
      <c r="R5121" s="89"/>
      <c r="S5121" s="89">
        <f>100%-Table34[[#This Row],[PDF_initial fee]]</f>
        <v>1</v>
      </c>
      <c r="T5121" s="89"/>
      <c r="U5121" s="26"/>
      <c r="X5121" s="9"/>
    </row>
    <row r="5122" spans="1:28" hidden="1" x14ac:dyDescent="0.25">
      <c r="A5122">
        <v>958360</v>
      </c>
      <c r="B5122" t="s">
        <v>5515</v>
      </c>
      <c r="C5122" t="s">
        <v>7755</v>
      </c>
      <c r="D5122">
        <v>1</v>
      </c>
      <c r="E5122" t="s">
        <v>5515</v>
      </c>
      <c r="G5122" s="3"/>
      <c r="H5122" s="21">
        <v>0</v>
      </c>
      <c r="I5122" s="21">
        <v>0</v>
      </c>
      <c r="J5122" s="21">
        <v>0</v>
      </c>
      <c r="K5122" s="21">
        <v>0</v>
      </c>
      <c r="L5122" s="3">
        <f t="shared" si="218"/>
        <v>0</v>
      </c>
      <c r="M5122" s="3"/>
      <c r="N5122" s="3">
        <f t="shared" si="219"/>
        <v>0</v>
      </c>
      <c r="R5122" s="89"/>
      <c r="S5122" s="89">
        <f>100%-Table34[[#This Row],[PDF_initial fee]]</f>
        <v>1</v>
      </c>
      <c r="T5122" s="89"/>
      <c r="U5122" s="26"/>
      <c r="X5122" s="9"/>
    </row>
    <row r="5123" spans="1:28" hidden="1" x14ac:dyDescent="0.25">
      <c r="A5123">
        <v>958446</v>
      </c>
      <c r="B5123" t="s">
        <v>5516</v>
      </c>
      <c r="C5123" t="s">
        <v>12381</v>
      </c>
      <c r="D5123">
        <v>1</v>
      </c>
      <c r="E5123" t="s">
        <v>5516</v>
      </c>
      <c r="G5123" s="3"/>
      <c r="H5123" s="3"/>
      <c r="I5123" s="3"/>
      <c r="J5123" s="3"/>
      <c r="K5123" s="3"/>
      <c r="L5123" s="3">
        <f t="shared" si="218"/>
        <v>0</v>
      </c>
      <c r="M5123" s="3"/>
      <c r="N5123" s="3">
        <f t="shared" si="219"/>
        <v>0</v>
      </c>
      <c r="R5123" s="89"/>
      <c r="S5123" s="89">
        <f>100%-Table34[[#This Row],[PDF_initial fee]]</f>
        <v>1</v>
      </c>
      <c r="T5123" s="89"/>
      <c r="U5123" s="26"/>
      <c r="X5123" s="9"/>
    </row>
    <row r="5124" spans="1:28" hidden="1" x14ac:dyDescent="0.25">
      <c r="A5124">
        <v>958604</v>
      </c>
      <c r="B5124" t="s">
        <v>5517</v>
      </c>
      <c r="C5124" t="s">
        <v>7788</v>
      </c>
      <c r="D5124">
        <v>9</v>
      </c>
      <c r="E5124" t="s">
        <v>5517</v>
      </c>
      <c r="G5124" s="3"/>
      <c r="H5124" s="39"/>
      <c r="I5124" s="39"/>
      <c r="J5124" s="39"/>
      <c r="K5124" s="39"/>
      <c r="L5124" s="3">
        <f t="shared" si="218"/>
        <v>0</v>
      </c>
      <c r="M5124" s="3"/>
      <c r="N5124" s="3">
        <f t="shared" si="219"/>
        <v>0</v>
      </c>
      <c r="R5124" s="89"/>
      <c r="S5124" s="89">
        <f>100%-Table34[[#This Row],[PDF_initial fee]]</f>
        <v>1</v>
      </c>
      <c r="T5124" s="89"/>
      <c r="U5124" s="26"/>
      <c r="X5124" s="9"/>
    </row>
    <row r="5125" spans="1:28" hidden="1" x14ac:dyDescent="0.25">
      <c r="A5125">
        <v>958621</v>
      </c>
      <c r="B5125" t="s">
        <v>5518</v>
      </c>
      <c r="C5125" t="s">
        <v>7689</v>
      </c>
      <c r="D5125">
        <v>6</v>
      </c>
      <c r="E5125" t="s">
        <v>5518</v>
      </c>
      <c r="G5125" s="3"/>
      <c r="L5125" s="3">
        <f t="shared" si="218"/>
        <v>0</v>
      </c>
      <c r="M5125" s="3"/>
      <c r="N5125" s="3">
        <f t="shared" si="219"/>
        <v>0</v>
      </c>
      <c r="R5125" s="89"/>
      <c r="S5125" s="89">
        <f>100%-Table34[[#This Row],[PDF_initial fee]]</f>
        <v>1</v>
      </c>
      <c r="T5125" s="89"/>
      <c r="U5125" s="26"/>
      <c r="X5125" s="9"/>
    </row>
    <row r="5126" spans="1:28" hidden="1" x14ac:dyDescent="0.25">
      <c r="A5126">
        <v>958848</v>
      </c>
      <c r="B5126" t="s">
        <v>5519</v>
      </c>
      <c r="C5126" t="s">
        <v>11735</v>
      </c>
      <c r="D5126">
        <v>2</v>
      </c>
      <c r="E5126" t="s">
        <v>5519</v>
      </c>
      <c r="G5126" s="3"/>
      <c r="H5126" s="3"/>
      <c r="I5126" s="3"/>
      <c r="J5126" s="3"/>
      <c r="K5126" s="3"/>
      <c r="L5126" s="3">
        <f t="shared" si="218"/>
        <v>0</v>
      </c>
      <c r="M5126" s="3"/>
      <c r="N5126" s="3">
        <f t="shared" si="219"/>
        <v>0</v>
      </c>
      <c r="R5126" s="89"/>
      <c r="S5126" s="89">
        <f>100%-Table34[[#This Row],[PDF_initial fee]]</f>
        <v>1</v>
      </c>
      <c r="T5126" s="89"/>
      <c r="U5126" s="26"/>
      <c r="X5126" s="9"/>
    </row>
    <row r="5127" spans="1:28" x14ac:dyDescent="0.25">
      <c r="A5127">
        <v>749888</v>
      </c>
      <c r="B5127" t="s">
        <v>282</v>
      </c>
      <c r="C5127" t="s">
        <v>7595</v>
      </c>
      <c r="D5127">
        <v>3</v>
      </c>
      <c r="E5127" t="s">
        <v>282</v>
      </c>
      <c r="F5127" t="s">
        <v>3</v>
      </c>
      <c r="G5127" s="3">
        <v>1.4E-3</v>
      </c>
      <c r="H5127" s="6">
        <v>1.7500000000000002E-2</v>
      </c>
      <c r="I5127" s="3">
        <v>2.2499999999999999E-2</v>
      </c>
      <c r="J5127" s="6"/>
      <c r="K5127" s="6"/>
      <c r="L5127" s="3">
        <f t="shared" si="218"/>
        <v>0.04</v>
      </c>
      <c r="M5127" s="3"/>
      <c r="N5127" s="3">
        <f t="shared" si="219"/>
        <v>4.1399999999999999E-2</v>
      </c>
      <c r="O5127" t="s">
        <v>31347</v>
      </c>
      <c r="P5127" s="31" t="s">
        <v>31348</v>
      </c>
      <c r="Q5127" t="s">
        <v>31787</v>
      </c>
      <c r="R5127" s="89">
        <v>0.33333333333333348</v>
      </c>
      <c r="S5127" s="89">
        <f>100%-Table34[[#This Row],[InitialFee]]</f>
        <v>0.98250000000000004</v>
      </c>
      <c r="T5127" s="89">
        <f>(1-Table34[[#This Row],[OngoingFee (plus Platform fee)]])^5</f>
        <v>0.89244986942880888</v>
      </c>
      <c r="U5127" s="26">
        <f>(1+Table34[[#This Row],[Net 5yrs return (mostly up to 28th of Feb 2026)]])*Table34[[#This Row],[Investment after initial charge]]*Table34[[#This Row],[Cummulative 5yrs ongoing advice charge]]-1</f>
        <v>0.1691093289517398</v>
      </c>
      <c r="V5127">
        <f>43346+46845</f>
        <v>90191</v>
      </c>
      <c r="W5127" t="s">
        <v>29051</v>
      </c>
      <c r="X5127" s="9">
        <v>40800</v>
      </c>
      <c r="Y5127" s="30">
        <f>X5127/V5127</f>
        <v>0.45237329667039949</v>
      </c>
      <c r="AA5127" s="1" t="s">
        <v>31349</v>
      </c>
      <c r="AB5127" t="s">
        <v>29302</v>
      </c>
    </row>
    <row r="5128" spans="1:28" hidden="1" x14ac:dyDescent="0.25">
      <c r="A5128">
        <v>959118</v>
      </c>
      <c r="B5128" t="s">
        <v>5520</v>
      </c>
      <c r="C5128" t="s">
        <v>12464</v>
      </c>
      <c r="D5128">
        <v>1</v>
      </c>
      <c r="E5128" t="s">
        <v>5520</v>
      </c>
      <c r="G5128" s="3"/>
      <c r="H5128" s="21">
        <v>0</v>
      </c>
      <c r="I5128" s="21">
        <v>0</v>
      </c>
      <c r="J5128" s="21">
        <v>0</v>
      </c>
      <c r="K5128" s="21">
        <v>0</v>
      </c>
      <c r="L5128" s="3">
        <f t="shared" si="218"/>
        <v>0</v>
      </c>
      <c r="M5128" s="3"/>
      <c r="N5128" s="3">
        <f t="shared" si="219"/>
        <v>0</v>
      </c>
      <c r="O5128" s="21"/>
      <c r="R5128" s="89"/>
      <c r="S5128" s="89">
        <f>100%-Table34[[#This Row],[PDF_initial fee]]</f>
        <v>1</v>
      </c>
      <c r="T5128" s="89"/>
      <c r="U5128" s="26"/>
      <c r="X5128" s="9"/>
    </row>
    <row r="5129" spans="1:28" hidden="1" x14ac:dyDescent="0.25">
      <c r="A5129">
        <v>959221</v>
      </c>
      <c r="B5129" t="s">
        <v>5521</v>
      </c>
      <c r="C5129" t="s">
        <v>12184</v>
      </c>
      <c r="D5129">
        <v>1</v>
      </c>
      <c r="E5129" t="s">
        <v>5521</v>
      </c>
      <c r="G5129" s="3"/>
      <c r="H5129" s="3">
        <v>0</v>
      </c>
      <c r="I5129" s="3">
        <v>0</v>
      </c>
      <c r="J5129" s="3">
        <v>0</v>
      </c>
      <c r="K5129" s="3">
        <v>0</v>
      </c>
      <c r="L5129" s="3">
        <f t="shared" si="218"/>
        <v>0</v>
      </c>
      <c r="M5129" s="3"/>
      <c r="N5129" s="3">
        <f t="shared" si="219"/>
        <v>0</v>
      </c>
      <c r="R5129" s="89"/>
      <c r="S5129" s="89">
        <f>100%-Table34[[#This Row],[PDF_initial fee]]</f>
        <v>1</v>
      </c>
      <c r="T5129" s="89"/>
      <c r="U5129" s="26"/>
      <c r="X5129" s="9"/>
    </row>
    <row r="5130" spans="1:28" hidden="1" x14ac:dyDescent="0.25">
      <c r="A5130">
        <v>959222</v>
      </c>
      <c r="B5130" t="s">
        <v>5522</v>
      </c>
      <c r="C5130" t="s">
        <v>6958</v>
      </c>
      <c r="D5130">
        <v>4</v>
      </c>
      <c r="E5130" t="s">
        <v>5522</v>
      </c>
      <c r="F5130" t="s">
        <v>6958</v>
      </c>
      <c r="G5130" s="3"/>
      <c r="H5130" s="21">
        <v>0</v>
      </c>
      <c r="I5130" s="21">
        <v>0</v>
      </c>
      <c r="J5130" s="21">
        <v>0</v>
      </c>
      <c r="K5130" s="21">
        <v>0</v>
      </c>
      <c r="L5130" s="3">
        <f t="shared" si="218"/>
        <v>0</v>
      </c>
      <c r="M5130" s="3"/>
      <c r="N5130" s="3">
        <f t="shared" si="219"/>
        <v>0</v>
      </c>
      <c r="R5130" s="89"/>
      <c r="S5130" s="89">
        <f>100%-Table34[[#This Row],[PDF_initial fee]]</f>
        <v>1</v>
      </c>
      <c r="T5130" s="89"/>
      <c r="U5130" s="26"/>
      <c r="X5130" s="9"/>
    </row>
    <row r="5131" spans="1:28" hidden="1" x14ac:dyDescent="0.25">
      <c r="A5131">
        <v>959424</v>
      </c>
      <c r="B5131" t="s">
        <v>5523</v>
      </c>
      <c r="C5131" t="s">
        <v>31350</v>
      </c>
      <c r="D5131">
        <v>0</v>
      </c>
      <c r="E5131" t="s">
        <v>5523</v>
      </c>
      <c r="F5131" t="s">
        <v>29136</v>
      </c>
      <c r="G5131" s="3"/>
      <c r="H5131" s="3">
        <v>0</v>
      </c>
      <c r="I5131" s="3">
        <v>0</v>
      </c>
      <c r="J5131" s="3">
        <v>0</v>
      </c>
      <c r="K5131" s="3">
        <v>0</v>
      </c>
      <c r="L5131" s="3">
        <f t="shared" ref="L5131:L5162" si="220">SUM(H5131:K5131)</f>
        <v>0</v>
      </c>
      <c r="M5131" s="3"/>
      <c r="N5131" s="3">
        <f t="shared" si="219"/>
        <v>0</v>
      </c>
      <c r="R5131" s="89"/>
      <c r="S5131" s="89">
        <f>100%-Table34[[#This Row],[PDF_initial fee]]</f>
        <v>1</v>
      </c>
      <c r="T5131" s="89"/>
      <c r="U5131" s="26"/>
      <c r="X5131" s="9"/>
    </row>
    <row r="5132" spans="1:28" hidden="1" x14ac:dyDescent="0.25">
      <c r="A5132">
        <v>959557</v>
      </c>
      <c r="B5132" t="s">
        <v>5524</v>
      </c>
      <c r="C5132" t="s">
        <v>12038</v>
      </c>
      <c r="D5132">
        <v>1</v>
      </c>
      <c r="E5132" t="s">
        <v>5524</v>
      </c>
      <c r="G5132" s="3"/>
      <c r="H5132" s="3"/>
      <c r="I5132" s="3"/>
      <c r="J5132" s="3"/>
      <c r="K5132" s="3"/>
      <c r="L5132" s="3">
        <f t="shared" si="220"/>
        <v>0</v>
      </c>
      <c r="M5132" s="3"/>
      <c r="N5132" s="3">
        <f t="shared" si="219"/>
        <v>0</v>
      </c>
      <c r="R5132" s="89"/>
      <c r="S5132" s="89">
        <f>100%-Table34[[#This Row],[PDF_initial fee]]</f>
        <v>1</v>
      </c>
      <c r="T5132" s="89"/>
      <c r="U5132" s="26"/>
      <c r="X5132" s="9"/>
    </row>
    <row r="5133" spans="1:28" hidden="1" x14ac:dyDescent="0.25">
      <c r="A5133">
        <v>959700</v>
      </c>
      <c r="B5133" t="s">
        <v>5525</v>
      </c>
      <c r="C5133" t="s">
        <v>6958</v>
      </c>
      <c r="D5133">
        <v>1</v>
      </c>
      <c r="E5133" t="s">
        <v>5525</v>
      </c>
      <c r="F5133" t="s">
        <v>6958</v>
      </c>
      <c r="G5133" s="3"/>
      <c r="H5133" s="21">
        <v>0</v>
      </c>
      <c r="I5133" s="21">
        <v>0</v>
      </c>
      <c r="J5133" s="21">
        <v>0</v>
      </c>
      <c r="K5133" s="21">
        <v>0</v>
      </c>
      <c r="L5133" s="3">
        <f t="shared" si="220"/>
        <v>0</v>
      </c>
      <c r="M5133" s="3"/>
      <c r="N5133" s="3">
        <f t="shared" si="219"/>
        <v>0</v>
      </c>
      <c r="R5133" s="89"/>
      <c r="S5133" s="89">
        <f>100%-Table34[[#This Row],[PDF_initial fee]]</f>
        <v>1</v>
      </c>
      <c r="T5133" s="89"/>
      <c r="U5133" s="26"/>
      <c r="X5133" s="9"/>
    </row>
    <row r="5134" spans="1:28" hidden="1" x14ac:dyDescent="0.25">
      <c r="A5134">
        <v>960049</v>
      </c>
      <c r="B5134" t="s">
        <v>5526</v>
      </c>
      <c r="C5134" t="s">
        <v>31351</v>
      </c>
      <c r="D5134">
        <v>2</v>
      </c>
      <c r="E5134" t="s">
        <v>5526</v>
      </c>
      <c r="G5134" s="3"/>
      <c r="H5134" s="3">
        <v>0</v>
      </c>
      <c r="I5134" s="3">
        <v>0</v>
      </c>
      <c r="J5134" s="3">
        <v>0</v>
      </c>
      <c r="K5134" s="3">
        <v>0</v>
      </c>
      <c r="L5134" s="3">
        <f t="shared" si="220"/>
        <v>0</v>
      </c>
      <c r="M5134" s="3"/>
      <c r="N5134" s="3">
        <f t="shared" si="219"/>
        <v>0</v>
      </c>
      <c r="R5134" s="89"/>
      <c r="S5134" s="89">
        <f>100%-Table34[[#This Row],[PDF_initial fee]]</f>
        <v>1</v>
      </c>
      <c r="T5134" s="89"/>
      <c r="U5134" s="26"/>
      <c r="X5134" s="9"/>
    </row>
    <row r="5135" spans="1:28" hidden="1" x14ac:dyDescent="0.25">
      <c r="A5135">
        <v>960167</v>
      </c>
      <c r="B5135" t="s">
        <v>5527</v>
      </c>
      <c r="C5135" t="s">
        <v>8251</v>
      </c>
      <c r="D5135">
        <v>3</v>
      </c>
      <c r="E5135" t="s">
        <v>5527</v>
      </c>
      <c r="G5135" s="3"/>
      <c r="H5135" s="21">
        <v>0</v>
      </c>
      <c r="I5135" s="21">
        <v>0</v>
      </c>
      <c r="J5135" s="21">
        <v>0</v>
      </c>
      <c r="K5135" s="21">
        <v>0</v>
      </c>
      <c r="L5135" s="3">
        <f t="shared" si="220"/>
        <v>0</v>
      </c>
      <c r="M5135" s="3"/>
      <c r="N5135" s="3">
        <f t="shared" si="219"/>
        <v>0</v>
      </c>
      <c r="R5135" s="89"/>
      <c r="S5135" s="89">
        <f>100%-Table34[[#This Row],[PDF_initial fee]]</f>
        <v>1</v>
      </c>
      <c r="T5135" s="89"/>
      <c r="U5135" s="26"/>
      <c r="X5135" s="9"/>
    </row>
    <row r="5136" spans="1:28" hidden="1" x14ac:dyDescent="0.25">
      <c r="A5136">
        <v>960257</v>
      </c>
      <c r="B5136" t="s">
        <v>5528</v>
      </c>
      <c r="C5136" t="s">
        <v>31352</v>
      </c>
      <c r="D5136">
        <v>4</v>
      </c>
      <c r="E5136" t="s">
        <v>5528</v>
      </c>
      <c r="G5136" s="3"/>
      <c r="H5136" s="3">
        <v>0</v>
      </c>
      <c r="I5136" s="3">
        <v>0</v>
      </c>
      <c r="J5136" s="3">
        <v>0</v>
      </c>
      <c r="K5136" s="3">
        <v>0</v>
      </c>
      <c r="L5136" s="3">
        <f t="shared" si="220"/>
        <v>0</v>
      </c>
      <c r="M5136" s="3"/>
      <c r="N5136" s="3">
        <f t="shared" si="219"/>
        <v>0</v>
      </c>
      <c r="R5136" s="89"/>
      <c r="S5136" s="89">
        <f>100%-Table34[[#This Row],[PDF_initial fee]]</f>
        <v>1</v>
      </c>
      <c r="T5136" s="89"/>
      <c r="U5136" s="26"/>
      <c r="X5136" s="9"/>
    </row>
    <row r="5137" spans="1:27" x14ac:dyDescent="0.25">
      <c r="A5137">
        <v>1007023</v>
      </c>
      <c r="B5137" t="s">
        <v>359</v>
      </c>
      <c r="C5137" t="s">
        <v>7782</v>
      </c>
      <c r="D5137">
        <v>2</v>
      </c>
      <c r="E5137" t="s">
        <v>359</v>
      </c>
      <c r="F5137" t="s">
        <v>3</v>
      </c>
      <c r="G5137" s="3">
        <v>1.4E-3</v>
      </c>
      <c r="H5137" s="3">
        <v>0.02</v>
      </c>
      <c r="I5137" s="3">
        <v>6.0000000000000001E-3</v>
      </c>
      <c r="J5137" s="6"/>
      <c r="K5137" s="6"/>
      <c r="L5137" s="3">
        <f t="shared" si="220"/>
        <v>2.6000000000000002E-2</v>
      </c>
      <c r="M5137" s="3"/>
      <c r="N5137" s="3">
        <f t="shared" si="219"/>
        <v>2.7400000000000001E-2</v>
      </c>
      <c r="P5137" s="31" t="s">
        <v>31353</v>
      </c>
      <c r="Q5137" t="s">
        <v>31787</v>
      </c>
      <c r="R5137" s="89">
        <v>0.33333333333333348</v>
      </c>
      <c r="S5137" s="89">
        <f>100%-Table34[[#This Row],[InitialFee]]</f>
        <v>0.98</v>
      </c>
      <c r="T5137" s="89">
        <f>(1-Table34[[#This Row],[OngoingFee (plus Platform fee)]])^5</f>
        <v>0.97035784647222412</v>
      </c>
      <c r="U5137" s="26">
        <f>(1+Table34[[#This Row],[Net 5yrs return (mostly up to 28th of Feb 2026)]])*Table34[[#This Row],[Investment after initial charge]]*Table34[[#This Row],[Cummulative 5yrs ongoing advice charge]]-1</f>
        <v>0.2679342527237063</v>
      </c>
      <c r="V5137">
        <f>58353 +36025</f>
        <v>94378</v>
      </c>
      <c r="W5137" t="s">
        <v>29051</v>
      </c>
      <c r="X5137" s="9">
        <v>56553</v>
      </c>
      <c r="Y5137" s="30">
        <f>X5137/V5137</f>
        <v>0.59921803810210006</v>
      </c>
      <c r="AA5137" s="1" t="s">
        <v>31354</v>
      </c>
    </row>
    <row r="5138" spans="1:27" x14ac:dyDescent="0.25">
      <c r="A5138">
        <v>734536</v>
      </c>
      <c r="B5138" t="s">
        <v>279</v>
      </c>
      <c r="C5138" t="s">
        <v>31355</v>
      </c>
      <c r="D5138">
        <v>3</v>
      </c>
      <c r="E5138" t="s">
        <v>279</v>
      </c>
      <c r="F5138" t="s">
        <v>3</v>
      </c>
      <c r="G5138" s="3">
        <v>1.4E-3</v>
      </c>
      <c r="H5138" s="3">
        <v>0.02</v>
      </c>
      <c r="I5138" s="3">
        <v>8.5000000000000006E-3</v>
      </c>
      <c r="J5138" s="6">
        <v>0</v>
      </c>
      <c r="K5138" s="6">
        <v>0</v>
      </c>
      <c r="L5138" s="3">
        <f t="shared" si="220"/>
        <v>2.8500000000000001E-2</v>
      </c>
      <c r="M5138" s="3"/>
      <c r="N5138" s="3">
        <f t="shared" si="219"/>
        <v>2.9899999999999999E-2</v>
      </c>
      <c r="O5138" t="s">
        <v>31356</v>
      </c>
      <c r="P5138" s="31" t="s">
        <v>31357</v>
      </c>
      <c r="Q5138" t="s">
        <v>31787</v>
      </c>
      <c r="R5138" s="89">
        <v>0.33333333333333348</v>
      </c>
      <c r="S5138" s="89">
        <f>100%-Table34[[#This Row],[InitialFee]]</f>
        <v>0.98</v>
      </c>
      <c r="T5138" s="89">
        <f>(1-Table34[[#This Row],[OngoingFee (plus Platform fee)]])^5</f>
        <v>0.95821638480594218</v>
      </c>
      <c r="U5138" s="26">
        <f>(1+Table34[[#This Row],[Net 5yrs return (mostly up to 28th of Feb 2026)]])*Table34[[#This Row],[Investment after initial charge]]*Table34[[#This Row],[Cummulative 5yrs ongoing advice charge]]-1</f>
        <v>0.25206940947976464</v>
      </c>
      <c r="V5138">
        <f>91649+131463</f>
        <v>223112</v>
      </c>
      <c r="W5138" t="s">
        <v>29051</v>
      </c>
      <c r="X5138" s="9">
        <v>89149</v>
      </c>
      <c r="Y5138" s="30">
        <f>X5138/V5138</f>
        <v>0.39957061924056081</v>
      </c>
      <c r="AA5138" s="1" t="s">
        <v>31358</v>
      </c>
    </row>
    <row r="5139" spans="1:27" hidden="1" x14ac:dyDescent="0.25">
      <c r="A5139">
        <v>961398</v>
      </c>
      <c r="B5139" t="s">
        <v>5529</v>
      </c>
      <c r="C5139" t="s">
        <v>6958</v>
      </c>
      <c r="D5139">
        <v>2</v>
      </c>
      <c r="E5139" t="s">
        <v>5529</v>
      </c>
      <c r="F5139" t="s">
        <v>6958</v>
      </c>
      <c r="G5139" s="3"/>
      <c r="H5139" s="21">
        <v>0</v>
      </c>
      <c r="I5139" s="21">
        <v>0</v>
      </c>
      <c r="J5139" s="21">
        <v>0</v>
      </c>
      <c r="K5139" s="21">
        <v>0</v>
      </c>
      <c r="L5139" s="3">
        <f t="shared" si="220"/>
        <v>0</v>
      </c>
      <c r="M5139" s="3"/>
      <c r="N5139" s="3">
        <f t="shared" si="219"/>
        <v>0</v>
      </c>
      <c r="R5139" s="89"/>
      <c r="S5139" s="89">
        <f>100%-Table34[[#This Row],[PDF_initial fee]]</f>
        <v>1</v>
      </c>
      <c r="T5139" s="89"/>
      <c r="U5139" s="26"/>
      <c r="X5139" s="9"/>
    </row>
    <row r="5140" spans="1:27" hidden="1" x14ac:dyDescent="0.25">
      <c r="A5140">
        <v>961763</v>
      </c>
      <c r="B5140" t="s">
        <v>5530</v>
      </c>
      <c r="C5140" t="s">
        <v>31359</v>
      </c>
      <c r="D5140">
        <v>6</v>
      </c>
      <c r="E5140" t="s">
        <v>5530</v>
      </c>
      <c r="G5140" s="3"/>
      <c r="H5140" s="21">
        <v>0</v>
      </c>
      <c r="I5140" s="21">
        <v>0</v>
      </c>
      <c r="J5140" s="21">
        <v>0</v>
      </c>
      <c r="K5140" s="21">
        <v>0</v>
      </c>
      <c r="L5140" s="3">
        <f t="shared" si="220"/>
        <v>0</v>
      </c>
      <c r="M5140" s="3"/>
      <c r="N5140" s="3">
        <f t="shared" si="219"/>
        <v>0</v>
      </c>
      <c r="O5140" s="21"/>
      <c r="R5140" s="89"/>
      <c r="S5140" s="89">
        <f>100%-Table34[[#This Row],[PDF_initial fee]]</f>
        <v>1</v>
      </c>
      <c r="T5140" s="89"/>
      <c r="U5140" s="26"/>
      <c r="X5140" s="9"/>
    </row>
    <row r="5141" spans="1:27" hidden="1" x14ac:dyDescent="0.25">
      <c r="A5141">
        <v>962316</v>
      </c>
      <c r="B5141" t="s">
        <v>5531</v>
      </c>
      <c r="C5141" t="s">
        <v>31360</v>
      </c>
      <c r="D5141">
        <v>1</v>
      </c>
      <c r="E5141" t="s">
        <v>5531</v>
      </c>
      <c r="G5141" s="3"/>
      <c r="H5141" s="3">
        <v>0</v>
      </c>
      <c r="I5141" s="3">
        <v>0</v>
      </c>
      <c r="J5141" s="3">
        <v>0</v>
      </c>
      <c r="K5141" s="3">
        <v>0</v>
      </c>
      <c r="L5141" s="3">
        <f t="shared" si="220"/>
        <v>0</v>
      </c>
      <c r="M5141" s="3"/>
      <c r="N5141" s="3">
        <f t="shared" si="219"/>
        <v>0</v>
      </c>
      <c r="R5141" s="89"/>
      <c r="S5141" s="89">
        <f>100%-Table34[[#This Row],[PDF_initial fee]]</f>
        <v>1</v>
      </c>
      <c r="T5141" s="89"/>
      <c r="U5141" s="26"/>
      <c r="X5141" s="9"/>
    </row>
    <row r="5142" spans="1:27" hidden="1" x14ac:dyDescent="0.25">
      <c r="A5142">
        <v>963129</v>
      </c>
      <c r="B5142" t="s">
        <v>5533</v>
      </c>
      <c r="C5142" s="1" t="s">
        <v>31361</v>
      </c>
      <c r="D5142">
        <v>1</v>
      </c>
      <c r="E5142" t="s">
        <v>5533</v>
      </c>
      <c r="G5142" s="3"/>
      <c r="H5142" s="21">
        <v>0</v>
      </c>
      <c r="I5142" s="21">
        <v>0</v>
      </c>
      <c r="J5142" s="21">
        <v>0</v>
      </c>
      <c r="K5142" s="21">
        <v>0</v>
      </c>
      <c r="L5142" s="3">
        <f t="shared" si="220"/>
        <v>0</v>
      </c>
      <c r="M5142" s="3"/>
      <c r="N5142" s="3">
        <f t="shared" si="219"/>
        <v>0</v>
      </c>
      <c r="O5142" s="21"/>
      <c r="R5142" s="89"/>
      <c r="S5142" s="89">
        <f>100%-Table34[[#This Row],[PDF_initial fee]]</f>
        <v>1</v>
      </c>
      <c r="T5142" s="89"/>
      <c r="U5142" s="26"/>
      <c r="X5142" s="9"/>
    </row>
    <row r="5143" spans="1:27" hidden="1" x14ac:dyDescent="0.25">
      <c r="A5143">
        <v>963406</v>
      </c>
      <c r="B5143" t="s">
        <v>5534</v>
      </c>
      <c r="C5143" t="s">
        <v>6958</v>
      </c>
      <c r="D5143">
        <v>2</v>
      </c>
      <c r="E5143" t="s">
        <v>5534</v>
      </c>
      <c r="F5143" t="s">
        <v>6958</v>
      </c>
      <c r="G5143" s="3"/>
      <c r="H5143" s="21">
        <v>0</v>
      </c>
      <c r="I5143" s="21">
        <v>0</v>
      </c>
      <c r="J5143" s="21">
        <v>0</v>
      </c>
      <c r="K5143" s="21">
        <v>0</v>
      </c>
      <c r="L5143" s="3">
        <f t="shared" si="220"/>
        <v>0</v>
      </c>
      <c r="M5143" s="3"/>
      <c r="N5143" s="3">
        <f t="shared" ref="N5143:N5174" si="221">L5143+G5143</f>
        <v>0</v>
      </c>
      <c r="R5143" s="89"/>
      <c r="S5143" s="89">
        <f>100%-Table34[[#This Row],[PDF_initial fee]]</f>
        <v>1</v>
      </c>
      <c r="T5143" s="89"/>
      <c r="U5143" s="26"/>
      <c r="X5143" s="9"/>
    </row>
    <row r="5144" spans="1:27" hidden="1" x14ac:dyDescent="0.25">
      <c r="A5144">
        <v>963468</v>
      </c>
      <c r="B5144" t="s">
        <v>5535</v>
      </c>
      <c r="C5144" t="s">
        <v>10107</v>
      </c>
      <c r="D5144">
        <v>1</v>
      </c>
      <c r="E5144" t="s">
        <v>5535</v>
      </c>
      <c r="G5144" s="3"/>
      <c r="H5144" s="3">
        <v>0</v>
      </c>
      <c r="I5144" s="3">
        <v>0</v>
      </c>
      <c r="J5144" s="3">
        <v>0</v>
      </c>
      <c r="K5144" s="3">
        <v>0</v>
      </c>
      <c r="L5144" s="3">
        <f t="shared" si="220"/>
        <v>0</v>
      </c>
      <c r="M5144" s="3"/>
      <c r="N5144" s="3">
        <f t="shared" si="221"/>
        <v>0</v>
      </c>
      <c r="R5144" s="89"/>
      <c r="S5144" s="89">
        <f>100%-Table34[[#This Row],[PDF_initial fee]]</f>
        <v>1</v>
      </c>
      <c r="T5144" s="89"/>
      <c r="U5144" s="26"/>
      <c r="X5144" s="9"/>
    </row>
    <row r="5145" spans="1:27" hidden="1" x14ac:dyDescent="0.25">
      <c r="A5145">
        <v>963725</v>
      </c>
      <c r="B5145" t="s">
        <v>5536</v>
      </c>
      <c r="C5145" t="s">
        <v>31362</v>
      </c>
      <c r="D5145">
        <v>0</v>
      </c>
      <c r="E5145" t="s">
        <v>5536</v>
      </c>
      <c r="F5145" t="s">
        <v>29136</v>
      </c>
      <c r="G5145" s="3"/>
      <c r="H5145" s="21">
        <v>0</v>
      </c>
      <c r="I5145" s="21">
        <v>0</v>
      </c>
      <c r="J5145" s="21">
        <v>0</v>
      </c>
      <c r="K5145" s="21">
        <v>0</v>
      </c>
      <c r="L5145" s="3">
        <f t="shared" si="220"/>
        <v>0</v>
      </c>
      <c r="M5145" s="3"/>
      <c r="N5145" s="3">
        <f t="shared" si="221"/>
        <v>0</v>
      </c>
      <c r="O5145" s="21"/>
      <c r="R5145" s="89"/>
      <c r="S5145" s="89">
        <f>100%-Table34[[#This Row],[PDF_initial fee]]</f>
        <v>1</v>
      </c>
      <c r="T5145" s="89"/>
      <c r="U5145" s="26"/>
      <c r="X5145" s="9"/>
    </row>
    <row r="5146" spans="1:27" x14ac:dyDescent="0.25">
      <c r="A5146">
        <v>613533</v>
      </c>
      <c r="B5146" t="s">
        <v>255</v>
      </c>
      <c r="C5146" t="s">
        <v>31363</v>
      </c>
      <c r="D5146">
        <v>6</v>
      </c>
      <c r="E5146" t="s">
        <v>255</v>
      </c>
      <c r="F5146" t="s">
        <v>3</v>
      </c>
      <c r="G5146" s="3">
        <v>1.4E-3</v>
      </c>
      <c r="H5146" s="3">
        <v>0.01</v>
      </c>
      <c r="I5146" s="3">
        <v>7.4999999999999997E-3</v>
      </c>
      <c r="J5146" s="6">
        <v>0</v>
      </c>
      <c r="K5146" s="6">
        <v>0</v>
      </c>
      <c r="L5146" s="3">
        <f t="shared" si="220"/>
        <v>1.7500000000000002E-2</v>
      </c>
      <c r="M5146" s="3"/>
      <c r="N5146" s="3">
        <f t="shared" si="221"/>
        <v>1.89E-2</v>
      </c>
      <c r="P5146" s="31" t="s">
        <v>31364</v>
      </c>
      <c r="Q5146" t="s">
        <v>31787</v>
      </c>
      <c r="R5146" s="89">
        <v>0.33333333333333348</v>
      </c>
      <c r="S5146" s="89">
        <f>100%-Table34[[#This Row],[InitialFee]]</f>
        <v>0.99</v>
      </c>
      <c r="T5146" s="89">
        <f>(1-Table34[[#This Row],[OngoingFee (plus Platform fee)]])^5</f>
        <v>0.9630582970465823</v>
      </c>
      <c r="U5146" s="26">
        <f>(1+Table34[[#This Row],[Net 5yrs return (mostly up to 28th of Feb 2026)]])*Table34[[#This Row],[Investment after initial charge]]*Table34[[#This Row],[Cummulative 5yrs ongoing advice charge]]-1</f>
        <v>0.27123695210148879</v>
      </c>
      <c r="V5146" s="9">
        <v>333524</v>
      </c>
      <c r="W5146" t="s">
        <v>29051</v>
      </c>
      <c r="X5146" s="9">
        <v>214237</v>
      </c>
      <c r="Y5146" s="30">
        <f>X5146/V5146</f>
        <v>0.64234357947254173</v>
      </c>
      <c r="AA5146" s="1" t="s">
        <v>31365</v>
      </c>
    </row>
    <row r="5147" spans="1:27" hidden="1" x14ac:dyDescent="0.25">
      <c r="A5147">
        <v>963983</v>
      </c>
      <c r="B5147" t="s">
        <v>5537</v>
      </c>
      <c r="C5147" t="s">
        <v>9826</v>
      </c>
      <c r="D5147">
        <v>2</v>
      </c>
      <c r="E5147" t="s">
        <v>5537</v>
      </c>
      <c r="G5147" s="3"/>
      <c r="H5147" s="21">
        <v>0</v>
      </c>
      <c r="I5147" s="21">
        <v>0</v>
      </c>
      <c r="J5147" s="21">
        <v>0</v>
      </c>
      <c r="K5147" s="21">
        <v>0</v>
      </c>
      <c r="L5147" s="3">
        <f t="shared" si="220"/>
        <v>0</v>
      </c>
      <c r="M5147" s="3"/>
      <c r="N5147" s="3">
        <f t="shared" si="221"/>
        <v>0</v>
      </c>
      <c r="O5147" s="21"/>
      <c r="R5147" s="89"/>
      <c r="S5147" s="89">
        <f>100%-Table34[[#This Row],[PDF_initial fee]]</f>
        <v>1</v>
      </c>
      <c r="T5147" s="89"/>
      <c r="U5147" s="26"/>
      <c r="X5147" s="9"/>
    </row>
    <row r="5148" spans="1:27" hidden="1" x14ac:dyDescent="0.25">
      <c r="A5148">
        <v>964188</v>
      </c>
      <c r="B5148" t="s">
        <v>5538</v>
      </c>
      <c r="C5148" t="s">
        <v>6958</v>
      </c>
      <c r="D5148">
        <v>2</v>
      </c>
      <c r="E5148" t="s">
        <v>5538</v>
      </c>
      <c r="F5148" t="s">
        <v>6958</v>
      </c>
      <c r="G5148" s="3"/>
      <c r="H5148" s="21">
        <v>0</v>
      </c>
      <c r="I5148" s="21">
        <v>0</v>
      </c>
      <c r="J5148" s="21">
        <v>0</v>
      </c>
      <c r="K5148" s="21">
        <v>0</v>
      </c>
      <c r="L5148" s="3">
        <f t="shared" si="220"/>
        <v>0</v>
      </c>
      <c r="M5148" s="3"/>
      <c r="N5148" s="3">
        <f t="shared" si="221"/>
        <v>0</v>
      </c>
      <c r="R5148" s="89"/>
      <c r="S5148" s="89">
        <f>100%-Table34[[#This Row],[PDF_initial fee]]</f>
        <v>1</v>
      </c>
      <c r="T5148" s="89"/>
      <c r="U5148" s="26"/>
      <c r="X5148" s="9"/>
    </row>
    <row r="5149" spans="1:27" hidden="1" x14ac:dyDescent="0.25">
      <c r="A5149">
        <v>964256</v>
      </c>
      <c r="B5149" t="s">
        <v>5539</v>
      </c>
      <c r="C5149" t="s">
        <v>9954</v>
      </c>
      <c r="D5149">
        <v>1</v>
      </c>
      <c r="E5149" t="s">
        <v>5539</v>
      </c>
      <c r="G5149" s="3"/>
      <c r="H5149" s="3">
        <v>0</v>
      </c>
      <c r="I5149" s="3">
        <v>0</v>
      </c>
      <c r="J5149" s="3">
        <v>0</v>
      </c>
      <c r="K5149" s="3">
        <v>0</v>
      </c>
      <c r="L5149" s="3">
        <f t="shared" si="220"/>
        <v>0</v>
      </c>
      <c r="M5149" s="3"/>
      <c r="N5149" s="3">
        <f t="shared" si="221"/>
        <v>0</v>
      </c>
      <c r="R5149" s="89"/>
      <c r="S5149" s="89">
        <f>100%-Table34[[#This Row],[PDF_initial fee]]</f>
        <v>1</v>
      </c>
      <c r="T5149" s="89"/>
      <c r="U5149" s="26"/>
      <c r="X5149" s="9"/>
    </row>
    <row r="5150" spans="1:27" hidden="1" x14ac:dyDescent="0.25">
      <c r="A5150">
        <v>964558</v>
      </c>
      <c r="B5150" t="s">
        <v>5540</v>
      </c>
      <c r="C5150" t="s">
        <v>7751</v>
      </c>
      <c r="D5150">
        <v>1</v>
      </c>
      <c r="E5150" t="s">
        <v>5540</v>
      </c>
      <c r="G5150" s="3"/>
      <c r="H5150" s="21">
        <v>0</v>
      </c>
      <c r="I5150" s="21">
        <v>0</v>
      </c>
      <c r="J5150" s="21">
        <v>0</v>
      </c>
      <c r="K5150" s="21">
        <v>0</v>
      </c>
      <c r="L5150" s="3">
        <f t="shared" si="220"/>
        <v>0</v>
      </c>
      <c r="M5150" s="3"/>
      <c r="N5150" s="3">
        <f t="shared" si="221"/>
        <v>0</v>
      </c>
      <c r="R5150" s="89"/>
      <c r="S5150" s="89">
        <f>100%-Table34[[#This Row],[PDF_initial fee]]</f>
        <v>1</v>
      </c>
      <c r="T5150" s="89"/>
      <c r="U5150" s="26"/>
      <c r="X5150" s="9"/>
    </row>
    <row r="5151" spans="1:27" hidden="1" x14ac:dyDescent="0.25">
      <c r="A5151">
        <v>964654</v>
      </c>
      <c r="B5151" t="s">
        <v>5541</v>
      </c>
      <c r="C5151" s="1" t="s">
        <v>31366</v>
      </c>
      <c r="D5151">
        <v>3</v>
      </c>
      <c r="E5151" t="s">
        <v>5541</v>
      </c>
      <c r="G5151" s="3"/>
      <c r="H5151" s="3">
        <v>0</v>
      </c>
      <c r="I5151" s="3">
        <v>0</v>
      </c>
      <c r="J5151" s="3">
        <v>0</v>
      </c>
      <c r="K5151" s="3">
        <v>0</v>
      </c>
      <c r="L5151" s="3">
        <f t="shared" si="220"/>
        <v>0</v>
      </c>
      <c r="M5151" s="3"/>
      <c r="N5151" s="3">
        <f t="shared" si="221"/>
        <v>0</v>
      </c>
      <c r="R5151" s="89"/>
      <c r="S5151" s="89">
        <f>100%-Table34[[#This Row],[PDF_initial fee]]</f>
        <v>1</v>
      </c>
      <c r="T5151" s="89"/>
      <c r="U5151" s="26"/>
      <c r="X5151" s="9"/>
    </row>
    <row r="5152" spans="1:27" hidden="1" x14ac:dyDescent="0.25">
      <c r="A5152">
        <v>965185</v>
      </c>
      <c r="B5152" t="s">
        <v>5542</v>
      </c>
      <c r="C5152" t="s">
        <v>31367</v>
      </c>
      <c r="D5152">
        <v>2</v>
      </c>
      <c r="E5152" t="s">
        <v>5542</v>
      </c>
      <c r="G5152" s="3"/>
      <c r="H5152" s="3">
        <v>0</v>
      </c>
      <c r="I5152" s="3">
        <v>0</v>
      </c>
      <c r="J5152" s="3">
        <v>0</v>
      </c>
      <c r="K5152" s="3">
        <v>0</v>
      </c>
      <c r="L5152" s="3">
        <f t="shared" si="220"/>
        <v>0</v>
      </c>
      <c r="M5152" s="3"/>
      <c r="N5152" s="3">
        <f t="shared" si="221"/>
        <v>0</v>
      </c>
      <c r="R5152" s="89"/>
      <c r="S5152" s="89">
        <f>100%-Table34[[#This Row],[PDF_initial fee]]</f>
        <v>1</v>
      </c>
      <c r="T5152" s="89"/>
      <c r="U5152" s="26"/>
      <c r="X5152" s="9"/>
    </row>
    <row r="5153" spans="1:24" hidden="1" x14ac:dyDescent="0.25">
      <c r="A5153">
        <v>965267</v>
      </c>
      <c r="B5153" t="s">
        <v>5543</v>
      </c>
      <c r="C5153" t="s">
        <v>12595</v>
      </c>
      <c r="D5153">
        <v>1</v>
      </c>
      <c r="E5153" t="s">
        <v>5543</v>
      </c>
      <c r="G5153" s="3"/>
      <c r="H5153" s="3">
        <v>0</v>
      </c>
      <c r="I5153" s="3">
        <v>0</v>
      </c>
      <c r="J5153" s="3">
        <v>0</v>
      </c>
      <c r="K5153" s="3">
        <v>0</v>
      </c>
      <c r="L5153" s="3">
        <f t="shared" si="220"/>
        <v>0</v>
      </c>
      <c r="M5153" s="3"/>
      <c r="N5153" s="3">
        <f t="shared" si="221"/>
        <v>0</v>
      </c>
      <c r="R5153" s="89"/>
      <c r="S5153" s="89">
        <f>100%-Table34[[#This Row],[PDF_initial fee]]</f>
        <v>1</v>
      </c>
      <c r="T5153" s="89"/>
      <c r="U5153" s="26"/>
      <c r="X5153" s="9"/>
    </row>
    <row r="5154" spans="1:24" hidden="1" x14ac:dyDescent="0.25">
      <c r="A5154">
        <v>965916</v>
      </c>
      <c r="B5154" t="s">
        <v>5544</v>
      </c>
      <c r="C5154" t="s">
        <v>10564</v>
      </c>
      <c r="D5154">
        <v>2</v>
      </c>
      <c r="E5154" t="s">
        <v>5544</v>
      </c>
      <c r="G5154" s="3"/>
      <c r="H5154" s="3"/>
      <c r="I5154" s="3"/>
      <c r="J5154" s="3"/>
      <c r="K5154" s="3"/>
      <c r="L5154" s="3">
        <f t="shared" si="220"/>
        <v>0</v>
      </c>
      <c r="M5154" s="3"/>
      <c r="N5154" s="3">
        <f t="shared" si="221"/>
        <v>0</v>
      </c>
      <c r="R5154" s="89"/>
      <c r="S5154" s="89">
        <f>100%-Table34[[#This Row],[PDF_initial fee]]</f>
        <v>1</v>
      </c>
      <c r="T5154" s="89"/>
      <c r="U5154" s="26"/>
      <c r="X5154" s="9"/>
    </row>
    <row r="5155" spans="1:24" hidden="1" x14ac:dyDescent="0.25">
      <c r="A5155">
        <v>966018</v>
      </c>
      <c r="B5155" t="s">
        <v>5545</v>
      </c>
      <c r="C5155" t="s">
        <v>6958</v>
      </c>
      <c r="D5155">
        <v>1</v>
      </c>
      <c r="E5155" t="s">
        <v>5545</v>
      </c>
      <c r="F5155" t="s">
        <v>6958</v>
      </c>
      <c r="G5155" s="3"/>
      <c r="H5155" s="21">
        <v>0</v>
      </c>
      <c r="I5155" s="21">
        <v>0</v>
      </c>
      <c r="J5155" s="21">
        <v>0</v>
      </c>
      <c r="K5155" s="21">
        <v>0</v>
      </c>
      <c r="L5155" s="3">
        <f t="shared" si="220"/>
        <v>0</v>
      </c>
      <c r="M5155" s="3"/>
      <c r="N5155" s="3">
        <f t="shared" si="221"/>
        <v>0</v>
      </c>
      <c r="R5155" s="89"/>
      <c r="S5155" s="89">
        <f>100%-Table34[[#This Row],[PDF_initial fee]]</f>
        <v>1</v>
      </c>
      <c r="T5155" s="89"/>
      <c r="U5155" s="26"/>
      <c r="X5155" s="9"/>
    </row>
    <row r="5156" spans="1:24" hidden="1" x14ac:dyDescent="0.25">
      <c r="A5156">
        <v>966139</v>
      </c>
      <c r="B5156" t="s">
        <v>5546</v>
      </c>
      <c r="C5156" t="s">
        <v>10182</v>
      </c>
      <c r="D5156">
        <v>5</v>
      </c>
      <c r="E5156" t="s">
        <v>5546</v>
      </c>
      <c r="G5156" s="3"/>
      <c r="H5156" s="3"/>
      <c r="I5156" s="3"/>
      <c r="J5156" s="3"/>
      <c r="K5156" s="3"/>
      <c r="L5156" s="3">
        <f t="shared" si="220"/>
        <v>0</v>
      </c>
      <c r="M5156" s="3"/>
      <c r="N5156" s="3">
        <f t="shared" si="221"/>
        <v>0</v>
      </c>
      <c r="R5156" s="89"/>
      <c r="S5156" s="89">
        <f>100%-Table34[[#This Row],[PDF_initial fee]]</f>
        <v>1</v>
      </c>
      <c r="T5156" s="89"/>
      <c r="U5156" s="26"/>
      <c r="X5156" s="9"/>
    </row>
    <row r="5157" spans="1:24" hidden="1" x14ac:dyDescent="0.25">
      <c r="A5157">
        <v>966180</v>
      </c>
      <c r="B5157" t="s">
        <v>5547</v>
      </c>
      <c r="C5157" t="s">
        <v>31368</v>
      </c>
      <c r="D5157">
        <v>3</v>
      </c>
      <c r="E5157" t="s">
        <v>5547</v>
      </c>
      <c r="G5157" s="3"/>
      <c r="H5157" s="21">
        <v>0</v>
      </c>
      <c r="I5157" s="21">
        <v>0</v>
      </c>
      <c r="J5157" s="21">
        <v>0</v>
      </c>
      <c r="K5157" s="21">
        <v>0</v>
      </c>
      <c r="L5157" s="3">
        <f t="shared" si="220"/>
        <v>0</v>
      </c>
      <c r="M5157" s="3"/>
      <c r="N5157" s="3">
        <f t="shared" si="221"/>
        <v>0</v>
      </c>
      <c r="O5157" s="21"/>
      <c r="R5157" s="89"/>
      <c r="S5157" s="89">
        <f>100%-Table34[[#This Row],[PDF_initial fee]]</f>
        <v>1</v>
      </c>
      <c r="T5157" s="89"/>
      <c r="U5157" s="26"/>
      <c r="X5157" s="9"/>
    </row>
    <row r="5158" spans="1:24" hidden="1" x14ac:dyDescent="0.25">
      <c r="A5158">
        <v>966255</v>
      </c>
      <c r="B5158" t="s">
        <v>5550</v>
      </c>
      <c r="C5158" t="s">
        <v>31369</v>
      </c>
      <c r="D5158">
        <v>3</v>
      </c>
      <c r="E5158" t="s">
        <v>5550</v>
      </c>
      <c r="G5158" s="3"/>
      <c r="H5158" s="3">
        <v>0</v>
      </c>
      <c r="I5158" s="3">
        <v>0</v>
      </c>
      <c r="J5158" s="3">
        <v>0</v>
      </c>
      <c r="K5158" s="3">
        <v>0</v>
      </c>
      <c r="L5158" s="3">
        <f t="shared" si="220"/>
        <v>0</v>
      </c>
      <c r="M5158" s="3"/>
      <c r="N5158" s="3">
        <f t="shared" si="221"/>
        <v>0</v>
      </c>
      <c r="R5158" s="89"/>
      <c r="S5158" s="89">
        <f>100%-Table34[[#This Row],[PDF_initial fee]]</f>
        <v>1</v>
      </c>
      <c r="T5158" s="89"/>
      <c r="U5158" s="26"/>
      <c r="X5158" s="9"/>
    </row>
    <row r="5159" spans="1:24" hidden="1" x14ac:dyDescent="0.25">
      <c r="A5159">
        <v>966305</v>
      </c>
      <c r="B5159" t="s">
        <v>5551</v>
      </c>
      <c r="C5159" t="s">
        <v>31370</v>
      </c>
      <c r="D5159">
        <v>18</v>
      </c>
      <c r="E5159" t="s">
        <v>5551</v>
      </c>
      <c r="G5159" s="3"/>
      <c r="H5159" s="21">
        <v>0</v>
      </c>
      <c r="I5159" s="21">
        <v>0</v>
      </c>
      <c r="J5159" s="21">
        <v>0</v>
      </c>
      <c r="K5159" s="21">
        <v>0</v>
      </c>
      <c r="L5159" s="3">
        <f t="shared" si="220"/>
        <v>0</v>
      </c>
      <c r="M5159" s="3"/>
      <c r="N5159" s="3">
        <f t="shared" si="221"/>
        <v>0</v>
      </c>
      <c r="O5159" s="21"/>
      <c r="R5159" s="89"/>
      <c r="S5159" s="89">
        <f>100%-Table34[[#This Row],[PDF_initial fee]]</f>
        <v>1</v>
      </c>
      <c r="T5159" s="89"/>
      <c r="U5159" s="26"/>
      <c r="X5159" s="9"/>
    </row>
    <row r="5160" spans="1:24" hidden="1" x14ac:dyDescent="0.25">
      <c r="A5160">
        <v>966976</v>
      </c>
      <c r="B5160" t="s">
        <v>5552</v>
      </c>
      <c r="C5160" t="s">
        <v>9147</v>
      </c>
      <c r="D5160">
        <v>1</v>
      </c>
      <c r="E5160" t="s">
        <v>5552</v>
      </c>
      <c r="G5160" s="3"/>
      <c r="H5160" s="21">
        <v>0</v>
      </c>
      <c r="I5160" s="21">
        <v>0</v>
      </c>
      <c r="J5160" s="21">
        <v>0</v>
      </c>
      <c r="K5160" s="21">
        <v>0</v>
      </c>
      <c r="L5160" s="3">
        <f t="shared" si="220"/>
        <v>0</v>
      </c>
      <c r="M5160" s="3"/>
      <c r="N5160" s="3">
        <f t="shared" si="221"/>
        <v>0</v>
      </c>
      <c r="R5160" s="89"/>
      <c r="S5160" s="89">
        <f>100%-Table34[[#This Row],[PDF_initial fee]]</f>
        <v>1</v>
      </c>
      <c r="T5160" s="89"/>
      <c r="U5160" s="26"/>
      <c r="X5160" s="9"/>
    </row>
    <row r="5161" spans="1:24" hidden="1" x14ac:dyDescent="0.25">
      <c r="A5161">
        <v>966977</v>
      </c>
      <c r="B5161" t="s">
        <v>5553</v>
      </c>
      <c r="C5161" t="s">
        <v>6958</v>
      </c>
      <c r="D5161">
        <v>1</v>
      </c>
      <c r="E5161" t="s">
        <v>5553</v>
      </c>
      <c r="F5161" t="s">
        <v>6958</v>
      </c>
      <c r="G5161" s="3"/>
      <c r="H5161" s="21">
        <v>0</v>
      </c>
      <c r="I5161" s="21">
        <v>0</v>
      </c>
      <c r="J5161" s="21">
        <v>0</v>
      </c>
      <c r="K5161" s="21">
        <v>0</v>
      </c>
      <c r="L5161" s="3">
        <f t="shared" si="220"/>
        <v>0</v>
      </c>
      <c r="M5161" s="3"/>
      <c r="N5161" s="3">
        <f t="shared" si="221"/>
        <v>0</v>
      </c>
      <c r="R5161" s="89"/>
      <c r="S5161" s="89">
        <f>100%-Table34[[#This Row],[PDF_initial fee]]</f>
        <v>1</v>
      </c>
      <c r="T5161" s="89"/>
      <c r="U5161" s="26"/>
      <c r="X5161" s="9"/>
    </row>
    <row r="5162" spans="1:24" hidden="1" x14ac:dyDescent="0.25">
      <c r="A5162">
        <v>966979</v>
      </c>
      <c r="B5162" t="s">
        <v>5554</v>
      </c>
      <c r="C5162" t="s">
        <v>6958</v>
      </c>
      <c r="D5162">
        <v>1</v>
      </c>
      <c r="E5162" t="s">
        <v>5554</v>
      </c>
      <c r="F5162" t="s">
        <v>6958</v>
      </c>
      <c r="G5162" s="3"/>
      <c r="H5162" s="21">
        <v>0</v>
      </c>
      <c r="I5162" s="21">
        <v>0</v>
      </c>
      <c r="J5162" s="21">
        <v>0</v>
      </c>
      <c r="K5162" s="21">
        <v>0</v>
      </c>
      <c r="L5162" s="3">
        <f t="shared" si="220"/>
        <v>0</v>
      </c>
      <c r="M5162" s="3"/>
      <c r="N5162" s="3">
        <f t="shared" si="221"/>
        <v>0</v>
      </c>
      <c r="R5162" s="89"/>
      <c r="S5162" s="89">
        <f>100%-Table34[[#This Row],[PDF_initial fee]]</f>
        <v>1</v>
      </c>
      <c r="T5162" s="89"/>
      <c r="U5162" s="26"/>
      <c r="X5162" s="9"/>
    </row>
    <row r="5163" spans="1:24" hidden="1" x14ac:dyDescent="0.25">
      <c r="A5163">
        <v>967142</v>
      </c>
      <c r="B5163" t="s">
        <v>5555</v>
      </c>
      <c r="C5163" t="s">
        <v>10817</v>
      </c>
      <c r="D5163">
        <v>20</v>
      </c>
      <c r="E5163" t="s">
        <v>5555</v>
      </c>
      <c r="G5163" s="3"/>
      <c r="H5163" s="21">
        <v>0</v>
      </c>
      <c r="I5163" s="21">
        <v>0</v>
      </c>
      <c r="J5163" s="21">
        <v>0</v>
      </c>
      <c r="K5163" s="21">
        <v>0</v>
      </c>
      <c r="L5163" s="3">
        <f t="shared" ref="L5163:L5194" si="222">SUM(H5163:K5163)</f>
        <v>0</v>
      </c>
      <c r="M5163" s="3"/>
      <c r="N5163" s="3">
        <f t="shared" si="221"/>
        <v>0</v>
      </c>
      <c r="O5163" s="21"/>
      <c r="R5163" s="89"/>
      <c r="S5163" s="89">
        <f>100%-Table34[[#This Row],[PDF_initial fee]]</f>
        <v>1</v>
      </c>
      <c r="T5163" s="89"/>
      <c r="U5163" s="26"/>
      <c r="X5163" s="9"/>
    </row>
    <row r="5164" spans="1:24" hidden="1" x14ac:dyDescent="0.25">
      <c r="A5164">
        <v>967228</v>
      </c>
      <c r="B5164" t="s">
        <v>5556</v>
      </c>
      <c r="C5164" t="s">
        <v>10932</v>
      </c>
      <c r="D5164">
        <v>5</v>
      </c>
      <c r="E5164" t="s">
        <v>5556</v>
      </c>
      <c r="G5164" s="3"/>
      <c r="H5164" s="21">
        <v>0</v>
      </c>
      <c r="I5164" s="21">
        <v>0</v>
      </c>
      <c r="J5164" s="21">
        <v>0</v>
      </c>
      <c r="K5164" s="21">
        <v>0</v>
      </c>
      <c r="L5164" s="3">
        <f t="shared" si="222"/>
        <v>0</v>
      </c>
      <c r="M5164" s="3"/>
      <c r="N5164" s="3">
        <f t="shared" si="221"/>
        <v>0</v>
      </c>
      <c r="O5164" s="21"/>
      <c r="R5164" s="89"/>
      <c r="S5164" s="89">
        <f>100%-Table34[[#This Row],[PDF_initial fee]]</f>
        <v>1</v>
      </c>
      <c r="T5164" s="89"/>
      <c r="U5164" s="26"/>
      <c r="X5164" s="9"/>
    </row>
    <row r="5165" spans="1:24" hidden="1" x14ac:dyDescent="0.25">
      <c r="A5165">
        <v>967369</v>
      </c>
      <c r="B5165" t="s">
        <v>5557</v>
      </c>
      <c r="C5165" t="s">
        <v>31371</v>
      </c>
      <c r="D5165">
        <v>12</v>
      </c>
      <c r="E5165" t="s">
        <v>5557</v>
      </c>
      <c r="G5165" s="3"/>
      <c r="H5165" s="21">
        <v>0</v>
      </c>
      <c r="I5165" s="21">
        <v>0</v>
      </c>
      <c r="J5165" s="21">
        <v>0</v>
      </c>
      <c r="K5165" s="21">
        <v>0</v>
      </c>
      <c r="L5165" s="3">
        <f t="shared" si="222"/>
        <v>0</v>
      </c>
      <c r="M5165" s="3"/>
      <c r="N5165" s="3">
        <f t="shared" si="221"/>
        <v>0</v>
      </c>
      <c r="O5165" s="21"/>
      <c r="R5165" s="89"/>
      <c r="S5165" s="89">
        <f>100%-Table34[[#This Row],[PDF_initial fee]]</f>
        <v>1</v>
      </c>
      <c r="T5165" s="89"/>
      <c r="U5165" s="26"/>
      <c r="X5165" s="9"/>
    </row>
    <row r="5166" spans="1:24" hidden="1" x14ac:dyDescent="0.25">
      <c r="A5166">
        <v>967655</v>
      </c>
      <c r="B5166" t="s">
        <v>5558</v>
      </c>
      <c r="C5166" t="s">
        <v>6958</v>
      </c>
      <c r="D5166">
        <v>1</v>
      </c>
      <c r="E5166" t="s">
        <v>5558</v>
      </c>
      <c r="F5166" t="s">
        <v>6958</v>
      </c>
      <c r="G5166" s="3"/>
      <c r="H5166" s="21">
        <v>0</v>
      </c>
      <c r="I5166" s="21">
        <v>0</v>
      </c>
      <c r="J5166" s="21">
        <v>0</v>
      </c>
      <c r="K5166" s="21">
        <v>0</v>
      </c>
      <c r="L5166" s="3">
        <f t="shared" si="222"/>
        <v>0</v>
      </c>
      <c r="M5166" s="3"/>
      <c r="N5166" s="3">
        <f t="shared" si="221"/>
        <v>0</v>
      </c>
      <c r="O5166" s="21"/>
      <c r="R5166" s="89"/>
      <c r="S5166" s="89">
        <f>100%-Table34[[#This Row],[PDF_initial fee]]</f>
        <v>1</v>
      </c>
      <c r="T5166" s="89"/>
      <c r="U5166" s="26"/>
      <c r="X5166" s="9"/>
    </row>
    <row r="5167" spans="1:24" hidden="1" x14ac:dyDescent="0.25">
      <c r="A5167">
        <v>967904</v>
      </c>
      <c r="B5167" t="s">
        <v>5559</v>
      </c>
      <c r="C5167" t="s">
        <v>7917</v>
      </c>
      <c r="D5167">
        <v>2</v>
      </c>
      <c r="E5167" t="s">
        <v>5559</v>
      </c>
      <c r="G5167" s="3"/>
      <c r="H5167" s="21">
        <v>0</v>
      </c>
      <c r="I5167" s="21">
        <v>0</v>
      </c>
      <c r="J5167" s="21">
        <v>0</v>
      </c>
      <c r="K5167" s="21">
        <v>0</v>
      </c>
      <c r="L5167" s="3">
        <f t="shared" si="222"/>
        <v>0</v>
      </c>
      <c r="M5167" s="3"/>
      <c r="N5167" s="3">
        <f t="shared" si="221"/>
        <v>0</v>
      </c>
      <c r="R5167" s="89"/>
      <c r="S5167" s="89">
        <f>100%-Table34[[#This Row],[PDF_initial fee]]</f>
        <v>1</v>
      </c>
      <c r="T5167" s="89"/>
      <c r="U5167" s="26"/>
      <c r="X5167" s="9"/>
    </row>
    <row r="5168" spans="1:24" hidden="1" x14ac:dyDescent="0.25">
      <c r="A5168">
        <v>967905</v>
      </c>
      <c r="B5168" t="s">
        <v>5560</v>
      </c>
      <c r="C5168" t="s">
        <v>31372</v>
      </c>
      <c r="D5168">
        <v>0</v>
      </c>
      <c r="E5168" t="s">
        <v>5560</v>
      </c>
      <c r="F5168" t="s">
        <v>29136</v>
      </c>
      <c r="G5168" s="3"/>
      <c r="H5168" s="21">
        <v>0</v>
      </c>
      <c r="I5168" s="21">
        <v>0</v>
      </c>
      <c r="J5168" s="21">
        <v>0</v>
      </c>
      <c r="K5168" s="21">
        <v>0</v>
      </c>
      <c r="L5168" s="3">
        <f t="shared" si="222"/>
        <v>0</v>
      </c>
      <c r="M5168" s="3"/>
      <c r="N5168" s="3">
        <f t="shared" si="221"/>
        <v>0</v>
      </c>
      <c r="O5168" s="21"/>
      <c r="R5168" s="89"/>
      <c r="S5168" s="89">
        <f>100%-Table34[[#This Row],[PDF_initial fee]]</f>
        <v>1</v>
      </c>
      <c r="T5168" s="89"/>
      <c r="U5168" s="26"/>
      <c r="X5168" s="9"/>
    </row>
    <row r="5169" spans="1:27" hidden="1" x14ac:dyDescent="0.25">
      <c r="A5169">
        <v>968148</v>
      </c>
      <c r="B5169" t="s">
        <v>5561</v>
      </c>
      <c r="C5169" s="1" t="s">
        <v>31373</v>
      </c>
      <c r="D5169">
        <v>3</v>
      </c>
      <c r="E5169" t="s">
        <v>5561</v>
      </c>
      <c r="G5169" s="3"/>
      <c r="H5169" s="3">
        <v>0</v>
      </c>
      <c r="I5169" s="3">
        <v>0</v>
      </c>
      <c r="J5169" s="3">
        <v>0</v>
      </c>
      <c r="K5169" s="3">
        <v>0</v>
      </c>
      <c r="L5169" s="3">
        <f t="shared" si="222"/>
        <v>0</v>
      </c>
      <c r="M5169" s="3"/>
      <c r="N5169" s="3">
        <f t="shared" si="221"/>
        <v>0</v>
      </c>
      <c r="R5169" s="89"/>
      <c r="S5169" s="89">
        <f>100%-Table34[[#This Row],[PDF_initial fee]]</f>
        <v>1</v>
      </c>
      <c r="T5169" s="89"/>
      <c r="U5169" s="26"/>
      <c r="X5169" s="9"/>
    </row>
    <row r="5170" spans="1:27" hidden="1" x14ac:dyDescent="0.25">
      <c r="A5170">
        <v>968244</v>
      </c>
      <c r="B5170" t="s">
        <v>5562</v>
      </c>
      <c r="C5170" s="1" t="s">
        <v>31374</v>
      </c>
      <c r="D5170">
        <v>1</v>
      </c>
      <c r="E5170" t="s">
        <v>5562</v>
      </c>
      <c r="G5170" s="3"/>
      <c r="H5170" s="3">
        <v>0</v>
      </c>
      <c r="I5170" s="3">
        <v>0</v>
      </c>
      <c r="J5170" s="3">
        <v>0</v>
      </c>
      <c r="K5170" s="3">
        <v>0</v>
      </c>
      <c r="L5170" s="3">
        <f t="shared" si="222"/>
        <v>0</v>
      </c>
      <c r="M5170" s="3"/>
      <c r="N5170" s="3">
        <f t="shared" si="221"/>
        <v>0</v>
      </c>
      <c r="R5170" s="89"/>
      <c r="S5170" s="89">
        <f>100%-Table34[[#This Row],[PDF_initial fee]]</f>
        <v>1</v>
      </c>
      <c r="T5170" s="89"/>
      <c r="U5170" s="26"/>
      <c r="X5170" s="9"/>
    </row>
    <row r="5171" spans="1:27" hidden="1" x14ac:dyDescent="0.25">
      <c r="A5171">
        <v>968293</v>
      </c>
      <c r="B5171" t="s">
        <v>5563</v>
      </c>
      <c r="C5171" t="s">
        <v>9390</v>
      </c>
      <c r="D5171">
        <v>1</v>
      </c>
      <c r="E5171" t="s">
        <v>5563</v>
      </c>
      <c r="G5171" s="3"/>
      <c r="H5171" s="21">
        <v>0</v>
      </c>
      <c r="I5171" s="21">
        <v>0</v>
      </c>
      <c r="J5171" s="21">
        <v>0</v>
      </c>
      <c r="K5171" s="21">
        <v>0</v>
      </c>
      <c r="L5171" s="3">
        <f t="shared" si="222"/>
        <v>0</v>
      </c>
      <c r="M5171" s="3"/>
      <c r="N5171" s="3">
        <f t="shared" si="221"/>
        <v>0</v>
      </c>
      <c r="O5171" s="21"/>
      <c r="R5171" s="89"/>
      <c r="S5171" s="89">
        <f>100%-Table34[[#This Row],[PDF_initial fee]]</f>
        <v>1</v>
      </c>
      <c r="T5171" s="89"/>
      <c r="U5171" s="26"/>
      <c r="X5171" s="9"/>
    </row>
    <row r="5172" spans="1:27" hidden="1" x14ac:dyDescent="0.25">
      <c r="A5172">
        <v>968400</v>
      </c>
      <c r="B5172" t="s">
        <v>5564</v>
      </c>
      <c r="C5172" t="s">
        <v>31375</v>
      </c>
      <c r="D5172">
        <v>6</v>
      </c>
      <c r="E5172" t="s">
        <v>5564</v>
      </c>
      <c r="G5172" s="3"/>
      <c r="H5172" s="21">
        <v>0</v>
      </c>
      <c r="I5172" s="21">
        <v>0</v>
      </c>
      <c r="J5172" s="21">
        <v>0</v>
      </c>
      <c r="K5172" s="21">
        <v>0</v>
      </c>
      <c r="L5172" s="3">
        <f t="shared" si="222"/>
        <v>0</v>
      </c>
      <c r="M5172" s="3"/>
      <c r="N5172" s="3">
        <f t="shared" si="221"/>
        <v>0</v>
      </c>
      <c r="O5172" s="21"/>
      <c r="R5172" s="89"/>
      <c r="S5172" s="89">
        <f>100%-Table34[[#This Row],[PDF_initial fee]]</f>
        <v>1</v>
      </c>
      <c r="T5172" s="89"/>
      <c r="U5172" s="26"/>
      <c r="X5172" s="9"/>
    </row>
    <row r="5173" spans="1:27" x14ac:dyDescent="0.25">
      <c r="A5173">
        <v>952235</v>
      </c>
      <c r="B5173" t="s">
        <v>343</v>
      </c>
      <c r="C5173" t="s">
        <v>31376</v>
      </c>
      <c r="D5173">
        <v>1</v>
      </c>
      <c r="E5173" t="s">
        <v>343</v>
      </c>
      <c r="F5173" t="s">
        <v>3</v>
      </c>
      <c r="G5173" s="3">
        <v>1.4E-3</v>
      </c>
      <c r="H5173" s="3">
        <v>1.375E-2</v>
      </c>
      <c r="I5173" s="3">
        <v>7.4999999999999997E-3</v>
      </c>
      <c r="J5173" s="6">
        <v>0</v>
      </c>
      <c r="K5173" s="6">
        <v>0</v>
      </c>
      <c r="L5173" s="3">
        <f t="shared" si="222"/>
        <v>2.1249999999999998E-2</v>
      </c>
      <c r="M5173" s="3"/>
      <c r="N5173" s="3">
        <f t="shared" si="221"/>
        <v>2.2649999999999997E-2</v>
      </c>
      <c r="P5173" s="31" t="s">
        <v>31377</v>
      </c>
      <c r="Q5173" t="s">
        <v>31787</v>
      </c>
      <c r="R5173" s="89">
        <v>0.33333333333333348</v>
      </c>
      <c r="S5173" s="89">
        <f>100%-Table34[[#This Row],[InitialFee]]</f>
        <v>0.98624999999999996</v>
      </c>
      <c r="T5173" s="89">
        <f>(1-Table34[[#This Row],[OngoingFee (plus Platform fee)]])^5</f>
        <v>0.9630582970465823</v>
      </c>
      <c r="U5173" s="26">
        <f>(1+Table34[[#This Row],[Net 5yrs return (mostly up to 28th of Feb 2026)]])*Table34[[#This Row],[Investment after initial charge]]*Table34[[#This Row],[Cummulative 5yrs ongoing advice charge]]-1</f>
        <v>0.26642166061625594</v>
      </c>
      <c r="V5173">
        <f>63641+16125</f>
        <v>79766</v>
      </c>
      <c r="W5173" t="s">
        <v>29051</v>
      </c>
      <c r="X5173" s="9">
        <v>43641</v>
      </c>
      <c r="Y5173" s="30">
        <f>X5173/V5173</f>
        <v>0.54711280495449188</v>
      </c>
      <c r="AA5173" s="1" t="s">
        <v>31378</v>
      </c>
    </row>
    <row r="5174" spans="1:27" hidden="1" x14ac:dyDescent="0.25">
      <c r="A5174">
        <v>968637</v>
      </c>
      <c r="B5174" t="s">
        <v>5565</v>
      </c>
      <c r="C5174" t="s">
        <v>7630</v>
      </c>
      <c r="D5174">
        <v>1</v>
      </c>
      <c r="E5174" t="s">
        <v>5565</v>
      </c>
      <c r="G5174" s="3"/>
      <c r="H5174" s="21">
        <v>0</v>
      </c>
      <c r="I5174" s="21">
        <v>0</v>
      </c>
      <c r="J5174" s="21">
        <v>0</v>
      </c>
      <c r="K5174" s="21">
        <v>0</v>
      </c>
      <c r="L5174" s="3">
        <f t="shared" si="222"/>
        <v>0</v>
      </c>
      <c r="M5174" s="3"/>
      <c r="N5174" s="3">
        <f t="shared" si="221"/>
        <v>0</v>
      </c>
      <c r="R5174" s="89"/>
      <c r="S5174" s="89">
        <f>100%-Table34[[#This Row],[PDF_initial fee]]</f>
        <v>1</v>
      </c>
      <c r="T5174" s="89"/>
      <c r="U5174" s="26"/>
      <c r="X5174" s="9"/>
    </row>
    <row r="5175" spans="1:27" hidden="1" x14ac:dyDescent="0.25">
      <c r="A5175">
        <v>968770</v>
      </c>
      <c r="B5175" t="s">
        <v>5566</v>
      </c>
      <c r="C5175" t="s">
        <v>31379</v>
      </c>
      <c r="D5175">
        <v>6</v>
      </c>
      <c r="E5175" t="s">
        <v>5566</v>
      </c>
      <c r="G5175" s="3"/>
      <c r="H5175" s="21">
        <v>0</v>
      </c>
      <c r="I5175" s="21">
        <v>0</v>
      </c>
      <c r="J5175" s="21">
        <v>0</v>
      </c>
      <c r="K5175" s="21">
        <v>0</v>
      </c>
      <c r="L5175" s="3">
        <f t="shared" si="222"/>
        <v>0</v>
      </c>
      <c r="M5175" s="3"/>
      <c r="N5175" s="3">
        <f t="shared" ref="N5175:N5198" si="223">L5175+G5175</f>
        <v>0</v>
      </c>
      <c r="O5175" s="21"/>
      <c r="R5175" s="89"/>
      <c r="S5175" s="89">
        <f>100%-Table34[[#This Row],[PDF_initial fee]]</f>
        <v>1</v>
      </c>
      <c r="T5175" s="89"/>
      <c r="U5175" s="26"/>
      <c r="X5175" s="9"/>
    </row>
    <row r="5176" spans="1:27" hidden="1" x14ac:dyDescent="0.25">
      <c r="A5176">
        <v>969159</v>
      </c>
      <c r="B5176" t="s">
        <v>5568</v>
      </c>
      <c r="C5176" t="s">
        <v>9545</v>
      </c>
      <c r="D5176">
        <v>2</v>
      </c>
      <c r="E5176" t="s">
        <v>5568</v>
      </c>
      <c r="G5176" s="3"/>
      <c r="H5176" s="21">
        <v>0</v>
      </c>
      <c r="I5176" s="21">
        <v>0</v>
      </c>
      <c r="J5176" s="21">
        <v>0</v>
      </c>
      <c r="K5176" s="21">
        <v>0</v>
      </c>
      <c r="L5176" s="3">
        <f t="shared" si="222"/>
        <v>0</v>
      </c>
      <c r="M5176" s="3"/>
      <c r="N5176" s="3">
        <f t="shared" si="223"/>
        <v>0</v>
      </c>
      <c r="O5176" s="21"/>
      <c r="R5176" s="89"/>
      <c r="S5176" s="89">
        <f>100%-Table34[[#This Row],[PDF_initial fee]]</f>
        <v>1</v>
      </c>
      <c r="T5176" s="89"/>
      <c r="U5176" s="26"/>
      <c r="X5176" s="9"/>
    </row>
    <row r="5177" spans="1:27" hidden="1" x14ac:dyDescent="0.25">
      <c r="A5177">
        <v>969460</v>
      </c>
      <c r="B5177" t="s">
        <v>5569</v>
      </c>
      <c r="C5177" t="s">
        <v>31380</v>
      </c>
      <c r="D5177">
        <v>1</v>
      </c>
      <c r="E5177" t="s">
        <v>5569</v>
      </c>
      <c r="G5177" s="3"/>
      <c r="H5177" s="3"/>
      <c r="I5177" s="3"/>
      <c r="J5177" s="3"/>
      <c r="K5177" s="3"/>
      <c r="L5177" s="3">
        <f t="shared" si="222"/>
        <v>0</v>
      </c>
      <c r="M5177" s="3"/>
      <c r="N5177" s="3">
        <f t="shared" si="223"/>
        <v>0</v>
      </c>
      <c r="R5177" s="89"/>
      <c r="S5177" s="89">
        <f>100%-Table34[[#This Row],[PDF_initial fee]]</f>
        <v>1</v>
      </c>
      <c r="T5177" s="89"/>
      <c r="U5177" s="26"/>
      <c r="X5177" s="9"/>
    </row>
    <row r="5178" spans="1:27" hidden="1" x14ac:dyDescent="0.25">
      <c r="A5178">
        <v>969868</v>
      </c>
      <c r="B5178" t="s">
        <v>5570</v>
      </c>
      <c r="C5178" t="s">
        <v>31381</v>
      </c>
      <c r="D5178">
        <v>2</v>
      </c>
      <c r="E5178" t="s">
        <v>5570</v>
      </c>
      <c r="G5178" s="3"/>
      <c r="H5178" s="3">
        <v>0</v>
      </c>
      <c r="I5178" s="3">
        <v>0</v>
      </c>
      <c r="J5178" s="3">
        <v>0</v>
      </c>
      <c r="K5178" s="3">
        <v>0</v>
      </c>
      <c r="L5178" s="3">
        <f t="shared" si="222"/>
        <v>0</v>
      </c>
      <c r="M5178" s="3"/>
      <c r="N5178" s="3">
        <f t="shared" si="223"/>
        <v>0</v>
      </c>
      <c r="R5178" s="89"/>
      <c r="S5178" s="89">
        <f>100%-Table34[[#This Row],[PDF_initial fee]]</f>
        <v>1</v>
      </c>
      <c r="T5178" s="89"/>
      <c r="U5178" s="26"/>
      <c r="X5178" s="9"/>
    </row>
    <row r="5179" spans="1:27" hidden="1" x14ac:dyDescent="0.25">
      <c r="A5179">
        <v>970608</v>
      </c>
      <c r="B5179" t="s">
        <v>5571</v>
      </c>
      <c r="C5179" t="s">
        <v>11427</v>
      </c>
      <c r="D5179">
        <v>1</v>
      </c>
      <c r="E5179" t="s">
        <v>5571</v>
      </c>
      <c r="G5179" s="3"/>
      <c r="H5179" s="21">
        <v>0</v>
      </c>
      <c r="I5179" s="21">
        <v>0</v>
      </c>
      <c r="J5179" s="21">
        <v>0</v>
      </c>
      <c r="K5179" s="21">
        <v>0</v>
      </c>
      <c r="L5179" s="3">
        <f t="shared" si="222"/>
        <v>0</v>
      </c>
      <c r="M5179" s="3"/>
      <c r="N5179" s="3">
        <f t="shared" si="223"/>
        <v>0</v>
      </c>
      <c r="O5179" s="21"/>
      <c r="R5179" s="89"/>
      <c r="S5179" s="89">
        <f>100%-Table34[[#This Row],[PDF_initial fee]]</f>
        <v>1</v>
      </c>
      <c r="T5179" s="89"/>
      <c r="U5179" s="26"/>
      <c r="X5179" s="9"/>
    </row>
    <row r="5180" spans="1:27" hidden="1" x14ac:dyDescent="0.25">
      <c r="A5180">
        <v>970913</v>
      </c>
      <c r="B5180" t="s">
        <v>5572</v>
      </c>
      <c r="C5180" s="1" t="s">
        <v>31382</v>
      </c>
      <c r="D5180">
        <v>6</v>
      </c>
      <c r="E5180" t="s">
        <v>5572</v>
      </c>
      <c r="G5180" s="3"/>
      <c r="H5180" s="3">
        <v>0</v>
      </c>
      <c r="I5180" s="3">
        <v>0</v>
      </c>
      <c r="J5180" s="3">
        <v>0</v>
      </c>
      <c r="K5180" s="3">
        <v>0</v>
      </c>
      <c r="L5180" s="3">
        <f t="shared" si="222"/>
        <v>0</v>
      </c>
      <c r="M5180" s="3"/>
      <c r="N5180" s="3">
        <f t="shared" si="223"/>
        <v>0</v>
      </c>
      <c r="R5180" s="89"/>
      <c r="S5180" s="89">
        <f>100%-Table34[[#This Row],[PDF_initial fee]]</f>
        <v>1</v>
      </c>
      <c r="T5180" s="89"/>
      <c r="U5180" s="26"/>
      <c r="X5180" s="9"/>
    </row>
    <row r="5181" spans="1:27" hidden="1" x14ac:dyDescent="0.25">
      <c r="A5181">
        <v>971191</v>
      </c>
      <c r="B5181" t="s">
        <v>5573</v>
      </c>
      <c r="C5181" t="s">
        <v>8471</v>
      </c>
      <c r="D5181">
        <v>2</v>
      </c>
      <c r="E5181" t="s">
        <v>5573</v>
      </c>
      <c r="G5181" s="3"/>
      <c r="H5181" s="21">
        <v>0</v>
      </c>
      <c r="I5181" s="21">
        <v>0</v>
      </c>
      <c r="J5181" s="21">
        <v>0</v>
      </c>
      <c r="K5181" s="21">
        <v>0</v>
      </c>
      <c r="L5181" s="3">
        <f t="shared" si="222"/>
        <v>0</v>
      </c>
      <c r="M5181" s="3"/>
      <c r="N5181" s="3">
        <f t="shared" si="223"/>
        <v>0</v>
      </c>
      <c r="R5181" s="89"/>
      <c r="S5181" s="89">
        <f>100%-Table34[[#This Row],[PDF_initial fee]]</f>
        <v>1</v>
      </c>
      <c r="T5181" s="89"/>
      <c r="U5181" s="26"/>
      <c r="X5181" s="9"/>
    </row>
    <row r="5182" spans="1:27" hidden="1" x14ac:dyDescent="0.25">
      <c r="A5182">
        <v>971573</v>
      </c>
      <c r="B5182" t="s">
        <v>5574</v>
      </c>
      <c r="C5182" t="s">
        <v>7501</v>
      </c>
      <c r="D5182">
        <v>3</v>
      </c>
      <c r="E5182" t="s">
        <v>5574</v>
      </c>
      <c r="G5182" s="3"/>
      <c r="H5182" s="21">
        <v>0</v>
      </c>
      <c r="I5182" s="21">
        <v>0</v>
      </c>
      <c r="J5182" s="21">
        <v>0</v>
      </c>
      <c r="K5182" s="21">
        <v>0</v>
      </c>
      <c r="L5182" s="3">
        <f t="shared" si="222"/>
        <v>0</v>
      </c>
      <c r="M5182" s="3"/>
      <c r="N5182" s="3">
        <f t="shared" si="223"/>
        <v>0</v>
      </c>
      <c r="R5182" s="89"/>
      <c r="S5182" s="89">
        <f>100%-Table34[[#This Row],[PDF_initial fee]]</f>
        <v>1</v>
      </c>
      <c r="T5182" s="89"/>
      <c r="U5182" s="26"/>
      <c r="X5182" s="9"/>
    </row>
    <row r="5183" spans="1:27" hidden="1" x14ac:dyDescent="0.25">
      <c r="A5183">
        <v>971689</v>
      </c>
      <c r="B5183" t="s">
        <v>5575</v>
      </c>
      <c r="C5183" t="s">
        <v>6958</v>
      </c>
      <c r="D5183">
        <v>1</v>
      </c>
      <c r="E5183" t="s">
        <v>5575</v>
      </c>
      <c r="F5183" t="s">
        <v>6958</v>
      </c>
      <c r="G5183" s="3"/>
      <c r="H5183" s="21">
        <v>0</v>
      </c>
      <c r="I5183" s="21">
        <v>0</v>
      </c>
      <c r="J5183" s="21">
        <v>0</v>
      </c>
      <c r="K5183" s="21">
        <v>0</v>
      </c>
      <c r="L5183" s="3">
        <f t="shared" si="222"/>
        <v>0</v>
      </c>
      <c r="M5183" s="3"/>
      <c r="N5183" s="3">
        <f t="shared" si="223"/>
        <v>0</v>
      </c>
      <c r="O5183" s="21"/>
      <c r="R5183" s="89"/>
      <c r="S5183" s="89">
        <f>100%-Table34[[#This Row],[PDF_initial fee]]</f>
        <v>1</v>
      </c>
      <c r="T5183" s="89"/>
      <c r="U5183" s="26"/>
      <c r="X5183" s="9"/>
    </row>
    <row r="5184" spans="1:27" hidden="1" x14ac:dyDescent="0.25">
      <c r="A5184">
        <v>971768</v>
      </c>
      <c r="B5184" t="s">
        <v>5576</v>
      </c>
      <c r="C5184" t="s">
        <v>7322</v>
      </c>
      <c r="D5184">
        <v>0</v>
      </c>
      <c r="E5184" t="s">
        <v>5576</v>
      </c>
      <c r="F5184" t="s">
        <v>3</v>
      </c>
      <c r="G5184" s="3"/>
      <c r="H5184" s="21">
        <v>0</v>
      </c>
      <c r="I5184" s="21">
        <v>0</v>
      </c>
      <c r="J5184" s="21">
        <v>0</v>
      </c>
      <c r="K5184" s="21">
        <v>0</v>
      </c>
      <c r="L5184" s="3">
        <f t="shared" si="222"/>
        <v>0</v>
      </c>
      <c r="M5184" s="3"/>
      <c r="N5184" s="3">
        <f t="shared" si="223"/>
        <v>0</v>
      </c>
      <c r="R5184" s="89"/>
      <c r="S5184" s="89">
        <f>100%-Table34[[#This Row],[PDF_initial fee]]</f>
        <v>1</v>
      </c>
      <c r="T5184" s="89"/>
      <c r="U5184" s="26"/>
      <c r="X5184" s="9"/>
    </row>
    <row r="5185" spans="1:24" hidden="1" x14ac:dyDescent="0.25">
      <c r="A5185">
        <v>971774</v>
      </c>
      <c r="B5185" t="s">
        <v>5577</v>
      </c>
      <c r="C5185" t="s">
        <v>31383</v>
      </c>
      <c r="D5185">
        <v>5</v>
      </c>
      <c r="E5185" t="s">
        <v>5577</v>
      </c>
      <c r="G5185" s="3"/>
      <c r="H5185" s="21">
        <v>0</v>
      </c>
      <c r="I5185" s="21">
        <v>0</v>
      </c>
      <c r="J5185" s="21">
        <v>0</v>
      </c>
      <c r="K5185" s="21">
        <v>0</v>
      </c>
      <c r="L5185" s="3">
        <f t="shared" si="222"/>
        <v>0</v>
      </c>
      <c r="M5185" s="3"/>
      <c r="N5185" s="3">
        <f t="shared" si="223"/>
        <v>0</v>
      </c>
      <c r="O5185" s="21"/>
      <c r="R5185" s="89"/>
      <c r="S5185" s="89">
        <f>100%-Table34[[#This Row],[PDF_initial fee]]</f>
        <v>1</v>
      </c>
      <c r="T5185" s="89"/>
      <c r="U5185" s="26"/>
      <c r="X5185" s="9"/>
    </row>
    <row r="5186" spans="1:24" hidden="1" x14ac:dyDescent="0.25">
      <c r="A5186">
        <v>972057</v>
      </c>
      <c r="B5186" t="s">
        <v>5578</v>
      </c>
      <c r="C5186" t="s">
        <v>31384</v>
      </c>
      <c r="D5186">
        <v>1</v>
      </c>
      <c r="E5186" t="s">
        <v>5578</v>
      </c>
      <c r="G5186" s="3"/>
      <c r="H5186" s="3">
        <v>0</v>
      </c>
      <c r="I5186" s="3">
        <v>0</v>
      </c>
      <c r="J5186" s="3">
        <v>0</v>
      </c>
      <c r="K5186" s="3">
        <v>0</v>
      </c>
      <c r="L5186" s="3">
        <f t="shared" si="222"/>
        <v>0</v>
      </c>
      <c r="M5186" s="3"/>
      <c r="N5186" s="3">
        <f t="shared" si="223"/>
        <v>0</v>
      </c>
      <c r="R5186" s="89"/>
      <c r="S5186" s="89">
        <f>100%-Table34[[#This Row],[PDF_initial fee]]</f>
        <v>1</v>
      </c>
      <c r="T5186" s="89"/>
      <c r="U5186" s="26"/>
      <c r="X5186" s="9"/>
    </row>
    <row r="5187" spans="1:24" hidden="1" x14ac:dyDescent="0.25">
      <c r="A5187">
        <v>972179</v>
      </c>
      <c r="B5187" t="s">
        <v>5579</v>
      </c>
      <c r="C5187" t="s">
        <v>12599</v>
      </c>
      <c r="D5187">
        <v>3</v>
      </c>
      <c r="E5187" t="s">
        <v>5579</v>
      </c>
      <c r="G5187" s="3"/>
      <c r="H5187" s="21">
        <v>0</v>
      </c>
      <c r="I5187" s="21">
        <v>0</v>
      </c>
      <c r="J5187" s="21">
        <v>0</v>
      </c>
      <c r="K5187" s="21">
        <v>0</v>
      </c>
      <c r="L5187" s="3">
        <f t="shared" si="222"/>
        <v>0</v>
      </c>
      <c r="M5187" s="3"/>
      <c r="N5187" s="3">
        <f t="shared" si="223"/>
        <v>0</v>
      </c>
      <c r="O5187" s="21"/>
      <c r="R5187" s="89"/>
      <c r="S5187" s="89">
        <f>100%-Table34[[#This Row],[PDF_initial fee]]</f>
        <v>1</v>
      </c>
      <c r="T5187" s="89"/>
      <c r="U5187" s="26"/>
      <c r="X5187" s="9"/>
    </row>
    <row r="5188" spans="1:24" hidden="1" x14ac:dyDescent="0.25">
      <c r="A5188">
        <v>972596</v>
      </c>
      <c r="B5188" t="s">
        <v>5580</v>
      </c>
      <c r="C5188" t="s">
        <v>6958</v>
      </c>
      <c r="D5188">
        <v>1</v>
      </c>
      <c r="E5188" t="s">
        <v>5580</v>
      </c>
      <c r="F5188" t="s">
        <v>6958</v>
      </c>
      <c r="G5188" s="3"/>
      <c r="H5188" s="21">
        <v>0</v>
      </c>
      <c r="I5188" s="21">
        <v>0</v>
      </c>
      <c r="J5188" s="21">
        <v>0</v>
      </c>
      <c r="K5188" s="21">
        <v>0</v>
      </c>
      <c r="L5188" s="3">
        <f t="shared" si="222"/>
        <v>0</v>
      </c>
      <c r="M5188" s="3"/>
      <c r="N5188" s="3">
        <f t="shared" si="223"/>
        <v>0</v>
      </c>
      <c r="O5188" s="21"/>
      <c r="R5188" s="89"/>
      <c r="S5188" s="89">
        <f>100%-Table34[[#This Row],[PDF_initial fee]]</f>
        <v>1</v>
      </c>
      <c r="T5188" s="89"/>
      <c r="U5188" s="26"/>
      <c r="X5188" s="9"/>
    </row>
    <row r="5189" spans="1:24" hidden="1" x14ac:dyDescent="0.25">
      <c r="A5189">
        <v>972849</v>
      </c>
      <c r="B5189" t="s">
        <v>5581</v>
      </c>
      <c r="C5189" t="s">
        <v>6958</v>
      </c>
      <c r="D5189">
        <v>1</v>
      </c>
      <c r="E5189" t="s">
        <v>5581</v>
      </c>
      <c r="F5189" t="s">
        <v>6958</v>
      </c>
      <c r="G5189" s="3"/>
      <c r="H5189" s="21">
        <v>0</v>
      </c>
      <c r="I5189" s="21">
        <v>0</v>
      </c>
      <c r="J5189" s="21">
        <v>0</v>
      </c>
      <c r="K5189" s="21">
        <v>0</v>
      </c>
      <c r="L5189" s="3">
        <f t="shared" si="222"/>
        <v>0</v>
      </c>
      <c r="M5189" s="3"/>
      <c r="N5189" s="3">
        <f t="shared" si="223"/>
        <v>0</v>
      </c>
      <c r="R5189" s="89"/>
      <c r="S5189" s="89">
        <f>100%-Table34[[#This Row],[PDF_initial fee]]</f>
        <v>1</v>
      </c>
      <c r="T5189" s="89"/>
      <c r="U5189" s="26"/>
      <c r="X5189" s="9"/>
    </row>
    <row r="5190" spans="1:24" hidden="1" x14ac:dyDescent="0.25">
      <c r="A5190">
        <v>972986</v>
      </c>
      <c r="B5190" t="s">
        <v>5582</v>
      </c>
      <c r="C5190" t="s">
        <v>6958</v>
      </c>
      <c r="D5190">
        <v>2</v>
      </c>
      <c r="E5190" t="s">
        <v>5582</v>
      </c>
      <c r="F5190" t="s">
        <v>6958</v>
      </c>
      <c r="G5190" s="3"/>
      <c r="H5190" s="21">
        <v>0</v>
      </c>
      <c r="I5190" s="21">
        <v>0</v>
      </c>
      <c r="J5190" s="21">
        <v>0</v>
      </c>
      <c r="K5190" s="21">
        <v>0</v>
      </c>
      <c r="L5190" s="3">
        <f t="shared" si="222"/>
        <v>0</v>
      </c>
      <c r="M5190" s="3"/>
      <c r="N5190" s="3">
        <f t="shared" si="223"/>
        <v>0</v>
      </c>
      <c r="O5190" s="21"/>
      <c r="R5190" s="89"/>
      <c r="S5190" s="89">
        <f>100%-Table34[[#This Row],[PDF_initial fee]]</f>
        <v>1</v>
      </c>
      <c r="T5190" s="89"/>
      <c r="U5190" s="26"/>
      <c r="X5190" s="9"/>
    </row>
    <row r="5191" spans="1:24" hidden="1" x14ac:dyDescent="0.25">
      <c r="A5191">
        <v>973065</v>
      </c>
      <c r="B5191" t="s">
        <v>5583</v>
      </c>
      <c r="C5191" t="s">
        <v>7994</v>
      </c>
      <c r="D5191">
        <v>1</v>
      </c>
      <c r="E5191" t="s">
        <v>5583</v>
      </c>
      <c r="G5191" s="3"/>
      <c r="H5191" s="21">
        <v>0</v>
      </c>
      <c r="I5191" s="21">
        <v>0</v>
      </c>
      <c r="J5191" s="21">
        <v>0</v>
      </c>
      <c r="K5191" s="21">
        <v>0</v>
      </c>
      <c r="L5191" s="3">
        <f t="shared" si="222"/>
        <v>0</v>
      </c>
      <c r="M5191" s="3"/>
      <c r="N5191" s="3">
        <f t="shared" si="223"/>
        <v>0</v>
      </c>
      <c r="R5191" s="89"/>
      <c r="S5191" s="89">
        <f>100%-Table34[[#This Row],[PDF_initial fee]]</f>
        <v>1</v>
      </c>
      <c r="T5191" s="89"/>
      <c r="U5191" s="26"/>
      <c r="X5191" s="9"/>
    </row>
    <row r="5192" spans="1:24" hidden="1" x14ac:dyDescent="0.25">
      <c r="A5192">
        <v>973220</v>
      </c>
      <c r="B5192" t="s">
        <v>5584</v>
      </c>
      <c r="C5192" t="s">
        <v>31385</v>
      </c>
      <c r="D5192">
        <v>0</v>
      </c>
      <c r="E5192" t="s">
        <v>5584</v>
      </c>
      <c r="F5192" t="s">
        <v>29136</v>
      </c>
      <c r="G5192" s="3"/>
      <c r="H5192" s="21">
        <v>0</v>
      </c>
      <c r="I5192" s="21">
        <v>0</v>
      </c>
      <c r="J5192" s="21">
        <v>0</v>
      </c>
      <c r="K5192" s="21">
        <v>0</v>
      </c>
      <c r="L5192" s="3">
        <f t="shared" si="222"/>
        <v>0</v>
      </c>
      <c r="M5192" s="3"/>
      <c r="N5192" s="3">
        <f t="shared" si="223"/>
        <v>0</v>
      </c>
      <c r="O5192" s="21"/>
      <c r="R5192" s="89"/>
      <c r="S5192" s="89">
        <f>100%-Table34[[#This Row],[PDF_initial fee]]</f>
        <v>1</v>
      </c>
      <c r="T5192" s="89"/>
      <c r="U5192" s="26"/>
      <c r="X5192" s="9"/>
    </row>
    <row r="5193" spans="1:24" hidden="1" x14ac:dyDescent="0.25">
      <c r="A5193">
        <v>973301</v>
      </c>
      <c r="B5193" t="s">
        <v>5585</v>
      </c>
      <c r="C5193" t="s">
        <v>6958</v>
      </c>
      <c r="D5193">
        <v>1</v>
      </c>
      <c r="E5193" t="s">
        <v>5585</v>
      </c>
      <c r="F5193" t="s">
        <v>6958</v>
      </c>
      <c r="G5193" s="3"/>
      <c r="H5193" s="21">
        <v>0</v>
      </c>
      <c r="I5193" s="21">
        <v>0</v>
      </c>
      <c r="J5193" s="21">
        <v>0</v>
      </c>
      <c r="K5193" s="21">
        <v>0</v>
      </c>
      <c r="L5193" s="3">
        <f t="shared" si="222"/>
        <v>0</v>
      </c>
      <c r="M5193" s="3"/>
      <c r="N5193" s="3">
        <f t="shared" si="223"/>
        <v>0</v>
      </c>
      <c r="R5193" s="89"/>
      <c r="S5193" s="89">
        <f>100%-Table34[[#This Row],[PDF_initial fee]]</f>
        <v>1</v>
      </c>
      <c r="T5193" s="89"/>
      <c r="U5193" s="26"/>
      <c r="X5193" s="9"/>
    </row>
    <row r="5194" spans="1:24" hidden="1" x14ac:dyDescent="0.25">
      <c r="A5194">
        <v>973440</v>
      </c>
      <c r="B5194" t="s">
        <v>5586</v>
      </c>
      <c r="C5194" t="s">
        <v>10673</v>
      </c>
      <c r="D5194">
        <v>5</v>
      </c>
      <c r="E5194" t="s">
        <v>5586</v>
      </c>
      <c r="G5194" s="3"/>
      <c r="H5194" s="3"/>
      <c r="I5194" s="3"/>
      <c r="J5194" s="3"/>
      <c r="K5194" s="3"/>
      <c r="L5194" s="3">
        <f t="shared" si="222"/>
        <v>0</v>
      </c>
      <c r="M5194" s="3"/>
      <c r="N5194" s="3">
        <f t="shared" si="223"/>
        <v>0</v>
      </c>
      <c r="R5194" s="89"/>
      <c r="S5194" s="89">
        <f>100%-Table34[[#This Row],[PDF_initial fee]]</f>
        <v>1</v>
      </c>
      <c r="T5194" s="89"/>
      <c r="U5194" s="26"/>
      <c r="X5194" s="9"/>
    </row>
    <row r="5195" spans="1:24" hidden="1" x14ac:dyDescent="0.25">
      <c r="A5195">
        <v>973495</v>
      </c>
      <c r="B5195" t="s">
        <v>5587</v>
      </c>
      <c r="C5195" t="s">
        <v>7607</v>
      </c>
      <c r="D5195">
        <v>2</v>
      </c>
      <c r="E5195" t="s">
        <v>5587</v>
      </c>
      <c r="G5195" s="3"/>
      <c r="H5195" s="21">
        <v>0</v>
      </c>
      <c r="I5195" s="21">
        <v>0</v>
      </c>
      <c r="J5195" s="21">
        <v>0</v>
      </c>
      <c r="K5195" s="21">
        <v>0</v>
      </c>
      <c r="L5195" s="3">
        <f t="shared" ref="L5195:L5198" si="224">SUM(H5195:K5195)</f>
        <v>0</v>
      </c>
      <c r="M5195" s="3"/>
      <c r="N5195" s="3">
        <f t="shared" si="223"/>
        <v>0</v>
      </c>
      <c r="R5195" s="89"/>
      <c r="S5195" s="89">
        <f>100%-Table34[[#This Row],[PDF_initial fee]]</f>
        <v>1</v>
      </c>
      <c r="T5195" s="89"/>
      <c r="U5195" s="26"/>
      <c r="X5195" s="9"/>
    </row>
    <row r="5196" spans="1:24" hidden="1" x14ac:dyDescent="0.25">
      <c r="A5196">
        <v>973710</v>
      </c>
      <c r="B5196" t="s">
        <v>5588</v>
      </c>
      <c r="C5196" t="s">
        <v>6958</v>
      </c>
      <c r="D5196">
        <v>1</v>
      </c>
      <c r="E5196" t="s">
        <v>5588</v>
      </c>
      <c r="F5196" t="s">
        <v>6958</v>
      </c>
      <c r="G5196" s="3"/>
      <c r="H5196" s="21">
        <v>0</v>
      </c>
      <c r="I5196" s="21">
        <v>0</v>
      </c>
      <c r="J5196" s="21">
        <v>0</v>
      </c>
      <c r="K5196" s="21">
        <v>0</v>
      </c>
      <c r="L5196" s="3">
        <f t="shared" si="224"/>
        <v>0</v>
      </c>
      <c r="M5196" s="3"/>
      <c r="N5196" s="3">
        <f t="shared" si="223"/>
        <v>0</v>
      </c>
      <c r="R5196" s="89"/>
      <c r="S5196" s="89">
        <f>100%-Table34[[#This Row],[PDF_initial fee]]</f>
        <v>1</v>
      </c>
      <c r="T5196" s="89"/>
      <c r="U5196" s="26"/>
      <c r="X5196" s="9"/>
    </row>
    <row r="5197" spans="1:24" hidden="1" x14ac:dyDescent="0.25">
      <c r="A5197">
        <v>973711</v>
      </c>
      <c r="B5197" t="s">
        <v>5589</v>
      </c>
      <c r="C5197" t="s">
        <v>31386</v>
      </c>
      <c r="D5197">
        <v>3</v>
      </c>
      <c r="E5197" t="s">
        <v>5589</v>
      </c>
      <c r="G5197" s="3"/>
      <c r="H5197" s="3">
        <v>0</v>
      </c>
      <c r="I5197" s="3">
        <v>0</v>
      </c>
      <c r="J5197" s="3">
        <v>0</v>
      </c>
      <c r="K5197" s="3">
        <v>0</v>
      </c>
      <c r="L5197" s="3">
        <f t="shared" si="224"/>
        <v>0</v>
      </c>
      <c r="M5197" s="3"/>
      <c r="N5197" s="3">
        <f t="shared" si="223"/>
        <v>0</v>
      </c>
      <c r="R5197" s="89"/>
      <c r="S5197" s="89">
        <f>100%-Table34[[#This Row],[PDF_initial fee]]</f>
        <v>1</v>
      </c>
      <c r="T5197" s="89"/>
      <c r="U5197" s="26"/>
      <c r="X5197" s="9"/>
    </row>
    <row r="5198" spans="1:24" hidden="1" x14ac:dyDescent="0.25">
      <c r="A5198">
        <v>973832</v>
      </c>
      <c r="B5198" t="s">
        <v>5590</v>
      </c>
      <c r="C5198" t="s">
        <v>6958</v>
      </c>
      <c r="D5198">
        <v>1</v>
      </c>
      <c r="E5198" t="s">
        <v>5590</v>
      </c>
      <c r="F5198" t="s">
        <v>6958</v>
      </c>
      <c r="G5198" s="3"/>
      <c r="H5198" s="21">
        <v>0</v>
      </c>
      <c r="I5198" s="21">
        <v>0</v>
      </c>
      <c r="J5198" s="21">
        <v>0</v>
      </c>
      <c r="K5198" s="21">
        <v>0</v>
      </c>
      <c r="L5198" s="3">
        <f t="shared" si="224"/>
        <v>0</v>
      </c>
      <c r="M5198" s="3"/>
      <c r="N5198" s="3">
        <f t="shared" si="223"/>
        <v>0</v>
      </c>
      <c r="R5198" s="89"/>
      <c r="S5198" s="89">
        <f>100%-Table34[[#This Row],[PDF_initial fee]]</f>
        <v>1</v>
      </c>
      <c r="T5198" s="89"/>
      <c r="U5198" s="26"/>
      <c r="X5198" s="9"/>
    </row>
    <row r="5199" spans="1:24" hidden="1" x14ac:dyDescent="0.25">
      <c r="A5199">
        <v>974264</v>
      </c>
      <c r="B5199" t="s">
        <v>5591</v>
      </c>
      <c r="C5199" t="s">
        <v>31387</v>
      </c>
      <c r="D5199">
        <v>1</v>
      </c>
      <c r="E5199" t="s">
        <v>5591</v>
      </c>
      <c r="F5199" t="s">
        <v>3</v>
      </c>
      <c r="G5199" s="3"/>
      <c r="H5199" s="3"/>
      <c r="I5199" s="3"/>
      <c r="J5199" s="6"/>
      <c r="K5199" s="6"/>
      <c r="L5199" s="3">
        <v>0</v>
      </c>
      <c r="M5199" s="3"/>
      <c r="N5199" s="3">
        <v>0</v>
      </c>
      <c r="O5199" t="s">
        <v>31388</v>
      </c>
      <c r="R5199" s="89"/>
      <c r="S5199" s="89">
        <f>100%-Table34[[#This Row],[PDF_initial fee]]</f>
        <v>1</v>
      </c>
      <c r="T5199" s="89"/>
      <c r="U5199" s="26"/>
      <c r="X5199" s="9"/>
    </row>
    <row r="5200" spans="1:24" hidden="1" x14ac:dyDescent="0.25">
      <c r="A5200">
        <v>974429</v>
      </c>
      <c r="B5200" t="s">
        <v>5593</v>
      </c>
      <c r="C5200" t="s">
        <v>11123</v>
      </c>
      <c r="D5200">
        <v>2</v>
      </c>
      <c r="E5200" t="s">
        <v>5593</v>
      </c>
      <c r="G5200" s="3"/>
      <c r="H5200" s="21">
        <v>0</v>
      </c>
      <c r="I5200" s="21">
        <v>0</v>
      </c>
      <c r="J5200" s="21">
        <v>0</v>
      </c>
      <c r="K5200" s="21">
        <v>0</v>
      </c>
      <c r="L5200" s="3">
        <f t="shared" ref="L5200:L5221" si="225">SUM(H5200:K5200)</f>
        <v>0</v>
      </c>
      <c r="M5200" s="3"/>
      <c r="N5200" s="3">
        <f t="shared" ref="N5200:N5221" si="226">L5200+G5200</f>
        <v>0</v>
      </c>
      <c r="O5200" s="21"/>
      <c r="R5200" s="89"/>
      <c r="S5200" s="89">
        <f>100%-Table34[[#This Row],[PDF_initial fee]]</f>
        <v>1</v>
      </c>
      <c r="T5200" s="89"/>
      <c r="U5200" s="26"/>
      <c r="X5200" s="9"/>
    </row>
    <row r="5201" spans="1:27" hidden="1" x14ac:dyDescent="0.25">
      <c r="A5201">
        <v>974610</v>
      </c>
      <c r="B5201" t="s">
        <v>5594</v>
      </c>
      <c r="C5201" t="s">
        <v>6958</v>
      </c>
      <c r="D5201">
        <v>1</v>
      </c>
      <c r="E5201" t="s">
        <v>5594</v>
      </c>
      <c r="F5201" t="s">
        <v>6958</v>
      </c>
      <c r="G5201" s="3"/>
      <c r="H5201" s="21">
        <v>0</v>
      </c>
      <c r="I5201" s="21">
        <v>0</v>
      </c>
      <c r="J5201" s="21">
        <v>0</v>
      </c>
      <c r="K5201" s="21">
        <v>0</v>
      </c>
      <c r="L5201" s="3">
        <f t="shared" si="225"/>
        <v>0</v>
      </c>
      <c r="M5201" s="3"/>
      <c r="N5201" s="3">
        <f t="shared" si="226"/>
        <v>0</v>
      </c>
      <c r="O5201" s="21"/>
      <c r="R5201" s="89"/>
      <c r="S5201" s="89">
        <f>100%-Table34[[#This Row],[PDF_initial fee]]</f>
        <v>1</v>
      </c>
      <c r="T5201" s="89"/>
      <c r="U5201" s="26"/>
      <c r="X5201" s="9"/>
    </row>
    <row r="5202" spans="1:27" hidden="1" x14ac:dyDescent="0.25">
      <c r="A5202">
        <v>975085</v>
      </c>
      <c r="B5202" t="s">
        <v>5595</v>
      </c>
      <c r="C5202" t="s">
        <v>31389</v>
      </c>
      <c r="D5202">
        <v>4</v>
      </c>
      <c r="E5202" t="s">
        <v>5595</v>
      </c>
      <c r="G5202" s="3"/>
      <c r="H5202" s="3">
        <v>0</v>
      </c>
      <c r="I5202" s="3">
        <v>0</v>
      </c>
      <c r="J5202" s="3">
        <v>0</v>
      </c>
      <c r="K5202" s="3">
        <v>0</v>
      </c>
      <c r="L5202" s="3">
        <f t="shared" si="225"/>
        <v>0</v>
      </c>
      <c r="M5202" s="3"/>
      <c r="N5202" s="3">
        <f t="shared" si="226"/>
        <v>0</v>
      </c>
      <c r="R5202" s="89"/>
      <c r="S5202" s="89">
        <f>100%-Table34[[#This Row],[PDF_initial fee]]</f>
        <v>1</v>
      </c>
      <c r="T5202" s="89"/>
      <c r="U5202" s="26"/>
      <c r="X5202" s="9"/>
    </row>
    <row r="5203" spans="1:27" hidden="1" x14ac:dyDescent="0.25">
      <c r="A5203">
        <v>975150</v>
      </c>
      <c r="B5203" t="s">
        <v>5596</v>
      </c>
      <c r="C5203" t="s">
        <v>31390</v>
      </c>
      <c r="D5203">
        <v>0</v>
      </c>
      <c r="E5203" t="s">
        <v>5596</v>
      </c>
      <c r="F5203" t="s">
        <v>29136</v>
      </c>
      <c r="G5203" s="3"/>
      <c r="H5203" s="21">
        <v>0</v>
      </c>
      <c r="I5203" s="21">
        <v>0</v>
      </c>
      <c r="J5203" s="21">
        <v>0</v>
      </c>
      <c r="K5203" s="21">
        <v>0</v>
      </c>
      <c r="L5203" s="3">
        <f t="shared" si="225"/>
        <v>0</v>
      </c>
      <c r="M5203" s="3"/>
      <c r="N5203" s="3">
        <f t="shared" si="226"/>
        <v>0</v>
      </c>
      <c r="O5203" s="21"/>
      <c r="R5203" s="89"/>
      <c r="S5203" s="89">
        <f>100%-Table34[[#This Row],[PDF_initial fee]]</f>
        <v>1</v>
      </c>
      <c r="T5203" s="89"/>
      <c r="U5203" s="26"/>
      <c r="X5203" s="9"/>
    </row>
    <row r="5204" spans="1:27" hidden="1" x14ac:dyDescent="0.25">
      <c r="A5204">
        <v>975357</v>
      </c>
      <c r="B5204" t="s">
        <v>5597</v>
      </c>
      <c r="C5204" t="s">
        <v>6958</v>
      </c>
      <c r="D5204">
        <v>1</v>
      </c>
      <c r="E5204" t="s">
        <v>5597</v>
      </c>
      <c r="F5204" t="s">
        <v>6958</v>
      </c>
      <c r="G5204" s="3"/>
      <c r="H5204" s="21">
        <v>0</v>
      </c>
      <c r="I5204" s="21">
        <v>0</v>
      </c>
      <c r="J5204" s="21">
        <v>0</v>
      </c>
      <c r="K5204" s="21">
        <v>0</v>
      </c>
      <c r="L5204" s="3">
        <f t="shared" si="225"/>
        <v>0</v>
      </c>
      <c r="M5204" s="3"/>
      <c r="N5204" s="3">
        <f t="shared" si="226"/>
        <v>0</v>
      </c>
      <c r="O5204" s="21"/>
      <c r="R5204" s="89"/>
      <c r="S5204" s="89">
        <f>100%-Table34[[#This Row],[PDF_initial fee]]</f>
        <v>1</v>
      </c>
      <c r="T5204" s="89"/>
      <c r="U5204" s="26"/>
      <c r="X5204" s="9"/>
    </row>
    <row r="5205" spans="1:27" x14ac:dyDescent="0.25">
      <c r="A5205">
        <v>779040</v>
      </c>
      <c r="B5205" t="s">
        <v>295</v>
      </c>
      <c r="C5205" t="s">
        <v>10130</v>
      </c>
      <c r="D5205">
        <v>3</v>
      </c>
      <c r="E5205" t="s">
        <v>295</v>
      </c>
      <c r="F5205" t="s">
        <v>3</v>
      </c>
      <c r="G5205" s="3">
        <v>1.4E-3</v>
      </c>
      <c r="H5205" s="3">
        <v>0.01</v>
      </c>
      <c r="I5205" s="3">
        <v>8.5000000000000006E-3</v>
      </c>
      <c r="J5205" s="6"/>
      <c r="K5205" s="6"/>
      <c r="L5205" s="3">
        <f t="shared" si="225"/>
        <v>1.8500000000000003E-2</v>
      </c>
      <c r="M5205" s="3"/>
      <c r="N5205" s="3">
        <f t="shared" si="226"/>
        <v>1.9900000000000001E-2</v>
      </c>
      <c r="P5205" s="31" t="s">
        <v>31391</v>
      </c>
      <c r="Q5205" t="s">
        <v>31787</v>
      </c>
      <c r="R5205" s="89">
        <v>0.33333333333333348</v>
      </c>
      <c r="S5205" s="89">
        <f>100%-Table34[[#This Row],[InitialFee]]</f>
        <v>0.99</v>
      </c>
      <c r="T5205" s="89">
        <f>(1-Table34[[#This Row],[OngoingFee (plus Platform fee)]])^5</f>
        <v>0.95821638480594218</v>
      </c>
      <c r="U5205" s="26">
        <f>(1+Table34[[#This Row],[Net 5yrs return (mostly up to 28th of Feb 2026)]])*Table34[[#This Row],[Investment after initial charge]]*Table34[[#This Row],[Cummulative 5yrs ongoing advice charge]]-1</f>
        <v>0.26484562794384381</v>
      </c>
      <c r="V5205">
        <f>180883+47323</f>
        <v>228206</v>
      </c>
      <c r="W5205" t="s">
        <v>29051</v>
      </c>
      <c r="X5205" s="9">
        <v>80748</v>
      </c>
      <c r="Y5205" s="30">
        <f>X5205/V5205</f>
        <v>0.35383819882036405</v>
      </c>
      <c r="AA5205" s="1" t="s">
        <v>31392</v>
      </c>
    </row>
    <row r="5206" spans="1:27" hidden="1" x14ac:dyDescent="0.25">
      <c r="A5206">
        <v>975897</v>
      </c>
      <c r="B5206" t="s">
        <v>5598</v>
      </c>
      <c r="C5206" t="s">
        <v>31393</v>
      </c>
      <c r="D5206">
        <v>1</v>
      </c>
      <c r="E5206" t="s">
        <v>5598</v>
      </c>
      <c r="G5206" s="3"/>
      <c r="H5206" s="21">
        <v>0</v>
      </c>
      <c r="I5206" s="21">
        <v>0</v>
      </c>
      <c r="J5206" s="21">
        <v>0</v>
      </c>
      <c r="K5206" s="21">
        <v>0</v>
      </c>
      <c r="L5206" s="3">
        <f t="shared" si="225"/>
        <v>0</v>
      </c>
      <c r="M5206" s="3"/>
      <c r="N5206" s="3">
        <f t="shared" si="226"/>
        <v>0</v>
      </c>
      <c r="O5206" s="21"/>
      <c r="R5206" s="89"/>
      <c r="S5206" s="89">
        <f>100%-Table34[[#This Row],[PDF_initial fee]]</f>
        <v>1</v>
      </c>
      <c r="T5206" s="89"/>
      <c r="U5206" s="26"/>
      <c r="X5206" s="9"/>
    </row>
    <row r="5207" spans="1:27" hidden="1" x14ac:dyDescent="0.25">
      <c r="A5207">
        <v>976075</v>
      </c>
      <c r="B5207" t="s">
        <v>5599</v>
      </c>
      <c r="C5207" s="1" t="s">
        <v>31394</v>
      </c>
      <c r="D5207">
        <v>2</v>
      </c>
      <c r="E5207" t="s">
        <v>5599</v>
      </c>
      <c r="G5207" s="3"/>
      <c r="H5207" s="21">
        <v>0</v>
      </c>
      <c r="I5207" s="21">
        <v>0</v>
      </c>
      <c r="J5207" s="21">
        <v>0</v>
      </c>
      <c r="K5207" s="21">
        <v>0</v>
      </c>
      <c r="L5207" s="3">
        <f t="shared" si="225"/>
        <v>0</v>
      </c>
      <c r="M5207" s="3"/>
      <c r="N5207" s="3">
        <f t="shared" si="226"/>
        <v>0</v>
      </c>
      <c r="O5207" s="21"/>
      <c r="R5207" s="89"/>
      <c r="S5207" s="89">
        <f>100%-Table34[[#This Row],[PDF_initial fee]]</f>
        <v>1</v>
      </c>
      <c r="T5207" s="89"/>
      <c r="U5207" s="26"/>
      <c r="X5207" s="9"/>
    </row>
    <row r="5208" spans="1:27" hidden="1" x14ac:dyDescent="0.25">
      <c r="A5208">
        <v>976076</v>
      </c>
      <c r="B5208" t="s">
        <v>5600</v>
      </c>
      <c r="C5208" t="s">
        <v>7020</v>
      </c>
      <c r="D5208">
        <v>1</v>
      </c>
      <c r="E5208" t="s">
        <v>5600</v>
      </c>
      <c r="G5208" s="3"/>
      <c r="H5208" s="21">
        <v>0</v>
      </c>
      <c r="I5208" s="21">
        <v>0</v>
      </c>
      <c r="J5208" s="21">
        <v>0</v>
      </c>
      <c r="K5208" s="21">
        <v>0</v>
      </c>
      <c r="L5208" s="3">
        <f t="shared" si="225"/>
        <v>0</v>
      </c>
      <c r="M5208" s="3"/>
      <c r="N5208" s="3">
        <f t="shared" si="226"/>
        <v>0</v>
      </c>
      <c r="R5208" s="89"/>
      <c r="S5208" s="89">
        <f>100%-Table34[[#This Row],[PDF_initial fee]]</f>
        <v>1</v>
      </c>
      <c r="T5208" s="89"/>
      <c r="U5208" s="26"/>
      <c r="X5208" s="9"/>
    </row>
    <row r="5209" spans="1:27" hidden="1" x14ac:dyDescent="0.25">
      <c r="A5209">
        <v>976267</v>
      </c>
      <c r="B5209" t="s">
        <v>5601</v>
      </c>
      <c r="C5209" t="s">
        <v>31395</v>
      </c>
      <c r="D5209">
        <v>0</v>
      </c>
      <c r="E5209" t="s">
        <v>5601</v>
      </c>
      <c r="F5209" t="s">
        <v>29136</v>
      </c>
      <c r="G5209" s="3"/>
      <c r="H5209" s="3"/>
      <c r="I5209" s="3"/>
      <c r="J5209" s="3"/>
      <c r="K5209" s="3"/>
      <c r="L5209" s="3">
        <f t="shared" si="225"/>
        <v>0</v>
      </c>
      <c r="M5209" s="3"/>
      <c r="N5209" s="3">
        <f t="shared" si="226"/>
        <v>0</v>
      </c>
      <c r="R5209" s="89"/>
      <c r="S5209" s="89">
        <f>100%-Table34[[#This Row],[PDF_initial fee]]</f>
        <v>1</v>
      </c>
      <c r="T5209" s="89"/>
      <c r="U5209" s="26"/>
      <c r="X5209" s="9"/>
    </row>
    <row r="5210" spans="1:27" hidden="1" x14ac:dyDescent="0.25">
      <c r="A5210">
        <v>976846</v>
      </c>
      <c r="B5210" t="s">
        <v>5602</v>
      </c>
      <c r="C5210" t="s">
        <v>6958</v>
      </c>
      <c r="D5210">
        <v>0</v>
      </c>
      <c r="E5210" t="s">
        <v>5602</v>
      </c>
      <c r="F5210" t="s">
        <v>6958</v>
      </c>
      <c r="G5210" s="3"/>
      <c r="H5210" s="21">
        <v>0</v>
      </c>
      <c r="I5210" s="21">
        <v>0</v>
      </c>
      <c r="J5210" s="21">
        <v>0</v>
      </c>
      <c r="K5210" s="21">
        <v>0</v>
      </c>
      <c r="L5210" s="3">
        <f t="shared" si="225"/>
        <v>0</v>
      </c>
      <c r="M5210" s="3"/>
      <c r="N5210" s="3">
        <f t="shared" si="226"/>
        <v>0</v>
      </c>
      <c r="O5210" s="21"/>
      <c r="R5210" s="89"/>
      <c r="S5210" s="89">
        <f>100%-Table34[[#This Row],[PDF_initial fee]]</f>
        <v>1</v>
      </c>
      <c r="T5210" s="89"/>
      <c r="U5210" s="26"/>
      <c r="X5210" s="9"/>
    </row>
    <row r="5211" spans="1:27" hidden="1" x14ac:dyDescent="0.25">
      <c r="A5211">
        <v>976855</v>
      </c>
      <c r="B5211" t="s">
        <v>5603</v>
      </c>
      <c r="C5211" t="s">
        <v>6958</v>
      </c>
      <c r="D5211">
        <v>1</v>
      </c>
      <c r="E5211" t="s">
        <v>5603</v>
      </c>
      <c r="F5211" t="s">
        <v>6958</v>
      </c>
      <c r="G5211" s="3"/>
      <c r="H5211" s="21">
        <v>0</v>
      </c>
      <c r="I5211" s="21">
        <v>0</v>
      </c>
      <c r="J5211" s="21">
        <v>0</v>
      </c>
      <c r="K5211" s="21">
        <v>0</v>
      </c>
      <c r="L5211" s="3">
        <f t="shared" si="225"/>
        <v>0</v>
      </c>
      <c r="M5211" s="3"/>
      <c r="N5211" s="3">
        <f t="shared" si="226"/>
        <v>0</v>
      </c>
      <c r="O5211" s="21"/>
      <c r="R5211" s="89"/>
      <c r="S5211" s="89">
        <f>100%-Table34[[#This Row],[PDF_initial fee]]</f>
        <v>1</v>
      </c>
      <c r="T5211" s="89"/>
      <c r="U5211" s="26"/>
      <c r="X5211" s="9"/>
    </row>
    <row r="5212" spans="1:27" x14ac:dyDescent="0.25">
      <c r="A5212">
        <v>694859</v>
      </c>
      <c r="B5212" t="s">
        <v>270</v>
      </c>
      <c r="C5212" s="1" t="s">
        <v>31396</v>
      </c>
      <c r="D5212">
        <v>4</v>
      </c>
      <c r="E5212" t="s">
        <v>270</v>
      </c>
      <c r="F5212" t="s">
        <v>3</v>
      </c>
      <c r="G5212" s="3">
        <v>1.4E-3</v>
      </c>
      <c r="H5212" s="3"/>
      <c r="I5212" s="3">
        <v>0.03</v>
      </c>
      <c r="J5212" s="6">
        <v>0</v>
      </c>
      <c r="K5212" s="6">
        <v>0</v>
      </c>
      <c r="L5212" s="3">
        <f t="shared" si="225"/>
        <v>0.03</v>
      </c>
      <c r="M5212" s="3"/>
      <c r="N5212" s="3">
        <f t="shared" si="226"/>
        <v>3.1399999999999997E-2</v>
      </c>
      <c r="O5212" t="s">
        <v>31397</v>
      </c>
      <c r="P5212" s="31" t="s">
        <v>31398</v>
      </c>
      <c r="Q5212" t="s">
        <v>31787</v>
      </c>
      <c r="R5212" s="89">
        <v>0.33333333333333348</v>
      </c>
      <c r="S5212" s="99">
        <f>100%-Table34[[#This Row],[InitialFee]]</f>
        <v>1</v>
      </c>
      <c r="T5212" s="99">
        <f>(1-Table34[[#This Row],[OngoingFee (plus Platform fee)]])^5</f>
        <v>0.8587340256999999</v>
      </c>
      <c r="U5212" s="26">
        <f>(1+Table34[[#This Row],[Net 5yrs return (mostly up to 28th of Feb 2026)]])*Table34[[#This Row],[Investment after initial charge]]*Table34[[#This Row],[Cummulative 5yrs ongoing advice charge]]-1</f>
        <v>0.14497870093333343</v>
      </c>
      <c r="V5212">
        <f>369857+127743</f>
        <v>497600</v>
      </c>
      <c r="W5212" t="s">
        <v>29051</v>
      </c>
      <c r="X5212" s="9">
        <v>340488</v>
      </c>
      <c r="Y5212" s="30">
        <f>X5212/V5212</f>
        <v>0.68426045016077175</v>
      </c>
      <c r="AA5212" s="1" t="s">
        <v>31399</v>
      </c>
    </row>
    <row r="5213" spans="1:27" hidden="1" x14ac:dyDescent="0.25">
      <c r="A5213">
        <v>977186</v>
      </c>
      <c r="B5213" t="s">
        <v>5604</v>
      </c>
      <c r="C5213" t="s">
        <v>8913</v>
      </c>
      <c r="D5213">
        <v>2</v>
      </c>
      <c r="E5213" t="s">
        <v>5604</v>
      </c>
      <c r="G5213" s="3"/>
      <c r="H5213" s="21">
        <v>0</v>
      </c>
      <c r="I5213" s="21">
        <v>0</v>
      </c>
      <c r="J5213" s="21">
        <v>0</v>
      </c>
      <c r="K5213" s="21">
        <v>0</v>
      </c>
      <c r="L5213" s="3">
        <f t="shared" si="225"/>
        <v>0</v>
      </c>
      <c r="M5213" s="3"/>
      <c r="N5213" s="3">
        <f t="shared" si="226"/>
        <v>0</v>
      </c>
      <c r="R5213" s="89"/>
      <c r="S5213" s="89">
        <f>100%-Table34[[#This Row],[PDF_initial fee]]</f>
        <v>1</v>
      </c>
      <c r="T5213" s="89"/>
      <c r="U5213" s="26"/>
      <c r="X5213" s="9"/>
    </row>
    <row r="5214" spans="1:27" hidden="1" x14ac:dyDescent="0.25">
      <c r="A5214">
        <v>977384</v>
      </c>
      <c r="B5214" t="s">
        <v>5605</v>
      </c>
      <c r="C5214" t="s">
        <v>6958</v>
      </c>
      <c r="D5214">
        <v>1</v>
      </c>
      <c r="E5214" t="s">
        <v>5605</v>
      </c>
      <c r="F5214" t="s">
        <v>6958</v>
      </c>
      <c r="G5214" s="3"/>
      <c r="H5214" s="21">
        <v>0</v>
      </c>
      <c r="I5214" s="21">
        <v>0</v>
      </c>
      <c r="J5214" s="21">
        <v>0</v>
      </c>
      <c r="K5214" s="21">
        <v>0</v>
      </c>
      <c r="L5214" s="3">
        <f t="shared" si="225"/>
        <v>0</v>
      </c>
      <c r="M5214" s="3"/>
      <c r="N5214" s="3">
        <f t="shared" si="226"/>
        <v>0</v>
      </c>
      <c r="O5214" s="21"/>
      <c r="R5214" s="89"/>
      <c r="S5214" s="89">
        <f>100%-Table34[[#This Row],[PDF_initial fee]]</f>
        <v>1</v>
      </c>
      <c r="T5214" s="89"/>
      <c r="U5214" s="26"/>
      <c r="X5214" s="9"/>
    </row>
    <row r="5215" spans="1:27" hidden="1" x14ac:dyDescent="0.25">
      <c r="A5215">
        <v>977586</v>
      </c>
      <c r="B5215" t="s">
        <v>5606</v>
      </c>
      <c r="C5215" t="s">
        <v>6958</v>
      </c>
      <c r="D5215">
        <v>1</v>
      </c>
      <c r="E5215" t="s">
        <v>5606</v>
      </c>
      <c r="F5215" t="s">
        <v>6958</v>
      </c>
      <c r="G5215" s="3"/>
      <c r="H5215" s="21">
        <v>0</v>
      </c>
      <c r="I5215" s="21">
        <v>0</v>
      </c>
      <c r="J5215" s="21">
        <v>0</v>
      </c>
      <c r="K5215" s="21">
        <v>0</v>
      </c>
      <c r="L5215" s="3">
        <f t="shared" si="225"/>
        <v>0</v>
      </c>
      <c r="M5215" s="3"/>
      <c r="N5215" s="3">
        <f t="shared" si="226"/>
        <v>0</v>
      </c>
      <c r="R5215" s="89"/>
      <c r="S5215" s="89">
        <f>100%-Table34[[#This Row],[PDF_initial fee]]</f>
        <v>1</v>
      </c>
      <c r="T5215" s="89"/>
      <c r="U5215" s="26"/>
      <c r="X5215" s="9"/>
    </row>
    <row r="5216" spans="1:27" hidden="1" x14ac:dyDescent="0.25">
      <c r="A5216">
        <v>977595</v>
      </c>
      <c r="B5216" t="s">
        <v>5607</v>
      </c>
      <c r="C5216" t="s">
        <v>8156</v>
      </c>
      <c r="D5216">
        <v>1</v>
      </c>
      <c r="E5216" t="s">
        <v>5607</v>
      </c>
      <c r="G5216" s="3"/>
      <c r="H5216" s="21">
        <v>0</v>
      </c>
      <c r="I5216" s="21">
        <v>0</v>
      </c>
      <c r="J5216" s="21">
        <v>0</v>
      </c>
      <c r="K5216" s="21">
        <v>0</v>
      </c>
      <c r="L5216" s="3">
        <f t="shared" si="225"/>
        <v>0</v>
      </c>
      <c r="M5216" s="3"/>
      <c r="N5216" s="3">
        <f t="shared" si="226"/>
        <v>0</v>
      </c>
      <c r="R5216" s="89"/>
      <c r="S5216" s="89">
        <f>100%-Table34[[#This Row],[PDF_initial fee]]</f>
        <v>1</v>
      </c>
      <c r="T5216" s="89"/>
      <c r="U5216" s="26"/>
      <c r="X5216" s="9"/>
    </row>
    <row r="5217" spans="1:28" hidden="1" x14ac:dyDescent="0.25">
      <c r="A5217">
        <v>977663</v>
      </c>
      <c r="B5217" t="s">
        <v>5608</v>
      </c>
      <c r="C5217" t="s">
        <v>9433</v>
      </c>
      <c r="D5217">
        <v>1</v>
      </c>
      <c r="E5217" t="s">
        <v>5608</v>
      </c>
      <c r="G5217" s="3"/>
      <c r="H5217" s="3"/>
      <c r="I5217" s="3"/>
      <c r="J5217" s="3"/>
      <c r="K5217" s="3"/>
      <c r="L5217" s="3">
        <f t="shared" si="225"/>
        <v>0</v>
      </c>
      <c r="M5217" s="3"/>
      <c r="N5217" s="3">
        <f t="shared" si="226"/>
        <v>0</v>
      </c>
      <c r="R5217" s="89"/>
      <c r="S5217" s="89">
        <f>100%-Table34[[#This Row],[PDF_initial fee]]</f>
        <v>1</v>
      </c>
      <c r="T5217" s="89"/>
      <c r="U5217" s="26"/>
      <c r="X5217" s="9"/>
    </row>
    <row r="5218" spans="1:28" hidden="1" x14ac:dyDescent="0.25">
      <c r="A5218">
        <v>977687</v>
      </c>
      <c r="B5218" t="s">
        <v>5609</v>
      </c>
      <c r="C5218" t="s">
        <v>8232</v>
      </c>
      <c r="D5218">
        <v>1</v>
      </c>
      <c r="E5218" t="s">
        <v>5609</v>
      </c>
      <c r="G5218" s="3"/>
      <c r="H5218" s="21">
        <v>0</v>
      </c>
      <c r="I5218" s="21">
        <v>0</v>
      </c>
      <c r="J5218" s="21">
        <v>0</v>
      </c>
      <c r="K5218" s="21">
        <v>0</v>
      </c>
      <c r="L5218" s="3">
        <f t="shared" si="225"/>
        <v>0</v>
      </c>
      <c r="M5218" s="3"/>
      <c r="N5218" s="3">
        <f t="shared" si="226"/>
        <v>0</v>
      </c>
      <c r="R5218" s="89"/>
      <c r="S5218" s="89">
        <f>100%-Table34[[#This Row],[PDF_initial fee]]</f>
        <v>1</v>
      </c>
      <c r="T5218" s="89"/>
      <c r="U5218" s="26"/>
      <c r="X5218" s="9"/>
    </row>
    <row r="5219" spans="1:28" hidden="1" x14ac:dyDescent="0.25">
      <c r="A5219">
        <v>977929</v>
      </c>
      <c r="B5219" t="s">
        <v>5610</v>
      </c>
      <c r="C5219" t="s">
        <v>6974</v>
      </c>
      <c r="D5219">
        <v>8</v>
      </c>
      <c r="E5219" t="s">
        <v>5610</v>
      </c>
      <c r="G5219" s="3"/>
      <c r="H5219" s="21">
        <v>0</v>
      </c>
      <c r="I5219" s="21">
        <v>0</v>
      </c>
      <c r="J5219" s="21">
        <v>0</v>
      </c>
      <c r="K5219" s="21">
        <v>0</v>
      </c>
      <c r="L5219" s="3">
        <f t="shared" si="225"/>
        <v>0</v>
      </c>
      <c r="M5219" s="3"/>
      <c r="N5219" s="3">
        <f t="shared" si="226"/>
        <v>0</v>
      </c>
      <c r="R5219" s="89"/>
      <c r="S5219" s="89">
        <f>100%-Table34[[#This Row],[PDF_initial fee]]</f>
        <v>1</v>
      </c>
      <c r="T5219" s="89"/>
      <c r="U5219" s="26"/>
      <c r="X5219" s="9"/>
    </row>
    <row r="5220" spans="1:28" hidden="1" x14ac:dyDescent="0.25">
      <c r="A5220">
        <v>978184</v>
      </c>
      <c r="B5220" t="s">
        <v>5611</v>
      </c>
      <c r="C5220" t="s">
        <v>6958</v>
      </c>
      <c r="D5220">
        <v>1</v>
      </c>
      <c r="E5220" t="s">
        <v>5611</v>
      </c>
      <c r="F5220" t="s">
        <v>6958</v>
      </c>
      <c r="G5220" s="3"/>
      <c r="H5220" s="21">
        <v>0</v>
      </c>
      <c r="I5220" s="21">
        <v>0</v>
      </c>
      <c r="J5220" s="21">
        <v>0</v>
      </c>
      <c r="K5220" s="21">
        <v>0</v>
      </c>
      <c r="L5220" s="3">
        <f t="shared" si="225"/>
        <v>0</v>
      </c>
      <c r="M5220" s="3"/>
      <c r="N5220" s="3">
        <f t="shared" si="226"/>
        <v>0</v>
      </c>
      <c r="O5220" s="21"/>
      <c r="R5220" s="89"/>
      <c r="S5220" s="89">
        <f>100%-Table34[[#This Row],[PDF_initial fee]]</f>
        <v>1</v>
      </c>
      <c r="T5220" s="89"/>
      <c r="U5220" s="26"/>
      <c r="X5220" s="9"/>
    </row>
    <row r="5221" spans="1:28" hidden="1" x14ac:dyDescent="0.25">
      <c r="A5221">
        <v>978338</v>
      </c>
      <c r="B5221" t="s">
        <v>5612</v>
      </c>
      <c r="C5221" t="s">
        <v>10185</v>
      </c>
      <c r="D5221">
        <v>1</v>
      </c>
      <c r="E5221" t="s">
        <v>5612</v>
      </c>
      <c r="G5221" s="3"/>
      <c r="H5221" s="21">
        <v>0</v>
      </c>
      <c r="I5221" s="21">
        <v>0</v>
      </c>
      <c r="J5221" s="21">
        <v>0</v>
      </c>
      <c r="K5221" s="21">
        <v>0</v>
      </c>
      <c r="L5221" s="3">
        <f t="shared" si="225"/>
        <v>0</v>
      </c>
      <c r="M5221" s="3"/>
      <c r="N5221" s="3">
        <f t="shared" si="226"/>
        <v>0</v>
      </c>
      <c r="O5221" s="21"/>
      <c r="R5221" s="89"/>
      <c r="S5221" s="89">
        <f>100%-Table34[[#This Row],[PDF_initial fee]]</f>
        <v>1</v>
      </c>
      <c r="T5221" s="89"/>
      <c r="U5221" s="26"/>
      <c r="X5221" s="9"/>
    </row>
    <row r="5222" spans="1:28" s="82" customFormat="1" hidden="1" x14ac:dyDescent="0.25">
      <c r="A5222" s="82">
        <v>978705</v>
      </c>
      <c r="B5222" s="82" t="s">
        <v>5613</v>
      </c>
      <c r="C5222" s="82" t="s">
        <v>7851</v>
      </c>
      <c r="D5222" s="82">
        <v>2</v>
      </c>
      <c r="E5222" s="82" t="s">
        <v>5613</v>
      </c>
      <c r="F5222" s="82" t="s">
        <v>3</v>
      </c>
      <c r="G5222" s="3"/>
      <c r="H5222" s="83"/>
      <c r="I5222" s="84"/>
      <c r="J5222" s="83"/>
      <c r="K5222" s="83"/>
      <c r="L5222" s="84">
        <v>0</v>
      </c>
      <c r="M5222" s="84"/>
      <c r="N5222" s="84">
        <v>0</v>
      </c>
      <c r="O5222" s="82" t="s">
        <v>31400</v>
      </c>
      <c r="R5222" s="89"/>
      <c r="S5222" s="89">
        <f>100%-Table34[[#This Row],[PDF_initial fee]]</f>
        <v>1</v>
      </c>
      <c r="T5222" s="89"/>
      <c r="U5222" s="26"/>
      <c r="X5222" s="9"/>
      <c r="Y5222" s="30" t="e">
        <f>X5222/V5222</f>
        <v>#DIV/0!</v>
      </c>
    </row>
    <row r="5223" spans="1:28" hidden="1" x14ac:dyDescent="0.25">
      <c r="A5223">
        <v>978795</v>
      </c>
      <c r="B5223" t="s">
        <v>5614</v>
      </c>
      <c r="C5223" t="s">
        <v>7010</v>
      </c>
      <c r="D5223">
        <v>2</v>
      </c>
      <c r="E5223" t="s">
        <v>5614</v>
      </c>
      <c r="G5223" s="3"/>
      <c r="H5223" s="21">
        <v>0</v>
      </c>
      <c r="I5223" s="21">
        <v>0</v>
      </c>
      <c r="J5223" s="21">
        <v>0</v>
      </c>
      <c r="K5223" s="21">
        <v>0</v>
      </c>
      <c r="L5223" s="3">
        <f t="shared" ref="L5223:L5254" si="227">SUM(H5223:K5223)</f>
        <v>0</v>
      </c>
      <c r="M5223" s="3"/>
      <c r="N5223" s="3">
        <f t="shared" ref="N5223:N5254" si="228">L5223+G5223</f>
        <v>0</v>
      </c>
      <c r="R5223" s="89"/>
      <c r="S5223" s="89">
        <f>100%-Table34[[#This Row],[PDF_initial fee]]</f>
        <v>1</v>
      </c>
      <c r="T5223" s="89"/>
      <c r="U5223" s="26"/>
      <c r="X5223" s="9"/>
    </row>
    <row r="5224" spans="1:28" x14ac:dyDescent="0.25">
      <c r="A5224">
        <v>517067</v>
      </c>
      <c r="B5224" t="s">
        <v>204</v>
      </c>
      <c r="C5224" t="s">
        <v>10834</v>
      </c>
      <c r="D5224">
        <v>1</v>
      </c>
      <c r="E5224" t="s">
        <v>204</v>
      </c>
      <c r="F5224" t="s">
        <v>3</v>
      </c>
      <c r="G5224" s="3">
        <v>1.4E-3</v>
      </c>
      <c r="H5224" s="3">
        <v>0</v>
      </c>
      <c r="I5224" s="3">
        <v>0.05</v>
      </c>
      <c r="J5224" s="6">
        <v>0</v>
      </c>
      <c r="K5224" s="6"/>
      <c r="L5224" s="3">
        <f t="shared" si="227"/>
        <v>0.05</v>
      </c>
      <c r="M5224" s="3"/>
      <c r="N5224" s="3">
        <f t="shared" si="228"/>
        <v>5.1400000000000001E-2</v>
      </c>
      <c r="O5224" t="s">
        <v>31401</v>
      </c>
      <c r="P5224" s="31" t="s">
        <v>31402</v>
      </c>
      <c r="Q5224" t="s">
        <v>31787</v>
      </c>
      <c r="R5224" s="89">
        <v>0.33333333333333348</v>
      </c>
      <c r="S5224" s="99">
        <f>100%-Table34[[#This Row],[InitialFee]]</f>
        <v>1</v>
      </c>
      <c r="T5224" s="99">
        <f>(1-Table34[[#This Row],[OngoingFee (plus Platform fee)]])^5</f>
        <v>0.77378093749999999</v>
      </c>
      <c r="U5224" s="26">
        <f>(1+Table34[[#This Row],[Net 5yrs return (mostly up to 28th of Feb 2026)]])*Table34[[#This Row],[Investment after initial charge]]*Table34[[#This Row],[Cummulative 5yrs ongoing advice charge]]-1</f>
        <v>3.1707916666666724E-2</v>
      </c>
      <c r="V5224" s="10">
        <f>131547+28654</f>
        <v>160201</v>
      </c>
      <c r="W5224" t="s">
        <v>29051</v>
      </c>
      <c r="X5224" s="9">
        <v>97395</v>
      </c>
      <c r="Y5224" s="30">
        <f>X5224/V5224</f>
        <v>0.60795500652305545</v>
      </c>
      <c r="AA5224" s="1" t="s">
        <v>31403</v>
      </c>
      <c r="AB5224" t="s">
        <v>29349</v>
      </c>
    </row>
    <row r="5225" spans="1:28" hidden="1" x14ac:dyDescent="0.25">
      <c r="A5225">
        <v>979804</v>
      </c>
      <c r="B5225" t="s">
        <v>5615</v>
      </c>
      <c r="C5225" t="s">
        <v>10824</v>
      </c>
      <c r="D5225">
        <v>2</v>
      </c>
      <c r="E5225" t="s">
        <v>5615</v>
      </c>
      <c r="G5225" s="3"/>
      <c r="H5225" s="21">
        <v>0</v>
      </c>
      <c r="I5225" s="21">
        <v>0</v>
      </c>
      <c r="J5225" s="21">
        <v>0</v>
      </c>
      <c r="K5225" s="21">
        <v>0</v>
      </c>
      <c r="L5225" s="3">
        <f t="shared" si="227"/>
        <v>0</v>
      </c>
      <c r="M5225" s="3"/>
      <c r="N5225" s="3">
        <f t="shared" si="228"/>
        <v>0</v>
      </c>
      <c r="O5225" s="21"/>
      <c r="R5225" s="89"/>
      <c r="S5225" s="89">
        <f>100%-Table34[[#This Row],[PDF_initial fee]]</f>
        <v>1</v>
      </c>
      <c r="T5225" s="89"/>
      <c r="U5225" s="26"/>
      <c r="X5225" s="9"/>
    </row>
    <row r="5226" spans="1:28" hidden="1" x14ac:dyDescent="0.25">
      <c r="A5226">
        <v>979818</v>
      </c>
      <c r="B5226" t="s">
        <v>5616</v>
      </c>
      <c r="C5226" t="s">
        <v>6958</v>
      </c>
      <c r="D5226">
        <v>1</v>
      </c>
      <c r="E5226" t="s">
        <v>5616</v>
      </c>
      <c r="F5226" t="s">
        <v>6958</v>
      </c>
      <c r="G5226" s="3"/>
      <c r="H5226" s="21">
        <v>0</v>
      </c>
      <c r="I5226" s="21">
        <v>0</v>
      </c>
      <c r="J5226" s="21">
        <v>0</v>
      </c>
      <c r="K5226" s="21">
        <v>0</v>
      </c>
      <c r="L5226" s="3">
        <f t="shared" si="227"/>
        <v>0</v>
      </c>
      <c r="M5226" s="3"/>
      <c r="N5226" s="3">
        <f t="shared" si="228"/>
        <v>0</v>
      </c>
      <c r="O5226" s="21"/>
      <c r="R5226" s="89"/>
      <c r="S5226" s="89">
        <f>100%-Table34[[#This Row],[PDF_initial fee]]</f>
        <v>1</v>
      </c>
      <c r="T5226" s="89"/>
      <c r="U5226" s="26"/>
      <c r="X5226" s="9"/>
    </row>
    <row r="5227" spans="1:28" hidden="1" x14ac:dyDescent="0.25">
      <c r="A5227">
        <v>979950</v>
      </c>
      <c r="B5227" t="s">
        <v>5617</v>
      </c>
      <c r="C5227" t="s">
        <v>6958</v>
      </c>
      <c r="D5227">
        <v>1</v>
      </c>
      <c r="E5227" t="s">
        <v>5617</v>
      </c>
      <c r="F5227" t="s">
        <v>6958</v>
      </c>
      <c r="G5227" s="3"/>
      <c r="H5227" s="21">
        <v>0</v>
      </c>
      <c r="I5227" s="21">
        <v>0</v>
      </c>
      <c r="J5227" s="21">
        <v>0</v>
      </c>
      <c r="K5227" s="21">
        <v>0</v>
      </c>
      <c r="L5227" s="3">
        <f t="shared" si="227"/>
        <v>0</v>
      </c>
      <c r="M5227" s="3"/>
      <c r="N5227" s="3">
        <f t="shared" si="228"/>
        <v>0</v>
      </c>
      <c r="O5227" s="21"/>
      <c r="R5227" s="89"/>
      <c r="S5227" s="89">
        <f>100%-Table34[[#This Row],[PDF_initial fee]]</f>
        <v>1</v>
      </c>
      <c r="T5227" s="89"/>
      <c r="U5227" s="26"/>
      <c r="X5227" s="9"/>
    </row>
    <row r="5228" spans="1:28" hidden="1" x14ac:dyDescent="0.25">
      <c r="A5228">
        <v>980382</v>
      </c>
      <c r="B5228" t="s">
        <v>5618</v>
      </c>
      <c r="C5228" t="s">
        <v>11552</v>
      </c>
      <c r="D5228">
        <v>5</v>
      </c>
      <c r="E5228" t="s">
        <v>5618</v>
      </c>
      <c r="G5228" s="3"/>
      <c r="H5228" s="3"/>
      <c r="I5228" s="3"/>
      <c r="J5228" s="3"/>
      <c r="K5228" s="3"/>
      <c r="L5228" s="3">
        <f t="shared" si="227"/>
        <v>0</v>
      </c>
      <c r="M5228" s="3"/>
      <c r="N5228" s="3">
        <f t="shared" si="228"/>
        <v>0</v>
      </c>
      <c r="R5228" s="89"/>
      <c r="S5228" s="89">
        <f>100%-Table34[[#This Row],[PDF_initial fee]]</f>
        <v>1</v>
      </c>
      <c r="T5228" s="89"/>
      <c r="U5228" s="26"/>
      <c r="X5228" s="9"/>
    </row>
    <row r="5229" spans="1:28" hidden="1" x14ac:dyDescent="0.25">
      <c r="A5229">
        <v>980861</v>
      </c>
      <c r="B5229" t="s">
        <v>5619</v>
      </c>
      <c r="C5229" t="s">
        <v>7192</v>
      </c>
      <c r="D5229">
        <v>1</v>
      </c>
      <c r="E5229" t="s">
        <v>5619</v>
      </c>
      <c r="G5229" s="3"/>
      <c r="H5229" s="21">
        <v>0</v>
      </c>
      <c r="I5229" s="21">
        <v>0</v>
      </c>
      <c r="J5229" s="21">
        <v>0</v>
      </c>
      <c r="K5229" s="21">
        <v>0</v>
      </c>
      <c r="L5229" s="3">
        <f t="shared" si="227"/>
        <v>0</v>
      </c>
      <c r="M5229" s="3"/>
      <c r="N5229" s="3">
        <f t="shared" si="228"/>
        <v>0</v>
      </c>
      <c r="R5229" s="89"/>
      <c r="S5229" s="89">
        <f>100%-Table34[[#This Row],[PDF_initial fee]]</f>
        <v>1</v>
      </c>
      <c r="T5229" s="89"/>
      <c r="U5229" s="26"/>
      <c r="X5229" s="9"/>
    </row>
    <row r="5230" spans="1:28" hidden="1" x14ac:dyDescent="0.25">
      <c r="A5230">
        <v>982479</v>
      </c>
      <c r="B5230" t="s">
        <v>5620</v>
      </c>
      <c r="C5230" t="s">
        <v>7301</v>
      </c>
      <c r="D5230">
        <v>2</v>
      </c>
      <c r="E5230" t="s">
        <v>5620</v>
      </c>
      <c r="G5230" s="3"/>
      <c r="H5230" s="21">
        <v>0</v>
      </c>
      <c r="I5230" s="21">
        <v>0</v>
      </c>
      <c r="J5230" s="21">
        <v>0</v>
      </c>
      <c r="K5230" s="21">
        <v>0</v>
      </c>
      <c r="L5230" s="3">
        <f t="shared" si="227"/>
        <v>0</v>
      </c>
      <c r="M5230" s="3"/>
      <c r="N5230" s="3">
        <f t="shared" si="228"/>
        <v>0</v>
      </c>
      <c r="R5230" s="89"/>
      <c r="S5230" s="89">
        <f>100%-Table34[[#This Row],[PDF_initial fee]]</f>
        <v>1</v>
      </c>
      <c r="T5230" s="89"/>
      <c r="U5230" s="26"/>
      <c r="X5230" s="9"/>
    </row>
    <row r="5231" spans="1:28" hidden="1" x14ac:dyDescent="0.25">
      <c r="A5231">
        <v>982544</v>
      </c>
      <c r="B5231" t="s">
        <v>5621</v>
      </c>
      <c r="C5231" t="s">
        <v>7605</v>
      </c>
      <c r="D5231">
        <v>1</v>
      </c>
      <c r="E5231" t="s">
        <v>5621</v>
      </c>
      <c r="G5231" s="3"/>
      <c r="H5231" s="21">
        <v>0</v>
      </c>
      <c r="I5231" s="21">
        <v>0</v>
      </c>
      <c r="J5231" s="21">
        <v>0</v>
      </c>
      <c r="K5231" s="21">
        <v>0</v>
      </c>
      <c r="L5231" s="3">
        <f t="shared" si="227"/>
        <v>0</v>
      </c>
      <c r="M5231" s="3"/>
      <c r="N5231" s="3">
        <f t="shared" si="228"/>
        <v>0</v>
      </c>
      <c r="R5231" s="89"/>
      <c r="S5231" s="89">
        <f>100%-Table34[[#This Row],[PDF_initial fee]]</f>
        <v>1</v>
      </c>
      <c r="T5231" s="89"/>
      <c r="U5231" s="26"/>
      <c r="X5231" s="9"/>
    </row>
    <row r="5232" spans="1:28" hidden="1" x14ac:dyDescent="0.25">
      <c r="A5232">
        <v>982589</v>
      </c>
      <c r="B5232" t="s">
        <v>5622</v>
      </c>
      <c r="C5232" t="s">
        <v>11245</v>
      </c>
      <c r="D5232">
        <v>1</v>
      </c>
      <c r="E5232" t="s">
        <v>5622</v>
      </c>
      <c r="G5232" s="3"/>
      <c r="H5232" s="21">
        <v>0</v>
      </c>
      <c r="I5232" s="21">
        <v>0</v>
      </c>
      <c r="J5232" s="21">
        <v>0</v>
      </c>
      <c r="K5232" s="21">
        <v>0</v>
      </c>
      <c r="L5232" s="3">
        <f t="shared" si="227"/>
        <v>0</v>
      </c>
      <c r="M5232" s="3"/>
      <c r="N5232" s="3">
        <f t="shared" si="228"/>
        <v>0</v>
      </c>
      <c r="O5232" s="21"/>
      <c r="R5232" s="89"/>
      <c r="S5232" s="89">
        <f>100%-Table34[[#This Row],[PDF_initial fee]]</f>
        <v>1</v>
      </c>
      <c r="T5232" s="89"/>
      <c r="U5232" s="26"/>
      <c r="X5232" s="9"/>
    </row>
    <row r="5233" spans="1:27" hidden="1" x14ac:dyDescent="0.25">
      <c r="A5233">
        <v>982592</v>
      </c>
      <c r="B5233" t="s">
        <v>5623</v>
      </c>
      <c r="C5233" t="s">
        <v>6958</v>
      </c>
      <c r="D5233">
        <v>1</v>
      </c>
      <c r="E5233" t="s">
        <v>5623</v>
      </c>
      <c r="F5233" t="s">
        <v>6958</v>
      </c>
      <c r="G5233" s="3"/>
      <c r="H5233" s="21">
        <v>0</v>
      </c>
      <c r="I5233" s="21">
        <v>0</v>
      </c>
      <c r="J5233" s="21">
        <v>0</v>
      </c>
      <c r="K5233" s="21">
        <v>0</v>
      </c>
      <c r="L5233" s="3">
        <f t="shared" si="227"/>
        <v>0</v>
      </c>
      <c r="M5233" s="3"/>
      <c r="N5233" s="3">
        <f t="shared" si="228"/>
        <v>0</v>
      </c>
      <c r="O5233" s="21"/>
      <c r="R5233" s="89"/>
      <c r="S5233" s="89">
        <f>100%-Table34[[#This Row],[PDF_initial fee]]</f>
        <v>1</v>
      </c>
      <c r="T5233" s="89"/>
      <c r="U5233" s="26"/>
      <c r="X5233" s="9"/>
    </row>
    <row r="5234" spans="1:27" hidden="1" x14ac:dyDescent="0.25">
      <c r="A5234">
        <v>983074</v>
      </c>
      <c r="B5234" t="s">
        <v>5624</v>
      </c>
      <c r="C5234" t="s">
        <v>7351</v>
      </c>
      <c r="D5234">
        <v>2</v>
      </c>
      <c r="E5234" t="s">
        <v>5624</v>
      </c>
      <c r="G5234" s="3"/>
      <c r="L5234" s="3">
        <f t="shared" si="227"/>
        <v>0</v>
      </c>
      <c r="M5234" s="3"/>
      <c r="N5234" s="3">
        <f t="shared" si="228"/>
        <v>0</v>
      </c>
      <c r="R5234" s="89"/>
      <c r="S5234" s="89">
        <f>100%-Table34[[#This Row],[PDF_initial fee]]</f>
        <v>1</v>
      </c>
      <c r="T5234" s="89"/>
      <c r="U5234" s="26"/>
      <c r="X5234" s="9"/>
    </row>
    <row r="5235" spans="1:27" hidden="1" x14ac:dyDescent="0.25">
      <c r="A5235">
        <v>983232</v>
      </c>
      <c r="B5235" t="s">
        <v>5625</v>
      </c>
      <c r="C5235" t="s">
        <v>11075</v>
      </c>
      <c r="D5235">
        <v>1</v>
      </c>
      <c r="E5235" t="s">
        <v>5625</v>
      </c>
      <c r="G5235" s="3"/>
      <c r="H5235" s="21">
        <v>0</v>
      </c>
      <c r="I5235" s="21">
        <v>0</v>
      </c>
      <c r="J5235" s="21">
        <v>0</v>
      </c>
      <c r="K5235" s="21">
        <v>0</v>
      </c>
      <c r="L5235" s="3">
        <f t="shared" si="227"/>
        <v>0</v>
      </c>
      <c r="M5235" s="3"/>
      <c r="N5235" s="3">
        <f t="shared" si="228"/>
        <v>0</v>
      </c>
      <c r="O5235" s="21"/>
      <c r="R5235" s="89"/>
      <c r="S5235" s="89">
        <f>100%-Table34[[#This Row],[PDF_initial fee]]</f>
        <v>1</v>
      </c>
      <c r="T5235" s="89"/>
      <c r="U5235" s="26"/>
      <c r="X5235" s="9"/>
    </row>
    <row r="5236" spans="1:27" hidden="1" x14ac:dyDescent="0.25">
      <c r="A5236">
        <v>983307</v>
      </c>
      <c r="B5236" t="s">
        <v>5626</v>
      </c>
      <c r="C5236" t="s">
        <v>31404</v>
      </c>
      <c r="D5236">
        <v>0</v>
      </c>
      <c r="E5236" t="s">
        <v>5626</v>
      </c>
      <c r="F5236" t="s">
        <v>29136</v>
      </c>
      <c r="G5236" s="3"/>
      <c r="H5236" s="21">
        <v>0</v>
      </c>
      <c r="I5236" s="21">
        <v>0</v>
      </c>
      <c r="J5236" s="21">
        <v>0</v>
      </c>
      <c r="K5236" s="21">
        <v>0</v>
      </c>
      <c r="L5236" s="3">
        <f t="shared" si="227"/>
        <v>0</v>
      </c>
      <c r="M5236" s="3"/>
      <c r="N5236" s="3">
        <f t="shared" si="228"/>
        <v>0</v>
      </c>
      <c r="O5236" s="21"/>
      <c r="R5236" s="89"/>
      <c r="S5236" s="89">
        <f>100%-Table34[[#This Row],[PDF_initial fee]]</f>
        <v>1</v>
      </c>
      <c r="T5236" s="89"/>
      <c r="U5236" s="26"/>
      <c r="X5236" s="9"/>
    </row>
    <row r="5237" spans="1:27" hidden="1" x14ac:dyDescent="0.25">
      <c r="A5237">
        <v>983414</v>
      </c>
      <c r="B5237" t="s">
        <v>5627</v>
      </c>
      <c r="C5237" t="s">
        <v>11801</v>
      </c>
      <c r="D5237">
        <v>1</v>
      </c>
      <c r="E5237" t="s">
        <v>5627</v>
      </c>
      <c r="G5237" s="3"/>
      <c r="H5237" s="3"/>
      <c r="I5237" s="3"/>
      <c r="J5237" s="3"/>
      <c r="K5237" s="3"/>
      <c r="L5237" s="3">
        <f t="shared" si="227"/>
        <v>0</v>
      </c>
      <c r="M5237" s="3"/>
      <c r="N5237" s="3">
        <f t="shared" si="228"/>
        <v>0</v>
      </c>
      <c r="R5237" s="89"/>
      <c r="S5237" s="89">
        <f>100%-Table34[[#This Row],[PDF_initial fee]]</f>
        <v>1</v>
      </c>
      <c r="T5237" s="89"/>
      <c r="U5237" s="26"/>
      <c r="X5237" s="9"/>
    </row>
    <row r="5238" spans="1:27" hidden="1" x14ac:dyDescent="0.25">
      <c r="A5238">
        <v>984285</v>
      </c>
      <c r="B5238" t="s">
        <v>5628</v>
      </c>
      <c r="C5238" t="s">
        <v>10274</v>
      </c>
      <c r="D5238">
        <v>1</v>
      </c>
      <c r="E5238" t="s">
        <v>5628</v>
      </c>
      <c r="G5238" s="3"/>
      <c r="H5238" s="3"/>
      <c r="I5238" s="3"/>
      <c r="J5238" s="3"/>
      <c r="K5238" s="3"/>
      <c r="L5238" s="3">
        <f t="shared" si="227"/>
        <v>0</v>
      </c>
      <c r="M5238" s="3"/>
      <c r="N5238" s="3">
        <f t="shared" si="228"/>
        <v>0</v>
      </c>
      <c r="R5238" s="89"/>
      <c r="S5238" s="89">
        <f>100%-Table34[[#This Row],[PDF_initial fee]]</f>
        <v>1</v>
      </c>
      <c r="T5238" s="89"/>
      <c r="U5238" s="26"/>
      <c r="X5238" s="9"/>
    </row>
    <row r="5239" spans="1:27" hidden="1" x14ac:dyDescent="0.25">
      <c r="A5239">
        <v>984287</v>
      </c>
      <c r="B5239" t="s">
        <v>5629</v>
      </c>
      <c r="C5239" t="s">
        <v>31405</v>
      </c>
      <c r="D5239">
        <v>0</v>
      </c>
      <c r="E5239" t="s">
        <v>5629</v>
      </c>
      <c r="F5239" t="s">
        <v>3</v>
      </c>
      <c r="G5239" s="3"/>
      <c r="H5239" s="21">
        <v>0</v>
      </c>
      <c r="I5239" s="21">
        <v>0</v>
      </c>
      <c r="J5239" s="21">
        <v>0</v>
      </c>
      <c r="K5239" s="21">
        <v>0</v>
      </c>
      <c r="L5239" s="3">
        <f t="shared" si="227"/>
        <v>0</v>
      </c>
      <c r="M5239" s="3"/>
      <c r="N5239" s="3">
        <f t="shared" si="228"/>
        <v>0</v>
      </c>
      <c r="O5239" s="21"/>
      <c r="R5239" s="89"/>
      <c r="S5239" s="89">
        <f>100%-Table34[[#This Row],[PDF_initial fee]]</f>
        <v>1</v>
      </c>
      <c r="T5239" s="89"/>
      <c r="U5239" s="26"/>
      <c r="X5239" s="9"/>
    </row>
    <row r="5240" spans="1:27" hidden="1" x14ac:dyDescent="0.25">
      <c r="A5240">
        <v>984829</v>
      </c>
      <c r="B5240" t="s">
        <v>5630</v>
      </c>
      <c r="C5240" t="s">
        <v>31406</v>
      </c>
      <c r="D5240">
        <v>0</v>
      </c>
      <c r="E5240" t="s">
        <v>5630</v>
      </c>
      <c r="F5240" t="s">
        <v>29136</v>
      </c>
      <c r="G5240" s="3"/>
      <c r="H5240" s="21">
        <v>0</v>
      </c>
      <c r="I5240" s="3">
        <v>0</v>
      </c>
      <c r="J5240" s="3">
        <v>0</v>
      </c>
      <c r="K5240">
        <v>0</v>
      </c>
      <c r="L5240" s="3">
        <f t="shared" si="227"/>
        <v>0</v>
      </c>
      <c r="M5240" s="3"/>
      <c r="N5240" s="3">
        <f t="shared" si="228"/>
        <v>0</v>
      </c>
      <c r="R5240" s="89"/>
      <c r="S5240" s="89">
        <f>100%-Table34[[#This Row],[PDF_initial fee]]</f>
        <v>1</v>
      </c>
      <c r="T5240" s="89"/>
      <c r="U5240" s="26"/>
      <c r="X5240" s="9"/>
    </row>
    <row r="5241" spans="1:27" hidden="1" x14ac:dyDescent="0.25">
      <c r="A5241">
        <v>984831</v>
      </c>
      <c r="B5241" t="s">
        <v>5631</v>
      </c>
      <c r="C5241" t="s">
        <v>31407</v>
      </c>
      <c r="D5241">
        <v>9</v>
      </c>
      <c r="E5241" t="s">
        <v>5631</v>
      </c>
      <c r="G5241" s="3"/>
      <c r="H5241" s="21">
        <v>0</v>
      </c>
      <c r="I5241" s="21">
        <v>0</v>
      </c>
      <c r="J5241" s="21">
        <v>0</v>
      </c>
      <c r="K5241" s="21">
        <v>0</v>
      </c>
      <c r="L5241" s="3">
        <f t="shared" si="227"/>
        <v>0</v>
      </c>
      <c r="M5241" s="3"/>
      <c r="N5241" s="3">
        <f t="shared" si="228"/>
        <v>0</v>
      </c>
      <c r="O5241" s="21"/>
      <c r="R5241" s="89"/>
      <c r="S5241" s="89">
        <f>100%-Table34[[#This Row],[PDF_initial fee]]</f>
        <v>1</v>
      </c>
      <c r="T5241" s="89"/>
      <c r="U5241" s="26"/>
      <c r="X5241" s="9"/>
    </row>
    <row r="5242" spans="1:27" hidden="1" x14ac:dyDescent="0.25">
      <c r="A5242">
        <v>985143</v>
      </c>
      <c r="B5242" t="s">
        <v>5632</v>
      </c>
      <c r="C5242" t="s">
        <v>7909</v>
      </c>
      <c r="D5242">
        <v>3</v>
      </c>
      <c r="E5242" t="s">
        <v>5632</v>
      </c>
      <c r="G5242" s="3"/>
      <c r="H5242" s="21">
        <v>0</v>
      </c>
      <c r="I5242" s="21">
        <v>0</v>
      </c>
      <c r="J5242" s="21">
        <v>0</v>
      </c>
      <c r="K5242" s="21">
        <v>0</v>
      </c>
      <c r="L5242" s="3">
        <f t="shared" si="227"/>
        <v>0</v>
      </c>
      <c r="M5242" s="3"/>
      <c r="N5242" s="3">
        <f t="shared" si="228"/>
        <v>0</v>
      </c>
      <c r="R5242" s="89"/>
      <c r="S5242" s="89">
        <f>100%-Table34[[#This Row],[PDF_initial fee]]</f>
        <v>1</v>
      </c>
      <c r="T5242" s="89"/>
      <c r="U5242" s="26"/>
      <c r="X5242" s="9"/>
    </row>
    <row r="5243" spans="1:27" x14ac:dyDescent="0.25">
      <c r="A5243">
        <v>741019</v>
      </c>
      <c r="B5243" t="s">
        <v>280</v>
      </c>
      <c r="C5243" s="1" t="s">
        <v>31408</v>
      </c>
      <c r="D5243">
        <v>1</v>
      </c>
      <c r="E5243" t="s">
        <v>280</v>
      </c>
      <c r="F5243" t="s">
        <v>3</v>
      </c>
      <c r="G5243" s="3">
        <v>1.4E-3</v>
      </c>
      <c r="H5243" s="3">
        <f>(895/100000)+1%</f>
        <v>1.8950000000000002E-2</v>
      </c>
      <c r="I5243" s="3">
        <v>7.4999999999999997E-3</v>
      </c>
      <c r="J5243" s="6">
        <v>0</v>
      </c>
      <c r="K5243" s="6">
        <v>0</v>
      </c>
      <c r="L5243" s="3">
        <f t="shared" si="227"/>
        <v>2.6450000000000001E-2</v>
      </c>
      <c r="M5243" s="3"/>
      <c r="N5243" s="3">
        <f t="shared" si="228"/>
        <v>2.785E-2</v>
      </c>
      <c r="O5243" t="s">
        <v>31409</v>
      </c>
      <c r="P5243" s="31" t="s">
        <v>31410</v>
      </c>
      <c r="Q5243" t="s">
        <v>31787</v>
      </c>
      <c r="R5243" s="89">
        <v>0.33333333333333348</v>
      </c>
      <c r="S5243" s="89">
        <f>100%-Table34[[#This Row],[InitialFee]]</f>
        <v>0.98104999999999998</v>
      </c>
      <c r="T5243" s="89">
        <f>(1-Table34[[#This Row],[OngoingFee (plus Platform fee)]])^5</f>
        <v>0.9630582970465823</v>
      </c>
      <c r="U5243" s="26">
        <f>(1+Table34[[#This Row],[Net 5yrs return (mostly up to 28th of Feb 2026)]])*Table34[[#This Row],[Investment after initial charge]]*Table34[[#This Row],[Cummulative 5yrs ongoing advice charge]]-1</f>
        <v>0.25974445642339949</v>
      </c>
      <c r="V5243" s="10">
        <f>X5243+58539</f>
        <v>200060</v>
      </c>
      <c r="W5243" t="s">
        <v>29051</v>
      </c>
      <c r="X5243" s="92">
        <v>141521</v>
      </c>
      <c r="Y5243" s="30">
        <f>X5243/V5243</f>
        <v>0.7073927821653504</v>
      </c>
      <c r="AA5243" s="1" t="s">
        <v>31411</v>
      </c>
    </row>
    <row r="5244" spans="1:27" hidden="1" x14ac:dyDescent="0.25">
      <c r="A5244">
        <v>985840</v>
      </c>
      <c r="B5244" t="s">
        <v>5633</v>
      </c>
      <c r="C5244" t="s">
        <v>31412</v>
      </c>
      <c r="D5244">
        <v>2</v>
      </c>
      <c r="E5244" t="s">
        <v>5633</v>
      </c>
      <c r="G5244" s="3"/>
      <c r="H5244" s="21">
        <v>0</v>
      </c>
      <c r="I5244" s="21">
        <v>0</v>
      </c>
      <c r="J5244" s="21">
        <v>0</v>
      </c>
      <c r="K5244" s="21">
        <v>0</v>
      </c>
      <c r="L5244" s="3">
        <f t="shared" si="227"/>
        <v>0</v>
      </c>
      <c r="M5244" s="3"/>
      <c r="N5244" s="3">
        <f t="shared" si="228"/>
        <v>0</v>
      </c>
      <c r="O5244" s="21"/>
      <c r="R5244" s="89"/>
      <c r="S5244" s="89">
        <f>100%-Table34[[#This Row],[PDF_initial fee]]</f>
        <v>1</v>
      </c>
      <c r="T5244" s="89"/>
      <c r="U5244" s="26"/>
      <c r="X5244" s="9"/>
    </row>
    <row r="5245" spans="1:27" hidden="1" x14ac:dyDescent="0.25">
      <c r="A5245">
        <v>987175</v>
      </c>
      <c r="B5245" t="s">
        <v>5634</v>
      </c>
      <c r="C5245" t="s">
        <v>9130</v>
      </c>
      <c r="D5245">
        <v>1</v>
      </c>
      <c r="E5245" t="s">
        <v>5634</v>
      </c>
      <c r="G5245" s="3"/>
      <c r="H5245" s="21">
        <v>0</v>
      </c>
      <c r="I5245" s="21">
        <v>0</v>
      </c>
      <c r="J5245" s="21">
        <v>0</v>
      </c>
      <c r="K5245" s="21">
        <v>0</v>
      </c>
      <c r="L5245" s="3">
        <f t="shared" si="227"/>
        <v>0</v>
      </c>
      <c r="M5245" s="3"/>
      <c r="N5245" s="3">
        <f t="shared" si="228"/>
        <v>0</v>
      </c>
      <c r="R5245" s="89"/>
      <c r="S5245" s="89">
        <f>100%-Table34[[#This Row],[PDF_initial fee]]</f>
        <v>1</v>
      </c>
      <c r="T5245" s="89"/>
      <c r="U5245" s="26"/>
      <c r="X5245" s="9"/>
    </row>
    <row r="5246" spans="1:27" hidden="1" x14ac:dyDescent="0.25">
      <c r="A5246">
        <v>987190</v>
      </c>
      <c r="B5246" t="s">
        <v>5635</v>
      </c>
      <c r="C5246" s="41" t="s">
        <v>31413</v>
      </c>
      <c r="D5246">
        <v>1</v>
      </c>
      <c r="E5246" t="s">
        <v>5635</v>
      </c>
      <c r="G5246" s="3"/>
      <c r="H5246" s="21">
        <v>0</v>
      </c>
      <c r="I5246" s="21">
        <v>0</v>
      </c>
      <c r="J5246" s="21">
        <v>0</v>
      </c>
      <c r="K5246" s="21">
        <v>0</v>
      </c>
      <c r="L5246" s="3">
        <f t="shared" si="227"/>
        <v>0</v>
      </c>
      <c r="M5246" s="3"/>
      <c r="N5246" s="3">
        <f t="shared" si="228"/>
        <v>0</v>
      </c>
      <c r="O5246" s="21"/>
      <c r="R5246" s="89"/>
      <c r="S5246" s="89">
        <f>100%-Table34[[#This Row],[PDF_initial fee]]</f>
        <v>1</v>
      </c>
      <c r="T5246" s="89"/>
      <c r="U5246" s="26"/>
      <c r="X5246" s="9"/>
    </row>
    <row r="5247" spans="1:27" hidden="1" x14ac:dyDescent="0.25">
      <c r="A5247">
        <v>987228</v>
      </c>
      <c r="B5247" t="s">
        <v>5636</v>
      </c>
      <c r="C5247" t="s">
        <v>12410</v>
      </c>
      <c r="D5247">
        <v>2</v>
      </c>
      <c r="E5247" t="s">
        <v>5636</v>
      </c>
      <c r="G5247" s="3"/>
      <c r="H5247" s="21">
        <v>0</v>
      </c>
      <c r="I5247" s="21">
        <v>0</v>
      </c>
      <c r="J5247" s="21">
        <v>0</v>
      </c>
      <c r="K5247" s="21">
        <v>0</v>
      </c>
      <c r="L5247" s="3">
        <f t="shared" si="227"/>
        <v>0</v>
      </c>
      <c r="M5247" s="3"/>
      <c r="N5247" s="3">
        <f t="shared" si="228"/>
        <v>0</v>
      </c>
      <c r="O5247" s="21"/>
      <c r="R5247" s="89"/>
      <c r="S5247" s="89">
        <f>100%-Table34[[#This Row],[PDF_initial fee]]</f>
        <v>1</v>
      </c>
      <c r="T5247" s="89"/>
      <c r="U5247" s="26"/>
      <c r="X5247" s="9"/>
    </row>
    <row r="5248" spans="1:27" x14ac:dyDescent="0.25">
      <c r="A5248">
        <v>232088</v>
      </c>
      <c r="B5248" t="s">
        <v>137</v>
      </c>
      <c r="C5248" t="s">
        <v>31414</v>
      </c>
      <c r="D5248">
        <v>5</v>
      </c>
      <c r="E5248" t="s">
        <v>137</v>
      </c>
      <c r="F5248" t="s">
        <v>3</v>
      </c>
      <c r="G5248" s="3">
        <v>1.4E-3</v>
      </c>
      <c r="H5248" s="3">
        <v>3.5000000000000003E-2</v>
      </c>
      <c r="I5248" s="3">
        <v>0</v>
      </c>
      <c r="J5248" s="6">
        <v>0</v>
      </c>
      <c r="K5248" s="6"/>
      <c r="L5248" s="3">
        <f t="shared" si="227"/>
        <v>3.5000000000000003E-2</v>
      </c>
      <c r="M5248" s="3"/>
      <c r="N5248" s="3">
        <f t="shared" si="228"/>
        <v>3.6400000000000002E-2</v>
      </c>
      <c r="O5248" s="1"/>
      <c r="P5248" s="1" t="s">
        <v>31415</v>
      </c>
      <c r="Q5248" t="s">
        <v>31787</v>
      </c>
      <c r="R5248" s="89">
        <v>0.33333333333333348</v>
      </c>
      <c r="S5248" s="89">
        <f>100%-Table34[[#This Row],[InitialFee]]</f>
        <v>0.96499999999999997</v>
      </c>
      <c r="T5248" s="89">
        <f>(1-Table34[[#This Row],[PDF ongoing fee]])^5</f>
        <v>1</v>
      </c>
      <c r="U5248" s="26">
        <f>(1+Table34[[#This Row],[Net 5yrs return (mostly up to 28th of Feb 2026)]])*Table34[[#This Row],[Investment after initial charge]]*Table34[[#This Row],[Cummulative 5yrs ongoing advice charge]]-1</f>
        <v>0.28666666666666685</v>
      </c>
      <c r="V5248" s="10">
        <f>31618+1313940</f>
        <v>1345558</v>
      </c>
      <c r="W5248" t="s">
        <v>29051</v>
      </c>
      <c r="X5248" s="10">
        <v>1075127</v>
      </c>
      <c r="Y5248" s="30">
        <f>X5248/V5248</f>
        <v>0.79901944026195826</v>
      </c>
      <c r="AA5248" s="1" t="s">
        <v>31416</v>
      </c>
    </row>
    <row r="5249" spans="1:27" hidden="1" x14ac:dyDescent="0.25">
      <c r="A5249">
        <v>987299</v>
      </c>
      <c r="B5249" t="s">
        <v>5638</v>
      </c>
      <c r="C5249" t="s">
        <v>31417</v>
      </c>
      <c r="D5249">
        <v>1</v>
      </c>
      <c r="E5249" t="s">
        <v>5638</v>
      </c>
      <c r="G5249" s="3"/>
      <c r="H5249" s="3">
        <v>0</v>
      </c>
      <c r="I5249" s="3">
        <v>0</v>
      </c>
      <c r="J5249" s="3">
        <v>0</v>
      </c>
      <c r="K5249" s="3">
        <v>0</v>
      </c>
      <c r="L5249" s="3">
        <f t="shared" si="227"/>
        <v>0</v>
      </c>
      <c r="M5249" s="3"/>
      <c r="N5249" s="3">
        <f t="shared" si="228"/>
        <v>0</v>
      </c>
      <c r="R5249" s="89"/>
      <c r="S5249" s="89">
        <f>100%-Table34[[#This Row],[PDF_initial fee]]</f>
        <v>1</v>
      </c>
      <c r="T5249" s="89"/>
      <c r="U5249" s="26"/>
      <c r="X5249" s="9"/>
    </row>
    <row r="5250" spans="1:27" hidden="1" x14ac:dyDescent="0.25">
      <c r="A5250">
        <v>987842</v>
      </c>
      <c r="B5250" t="s">
        <v>5639</v>
      </c>
      <c r="C5250" t="s">
        <v>7445</v>
      </c>
      <c r="D5250">
        <v>6</v>
      </c>
      <c r="E5250" t="s">
        <v>5639</v>
      </c>
      <c r="G5250" s="3"/>
      <c r="H5250" s="21">
        <v>0</v>
      </c>
      <c r="I5250" s="21">
        <v>0</v>
      </c>
      <c r="J5250" s="21">
        <v>0</v>
      </c>
      <c r="K5250" s="21">
        <v>0</v>
      </c>
      <c r="L5250" s="3">
        <f t="shared" si="227"/>
        <v>0</v>
      </c>
      <c r="M5250" s="3"/>
      <c r="N5250" s="3">
        <f t="shared" si="228"/>
        <v>0</v>
      </c>
      <c r="R5250" s="89"/>
      <c r="S5250" s="89">
        <f>100%-Table34[[#This Row],[PDF_initial fee]]</f>
        <v>1</v>
      </c>
      <c r="T5250" s="89"/>
      <c r="U5250" s="26"/>
      <c r="X5250" s="9"/>
    </row>
    <row r="5251" spans="1:27" hidden="1" x14ac:dyDescent="0.25">
      <c r="A5251">
        <v>987892</v>
      </c>
      <c r="B5251" t="s">
        <v>5640</v>
      </c>
      <c r="C5251" t="s">
        <v>8369</v>
      </c>
      <c r="D5251">
        <v>1</v>
      </c>
      <c r="E5251" t="s">
        <v>5640</v>
      </c>
      <c r="G5251" s="3"/>
      <c r="H5251" s="21">
        <v>0</v>
      </c>
      <c r="I5251" s="21">
        <v>0</v>
      </c>
      <c r="J5251" s="21">
        <v>0</v>
      </c>
      <c r="K5251" s="21">
        <v>0</v>
      </c>
      <c r="L5251" s="3">
        <f t="shared" si="227"/>
        <v>0</v>
      </c>
      <c r="M5251" s="3"/>
      <c r="N5251" s="3">
        <f t="shared" si="228"/>
        <v>0</v>
      </c>
      <c r="R5251" s="89"/>
      <c r="S5251" s="89">
        <f>100%-Table34[[#This Row],[PDF_initial fee]]</f>
        <v>1</v>
      </c>
      <c r="T5251" s="89"/>
      <c r="U5251" s="26"/>
      <c r="X5251" s="9"/>
    </row>
    <row r="5252" spans="1:27" hidden="1" x14ac:dyDescent="0.25">
      <c r="A5252">
        <v>987996</v>
      </c>
      <c r="B5252" t="s">
        <v>5641</v>
      </c>
      <c r="C5252" t="s">
        <v>7210</v>
      </c>
      <c r="D5252">
        <v>1</v>
      </c>
      <c r="E5252" t="s">
        <v>5641</v>
      </c>
      <c r="G5252" s="3"/>
      <c r="H5252" s="21">
        <v>0</v>
      </c>
      <c r="I5252" s="21">
        <v>0</v>
      </c>
      <c r="J5252" s="21">
        <v>0</v>
      </c>
      <c r="K5252" s="21">
        <v>0</v>
      </c>
      <c r="L5252" s="3">
        <f t="shared" si="227"/>
        <v>0</v>
      </c>
      <c r="M5252" s="3"/>
      <c r="N5252" s="3">
        <f t="shared" si="228"/>
        <v>0</v>
      </c>
      <c r="R5252" s="89"/>
      <c r="S5252" s="89">
        <f>100%-Table34[[#This Row],[PDF_initial fee]]</f>
        <v>1</v>
      </c>
      <c r="T5252" s="89"/>
      <c r="U5252" s="26"/>
      <c r="X5252" s="9"/>
    </row>
    <row r="5253" spans="1:27" hidden="1" x14ac:dyDescent="0.25">
      <c r="A5253">
        <v>988218</v>
      </c>
      <c r="B5253" t="s">
        <v>5642</v>
      </c>
      <c r="C5253" t="s">
        <v>10039</v>
      </c>
      <c r="D5253">
        <v>1</v>
      </c>
      <c r="E5253" t="s">
        <v>5642</v>
      </c>
      <c r="G5253" s="3"/>
      <c r="H5253" s="3"/>
      <c r="I5253" s="3"/>
      <c r="J5253" s="3"/>
      <c r="K5253" s="3"/>
      <c r="L5253" s="3">
        <f t="shared" si="227"/>
        <v>0</v>
      </c>
      <c r="M5253" s="3"/>
      <c r="N5253" s="3">
        <f t="shared" si="228"/>
        <v>0</v>
      </c>
      <c r="R5253" s="89"/>
      <c r="S5253" s="89">
        <f>100%-Table34[[#This Row],[PDF_initial fee]]</f>
        <v>1</v>
      </c>
      <c r="T5253" s="89"/>
      <c r="U5253" s="26"/>
      <c r="X5253" s="9"/>
    </row>
    <row r="5254" spans="1:27" hidden="1" x14ac:dyDescent="0.25">
      <c r="A5254">
        <v>988707</v>
      </c>
      <c r="B5254" t="s">
        <v>5643</v>
      </c>
      <c r="C5254" t="s">
        <v>31418</v>
      </c>
      <c r="D5254">
        <v>1</v>
      </c>
      <c r="E5254" t="s">
        <v>5643</v>
      </c>
      <c r="G5254" s="3"/>
      <c r="H5254" s="21">
        <v>0</v>
      </c>
      <c r="I5254" s="21">
        <v>0</v>
      </c>
      <c r="J5254" s="21">
        <v>0</v>
      </c>
      <c r="K5254" s="21">
        <v>0</v>
      </c>
      <c r="L5254" s="3">
        <f t="shared" si="227"/>
        <v>0</v>
      </c>
      <c r="M5254" s="3"/>
      <c r="N5254" s="3">
        <f t="shared" si="228"/>
        <v>0</v>
      </c>
      <c r="O5254" s="21"/>
      <c r="P5254" s="22" t="s">
        <v>29322</v>
      </c>
      <c r="R5254" s="89"/>
      <c r="S5254" s="89">
        <f>100%-Table34[[#This Row],[PDF_initial fee]]</f>
        <v>1</v>
      </c>
      <c r="T5254" s="89"/>
      <c r="U5254" s="26"/>
      <c r="X5254" s="9"/>
    </row>
    <row r="5255" spans="1:27" hidden="1" x14ac:dyDescent="0.25">
      <c r="A5255">
        <v>989627</v>
      </c>
      <c r="B5255" t="s">
        <v>5645</v>
      </c>
      <c r="C5255" t="s">
        <v>31419</v>
      </c>
      <c r="D5255">
        <v>1</v>
      </c>
      <c r="E5255" t="s">
        <v>5645</v>
      </c>
      <c r="G5255" s="3"/>
      <c r="H5255" s="21">
        <v>0</v>
      </c>
      <c r="I5255" s="21">
        <v>0</v>
      </c>
      <c r="J5255" s="21">
        <v>0</v>
      </c>
      <c r="K5255" s="21">
        <v>0</v>
      </c>
      <c r="L5255" s="3">
        <f t="shared" ref="L5255:L5286" si="229">SUM(H5255:K5255)</f>
        <v>0</v>
      </c>
      <c r="M5255" s="3"/>
      <c r="N5255" s="3">
        <f t="shared" ref="N5255:N5286" si="230">L5255+G5255</f>
        <v>0</v>
      </c>
      <c r="O5255" s="21"/>
      <c r="R5255" s="89"/>
      <c r="S5255" s="89">
        <f>100%-Table34[[#This Row],[PDF_initial fee]]</f>
        <v>1</v>
      </c>
      <c r="T5255" s="89"/>
      <c r="U5255" s="26"/>
      <c r="X5255" s="9"/>
    </row>
    <row r="5256" spans="1:27" hidden="1" x14ac:dyDescent="0.25">
      <c r="A5256">
        <v>989644</v>
      </c>
      <c r="B5256" t="s">
        <v>5646</v>
      </c>
      <c r="C5256" t="s">
        <v>9300</v>
      </c>
      <c r="D5256">
        <v>2</v>
      </c>
      <c r="E5256" t="s">
        <v>5646</v>
      </c>
      <c r="G5256" s="3"/>
      <c r="H5256" s="21">
        <v>0</v>
      </c>
      <c r="I5256" s="21">
        <v>0</v>
      </c>
      <c r="J5256" s="21">
        <v>0</v>
      </c>
      <c r="K5256" s="21">
        <v>0</v>
      </c>
      <c r="L5256" s="3">
        <f t="shared" si="229"/>
        <v>0</v>
      </c>
      <c r="M5256" s="3"/>
      <c r="N5256" s="3">
        <f t="shared" si="230"/>
        <v>0</v>
      </c>
      <c r="R5256" s="89"/>
      <c r="S5256" s="89">
        <f>100%-Table34[[#This Row],[PDF_initial fee]]</f>
        <v>1</v>
      </c>
      <c r="T5256" s="89"/>
      <c r="U5256" s="26"/>
      <c r="X5256" s="9"/>
    </row>
    <row r="5257" spans="1:27" hidden="1" x14ac:dyDescent="0.25">
      <c r="A5257">
        <v>990075</v>
      </c>
      <c r="B5257" t="s">
        <v>5647</v>
      </c>
      <c r="C5257" t="s">
        <v>31420</v>
      </c>
      <c r="D5257">
        <v>1</v>
      </c>
      <c r="E5257" t="s">
        <v>5647</v>
      </c>
      <c r="G5257" s="3"/>
      <c r="H5257" s="3">
        <v>0</v>
      </c>
      <c r="I5257" s="3">
        <v>0</v>
      </c>
      <c r="J5257" s="3">
        <v>0</v>
      </c>
      <c r="K5257" s="3">
        <v>0</v>
      </c>
      <c r="L5257" s="3">
        <f t="shared" si="229"/>
        <v>0</v>
      </c>
      <c r="M5257" s="3"/>
      <c r="N5257" s="3">
        <f t="shared" si="230"/>
        <v>0</v>
      </c>
      <c r="R5257" s="89"/>
      <c r="S5257" s="89">
        <f>100%-Table34[[#This Row],[PDF_initial fee]]</f>
        <v>1</v>
      </c>
      <c r="T5257" s="89"/>
      <c r="U5257" s="26"/>
      <c r="X5257" s="9"/>
    </row>
    <row r="5258" spans="1:27" hidden="1" x14ac:dyDescent="0.25">
      <c r="A5258">
        <v>990457</v>
      </c>
      <c r="B5258" t="s">
        <v>5648</v>
      </c>
      <c r="C5258" t="s">
        <v>7586</v>
      </c>
      <c r="D5258">
        <v>1</v>
      </c>
      <c r="E5258" t="s">
        <v>5648</v>
      </c>
      <c r="G5258" s="3"/>
      <c r="H5258" s="21">
        <v>0</v>
      </c>
      <c r="I5258" s="21">
        <v>0</v>
      </c>
      <c r="J5258" s="21">
        <v>0</v>
      </c>
      <c r="K5258" s="21">
        <v>0</v>
      </c>
      <c r="L5258" s="3">
        <f t="shared" si="229"/>
        <v>0</v>
      </c>
      <c r="M5258" s="3"/>
      <c r="N5258" s="3">
        <f t="shared" si="230"/>
        <v>0</v>
      </c>
      <c r="R5258" s="89"/>
      <c r="S5258" s="89">
        <f>100%-Table34[[#This Row],[PDF_initial fee]]</f>
        <v>1</v>
      </c>
      <c r="T5258" s="89"/>
      <c r="U5258" s="26"/>
      <c r="X5258" s="9"/>
    </row>
    <row r="5259" spans="1:27" x14ac:dyDescent="0.25">
      <c r="A5259">
        <v>580185</v>
      </c>
      <c r="B5259" t="s">
        <v>232</v>
      </c>
      <c r="C5259" t="s">
        <v>10209</v>
      </c>
      <c r="D5259">
        <v>11</v>
      </c>
      <c r="E5259" t="s">
        <v>232</v>
      </c>
      <c r="F5259" t="s">
        <v>3</v>
      </c>
      <c r="G5259" s="3">
        <v>1.4E-3</v>
      </c>
      <c r="H5259" s="3">
        <v>0.01</v>
      </c>
      <c r="I5259" s="3">
        <v>1.4E-2</v>
      </c>
      <c r="J5259" s="6"/>
      <c r="K5259" s="6"/>
      <c r="L5259" s="3">
        <f t="shared" si="229"/>
        <v>2.4E-2</v>
      </c>
      <c r="M5259" s="3"/>
      <c r="N5259" s="3">
        <f t="shared" si="230"/>
        <v>2.5399999999999999E-2</v>
      </c>
      <c r="P5259" s="1" t="s">
        <v>31421</v>
      </c>
      <c r="Q5259" t="s">
        <v>31787</v>
      </c>
      <c r="R5259" s="89">
        <v>0.33333333333333348</v>
      </c>
      <c r="S5259" s="89">
        <f>100%-Table34[[#This Row],[InitialFee]]</f>
        <v>0.99</v>
      </c>
      <c r="T5259" s="89">
        <f>(1-Table34[[#This Row],[OngoingFee (plus Platform fee)]])^5</f>
        <v>0.93193275154217581</v>
      </c>
      <c r="U5259" s="26">
        <f>(1+Table34[[#This Row],[Net 5yrs return (mostly up to 28th of Feb 2026)]])*Table34[[#This Row],[Investment after initial charge]]*Table34[[#This Row],[Cummulative 5yrs ongoing advice charge]]-1</f>
        <v>0.23015123203567223</v>
      </c>
      <c r="V5259" s="10">
        <v>704780</v>
      </c>
      <c r="W5259" s="10" t="s">
        <v>29051</v>
      </c>
      <c r="X5259" s="10">
        <v>676921</v>
      </c>
      <c r="Y5259" s="30">
        <f>X5259/V5259</f>
        <v>0.96047135276256423</v>
      </c>
      <c r="Z5259" s="10"/>
      <c r="AA5259" s="1" t="s">
        <v>31422</v>
      </c>
    </row>
    <row r="5260" spans="1:27" hidden="1" x14ac:dyDescent="0.25">
      <c r="A5260">
        <v>990759</v>
      </c>
      <c r="B5260" t="s">
        <v>5649</v>
      </c>
      <c r="C5260" t="s">
        <v>31423</v>
      </c>
      <c r="D5260">
        <v>1</v>
      </c>
      <c r="E5260" t="s">
        <v>5649</v>
      </c>
      <c r="G5260" s="3"/>
      <c r="H5260" s="21">
        <v>0</v>
      </c>
      <c r="I5260" s="21">
        <v>0</v>
      </c>
      <c r="J5260" s="21">
        <v>0</v>
      </c>
      <c r="K5260" s="21">
        <v>0</v>
      </c>
      <c r="L5260" s="3">
        <f t="shared" si="229"/>
        <v>0</v>
      </c>
      <c r="M5260" s="3"/>
      <c r="N5260" s="3">
        <f t="shared" si="230"/>
        <v>0</v>
      </c>
      <c r="O5260" s="21"/>
      <c r="R5260" s="89"/>
      <c r="S5260" s="89">
        <f>100%-Table34[[#This Row],[PDF_initial fee]]</f>
        <v>1</v>
      </c>
      <c r="T5260" s="89"/>
      <c r="U5260" s="26"/>
      <c r="X5260" s="9"/>
    </row>
    <row r="5261" spans="1:27" hidden="1" x14ac:dyDescent="0.25">
      <c r="A5261">
        <v>991182</v>
      </c>
      <c r="B5261" t="s">
        <v>5650</v>
      </c>
      <c r="C5261" t="s">
        <v>9650</v>
      </c>
      <c r="D5261">
        <v>1</v>
      </c>
      <c r="E5261" t="s">
        <v>5650</v>
      </c>
      <c r="G5261" s="3"/>
      <c r="H5261" s="3"/>
      <c r="I5261" s="3"/>
      <c r="J5261" s="3"/>
      <c r="K5261" s="3"/>
      <c r="L5261" s="3">
        <f t="shared" si="229"/>
        <v>0</v>
      </c>
      <c r="M5261" s="3"/>
      <c r="N5261" s="3">
        <f t="shared" si="230"/>
        <v>0</v>
      </c>
      <c r="R5261" s="89"/>
      <c r="S5261" s="89">
        <f>100%-Table34[[#This Row],[PDF_initial fee]]</f>
        <v>1</v>
      </c>
      <c r="T5261" s="89"/>
      <c r="U5261" s="26"/>
      <c r="X5261" s="9"/>
    </row>
    <row r="5262" spans="1:27" hidden="1" x14ac:dyDescent="0.25">
      <c r="A5262">
        <v>992297</v>
      </c>
      <c r="B5262" t="s">
        <v>5653</v>
      </c>
      <c r="C5262" t="s">
        <v>11895</v>
      </c>
      <c r="D5262">
        <v>3</v>
      </c>
      <c r="E5262" t="s">
        <v>5653</v>
      </c>
      <c r="G5262" s="3"/>
      <c r="H5262" s="21">
        <v>0</v>
      </c>
      <c r="I5262" s="21">
        <v>0</v>
      </c>
      <c r="J5262" s="21">
        <v>0</v>
      </c>
      <c r="K5262" s="21">
        <v>0</v>
      </c>
      <c r="L5262" s="3">
        <f t="shared" si="229"/>
        <v>0</v>
      </c>
      <c r="M5262" s="3"/>
      <c r="N5262" s="3">
        <f t="shared" si="230"/>
        <v>0</v>
      </c>
      <c r="O5262" s="21"/>
      <c r="R5262" s="89"/>
      <c r="S5262" s="89">
        <f>100%-Table34[[#This Row],[PDF_initial fee]]</f>
        <v>1</v>
      </c>
      <c r="T5262" s="89"/>
      <c r="U5262" s="26"/>
      <c r="X5262" s="9"/>
    </row>
    <row r="5263" spans="1:27" hidden="1" x14ac:dyDescent="0.25">
      <c r="A5263">
        <v>992520</v>
      </c>
      <c r="B5263" t="s">
        <v>5654</v>
      </c>
      <c r="C5263" t="s">
        <v>31424</v>
      </c>
      <c r="D5263">
        <v>2</v>
      </c>
      <c r="E5263" t="s">
        <v>5654</v>
      </c>
      <c r="G5263" s="3"/>
      <c r="H5263" s="21">
        <v>0</v>
      </c>
      <c r="I5263" s="21">
        <v>0</v>
      </c>
      <c r="J5263" s="21">
        <v>0</v>
      </c>
      <c r="K5263" s="21">
        <v>0</v>
      </c>
      <c r="L5263" s="3">
        <f t="shared" si="229"/>
        <v>0</v>
      </c>
      <c r="M5263" s="3"/>
      <c r="N5263" s="3">
        <f t="shared" si="230"/>
        <v>0</v>
      </c>
      <c r="O5263" s="21"/>
      <c r="R5263" s="89"/>
      <c r="S5263" s="89">
        <f>100%-Table34[[#This Row],[PDF_initial fee]]</f>
        <v>1</v>
      </c>
      <c r="T5263" s="89"/>
      <c r="U5263" s="26"/>
      <c r="X5263" s="9"/>
    </row>
    <row r="5264" spans="1:27" x14ac:dyDescent="0.25">
      <c r="A5264">
        <v>775068</v>
      </c>
      <c r="B5264" t="s">
        <v>291</v>
      </c>
      <c r="C5264" t="s">
        <v>10209</v>
      </c>
      <c r="D5264">
        <v>26</v>
      </c>
      <c r="E5264" t="s">
        <v>291</v>
      </c>
      <c r="F5264" t="s">
        <v>3</v>
      </c>
      <c r="G5264" s="3">
        <v>1.4E-3</v>
      </c>
      <c r="H5264" s="3">
        <v>0.01</v>
      </c>
      <c r="I5264" s="3">
        <v>1.4E-2</v>
      </c>
      <c r="J5264" s="6"/>
      <c r="K5264" s="6"/>
      <c r="L5264" s="3">
        <f t="shared" si="229"/>
        <v>2.4E-2</v>
      </c>
      <c r="M5264" s="3"/>
      <c r="N5264" s="3">
        <f t="shared" si="230"/>
        <v>2.5399999999999999E-2</v>
      </c>
      <c r="O5264" s="1"/>
      <c r="P5264" s="1" t="s">
        <v>31421</v>
      </c>
      <c r="Q5264" t="s">
        <v>31787</v>
      </c>
      <c r="R5264" s="89">
        <v>0.33333333333333348</v>
      </c>
      <c r="S5264" s="89">
        <f>100%-Table34[[#This Row],[InitialFee]]</f>
        <v>0.99</v>
      </c>
      <c r="T5264" s="89">
        <f>(1-Table34[[#This Row],[OngoingFee (plus Platform fee)]])^5</f>
        <v>0.93193275154217581</v>
      </c>
      <c r="U5264" s="26">
        <f>(1+Table34[[#This Row],[Net 5yrs return (mostly up to 28th of Feb 2026)]])*Table34[[#This Row],[Investment after initial charge]]*Table34[[#This Row],[Cummulative 5yrs ongoing advice charge]]-1</f>
        <v>0.23015123203567223</v>
      </c>
      <c r="V5264">
        <f>704780+11419</f>
        <v>716199</v>
      </c>
      <c r="W5264" t="s">
        <v>29051</v>
      </c>
      <c r="X5264" s="10">
        <v>690245</v>
      </c>
      <c r="Y5264" s="30">
        <f>X5264/V5264</f>
        <v>0.96376146853039446</v>
      </c>
      <c r="AA5264" s="1" t="s">
        <v>31425</v>
      </c>
    </row>
    <row r="5265" spans="1:29" hidden="1" x14ac:dyDescent="0.25">
      <c r="A5265">
        <v>993281</v>
      </c>
      <c r="B5265" t="s">
        <v>5655</v>
      </c>
      <c r="C5265" t="s">
        <v>31426</v>
      </c>
      <c r="D5265">
        <v>0</v>
      </c>
      <c r="E5265" t="s">
        <v>5655</v>
      </c>
      <c r="F5265" t="s">
        <v>29136</v>
      </c>
      <c r="G5265" s="3"/>
      <c r="H5265" s="21">
        <v>0</v>
      </c>
      <c r="I5265" s="21">
        <v>0</v>
      </c>
      <c r="J5265" s="21">
        <v>0</v>
      </c>
      <c r="K5265" s="21">
        <v>0</v>
      </c>
      <c r="L5265" s="3">
        <f t="shared" si="229"/>
        <v>0</v>
      </c>
      <c r="M5265" s="3"/>
      <c r="N5265" s="3">
        <f t="shared" si="230"/>
        <v>0</v>
      </c>
      <c r="O5265" s="21"/>
      <c r="R5265" s="89"/>
      <c r="S5265" s="89">
        <f>100%-Table34[[#This Row],[PDF_initial fee]]</f>
        <v>1</v>
      </c>
      <c r="T5265" s="89"/>
      <c r="U5265" s="26"/>
      <c r="X5265" s="9"/>
    </row>
    <row r="5266" spans="1:29" hidden="1" x14ac:dyDescent="0.25">
      <c r="A5266">
        <v>993733</v>
      </c>
      <c r="B5266" t="s">
        <v>5656</v>
      </c>
      <c r="C5266" t="s">
        <v>11826</v>
      </c>
      <c r="D5266">
        <v>1</v>
      </c>
      <c r="E5266" t="s">
        <v>5656</v>
      </c>
      <c r="G5266" s="3"/>
      <c r="H5266" s="21">
        <v>0</v>
      </c>
      <c r="I5266" s="21">
        <v>0</v>
      </c>
      <c r="J5266" s="21">
        <v>0</v>
      </c>
      <c r="K5266" s="21">
        <v>0</v>
      </c>
      <c r="L5266" s="3">
        <f t="shared" si="229"/>
        <v>0</v>
      </c>
      <c r="M5266" s="3"/>
      <c r="N5266" s="3">
        <f t="shared" si="230"/>
        <v>0</v>
      </c>
      <c r="O5266" s="21"/>
      <c r="R5266" s="89"/>
      <c r="S5266" s="89">
        <f>100%-Table34[[#This Row],[PDF_initial fee]]</f>
        <v>1</v>
      </c>
      <c r="T5266" s="89"/>
      <c r="U5266" s="26"/>
      <c r="X5266" s="9"/>
    </row>
    <row r="5267" spans="1:29" hidden="1" x14ac:dyDescent="0.25">
      <c r="A5267">
        <v>993978</v>
      </c>
      <c r="B5267" t="s">
        <v>5657</v>
      </c>
      <c r="C5267" t="s">
        <v>6958</v>
      </c>
      <c r="D5267">
        <v>1</v>
      </c>
      <c r="E5267" t="s">
        <v>5657</v>
      </c>
      <c r="F5267" t="s">
        <v>6958</v>
      </c>
      <c r="G5267" s="3"/>
      <c r="H5267" s="21">
        <v>0</v>
      </c>
      <c r="I5267" s="21">
        <v>0</v>
      </c>
      <c r="J5267" s="21">
        <v>0</v>
      </c>
      <c r="K5267" s="21">
        <v>0</v>
      </c>
      <c r="L5267" s="3">
        <f t="shared" si="229"/>
        <v>0</v>
      </c>
      <c r="M5267" s="3"/>
      <c r="N5267" s="3">
        <f t="shared" si="230"/>
        <v>0</v>
      </c>
      <c r="R5267" s="89"/>
      <c r="S5267" s="89">
        <f>100%-Table34[[#This Row],[PDF_initial fee]]</f>
        <v>1</v>
      </c>
      <c r="T5267" s="89"/>
      <c r="U5267" s="26"/>
      <c r="X5267" s="9"/>
    </row>
    <row r="5268" spans="1:29" hidden="1" x14ac:dyDescent="0.25">
      <c r="A5268">
        <v>994212</v>
      </c>
      <c r="B5268" t="s">
        <v>5658</v>
      </c>
      <c r="C5268" t="s">
        <v>9492</v>
      </c>
      <c r="D5268">
        <v>4</v>
      </c>
      <c r="E5268" t="s">
        <v>5658</v>
      </c>
      <c r="G5268" s="3"/>
      <c r="H5268" s="21">
        <v>0</v>
      </c>
      <c r="I5268" s="21">
        <v>0</v>
      </c>
      <c r="J5268" s="21">
        <v>0</v>
      </c>
      <c r="K5268" s="21">
        <v>0</v>
      </c>
      <c r="L5268" s="3">
        <f t="shared" si="229"/>
        <v>0</v>
      </c>
      <c r="M5268" s="3"/>
      <c r="N5268" s="3">
        <f t="shared" si="230"/>
        <v>0</v>
      </c>
      <c r="O5268" s="21"/>
      <c r="R5268" s="89"/>
      <c r="S5268" s="89">
        <f>100%-Table34[[#This Row],[PDF_initial fee]]</f>
        <v>1</v>
      </c>
      <c r="T5268" s="89"/>
      <c r="U5268" s="26"/>
      <c r="X5268" s="9"/>
    </row>
    <row r="5269" spans="1:29" hidden="1" x14ac:dyDescent="0.25">
      <c r="A5269">
        <v>994538</v>
      </c>
      <c r="B5269" t="s">
        <v>5659</v>
      </c>
      <c r="C5269" t="s">
        <v>12286</v>
      </c>
      <c r="D5269">
        <v>2</v>
      </c>
      <c r="E5269" t="s">
        <v>5659</v>
      </c>
      <c r="G5269" s="3"/>
      <c r="H5269" s="3"/>
      <c r="I5269" s="3"/>
      <c r="J5269" s="3"/>
      <c r="K5269" s="3"/>
      <c r="L5269" s="3">
        <f t="shared" si="229"/>
        <v>0</v>
      </c>
      <c r="M5269" s="3"/>
      <c r="N5269" s="3">
        <f t="shared" si="230"/>
        <v>0</v>
      </c>
      <c r="R5269" s="89"/>
      <c r="S5269" s="89">
        <f>100%-Table34[[#This Row],[PDF_initial fee]]</f>
        <v>1</v>
      </c>
      <c r="T5269" s="89"/>
      <c r="U5269" s="26"/>
      <c r="X5269" s="9"/>
    </row>
    <row r="5270" spans="1:29" hidden="1" x14ac:dyDescent="0.25">
      <c r="A5270">
        <v>994563</v>
      </c>
      <c r="B5270" t="s">
        <v>5660</v>
      </c>
      <c r="C5270" t="s">
        <v>31427</v>
      </c>
      <c r="D5270">
        <v>3</v>
      </c>
      <c r="E5270" t="s">
        <v>5660</v>
      </c>
      <c r="G5270" s="3"/>
      <c r="H5270" s="3">
        <v>0</v>
      </c>
      <c r="I5270" s="3">
        <v>0</v>
      </c>
      <c r="J5270" s="3">
        <v>0</v>
      </c>
      <c r="K5270" s="3">
        <v>0</v>
      </c>
      <c r="L5270" s="3">
        <f t="shared" si="229"/>
        <v>0</v>
      </c>
      <c r="M5270" s="3"/>
      <c r="N5270" s="3">
        <f t="shared" si="230"/>
        <v>0</v>
      </c>
      <c r="R5270" s="89"/>
      <c r="S5270" s="89">
        <f>100%-Table34[[#This Row],[PDF_initial fee]]</f>
        <v>1</v>
      </c>
      <c r="T5270" s="89"/>
      <c r="U5270" s="26"/>
      <c r="X5270" s="9"/>
    </row>
    <row r="5271" spans="1:29" hidden="1" x14ac:dyDescent="0.25">
      <c r="A5271">
        <v>995000</v>
      </c>
      <c r="B5271" t="s">
        <v>5661</v>
      </c>
      <c r="C5271" t="s">
        <v>31428</v>
      </c>
      <c r="D5271">
        <v>1</v>
      </c>
      <c r="E5271" t="s">
        <v>5661</v>
      </c>
      <c r="G5271" s="3"/>
      <c r="H5271" s="3">
        <v>0</v>
      </c>
      <c r="I5271" s="3">
        <v>0</v>
      </c>
      <c r="J5271" s="3">
        <v>0</v>
      </c>
      <c r="K5271" s="3">
        <v>0</v>
      </c>
      <c r="L5271" s="3">
        <f t="shared" si="229"/>
        <v>0</v>
      </c>
      <c r="M5271" s="3"/>
      <c r="N5271" s="3">
        <f t="shared" si="230"/>
        <v>0</v>
      </c>
      <c r="R5271" s="89"/>
      <c r="S5271" s="89">
        <f>100%-Table34[[#This Row],[PDF_initial fee]]</f>
        <v>1</v>
      </c>
      <c r="T5271" s="89"/>
      <c r="U5271" s="26"/>
      <c r="X5271" s="9"/>
    </row>
    <row r="5272" spans="1:29" hidden="1" x14ac:dyDescent="0.25">
      <c r="A5272">
        <v>995133</v>
      </c>
      <c r="B5272" t="s">
        <v>5662</v>
      </c>
      <c r="C5272" t="s">
        <v>8646</v>
      </c>
      <c r="D5272">
        <v>1</v>
      </c>
      <c r="E5272" t="s">
        <v>5662</v>
      </c>
      <c r="G5272" s="3"/>
      <c r="H5272" s="21">
        <v>0</v>
      </c>
      <c r="I5272" s="21">
        <v>0</v>
      </c>
      <c r="J5272" s="21">
        <v>0</v>
      </c>
      <c r="K5272" s="21">
        <v>0</v>
      </c>
      <c r="L5272" s="3">
        <f t="shared" si="229"/>
        <v>0</v>
      </c>
      <c r="M5272" s="3"/>
      <c r="N5272" s="3">
        <f t="shared" si="230"/>
        <v>0</v>
      </c>
      <c r="R5272" s="89"/>
      <c r="S5272" s="89">
        <f>100%-Table34[[#This Row],[PDF_initial fee]]</f>
        <v>1</v>
      </c>
      <c r="T5272" s="89"/>
      <c r="U5272" s="26"/>
      <c r="X5272" s="9"/>
    </row>
    <row r="5273" spans="1:29" hidden="1" x14ac:dyDescent="0.25">
      <c r="A5273">
        <v>995291</v>
      </c>
      <c r="B5273" t="s">
        <v>5663</v>
      </c>
      <c r="C5273" t="s">
        <v>10799</v>
      </c>
      <c r="D5273">
        <v>1</v>
      </c>
      <c r="E5273" t="s">
        <v>5663</v>
      </c>
      <c r="F5273" t="s">
        <v>3</v>
      </c>
      <c r="G5273" s="3"/>
      <c r="H5273" s="3"/>
      <c r="I5273" s="3"/>
      <c r="J5273" s="3"/>
      <c r="K5273" s="3"/>
      <c r="L5273" s="3">
        <f t="shared" si="229"/>
        <v>0</v>
      </c>
      <c r="M5273" s="3"/>
      <c r="N5273" s="3">
        <f t="shared" si="230"/>
        <v>0</v>
      </c>
      <c r="R5273" s="89"/>
      <c r="S5273" s="89">
        <f>100%-Table34[[#This Row],[PDF_initial fee]]</f>
        <v>1</v>
      </c>
      <c r="T5273" s="89"/>
      <c r="U5273" s="26"/>
      <c r="X5273" s="9"/>
    </row>
    <row r="5274" spans="1:29" hidden="1" x14ac:dyDescent="0.25">
      <c r="A5274">
        <v>995869</v>
      </c>
      <c r="B5274" t="s">
        <v>5664</v>
      </c>
      <c r="C5274" t="s">
        <v>7969</v>
      </c>
      <c r="D5274">
        <v>3</v>
      </c>
      <c r="E5274" t="s">
        <v>5664</v>
      </c>
      <c r="G5274" s="3"/>
      <c r="H5274" s="21">
        <v>0</v>
      </c>
      <c r="I5274" s="21">
        <v>0</v>
      </c>
      <c r="J5274" s="21">
        <v>0</v>
      </c>
      <c r="K5274" s="21">
        <v>0</v>
      </c>
      <c r="L5274" s="3">
        <f t="shared" si="229"/>
        <v>0</v>
      </c>
      <c r="M5274" s="3"/>
      <c r="N5274" s="3">
        <f t="shared" si="230"/>
        <v>0</v>
      </c>
      <c r="R5274" s="89"/>
      <c r="S5274" s="89">
        <f>100%-Table34[[#This Row],[PDF_initial fee]]</f>
        <v>1</v>
      </c>
      <c r="T5274" s="89"/>
      <c r="U5274" s="26"/>
      <c r="X5274" s="9"/>
    </row>
    <row r="5275" spans="1:29" hidden="1" x14ac:dyDescent="0.25">
      <c r="A5275">
        <v>996181</v>
      </c>
      <c r="B5275" t="s">
        <v>5665</v>
      </c>
      <c r="C5275" t="s">
        <v>11512</v>
      </c>
      <c r="D5275">
        <v>1</v>
      </c>
      <c r="E5275" t="s">
        <v>5665</v>
      </c>
      <c r="G5275" s="3"/>
      <c r="H5275" s="21">
        <v>0</v>
      </c>
      <c r="I5275" s="21">
        <v>0</v>
      </c>
      <c r="J5275" s="21">
        <v>0</v>
      </c>
      <c r="K5275" s="21">
        <v>0</v>
      </c>
      <c r="L5275" s="3">
        <f t="shared" si="229"/>
        <v>0</v>
      </c>
      <c r="M5275" s="3"/>
      <c r="N5275" s="3">
        <f t="shared" si="230"/>
        <v>0</v>
      </c>
      <c r="O5275" s="21"/>
      <c r="R5275" s="89"/>
      <c r="S5275" s="89">
        <f>100%-Table34[[#This Row],[PDF_initial fee]]</f>
        <v>1</v>
      </c>
      <c r="T5275" s="89"/>
      <c r="U5275" s="26"/>
      <c r="X5275" s="9"/>
    </row>
    <row r="5276" spans="1:29" hidden="1" x14ac:dyDescent="0.25">
      <c r="A5276">
        <v>996981</v>
      </c>
      <c r="B5276" t="s">
        <v>5666</v>
      </c>
      <c r="C5276" t="s">
        <v>31429</v>
      </c>
      <c r="D5276">
        <v>4</v>
      </c>
      <c r="E5276" t="s">
        <v>5666</v>
      </c>
      <c r="G5276" s="3"/>
      <c r="H5276" s="3"/>
      <c r="I5276" s="3"/>
      <c r="J5276" s="3"/>
      <c r="K5276" s="3"/>
      <c r="L5276" s="3">
        <f t="shared" si="229"/>
        <v>0</v>
      </c>
      <c r="M5276" s="3"/>
      <c r="N5276" s="3">
        <f t="shared" si="230"/>
        <v>0</v>
      </c>
      <c r="R5276" s="89"/>
      <c r="S5276" s="89">
        <f>100%-Table34[[#This Row],[PDF_initial fee]]</f>
        <v>1</v>
      </c>
      <c r="T5276" s="89"/>
      <c r="U5276" s="26"/>
      <c r="X5276" s="9"/>
    </row>
    <row r="5277" spans="1:29" hidden="1" x14ac:dyDescent="0.25">
      <c r="A5277">
        <v>997314</v>
      </c>
      <c r="B5277" t="s">
        <v>5667</v>
      </c>
      <c r="C5277" t="s">
        <v>6958</v>
      </c>
      <c r="D5277">
        <v>1</v>
      </c>
      <c r="E5277" t="s">
        <v>5667</v>
      </c>
      <c r="F5277" t="s">
        <v>6958</v>
      </c>
      <c r="G5277" s="3"/>
      <c r="H5277" s="21">
        <v>0</v>
      </c>
      <c r="I5277" s="21">
        <v>0</v>
      </c>
      <c r="J5277" s="21">
        <v>0</v>
      </c>
      <c r="K5277" s="21">
        <v>0</v>
      </c>
      <c r="L5277" s="3">
        <f t="shared" si="229"/>
        <v>0</v>
      </c>
      <c r="M5277" s="3"/>
      <c r="N5277" s="3">
        <f t="shared" si="230"/>
        <v>0</v>
      </c>
      <c r="R5277" s="89"/>
      <c r="S5277" s="89">
        <f>100%-Table34[[#This Row],[PDF_initial fee]]</f>
        <v>1</v>
      </c>
      <c r="T5277" s="89"/>
      <c r="U5277" s="26"/>
      <c r="X5277" s="9"/>
    </row>
    <row r="5278" spans="1:29" hidden="1" x14ac:dyDescent="0.25">
      <c r="A5278">
        <v>997398</v>
      </c>
      <c r="B5278" t="s">
        <v>5668</v>
      </c>
      <c r="C5278" t="s">
        <v>8767</v>
      </c>
      <c r="D5278">
        <v>0</v>
      </c>
      <c r="E5278" t="s">
        <v>5668</v>
      </c>
      <c r="F5278" t="s">
        <v>29136</v>
      </c>
      <c r="G5278" s="3"/>
      <c r="H5278" s="21">
        <v>0</v>
      </c>
      <c r="I5278" s="21">
        <v>0</v>
      </c>
      <c r="J5278" s="21">
        <v>0</v>
      </c>
      <c r="K5278" s="21">
        <v>0</v>
      </c>
      <c r="L5278" s="3">
        <f t="shared" si="229"/>
        <v>0</v>
      </c>
      <c r="M5278" s="3"/>
      <c r="N5278" s="3">
        <f t="shared" si="230"/>
        <v>0</v>
      </c>
      <c r="R5278" s="89"/>
      <c r="S5278" s="89">
        <f>100%-Table34[[#This Row],[PDF_initial fee]]</f>
        <v>1</v>
      </c>
      <c r="T5278" s="89"/>
      <c r="U5278" s="26"/>
      <c r="X5278" s="9"/>
    </row>
    <row r="5279" spans="1:29" hidden="1" x14ac:dyDescent="0.25">
      <c r="A5279">
        <v>997666</v>
      </c>
      <c r="B5279" t="s">
        <v>5669</v>
      </c>
      <c r="C5279" t="s">
        <v>11946</v>
      </c>
      <c r="D5279">
        <v>2</v>
      </c>
      <c r="E5279" t="s">
        <v>5669</v>
      </c>
      <c r="G5279" s="3"/>
      <c r="H5279" s="21">
        <v>0</v>
      </c>
      <c r="I5279" s="21">
        <v>0</v>
      </c>
      <c r="J5279" s="21">
        <v>0</v>
      </c>
      <c r="K5279" s="21">
        <v>0</v>
      </c>
      <c r="L5279" s="3">
        <f t="shared" si="229"/>
        <v>0</v>
      </c>
      <c r="M5279" s="3"/>
      <c r="N5279" s="3">
        <f t="shared" si="230"/>
        <v>0</v>
      </c>
      <c r="O5279" s="21"/>
      <c r="R5279" s="89"/>
      <c r="S5279" s="89">
        <f>100%-Table34[[#This Row],[PDF_initial fee]]</f>
        <v>1</v>
      </c>
      <c r="T5279" s="89"/>
      <c r="U5279" s="26"/>
      <c r="X5279" s="9"/>
    </row>
    <row r="5280" spans="1:29" x14ac:dyDescent="0.25">
      <c r="A5280">
        <v>228865</v>
      </c>
      <c r="B5280" t="s">
        <v>130</v>
      </c>
      <c r="C5280" t="s">
        <v>31430</v>
      </c>
      <c r="D5280">
        <v>2</v>
      </c>
      <c r="E5280" t="s">
        <v>130</v>
      </c>
      <c r="F5280" t="s">
        <v>3</v>
      </c>
      <c r="G5280" s="3">
        <v>1.4E-3</v>
      </c>
      <c r="H5280" s="3">
        <v>0</v>
      </c>
      <c r="I5280" s="6">
        <v>7.4999999999999997E-3</v>
      </c>
      <c r="J5280" s="6">
        <v>0</v>
      </c>
      <c r="K5280" s="3"/>
      <c r="L5280" s="3">
        <f t="shared" si="229"/>
        <v>7.4999999999999997E-3</v>
      </c>
      <c r="M5280" s="3"/>
      <c r="N5280" s="3">
        <f t="shared" si="230"/>
        <v>8.8999999999999999E-3</v>
      </c>
      <c r="O5280" t="s">
        <v>31431</v>
      </c>
      <c r="P5280" s="1" t="s">
        <v>31432</v>
      </c>
      <c r="Q5280" t="s">
        <v>31787</v>
      </c>
      <c r="R5280" s="89">
        <v>0.33333333333333348</v>
      </c>
      <c r="S5280" s="99">
        <f>100%-Table34[[#This Row],[InitialFee]]</f>
        <v>1</v>
      </c>
      <c r="T5280" s="99">
        <f>(1-Table34[[#This Row],[OngoingFee (plus Platform fee)]])^5</f>
        <v>0.9630582970465823</v>
      </c>
      <c r="U5280" s="26">
        <f>(1+Table34[[#This Row],[Net 5yrs return (mostly up to 28th of Feb 2026)]])*Table34[[#This Row],[Investment after initial charge]]*Table34[[#This Row],[Cummulative 5yrs ongoing advice charge]]-1</f>
        <v>0.28407772939544329</v>
      </c>
      <c r="V5280" s="10">
        <f>1728358+26103</f>
        <v>1754461</v>
      </c>
      <c r="W5280" t="s">
        <v>29051</v>
      </c>
      <c r="X5280" s="92">
        <v>1545892</v>
      </c>
      <c r="Y5280" s="30">
        <f>X5280/V5280</f>
        <v>0.88112075446533156</v>
      </c>
      <c r="AA5280" s="1" t="s">
        <v>31433</v>
      </c>
      <c r="AC5280" t="s">
        <v>31434</v>
      </c>
    </row>
    <row r="5281" spans="1:24" hidden="1" x14ac:dyDescent="0.25">
      <c r="A5281">
        <v>998644</v>
      </c>
      <c r="B5281" t="s">
        <v>5670</v>
      </c>
      <c r="C5281" t="s">
        <v>31435</v>
      </c>
      <c r="D5281">
        <v>3</v>
      </c>
      <c r="E5281" t="s">
        <v>5670</v>
      </c>
      <c r="G5281" s="3"/>
      <c r="H5281" s="3">
        <v>0</v>
      </c>
      <c r="I5281" s="3">
        <v>0</v>
      </c>
      <c r="J5281" s="3">
        <v>0</v>
      </c>
      <c r="K5281" s="3">
        <v>0</v>
      </c>
      <c r="L5281" s="3">
        <f t="shared" si="229"/>
        <v>0</v>
      </c>
      <c r="M5281" s="3"/>
      <c r="N5281" s="3">
        <f t="shared" si="230"/>
        <v>0</v>
      </c>
      <c r="R5281" s="89"/>
      <c r="S5281" s="89">
        <f>100%-Table34[[#This Row],[PDF_initial fee]]</f>
        <v>1</v>
      </c>
      <c r="T5281" s="89"/>
      <c r="U5281" s="26"/>
      <c r="X5281" s="9"/>
    </row>
    <row r="5282" spans="1:24" hidden="1" x14ac:dyDescent="0.25">
      <c r="A5282">
        <v>998733</v>
      </c>
      <c r="B5282" t="s">
        <v>5671</v>
      </c>
      <c r="C5282" t="s">
        <v>31436</v>
      </c>
      <c r="D5282">
        <v>2</v>
      </c>
      <c r="E5282" t="s">
        <v>5671</v>
      </c>
      <c r="G5282" s="3"/>
      <c r="H5282" s="3">
        <v>0</v>
      </c>
      <c r="I5282" s="3">
        <v>0</v>
      </c>
      <c r="J5282" s="3">
        <v>0</v>
      </c>
      <c r="K5282" s="3">
        <v>0</v>
      </c>
      <c r="L5282" s="3">
        <f t="shared" si="229"/>
        <v>0</v>
      </c>
      <c r="M5282" s="3"/>
      <c r="N5282" s="3">
        <f t="shared" si="230"/>
        <v>0</v>
      </c>
      <c r="R5282" s="89"/>
      <c r="S5282" s="89">
        <f>100%-Table34[[#This Row],[PDF_initial fee]]</f>
        <v>1</v>
      </c>
      <c r="T5282" s="89"/>
      <c r="U5282" s="26"/>
      <c r="X5282" s="9"/>
    </row>
    <row r="5283" spans="1:24" hidden="1" x14ac:dyDescent="0.25">
      <c r="A5283">
        <v>999207</v>
      </c>
      <c r="B5283" t="s">
        <v>5672</v>
      </c>
      <c r="C5283" t="s">
        <v>12413</v>
      </c>
      <c r="D5283">
        <v>2</v>
      </c>
      <c r="E5283" t="s">
        <v>5672</v>
      </c>
      <c r="G5283" s="3"/>
      <c r="H5283" s="21">
        <v>0</v>
      </c>
      <c r="I5283" s="21">
        <v>0</v>
      </c>
      <c r="J5283" s="21">
        <v>0</v>
      </c>
      <c r="K5283" s="21">
        <v>0</v>
      </c>
      <c r="L5283" s="3">
        <f t="shared" si="229"/>
        <v>0</v>
      </c>
      <c r="M5283" s="3"/>
      <c r="N5283" s="3">
        <f t="shared" si="230"/>
        <v>0</v>
      </c>
      <c r="O5283" s="21"/>
      <c r="R5283" s="89"/>
      <c r="S5283" s="89">
        <f>100%-Table34[[#This Row],[PDF_initial fee]]</f>
        <v>1</v>
      </c>
      <c r="T5283" s="89"/>
      <c r="U5283" s="26"/>
      <c r="X5283" s="9"/>
    </row>
    <row r="5284" spans="1:24" hidden="1" x14ac:dyDescent="0.25">
      <c r="A5284">
        <v>1000611</v>
      </c>
      <c r="B5284" t="s">
        <v>5673</v>
      </c>
      <c r="C5284" t="s">
        <v>31437</v>
      </c>
      <c r="D5284">
        <v>1</v>
      </c>
      <c r="E5284" t="s">
        <v>5673</v>
      </c>
      <c r="G5284" s="3"/>
      <c r="H5284" s="21">
        <v>0</v>
      </c>
      <c r="I5284" s="21">
        <v>0</v>
      </c>
      <c r="J5284" s="21">
        <v>0</v>
      </c>
      <c r="K5284" s="21">
        <v>0</v>
      </c>
      <c r="L5284" s="3">
        <f t="shared" si="229"/>
        <v>0</v>
      </c>
      <c r="M5284" s="3"/>
      <c r="N5284" s="3">
        <f t="shared" si="230"/>
        <v>0</v>
      </c>
      <c r="O5284" s="21"/>
      <c r="R5284" s="89"/>
      <c r="S5284" s="89">
        <f>100%-Table34[[#This Row],[PDF_initial fee]]</f>
        <v>1</v>
      </c>
      <c r="T5284" s="89"/>
      <c r="U5284" s="26"/>
      <c r="X5284" s="9"/>
    </row>
    <row r="5285" spans="1:24" hidden="1" x14ac:dyDescent="0.25">
      <c r="A5285">
        <v>1001420</v>
      </c>
      <c r="B5285" t="s">
        <v>5674</v>
      </c>
      <c r="C5285" t="s">
        <v>31438</v>
      </c>
      <c r="D5285">
        <v>1</v>
      </c>
      <c r="E5285" t="s">
        <v>5674</v>
      </c>
      <c r="G5285" s="3"/>
      <c r="H5285" s="3">
        <v>0</v>
      </c>
      <c r="I5285" s="3">
        <v>0</v>
      </c>
      <c r="J5285" s="3">
        <v>0</v>
      </c>
      <c r="K5285" s="3">
        <v>0</v>
      </c>
      <c r="L5285" s="3">
        <f t="shared" si="229"/>
        <v>0</v>
      </c>
      <c r="M5285" s="3"/>
      <c r="N5285" s="3">
        <f t="shared" si="230"/>
        <v>0</v>
      </c>
      <c r="R5285" s="89"/>
      <c r="S5285" s="89">
        <f>100%-Table34[[#This Row],[PDF_initial fee]]</f>
        <v>1</v>
      </c>
      <c r="T5285" s="89"/>
      <c r="U5285" s="26"/>
      <c r="X5285" s="9"/>
    </row>
    <row r="5286" spans="1:24" hidden="1" x14ac:dyDescent="0.25">
      <c r="A5286">
        <v>1001528</v>
      </c>
      <c r="B5286" t="s">
        <v>5675</v>
      </c>
      <c r="C5286" t="s">
        <v>12337</v>
      </c>
      <c r="D5286">
        <v>0</v>
      </c>
      <c r="E5286" t="s">
        <v>5675</v>
      </c>
      <c r="F5286" t="s">
        <v>3</v>
      </c>
      <c r="G5286" s="3"/>
      <c r="H5286" s="3">
        <v>0</v>
      </c>
      <c r="I5286" s="3">
        <v>0</v>
      </c>
      <c r="J5286" s="3">
        <v>0</v>
      </c>
      <c r="K5286" s="3">
        <v>0</v>
      </c>
      <c r="L5286" s="3">
        <f t="shared" si="229"/>
        <v>0</v>
      </c>
      <c r="M5286" s="3"/>
      <c r="N5286" s="3">
        <f t="shared" si="230"/>
        <v>0</v>
      </c>
      <c r="R5286" s="89"/>
      <c r="S5286" s="89">
        <f>100%-Table34[[#This Row],[PDF_initial fee]]</f>
        <v>1</v>
      </c>
      <c r="T5286" s="89"/>
      <c r="U5286" s="26"/>
      <c r="X5286" s="9"/>
    </row>
    <row r="5287" spans="1:24" hidden="1" x14ac:dyDescent="0.25">
      <c r="A5287">
        <v>1002289</v>
      </c>
      <c r="B5287" t="s">
        <v>5676</v>
      </c>
      <c r="C5287" t="s">
        <v>31439</v>
      </c>
      <c r="D5287">
        <v>1</v>
      </c>
      <c r="E5287" t="s">
        <v>5676</v>
      </c>
      <c r="G5287" s="3"/>
      <c r="H5287" s="21">
        <v>0</v>
      </c>
      <c r="I5287" s="21">
        <v>0</v>
      </c>
      <c r="J5287" s="21">
        <v>0</v>
      </c>
      <c r="K5287" s="21">
        <v>0</v>
      </c>
      <c r="L5287" s="3">
        <f t="shared" ref="L5287:L5318" si="231">SUM(H5287:K5287)</f>
        <v>0</v>
      </c>
      <c r="M5287" s="3"/>
      <c r="N5287" s="3">
        <f t="shared" ref="N5287:N5318" si="232">L5287+G5287</f>
        <v>0</v>
      </c>
      <c r="O5287" s="21"/>
      <c r="R5287" s="89"/>
      <c r="S5287" s="89">
        <f>100%-Table34[[#This Row],[PDF_initial fee]]</f>
        <v>1</v>
      </c>
      <c r="T5287" s="89"/>
      <c r="U5287" s="26"/>
      <c r="X5287" s="9"/>
    </row>
    <row r="5288" spans="1:24" hidden="1" x14ac:dyDescent="0.25">
      <c r="A5288">
        <v>1002299</v>
      </c>
      <c r="B5288" t="s">
        <v>5677</v>
      </c>
      <c r="C5288" t="s">
        <v>6958</v>
      </c>
      <c r="D5288">
        <v>1</v>
      </c>
      <c r="E5288" t="s">
        <v>5677</v>
      </c>
      <c r="F5288" t="s">
        <v>6958</v>
      </c>
      <c r="G5288" s="3"/>
      <c r="H5288" s="21">
        <v>0</v>
      </c>
      <c r="I5288" s="21">
        <v>0</v>
      </c>
      <c r="J5288" s="21">
        <v>0</v>
      </c>
      <c r="K5288" s="21">
        <v>0</v>
      </c>
      <c r="L5288" s="3">
        <f t="shared" si="231"/>
        <v>0</v>
      </c>
      <c r="M5288" s="3"/>
      <c r="N5288" s="3">
        <f t="shared" si="232"/>
        <v>0</v>
      </c>
      <c r="R5288" s="89"/>
      <c r="S5288" s="89">
        <f>100%-Table34[[#This Row],[PDF_initial fee]]</f>
        <v>1</v>
      </c>
      <c r="T5288" s="89"/>
      <c r="U5288" s="26"/>
      <c r="X5288" s="9"/>
    </row>
    <row r="5289" spans="1:24" hidden="1" x14ac:dyDescent="0.25">
      <c r="A5289">
        <v>1002900</v>
      </c>
      <c r="B5289" t="s">
        <v>5678</v>
      </c>
      <c r="C5289" t="s">
        <v>31440</v>
      </c>
      <c r="D5289">
        <v>0</v>
      </c>
      <c r="E5289" t="s">
        <v>5678</v>
      </c>
      <c r="F5289" t="s">
        <v>3</v>
      </c>
      <c r="G5289" s="3"/>
      <c r="H5289" s="21">
        <v>0</v>
      </c>
      <c r="I5289" s="21">
        <v>0</v>
      </c>
      <c r="J5289" s="21">
        <v>0</v>
      </c>
      <c r="K5289" s="21">
        <v>0</v>
      </c>
      <c r="L5289" s="3">
        <f t="shared" si="231"/>
        <v>0</v>
      </c>
      <c r="M5289" s="3"/>
      <c r="N5289" s="3">
        <f t="shared" si="232"/>
        <v>0</v>
      </c>
      <c r="O5289" s="21"/>
      <c r="R5289" s="89"/>
      <c r="S5289" s="89">
        <f>100%-Table34[[#This Row],[PDF_initial fee]]</f>
        <v>1</v>
      </c>
      <c r="T5289" s="89"/>
      <c r="U5289" s="26"/>
      <c r="X5289" s="9"/>
    </row>
    <row r="5290" spans="1:24" hidden="1" x14ac:dyDescent="0.25">
      <c r="A5290">
        <v>1003652</v>
      </c>
      <c r="B5290" t="s">
        <v>5679</v>
      </c>
      <c r="C5290" t="s">
        <v>31441</v>
      </c>
      <c r="D5290">
        <v>2</v>
      </c>
      <c r="E5290" t="s">
        <v>5679</v>
      </c>
      <c r="G5290" s="3"/>
      <c r="H5290" s="3">
        <v>0</v>
      </c>
      <c r="I5290" s="3">
        <v>0</v>
      </c>
      <c r="J5290" s="3">
        <v>0</v>
      </c>
      <c r="K5290" s="3">
        <v>0</v>
      </c>
      <c r="L5290" s="3">
        <f t="shared" si="231"/>
        <v>0</v>
      </c>
      <c r="M5290" s="3"/>
      <c r="N5290" s="3">
        <f t="shared" si="232"/>
        <v>0</v>
      </c>
      <c r="R5290" s="89"/>
      <c r="S5290" s="89">
        <f>100%-Table34[[#This Row],[PDF_initial fee]]</f>
        <v>1</v>
      </c>
      <c r="T5290" s="89"/>
      <c r="U5290" s="26"/>
      <c r="X5290" s="9"/>
    </row>
    <row r="5291" spans="1:24" hidden="1" x14ac:dyDescent="0.25">
      <c r="A5291">
        <v>1004385</v>
      </c>
      <c r="B5291" t="s">
        <v>5680</v>
      </c>
      <c r="C5291" t="s">
        <v>10256</v>
      </c>
      <c r="D5291">
        <v>0</v>
      </c>
      <c r="E5291" t="s">
        <v>5680</v>
      </c>
      <c r="F5291" t="s">
        <v>3</v>
      </c>
      <c r="G5291" s="3"/>
      <c r="H5291" s="3">
        <v>0</v>
      </c>
      <c r="I5291" s="3">
        <v>0</v>
      </c>
      <c r="J5291" s="3">
        <v>0</v>
      </c>
      <c r="K5291" s="3">
        <v>0</v>
      </c>
      <c r="L5291" s="3">
        <f t="shared" si="231"/>
        <v>0</v>
      </c>
      <c r="M5291" s="3"/>
      <c r="N5291" s="3">
        <f t="shared" si="232"/>
        <v>0</v>
      </c>
      <c r="R5291" s="89"/>
      <c r="S5291" s="89">
        <f>100%-Table34[[#This Row],[PDF_initial fee]]</f>
        <v>1</v>
      </c>
      <c r="T5291" s="89"/>
      <c r="U5291" s="26"/>
      <c r="X5291" s="9"/>
    </row>
    <row r="5292" spans="1:24" hidden="1" x14ac:dyDescent="0.25">
      <c r="A5292">
        <v>1005338</v>
      </c>
      <c r="B5292" t="s">
        <v>5681</v>
      </c>
      <c r="C5292" t="s">
        <v>8941</v>
      </c>
      <c r="D5292">
        <v>1</v>
      </c>
      <c r="E5292" t="s">
        <v>5681</v>
      </c>
      <c r="G5292" s="3"/>
      <c r="L5292" s="3">
        <f t="shared" si="231"/>
        <v>0</v>
      </c>
      <c r="M5292" s="3"/>
      <c r="N5292" s="3">
        <f t="shared" si="232"/>
        <v>0</v>
      </c>
      <c r="R5292" s="89"/>
      <c r="S5292" s="89">
        <f>100%-Table34[[#This Row],[PDF_initial fee]]</f>
        <v>1</v>
      </c>
      <c r="T5292" s="89"/>
      <c r="U5292" s="26"/>
      <c r="X5292" s="9"/>
    </row>
    <row r="5293" spans="1:24" hidden="1" x14ac:dyDescent="0.25">
      <c r="A5293">
        <v>1006120</v>
      </c>
      <c r="B5293" t="s">
        <v>5682</v>
      </c>
      <c r="C5293" t="s">
        <v>8481</v>
      </c>
      <c r="D5293">
        <v>1</v>
      </c>
      <c r="E5293" t="s">
        <v>5682</v>
      </c>
      <c r="G5293" s="3"/>
      <c r="H5293" s="21">
        <v>0</v>
      </c>
      <c r="I5293" s="21">
        <v>0</v>
      </c>
      <c r="J5293" s="21">
        <v>0</v>
      </c>
      <c r="K5293" s="21">
        <v>0</v>
      </c>
      <c r="L5293" s="3">
        <f t="shared" si="231"/>
        <v>0</v>
      </c>
      <c r="M5293" s="3"/>
      <c r="N5293" s="3">
        <f t="shared" si="232"/>
        <v>0</v>
      </c>
      <c r="R5293" s="89"/>
      <c r="S5293" s="89">
        <f>100%-Table34[[#This Row],[PDF_initial fee]]</f>
        <v>1</v>
      </c>
      <c r="T5293" s="89"/>
      <c r="U5293" s="26"/>
      <c r="X5293" s="9"/>
    </row>
    <row r="5294" spans="1:24" hidden="1" x14ac:dyDescent="0.25">
      <c r="A5294">
        <v>1006214</v>
      </c>
      <c r="B5294" t="s">
        <v>5683</v>
      </c>
      <c r="C5294" t="s">
        <v>31442</v>
      </c>
      <c r="D5294">
        <v>1</v>
      </c>
      <c r="E5294" t="s">
        <v>5683</v>
      </c>
      <c r="G5294" s="3"/>
      <c r="H5294" s="21">
        <v>0</v>
      </c>
      <c r="I5294" s="21">
        <v>0</v>
      </c>
      <c r="J5294" s="21">
        <v>0</v>
      </c>
      <c r="K5294" s="21">
        <v>0</v>
      </c>
      <c r="L5294" s="3">
        <f t="shared" si="231"/>
        <v>0</v>
      </c>
      <c r="M5294" s="3"/>
      <c r="N5294" s="3">
        <f t="shared" si="232"/>
        <v>0</v>
      </c>
      <c r="O5294" s="21"/>
      <c r="R5294" s="89"/>
      <c r="S5294" s="89">
        <f>100%-Table34[[#This Row],[PDF_initial fee]]</f>
        <v>1</v>
      </c>
      <c r="T5294" s="89"/>
      <c r="U5294" s="26"/>
      <c r="X5294" s="9"/>
    </row>
    <row r="5295" spans="1:24" hidden="1" x14ac:dyDescent="0.25">
      <c r="A5295">
        <v>1006548</v>
      </c>
      <c r="B5295" t="s">
        <v>5684</v>
      </c>
      <c r="C5295" t="s">
        <v>31443</v>
      </c>
      <c r="D5295">
        <v>2</v>
      </c>
      <c r="E5295" t="s">
        <v>5684</v>
      </c>
      <c r="G5295" s="3"/>
      <c r="H5295" s="3">
        <v>0</v>
      </c>
      <c r="I5295" s="3">
        <v>0</v>
      </c>
      <c r="J5295" s="3">
        <v>0</v>
      </c>
      <c r="K5295" s="3">
        <v>0</v>
      </c>
      <c r="L5295" s="3">
        <f t="shared" si="231"/>
        <v>0</v>
      </c>
      <c r="M5295" s="3"/>
      <c r="N5295" s="3">
        <f t="shared" si="232"/>
        <v>0</v>
      </c>
      <c r="R5295" s="89"/>
      <c r="S5295" s="89">
        <f>100%-Table34[[#This Row],[PDF_initial fee]]</f>
        <v>1</v>
      </c>
      <c r="T5295" s="89"/>
      <c r="U5295" s="26"/>
      <c r="X5295" s="9"/>
    </row>
    <row r="5296" spans="1:24" hidden="1" x14ac:dyDescent="0.25">
      <c r="A5296">
        <v>1006718</v>
      </c>
      <c r="B5296" t="s">
        <v>5685</v>
      </c>
      <c r="C5296" t="s">
        <v>31444</v>
      </c>
      <c r="D5296">
        <v>6</v>
      </c>
      <c r="E5296" t="s">
        <v>5685</v>
      </c>
      <c r="G5296" s="3"/>
      <c r="H5296" s="3">
        <v>0</v>
      </c>
      <c r="I5296" s="3">
        <v>0</v>
      </c>
      <c r="J5296" s="3">
        <v>0</v>
      </c>
      <c r="K5296" s="3">
        <v>0</v>
      </c>
      <c r="L5296" s="3">
        <f t="shared" si="231"/>
        <v>0</v>
      </c>
      <c r="M5296" s="3"/>
      <c r="N5296" s="3">
        <f t="shared" si="232"/>
        <v>0</v>
      </c>
      <c r="R5296" s="89"/>
      <c r="S5296" s="89">
        <f>100%-Table34[[#This Row],[PDF_initial fee]]</f>
        <v>1</v>
      </c>
      <c r="T5296" s="89"/>
      <c r="U5296" s="26"/>
      <c r="X5296" s="9"/>
    </row>
    <row r="5297" spans="1:28" hidden="1" x14ac:dyDescent="0.25">
      <c r="A5297">
        <v>1006940</v>
      </c>
      <c r="B5297" t="s">
        <v>5686</v>
      </c>
      <c r="C5297" t="s">
        <v>11298</v>
      </c>
      <c r="D5297">
        <v>3</v>
      </c>
      <c r="E5297" t="s">
        <v>5686</v>
      </c>
      <c r="G5297" s="3"/>
      <c r="H5297" s="3">
        <v>0</v>
      </c>
      <c r="I5297" s="3">
        <v>0</v>
      </c>
      <c r="J5297" s="3">
        <v>0</v>
      </c>
      <c r="K5297" s="3">
        <v>0</v>
      </c>
      <c r="L5297" s="3">
        <f t="shared" si="231"/>
        <v>0</v>
      </c>
      <c r="M5297" s="3"/>
      <c r="N5297" s="3">
        <f t="shared" si="232"/>
        <v>0</v>
      </c>
      <c r="R5297" s="89"/>
      <c r="S5297" s="89">
        <f>100%-Table34[[#This Row],[PDF_initial fee]]</f>
        <v>1</v>
      </c>
      <c r="T5297" s="89"/>
      <c r="U5297" s="26"/>
      <c r="X5297" s="9"/>
    </row>
    <row r="5298" spans="1:28" hidden="1" x14ac:dyDescent="0.25">
      <c r="A5298">
        <v>204571</v>
      </c>
      <c r="B5298" t="s">
        <v>109</v>
      </c>
      <c r="C5298" t="s">
        <v>12507</v>
      </c>
      <c r="D5298">
        <v>25</v>
      </c>
      <c r="E5298" t="s">
        <v>109</v>
      </c>
      <c r="F5298" t="s">
        <v>6</v>
      </c>
      <c r="G5298" s="3" t="s">
        <v>369</v>
      </c>
      <c r="H5298" s="21">
        <v>0</v>
      </c>
      <c r="I5298" s="21">
        <v>0</v>
      </c>
      <c r="J5298" s="3">
        <v>4.4999999999999997E-3</v>
      </c>
      <c r="K5298" s="3">
        <v>3.5999999999999997E-2</v>
      </c>
      <c r="L5298" s="3">
        <f t="shared" si="231"/>
        <v>4.0499999999999994E-2</v>
      </c>
      <c r="M5298" s="3"/>
      <c r="N5298" s="3" t="e">
        <f t="shared" si="232"/>
        <v>#VALUE!</v>
      </c>
      <c r="P5298" s="1" t="s">
        <v>31445</v>
      </c>
      <c r="R5298" s="89" t="s">
        <v>369</v>
      </c>
      <c r="S5298" s="89">
        <f>100%-Table34[[#This Row],[PDF_initial fee]]</f>
        <v>0.99550000000000005</v>
      </c>
      <c r="T5298" s="89"/>
      <c r="U5298" s="26"/>
      <c r="V5298" s="10">
        <v>1848000000</v>
      </c>
      <c r="W5298" t="s">
        <v>29051</v>
      </c>
      <c r="X5298" s="10">
        <v>100000000</v>
      </c>
      <c r="Y5298" s="30">
        <f>X5298/V5298</f>
        <v>5.4112554112554112E-2</v>
      </c>
      <c r="AA5298" s="1" t="s">
        <v>31446</v>
      </c>
      <c r="AB5298" t="s">
        <v>29302</v>
      </c>
    </row>
    <row r="5299" spans="1:28" hidden="1" x14ac:dyDescent="0.25">
      <c r="A5299">
        <v>1007096</v>
      </c>
      <c r="B5299" t="s">
        <v>5687</v>
      </c>
      <c r="C5299" t="s">
        <v>6958</v>
      </c>
      <c r="D5299">
        <v>0</v>
      </c>
      <c r="E5299" t="s">
        <v>5687</v>
      </c>
      <c r="F5299" t="s">
        <v>6958</v>
      </c>
      <c r="G5299" s="3"/>
      <c r="H5299" s="21">
        <v>0</v>
      </c>
      <c r="I5299" s="21">
        <v>0</v>
      </c>
      <c r="J5299" s="21">
        <v>0</v>
      </c>
      <c r="K5299" s="21">
        <v>0</v>
      </c>
      <c r="L5299" s="3">
        <f t="shared" si="231"/>
        <v>0</v>
      </c>
      <c r="M5299" s="3"/>
      <c r="N5299" s="3">
        <f t="shared" si="232"/>
        <v>0</v>
      </c>
      <c r="O5299" s="21"/>
      <c r="P5299" s="1" t="s">
        <v>31447</v>
      </c>
      <c r="R5299" s="89"/>
      <c r="S5299" s="89">
        <f>100%-Table34[[#This Row],[PDF_initial fee]]</f>
        <v>1</v>
      </c>
      <c r="T5299" s="89"/>
      <c r="U5299" s="26"/>
      <c r="X5299" s="9"/>
    </row>
    <row r="5300" spans="1:28" hidden="1" x14ac:dyDescent="0.25">
      <c r="A5300">
        <v>1007217</v>
      </c>
      <c r="B5300" t="s">
        <v>5688</v>
      </c>
      <c r="C5300" t="s">
        <v>31448</v>
      </c>
      <c r="D5300">
        <v>3</v>
      </c>
      <c r="E5300" t="s">
        <v>5688</v>
      </c>
      <c r="G5300" s="3"/>
      <c r="H5300" s="21">
        <v>0</v>
      </c>
      <c r="I5300" s="21">
        <v>0</v>
      </c>
      <c r="J5300" s="21">
        <v>0</v>
      </c>
      <c r="K5300" s="21">
        <v>0</v>
      </c>
      <c r="L5300" s="3">
        <f t="shared" si="231"/>
        <v>0</v>
      </c>
      <c r="M5300" s="3"/>
      <c r="N5300" s="3">
        <f t="shared" si="232"/>
        <v>0</v>
      </c>
      <c r="R5300" s="89"/>
      <c r="S5300" s="89">
        <f>100%-Table34[[#This Row],[PDF_initial fee]]</f>
        <v>1</v>
      </c>
      <c r="T5300" s="89"/>
      <c r="U5300" s="26"/>
      <c r="X5300" s="9"/>
    </row>
    <row r="5301" spans="1:28" hidden="1" x14ac:dyDescent="0.25">
      <c r="A5301">
        <v>1007218</v>
      </c>
      <c r="B5301" t="s">
        <v>5689</v>
      </c>
      <c r="C5301" t="s">
        <v>10376</v>
      </c>
      <c r="D5301">
        <v>1</v>
      </c>
      <c r="E5301" t="s">
        <v>5689</v>
      </c>
      <c r="G5301" s="3"/>
      <c r="H5301" s="3">
        <v>0</v>
      </c>
      <c r="I5301" s="3">
        <v>0</v>
      </c>
      <c r="J5301" s="3">
        <v>0</v>
      </c>
      <c r="K5301" s="3">
        <v>0</v>
      </c>
      <c r="L5301" s="3">
        <f t="shared" si="231"/>
        <v>0</v>
      </c>
      <c r="M5301" s="3"/>
      <c r="N5301" s="3">
        <f t="shared" si="232"/>
        <v>0</v>
      </c>
      <c r="R5301" s="89"/>
      <c r="S5301" s="89">
        <f>100%-Table34[[#This Row],[PDF_initial fee]]</f>
        <v>1</v>
      </c>
      <c r="T5301" s="89"/>
      <c r="U5301" s="26"/>
      <c r="X5301" s="9"/>
    </row>
    <row r="5302" spans="1:28" hidden="1" x14ac:dyDescent="0.25">
      <c r="A5302">
        <v>1007274</v>
      </c>
      <c r="B5302" t="s">
        <v>5690</v>
      </c>
      <c r="C5302" t="s">
        <v>11796</v>
      </c>
      <c r="D5302">
        <v>2</v>
      </c>
      <c r="E5302" t="s">
        <v>5690</v>
      </c>
      <c r="G5302" s="3"/>
      <c r="H5302" s="3">
        <v>0</v>
      </c>
      <c r="I5302" s="3">
        <v>0</v>
      </c>
      <c r="J5302" s="3">
        <v>0</v>
      </c>
      <c r="K5302" s="3">
        <v>0</v>
      </c>
      <c r="L5302" s="3">
        <f t="shared" si="231"/>
        <v>0</v>
      </c>
      <c r="M5302" s="3"/>
      <c r="N5302" s="3">
        <f t="shared" si="232"/>
        <v>0</v>
      </c>
      <c r="R5302" s="89"/>
      <c r="S5302" s="89">
        <f>100%-Table34[[#This Row],[PDF_initial fee]]</f>
        <v>1</v>
      </c>
      <c r="T5302" s="89"/>
      <c r="U5302" s="26"/>
      <c r="X5302" s="9"/>
    </row>
    <row r="5303" spans="1:28" hidden="1" x14ac:dyDescent="0.25">
      <c r="A5303">
        <v>1007400</v>
      </c>
      <c r="B5303" t="s">
        <v>5691</v>
      </c>
      <c r="C5303" t="s">
        <v>31449</v>
      </c>
      <c r="D5303">
        <v>1</v>
      </c>
      <c r="E5303" t="s">
        <v>5691</v>
      </c>
      <c r="G5303" s="3"/>
      <c r="H5303" s="3">
        <v>0</v>
      </c>
      <c r="I5303" s="3">
        <v>0</v>
      </c>
      <c r="J5303" s="3">
        <v>0</v>
      </c>
      <c r="K5303" s="3">
        <v>0</v>
      </c>
      <c r="L5303" s="3">
        <f t="shared" si="231"/>
        <v>0</v>
      </c>
      <c r="M5303" s="3"/>
      <c r="N5303" s="3">
        <f t="shared" si="232"/>
        <v>0</v>
      </c>
      <c r="R5303" s="89"/>
      <c r="S5303" s="89">
        <f>100%-Table34[[#This Row],[PDF_initial fee]]</f>
        <v>1</v>
      </c>
      <c r="T5303" s="89"/>
      <c r="U5303" s="26"/>
      <c r="X5303" s="9"/>
    </row>
    <row r="5304" spans="1:28" hidden="1" x14ac:dyDescent="0.25">
      <c r="A5304">
        <v>1007473</v>
      </c>
      <c r="B5304" t="s">
        <v>5692</v>
      </c>
      <c r="C5304" s="1" t="s">
        <v>31450</v>
      </c>
      <c r="D5304">
        <v>14</v>
      </c>
      <c r="E5304" t="s">
        <v>5692</v>
      </c>
      <c r="G5304" s="3"/>
      <c r="H5304" s="21">
        <v>0</v>
      </c>
      <c r="I5304" s="21">
        <v>0</v>
      </c>
      <c r="J5304" s="21">
        <v>0</v>
      </c>
      <c r="K5304" s="21">
        <v>0</v>
      </c>
      <c r="L5304" s="3">
        <f t="shared" si="231"/>
        <v>0</v>
      </c>
      <c r="M5304" s="3"/>
      <c r="N5304" s="3">
        <f t="shared" si="232"/>
        <v>0</v>
      </c>
      <c r="O5304" s="21"/>
      <c r="R5304" s="89"/>
      <c r="S5304" s="89">
        <f>100%-Table34[[#This Row],[PDF_initial fee]]</f>
        <v>1</v>
      </c>
      <c r="T5304" s="89"/>
      <c r="U5304" s="26"/>
      <c r="X5304" s="9"/>
    </row>
    <row r="5305" spans="1:28" hidden="1" x14ac:dyDescent="0.25">
      <c r="A5305">
        <v>1007625</v>
      </c>
      <c r="B5305" t="s">
        <v>5693</v>
      </c>
      <c r="C5305" t="s">
        <v>6958</v>
      </c>
      <c r="D5305">
        <v>0</v>
      </c>
      <c r="E5305" t="s">
        <v>5693</v>
      </c>
      <c r="F5305" t="s">
        <v>6958</v>
      </c>
      <c r="G5305" s="3"/>
      <c r="L5305" s="3">
        <f t="shared" si="231"/>
        <v>0</v>
      </c>
      <c r="M5305" s="3"/>
      <c r="N5305" s="3">
        <f t="shared" si="232"/>
        <v>0</v>
      </c>
      <c r="R5305" s="89"/>
      <c r="S5305" s="89">
        <f>100%-Table34[[#This Row],[PDF_initial fee]]</f>
        <v>1</v>
      </c>
      <c r="T5305" s="89"/>
      <c r="U5305" s="26"/>
      <c r="X5305" s="9"/>
    </row>
    <row r="5306" spans="1:28" hidden="1" x14ac:dyDescent="0.25">
      <c r="A5306">
        <v>1007669</v>
      </c>
      <c r="B5306" t="s">
        <v>5694</v>
      </c>
      <c r="C5306" t="s">
        <v>31451</v>
      </c>
      <c r="D5306">
        <v>1</v>
      </c>
      <c r="E5306" t="s">
        <v>5694</v>
      </c>
      <c r="G5306" s="3"/>
      <c r="H5306" s="3">
        <v>0</v>
      </c>
      <c r="I5306" s="3">
        <v>0</v>
      </c>
      <c r="J5306" s="3">
        <v>0</v>
      </c>
      <c r="K5306" s="3">
        <v>0</v>
      </c>
      <c r="L5306" s="3">
        <f t="shared" si="231"/>
        <v>0</v>
      </c>
      <c r="M5306" s="3"/>
      <c r="N5306" s="3">
        <f t="shared" si="232"/>
        <v>0</v>
      </c>
      <c r="R5306" s="89"/>
      <c r="S5306" s="89">
        <f>100%-Table34[[#This Row],[PDF_initial fee]]</f>
        <v>1</v>
      </c>
      <c r="T5306" s="89"/>
      <c r="U5306" s="26"/>
      <c r="X5306" s="9"/>
    </row>
    <row r="5307" spans="1:28" hidden="1" x14ac:dyDescent="0.25">
      <c r="A5307">
        <v>1008239</v>
      </c>
      <c r="B5307" t="s">
        <v>5695</v>
      </c>
      <c r="C5307" t="s">
        <v>7086</v>
      </c>
      <c r="D5307">
        <v>1</v>
      </c>
      <c r="E5307" t="s">
        <v>5695</v>
      </c>
      <c r="G5307" s="3"/>
      <c r="L5307" s="3">
        <f t="shared" si="231"/>
        <v>0</v>
      </c>
      <c r="M5307" s="3"/>
      <c r="N5307" s="3">
        <f t="shared" si="232"/>
        <v>0</v>
      </c>
      <c r="R5307" s="89"/>
      <c r="S5307" s="89">
        <f>100%-Table34[[#This Row],[PDF_initial fee]]</f>
        <v>1</v>
      </c>
      <c r="T5307" s="89"/>
      <c r="U5307" s="26"/>
      <c r="X5307" s="9"/>
    </row>
    <row r="5308" spans="1:28" x14ac:dyDescent="0.25">
      <c r="A5308">
        <v>938369</v>
      </c>
      <c r="B5308" t="s">
        <v>336</v>
      </c>
      <c r="C5308" t="s">
        <v>31452</v>
      </c>
      <c r="D5308">
        <v>3</v>
      </c>
      <c r="E5308" t="s">
        <v>336</v>
      </c>
      <c r="F5308" t="s">
        <v>3</v>
      </c>
      <c r="G5308" s="3">
        <v>1.4E-3</v>
      </c>
      <c r="H5308" s="3">
        <v>2.5000000000000001E-2</v>
      </c>
      <c r="I5308" s="3">
        <v>7.4999999999999997E-3</v>
      </c>
      <c r="J5308" s="6"/>
      <c r="K5308" s="6"/>
      <c r="L5308" s="3">
        <f t="shared" si="231"/>
        <v>3.2500000000000001E-2</v>
      </c>
      <c r="M5308" s="3"/>
      <c r="N5308" s="3">
        <f t="shared" si="232"/>
        <v>3.39E-2</v>
      </c>
      <c r="O5308" t="s">
        <v>31453</v>
      </c>
      <c r="P5308" s="31" t="s">
        <v>31454</v>
      </c>
      <c r="Q5308" t="s">
        <v>31787</v>
      </c>
      <c r="R5308" s="89">
        <v>0.33333333333333348</v>
      </c>
      <c r="S5308" s="89">
        <f>100%-Table34[[#This Row],[InitialFee]]</f>
        <v>0.97499999999999998</v>
      </c>
      <c r="T5308" s="89">
        <f>(1-Table34[[#This Row],[OngoingFee (plus Platform fee)]])^5</f>
        <v>0.9630582970465823</v>
      </c>
      <c r="U5308" s="26">
        <f>(1+Table34[[#This Row],[Net 5yrs return (mostly up to 28th of Feb 2026)]])*Table34[[#This Row],[Investment after initial charge]]*Table34[[#This Row],[Cummulative 5yrs ongoing advice charge]]-1</f>
        <v>0.25197578616055694</v>
      </c>
      <c r="V5308">
        <f>77098+67195</f>
        <v>144293</v>
      </c>
      <c r="W5308" t="s">
        <v>29051</v>
      </c>
      <c r="X5308" s="9">
        <v>77098</v>
      </c>
      <c r="Y5308" s="30">
        <f>X5308/V5308</f>
        <v>0.53431559396505723</v>
      </c>
      <c r="AA5308" s="1" t="s">
        <v>31455</v>
      </c>
    </row>
    <row r="5309" spans="1:28" hidden="1" x14ac:dyDescent="0.25">
      <c r="A5309">
        <v>1008798</v>
      </c>
      <c r="B5309" t="s">
        <v>5696</v>
      </c>
      <c r="C5309" t="s">
        <v>31456</v>
      </c>
      <c r="D5309">
        <v>3</v>
      </c>
      <c r="E5309" t="s">
        <v>5696</v>
      </c>
      <c r="G5309" s="3"/>
      <c r="H5309" s="21">
        <v>0</v>
      </c>
      <c r="I5309" s="21">
        <v>0</v>
      </c>
      <c r="J5309" s="21">
        <v>0</v>
      </c>
      <c r="K5309" s="21">
        <v>0</v>
      </c>
      <c r="L5309" s="3">
        <f t="shared" si="231"/>
        <v>0</v>
      </c>
      <c r="M5309" s="3"/>
      <c r="N5309" s="3">
        <f t="shared" si="232"/>
        <v>0</v>
      </c>
      <c r="O5309" s="21"/>
      <c r="R5309" s="89"/>
      <c r="S5309" s="89">
        <f>100%-Table34[[#This Row],[PDF_initial fee]]</f>
        <v>1</v>
      </c>
      <c r="T5309" s="89"/>
      <c r="U5309" s="26"/>
      <c r="X5309" s="9"/>
    </row>
    <row r="5310" spans="1:28" hidden="1" x14ac:dyDescent="0.25">
      <c r="A5310">
        <v>1009145</v>
      </c>
      <c r="B5310" t="s">
        <v>5697</v>
      </c>
      <c r="C5310" t="s">
        <v>31457</v>
      </c>
      <c r="D5310">
        <v>1</v>
      </c>
      <c r="E5310" t="s">
        <v>5697</v>
      </c>
      <c r="G5310" s="3"/>
      <c r="H5310" s="21">
        <v>0</v>
      </c>
      <c r="I5310" s="21">
        <v>0</v>
      </c>
      <c r="J5310" s="21">
        <v>0</v>
      </c>
      <c r="K5310" s="21">
        <v>0</v>
      </c>
      <c r="L5310" s="3">
        <f t="shared" si="231"/>
        <v>0</v>
      </c>
      <c r="M5310" s="3"/>
      <c r="N5310" s="3">
        <f t="shared" si="232"/>
        <v>0</v>
      </c>
      <c r="O5310" s="21"/>
      <c r="R5310" s="89"/>
      <c r="S5310" s="89">
        <f>100%-Table34[[#This Row],[PDF_initial fee]]</f>
        <v>1</v>
      </c>
      <c r="T5310" s="89"/>
      <c r="U5310" s="26"/>
      <c r="X5310" s="9"/>
    </row>
    <row r="5311" spans="1:28" hidden="1" x14ac:dyDescent="0.25">
      <c r="A5311">
        <v>1009438</v>
      </c>
      <c r="B5311" t="s">
        <v>5698</v>
      </c>
      <c r="C5311" t="s">
        <v>6958</v>
      </c>
      <c r="D5311">
        <v>2</v>
      </c>
      <c r="E5311" t="s">
        <v>5698</v>
      </c>
      <c r="F5311" t="s">
        <v>6958</v>
      </c>
      <c r="G5311" s="3"/>
      <c r="H5311" s="21">
        <v>0</v>
      </c>
      <c r="I5311" s="21">
        <v>0</v>
      </c>
      <c r="J5311" s="21">
        <v>0</v>
      </c>
      <c r="K5311" s="21">
        <v>0</v>
      </c>
      <c r="L5311" s="3">
        <f t="shared" si="231"/>
        <v>0</v>
      </c>
      <c r="M5311" s="3"/>
      <c r="N5311" s="3">
        <f t="shared" si="232"/>
        <v>0</v>
      </c>
      <c r="R5311" s="89"/>
      <c r="S5311" s="89">
        <f>100%-Table34[[#This Row],[PDF_initial fee]]</f>
        <v>1</v>
      </c>
      <c r="T5311" s="89"/>
      <c r="U5311" s="26"/>
      <c r="X5311" s="9"/>
    </row>
    <row r="5312" spans="1:28" hidden="1" x14ac:dyDescent="0.25">
      <c r="A5312">
        <v>1013370</v>
      </c>
      <c r="B5312" t="s">
        <v>5700</v>
      </c>
      <c r="C5312" t="s">
        <v>6958</v>
      </c>
      <c r="D5312">
        <v>1</v>
      </c>
      <c r="E5312" t="s">
        <v>5700</v>
      </c>
      <c r="F5312" t="s">
        <v>6958</v>
      </c>
      <c r="G5312" s="3"/>
      <c r="L5312" s="3">
        <f t="shared" si="231"/>
        <v>0</v>
      </c>
      <c r="M5312" s="3"/>
      <c r="N5312" s="3">
        <f t="shared" si="232"/>
        <v>0</v>
      </c>
      <c r="R5312" s="89"/>
      <c r="S5312" s="89">
        <f>100%-Table34[[#This Row],[PDF_initial fee]]</f>
        <v>1</v>
      </c>
      <c r="T5312" s="89"/>
      <c r="U5312" s="26"/>
      <c r="X5312" s="9"/>
    </row>
    <row r="5313" spans="1:30" x14ac:dyDescent="0.25">
      <c r="A5313">
        <v>114610</v>
      </c>
      <c r="B5313" t="s">
        <v>9</v>
      </c>
      <c r="C5313" s="1" t="s">
        <v>31458</v>
      </c>
      <c r="D5313">
        <v>6</v>
      </c>
      <c r="E5313" t="s">
        <v>9</v>
      </c>
      <c r="F5313" t="s">
        <v>3</v>
      </c>
      <c r="G5313" s="3">
        <v>1.4E-3</v>
      </c>
      <c r="H5313" s="3">
        <v>0.01</v>
      </c>
      <c r="I5313" s="3">
        <v>0.01</v>
      </c>
      <c r="J5313" s="6">
        <v>0</v>
      </c>
      <c r="K5313" s="6">
        <v>0</v>
      </c>
      <c r="L5313" s="3">
        <f t="shared" si="231"/>
        <v>0.02</v>
      </c>
      <c r="M5313" s="3"/>
      <c r="N5313" s="3">
        <f t="shared" si="232"/>
        <v>2.1399999999999999E-2</v>
      </c>
      <c r="P5313" s="1" t="s">
        <v>31459</v>
      </c>
      <c r="Q5313" t="s">
        <v>31787</v>
      </c>
      <c r="R5313" s="89">
        <v>0.33333333333333348</v>
      </c>
      <c r="S5313" s="89">
        <f>100%-Table34[[#This Row],[InitialFee]]</f>
        <v>0.99</v>
      </c>
      <c r="T5313" s="89">
        <f>(1-Table34[[#This Row],[OngoingFee (plus Platform fee)]])^5</f>
        <v>0.95099004989999991</v>
      </c>
      <c r="U5313" s="26">
        <f>(1+Table34[[#This Row],[Net 5yrs return (mostly up to 28th of Feb 2026)]])*Table34[[#This Row],[Investment after initial charge]]*Table34[[#This Row],[Cummulative 5yrs ongoing advice charge]]-1</f>
        <v>0.255306865868</v>
      </c>
      <c r="V5313" s="9">
        <v>199171</v>
      </c>
      <c r="W5313" s="10" t="s">
        <v>29051</v>
      </c>
      <c r="X5313" s="10">
        <v>199794</v>
      </c>
      <c r="Y5313" s="91">
        <f>X5313/V5313</f>
        <v>1.0031279654166521</v>
      </c>
      <c r="AA5313" s="1" t="s">
        <v>31460</v>
      </c>
    </row>
    <row r="5314" spans="1:30" x14ac:dyDescent="0.25">
      <c r="A5314">
        <v>121712</v>
      </c>
      <c r="B5314" t="s">
        <v>22</v>
      </c>
      <c r="C5314" s="1" t="s">
        <v>31461</v>
      </c>
      <c r="D5314">
        <v>8</v>
      </c>
      <c r="E5314" t="s">
        <v>22</v>
      </c>
      <c r="F5314" t="s">
        <v>3</v>
      </c>
      <c r="G5314" s="3">
        <v>1.4E-3</v>
      </c>
      <c r="H5314" s="3">
        <f>3.495%+0.995%</f>
        <v>4.4900000000000002E-2</v>
      </c>
      <c r="I5314" s="3">
        <v>7.4999999999999997E-3</v>
      </c>
      <c r="J5314" s="6">
        <v>0</v>
      </c>
      <c r="K5314" s="6">
        <v>0</v>
      </c>
      <c r="L5314" s="3">
        <f t="shared" si="231"/>
        <v>5.2400000000000002E-2</v>
      </c>
      <c r="M5314" s="3"/>
      <c r="N5314" s="3">
        <f t="shared" si="232"/>
        <v>5.3800000000000001E-2</v>
      </c>
      <c r="P5314" s="1" t="s">
        <v>31462</v>
      </c>
      <c r="Q5314" t="s">
        <v>31787</v>
      </c>
      <c r="R5314" s="89">
        <v>0.33333333333333348</v>
      </c>
      <c r="S5314" s="89">
        <f>100%-Table34[[#This Row],[InitialFee]]</f>
        <v>0.95509999999999995</v>
      </c>
      <c r="T5314" s="89">
        <f>(1-Table34[[#This Row],[OngoingFee (plus Platform fee)]])^5</f>
        <v>0.9630582970465823</v>
      </c>
      <c r="U5314" s="26">
        <f>(1+Table34[[#This Row],[Net 5yrs return (mostly up to 28th of Feb 2026)]])*Table34[[#This Row],[Investment after initial charge]]*Table34[[#This Row],[Cummulative 5yrs ongoing advice charge]]-1</f>
        <v>0.22642263934558771</v>
      </c>
      <c r="V5314">
        <v>190420</v>
      </c>
      <c r="W5314" t="s">
        <v>29051</v>
      </c>
      <c r="X5314" s="10">
        <v>161700</v>
      </c>
      <c r="Y5314" s="30">
        <f>X5314/V5314</f>
        <v>0.84917550677449849</v>
      </c>
      <c r="AA5314" s="1" t="s">
        <v>31463</v>
      </c>
      <c r="AB5314" t="s">
        <v>29302</v>
      </c>
    </row>
    <row r="5315" spans="1:30" hidden="1" x14ac:dyDescent="0.25">
      <c r="A5315">
        <v>120776</v>
      </c>
      <c r="B5315" t="s">
        <v>482</v>
      </c>
      <c r="C5315" s="1" t="s">
        <v>31464</v>
      </c>
      <c r="D5315">
        <v>23</v>
      </c>
      <c r="E5315" t="s">
        <v>482</v>
      </c>
      <c r="F5315" t="s">
        <v>31465</v>
      </c>
      <c r="G5315" s="3"/>
      <c r="H5315" s="3"/>
      <c r="I5315" s="3"/>
      <c r="J5315" s="3"/>
      <c r="K5315" s="3"/>
      <c r="L5315" s="3">
        <f t="shared" si="231"/>
        <v>0</v>
      </c>
      <c r="M5315" s="3"/>
      <c r="N5315" s="3">
        <f t="shared" si="232"/>
        <v>0</v>
      </c>
      <c r="R5315" s="89"/>
      <c r="S5315" s="89">
        <f>100%-Table34[[#This Row],[PDF_initial fee]]</f>
        <v>1</v>
      </c>
      <c r="T5315" s="89"/>
      <c r="U5315" s="26"/>
      <c r="X5315" s="9"/>
    </row>
    <row r="5316" spans="1:30" x14ac:dyDescent="0.25">
      <c r="A5316">
        <v>712096</v>
      </c>
      <c r="B5316" t="s">
        <v>273</v>
      </c>
      <c r="C5316" t="s">
        <v>31466</v>
      </c>
      <c r="D5316">
        <v>2</v>
      </c>
      <c r="E5316" t="s">
        <v>273</v>
      </c>
      <c r="F5316" t="s">
        <v>3</v>
      </c>
      <c r="G5316" s="3">
        <v>1.4E-3</v>
      </c>
      <c r="H5316" s="3"/>
      <c r="I5316" s="3"/>
      <c r="J5316" s="6">
        <v>0</v>
      </c>
      <c r="K5316" s="6">
        <v>4.7999999999999996E-3</v>
      </c>
      <c r="L5316" s="6">
        <f t="shared" si="231"/>
        <v>4.7999999999999996E-3</v>
      </c>
      <c r="M5316" s="6"/>
      <c r="N5316" s="3">
        <f t="shared" si="232"/>
        <v>6.1999999999999998E-3</v>
      </c>
      <c r="O5316" t="s">
        <v>31467</v>
      </c>
      <c r="P5316" s="1" t="s">
        <v>31466</v>
      </c>
      <c r="Q5316" t="s">
        <v>31787</v>
      </c>
      <c r="R5316" s="89">
        <v>0.33333333333333348</v>
      </c>
      <c r="S5316" s="99">
        <f>100%-Table34[[#This Row],[InitialFee]]</f>
        <v>1</v>
      </c>
      <c r="T5316" s="89">
        <f>(1-Table34[[#This Row],[PDF ongoing fee]])^5</f>
        <v>0.97622929673165981</v>
      </c>
      <c r="U5316" s="26">
        <f>(1+Table34[[#This Row],[Net 5yrs return (mostly up to 28th of Feb 2026)]])*Table34[[#This Row],[Investment after initial charge]]*Table34[[#This Row],[Cummulative 5yrs ongoing advice charge]]-1</f>
        <v>0.30163906230887982</v>
      </c>
      <c r="V5316">
        <f>34946+17381</f>
        <v>52327</v>
      </c>
      <c r="W5316" t="s">
        <v>29051</v>
      </c>
      <c r="X5316" s="9">
        <v>34946</v>
      </c>
      <c r="Y5316" s="30">
        <f>X5316/V5316</f>
        <v>0.6678387830374376</v>
      </c>
      <c r="AA5316" s="1" t="s">
        <v>31468</v>
      </c>
      <c r="AC5316" t="s">
        <v>29329</v>
      </c>
    </row>
    <row r="5317" spans="1:30" hidden="1" x14ac:dyDescent="0.25">
      <c r="A5317">
        <v>150321</v>
      </c>
      <c r="B5317" t="s">
        <v>807</v>
      </c>
      <c r="C5317" s="1" t="s">
        <v>7813</v>
      </c>
      <c r="D5317" s="1">
        <v>4</v>
      </c>
      <c r="E5317" t="s">
        <v>807</v>
      </c>
      <c r="F5317" t="s">
        <v>31465</v>
      </c>
      <c r="G5317" s="3"/>
      <c r="H5317" s="3"/>
      <c r="I5317" s="3"/>
      <c r="J5317" s="3"/>
      <c r="K5317" s="3"/>
      <c r="L5317" s="3">
        <f t="shared" si="231"/>
        <v>0</v>
      </c>
      <c r="M5317" s="3"/>
      <c r="N5317" s="3">
        <f t="shared" si="232"/>
        <v>0</v>
      </c>
      <c r="S5317" s="89">
        <f>100%-Table34[[#This Row],[PDF_initial fee]]</f>
        <v>1</v>
      </c>
      <c r="T5317" s="89"/>
      <c r="X5317" s="9"/>
    </row>
    <row r="5318" spans="1:30" hidden="1" x14ac:dyDescent="0.25">
      <c r="A5318">
        <v>189954</v>
      </c>
      <c r="B5318" t="s">
        <v>1023</v>
      </c>
      <c r="C5318" t="s">
        <v>31469</v>
      </c>
      <c r="D5318" s="1">
        <v>6</v>
      </c>
      <c r="E5318" t="s">
        <v>1023</v>
      </c>
      <c r="G5318" s="3"/>
      <c r="H5318" s="3">
        <v>0</v>
      </c>
      <c r="I5318" s="3">
        <v>0</v>
      </c>
      <c r="J5318" s="3">
        <v>0</v>
      </c>
      <c r="K5318" s="3">
        <v>0</v>
      </c>
      <c r="L5318" s="3">
        <f t="shared" si="231"/>
        <v>0</v>
      </c>
      <c r="M5318" s="3"/>
      <c r="N5318" s="3">
        <f t="shared" si="232"/>
        <v>0</v>
      </c>
      <c r="O5318" s="3"/>
      <c r="S5318" s="89">
        <f>100%-Table34[[#This Row],[PDF_initial fee]]</f>
        <v>1</v>
      </c>
      <c r="T5318" s="89"/>
      <c r="X5318" s="9"/>
      <c r="AD5318" s="3">
        <f ca="1">SUBTOTAL(1,L2:L5316)</f>
        <v>3.0830424528301908E-2</v>
      </c>
    </row>
    <row r="5319" spans="1:30" hidden="1" x14ac:dyDescent="0.25">
      <c r="A5319">
        <v>139256</v>
      </c>
      <c r="B5319" t="s">
        <v>681</v>
      </c>
      <c r="C5319" t="s">
        <v>31470</v>
      </c>
      <c r="D5319" s="1">
        <v>1</v>
      </c>
      <c r="E5319" t="s">
        <v>681</v>
      </c>
      <c r="G5319" s="3"/>
      <c r="H5319" s="3">
        <v>0</v>
      </c>
      <c r="I5319" s="3">
        <v>0</v>
      </c>
      <c r="J5319" s="3">
        <v>0</v>
      </c>
      <c r="K5319" s="3">
        <v>0</v>
      </c>
      <c r="L5319" s="3">
        <f t="shared" ref="L5319:L5350" si="233">SUM(H5319:K5319)</f>
        <v>0</v>
      </c>
      <c r="M5319" s="3"/>
      <c r="N5319" s="3">
        <f t="shared" ref="N5319:N5354" si="234">L5319+G5319</f>
        <v>0</v>
      </c>
      <c r="O5319" s="3"/>
      <c r="S5319" s="89">
        <f>100%-Table34[[#This Row],[PDF_initial fee]]</f>
        <v>1</v>
      </c>
      <c r="T5319" s="89"/>
      <c r="X5319" s="9"/>
    </row>
    <row r="5320" spans="1:30" hidden="1" x14ac:dyDescent="0.25">
      <c r="A5320">
        <v>190792</v>
      </c>
      <c r="B5320" t="s">
        <v>1041</v>
      </c>
      <c r="C5320" t="s">
        <v>31471</v>
      </c>
      <c r="D5320" s="1">
        <v>2</v>
      </c>
      <c r="E5320" t="s">
        <v>1041</v>
      </c>
      <c r="G5320" s="3"/>
      <c r="H5320" s="3">
        <v>0</v>
      </c>
      <c r="I5320" s="3">
        <v>0</v>
      </c>
      <c r="J5320" s="3">
        <v>0</v>
      </c>
      <c r="K5320" s="3">
        <v>0</v>
      </c>
      <c r="L5320" s="3">
        <f t="shared" si="233"/>
        <v>0</v>
      </c>
      <c r="M5320" s="3"/>
      <c r="N5320" s="3">
        <f t="shared" si="234"/>
        <v>0</v>
      </c>
      <c r="O5320" s="3"/>
      <c r="S5320" s="89">
        <f>100%-Table34[[#This Row],[PDF_initial fee]]</f>
        <v>1</v>
      </c>
      <c r="T5320" s="89"/>
      <c r="X5320" s="9"/>
    </row>
    <row r="5321" spans="1:30" hidden="1" x14ac:dyDescent="0.25">
      <c r="A5321">
        <v>150269</v>
      </c>
      <c r="B5321" t="s">
        <v>804</v>
      </c>
      <c r="C5321" t="s">
        <v>31472</v>
      </c>
      <c r="D5321" s="1">
        <v>1</v>
      </c>
      <c r="E5321" t="s">
        <v>804</v>
      </c>
      <c r="G5321" s="3"/>
      <c r="H5321" s="3">
        <v>0</v>
      </c>
      <c r="I5321" s="3">
        <v>0</v>
      </c>
      <c r="J5321" s="3">
        <v>0</v>
      </c>
      <c r="K5321" s="3">
        <v>0</v>
      </c>
      <c r="L5321" s="3">
        <f t="shared" si="233"/>
        <v>0</v>
      </c>
      <c r="M5321" s="3"/>
      <c r="N5321" s="3">
        <f t="shared" si="234"/>
        <v>0</v>
      </c>
      <c r="O5321" s="3"/>
      <c r="S5321" s="89">
        <f>100%-Table34[[#This Row],[PDF_initial fee]]</f>
        <v>1</v>
      </c>
      <c r="T5321" s="89"/>
      <c r="X5321" s="9"/>
    </row>
    <row r="5322" spans="1:30" hidden="1" x14ac:dyDescent="0.25">
      <c r="A5322">
        <v>189227</v>
      </c>
      <c r="B5322" t="s">
        <v>1014</v>
      </c>
      <c r="C5322" t="s">
        <v>31473</v>
      </c>
      <c r="D5322" s="1">
        <v>0</v>
      </c>
      <c r="E5322" t="s">
        <v>1014</v>
      </c>
      <c r="F5322" t="s">
        <v>29114</v>
      </c>
      <c r="G5322" s="3"/>
      <c r="H5322" s="3">
        <v>0</v>
      </c>
      <c r="I5322" s="3">
        <v>0</v>
      </c>
      <c r="J5322" s="3">
        <v>0</v>
      </c>
      <c r="K5322" s="3">
        <v>0</v>
      </c>
      <c r="L5322" s="3">
        <f t="shared" si="233"/>
        <v>0</v>
      </c>
      <c r="M5322" s="3"/>
      <c r="N5322" s="3">
        <f t="shared" si="234"/>
        <v>0</v>
      </c>
      <c r="O5322" s="3"/>
      <c r="S5322" s="89">
        <f>100%-Table34[[#This Row],[PDF_initial fee]]</f>
        <v>1</v>
      </c>
      <c r="T5322" s="89"/>
      <c r="X5322" s="9"/>
    </row>
    <row r="5323" spans="1:30" hidden="1" x14ac:dyDescent="0.25">
      <c r="A5323">
        <v>191857</v>
      </c>
      <c r="B5323" t="s">
        <v>1061</v>
      </c>
      <c r="C5323" t="s">
        <v>31474</v>
      </c>
      <c r="D5323" s="1">
        <v>1</v>
      </c>
      <c r="E5323" t="s">
        <v>1061</v>
      </c>
      <c r="G5323" s="3"/>
      <c r="H5323" s="3">
        <v>0</v>
      </c>
      <c r="I5323" s="3">
        <v>0</v>
      </c>
      <c r="J5323" s="3">
        <v>0</v>
      </c>
      <c r="K5323" s="3">
        <v>0</v>
      </c>
      <c r="L5323" s="3">
        <f t="shared" si="233"/>
        <v>0</v>
      </c>
      <c r="M5323" s="3"/>
      <c r="N5323" s="3">
        <f t="shared" si="234"/>
        <v>0</v>
      </c>
      <c r="O5323" s="3"/>
      <c r="S5323" s="89">
        <f>100%-Table34[[#This Row],[PDF_initial fee]]</f>
        <v>1</v>
      </c>
      <c r="T5323" s="89"/>
      <c r="X5323" s="9"/>
    </row>
    <row r="5324" spans="1:30" hidden="1" x14ac:dyDescent="0.25">
      <c r="A5324">
        <v>142806</v>
      </c>
      <c r="B5324" t="s">
        <v>701</v>
      </c>
      <c r="C5324" t="s">
        <v>31475</v>
      </c>
      <c r="D5324" s="1">
        <v>2</v>
      </c>
      <c r="E5324" t="s">
        <v>701</v>
      </c>
      <c r="G5324" s="3"/>
      <c r="H5324" s="3">
        <v>0</v>
      </c>
      <c r="I5324" s="3">
        <v>0</v>
      </c>
      <c r="J5324" s="3">
        <v>0</v>
      </c>
      <c r="K5324" s="3">
        <v>0</v>
      </c>
      <c r="L5324" s="3">
        <f t="shared" si="233"/>
        <v>0</v>
      </c>
      <c r="M5324" s="3"/>
      <c r="N5324" s="3">
        <f t="shared" si="234"/>
        <v>0</v>
      </c>
      <c r="O5324" s="3"/>
      <c r="S5324" s="89">
        <f>100%-Table34[[#This Row],[PDF_initial fee]]</f>
        <v>1</v>
      </c>
      <c r="T5324" s="89"/>
      <c r="X5324" s="9"/>
    </row>
    <row r="5325" spans="1:30" hidden="1" x14ac:dyDescent="0.25">
      <c r="A5325">
        <v>171279</v>
      </c>
      <c r="B5325" t="s">
        <v>893</v>
      </c>
      <c r="C5325" t="s">
        <v>31476</v>
      </c>
      <c r="D5325" s="1">
        <v>5</v>
      </c>
      <c r="E5325" t="s">
        <v>893</v>
      </c>
      <c r="G5325" s="3"/>
      <c r="H5325" s="3">
        <v>0</v>
      </c>
      <c r="I5325" s="3">
        <v>0</v>
      </c>
      <c r="J5325" s="3">
        <v>0</v>
      </c>
      <c r="K5325" s="3">
        <v>0</v>
      </c>
      <c r="L5325" s="3">
        <f t="shared" si="233"/>
        <v>0</v>
      </c>
      <c r="M5325" s="3"/>
      <c r="N5325" s="3">
        <f t="shared" si="234"/>
        <v>0</v>
      </c>
      <c r="O5325" s="3"/>
      <c r="S5325" s="89">
        <f>100%-Table34[[#This Row],[PDF_initial fee]]</f>
        <v>1</v>
      </c>
      <c r="T5325" s="89"/>
      <c r="X5325" s="9"/>
    </row>
    <row r="5326" spans="1:30" hidden="1" x14ac:dyDescent="0.25">
      <c r="A5326">
        <v>196146</v>
      </c>
      <c r="B5326" t="s">
        <v>1125</v>
      </c>
      <c r="C5326" t="s">
        <v>31477</v>
      </c>
      <c r="D5326" s="1">
        <v>1</v>
      </c>
      <c r="E5326" t="s">
        <v>1125</v>
      </c>
      <c r="G5326" s="3"/>
      <c r="H5326" s="3">
        <v>0</v>
      </c>
      <c r="I5326" s="3">
        <v>0</v>
      </c>
      <c r="J5326" s="3">
        <v>0</v>
      </c>
      <c r="K5326" s="3">
        <v>0</v>
      </c>
      <c r="L5326" s="3">
        <f t="shared" si="233"/>
        <v>0</v>
      </c>
      <c r="M5326" s="3"/>
      <c r="N5326" s="3">
        <f t="shared" si="234"/>
        <v>0</v>
      </c>
      <c r="O5326" s="3"/>
      <c r="S5326" s="89">
        <f>100%-Table34[[#This Row],[PDF_initial fee]]</f>
        <v>1</v>
      </c>
      <c r="T5326" s="89"/>
      <c r="X5326" s="9"/>
    </row>
    <row r="5327" spans="1:30" hidden="1" x14ac:dyDescent="0.25">
      <c r="A5327">
        <v>208330</v>
      </c>
      <c r="B5327" t="s">
        <v>1196</v>
      </c>
      <c r="C5327" t="s">
        <v>31478</v>
      </c>
      <c r="D5327" s="1">
        <v>0</v>
      </c>
      <c r="E5327" t="s">
        <v>1196</v>
      </c>
      <c r="F5327" t="s">
        <v>31479</v>
      </c>
      <c r="G5327" s="3"/>
      <c r="H5327" s="3">
        <v>0</v>
      </c>
      <c r="I5327" s="3">
        <v>0</v>
      </c>
      <c r="J5327" s="3">
        <v>0</v>
      </c>
      <c r="K5327" s="3">
        <v>0</v>
      </c>
      <c r="L5327" s="3">
        <f t="shared" si="233"/>
        <v>0</v>
      </c>
      <c r="M5327" s="3"/>
      <c r="N5327" s="3">
        <f t="shared" si="234"/>
        <v>0</v>
      </c>
      <c r="O5327" s="3"/>
      <c r="S5327" s="89">
        <f>100%-Table34[[#This Row],[PDF_initial fee]]</f>
        <v>1</v>
      </c>
      <c r="T5327" s="89"/>
      <c r="X5327" s="9"/>
    </row>
    <row r="5328" spans="1:30" hidden="1" x14ac:dyDescent="0.25">
      <c r="A5328">
        <v>209539</v>
      </c>
      <c r="B5328" t="s">
        <v>1213</v>
      </c>
      <c r="C5328" t="s">
        <v>31480</v>
      </c>
      <c r="D5328" s="1">
        <v>1</v>
      </c>
      <c r="E5328" t="s">
        <v>1213</v>
      </c>
      <c r="G5328" s="3"/>
      <c r="H5328" s="3">
        <v>0</v>
      </c>
      <c r="I5328" s="3">
        <v>0</v>
      </c>
      <c r="J5328" s="3">
        <v>0</v>
      </c>
      <c r="K5328" s="3">
        <v>0</v>
      </c>
      <c r="L5328" s="3">
        <f t="shared" si="233"/>
        <v>0</v>
      </c>
      <c r="M5328" s="3"/>
      <c r="N5328" s="3">
        <f t="shared" si="234"/>
        <v>0</v>
      </c>
      <c r="O5328" s="3"/>
      <c r="S5328" s="89">
        <f>100%-Table34[[#This Row],[PDF_initial fee]]</f>
        <v>1</v>
      </c>
      <c r="T5328" s="89"/>
      <c r="X5328" s="9"/>
    </row>
    <row r="5329" spans="1:24" hidden="1" x14ac:dyDescent="0.25">
      <c r="A5329">
        <v>142402</v>
      </c>
      <c r="B5329" t="s">
        <v>694</v>
      </c>
      <c r="C5329" t="s">
        <v>31481</v>
      </c>
      <c r="D5329" s="1">
        <v>0</v>
      </c>
      <c r="E5329" t="s">
        <v>694</v>
      </c>
      <c r="F5329" t="s">
        <v>31465</v>
      </c>
      <c r="G5329" s="3"/>
      <c r="H5329" s="3">
        <v>0</v>
      </c>
      <c r="I5329" s="3">
        <v>0</v>
      </c>
      <c r="J5329" s="3">
        <v>0</v>
      </c>
      <c r="K5329" s="3">
        <v>0</v>
      </c>
      <c r="L5329" s="3">
        <f t="shared" si="233"/>
        <v>0</v>
      </c>
      <c r="M5329" s="3"/>
      <c r="N5329" s="3">
        <f t="shared" si="234"/>
        <v>0</v>
      </c>
      <c r="O5329" s="3"/>
      <c r="S5329" s="89">
        <f>100%-Table34[[#This Row],[PDF_initial fee]]</f>
        <v>1</v>
      </c>
      <c r="T5329" s="89"/>
      <c r="X5329" s="9"/>
    </row>
    <row r="5330" spans="1:24" hidden="1" x14ac:dyDescent="0.25">
      <c r="A5330">
        <v>204650</v>
      </c>
      <c r="B5330" t="s">
        <v>1174</v>
      </c>
      <c r="C5330" t="s">
        <v>31482</v>
      </c>
      <c r="D5330" s="1">
        <v>6</v>
      </c>
      <c r="E5330" t="s">
        <v>1174</v>
      </c>
      <c r="G5330" s="3"/>
      <c r="H5330" s="3"/>
      <c r="I5330" s="3"/>
      <c r="J5330" s="3"/>
      <c r="K5330" s="3"/>
      <c r="L5330" s="3">
        <f t="shared" si="233"/>
        <v>0</v>
      </c>
      <c r="M5330" s="3"/>
      <c r="N5330" s="3">
        <f t="shared" si="234"/>
        <v>0</v>
      </c>
      <c r="O5330" s="3"/>
      <c r="S5330" s="89">
        <f>100%-Table34[[#This Row],[PDF_initial fee]]</f>
        <v>1</v>
      </c>
      <c r="T5330" s="89"/>
      <c r="X5330" s="9"/>
    </row>
    <row r="5331" spans="1:24" hidden="1" x14ac:dyDescent="0.25">
      <c r="A5331">
        <v>221740</v>
      </c>
      <c r="B5331" t="s">
        <v>1294</v>
      </c>
      <c r="C5331" t="s">
        <v>31483</v>
      </c>
      <c r="D5331" s="1">
        <v>4</v>
      </c>
      <c r="E5331" t="s">
        <v>1294</v>
      </c>
      <c r="G5331" s="3"/>
      <c r="H5331" s="3">
        <v>0</v>
      </c>
      <c r="I5331" s="3">
        <v>0</v>
      </c>
      <c r="J5331" s="3">
        <v>0</v>
      </c>
      <c r="K5331" s="3">
        <v>0</v>
      </c>
      <c r="L5331" s="3">
        <f t="shared" si="233"/>
        <v>0</v>
      </c>
      <c r="M5331" s="3"/>
      <c r="N5331" s="3">
        <f t="shared" si="234"/>
        <v>0</v>
      </c>
      <c r="O5331" s="3"/>
      <c r="S5331" s="89">
        <f>100%-Table34[[#This Row],[PDF_initial fee]]</f>
        <v>1</v>
      </c>
      <c r="T5331" s="89"/>
      <c r="X5331" s="9"/>
    </row>
    <row r="5332" spans="1:24" hidden="1" x14ac:dyDescent="0.25">
      <c r="A5332">
        <v>141831</v>
      </c>
      <c r="B5332" t="s">
        <v>691</v>
      </c>
      <c r="C5332" s="1" t="s">
        <v>31484</v>
      </c>
      <c r="D5332" s="1">
        <v>0</v>
      </c>
      <c r="E5332" t="s">
        <v>691</v>
      </c>
      <c r="F5332" t="s">
        <v>6</v>
      </c>
      <c r="G5332" s="3"/>
      <c r="H5332" s="3"/>
      <c r="I5332" s="3"/>
      <c r="J5332" s="3"/>
      <c r="K5332" s="3"/>
      <c r="L5332" s="3">
        <f t="shared" si="233"/>
        <v>0</v>
      </c>
      <c r="M5332" s="3"/>
      <c r="N5332" s="3">
        <f t="shared" si="234"/>
        <v>0</v>
      </c>
      <c r="O5332" s="3"/>
      <c r="S5332" s="89">
        <f>100%-Table34[[#This Row],[PDF_initial fee]]</f>
        <v>1</v>
      </c>
      <c r="T5332" s="89"/>
      <c r="X5332" s="9"/>
    </row>
    <row r="5333" spans="1:24" hidden="1" x14ac:dyDescent="0.25">
      <c r="A5333">
        <v>192356</v>
      </c>
      <c r="B5333" t="s">
        <v>1068</v>
      </c>
      <c r="C5333" t="s">
        <v>31485</v>
      </c>
      <c r="D5333" s="1">
        <v>4</v>
      </c>
      <c r="E5333" t="s">
        <v>1068</v>
      </c>
      <c r="G5333" s="3"/>
      <c r="H5333" s="3">
        <v>0</v>
      </c>
      <c r="I5333" s="3">
        <v>0</v>
      </c>
      <c r="J5333" s="3">
        <v>0</v>
      </c>
      <c r="K5333" s="3">
        <v>0</v>
      </c>
      <c r="L5333" s="3">
        <f t="shared" si="233"/>
        <v>0</v>
      </c>
      <c r="M5333" s="3"/>
      <c r="N5333" s="3">
        <f t="shared" si="234"/>
        <v>0</v>
      </c>
      <c r="O5333" s="3"/>
      <c r="S5333" s="89">
        <f>100%-Table34[[#This Row],[PDF_initial fee]]</f>
        <v>1</v>
      </c>
      <c r="T5333" s="89"/>
      <c r="X5333" s="9"/>
    </row>
    <row r="5334" spans="1:24" hidden="1" x14ac:dyDescent="0.25">
      <c r="A5334">
        <v>224915</v>
      </c>
      <c r="B5334" t="s">
        <v>1353</v>
      </c>
      <c r="C5334" t="s">
        <v>31486</v>
      </c>
      <c r="D5334" s="1">
        <v>2</v>
      </c>
      <c r="E5334" t="s">
        <v>1353</v>
      </c>
      <c r="G5334" s="3"/>
      <c r="H5334" s="3">
        <v>0</v>
      </c>
      <c r="I5334" s="3">
        <v>0</v>
      </c>
      <c r="J5334" s="3">
        <v>0</v>
      </c>
      <c r="K5334" s="3">
        <v>0</v>
      </c>
      <c r="L5334" s="3">
        <f t="shared" si="233"/>
        <v>0</v>
      </c>
      <c r="M5334" s="3"/>
      <c r="N5334" s="3">
        <f t="shared" si="234"/>
        <v>0</v>
      </c>
      <c r="O5334" s="3"/>
      <c r="S5334" s="89">
        <f>100%-Table34[[#This Row],[PDF_initial fee]]</f>
        <v>1</v>
      </c>
      <c r="T5334" s="89"/>
      <c r="X5334" s="9"/>
    </row>
    <row r="5335" spans="1:24" hidden="1" x14ac:dyDescent="0.25">
      <c r="A5335">
        <v>116310</v>
      </c>
      <c r="B5335" t="s">
        <v>448</v>
      </c>
      <c r="C5335" t="s">
        <v>31487</v>
      </c>
      <c r="D5335" s="1">
        <v>0</v>
      </c>
      <c r="E5335" t="s">
        <v>448</v>
      </c>
      <c r="F5335" t="s">
        <v>29114</v>
      </c>
      <c r="G5335" s="3"/>
      <c r="H5335" s="3"/>
      <c r="I5335" s="3"/>
      <c r="J5335" s="3"/>
      <c r="K5335" s="3"/>
      <c r="L5335" s="3">
        <f t="shared" si="233"/>
        <v>0</v>
      </c>
      <c r="M5335" s="3"/>
      <c r="N5335" s="3">
        <f t="shared" si="234"/>
        <v>0</v>
      </c>
      <c r="O5335" s="3"/>
      <c r="S5335" s="89">
        <f>100%-Table34[[#This Row],[PDF_initial fee]]</f>
        <v>1</v>
      </c>
      <c r="T5335" s="89"/>
      <c r="X5335" s="9"/>
    </row>
    <row r="5336" spans="1:24" hidden="1" x14ac:dyDescent="0.25">
      <c r="A5336">
        <v>150101</v>
      </c>
      <c r="B5336" t="s">
        <v>799</v>
      </c>
      <c r="C5336" t="s">
        <v>31488</v>
      </c>
      <c r="D5336" s="1">
        <v>1</v>
      </c>
      <c r="E5336" t="s">
        <v>799</v>
      </c>
      <c r="G5336" s="3"/>
      <c r="H5336" s="3"/>
      <c r="I5336" s="3"/>
      <c r="J5336" s="3"/>
      <c r="K5336" s="3"/>
      <c r="L5336" s="3">
        <f t="shared" si="233"/>
        <v>0</v>
      </c>
      <c r="M5336" s="3"/>
      <c r="N5336" s="3">
        <f t="shared" si="234"/>
        <v>0</v>
      </c>
      <c r="O5336" s="3"/>
      <c r="S5336" s="89">
        <f>100%-Table34[[#This Row],[PDF_initial fee]]</f>
        <v>1</v>
      </c>
      <c r="T5336" s="89"/>
      <c r="X5336" s="9"/>
    </row>
    <row r="5337" spans="1:24" hidden="1" x14ac:dyDescent="0.25">
      <c r="A5337">
        <v>197248</v>
      </c>
      <c r="B5337" t="s">
        <v>1154</v>
      </c>
      <c r="C5337" t="s">
        <v>31489</v>
      </c>
      <c r="D5337" s="1">
        <v>1</v>
      </c>
      <c r="E5337" t="s">
        <v>1154</v>
      </c>
      <c r="G5337" s="3"/>
      <c r="H5337" s="3">
        <v>0</v>
      </c>
      <c r="I5337" s="3">
        <v>0</v>
      </c>
      <c r="J5337" s="3">
        <v>0</v>
      </c>
      <c r="K5337" s="3">
        <v>0</v>
      </c>
      <c r="L5337" s="3">
        <f t="shared" si="233"/>
        <v>0</v>
      </c>
      <c r="M5337" s="3"/>
      <c r="N5337" s="3">
        <f t="shared" si="234"/>
        <v>0</v>
      </c>
      <c r="O5337" s="3"/>
      <c r="S5337" s="89">
        <f>100%-Table34[[#This Row],[PDF_initial fee]]</f>
        <v>1</v>
      </c>
      <c r="T5337" s="89"/>
      <c r="X5337" s="9"/>
    </row>
    <row r="5338" spans="1:24" hidden="1" x14ac:dyDescent="0.25">
      <c r="A5338">
        <v>207801</v>
      </c>
      <c r="B5338" t="s">
        <v>1193</v>
      </c>
      <c r="C5338" t="s">
        <v>31490</v>
      </c>
      <c r="D5338" s="1">
        <v>1</v>
      </c>
      <c r="E5338" t="s">
        <v>1193</v>
      </c>
      <c r="G5338" s="3"/>
      <c r="H5338" s="3">
        <v>0</v>
      </c>
      <c r="I5338" s="3">
        <v>0</v>
      </c>
      <c r="J5338" s="3">
        <v>0</v>
      </c>
      <c r="K5338" s="3">
        <v>0</v>
      </c>
      <c r="L5338" s="3">
        <f t="shared" si="233"/>
        <v>0</v>
      </c>
      <c r="M5338" s="3"/>
      <c r="N5338" s="3">
        <f t="shared" si="234"/>
        <v>0</v>
      </c>
      <c r="O5338" s="3"/>
      <c r="S5338" s="89">
        <f>100%-Table34[[#This Row],[PDF_initial fee]]</f>
        <v>1</v>
      </c>
      <c r="T5338" s="89"/>
      <c r="X5338" s="9"/>
    </row>
    <row r="5339" spans="1:24" hidden="1" x14ac:dyDescent="0.25">
      <c r="A5339">
        <v>144340</v>
      </c>
      <c r="B5339" t="s">
        <v>718</v>
      </c>
      <c r="C5339" t="s">
        <v>31491</v>
      </c>
      <c r="D5339" s="1">
        <v>2</v>
      </c>
      <c r="E5339" t="s">
        <v>718</v>
      </c>
      <c r="G5339" s="3"/>
      <c r="H5339" s="3"/>
      <c r="I5339" s="3"/>
      <c r="J5339" s="3"/>
      <c r="K5339" s="3"/>
      <c r="L5339" s="3">
        <f t="shared" si="233"/>
        <v>0</v>
      </c>
      <c r="M5339" s="3"/>
      <c r="N5339" s="3">
        <f t="shared" si="234"/>
        <v>0</v>
      </c>
      <c r="O5339" s="3"/>
      <c r="S5339" s="89">
        <f>100%-Table34[[#This Row],[PDF_initial fee]]</f>
        <v>1</v>
      </c>
      <c r="T5339" s="89"/>
      <c r="X5339" s="9"/>
    </row>
    <row r="5340" spans="1:24" hidden="1" x14ac:dyDescent="0.25">
      <c r="A5340">
        <v>402408</v>
      </c>
      <c r="B5340" t="s">
        <v>1628</v>
      </c>
      <c r="C5340" t="s">
        <v>31492</v>
      </c>
      <c r="D5340" s="1">
        <v>1</v>
      </c>
      <c r="E5340" t="s">
        <v>1628</v>
      </c>
      <c r="F5340" t="s">
        <v>31465</v>
      </c>
      <c r="G5340" s="3"/>
      <c r="H5340" s="3">
        <v>0</v>
      </c>
      <c r="I5340" s="3">
        <v>0</v>
      </c>
      <c r="J5340" s="3">
        <v>0</v>
      </c>
      <c r="K5340" s="3">
        <v>0</v>
      </c>
      <c r="L5340" s="3">
        <f t="shared" si="233"/>
        <v>0</v>
      </c>
      <c r="M5340" s="3"/>
      <c r="N5340" s="3">
        <f t="shared" si="234"/>
        <v>0</v>
      </c>
      <c r="O5340" s="3"/>
      <c r="S5340" s="89">
        <f>100%-Table34[[#This Row],[PDF_initial fee]]</f>
        <v>1</v>
      </c>
      <c r="T5340" s="89"/>
      <c r="X5340" s="9"/>
    </row>
    <row r="5341" spans="1:24" hidden="1" x14ac:dyDescent="0.25">
      <c r="A5341">
        <v>222067</v>
      </c>
      <c r="B5341" t="s">
        <v>1298</v>
      </c>
      <c r="C5341" t="s">
        <v>31493</v>
      </c>
      <c r="D5341" s="1">
        <v>5</v>
      </c>
      <c r="E5341" t="s">
        <v>1298</v>
      </c>
      <c r="G5341" s="3"/>
      <c r="H5341" s="3">
        <v>0</v>
      </c>
      <c r="I5341" s="3">
        <v>0</v>
      </c>
      <c r="J5341" s="3">
        <v>0</v>
      </c>
      <c r="K5341" s="3">
        <v>0</v>
      </c>
      <c r="L5341" s="3">
        <f t="shared" si="233"/>
        <v>0</v>
      </c>
      <c r="M5341" s="3"/>
      <c r="N5341" s="3">
        <f t="shared" si="234"/>
        <v>0</v>
      </c>
      <c r="O5341" s="3"/>
      <c r="S5341" s="89">
        <f>100%-Table34[[#This Row],[PDF_initial fee]]</f>
        <v>1</v>
      </c>
      <c r="T5341" s="89"/>
      <c r="X5341" s="9"/>
    </row>
    <row r="5342" spans="1:24" hidden="1" x14ac:dyDescent="0.25">
      <c r="A5342">
        <v>402411</v>
      </c>
      <c r="B5342" t="s">
        <v>1630</v>
      </c>
      <c r="C5342" t="s">
        <v>31494</v>
      </c>
      <c r="D5342" s="1">
        <v>1</v>
      </c>
      <c r="E5342" t="s">
        <v>1630</v>
      </c>
      <c r="G5342" s="3"/>
      <c r="H5342" s="3">
        <v>0</v>
      </c>
      <c r="I5342" s="3">
        <v>0</v>
      </c>
      <c r="J5342" s="3">
        <v>0</v>
      </c>
      <c r="K5342" s="3">
        <v>0</v>
      </c>
      <c r="L5342" s="3">
        <f t="shared" si="233"/>
        <v>0</v>
      </c>
      <c r="M5342" s="3"/>
      <c r="N5342" s="3">
        <f t="shared" si="234"/>
        <v>0</v>
      </c>
      <c r="O5342" s="3"/>
      <c r="S5342" s="89">
        <f>100%-Table34[[#This Row],[PDF_initial fee]]</f>
        <v>1</v>
      </c>
      <c r="T5342" s="89"/>
      <c r="X5342" s="9"/>
    </row>
    <row r="5343" spans="1:24" hidden="1" x14ac:dyDescent="0.25">
      <c r="A5343">
        <v>301612</v>
      </c>
      <c r="B5343" t="s">
        <v>1511</v>
      </c>
      <c r="C5343" t="s">
        <v>31495</v>
      </c>
      <c r="D5343" s="1">
        <v>2</v>
      </c>
      <c r="E5343" t="s">
        <v>1511</v>
      </c>
      <c r="G5343" s="3"/>
      <c r="H5343" s="3"/>
      <c r="I5343" s="3"/>
      <c r="J5343" s="3"/>
      <c r="K5343" s="3"/>
      <c r="L5343" s="3">
        <f t="shared" si="233"/>
        <v>0</v>
      </c>
      <c r="M5343" s="3"/>
      <c r="N5343" s="3">
        <f t="shared" si="234"/>
        <v>0</v>
      </c>
      <c r="O5343" s="3"/>
      <c r="S5343" s="89">
        <f>100%-Table34[[#This Row],[PDF_initial fee]]</f>
        <v>1</v>
      </c>
      <c r="T5343" s="89"/>
      <c r="X5343" s="9"/>
    </row>
    <row r="5344" spans="1:24" hidden="1" x14ac:dyDescent="0.25">
      <c r="A5344">
        <v>225986</v>
      </c>
      <c r="B5344" t="s">
        <v>1382</v>
      </c>
      <c r="C5344" t="s">
        <v>31496</v>
      </c>
      <c r="D5344" s="1">
        <v>2</v>
      </c>
      <c r="E5344" t="s">
        <v>1382</v>
      </c>
      <c r="G5344" s="3"/>
      <c r="H5344" s="3">
        <v>0</v>
      </c>
      <c r="I5344" s="3">
        <v>0</v>
      </c>
      <c r="J5344" s="3">
        <v>0</v>
      </c>
      <c r="K5344" s="3">
        <v>0</v>
      </c>
      <c r="L5344" s="3">
        <f t="shared" si="233"/>
        <v>0</v>
      </c>
      <c r="M5344" s="3"/>
      <c r="N5344" s="3">
        <f t="shared" si="234"/>
        <v>0</v>
      </c>
      <c r="O5344" s="3"/>
      <c r="S5344" s="89">
        <f>100%-Table34[[#This Row],[PDF_initial fee]]</f>
        <v>1</v>
      </c>
      <c r="T5344" s="89"/>
      <c r="X5344" s="9"/>
    </row>
    <row r="5345" spans="1:27" hidden="1" x14ac:dyDescent="0.25">
      <c r="A5345">
        <v>409324</v>
      </c>
      <c r="B5345" t="s">
        <v>1688</v>
      </c>
      <c r="C5345" t="s">
        <v>31497</v>
      </c>
      <c r="D5345" s="1">
        <v>15</v>
      </c>
      <c r="E5345" t="s">
        <v>1688</v>
      </c>
      <c r="G5345" s="3"/>
      <c r="H5345" s="3">
        <v>0</v>
      </c>
      <c r="I5345" s="3">
        <v>0</v>
      </c>
      <c r="J5345" s="3">
        <v>0</v>
      </c>
      <c r="K5345" s="3">
        <v>0</v>
      </c>
      <c r="L5345" s="3">
        <f t="shared" si="233"/>
        <v>0</v>
      </c>
      <c r="M5345" s="3"/>
      <c r="N5345" s="3">
        <f t="shared" si="234"/>
        <v>0</v>
      </c>
      <c r="O5345" s="3"/>
      <c r="S5345" s="89">
        <f>100%-Table34[[#This Row],[PDF_initial fee]]</f>
        <v>1</v>
      </c>
      <c r="T5345" s="89"/>
      <c r="X5345" s="9"/>
    </row>
    <row r="5346" spans="1:27" hidden="1" x14ac:dyDescent="0.25">
      <c r="A5346">
        <v>196923</v>
      </c>
      <c r="B5346" t="s">
        <v>1144</v>
      </c>
      <c r="C5346" t="s">
        <v>31498</v>
      </c>
      <c r="D5346" s="1">
        <v>0</v>
      </c>
      <c r="E5346" t="s">
        <v>1144</v>
      </c>
      <c r="F5346" t="s">
        <v>29114</v>
      </c>
      <c r="G5346" s="3"/>
      <c r="H5346" s="3">
        <v>0</v>
      </c>
      <c r="I5346" s="3">
        <v>0</v>
      </c>
      <c r="J5346" s="3">
        <v>0</v>
      </c>
      <c r="K5346" s="3">
        <v>0</v>
      </c>
      <c r="L5346" s="3">
        <f t="shared" si="233"/>
        <v>0</v>
      </c>
      <c r="M5346" s="3"/>
      <c r="N5346" s="3">
        <f t="shared" si="234"/>
        <v>0</v>
      </c>
      <c r="O5346" s="3"/>
      <c r="S5346" s="89">
        <f>100%-Table34[[#This Row],[PDF_initial fee]]</f>
        <v>1</v>
      </c>
      <c r="T5346" s="89"/>
      <c r="X5346" s="9"/>
    </row>
    <row r="5347" spans="1:27" hidden="1" x14ac:dyDescent="0.25">
      <c r="A5347">
        <v>431002</v>
      </c>
      <c r="B5347" t="s">
        <v>1837</v>
      </c>
      <c r="C5347" t="s">
        <v>31499</v>
      </c>
      <c r="D5347" s="1">
        <v>1</v>
      </c>
      <c r="E5347" t="s">
        <v>1837</v>
      </c>
      <c r="G5347" s="3"/>
      <c r="H5347" s="3">
        <v>0</v>
      </c>
      <c r="I5347" s="3">
        <v>0</v>
      </c>
      <c r="J5347" s="3">
        <v>0</v>
      </c>
      <c r="K5347" s="3">
        <v>0</v>
      </c>
      <c r="L5347" s="3">
        <f t="shared" si="233"/>
        <v>0</v>
      </c>
      <c r="M5347" s="3"/>
      <c r="N5347" s="3">
        <f t="shared" si="234"/>
        <v>0</v>
      </c>
      <c r="O5347" s="3"/>
      <c r="S5347" s="89">
        <f>100%-Table34[[#This Row],[PDF_initial fee]]</f>
        <v>1</v>
      </c>
      <c r="T5347" s="89"/>
      <c r="X5347" s="9"/>
    </row>
    <row r="5348" spans="1:27" hidden="1" x14ac:dyDescent="0.25">
      <c r="A5348">
        <v>402945</v>
      </c>
      <c r="B5348" t="s">
        <v>1644</v>
      </c>
      <c r="C5348" t="s">
        <v>31500</v>
      </c>
      <c r="D5348" s="1">
        <v>0</v>
      </c>
      <c r="E5348" t="s">
        <v>1644</v>
      </c>
      <c r="F5348" t="s">
        <v>31465</v>
      </c>
      <c r="G5348" s="3"/>
      <c r="H5348" s="3">
        <v>0</v>
      </c>
      <c r="I5348" s="3">
        <v>0</v>
      </c>
      <c r="J5348" s="3">
        <v>0</v>
      </c>
      <c r="K5348" s="3">
        <v>0</v>
      </c>
      <c r="L5348" s="3">
        <f t="shared" si="233"/>
        <v>0</v>
      </c>
      <c r="M5348" s="3"/>
      <c r="N5348" s="3">
        <f t="shared" si="234"/>
        <v>0</v>
      </c>
      <c r="O5348" s="3"/>
      <c r="S5348" s="89">
        <f>100%-Table34[[#This Row],[PDF_initial fee]]</f>
        <v>1</v>
      </c>
      <c r="T5348" s="89"/>
      <c r="X5348" s="9"/>
    </row>
    <row r="5349" spans="1:27" hidden="1" x14ac:dyDescent="0.25">
      <c r="A5349">
        <v>301531</v>
      </c>
      <c r="B5349" t="s">
        <v>1510</v>
      </c>
      <c r="C5349" t="s">
        <v>31501</v>
      </c>
      <c r="D5349" s="1">
        <v>1</v>
      </c>
      <c r="E5349" t="s">
        <v>1510</v>
      </c>
      <c r="G5349" s="3"/>
      <c r="H5349" s="3">
        <v>0</v>
      </c>
      <c r="I5349" s="3">
        <v>0</v>
      </c>
      <c r="J5349" s="3">
        <v>0</v>
      </c>
      <c r="K5349" s="3">
        <v>0</v>
      </c>
      <c r="L5349" s="3">
        <f t="shared" si="233"/>
        <v>0</v>
      </c>
      <c r="M5349" s="3"/>
      <c r="N5349" s="3">
        <f t="shared" si="234"/>
        <v>0</v>
      </c>
      <c r="O5349" s="3"/>
      <c r="S5349" s="89">
        <f>100%-Table34[[#This Row],[PDF_initial fee]]</f>
        <v>1</v>
      </c>
      <c r="T5349" s="89"/>
      <c r="X5349" s="9"/>
    </row>
    <row r="5350" spans="1:27" hidden="1" x14ac:dyDescent="0.25">
      <c r="A5350">
        <v>215406</v>
      </c>
      <c r="B5350" t="s">
        <v>1254</v>
      </c>
      <c r="C5350" t="s">
        <v>31502</v>
      </c>
      <c r="D5350" s="1">
        <v>2</v>
      </c>
      <c r="E5350" t="s">
        <v>1254</v>
      </c>
      <c r="G5350" s="3"/>
      <c r="H5350" s="3">
        <v>0</v>
      </c>
      <c r="I5350" s="3">
        <v>0</v>
      </c>
      <c r="J5350" s="3">
        <v>0</v>
      </c>
      <c r="K5350" s="3">
        <v>0</v>
      </c>
      <c r="L5350" s="3">
        <f t="shared" si="233"/>
        <v>0</v>
      </c>
      <c r="M5350" s="3"/>
      <c r="N5350" s="3">
        <f t="shared" si="234"/>
        <v>0</v>
      </c>
      <c r="O5350" s="3"/>
      <c r="S5350" s="89">
        <f>100%-Table34[[#This Row],[PDF_initial fee]]</f>
        <v>1</v>
      </c>
      <c r="T5350" s="89"/>
      <c r="X5350" s="9"/>
    </row>
    <row r="5351" spans="1:27" hidden="1" x14ac:dyDescent="0.25">
      <c r="A5351">
        <v>434571</v>
      </c>
      <c r="B5351" t="s">
        <v>1887</v>
      </c>
      <c r="C5351" t="s">
        <v>31503</v>
      </c>
      <c r="D5351" s="1">
        <v>2</v>
      </c>
      <c r="E5351" t="s">
        <v>1887</v>
      </c>
      <c r="G5351" s="3"/>
      <c r="H5351" s="3">
        <v>0</v>
      </c>
      <c r="I5351" s="3">
        <v>0</v>
      </c>
      <c r="J5351" s="3">
        <v>0</v>
      </c>
      <c r="K5351" s="3">
        <v>0</v>
      </c>
      <c r="L5351" s="3">
        <f t="shared" ref="L5351:L5354" si="235">SUM(H5351:K5351)</f>
        <v>0</v>
      </c>
      <c r="M5351" s="3"/>
      <c r="N5351" s="3">
        <f t="shared" si="234"/>
        <v>0</v>
      </c>
      <c r="O5351" s="3"/>
      <c r="S5351" s="89">
        <f>100%-Table34[[#This Row],[PDF_initial fee]]</f>
        <v>1</v>
      </c>
      <c r="T5351" s="89"/>
      <c r="X5351" s="9"/>
    </row>
    <row r="5352" spans="1:27" hidden="1" x14ac:dyDescent="0.25">
      <c r="A5352">
        <v>401834</v>
      </c>
      <c r="B5352" t="s">
        <v>1613</v>
      </c>
      <c r="C5352" t="s">
        <v>31504</v>
      </c>
      <c r="D5352" s="1">
        <v>2</v>
      </c>
      <c r="E5352" t="s">
        <v>1613</v>
      </c>
      <c r="G5352" s="3"/>
      <c r="H5352" s="3"/>
      <c r="I5352" s="3"/>
      <c r="J5352" s="3"/>
      <c r="K5352" s="3"/>
      <c r="L5352" s="3">
        <f t="shared" si="235"/>
        <v>0</v>
      </c>
      <c r="M5352" s="3"/>
      <c r="N5352" s="3">
        <f t="shared" si="234"/>
        <v>0</v>
      </c>
      <c r="O5352" s="3"/>
      <c r="S5352" s="89">
        <f>100%-Table34[[#This Row],[PDF_initial fee]]</f>
        <v>1</v>
      </c>
      <c r="T5352" s="89"/>
      <c r="X5352" s="9"/>
    </row>
    <row r="5353" spans="1:27" hidden="1" x14ac:dyDescent="0.25">
      <c r="A5353">
        <v>437558</v>
      </c>
      <c r="B5353" t="s">
        <v>1914</v>
      </c>
      <c r="C5353" t="s">
        <v>31505</v>
      </c>
      <c r="D5353" s="1">
        <v>2</v>
      </c>
      <c r="E5353" t="s">
        <v>1914</v>
      </c>
      <c r="G5353" s="3"/>
      <c r="H5353" s="3">
        <v>0</v>
      </c>
      <c r="I5353" s="3">
        <v>0</v>
      </c>
      <c r="J5353" s="3">
        <v>0</v>
      </c>
      <c r="K5353" s="3">
        <v>0</v>
      </c>
      <c r="L5353" s="3">
        <f t="shared" si="235"/>
        <v>0</v>
      </c>
      <c r="M5353" s="3"/>
      <c r="N5353" s="3">
        <f t="shared" si="234"/>
        <v>0</v>
      </c>
      <c r="O5353" s="3"/>
      <c r="S5353" s="89">
        <f>100%-Table34[[#This Row],[PDF_initial fee]]</f>
        <v>1</v>
      </c>
      <c r="T5353" s="89"/>
      <c r="X5353" s="9"/>
    </row>
    <row r="5354" spans="1:27" hidden="1" x14ac:dyDescent="0.25">
      <c r="A5354">
        <v>413235</v>
      </c>
      <c r="B5354" t="s">
        <v>1700</v>
      </c>
      <c r="C5354" t="s">
        <v>31506</v>
      </c>
      <c r="D5354" s="1">
        <v>5</v>
      </c>
      <c r="E5354" t="s">
        <v>1700</v>
      </c>
      <c r="G5354" s="3"/>
      <c r="H5354" s="3">
        <v>0</v>
      </c>
      <c r="I5354" s="3">
        <v>0</v>
      </c>
      <c r="J5354" s="3">
        <v>0</v>
      </c>
      <c r="K5354" s="3">
        <v>0</v>
      </c>
      <c r="L5354" s="3">
        <f t="shared" si="235"/>
        <v>0</v>
      </c>
      <c r="M5354" s="3"/>
      <c r="N5354" s="3">
        <f t="shared" si="234"/>
        <v>0</v>
      </c>
      <c r="O5354" s="3"/>
      <c r="S5354" s="89">
        <f>100%-Table34[[#This Row],[PDF_initial fee]]</f>
        <v>1</v>
      </c>
      <c r="T5354" s="89"/>
      <c r="X5354" s="9"/>
    </row>
    <row r="5355" spans="1:27" hidden="1" x14ac:dyDescent="0.25">
      <c r="A5355">
        <v>440718</v>
      </c>
      <c r="B5355" t="s">
        <v>1967</v>
      </c>
      <c r="C5355" t="s">
        <v>10138</v>
      </c>
      <c r="D5355" s="1">
        <v>2</v>
      </c>
      <c r="E5355" t="s">
        <v>1967</v>
      </c>
      <c r="F5355" t="s">
        <v>31507</v>
      </c>
      <c r="G5355" s="3">
        <f>0.38%+0.3%</f>
        <v>6.8000000000000005E-3</v>
      </c>
      <c r="H5355" s="44">
        <f>495/100000</f>
        <v>4.9500000000000004E-3</v>
      </c>
      <c r="I5355" s="3">
        <v>0</v>
      </c>
      <c r="J5355" s="6">
        <v>0</v>
      </c>
      <c r="K5355" s="6">
        <v>0</v>
      </c>
      <c r="L5355" s="3"/>
      <c r="M5355" s="3"/>
      <c r="N5355" s="3"/>
      <c r="O5355" s="3" t="s">
        <v>31508</v>
      </c>
      <c r="P5355" s="4" t="s">
        <v>29190</v>
      </c>
      <c r="S5355" s="89">
        <f>100%-Table34[[#This Row],[PDF_initial fee]]</f>
        <v>1</v>
      </c>
      <c r="T5355" s="89"/>
      <c r="V5355" s="10">
        <v>36154</v>
      </c>
      <c r="W5355" s="10" t="s">
        <v>29081</v>
      </c>
      <c r="X5355" s="9">
        <v>29005</v>
      </c>
      <c r="Y5355" s="30">
        <f>X5355/V5355</f>
        <v>0.80226254356364446</v>
      </c>
      <c r="Z5355" s="10"/>
      <c r="AA5355" s="1" t="s">
        <v>31509</v>
      </c>
    </row>
    <row r="5356" spans="1:27" hidden="1" x14ac:dyDescent="0.25">
      <c r="A5356">
        <v>429047</v>
      </c>
      <c r="B5356" t="s">
        <v>1786</v>
      </c>
      <c r="C5356" t="s">
        <v>31510</v>
      </c>
      <c r="D5356" s="1">
        <v>3</v>
      </c>
      <c r="E5356" t="s">
        <v>1786</v>
      </c>
      <c r="G5356" s="3"/>
      <c r="H5356" s="3">
        <v>0</v>
      </c>
      <c r="I5356" s="3">
        <v>0</v>
      </c>
      <c r="J5356" s="3">
        <v>0</v>
      </c>
      <c r="K5356" s="3">
        <v>0</v>
      </c>
      <c r="L5356" s="3">
        <f t="shared" ref="L5356:L5398" si="236">SUM(H5356:K5356)</f>
        <v>0</v>
      </c>
      <c r="M5356" s="3"/>
      <c r="N5356" s="3">
        <f t="shared" ref="N5356:N5398" si="237">L5356+G5356</f>
        <v>0</v>
      </c>
      <c r="O5356" s="3"/>
      <c r="S5356" s="89">
        <f>100%-Table34[[#This Row],[PDF_initial fee]]</f>
        <v>1</v>
      </c>
      <c r="T5356" s="89"/>
      <c r="X5356" s="9"/>
    </row>
    <row r="5357" spans="1:27" hidden="1" x14ac:dyDescent="0.25">
      <c r="A5357">
        <v>429896</v>
      </c>
      <c r="B5357" t="s">
        <v>1805</v>
      </c>
      <c r="C5357" t="s">
        <v>31511</v>
      </c>
      <c r="D5357" s="1">
        <v>1</v>
      </c>
      <c r="E5357" t="s">
        <v>1805</v>
      </c>
      <c r="G5357" s="3"/>
      <c r="H5357" s="3">
        <v>0</v>
      </c>
      <c r="I5357" s="3">
        <v>0</v>
      </c>
      <c r="J5357" s="3">
        <v>0</v>
      </c>
      <c r="K5357" s="3">
        <v>0</v>
      </c>
      <c r="L5357" s="3">
        <f t="shared" si="236"/>
        <v>0</v>
      </c>
      <c r="M5357" s="3"/>
      <c r="N5357" s="3">
        <f t="shared" si="237"/>
        <v>0</v>
      </c>
      <c r="O5357" s="3"/>
      <c r="S5357" s="89">
        <f>100%-Table34[[#This Row],[PDF_initial fee]]</f>
        <v>1</v>
      </c>
      <c r="T5357" s="89"/>
      <c r="X5357" s="9"/>
    </row>
    <row r="5358" spans="1:27" hidden="1" x14ac:dyDescent="0.25">
      <c r="A5358">
        <v>441987</v>
      </c>
      <c r="B5358" t="s">
        <v>1997</v>
      </c>
      <c r="C5358" t="s">
        <v>31512</v>
      </c>
      <c r="D5358" s="1">
        <v>1</v>
      </c>
      <c r="E5358" t="s">
        <v>1997</v>
      </c>
      <c r="G5358" s="3"/>
      <c r="H5358" s="3">
        <v>0</v>
      </c>
      <c r="I5358" s="3">
        <v>0</v>
      </c>
      <c r="J5358" s="3">
        <v>0</v>
      </c>
      <c r="K5358" s="3">
        <v>0</v>
      </c>
      <c r="L5358" s="3">
        <f t="shared" si="236"/>
        <v>0</v>
      </c>
      <c r="M5358" s="3"/>
      <c r="N5358" s="3">
        <f t="shared" si="237"/>
        <v>0</v>
      </c>
      <c r="O5358" s="3"/>
      <c r="S5358" s="89">
        <f>100%-Table34[[#This Row],[PDF_initial fee]]</f>
        <v>1</v>
      </c>
      <c r="T5358" s="89"/>
      <c r="X5358" s="9"/>
    </row>
    <row r="5359" spans="1:27" hidden="1" x14ac:dyDescent="0.25">
      <c r="A5359">
        <v>454592</v>
      </c>
      <c r="B5359" t="s">
        <v>2126</v>
      </c>
      <c r="C5359" t="s">
        <v>31513</v>
      </c>
      <c r="D5359" s="1">
        <v>2</v>
      </c>
      <c r="E5359" t="s">
        <v>2126</v>
      </c>
      <c r="G5359" s="3"/>
      <c r="H5359" s="3">
        <v>0</v>
      </c>
      <c r="I5359" s="3">
        <v>0</v>
      </c>
      <c r="J5359" s="3">
        <v>0</v>
      </c>
      <c r="K5359" s="3">
        <v>0</v>
      </c>
      <c r="L5359" s="3">
        <f t="shared" si="236"/>
        <v>0</v>
      </c>
      <c r="M5359" s="3"/>
      <c r="N5359" s="3">
        <f t="shared" si="237"/>
        <v>0</v>
      </c>
      <c r="O5359" s="3"/>
      <c r="S5359" s="89">
        <f>100%-Table34[[#This Row],[PDF_initial fee]]</f>
        <v>1</v>
      </c>
      <c r="T5359" s="89"/>
      <c r="X5359" s="9"/>
    </row>
    <row r="5360" spans="1:27" hidden="1" x14ac:dyDescent="0.25">
      <c r="A5360">
        <v>431647</v>
      </c>
      <c r="B5360" t="s">
        <v>1856</v>
      </c>
      <c r="C5360" t="s">
        <v>31514</v>
      </c>
      <c r="D5360" s="1">
        <v>1</v>
      </c>
      <c r="E5360" t="s">
        <v>1856</v>
      </c>
      <c r="G5360" s="3"/>
      <c r="H5360" s="3">
        <v>0</v>
      </c>
      <c r="I5360" s="3">
        <v>0</v>
      </c>
      <c r="J5360" s="3">
        <v>0</v>
      </c>
      <c r="K5360" s="3">
        <v>0</v>
      </c>
      <c r="L5360" s="3">
        <f t="shared" si="236"/>
        <v>0</v>
      </c>
      <c r="M5360" s="3"/>
      <c r="N5360" s="3">
        <f t="shared" si="237"/>
        <v>0</v>
      </c>
      <c r="O5360" s="3"/>
      <c r="S5360" s="89">
        <f>100%-Table34[[#This Row],[PDF_initial fee]]</f>
        <v>1</v>
      </c>
      <c r="T5360" s="89"/>
      <c r="X5360" s="9"/>
    </row>
    <row r="5361" spans="1:24" hidden="1" x14ac:dyDescent="0.25">
      <c r="A5361">
        <v>455243</v>
      </c>
      <c r="B5361" t="s">
        <v>2139</v>
      </c>
      <c r="C5361" t="s">
        <v>31515</v>
      </c>
      <c r="D5361" s="1">
        <v>1</v>
      </c>
      <c r="E5361" t="s">
        <v>2139</v>
      </c>
      <c r="G5361" s="3"/>
      <c r="H5361" s="3">
        <v>0</v>
      </c>
      <c r="I5361" s="3">
        <v>0</v>
      </c>
      <c r="J5361" s="3">
        <v>0</v>
      </c>
      <c r="K5361" s="3">
        <v>0</v>
      </c>
      <c r="L5361" s="3">
        <f t="shared" si="236"/>
        <v>0</v>
      </c>
      <c r="M5361" s="3"/>
      <c r="N5361" s="3">
        <f t="shared" si="237"/>
        <v>0</v>
      </c>
      <c r="O5361" s="3"/>
      <c r="S5361" s="89">
        <f>100%-Table34[[#This Row],[PDF_initial fee]]</f>
        <v>1</v>
      </c>
      <c r="T5361" s="89"/>
      <c r="X5361" s="9"/>
    </row>
    <row r="5362" spans="1:24" hidden="1" x14ac:dyDescent="0.25">
      <c r="A5362">
        <v>462217</v>
      </c>
      <c r="B5362" t="s">
        <v>2278</v>
      </c>
      <c r="C5362" t="s">
        <v>31516</v>
      </c>
      <c r="D5362" s="1">
        <v>1</v>
      </c>
      <c r="E5362" t="s">
        <v>2278</v>
      </c>
      <c r="G5362" s="3"/>
      <c r="H5362" s="3">
        <v>0</v>
      </c>
      <c r="I5362" s="3">
        <v>0</v>
      </c>
      <c r="J5362" s="3">
        <v>0</v>
      </c>
      <c r="K5362" s="3">
        <v>0</v>
      </c>
      <c r="L5362" s="3">
        <f t="shared" si="236"/>
        <v>0</v>
      </c>
      <c r="M5362" s="3"/>
      <c r="N5362" s="3">
        <f t="shared" si="237"/>
        <v>0</v>
      </c>
      <c r="O5362" s="3"/>
      <c r="S5362" s="89">
        <f>100%-Table34[[#This Row],[PDF_initial fee]]</f>
        <v>1</v>
      </c>
      <c r="T5362" s="89"/>
      <c r="X5362" s="9"/>
    </row>
    <row r="5363" spans="1:24" hidden="1" x14ac:dyDescent="0.25">
      <c r="A5363">
        <v>170942</v>
      </c>
      <c r="B5363" t="s">
        <v>890</v>
      </c>
      <c r="C5363" t="s">
        <v>31517</v>
      </c>
      <c r="D5363" s="1">
        <v>2</v>
      </c>
      <c r="E5363" t="s">
        <v>890</v>
      </c>
      <c r="G5363" s="3"/>
      <c r="H5363" s="3">
        <v>0</v>
      </c>
      <c r="I5363" s="3">
        <v>0</v>
      </c>
      <c r="J5363" s="3">
        <v>0</v>
      </c>
      <c r="K5363" s="3">
        <v>0</v>
      </c>
      <c r="L5363" s="3">
        <f t="shared" si="236"/>
        <v>0</v>
      </c>
      <c r="M5363" s="3"/>
      <c r="N5363" s="3">
        <f t="shared" si="237"/>
        <v>0</v>
      </c>
      <c r="O5363" s="3"/>
      <c r="S5363" s="89">
        <f>100%-Table34[[#This Row],[PDF_initial fee]]</f>
        <v>1</v>
      </c>
      <c r="T5363" s="89"/>
      <c r="X5363" s="9"/>
    </row>
    <row r="5364" spans="1:24" hidden="1" x14ac:dyDescent="0.25">
      <c r="A5364">
        <v>401123</v>
      </c>
      <c r="B5364" t="s">
        <v>1587</v>
      </c>
      <c r="C5364" t="s">
        <v>31518</v>
      </c>
      <c r="D5364" s="1">
        <v>2</v>
      </c>
      <c r="E5364" t="s">
        <v>1587</v>
      </c>
      <c r="G5364" s="3"/>
      <c r="H5364" s="3"/>
      <c r="I5364" s="3"/>
      <c r="J5364" s="3"/>
      <c r="K5364" s="3"/>
      <c r="L5364" s="3">
        <f t="shared" si="236"/>
        <v>0</v>
      </c>
      <c r="M5364" s="3"/>
      <c r="N5364" s="3">
        <f t="shared" si="237"/>
        <v>0</v>
      </c>
      <c r="O5364" s="3"/>
      <c r="S5364" s="89">
        <f>100%-Table34[[#This Row],[PDF_initial fee]]</f>
        <v>1</v>
      </c>
      <c r="T5364" s="89"/>
      <c r="X5364" s="9"/>
    </row>
    <row r="5365" spans="1:24" hidden="1" x14ac:dyDescent="0.25">
      <c r="A5365">
        <v>219614</v>
      </c>
      <c r="B5365" t="s">
        <v>1272</v>
      </c>
      <c r="C5365" t="s">
        <v>31519</v>
      </c>
      <c r="D5365" s="1">
        <v>1</v>
      </c>
      <c r="E5365" t="s">
        <v>1272</v>
      </c>
      <c r="G5365" s="3"/>
      <c r="H5365" s="3"/>
      <c r="I5365" s="3"/>
      <c r="J5365" s="3"/>
      <c r="K5365" s="3"/>
      <c r="L5365" s="3">
        <f t="shared" si="236"/>
        <v>0</v>
      </c>
      <c r="M5365" s="3"/>
      <c r="N5365" s="3">
        <f t="shared" si="237"/>
        <v>0</v>
      </c>
      <c r="O5365" s="3"/>
      <c r="S5365" s="89">
        <f>100%-Table34[[#This Row],[PDF_initial fee]]</f>
        <v>1</v>
      </c>
      <c r="T5365" s="89"/>
      <c r="X5365" s="9"/>
    </row>
    <row r="5366" spans="1:24" hidden="1" x14ac:dyDescent="0.25">
      <c r="A5366">
        <v>313934</v>
      </c>
      <c r="B5366" t="s">
        <v>1550</v>
      </c>
      <c r="C5366" t="s">
        <v>31520</v>
      </c>
      <c r="D5366" s="1">
        <v>1</v>
      </c>
      <c r="E5366" t="s">
        <v>1550</v>
      </c>
      <c r="G5366" s="3"/>
      <c r="H5366" s="3">
        <v>0</v>
      </c>
      <c r="I5366" s="3">
        <v>0</v>
      </c>
      <c r="J5366" s="3">
        <v>0</v>
      </c>
      <c r="K5366" s="3">
        <v>0</v>
      </c>
      <c r="L5366" s="3">
        <f t="shared" si="236"/>
        <v>0</v>
      </c>
      <c r="M5366" s="3"/>
      <c r="N5366" s="3">
        <f t="shared" si="237"/>
        <v>0</v>
      </c>
      <c r="O5366" s="3"/>
      <c r="S5366" s="89">
        <f>100%-Table34[[#This Row],[PDF_initial fee]]</f>
        <v>1</v>
      </c>
      <c r="T5366" s="89"/>
      <c r="X5366" s="9"/>
    </row>
    <row r="5367" spans="1:24" hidden="1" x14ac:dyDescent="0.25">
      <c r="A5367">
        <v>446785</v>
      </c>
      <c r="B5367" t="s">
        <v>2036</v>
      </c>
      <c r="C5367" t="s">
        <v>31521</v>
      </c>
      <c r="D5367" s="1">
        <v>1</v>
      </c>
      <c r="E5367" t="s">
        <v>2036</v>
      </c>
      <c r="G5367" s="3"/>
      <c r="H5367" s="3"/>
      <c r="I5367" s="3"/>
      <c r="J5367" s="3"/>
      <c r="K5367" s="3"/>
      <c r="L5367" s="3">
        <f t="shared" si="236"/>
        <v>0</v>
      </c>
      <c r="M5367" s="3"/>
      <c r="N5367" s="3">
        <f t="shared" si="237"/>
        <v>0</v>
      </c>
      <c r="O5367" s="3"/>
      <c r="S5367" s="89">
        <f>100%-Table34[[#This Row],[PDF_initial fee]]</f>
        <v>1</v>
      </c>
      <c r="T5367" s="89"/>
      <c r="X5367" s="9"/>
    </row>
    <row r="5368" spans="1:24" hidden="1" x14ac:dyDescent="0.25">
      <c r="A5368">
        <v>431634</v>
      </c>
      <c r="B5368" t="s">
        <v>1855</v>
      </c>
      <c r="C5368" t="s">
        <v>31522</v>
      </c>
      <c r="D5368" s="1">
        <v>2</v>
      </c>
      <c r="E5368" t="s">
        <v>1855</v>
      </c>
      <c r="G5368" s="3"/>
      <c r="H5368" s="3">
        <v>0</v>
      </c>
      <c r="I5368" s="3">
        <v>0</v>
      </c>
      <c r="J5368" s="3">
        <v>0</v>
      </c>
      <c r="K5368" s="3">
        <v>0</v>
      </c>
      <c r="L5368" s="3">
        <f t="shared" si="236"/>
        <v>0</v>
      </c>
      <c r="M5368" s="3"/>
      <c r="N5368" s="3">
        <f t="shared" si="237"/>
        <v>0</v>
      </c>
      <c r="O5368" s="3"/>
      <c r="S5368" s="89">
        <f>100%-Table34[[#This Row],[PDF_initial fee]]</f>
        <v>1</v>
      </c>
      <c r="T5368" s="89"/>
      <c r="X5368" s="9"/>
    </row>
    <row r="5369" spans="1:24" hidden="1" x14ac:dyDescent="0.25">
      <c r="A5369">
        <v>464465</v>
      </c>
      <c r="B5369" t="s">
        <v>2315</v>
      </c>
      <c r="C5369" t="s">
        <v>9623</v>
      </c>
      <c r="D5369" s="1">
        <v>1</v>
      </c>
      <c r="E5369" t="s">
        <v>2315</v>
      </c>
      <c r="G5369" s="3"/>
      <c r="H5369" s="3"/>
      <c r="I5369" s="3"/>
      <c r="J5369" s="3"/>
      <c r="K5369" s="3"/>
      <c r="L5369" s="3">
        <f t="shared" si="236"/>
        <v>0</v>
      </c>
      <c r="M5369" s="3"/>
      <c r="N5369" s="3">
        <f t="shared" si="237"/>
        <v>0</v>
      </c>
      <c r="O5369" s="3"/>
      <c r="S5369" s="89">
        <f>100%-Table34[[#This Row],[PDF_initial fee]]</f>
        <v>1</v>
      </c>
      <c r="T5369" s="89"/>
      <c r="X5369" s="9"/>
    </row>
    <row r="5370" spans="1:24" hidden="1" x14ac:dyDescent="0.25">
      <c r="A5370">
        <v>465575</v>
      </c>
      <c r="B5370" t="s">
        <v>2331</v>
      </c>
      <c r="C5370" t="s">
        <v>31523</v>
      </c>
      <c r="D5370" s="1">
        <v>1</v>
      </c>
      <c r="E5370" t="s">
        <v>2331</v>
      </c>
      <c r="G5370" s="3"/>
      <c r="H5370" s="3">
        <v>0</v>
      </c>
      <c r="I5370" s="3">
        <v>0</v>
      </c>
      <c r="J5370" s="3">
        <v>0</v>
      </c>
      <c r="K5370" s="3">
        <v>0</v>
      </c>
      <c r="L5370" s="3">
        <f t="shared" si="236"/>
        <v>0</v>
      </c>
      <c r="M5370" s="3"/>
      <c r="N5370" s="3">
        <f t="shared" si="237"/>
        <v>0</v>
      </c>
      <c r="O5370" s="3"/>
      <c r="S5370" s="89">
        <f>100%-Table34[[#This Row],[PDF_initial fee]]</f>
        <v>1</v>
      </c>
      <c r="T5370" s="89"/>
      <c r="X5370" s="9"/>
    </row>
    <row r="5371" spans="1:24" hidden="1" x14ac:dyDescent="0.25">
      <c r="A5371">
        <v>478936</v>
      </c>
      <c r="B5371" t="s">
        <v>2494</v>
      </c>
      <c r="C5371" t="s">
        <v>31524</v>
      </c>
      <c r="D5371" s="1">
        <v>1</v>
      </c>
      <c r="E5371" t="s">
        <v>2494</v>
      </c>
      <c r="G5371" s="3"/>
      <c r="H5371" s="3">
        <v>0</v>
      </c>
      <c r="I5371" s="3">
        <v>0</v>
      </c>
      <c r="J5371" s="3">
        <v>0</v>
      </c>
      <c r="K5371" s="3">
        <v>0</v>
      </c>
      <c r="L5371" s="3">
        <f t="shared" si="236"/>
        <v>0</v>
      </c>
      <c r="M5371" s="3"/>
      <c r="N5371" s="3">
        <f t="shared" si="237"/>
        <v>0</v>
      </c>
      <c r="O5371" s="3"/>
      <c r="S5371" s="89">
        <f>100%-Table34[[#This Row],[PDF_initial fee]]</f>
        <v>1</v>
      </c>
      <c r="T5371" s="89"/>
      <c r="X5371" s="9"/>
    </row>
    <row r="5372" spans="1:24" hidden="1" x14ac:dyDescent="0.25">
      <c r="A5372">
        <v>439650</v>
      </c>
      <c r="B5372" t="s">
        <v>1938</v>
      </c>
      <c r="C5372" t="s">
        <v>31525</v>
      </c>
      <c r="D5372" s="1">
        <v>1</v>
      </c>
      <c r="E5372" t="s">
        <v>1938</v>
      </c>
      <c r="G5372" s="3"/>
      <c r="H5372" s="3"/>
      <c r="I5372" s="3"/>
      <c r="J5372" s="3"/>
      <c r="K5372" s="3"/>
      <c r="L5372" s="3">
        <f t="shared" si="236"/>
        <v>0</v>
      </c>
      <c r="M5372" s="3"/>
      <c r="N5372" s="3">
        <f t="shared" si="237"/>
        <v>0</v>
      </c>
      <c r="O5372" s="3"/>
      <c r="S5372" s="89">
        <f>100%-Table34[[#This Row],[PDF_initial fee]]</f>
        <v>1</v>
      </c>
      <c r="T5372" s="89"/>
      <c r="X5372" s="9"/>
    </row>
    <row r="5373" spans="1:24" hidden="1" x14ac:dyDescent="0.25">
      <c r="A5373">
        <v>454742</v>
      </c>
      <c r="B5373" t="s">
        <v>2130</v>
      </c>
      <c r="C5373" t="s">
        <v>31526</v>
      </c>
      <c r="D5373" s="1">
        <v>1</v>
      </c>
      <c r="E5373" t="s">
        <v>2130</v>
      </c>
      <c r="G5373" s="3"/>
      <c r="H5373" s="3"/>
      <c r="I5373" s="3"/>
      <c r="J5373" s="3" t="s">
        <v>31527</v>
      </c>
      <c r="K5373" s="3"/>
      <c r="L5373" s="3">
        <f t="shared" si="236"/>
        <v>0</v>
      </c>
      <c r="M5373" s="3"/>
      <c r="N5373" s="3">
        <f t="shared" si="237"/>
        <v>0</v>
      </c>
      <c r="O5373" s="3"/>
      <c r="S5373" s="89">
        <f>100%-Table34[[#This Row],[PDF_initial fee]]</f>
        <v>-98</v>
      </c>
      <c r="T5373" s="89"/>
      <c r="X5373" s="9"/>
    </row>
    <row r="5374" spans="1:24" hidden="1" x14ac:dyDescent="0.25">
      <c r="A5374">
        <v>431709</v>
      </c>
      <c r="B5374" t="s">
        <v>1857</v>
      </c>
      <c r="C5374" t="s">
        <v>31528</v>
      </c>
      <c r="D5374" s="1">
        <v>1</v>
      </c>
      <c r="E5374" t="s">
        <v>1857</v>
      </c>
      <c r="G5374" s="3"/>
      <c r="H5374" s="3">
        <v>0</v>
      </c>
      <c r="I5374" s="3">
        <v>0</v>
      </c>
      <c r="J5374" s="3">
        <v>0</v>
      </c>
      <c r="K5374" s="3">
        <v>0</v>
      </c>
      <c r="L5374" s="3">
        <f t="shared" si="236"/>
        <v>0</v>
      </c>
      <c r="M5374" s="3"/>
      <c r="N5374" s="3">
        <f t="shared" si="237"/>
        <v>0</v>
      </c>
      <c r="O5374" s="3"/>
      <c r="S5374" s="89">
        <f>100%-Table34[[#This Row],[PDF_initial fee]]</f>
        <v>1</v>
      </c>
      <c r="T5374" s="89"/>
      <c r="X5374" s="9"/>
    </row>
    <row r="5375" spans="1:24" hidden="1" x14ac:dyDescent="0.25">
      <c r="A5375">
        <v>472631</v>
      </c>
      <c r="B5375" t="s">
        <v>2420</v>
      </c>
      <c r="C5375" t="s">
        <v>31529</v>
      </c>
      <c r="D5375" s="1">
        <v>0</v>
      </c>
      <c r="E5375" t="s">
        <v>2420</v>
      </c>
      <c r="F5375" t="s">
        <v>31530</v>
      </c>
      <c r="G5375" s="3"/>
      <c r="H5375" s="3">
        <v>0</v>
      </c>
      <c r="I5375" s="3">
        <v>0</v>
      </c>
      <c r="J5375" s="3">
        <v>0</v>
      </c>
      <c r="K5375" s="3">
        <v>0</v>
      </c>
      <c r="L5375" s="3">
        <f t="shared" si="236"/>
        <v>0</v>
      </c>
      <c r="M5375" s="3"/>
      <c r="N5375" s="3">
        <f t="shared" si="237"/>
        <v>0</v>
      </c>
      <c r="O5375" s="3"/>
      <c r="S5375" s="89">
        <f>100%-Table34[[#This Row],[PDF_initial fee]]</f>
        <v>1</v>
      </c>
      <c r="T5375" s="89"/>
      <c r="X5375" s="9"/>
    </row>
    <row r="5376" spans="1:24" hidden="1" x14ac:dyDescent="0.25">
      <c r="A5376">
        <v>497403</v>
      </c>
      <c r="B5376" t="s">
        <v>2668</v>
      </c>
      <c r="C5376" t="s">
        <v>31531</v>
      </c>
      <c r="D5376" s="1">
        <v>1</v>
      </c>
      <c r="E5376" t="s">
        <v>2668</v>
      </c>
      <c r="G5376" s="3"/>
      <c r="H5376" s="3">
        <v>0</v>
      </c>
      <c r="I5376" s="3">
        <v>0</v>
      </c>
      <c r="J5376" s="3">
        <v>0</v>
      </c>
      <c r="K5376" s="3">
        <v>0</v>
      </c>
      <c r="L5376" s="3">
        <f t="shared" si="236"/>
        <v>0</v>
      </c>
      <c r="M5376" s="3"/>
      <c r="N5376" s="3">
        <f t="shared" si="237"/>
        <v>0</v>
      </c>
      <c r="O5376" s="3"/>
      <c r="S5376" s="89">
        <f>100%-Table34[[#This Row],[PDF_initial fee]]</f>
        <v>1</v>
      </c>
      <c r="T5376" s="89"/>
      <c r="X5376" s="9"/>
    </row>
    <row r="5377" spans="1:24" hidden="1" x14ac:dyDescent="0.25">
      <c r="A5377">
        <v>500546</v>
      </c>
      <c r="B5377" t="s">
        <v>2688</v>
      </c>
      <c r="C5377" t="s">
        <v>31532</v>
      </c>
      <c r="D5377" s="1">
        <v>0</v>
      </c>
      <c r="E5377" t="s">
        <v>2688</v>
      </c>
      <c r="F5377" t="s">
        <v>29114</v>
      </c>
      <c r="G5377" s="3"/>
      <c r="H5377" s="3">
        <v>0</v>
      </c>
      <c r="I5377" s="3">
        <v>0</v>
      </c>
      <c r="J5377" s="3">
        <v>0</v>
      </c>
      <c r="K5377" s="3">
        <v>0</v>
      </c>
      <c r="L5377" s="3">
        <f t="shared" si="236"/>
        <v>0</v>
      </c>
      <c r="M5377" s="3"/>
      <c r="N5377" s="3">
        <f t="shared" si="237"/>
        <v>0</v>
      </c>
      <c r="O5377" s="3"/>
      <c r="S5377" s="89">
        <f>100%-Table34[[#This Row],[PDF_initial fee]]</f>
        <v>1</v>
      </c>
      <c r="T5377" s="89"/>
      <c r="X5377" s="9"/>
    </row>
    <row r="5378" spans="1:24" hidden="1" x14ac:dyDescent="0.25">
      <c r="A5378">
        <v>500917</v>
      </c>
      <c r="B5378" t="s">
        <v>2694</v>
      </c>
      <c r="C5378" t="s">
        <v>31533</v>
      </c>
      <c r="D5378" s="1">
        <v>1</v>
      </c>
      <c r="E5378" t="s">
        <v>2694</v>
      </c>
      <c r="G5378" s="3"/>
      <c r="H5378" s="3">
        <v>0</v>
      </c>
      <c r="I5378" s="3">
        <v>0</v>
      </c>
      <c r="J5378" s="3">
        <v>0</v>
      </c>
      <c r="K5378" s="3">
        <v>0</v>
      </c>
      <c r="L5378" s="3">
        <f t="shared" si="236"/>
        <v>0</v>
      </c>
      <c r="M5378" s="3"/>
      <c r="N5378" s="3">
        <f t="shared" si="237"/>
        <v>0</v>
      </c>
      <c r="O5378" s="3"/>
      <c r="S5378" s="89">
        <f>100%-Table34[[#This Row],[PDF_initial fee]]</f>
        <v>1</v>
      </c>
      <c r="T5378" s="89"/>
      <c r="X5378" s="9"/>
    </row>
    <row r="5379" spans="1:24" hidden="1" x14ac:dyDescent="0.25">
      <c r="A5379">
        <v>498639</v>
      </c>
      <c r="B5379" t="s">
        <v>2677</v>
      </c>
      <c r="C5379" t="s">
        <v>31534</v>
      </c>
      <c r="D5379" s="1">
        <v>0</v>
      </c>
      <c r="E5379" t="s">
        <v>2677</v>
      </c>
      <c r="F5379" t="s">
        <v>29114</v>
      </c>
      <c r="G5379" s="3"/>
      <c r="H5379" s="3">
        <v>0</v>
      </c>
      <c r="I5379" s="3">
        <v>0</v>
      </c>
      <c r="J5379" s="3">
        <v>0</v>
      </c>
      <c r="K5379" s="3">
        <v>0</v>
      </c>
      <c r="L5379" s="3">
        <f t="shared" si="236"/>
        <v>0</v>
      </c>
      <c r="M5379" s="3"/>
      <c r="N5379" s="3">
        <f t="shared" si="237"/>
        <v>0</v>
      </c>
      <c r="O5379" s="3"/>
      <c r="S5379" s="89">
        <f>100%-Table34[[#This Row],[PDF_initial fee]]</f>
        <v>1</v>
      </c>
      <c r="T5379" s="89"/>
      <c r="X5379" s="9"/>
    </row>
    <row r="5380" spans="1:24" hidden="1" x14ac:dyDescent="0.25">
      <c r="A5380">
        <v>461555</v>
      </c>
      <c r="B5380" t="s">
        <v>2266</v>
      </c>
      <c r="C5380" t="s">
        <v>31535</v>
      </c>
      <c r="D5380" s="1">
        <v>1</v>
      </c>
      <c r="E5380" t="s">
        <v>2266</v>
      </c>
      <c r="G5380" s="3"/>
      <c r="H5380" s="3">
        <v>0</v>
      </c>
      <c r="I5380" s="3">
        <v>0</v>
      </c>
      <c r="J5380" s="3">
        <v>0</v>
      </c>
      <c r="K5380" s="3">
        <v>0</v>
      </c>
      <c r="L5380" s="3">
        <f t="shared" si="236"/>
        <v>0</v>
      </c>
      <c r="M5380" s="3"/>
      <c r="N5380" s="3">
        <f t="shared" si="237"/>
        <v>0</v>
      </c>
      <c r="O5380" s="3"/>
      <c r="S5380" s="89">
        <f>100%-Table34[[#This Row],[PDF_initial fee]]</f>
        <v>1</v>
      </c>
      <c r="T5380" s="89"/>
      <c r="X5380" s="9"/>
    </row>
    <row r="5381" spans="1:24" hidden="1" x14ac:dyDescent="0.25">
      <c r="A5381">
        <v>464196</v>
      </c>
      <c r="B5381" t="s">
        <v>2310</v>
      </c>
      <c r="C5381" t="s">
        <v>31536</v>
      </c>
      <c r="D5381" s="1">
        <v>2</v>
      </c>
      <c r="E5381" t="s">
        <v>2310</v>
      </c>
      <c r="G5381" s="3"/>
      <c r="H5381" s="3">
        <v>0</v>
      </c>
      <c r="I5381" s="3">
        <v>0</v>
      </c>
      <c r="J5381" s="3">
        <v>0</v>
      </c>
      <c r="K5381" s="3">
        <v>0</v>
      </c>
      <c r="L5381" s="3">
        <f t="shared" si="236"/>
        <v>0</v>
      </c>
      <c r="M5381" s="3"/>
      <c r="N5381" s="3">
        <f t="shared" si="237"/>
        <v>0</v>
      </c>
      <c r="O5381" s="3"/>
      <c r="S5381" s="89">
        <f>100%-Table34[[#This Row],[PDF_initial fee]]</f>
        <v>1</v>
      </c>
      <c r="T5381" s="89"/>
      <c r="X5381" s="9"/>
    </row>
    <row r="5382" spans="1:24" hidden="1" x14ac:dyDescent="0.25">
      <c r="A5382">
        <v>464315</v>
      </c>
      <c r="B5382" t="s">
        <v>2312</v>
      </c>
      <c r="C5382" t="s">
        <v>31537</v>
      </c>
      <c r="D5382" s="1">
        <v>1</v>
      </c>
      <c r="E5382" t="s">
        <v>2312</v>
      </c>
      <c r="G5382" s="3"/>
      <c r="H5382" s="3"/>
      <c r="I5382" s="3"/>
      <c r="J5382" s="3"/>
      <c r="K5382" s="3"/>
      <c r="L5382" s="3">
        <f t="shared" si="236"/>
        <v>0</v>
      </c>
      <c r="M5382" s="3"/>
      <c r="N5382" s="3">
        <f t="shared" si="237"/>
        <v>0</v>
      </c>
      <c r="O5382" s="3"/>
      <c r="S5382" s="89">
        <f>100%-Table34[[#This Row],[PDF_initial fee]]</f>
        <v>1</v>
      </c>
      <c r="T5382" s="89"/>
      <c r="X5382" s="9"/>
    </row>
    <row r="5383" spans="1:24" hidden="1" x14ac:dyDescent="0.25">
      <c r="A5383">
        <v>493524</v>
      </c>
      <c r="B5383" t="s">
        <v>2639</v>
      </c>
      <c r="C5383" t="s">
        <v>31538</v>
      </c>
      <c r="D5383" s="1">
        <v>1</v>
      </c>
      <c r="E5383" t="s">
        <v>2639</v>
      </c>
      <c r="G5383" s="3"/>
      <c r="H5383" s="3">
        <v>0</v>
      </c>
      <c r="I5383" s="3">
        <v>0</v>
      </c>
      <c r="J5383" s="3">
        <v>0</v>
      </c>
      <c r="K5383" s="3">
        <v>0</v>
      </c>
      <c r="L5383" s="3">
        <f t="shared" si="236"/>
        <v>0</v>
      </c>
      <c r="M5383" s="3"/>
      <c r="N5383" s="3">
        <f t="shared" si="237"/>
        <v>0</v>
      </c>
      <c r="O5383" s="3"/>
      <c r="S5383" s="89">
        <f>100%-Table34[[#This Row],[PDF_initial fee]]</f>
        <v>1</v>
      </c>
      <c r="T5383" s="89"/>
      <c r="X5383" s="9"/>
    </row>
    <row r="5384" spans="1:24" hidden="1" x14ac:dyDescent="0.25">
      <c r="A5384">
        <v>511247</v>
      </c>
      <c r="B5384" t="s">
        <v>2783</v>
      </c>
      <c r="C5384" t="s">
        <v>31539</v>
      </c>
      <c r="D5384" s="1">
        <v>2</v>
      </c>
      <c r="E5384" t="s">
        <v>2783</v>
      </c>
      <c r="G5384" s="3"/>
      <c r="H5384" s="3"/>
      <c r="I5384" s="3"/>
      <c r="J5384" s="3"/>
      <c r="K5384" s="3"/>
      <c r="L5384" s="3">
        <f t="shared" si="236"/>
        <v>0</v>
      </c>
      <c r="M5384" s="3"/>
      <c r="N5384" s="3">
        <f t="shared" si="237"/>
        <v>0</v>
      </c>
      <c r="O5384" s="3"/>
      <c r="S5384" s="89">
        <f>100%-Table34[[#This Row],[PDF_initial fee]]</f>
        <v>1</v>
      </c>
      <c r="T5384" s="89"/>
      <c r="X5384" s="9"/>
    </row>
    <row r="5385" spans="1:24" hidden="1" x14ac:dyDescent="0.25">
      <c r="A5385">
        <v>516965</v>
      </c>
      <c r="B5385" t="s">
        <v>2860</v>
      </c>
      <c r="C5385" t="s">
        <v>31540</v>
      </c>
      <c r="D5385" s="1">
        <v>0</v>
      </c>
      <c r="E5385" t="s">
        <v>2860</v>
      </c>
      <c r="F5385" t="s">
        <v>31530</v>
      </c>
      <c r="G5385" s="3"/>
      <c r="H5385" s="3">
        <v>0</v>
      </c>
      <c r="I5385" s="3">
        <v>0</v>
      </c>
      <c r="J5385" s="3">
        <v>0</v>
      </c>
      <c r="K5385" s="3">
        <v>0</v>
      </c>
      <c r="L5385" s="3">
        <f t="shared" si="236"/>
        <v>0</v>
      </c>
      <c r="M5385" s="3"/>
      <c r="N5385" s="3">
        <f t="shared" si="237"/>
        <v>0</v>
      </c>
      <c r="O5385" s="3"/>
      <c r="S5385" s="89">
        <f>100%-Table34[[#This Row],[PDF_initial fee]]</f>
        <v>1</v>
      </c>
      <c r="T5385" s="89"/>
      <c r="X5385" s="9"/>
    </row>
    <row r="5386" spans="1:24" hidden="1" x14ac:dyDescent="0.25">
      <c r="A5386">
        <v>482309</v>
      </c>
      <c r="B5386" t="s">
        <v>2531</v>
      </c>
      <c r="C5386" t="s">
        <v>31541</v>
      </c>
      <c r="D5386" s="1">
        <v>2</v>
      </c>
      <c r="E5386" t="s">
        <v>2531</v>
      </c>
      <c r="G5386" s="3"/>
      <c r="H5386" s="3">
        <v>0</v>
      </c>
      <c r="I5386" s="3">
        <v>0</v>
      </c>
      <c r="J5386" s="3">
        <v>0</v>
      </c>
      <c r="K5386" s="3">
        <v>0</v>
      </c>
      <c r="L5386" s="3">
        <f t="shared" si="236"/>
        <v>0</v>
      </c>
      <c r="M5386" s="3"/>
      <c r="N5386" s="3">
        <f t="shared" si="237"/>
        <v>0</v>
      </c>
      <c r="O5386" s="3"/>
      <c r="S5386" s="89">
        <f>100%-Table34[[#This Row],[PDF_initial fee]]</f>
        <v>1</v>
      </c>
      <c r="T5386" s="89"/>
      <c r="X5386" s="9"/>
    </row>
    <row r="5387" spans="1:24" hidden="1" x14ac:dyDescent="0.25">
      <c r="A5387">
        <v>516371</v>
      </c>
      <c r="B5387" t="s">
        <v>2850</v>
      </c>
      <c r="C5387" t="s">
        <v>31542</v>
      </c>
      <c r="D5387" s="1">
        <v>1</v>
      </c>
      <c r="E5387" t="s">
        <v>2850</v>
      </c>
      <c r="G5387" s="3"/>
      <c r="H5387" s="3">
        <v>0</v>
      </c>
      <c r="I5387" s="3">
        <v>0</v>
      </c>
      <c r="J5387" s="3">
        <v>0</v>
      </c>
      <c r="K5387" s="3">
        <v>0</v>
      </c>
      <c r="L5387" s="3">
        <f t="shared" si="236"/>
        <v>0</v>
      </c>
      <c r="M5387" s="3"/>
      <c r="N5387" s="3">
        <f t="shared" si="237"/>
        <v>0</v>
      </c>
      <c r="O5387" s="3"/>
      <c r="S5387" s="89">
        <f>100%-Table34[[#This Row],[PDF_initial fee]]</f>
        <v>1</v>
      </c>
      <c r="T5387" s="89"/>
      <c r="X5387" s="9"/>
    </row>
    <row r="5388" spans="1:24" hidden="1" x14ac:dyDescent="0.25">
      <c r="A5388">
        <v>463878</v>
      </c>
      <c r="B5388" t="s">
        <v>2305</v>
      </c>
      <c r="C5388" t="s">
        <v>31543</v>
      </c>
      <c r="D5388" s="1">
        <v>1</v>
      </c>
      <c r="E5388" t="s">
        <v>2305</v>
      </c>
      <c r="G5388" s="3"/>
      <c r="H5388" s="3"/>
      <c r="I5388" s="3"/>
      <c r="J5388" s="3"/>
      <c r="K5388" s="3"/>
      <c r="L5388" s="3">
        <f t="shared" si="236"/>
        <v>0</v>
      </c>
      <c r="M5388" s="3"/>
      <c r="N5388" s="3">
        <f t="shared" si="237"/>
        <v>0</v>
      </c>
      <c r="O5388" s="3"/>
      <c r="S5388" s="89">
        <f>100%-Table34[[#This Row],[PDF_initial fee]]</f>
        <v>1</v>
      </c>
      <c r="T5388" s="89"/>
      <c r="X5388" s="9"/>
    </row>
    <row r="5389" spans="1:24" hidden="1" x14ac:dyDescent="0.25">
      <c r="A5389">
        <v>474825</v>
      </c>
      <c r="B5389" t="s">
        <v>2446</v>
      </c>
      <c r="C5389" t="s">
        <v>31544</v>
      </c>
      <c r="D5389" s="1">
        <v>1</v>
      </c>
      <c r="E5389" t="s">
        <v>2446</v>
      </c>
      <c r="G5389" s="3"/>
      <c r="H5389" s="3"/>
      <c r="I5389" s="3"/>
      <c r="J5389" s="3"/>
      <c r="K5389" s="3"/>
      <c r="L5389" s="3">
        <f t="shared" si="236"/>
        <v>0</v>
      </c>
      <c r="M5389" s="3"/>
      <c r="N5389" s="3">
        <f t="shared" si="237"/>
        <v>0</v>
      </c>
      <c r="O5389" s="3"/>
      <c r="S5389" s="89">
        <f>100%-Table34[[#This Row],[PDF_initial fee]]</f>
        <v>1</v>
      </c>
      <c r="T5389" s="89"/>
      <c r="X5389" s="9"/>
    </row>
    <row r="5390" spans="1:24" hidden="1" x14ac:dyDescent="0.25">
      <c r="A5390">
        <v>533079</v>
      </c>
      <c r="B5390" t="s">
        <v>3024</v>
      </c>
      <c r="C5390" t="s">
        <v>31545</v>
      </c>
      <c r="D5390" s="1">
        <v>1</v>
      </c>
      <c r="E5390" t="s">
        <v>3024</v>
      </c>
      <c r="G5390" s="3"/>
      <c r="H5390" s="3"/>
      <c r="I5390" s="3"/>
      <c r="J5390" s="3"/>
      <c r="K5390" s="3"/>
      <c r="L5390" s="3">
        <f t="shared" si="236"/>
        <v>0</v>
      </c>
      <c r="M5390" s="3"/>
      <c r="N5390" s="3">
        <f t="shared" si="237"/>
        <v>0</v>
      </c>
      <c r="O5390" s="3"/>
      <c r="S5390" s="89">
        <f>100%-Table34[[#This Row],[PDF_initial fee]]</f>
        <v>1</v>
      </c>
      <c r="T5390" s="89"/>
      <c r="X5390" s="9"/>
    </row>
    <row r="5391" spans="1:24" hidden="1" x14ac:dyDescent="0.25">
      <c r="A5391">
        <v>521396</v>
      </c>
      <c r="B5391" t="s">
        <v>2902</v>
      </c>
      <c r="C5391" t="s">
        <v>31546</v>
      </c>
      <c r="D5391" s="1">
        <v>0</v>
      </c>
      <c r="E5391" t="s">
        <v>2902</v>
      </c>
      <c r="F5391" t="s">
        <v>31465</v>
      </c>
      <c r="G5391" s="3"/>
      <c r="H5391" s="3">
        <v>0</v>
      </c>
      <c r="I5391" s="3">
        <v>0</v>
      </c>
      <c r="J5391" s="3">
        <v>0</v>
      </c>
      <c r="K5391" s="3">
        <v>0</v>
      </c>
      <c r="L5391" s="3">
        <f t="shared" si="236"/>
        <v>0</v>
      </c>
      <c r="M5391" s="3"/>
      <c r="N5391" s="3">
        <f t="shared" si="237"/>
        <v>0</v>
      </c>
      <c r="O5391" s="3"/>
      <c r="S5391" s="89">
        <f>100%-Table34[[#This Row],[PDF_initial fee]]</f>
        <v>1</v>
      </c>
      <c r="T5391" s="89"/>
      <c r="X5391" s="9"/>
    </row>
    <row r="5392" spans="1:24" hidden="1" x14ac:dyDescent="0.25">
      <c r="A5392">
        <v>525421</v>
      </c>
      <c r="B5392" t="s">
        <v>2947</v>
      </c>
      <c r="C5392" t="s">
        <v>31547</v>
      </c>
      <c r="D5392" s="1">
        <v>1</v>
      </c>
      <c r="E5392" t="s">
        <v>2947</v>
      </c>
      <c r="G5392" s="3"/>
      <c r="H5392" s="3">
        <v>0</v>
      </c>
      <c r="I5392" s="3">
        <v>0</v>
      </c>
      <c r="J5392" s="3">
        <v>0</v>
      </c>
      <c r="K5392" s="3">
        <v>0</v>
      </c>
      <c r="L5392" s="3">
        <f t="shared" si="236"/>
        <v>0</v>
      </c>
      <c r="M5392" s="3"/>
      <c r="N5392" s="3">
        <f t="shared" si="237"/>
        <v>0</v>
      </c>
      <c r="O5392" s="3"/>
      <c r="S5392" s="89">
        <f>100%-Table34[[#This Row],[PDF_initial fee]]</f>
        <v>1</v>
      </c>
      <c r="T5392" s="89"/>
      <c r="X5392" s="9"/>
    </row>
    <row r="5393" spans="1:29" hidden="1" x14ac:dyDescent="0.25">
      <c r="A5393">
        <v>544367</v>
      </c>
      <c r="B5393" t="s">
        <v>3109</v>
      </c>
      <c r="C5393" t="s">
        <v>31548</v>
      </c>
      <c r="D5393" s="1">
        <v>3</v>
      </c>
      <c r="E5393" t="s">
        <v>3109</v>
      </c>
      <c r="G5393" s="3"/>
      <c r="H5393" s="3">
        <v>0</v>
      </c>
      <c r="I5393" s="3">
        <v>0</v>
      </c>
      <c r="J5393" s="3">
        <v>0</v>
      </c>
      <c r="K5393" s="3">
        <v>0</v>
      </c>
      <c r="L5393" s="3">
        <f t="shared" si="236"/>
        <v>0</v>
      </c>
      <c r="M5393" s="3"/>
      <c r="N5393" s="3">
        <f t="shared" si="237"/>
        <v>0</v>
      </c>
      <c r="O5393" s="3"/>
      <c r="S5393" s="89">
        <f>100%-Table34[[#This Row],[PDF_initial fee]]</f>
        <v>1</v>
      </c>
      <c r="T5393" s="89"/>
      <c r="X5393" s="9"/>
    </row>
    <row r="5394" spans="1:29" hidden="1" x14ac:dyDescent="0.25">
      <c r="A5394">
        <v>482762</v>
      </c>
      <c r="B5394" t="s">
        <v>2540</v>
      </c>
      <c r="C5394" t="s">
        <v>31549</v>
      </c>
      <c r="D5394" s="1">
        <v>2</v>
      </c>
      <c r="E5394" t="s">
        <v>2540</v>
      </c>
      <c r="G5394" s="3"/>
      <c r="H5394" s="3">
        <v>0</v>
      </c>
      <c r="I5394" s="3">
        <v>0</v>
      </c>
      <c r="J5394" s="3">
        <v>0</v>
      </c>
      <c r="K5394" s="3">
        <v>0</v>
      </c>
      <c r="L5394" s="3">
        <f t="shared" si="236"/>
        <v>0</v>
      </c>
      <c r="M5394" s="3"/>
      <c r="N5394" s="3">
        <f t="shared" si="237"/>
        <v>0</v>
      </c>
      <c r="O5394" s="3"/>
      <c r="S5394" s="89">
        <f>100%-Table34[[#This Row],[PDF_initial fee]]</f>
        <v>1</v>
      </c>
      <c r="T5394" s="89"/>
      <c r="X5394" s="9"/>
    </row>
    <row r="5395" spans="1:29" hidden="1" x14ac:dyDescent="0.25">
      <c r="A5395">
        <v>507226</v>
      </c>
      <c r="B5395" t="s">
        <v>2757</v>
      </c>
      <c r="C5395" t="s">
        <v>31550</v>
      </c>
      <c r="D5395" s="1">
        <v>1</v>
      </c>
      <c r="E5395" t="s">
        <v>2757</v>
      </c>
      <c r="G5395" s="3"/>
      <c r="H5395" s="3">
        <v>0</v>
      </c>
      <c r="I5395" s="3">
        <v>0</v>
      </c>
      <c r="J5395" s="3">
        <v>0</v>
      </c>
      <c r="K5395" s="3">
        <v>0</v>
      </c>
      <c r="L5395" s="3">
        <f t="shared" si="236"/>
        <v>0</v>
      </c>
      <c r="M5395" s="3"/>
      <c r="N5395" s="3">
        <f t="shared" si="237"/>
        <v>0</v>
      </c>
      <c r="O5395" s="3"/>
      <c r="S5395" s="89">
        <f>100%-Table34[[#This Row],[PDF_initial fee]]</f>
        <v>1</v>
      </c>
      <c r="T5395" s="89"/>
      <c r="X5395" s="9"/>
    </row>
    <row r="5396" spans="1:29" hidden="1" x14ac:dyDescent="0.25">
      <c r="A5396">
        <v>537853</v>
      </c>
      <c r="B5396" t="s">
        <v>3064</v>
      </c>
      <c r="C5396" t="s">
        <v>31551</v>
      </c>
      <c r="D5396" s="1">
        <v>0</v>
      </c>
      <c r="E5396" t="s">
        <v>3064</v>
      </c>
      <c r="F5396" t="s">
        <v>31465</v>
      </c>
      <c r="G5396" s="3"/>
      <c r="H5396" s="3">
        <v>0</v>
      </c>
      <c r="I5396" s="3">
        <v>0</v>
      </c>
      <c r="J5396" s="3">
        <v>0</v>
      </c>
      <c r="K5396" s="3">
        <v>0</v>
      </c>
      <c r="L5396" s="3">
        <f t="shared" si="236"/>
        <v>0</v>
      </c>
      <c r="M5396" s="3"/>
      <c r="N5396" s="3">
        <f t="shared" si="237"/>
        <v>0</v>
      </c>
      <c r="O5396" s="3"/>
      <c r="S5396" s="89">
        <f>100%-Table34[[#This Row],[PDF_initial fee]]</f>
        <v>1</v>
      </c>
      <c r="T5396" s="89"/>
      <c r="X5396" s="9"/>
    </row>
    <row r="5397" spans="1:29" hidden="1" x14ac:dyDescent="0.25">
      <c r="A5397">
        <v>572395</v>
      </c>
      <c r="B5397" t="s">
        <v>3266</v>
      </c>
      <c r="C5397" t="s">
        <v>31552</v>
      </c>
      <c r="D5397" s="1">
        <v>4</v>
      </c>
      <c r="E5397" t="s">
        <v>3266</v>
      </c>
      <c r="G5397" s="3"/>
      <c r="H5397" s="3">
        <v>0</v>
      </c>
      <c r="I5397" s="3">
        <v>0</v>
      </c>
      <c r="J5397" s="3">
        <v>0</v>
      </c>
      <c r="K5397" s="3">
        <v>0</v>
      </c>
      <c r="L5397" s="3">
        <f t="shared" si="236"/>
        <v>0</v>
      </c>
      <c r="M5397" s="3"/>
      <c r="N5397" s="3">
        <f t="shared" si="237"/>
        <v>0</v>
      </c>
      <c r="O5397" s="3"/>
      <c r="S5397" s="89">
        <f>100%-Table34[[#This Row],[PDF_initial fee]]</f>
        <v>1</v>
      </c>
      <c r="T5397" s="89"/>
      <c r="X5397" s="9"/>
    </row>
    <row r="5398" spans="1:29" hidden="1" x14ac:dyDescent="0.25">
      <c r="A5398">
        <v>522512</v>
      </c>
      <c r="B5398" t="s">
        <v>2916</v>
      </c>
      <c r="C5398" t="s">
        <v>31553</v>
      </c>
      <c r="D5398" s="1">
        <v>1</v>
      </c>
      <c r="E5398" t="s">
        <v>2916</v>
      </c>
      <c r="G5398" s="3"/>
      <c r="H5398" s="3"/>
      <c r="I5398" s="3"/>
      <c r="J5398" s="3"/>
      <c r="K5398" s="3"/>
      <c r="L5398" s="3">
        <f t="shared" si="236"/>
        <v>0</v>
      </c>
      <c r="M5398" s="3"/>
      <c r="N5398" s="3">
        <f t="shared" si="237"/>
        <v>0</v>
      </c>
      <c r="O5398" s="3"/>
      <c r="S5398" s="89">
        <f>100%-Table34[[#This Row],[PDF_initial fee]]</f>
        <v>1</v>
      </c>
      <c r="T5398" s="89"/>
      <c r="X5398" s="9"/>
    </row>
    <row r="5399" spans="1:29" hidden="1" x14ac:dyDescent="0.25">
      <c r="A5399" s="34">
        <v>481803</v>
      </c>
      <c r="B5399" s="34" t="s">
        <v>2527</v>
      </c>
      <c r="C5399" s="34" t="s">
        <v>8968</v>
      </c>
      <c r="D5399" s="34">
        <v>4</v>
      </c>
      <c r="E5399" t="s">
        <v>2527</v>
      </c>
      <c r="F5399" s="34" t="s">
        <v>3</v>
      </c>
      <c r="G5399" s="28">
        <v>1.6999999999999999E-3</v>
      </c>
      <c r="H5399" s="36"/>
      <c r="I5399" s="36"/>
      <c r="J5399" s="37"/>
      <c r="K5399" s="37"/>
      <c r="L5399" s="36"/>
      <c r="M5399" s="36"/>
      <c r="N5399" s="36"/>
      <c r="O5399" s="34"/>
      <c r="P5399" s="34"/>
      <c r="S5399" s="89">
        <f>100%-Table34[[#This Row],[PDF_initial fee]]</f>
        <v>1</v>
      </c>
      <c r="T5399" s="89"/>
      <c r="V5399" s="34"/>
      <c r="W5399" s="34"/>
      <c r="X5399" s="34"/>
      <c r="Y5399" s="80" t="e">
        <f>X5399/V5399</f>
        <v>#DIV/0!</v>
      </c>
      <c r="Z5399" s="34"/>
      <c r="AA5399" s="34"/>
      <c r="AB5399" s="34"/>
      <c r="AC5399" s="34"/>
    </row>
    <row r="5400" spans="1:29" hidden="1" x14ac:dyDescent="0.25">
      <c r="A5400">
        <v>502036</v>
      </c>
      <c r="B5400" t="s">
        <v>2707</v>
      </c>
      <c r="C5400" t="s">
        <v>31554</v>
      </c>
      <c r="D5400" s="1">
        <v>3</v>
      </c>
      <c r="E5400" t="s">
        <v>2707</v>
      </c>
      <c r="G5400" s="3"/>
      <c r="H5400" s="3">
        <v>0</v>
      </c>
      <c r="I5400" s="3">
        <v>0</v>
      </c>
      <c r="J5400" s="3">
        <v>0</v>
      </c>
      <c r="K5400" s="3">
        <v>0</v>
      </c>
      <c r="L5400" s="3">
        <f t="shared" ref="L5400:L5419" si="238">SUM(H5400:K5400)</f>
        <v>0</v>
      </c>
      <c r="M5400" s="3"/>
      <c r="N5400" s="3">
        <f t="shared" ref="N5400:N5419" si="239">L5400+G5400</f>
        <v>0</v>
      </c>
      <c r="O5400" s="3"/>
      <c r="S5400" s="89">
        <f>100%-Table34[[#This Row],[PDF_initial fee]]</f>
        <v>1</v>
      </c>
      <c r="T5400" s="89"/>
      <c r="X5400" s="9"/>
    </row>
    <row r="5401" spans="1:29" hidden="1" x14ac:dyDescent="0.25">
      <c r="A5401">
        <v>517378</v>
      </c>
      <c r="B5401" t="s">
        <v>2866</v>
      </c>
      <c r="C5401" t="s">
        <v>31555</v>
      </c>
      <c r="D5401" s="1">
        <v>0</v>
      </c>
      <c r="E5401" t="s">
        <v>2866</v>
      </c>
      <c r="F5401" t="s">
        <v>29114</v>
      </c>
      <c r="G5401" s="3"/>
      <c r="H5401" s="3">
        <v>0</v>
      </c>
      <c r="I5401" s="3">
        <v>0</v>
      </c>
      <c r="J5401" s="3">
        <v>0</v>
      </c>
      <c r="K5401" s="3">
        <v>0</v>
      </c>
      <c r="L5401" s="3">
        <f t="shared" si="238"/>
        <v>0</v>
      </c>
      <c r="M5401" s="3"/>
      <c r="N5401" s="3">
        <f t="shared" si="239"/>
        <v>0</v>
      </c>
      <c r="O5401" s="3"/>
      <c r="S5401" s="89">
        <f>100%-Table34[[#This Row],[PDF_initial fee]]</f>
        <v>1</v>
      </c>
      <c r="T5401" s="89"/>
      <c r="X5401" s="9"/>
    </row>
    <row r="5402" spans="1:29" hidden="1" x14ac:dyDescent="0.25">
      <c r="A5402">
        <v>521678</v>
      </c>
      <c r="B5402" t="s">
        <v>2903</v>
      </c>
      <c r="C5402" t="s">
        <v>31556</v>
      </c>
      <c r="D5402" s="1">
        <v>1</v>
      </c>
      <c r="E5402" t="s">
        <v>2903</v>
      </c>
      <c r="G5402" s="3"/>
      <c r="H5402" s="3">
        <v>0</v>
      </c>
      <c r="I5402" s="3">
        <v>0</v>
      </c>
      <c r="J5402" s="3">
        <v>0</v>
      </c>
      <c r="K5402" s="3">
        <v>0</v>
      </c>
      <c r="L5402" s="3">
        <f t="shared" si="238"/>
        <v>0</v>
      </c>
      <c r="M5402" s="3"/>
      <c r="N5402" s="3">
        <f t="shared" si="239"/>
        <v>0</v>
      </c>
      <c r="O5402" s="3"/>
      <c r="S5402" s="89">
        <f>100%-Table34[[#This Row],[PDF_initial fee]]</f>
        <v>1</v>
      </c>
      <c r="T5402" s="89"/>
      <c r="X5402" s="9"/>
    </row>
    <row r="5403" spans="1:29" hidden="1" x14ac:dyDescent="0.25">
      <c r="A5403">
        <v>577053</v>
      </c>
      <c r="B5403" t="s">
        <v>3296</v>
      </c>
      <c r="C5403" t="s">
        <v>31557</v>
      </c>
      <c r="D5403" s="1">
        <v>1</v>
      </c>
      <c r="E5403" t="s">
        <v>3296</v>
      </c>
      <c r="G5403" s="3"/>
      <c r="H5403" s="3">
        <v>0</v>
      </c>
      <c r="I5403" s="3">
        <v>0</v>
      </c>
      <c r="J5403" s="3">
        <v>0</v>
      </c>
      <c r="K5403" s="3">
        <v>0</v>
      </c>
      <c r="L5403" s="3">
        <f t="shared" si="238"/>
        <v>0</v>
      </c>
      <c r="M5403" s="3"/>
      <c r="N5403" s="3">
        <f t="shared" si="239"/>
        <v>0</v>
      </c>
      <c r="O5403" s="3"/>
      <c r="S5403" s="89">
        <f>100%-Table34[[#This Row],[PDF_initial fee]]</f>
        <v>1</v>
      </c>
      <c r="T5403" s="89"/>
      <c r="X5403" s="9"/>
    </row>
    <row r="5404" spans="1:29" hidden="1" x14ac:dyDescent="0.25">
      <c r="A5404">
        <v>533879</v>
      </c>
      <c r="B5404" t="s">
        <v>3037</v>
      </c>
      <c r="C5404" t="s">
        <v>31558</v>
      </c>
      <c r="D5404" s="1">
        <v>1</v>
      </c>
      <c r="E5404" t="s">
        <v>3037</v>
      </c>
      <c r="G5404" s="3"/>
      <c r="H5404" s="3">
        <v>0</v>
      </c>
      <c r="I5404" s="3">
        <v>0</v>
      </c>
      <c r="J5404" s="3">
        <v>0</v>
      </c>
      <c r="K5404" s="3">
        <v>0</v>
      </c>
      <c r="L5404" s="3">
        <f t="shared" si="238"/>
        <v>0</v>
      </c>
      <c r="M5404" s="3"/>
      <c r="N5404" s="3">
        <f t="shared" si="239"/>
        <v>0</v>
      </c>
      <c r="O5404" s="3"/>
      <c r="S5404" s="89">
        <f>100%-Table34[[#This Row],[PDF_initial fee]]</f>
        <v>1</v>
      </c>
      <c r="T5404" s="89"/>
      <c r="X5404" s="9"/>
    </row>
    <row r="5405" spans="1:29" hidden="1" x14ac:dyDescent="0.25">
      <c r="A5405">
        <v>577452</v>
      </c>
      <c r="B5405" t="s">
        <v>3301</v>
      </c>
      <c r="C5405" t="s">
        <v>31559</v>
      </c>
      <c r="D5405" s="1">
        <v>0</v>
      </c>
      <c r="E5405" t="s">
        <v>3301</v>
      </c>
      <c r="F5405" t="s">
        <v>31560</v>
      </c>
      <c r="G5405" s="3"/>
      <c r="H5405" s="3">
        <v>0</v>
      </c>
      <c r="I5405" s="3">
        <v>0</v>
      </c>
      <c r="J5405" s="3">
        <v>0</v>
      </c>
      <c r="K5405" s="3">
        <v>0</v>
      </c>
      <c r="L5405" s="3">
        <f t="shared" si="238"/>
        <v>0</v>
      </c>
      <c r="M5405" s="3"/>
      <c r="N5405" s="3">
        <f t="shared" si="239"/>
        <v>0</v>
      </c>
      <c r="O5405" s="3"/>
      <c r="S5405" s="89">
        <f>100%-Table34[[#This Row],[PDF_initial fee]]</f>
        <v>1</v>
      </c>
      <c r="T5405" s="89"/>
      <c r="X5405" s="9"/>
    </row>
    <row r="5406" spans="1:29" hidden="1" x14ac:dyDescent="0.25">
      <c r="A5406">
        <v>588195</v>
      </c>
      <c r="B5406" t="s">
        <v>3420</v>
      </c>
      <c r="C5406" t="s">
        <v>31561</v>
      </c>
      <c r="D5406" s="1">
        <v>1</v>
      </c>
      <c r="E5406" t="s">
        <v>3420</v>
      </c>
      <c r="G5406" s="3"/>
      <c r="H5406" s="3">
        <v>0</v>
      </c>
      <c r="I5406" s="3">
        <v>0</v>
      </c>
      <c r="J5406" s="3">
        <v>0</v>
      </c>
      <c r="K5406" s="3">
        <v>0</v>
      </c>
      <c r="L5406" s="3">
        <f t="shared" si="238"/>
        <v>0</v>
      </c>
      <c r="M5406" s="3"/>
      <c r="N5406" s="3">
        <f t="shared" si="239"/>
        <v>0</v>
      </c>
      <c r="O5406" s="3"/>
      <c r="S5406" s="89">
        <f>100%-Table34[[#This Row],[PDF_initial fee]]</f>
        <v>1</v>
      </c>
      <c r="T5406" s="89"/>
      <c r="X5406" s="9"/>
    </row>
    <row r="5407" spans="1:29" hidden="1" x14ac:dyDescent="0.25">
      <c r="A5407">
        <v>583219</v>
      </c>
      <c r="B5407" t="s">
        <v>3349</v>
      </c>
      <c r="C5407" t="s">
        <v>31562</v>
      </c>
      <c r="D5407" s="1">
        <v>1</v>
      </c>
      <c r="E5407" t="s">
        <v>3349</v>
      </c>
      <c r="G5407" s="3"/>
      <c r="H5407" s="3">
        <v>0</v>
      </c>
      <c r="I5407" s="3">
        <v>0</v>
      </c>
      <c r="J5407" s="3">
        <v>0</v>
      </c>
      <c r="K5407" s="3">
        <v>0</v>
      </c>
      <c r="L5407" s="3">
        <f t="shared" si="238"/>
        <v>0</v>
      </c>
      <c r="M5407" s="3"/>
      <c r="N5407" s="3">
        <f t="shared" si="239"/>
        <v>0</v>
      </c>
      <c r="O5407" s="3"/>
      <c r="S5407" s="89">
        <f>100%-Table34[[#This Row],[PDF_initial fee]]</f>
        <v>1</v>
      </c>
      <c r="T5407" s="89"/>
      <c r="X5407" s="9"/>
    </row>
    <row r="5408" spans="1:29" hidden="1" x14ac:dyDescent="0.25">
      <c r="A5408">
        <v>563955</v>
      </c>
      <c r="B5408" t="s">
        <v>3204</v>
      </c>
      <c r="C5408" t="s">
        <v>31563</v>
      </c>
      <c r="D5408" s="1">
        <v>1</v>
      </c>
      <c r="E5408" t="s">
        <v>3204</v>
      </c>
      <c r="G5408" s="3"/>
      <c r="H5408" s="3">
        <v>0</v>
      </c>
      <c r="I5408" s="3">
        <v>0</v>
      </c>
      <c r="J5408" s="3">
        <v>0</v>
      </c>
      <c r="K5408" s="3">
        <v>0</v>
      </c>
      <c r="L5408" s="3">
        <f t="shared" si="238"/>
        <v>0</v>
      </c>
      <c r="M5408" s="3"/>
      <c r="N5408" s="3">
        <f t="shared" si="239"/>
        <v>0</v>
      </c>
      <c r="O5408" s="3"/>
      <c r="S5408" s="89">
        <f>100%-Table34[[#This Row],[PDF_initial fee]]</f>
        <v>1</v>
      </c>
      <c r="T5408" s="89"/>
      <c r="X5408" s="9"/>
    </row>
    <row r="5409" spans="1:25" hidden="1" x14ac:dyDescent="0.25">
      <c r="A5409">
        <v>598864</v>
      </c>
      <c r="B5409" t="s">
        <v>3536</v>
      </c>
      <c r="C5409" t="s">
        <v>31564</v>
      </c>
      <c r="D5409" s="1">
        <v>1</v>
      </c>
      <c r="E5409" t="s">
        <v>3536</v>
      </c>
      <c r="G5409" s="3"/>
      <c r="H5409" s="3"/>
      <c r="I5409" s="3"/>
      <c r="J5409" s="3"/>
      <c r="K5409" s="3"/>
      <c r="L5409" s="3">
        <f t="shared" si="238"/>
        <v>0</v>
      </c>
      <c r="M5409" s="3"/>
      <c r="N5409" s="3">
        <f t="shared" si="239"/>
        <v>0</v>
      </c>
      <c r="O5409" s="3"/>
      <c r="S5409" s="89">
        <f>100%-Table34[[#This Row],[PDF_initial fee]]</f>
        <v>1</v>
      </c>
      <c r="T5409" s="89"/>
      <c r="X5409" s="9"/>
    </row>
    <row r="5410" spans="1:25" hidden="1" x14ac:dyDescent="0.25">
      <c r="A5410">
        <v>567289</v>
      </c>
      <c r="B5410" t="s">
        <v>3232</v>
      </c>
      <c r="C5410" t="s">
        <v>31565</v>
      </c>
      <c r="D5410" s="1">
        <v>0</v>
      </c>
      <c r="E5410" t="s">
        <v>3232</v>
      </c>
      <c r="F5410" t="s">
        <v>29068</v>
      </c>
      <c r="G5410" s="3"/>
      <c r="H5410" s="3"/>
      <c r="I5410" s="3"/>
      <c r="J5410" s="3"/>
      <c r="K5410" s="3"/>
      <c r="L5410" s="3">
        <f t="shared" si="238"/>
        <v>0</v>
      </c>
      <c r="M5410" s="3"/>
      <c r="N5410" s="3">
        <f t="shared" si="239"/>
        <v>0</v>
      </c>
      <c r="O5410" s="3"/>
      <c r="S5410" s="89">
        <f>100%-Table34[[#This Row],[PDF_initial fee]]</f>
        <v>1</v>
      </c>
      <c r="T5410" s="89"/>
      <c r="X5410" s="9"/>
    </row>
    <row r="5411" spans="1:25" hidden="1" x14ac:dyDescent="0.25">
      <c r="A5411">
        <v>618336</v>
      </c>
      <c r="B5411" t="s">
        <v>3803</v>
      </c>
      <c r="C5411" t="s">
        <v>31566</v>
      </c>
      <c r="D5411" s="1">
        <v>3</v>
      </c>
      <c r="E5411" t="s">
        <v>3803</v>
      </c>
      <c r="G5411" s="3"/>
      <c r="H5411" s="3">
        <v>0</v>
      </c>
      <c r="I5411" s="3">
        <v>0</v>
      </c>
      <c r="J5411" s="3">
        <v>0</v>
      </c>
      <c r="K5411" s="3">
        <v>0</v>
      </c>
      <c r="L5411" s="3">
        <f t="shared" si="238"/>
        <v>0</v>
      </c>
      <c r="M5411" s="3"/>
      <c r="N5411" s="3">
        <f t="shared" si="239"/>
        <v>0</v>
      </c>
      <c r="O5411" s="3"/>
      <c r="S5411" s="89">
        <f>100%-Table34[[#This Row],[PDF_initial fee]]</f>
        <v>1</v>
      </c>
      <c r="T5411" s="89"/>
      <c r="X5411" s="9"/>
    </row>
    <row r="5412" spans="1:25" hidden="1" x14ac:dyDescent="0.25">
      <c r="A5412">
        <v>575505</v>
      </c>
      <c r="B5412" t="s">
        <v>3288</v>
      </c>
      <c r="C5412" t="s">
        <v>31567</v>
      </c>
      <c r="D5412" s="1">
        <v>1</v>
      </c>
      <c r="E5412" t="s">
        <v>3288</v>
      </c>
      <c r="G5412" s="3"/>
      <c r="H5412" s="3">
        <v>0</v>
      </c>
      <c r="I5412" s="3">
        <v>0</v>
      </c>
      <c r="J5412" s="3">
        <v>0</v>
      </c>
      <c r="K5412" s="3">
        <v>0</v>
      </c>
      <c r="L5412" s="3">
        <f t="shared" si="238"/>
        <v>0</v>
      </c>
      <c r="M5412" s="3"/>
      <c r="N5412" s="3">
        <f t="shared" si="239"/>
        <v>0</v>
      </c>
      <c r="O5412" s="3"/>
      <c r="S5412" s="89">
        <f>100%-Table34[[#This Row],[PDF_initial fee]]</f>
        <v>1</v>
      </c>
      <c r="T5412" s="89"/>
      <c r="X5412" s="9"/>
    </row>
    <row r="5413" spans="1:25" hidden="1" x14ac:dyDescent="0.25">
      <c r="A5413">
        <v>599268</v>
      </c>
      <c r="B5413" t="s">
        <v>3545</v>
      </c>
      <c r="C5413" t="s">
        <v>31568</v>
      </c>
      <c r="D5413" s="1">
        <v>1</v>
      </c>
      <c r="E5413" t="s">
        <v>3545</v>
      </c>
      <c r="G5413" s="3"/>
      <c r="H5413" s="3">
        <v>0</v>
      </c>
      <c r="I5413" s="3">
        <v>0</v>
      </c>
      <c r="J5413" s="3">
        <v>0</v>
      </c>
      <c r="K5413" s="3">
        <v>0</v>
      </c>
      <c r="L5413" s="3">
        <f t="shared" si="238"/>
        <v>0</v>
      </c>
      <c r="M5413" s="3"/>
      <c r="N5413" s="3">
        <f t="shared" si="239"/>
        <v>0</v>
      </c>
      <c r="O5413" s="3"/>
      <c r="S5413" s="89">
        <f>100%-Table34[[#This Row],[PDF_initial fee]]</f>
        <v>1</v>
      </c>
      <c r="T5413" s="89"/>
      <c r="X5413" s="9"/>
    </row>
    <row r="5414" spans="1:25" hidden="1" x14ac:dyDescent="0.25">
      <c r="A5414">
        <v>563043</v>
      </c>
      <c r="B5414" t="s">
        <v>3190</v>
      </c>
      <c r="C5414" t="s">
        <v>31569</v>
      </c>
      <c r="D5414" s="1">
        <v>1</v>
      </c>
      <c r="E5414" t="s">
        <v>3190</v>
      </c>
      <c r="G5414" s="3"/>
      <c r="H5414" s="3">
        <v>0</v>
      </c>
      <c r="I5414" s="3">
        <v>0</v>
      </c>
      <c r="J5414" s="3">
        <v>0</v>
      </c>
      <c r="K5414" s="3">
        <v>0</v>
      </c>
      <c r="L5414" s="3">
        <f t="shared" si="238"/>
        <v>0</v>
      </c>
      <c r="M5414" s="3"/>
      <c r="N5414" s="3">
        <f t="shared" si="239"/>
        <v>0</v>
      </c>
      <c r="O5414" s="3"/>
      <c r="S5414" s="89">
        <f>100%-Table34[[#This Row],[PDF_initial fee]]</f>
        <v>1</v>
      </c>
      <c r="T5414" s="89"/>
      <c r="X5414" s="9"/>
    </row>
    <row r="5415" spans="1:25" hidden="1" x14ac:dyDescent="0.25">
      <c r="A5415">
        <v>593784</v>
      </c>
      <c r="B5415" t="s">
        <v>3490</v>
      </c>
      <c r="C5415" t="s">
        <v>31570</v>
      </c>
      <c r="D5415" s="1">
        <v>3</v>
      </c>
      <c r="E5415" t="s">
        <v>3490</v>
      </c>
      <c r="G5415" s="3"/>
      <c r="H5415" s="3">
        <v>0</v>
      </c>
      <c r="I5415" s="3">
        <v>0</v>
      </c>
      <c r="J5415" s="3">
        <v>0</v>
      </c>
      <c r="K5415" s="3">
        <v>0</v>
      </c>
      <c r="L5415" s="3">
        <f t="shared" si="238"/>
        <v>0</v>
      </c>
      <c r="M5415" s="3"/>
      <c r="N5415" s="3">
        <f t="shared" si="239"/>
        <v>0</v>
      </c>
      <c r="O5415" s="3"/>
      <c r="S5415" s="89">
        <f>100%-Table34[[#This Row],[PDF_initial fee]]</f>
        <v>1</v>
      </c>
      <c r="T5415" s="89"/>
      <c r="X5415" s="9"/>
    </row>
    <row r="5416" spans="1:25" hidden="1" x14ac:dyDescent="0.25">
      <c r="A5416">
        <v>623878</v>
      </c>
      <c r="B5416" t="s">
        <v>3839</v>
      </c>
      <c r="C5416" t="s">
        <v>8093</v>
      </c>
      <c r="D5416" s="1">
        <v>1</v>
      </c>
      <c r="E5416" t="s">
        <v>3839</v>
      </c>
      <c r="G5416" s="3"/>
      <c r="H5416" s="3">
        <v>0</v>
      </c>
      <c r="I5416" s="3">
        <v>0</v>
      </c>
      <c r="J5416" s="3">
        <v>0</v>
      </c>
      <c r="K5416" s="3">
        <v>0</v>
      </c>
      <c r="L5416" s="3">
        <f t="shared" si="238"/>
        <v>0</v>
      </c>
      <c r="M5416" s="3"/>
      <c r="N5416" s="3">
        <f t="shared" si="239"/>
        <v>0</v>
      </c>
      <c r="O5416" s="3"/>
      <c r="S5416" s="89">
        <f>100%-Table34[[#This Row],[PDF_initial fee]]</f>
        <v>1</v>
      </c>
      <c r="T5416" s="89"/>
      <c r="X5416" s="9"/>
    </row>
    <row r="5417" spans="1:25" hidden="1" x14ac:dyDescent="0.25">
      <c r="A5417">
        <v>630427</v>
      </c>
      <c r="B5417" t="s">
        <v>3976</v>
      </c>
      <c r="C5417" t="s">
        <v>31571</v>
      </c>
      <c r="D5417" s="1">
        <v>3</v>
      </c>
      <c r="E5417" t="s">
        <v>3976</v>
      </c>
      <c r="G5417" s="3"/>
      <c r="H5417" s="3">
        <v>0</v>
      </c>
      <c r="I5417" s="3">
        <v>0</v>
      </c>
      <c r="J5417" s="3">
        <v>0</v>
      </c>
      <c r="K5417" s="3">
        <v>0</v>
      </c>
      <c r="L5417" s="3">
        <f t="shared" si="238"/>
        <v>0</v>
      </c>
      <c r="M5417" s="3"/>
      <c r="N5417" s="3">
        <f t="shared" si="239"/>
        <v>0</v>
      </c>
      <c r="O5417" s="3"/>
      <c r="S5417" s="89">
        <f>100%-Table34[[#This Row],[PDF_initial fee]]</f>
        <v>1</v>
      </c>
      <c r="T5417" s="89"/>
      <c r="X5417" s="9"/>
    </row>
    <row r="5418" spans="1:25" hidden="1" x14ac:dyDescent="0.25">
      <c r="A5418">
        <v>588344</v>
      </c>
      <c r="B5418" t="s">
        <v>3421</v>
      </c>
      <c r="C5418" t="s">
        <v>31572</v>
      </c>
      <c r="D5418" s="1">
        <v>1</v>
      </c>
      <c r="E5418" t="s">
        <v>3421</v>
      </c>
      <c r="G5418" s="3"/>
      <c r="H5418" s="3">
        <v>0</v>
      </c>
      <c r="I5418" s="3">
        <v>0</v>
      </c>
      <c r="J5418" s="3">
        <v>0</v>
      </c>
      <c r="K5418" s="3">
        <v>0</v>
      </c>
      <c r="L5418" s="3">
        <f t="shared" si="238"/>
        <v>0</v>
      </c>
      <c r="M5418" s="3"/>
      <c r="N5418" s="3">
        <f t="shared" si="239"/>
        <v>0</v>
      </c>
      <c r="O5418" s="3"/>
      <c r="S5418" s="89">
        <f>100%-Table34[[#This Row],[PDF_initial fee]]</f>
        <v>1</v>
      </c>
      <c r="T5418" s="89"/>
      <c r="X5418" s="9"/>
    </row>
    <row r="5419" spans="1:25" hidden="1" x14ac:dyDescent="0.25">
      <c r="A5419">
        <v>648171</v>
      </c>
      <c r="B5419" t="s">
        <v>4007</v>
      </c>
      <c r="C5419" t="s">
        <v>31573</v>
      </c>
      <c r="D5419" s="1">
        <v>0</v>
      </c>
      <c r="E5419" t="s">
        <v>4007</v>
      </c>
      <c r="F5419" t="s">
        <v>31465</v>
      </c>
      <c r="G5419" s="3"/>
      <c r="H5419" s="3">
        <v>0</v>
      </c>
      <c r="I5419" s="3">
        <v>0</v>
      </c>
      <c r="J5419" s="3">
        <v>0</v>
      </c>
      <c r="K5419" s="3">
        <v>0</v>
      </c>
      <c r="L5419" s="3">
        <f t="shared" si="238"/>
        <v>0</v>
      </c>
      <c r="M5419" s="3"/>
      <c r="N5419" s="3">
        <f t="shared" si="239"/>
        <v>0</v>
      </c>
      <c r="O5419" s="3"/>
      <c r="S5419" s="89">
        <f>100%-Table34[[#This Row],[PDF_initial fee]]</f>
        <v>1</v>
      </c>
      <c r="T5419" s="89"/>
      <c r="X5419" s="9"/>
    </row>
    <row r="5420" spans="1:25" s="46" customFormat="1" hidden="1" x14ac:dyDescent="0.25">
      <c r="A5420" s="46">
        <v>606848</v>
      </c>
      <c r="B5420" s="46" t="s">
        <v>3655</v>
      </c>
      <c r="C5420" s="46" t="s">
        <v>31574</v>
      </c>
      <c r="D5420" s="46">
        <v>6</v>
      </c>
      <c r="E5420" s="46" t="s">
        <v>3655</v>
      </c>
      <c r="F5420" s="46" t="s">
        <v>3</v>
      </c>
      <c r="G5420" s="28">
        <v>1.6999999999999999E-3</v>
      </c>
      <c r="H5420" s="3"/>
      <c r="I5420" s="3"/>
      <c r="J5420" s="6"/>
      <c r="K5420" s="6"/>
      <c r="L5420" s="3"/>
      <c r="M5420" s="3"/>
      <c r="N5420" s="3"/>
      <c r="S5420" s="89">
        <f>100%-Table34[[#This Row],[PDF_initial fee]]</f>
        <v>1</v>
      </c>
      <c r="T5420" s="89"/>
      <c r="Y5420" s="30"/>
    </row>
    <row r="5421" spans="1:25" hidden="1" x14ac:dyDescent="0.25">
      <c r="A5421">
        <v>623690</v>
      </c>
      <c r="B5421" t="s">
        <v>3833</v>
      </c>
      <c r="C5421" t="s">
        <v>31575</v>
      </c>
      <c r="D5421">
        <v>2</v>
      </c>
      <c r="E5421" t="s">
        <v>3833</v>
      </c>
      <c r="G5421" s="3"/>
      <c r="H5421" s="3">
        <v>0</v>
      </c>
      <c r="I5421" s="3">
        <v>0</v>
      </c>
      <c r="J5421" s="3">
        <v>0</v>
      </c>
      <c r="K5421" s="3">
        <v>0</v>
      </c>
      <c r="L5421" s="3">
        <f t="shared" ref="L5421:L5426" si="240">SUM(H5421:K5421)</f>
        <v>0</v>
      </c>
      <c r="M5421" s="3"/>
      <c r="N5421" s="3">
        <f t="shared" ref="N5421:N5426" si="241">L5421+G5421</f>
        <v>0</v>
      </c>
      <c r="O5421" s="3"/>
      <c r="S5421" s="89">
        <f>100%-Table34[[#This Row],[PDF_initial fee]]</f>
        <v>1</v>
      </c>
      <c r="T5421" s="89"/>
      <c r="X5421" s="9"/>
    </row>
    <row r="5422" spans="1:25" hidden="1" x14ac:dyDescent="0.25">
      <c r="A5422">
        <v>711051</v>
      </c>
      <c r="B5422" t="s">
        <v>4250</v>
      </c>
      <c r="C5422" t="s">
        <v>31576</v>
      </c>
      <c r="D5422">
        <v>3</v>
      </c>
      <c r="E5422" t="s">
        <v>4250</v>
      </c>
      <c r="G5422" s="3"/>
      <c r="H5422" s="3">
        <v>0</v>
      </c>
      <c r="I5422" s="3">
        <v>0</v>
      </c>
      <c r="J5422" s="3">
        <v>0</v>
      </c>
      <c r="K5422" s="3">
        <v>0</v>
      </c>
      <c r="L5422" s="3">
        <f t="shared" si="240"/>
        <v>0</v>
      </c>
      <c r="M5422" s="3"/>
      <c r="N5422" s="3">
        <f t="shared" si="241"/>
        <v>0</v>
      </c>
      <c r="O5422" s="3"/>
      <c r="S5422" s="89">
        <f>100%-Table34[[#This Row],[PDF_initial fee]]</f>
        <v>1</v>
      </c>
      <c r="T5422" s="89"/>
      <c r="X5422" s="9"/>
    </row>
    <row r="5423" spans="1:25" hidden="1" x14ac:dyDescent="0.25">
      <c r="A5423">
        <v>711715</v>
      </c>
      <c r="B5423" t="s">
        <v>4258</v>
      </c>
      <c r="C5423" t="s">
        <v>31577</v>
      </c>
      <c r="D5423">
        <v>0</v>
      </c>
      <c r="E5423" t="s">
        <v>4258</v>
      </c>
      <c r="F5423" t="s">
        <v>31465</v>
      </c>
      <c r="G5423" s="3"/>
      <c r="H5423" s="3">
        <v>0</v>
      </c>
      <c r="I5423" s="3">
        <v>0</v>
      </c>
      <c r="J5423" s="3">
        <v>0</v>
      </c>
      <c r="K5423" s="3">
        <v>0</v>
      </c>
      <c r="L5423" s="3">
        <f t="shared" si="240"/>
        <v>0</v>
      </c>
      <c r="M5423" s="3"/>
      <c r="N5423" s="3">
        <f t="shared" si="241"/>
        <v>0</v>
      </c>
      <c r="O5423" s="3"/>
      <c r="S5423" s="89">
        <f>100%-Table34[[#This Row],[PDF_initial fee]]</f>
        <v>1</v>
      </c>
      <c r="T5423" s="89"/>
      <c r="X5423" s="9"/>
    </row>
    <row r="5424" spans="1:25" hidden="1" x14ac:dyDescent="0.25">
      <c r="A5424">
        <v>712109</v>
      </c>
      <c r="B5424" t="s">
        <v>4263</v>
      </c>
      <c r="C5424" t="s">
        <v>31578</v>
      </c>
      <c r="D5424">
        <v>1</v>
      </c>
      <c r="E5424" t="s">
        <v>4263</v>
      </c>
      <c r="G5424" s="3"/>
      <c r="H5424" s="3">
        <v>0</v>
      </c>
      <c r="I5424" s="3">
        <v>0</v>
      </c>
      <c r="J5424" s="3">
        <v>0</v>
      </c>
      <c r="K5424" s="3">
        <v>0</v>
      </c>
      <c r="L5424" s="3">
        <f t="shared" si="240"/>
        <v>0</v>
      </c>
      <c r="M5424" s="3"/>
      <c r="N5424" s="3">
        <f t="shared" si="241"/>
        <v>0</v>
      </c>
      <c r="O5424" s="3"/>
      <c r="S5424" s="89">
        <f>100%-Table34[[#This Row],[PDF_initial fee]]</f>
        <v>1</v>
      </c>
      <c r="T5424" s="89"/>
      <c r="X5424" s="9"/>
    </row>
    <row r="5425" spans="1:24" hidden="1" x14ac:dyDescent="0.25">
      <c r="A5425">
        <v>707835</v>
      </c>
      <c r="B5425" t="s">
        <v>4214</v>
      </c>
      <c r="C5425" t="s">
        <v>31579</v>
      </c>
      <c r="D5425">
        <v>1</v>
      </c>
      <c r="E5425" t="s">
        <v>4214</v>
      </c>
      <c r="G5425" s="3"/>
      <c r="H5425" s="3"/>
      <c r="I5425" s="3"/>
      <c r="J5425" s="3"/>
      <c r="K5425" s="3"/>
      <c r="L5425" s="3">
        <f t="shared" si="240"/>
        <v>0</v>
      </c>
      <c r="M5425" s="3"/>
      <c r="N5425" s="3">
        <f t="shared" si="241"/>
        <v>0</v>
      </c>
      <c r="O5425" s="3"/>
      <c r="S5425" s="89">
        <f>100%-Table34[[#This Row],[PDF_initial fee]]</f>
        <v>1</v>
      </c>
      <c r="T5425" s="89"/>
      <c r="X5425" s="9"/>
    </row>
    <row r="5426" spans="1:24" hidden="1" x14ac:dyDescent="0.25">
      <c r="A5426">
        <v>720147</v>
      </c>
      <c r="B5426" t="s">
        <v>4355</v>
      </c>
      <c r="C5426" t="s">
        <v>31580</v>
      </c>
      <c r="D5426">
        <v>1</v>
      </c>
      <c r="E5426" t="s">
        <v>4355</v>
      </c>
      <c r="G5426" s="3"/>
      <c r="H5426" s="3">
        <v>0</v>
      </c>
      <c r="I5426" s="3">
        <v>0</v>
      </c>
      <c r="J5426" s="3">
        <v>0</v>
      </c>
      <c r="K5426" s="3">
        <v>0</v>
      </c>
      <c r="L5426" s="3">
        <f t="shared" si="240"/>
        <v>0</v>
      </c>
      <c r="M5426" s="3"/>
      <c r="N5426" s="3">
        <f t="shared" si="241"/>
        <v>0</v>
      </c>
      <c r="O5426" s="3"/>
      <c r="S5426" s="89">
        <f>100%-Table34[[#This Row],[PDF_initial fee]]</f>
        <v>1</v>
      </c>
      <c r="T5426" s="89"/>
      <c r="X5426" s="9"/>
    </row>
    <row r="5427" spans="1:24" hidden="1" x14ac:dyDescent="0.25">
      <c r="A5427">
        <v>625337</v>
      </c>
      <c r="B5427" t="s">
        <v>3893</v>
      </c>
      <c r="C5427" t="s">
        <v>11132</v>
      </c>
      <c r="D5427">
        <v>1</v>
      </c>
      <c r="E5427" t="s">
        <v>3893</v>
      </c>
      <c r="F5427" t="s">
        <v>3</v>
      </c>
      <c r="G5427" s="28">
        <v>1.6999999999999999E-3</v>
      </c>
      <c r="H5427" s="3"/>
      <c r="I5427" s="3"/>
      <c r="J5427" s="6"/>
      <c r="K5427" s="6"/>
      <c r="L5427" s="6"/>
      <c r="M5427" s="6"/>
      <c r="N5427" s="3"/>
      <c r="O5427" t="s">
        <v>31581</v>
      </c>
      <c r="S5427" s="89">
        <f>100%-Table34[[#This Row],[PDF_initial fee]]</f>
        <v>1</v>
      </c>
      <c r="T5427" s="89"/>
    </row>
    <row r="5428" spans="1:24" hidden="1" x14ac:dyDescent="0.25">
      <c r="A5428">
        <v>628970</v>
      </c>
      <c r="B5428" t="s">
        <v>3948</v>
      </c>
      <c r="C5428" t="s">
        <v>31582</v>
      </c>
      <c r="D5428">
        <v>1</v>
      </c>
      <c r="E5428" t="s">
        <v>3948</v>
      </c>
      <c r="G5428" s="3"/>
      <c r="H5428" s="3">
        <v>0</v>
      </c>
      <c r="I5428" s="3">
        <v>0</v>
      </c>
      <c r="J5428" s="3">
        <v>0</v>
      </c>
      <c r="K5428" s="3">
        <v>0</v>
      </c>
      <c r="L5428" s="3">
        <f t="shared" ref="L5428:L5444" si="242">SUM(H5428:K5428)</f>
        <v>0</v>
      </c>
      <c r="M5428" s="3"/>
      <c r="N5428" s="3">
        <f t="shared" ref="N5428:N5444" si="243">L5428+G5428</f>
        <v>0</v>
      </c>
      <c r="O5428" s="3"/>
      <c r="S5428" s="89">
        <f>100%-Table34[[#This Row],[PDF_initial fee]]</f>
        <v>1</v>
      </c>
      <c r="T5428" s="89"/>
      <c r="X5428" s="9"/>
    </row>
    <row r="5429" spans="1:24" hidden="1" x14ac:dyDescent="0.25">
      <c r="A5429">
        <v>731537</v>
      </c>
      <c r="B5429" t="s">
        <v>4410</v>
      </c>
      <c r="C5429" t="s">
        <v>31583</v>
      </c>
      <c r="D5429">
        <v>17</v>
      </c>
      <c r="E5429" t="s">
        <v>4410</v>
      </c>
      <c r="G5429" s="3"/>
      <c r="H5429" s="3">
        <v>0</v>
      </c>
      <c r="I5429" s="3">
        <v>0</v>
      </c>
      <c r="J5429" s="3">
        <v>0</v>
      </c>
      <c r="K5429" s="3">
        <v>0</v>
      </c>
      <c r="L5429" s="3">
        <f t="shared" si="242"/>
        <v>0</v>
      </c>
      <c r="M5429" s="3"/>
      <c r="N5429" s="3">
        <f t="shared" si="243"/>
        <v>0</v>
      </c>
      <c r="O5429" s="3"/>
      <c r="S5429" s="89">
        <f>100%-Table34[[#This Row],[PDF_initial fee]]</f>
        <v>1</v>
      </c>
      <c r="T5429" s="89"/>
      <c r="X5429" s="9"/>
    </row>
    <row r="5430" spans="1:24" hidden="1" x14ac:dyDescent="0.25">
      <c r="A5430">
        <v>597017</v>
      </c>
      <c r="B5430" t="s">
        <v>3520</v>
      </c>
      <c r="C5430" t="s">
        <v>31584</v>
      </c>
      <c r="D5430">
        <v>9</v>
      </c>
      <c r="E5430" t="s">
        <v>3520</v>
      </c>
      <c r="G5430" s="3"/>
      <c r="H5430" s="3"/>
      <c r="I5430" s="3"/>
      <c r="J5430" s="3"/>
      <c r="K5430" s="3"/>
      <c r="L5430" s="3">
        <f t="shared" si="242"/>
        <v>0</v>
      </c>
      <c r="M5430" s="3"/>
      <c r="N5430" s="3">
        <f t="shared" si="243"/>
        <v>0</v>
      </c>
      <c r="O5430" s="3"/>
      <c r="S5430" s="89">
        <f>100%-Table34[[#This Row],[PDF_initial fee]]</f>
        <v>1</v>
      </c>
      <c r="T5430" s="89"/>
      <c r="X5430" s="9"/>
    </row>
    <row r="5431" spans="1:24" hidden="1" x14ac:dyDescent="0.25">
      <c r="A5431">
        <v>594356</v>
      </c>
      <c r="B5431" t="s">
        <v>3495</v>
      </c>
      <c r="C5431" t="s">
        <v>31585</v>
      </c>
      <c r="D5431">
        <v>2</v>
      </c>
      <c r="E5431" t="s">
        <v>3495</v>
      </c>
      <c r="G5431" s="3"/>
      <c r="H5431" s="3"/>
      <c r="I5431" s="3"/>
      <c r="J5431" s="3"/>
      <c r="K5431" s="3"/>
      <c r="L5431" s="3">
        <f t="shared" si="242"/>
        <v>0</v>
      </c>
      <c r="M5431" s="3"/>
      <c r="N5431" s="3">
        <f t="shared" si="243"/>
        <v>0</v>
      </c>
      <c r="O5431" s="3"/>
      <c r="S5431" s="89">
        <f>100%-Table34[[#This Row],[PDF_initial fee]]</f>
        <v>1</v>
      </c>
      <c r="T5431" s="89"/>
      <c r="X5431" s="9"/>
    </row>
    <row r="5432" spans="1:24" hidden="1" x14ac:dyDescent="0.25">
      <c r="A5432">
        <v>764858</v>
      </c>
      <c r="B5432" t="s">
        <v>4599</v>
      </c>
      <c r="C5432" t="s">
        <v>31586</v>
      </c>
      <c r="D5432">
        <v>1</v>
      </c>
      <c r="E5432" t="s">
        <v>4599</v>
      </c>
      <c r="G5432" s="3"/>
      <c r="H5432" s="3">
        <v>0</v>
      </c>
      <c r="I5432" s="3">
        <v>0</v>
      </c>
      <c r="J5432" s="3">
        <v>0</v>
      </c>
      <c r="K5432" s="3">
        <v>0</v>
      </c>
      <c r="L5432" s="3">
        <f t="shared" si="242"/>
        <v>0</v>
      </c>
      <c r="M5432" s="3"/>
      <c r="N5432" s="3">
        <f t="shared" si="243"/>
        <v>0</v>
      </c>
      <c r="O5432" s="3"/>
      <c r="S5432" s="89">
        <f>100%-Table34[[#This Row],[PDF_initial fee]]</f>
        <v>1</v>
      </c>
      <c r="T5432" s="89"/>
      <c r="X5432" s="9"/>
    </row>
    <row r="5433" spans="1:24" hidden="1" x14ac:dyDescent="0.25">
      <c r="A5433">
        <v>584566</v>
      </c>
      <c r="B5433" t="s">
        <v>3363</v>
      </c>
      <c r="C5433" t="s">
        <v>31587</v>
      </c>
      <c r="D5433">
        <v>1</v>
      </c>
      <c r="E5433" t="s">
        <v>3363</v>
      </c>
      <c r="G5433" s="3"/>
      <c r="H5433" s="3">
        <v>0</v>
      </c>
      <c r="I5433" s="3">
        <v>0</v>
      </c>
      <c r="J5433" s="3">
        <v>0</v>
      </c>
      <c r="K5433" s="3">
        <v>0</v>
      </c>
      <c r="L5433" s="3">
        <f t="shared" si="242"/>
        <v>0</v>
      </c>
      <c r="M5433" s="3"/>
      <c r="N5433" s="3">
        <f t="shared" si="243"/>
        <v>0</v>
      </c>
      <c r="O5433" s="3"/>
      <c r="S5433" s="89">
        <f>100%-Table34[[#This Row],[PDF_initial fee]]</f>
        <v>1</v>
      </c>
      <c r="T5433" s="89"/>
      <c r="X5433" s="9"/>
    </row>
    <row r="5434" spans="1:24" hidden="1" x14ac:dyDescent="0.25">
      <c r="A5434">
        <v>718251</v>
      </c>
      <c r="B5434" t="s">
        <v>4335</v>
      </c>
      <c r="C5434" t="s">
        <v>31588</v>
      </c>
      <c r="D5434">
        <v>3</v>
      </c>
      <c r="E5434" t="s">
        <v>4335</v>
      </c>
      <c r="G5434" s="3"/>
      <c r="H5434" s="3">
        <v>0</v>
      </c>
      <c r="I5434" s="3">
        <v>0</v>
      </c>
      <c r="J5434" s="3">
        <v>0</v>
      </c>
      <c r="K5434" s="3">
        <v>0</v>
      </c>
      <c r="L5434" s="3">
        <f t="shared" si="242"/>
        <v>0</v>
      </c>
      <c r="M5434" s="3"/>
      <c r="N5434" s="3">
        <f t="shared" si="243"/>
        <v>0</v>
      </c>
      <c r="O5434" s="3"/>
      <c r="S5434" s="89">
        <f>100%-Table34[[#This Row],[PDF_initial fee]]</f>
        <v>1</v>
      </c>
      <c r="T5434" s="89"/>
      <c r="X5434" s="9"/>
    </row>
    <row r="5435" spans="1:24" hidden="1" x14ac:dyDescent="0.25">
      <c r="A5435">
        <v>766760</v>
      </c>
      <c r="B5435" t="s">
        <v>4615</v>
      </c>
      <c r="C5435" t="s">
        <v>31589</v>
      </c>
      <c r="D5435">
        <v>1</v>
      </c>
      <c r="E5435" t="s">
        <v>4615</v>
      </c>
      <c r="G5435" s="3"/>
      <c r="H5435" s="3">
        <v>0</v>
      </c>
      <c r="I5435" s="3">
        <v>0</v>
      </c>
      <c r="J5435" s="3">
        <v>0</v>
      </c>
      <c r="K5435" s="3">
        <v>0</v>
      </c>
      <c r="L5435" s="3">
        <f t="shared" si="242"/>
        <v>0</v>
      </c>
      <c r="M5435" s="3"/>
      <c r="N5435" s="3">
        <f t="shared" si="243"/>
        <v>0</v>
      </c>
      <c r="O5435" s="3"/>
      <c r="S5435" s="89">
        <f>100%-Table34[[#This Row],[PDF_initial fee]]</f>
        <v>1</v>
      </c>
      <c r="T5435" s="89"/>
      <c r="X5435" s="9"/>
    </row>
    <row r="5436" spans="1:24" hidden="1" x14ac:dyDescent="0.25">
      <c r="A5436">
        <v>740115</v>
      </c>
      <c r="B5436" t="s">
        <v>4459</v>
      </c>
      <c r="C5436" t="s">
        <v>31590</v>
      </c>
      <c r="D5436">
        <v>3</v>
      </c>
      <c r="E5436" t="s">
        <v>4459</v>
      </c>
      <c r="G5436" s="3"/>
      <c r="H5436" s="3"/>
      <c r="I5436" s="3"/>
      <c r="J5436" s="3"/>
      <c r="K5436" s="3"/>
      <c r="L5436" s="3">
        <f t="shared" si="242"/>
        <v>0</v>
      </c>
      <c r="M5436" s="3"/>
      <c r="N5436" s="3">
        <f t="shared" si="243"/>
        <v>0</v>
      </c>
      <c r="O5436" s="3"/>
      <c r="S5436" s="89">
        <f>100%-Table34[[#This Row],[PDF_initial fee]]</f>
        <v>1</v>
      </c>
      <c r="T5436" s="89"/>
      <c r="X5436" s="9"/>
    </row>
    <row r="5437" spans="1:24" hidden="1" x14ac:dyDescent="0.25">
      <c r="A5437">
        <v>621997</v>
      </c>
      <c r="B5437" t="s">
        <v>3817</v>
      </c>
      <c r="C5437" t="s">
        <v>31591</v>
      </c>
      <c r="D5437">
        <v>1</v>
      </c>
      <c r="E5437" t="s">
        <v>3817</v>
      </c>
      <c r="G5437" s="3"/>
      <c r="H5437" s="3">
        <v>0</v>
      </c>
      <c r="I5437" s="3">
        <v>0</v>
      </c>
      <c r="J5437" s="3">
        <v>0</v>
      </c>
      <c r="K5437" s="3">
        <v>0</v>
      </c>
      <c r="L5437" s="3">
        <f t="shared" si="242"/>
        <v>0</v>
      </c>
      <c r="M5437" s="3"/>
      <c r="N5437" s="3">
        <f t="shared" si="243"/>
        <v>0</v>
      </c>
      <c r="O5437" s="3"/>
      <c r="S5437" s="89">
        <f>100%-Table34[[#This Row],[PDF_initial fee]]</f>
        <v>1</v>
      </c>
      <c r="T5437" s="89"/>
      <c r="X5437" s="9"/>
    </row>
    <row r="5438" spans="1:24" hidden="1" x14ac:dyDescent="0.25">
      <c r="A5438">
        <v>624570</v>
      </c>
      <c r="B5438" t="s">
        <v>3869</v>
      </c>
      <c r="C5438" t="s">
        <v>7186</v>
      </c>
      <c r="D5438">
        <v>0</v>
      </c>
      <c r="E5438" t="s">
        <v>3869</v>
      </c>
      <c r="F5438" t="s">
        <v>3</v>
      </c>
      <c r="G5438" s="3"/>
      <c r="H5438" s="3"/>
      <c r="I5438" s="3"/>
      <c r="J5438" s="3"/>
      <c r="K5438" s="3"/>
      <c r="L5438" s="3">
        <f t="shared" si="242"/>
        <v>0</v>
      </c>
      <c r="M5438" s="3"/>
      <c r="N5438" s="3">
        <f t="shared" si="243"/>
        <v>0</v>
      </c>
      <c r="O5438" s="3"/>
      <c r="S5438" s="89">
        <f>100%-Table34[[#This Row],[PDF_initial fee]]</f>
        <v>1</v>
      </c>
      <c r="T5438" s="89"/>
      <c r="X5438" s="9"/>
    </row>
    <row r="5439" spans="1:24" hidden="1" x14ac:dyDescent="0.25">
      <c r="A5439">
        <v>764915</v>
      </c>
      <c r="B5439" t="s">
        <v>4600</v>
      </c>
      <c r="C5439" t="s">
        <v>31592</v>
      </c>
      <c r="D5439">
        <v>1</v>
      </c>
      <c r="E5439" t="s">
        <v>4600</v>
      </c>
      <c r="G5439" s="3"/>
      <c r="H5439" s="3">
        <v>0</v>
      </c>
      <c r="I5439" s="3">
        <v>0</v>
      </c>
      <c r="J5439" s="3">
        <v>0</v>
      </c>
      <c r="K5439" s="3">
        <v>0</v>
      </c>
      <c r="L5439" s="3">
        <f t="shared" si="242"/>
        <v>0</v>
      </c>
      <c r="M5439" s="3"/>
      <c r="N5439" s="3">
        <f t="shared" si="243"/>
        <v>0</v>
      </c>
      <c r="O5439" s="3"/>
      <c r="S5439" s="89">
        <f>100%-Table34[[#This Row],[PDF_initial fee]]</f>
        <v>1</v>
      </c>
      <c r="T5439" s="89"/>
      <c r="X5439" s="9"/>
    </row>
    <row r="5440" spans="1:24" hidden="1" x14ac:dyDescent="0.25">
      <c r="A5440">
        <v>789362</v>
      </c>
      <c r="B5440" t="s">
        <v>4762</v>
      </c>
      <c r="C5440" t="s">
        <v>31593</v>
      </c>
      <c r="D5440">
        <v>1</v>
      </c>
      <c r="E5440" t="s">
        <v>4762</v>
      </c>
      <c r="G5440" s="3"/>
      <c r="H5440" s="3">
        <v>0</v>
      </c>
      <c r="I5440" s="3">
        <v>0</v>
      </c>
      <c r="J5440" s="3">
        <v>0</v>
      </c>
      <c r="K5440" s="3">
        <v>0</v>
      </c>
      <c r="L5440" s="3">
        <f t="shared" si="242"/>
        <v>0</v>
      </c>
      <c r="M5440" s="3"/>
      <c r="N5440" s="3">
        <f t="shared" si="243"/>
        <v>0</v>
      </c>
      <c r="O5440" s="3"/>
      <c r="S5440" s="89">
        <f>100%-Table34[[#This Row],[PDF_initial fee]]</f>
        <v>1</v>
      </c>
      <c r="T5440" s="89"/>
      <c r="X5440" s="9"/>
    </row>
    <row r="5441" spans="1:24" hidden="1" x14ac:dyDescent="0.25">
      <c r="A5441">
        <v>776065</v>
      </c>
      <c r="B5441" t="s">
        <v>4677</v>
      </c>
      <c r="C5441" t="s">
        <v>31594</v>
      </c>
      <c r="D5441">
        <v>0</v>
      </c>
      <c r="E5441" t="s">
        <v>4677</v>
      </c>
      <c r="F5441" t="s">
        <v>31595</v>
      </c>
      <c r="G5441" s="3"/>
      <c r="H5441" s="3">
        <v>0</v>
      </c>
      <c r="I5441" s="3">
        <v>0</v>
      </c>
      <c r="J5441" s="3">
        <v>0</v>
      </c>
      <c r="K5441" s="3">
        <v>0</v>
      </c>
      <c r="L5441" s="3">
        <f t="shared" si="242"/>
        <v>0</v>
      </c>
      <c r="M5441" s="3"/>
      <c r="N5441" s="3">
        <f t="shared" si="243"/>
        <v>0</v>
      </c>
      <c r="O5441" s="3"/>
      <c r="S5441" s="89">
        <f>100%-Table34[[#This Row],[PDF_initial fee]]</f>
        <v>1</v>
      </c>
      <c r="T5441" s="89"/>
      <c r="X5441" s="9"/>
    </row>
    <row r="5442" spans="1:24" hidden="1" x14ac:dyDescent="0.25">
      <c r="A5442">
        <v>788947</v>
      </c>
      <c r="B5442" t="s">
        <v>4754</v>
      </c>
      <c r="C5442" t="s">
        <v>31596</v>
      </c>
      <c r="D5442">
        <v>1</v>
      </c>
      <c r="E5442" t="s">
        <v>4754</v>
      </c>
      <c r="G5442" s="3"/>
      <c r="H5442" s="3">
        <v>0</v>
      </c>
      <c r="I5442" s="3">
        <v>0</v>
      </c>
      <c r="J5442" s="3">
        <v>0</v>
      </c>
      <c r="K5442" s="3">
        <v>0</v>
      </c>
      <c r="L5442" s="3">
        <f t="shared" si="242"/>
        <v>0</v>
      </c>
      <c r="M5442" s="3"/>
      <c r="N5442" s="3">
        <f t="shared" si="243"/>
        <v>0</v>
      </c>
      <c r="O5442" s="3"/>
      <c r="S5442" s="89">
        <f>100%-Table34[[#This Row],[PDF_initial fee]]</f>
        <v>1</v>
      </c>
      <c r="T5442" s="89"/>
      <c r="X5442" s="9"/>
    </row>
    <row r="5443" spans="1:24" hidden="1" x14ac:dyDescent="0.25">
      <c r="A5443">
        <v>794762</v>
      </c>
      <c r="B5443" t="s">
        <v>4807</v>
      </c>
      <c r="C5443" t="s">
        <v>31597</v>
      </c>
      <c r="D5443">
        <v>4</v>
      </c>
      <c r="E5443" t="s">
        <v>4807</v>
      </c>
      <c r="G5443" s="3"/>
      <c r="H5443" s="3"/>
      <c r="I5443" s="3"/>
      <c r="J5443" s="3"/>
      <c r="K5443" s="3"/>
      <c r="L5443" s="3">
        <f t="shared" si="242"/>
        <v>0</v>
      </c>
      <c r="M5443" s="3"/>
      <c r="N5443" s="3">
        <f t="shared" si="243"/>
        <v>0</v>
      </c>
      <c r="O5443" s="3"/>
      <c r="S5443" s="89">
        <f>100%-Table34[[#This Row],[PDF_initial fee]]</f>
        <v>1</v>
      </c>
      <c r="T5443" s="89"/>
      <c r="X5443" s="9"/>
    </row>
    <row r="5444" spans="1:24" hidden="1" x14ac:dyDescent="0.25">
      <c r="A5444">
        <v>793306</v>
      </c>
      <c r="B5444" t="s">
        <v>4790</v>
      </c>
      <c r="C5444" t="s">
        <v>31598</v>
      </c>
      <c r="D5444">
        <v>1</v>
      </c>
      <c r="E5444" t="s">
        <v>4790</v>
      </c>
      <c r="G5444" s="3"/>
      <c r="H5444" s="3">
        <v>0</v>
      </c>
      <c r="I5444" s="3">
        <v>0</v>
      </c>
      <c r="J5444" s="3">
        <v>0</v>
      </c>
      <c r="K5444" s="3">
        <v>0</v>
      </c>
      <c r="L5444" s="3">
        <f t="shared" si="242"/>
        <v>0</v>
      </c>
      <c r="M5444" s="3"/>
      <c r="N5444" s="3">
        <f t="shared" si="243"/>
        <v>0</v>
      </c>
      <c r="O5444" s="3"/>
      <c r="S5444" s="89">
        <f>100%-Table34[[#This Row],[PDF_initial fee]]</f>
        <v>1</v>
      </c>
      <c r="T5444" s="89"/>
      <c r="X5444" s="9"/>
    </row>
    <row r="5445" spans="1:24" hidden="1" x14ac:dyDescent="0.25">
      <c r="A5445">
        <v>714223</v>
      </c>
      <c r="B5445" t="s">
        <v>4294</v>
      </c>
      <c r="C5445" t="s">
        <v>31599</v>
      </c>
      <c r="D5445">
        <v>2</v>
      </c>
      <c r="E5445" t="s">
        <v>4294</v>
      </c>
      <c r="F5445" t="s">
        <v>3</v>
      </c>
      <c r="G5445" s="28">
        <v>1.6999999999999999E-3</v>
      </c>
      <c r="H5445" s="3">
        <v>0</v>
      </c>
      <c r="I5445" s="3">
        <v>0</v>
      </c>
      <c r="J5445" s="6"/>
      <c r="K5445" s="6"/>
      <c r="L5445" s="3"/>
      <c r="M5445" s="3"/>
      <c r="N5445" s="3"/>
      <c r="S5445" s="89">
        <f>100%-Table34[[#This Row],[PDF_initial fee]]</f>
        <v>1</v>
      </c>
      <c r="T5445" s="89"/>
    </row>
    <row r="5446" spans="1:24" hidden="1" x14ac:dyDescent="0.25">
      <c r="A5446">
        <v>800447</v>
      </c>
      <c r="B5446" t="s">
        <v>4844</v>
      </c>
      <c r="C5446" t="s">
        <v>31600</v>
      </c>
      <c r="D5446">
        <v>1</v>
      </c>
      <c r="E5446" t="s">
        <v>4844</v>
      </c>
      <c r="G5446" s="3"/>
      <c r="H5446" s="3">
        <v>0</v>
      </c>
      <c r="I5446" s="3">
        <v>0</v>
      </c>
      <c r="J5446" s="3">
        <v>0</v>
      </c>
      <c r="K5446" s="3">
        <v>0</v>
      </c>
      <c r="L5446" s="3">
        <f t="shared" ref="L5446:L5466" si="244">SUM(H5446:K5446)</f>
        <v>0</v>
      </c>
      <c r="M5446" s="3"/>
      <c r="N5446" s="3">
        <f t="shared" ref="N5446:N5466" si="245">L5446+G5446</f>
        <v>0</v>
      </c>
      <c r="O5446" s="3"/>
      <c r="S5446" s="89">
        <f>100%-Table34[[#This Row],[PDF_initial fee]]</f>
        <v>1</v>
      </c>
      <c r="T5446" s="89"/>
      <c r="X5446" s="9"/>
    </row>
    <row r="5447" spans="1:24" hidden="1" x14ac:dyDescent="0.25">
      <c r="A5447" s="58">
        <v>747011</v>
      </c>
      <c r="B5447" s="58" t="s">
        <v>4492</v>
      </c>
      <c r="C5447" s="59" t="s">
        <v>31601</v>
      </c>
      <c r="D5447">
        <v>0</v>
      </c>
      <c r="E5447" t="s">
        <v>4492</v>
      </c>
      <c r="G5447" s="3"/>
      <c r="H5447" s="3">
        <v>0</v>
      </c>
      <c r="I5447" s="3">
        <v>0</v>
      </c>
      <c r="J5447" s="3">
        <v>0</v>
      </c>
      <c r="K5447" s="3">
        <v>0</v>
      </c>
      <c r="L5447" s="3">
        <f t="shared" si="244"/>
        <v>0</v>
      </c>
      <c r="M5447" s="3"/>
      <c r="N5447" s="3">
        <f t="shared" si="245"/>
        <v>0</v>
      </c>
      <c r="O5447" s="3"/>
      <c r="S5447" s="89">
        <f>100%-Table34[[#This Row],[PDF_initial fee]]</f>
        <v>1</v>
      </c>
      <c r="T5447" s="89"/>
      <c r="X5447" s="9"/>
    </row>
    <row r="5448" spans="1:24" hidden="1" x14ac:dyDescent="0.25">
      <c r="A5448">
        <v>803146</v>
      </c>
      <c r="B5448" t="s">
        <v>4859</v>
      </c>
      <c r="C5448" t="s">
        <v>31602</v>
      </c>
      <c r="D5448">
        <v>1</v>
      </c>
      <c r="E5448" t="s">
        <v>4859</v>
      </c>
      <c r="G5448" s="3"/>
      <c r="H5448" s="3">
        <v>0</v>
      </c>
      <c r="I5448" s="3">
        <v>0</v>
      </c>
      <c r="J5448" s="3">
        <v>0</v>
      </c>
      <c r="K5448" s="3">
        <v>0</v>
      </c>
      <c r="L5448" s="3">
        <f t="shared" si="244"/>
        <v>0</v>
      </c>
      <c r="M5448" s="3"/>
      <c r="N5448" s="3">
        <f t="shared" si="245"/>
        <v>0</v>
      </c>
      <c r="O5448" s="3"/>
      <c r="S5448" s="89">
        <f>100%-Table34[[#This Row],[PDF_initial fee]]</f>
        <v>1</v>
      </c>
      <c r="T5448" s="89"/>
      <c r="X5448" s="9"/>
    </row>
    <row r="5449" spans="1:24" hidden="1" x14ac:dyDescent="0.25">
      <c r="A5449">
        <v>735220</v>
      </c>
      <c r="B5449" t="s">
        <v>4431</v>
      </c>
      <c r="C5449" t="s">
        <v>31603</v>
      </c>
      <c r="D5449">
        <v>6</v>
      </c>
      <c r="E5449" t="s">
        <v>4431</v>
      </c>
      <c r="G5449" s="3"/>
      <c r="H5449" s="3"/>
      <c r="I5449" s="3"/>
      <c r="J5449" s="3"/>
      <c r="K5449" s="3"/>
      <c r="L5449" s="3">
        <f t="shared" si="244"/>
        <v>0</v>
      </c>
      <c r="M5449" s="3"/>
      <c r="N5449" s="3">
        <f t="shared" si="245"/>
        <v>0</v>
      </c>
      <c r="O5449" s="3"/>
      <c r="S5449" s="89">
        <f>100%-Table34[[#This Row],[PDF_initial fee]]</f>
        <v>1</v>
      </c>
      <c r="T5449" s="89"/>
      <c r="X5449" s="9"/>
    </row>
    <row r="5450" spans="1:24" hidden="1" x14ac:dyDescent="0.25">
      <c r="A5450">
        <v>825943</v>
      </c>
      <c r="B5450" t="s">
        <v>4997</v>
      </c>
      <c r="C5450" t="s">
        <v>31604</v>
      </c>
      <c r="D5450">
        <v>2</v>
      </c>
      <c r="E5450" t="s">
        <v>4997</v>
      </c>
      <c r="G5450" s="3"/>
      <c r="H5450" s="3">
        <v>0</v>
      </c>
      <c r="I5450" s="3">
        <v>0</v>
      </c>
      <c r="J5450" s="3">
        <v>0</v>
      </c>
      <c r="K5450" s="3">
        <v>0</v>
      </c>
      <c r="L5450" s="3">
        <f t="shared" si="244"/>
        <v>0</v>
      </c>
      <c r="M5450" s="3"/>
      <c r="N5450" s="3">
        <f t="shared" si="245"/>
        <v>0</v>
      </c>
      <c r="O5450" s="3"/>
      <c r="S5450" s="89">
        <f>100%-Table34[[#This Row],[PDF_initial fee]]</f>
        <v>1</v>
      </c>
      <c r="T5450" s="89"/>
      <c r="X5450" s="9"/>
    </row>
    <row r="5451" spans="1:24" hidden="1" x14ac:dyDescent="0.25">
      <c r="A5451">
        <v>610773</v>
      </c>
      <c r="B5451" t="s">
        <v>3726</v>
      </c>
      <c r="C5451" t="s">
        <v>31605</v>
      </c>
      <c r="D5451">
        <v>1</v>
      </c>
      <c r="E5451" t="s">
        <v>3726</v>
      </c>
      <c r="G5451" s="3"/>
      <c r="H5451" s="3">
        <v>0</v>
      </c>
      <c r="I5451" s="3">
        <v>0</v>
      </c>
      <c r="J5451" s="3">
        <v>0</v>
      </c>
      <c r="K5451" s="3">
        <v>0</v>
      </c>
      <c r="L5451" s="3">
        <f t="shared" si="244"/>
        <v>0</v>
      </c>
      <c r="M5451" s="3"/>
      <c r="N5451" s="3">
        <f t="shared" si="245"/>
        <v>0</v>
      </c>
      <c r="O5451" s="3"/>
      <c r="S5451" s="89">
        <f>100%-Table34[[#This Row],[PDF_initial fee]]</f>
        <v>1</v>
      </c>
      <c r="T5451" s="89"/>
      <c r="X5451" s="9"/>
    </row>
    <row r="5452" spans="1:24" hidden="1" x14ac:dyDescent="0.25">
      <c r="A5452">
        <v>833604</v>
      </c>
      <c r="B5452" t="s">
        <v>5059</v>
      </c>
      <c r="C5452" t="s">
        <v>31606</v>
      </c>
      <c r="D5452">
        <v>1</v>
      </c>
      <c r="E5452" t="s">
        <v>5059</v>
      </c>
      <c r="G5452" s="3"/>
      <c r="H5452" s="3">
        <v>0</v>
      </c>
      <c r="I5452" s="3">
        <v>0</v>
      </c>
      <c r="J5452" s="3">
        <v>0</v>
      </c>
      <c r="K5452" s="3">
        <v>0</v>
      </c>
      <c r="L5452" s="3">
        <f t="shared" si="244"/>
        <v>0</v>
      </c>
      <c r="M5452" s="3"/>
      <c r="N5452" s="3">
        <f t="shared" si="245"/>
        <v>0</v>
      </c>
      <c r="O5452" s="3"/>
      <c r="S5452" s="89">
        <f>100%-Table34[[#This Row],[PDF_initial fee]]</f>
        <v>1</v>
      </c>
      <c r="T5452" s="89"/>
      <c r="X5452" s="9"/>
    </row>
    <row r="5453" spans="1:24" hidden="1" x14ac:dyDescent="0.25">
      <c r="A5453">
        <v>759834</v>
      </c>
      <c r="B5453" t="s">
        <v>4570</v>
      </c>
      <c r="C5453" t="s">
        <v>31607</v>
      </c>
      <c r="D5453">
        <v>1</v>
      </c>
      <c r="E5453" t="s">
        <v>4570</v>
      </c>
      <c r="G5453" s="3"/>
      <c r="H5453" s="3">
        <v>0</v>
      </c>
      <c r="I5453" s="3">
        <v>0</v>
      </c>
      <c r="J5453" s="3">
        <v>0</v>
      </c>
      <c r="K5453" s="3">
        <v>0</v>
      </c>
      <c r="L5453" s="3">
        <f t="shared" si="244"/>
        <v>0</v>
      </c>
      <c r="M5453" s="3"/>
      <c r="N5453" s="3">
        <f t="shared" si="245"/>
        <v>0</v>
      </c>
      <c r="O5453" s="3"/>
      <c r="S5453" s="89">
        <f>100%-Table34[[#This Row],[PDF_initial fee]]</f>
        <v>1</v>
      </c>
      <c r="T5453" s="89"/>
      <c r="X5453" s="9"/>
    </row>
    <row r="5454" spans="1:24" hidden="1" x14ac:dyDescent="0.25">
      <c r="A5454">
        <v>835233</v>
      </c>
      <c r="B5454" t="s">
        <v>5067</v>
      </c>
      <c r="C5454" t="s">
        <v>31608</v>
      </c>
      <c r="D5454">
        <v>2</v>
      </c>
      <c r="E5454" t="s">
        <v>5067</v>
      </c>
      <c r="G5454" s="3"/>
      <c r="H5454" s="3">
        <v>0</v>
      </c>
      <c r="I5454" s="3">
        <v>0</v>
      </c>
      <c r="J5454" s="3">
        <v>0</v>
      </c>
      <c r="K5454" s="3">
        <v>0</v>
      </c>
      <c r="L5454" s="3">
        <f t="shared" si="244"/>
        <v>0</v>
      </c>
      <c r="M5454" s="3"/>
      <c r="N5454" s="3">
        <f t="shared" si="245"/>
        <v>0</v>
      </c>
      <c r="O5454" s="3"/>
      <c r="S5454" s="89">
        <f>100%-Table34[[#This Row],[PDF_initial fee]]</f>
        <v>1</v>
      </c>
      <c r="T5454" s="89"/>
      <c r="X5454" s="9"/>
    </row>
    <row r="5455" spans="1:24" hidden="1" x14ac:dyDescent="0.25">
      <c r="A5455">
        <v>783811</v>
      </c>
      <c r="B5455" t="s">
        <v>4720</v>
      </c>
      <c r="C5455" t="s">
        <v>31609</v>
      </c>
      <c r="D5455">
        <v>1</v>
      </c>
      <c r="E5455" t="s">
        <v>4720</v>
      </c>
      <c r="G5455" s="3"/>
      <c r="H5455" s="3">
        <v>0</v>
      </c>
      <c r="I5455" s="3">
        <v>0</v>
      </c>
      <c r="J5455" s="3">
        <v>0</v>
      </c>
      <c r="K5455" s="3">
        <v>0</v>
      </c>
      <c r="L5455" s="3">
        <f t="shared" si="244"/>
        <v>0</v>
      </c>
      <c r="M5455" s="3"/>
      <c r="N5455" s="3">
        <f t="shared" si="245"/>
        <v>0</v>
      </c>
      <c r="O5455" s="3"/>
      <c r="S5455" s="89">
        <f>100%-Table34[[#This Row],[PDF_initial fee]]</f>
        <v>1</v>
      </c>
      <c r="T5455" s="89"/>
      <c r="X5455" s="9"/>
    </row>
    <row r="5456" spans="1:24" hidden="1" x14ac:dyDescent="0.25">
      <c r="A5456">
        <v>705617</v>
      </c>
      <c r="B5456" t="s">
        <v>4181</v>
      </c>
      <c r="C5456" t="s">
        <v>31610</v>
      </c>
      <c r="D5456">
        <v>2</v>
      </c>
      <c r="E5456" t="s">
        <v>4181</v>
      </c>
      <c r="G5456" s="3"/>
      <c r="H5456" s="3">
        <v>0</v>
      </c>
      <c r="I5456" s="3">
        <v>0</v>
      </c>
      <c r="J5456" s="3">
        <v>0</v>
      </c>
      <c r="K5456" s="3">
        <v>0</v>
      </c>
      <c r="L5456" s="3">
        <f t="shared" si="244"/>
        <v>0</v>
      </c>
      <c r="M5456" s="3"/>
      <c r="N5456" s="3">
        <f t="shared" si="245"/>
        <v>0</v>
      </c>
      <c r="O5456" s="3"/>
      <c r="S5456" s="89">
        <f>100%-Table34[[#This Row],[PDF_initial fee]]</f>
        <v>1</v>
      </c>
      <c r="T5456" s="89"/>
      <c r="X5456" s="9"/>
    </row>
    <row r="5457" spans="1:30" hidden="1" x14ac:dyDescent="0.25">
      <c r="A5457">
        <v>581856</v>
      </c>
      <c r="B5457" t="s">
        <v>3335</v>
      </c>
      <c r="C5457" t="s">
        <v>31611</v>
      </c>
      <c r="D5457">
        <v>0</v>
      </c>
      <c r="E5457" t="s">
        <v>3335</v>
      </c>
      <c r="F5457" t="s">
        <v>3</v>
      </c>
      <c r="G5457" s="3"/>
      <c r="H5457" s="3"/>
      <c r="I5457" s="3"/>
      <c r="J5457" s="3"/>
      <c r="K5457" s="3"/>
      <c r="L5457" s="3">
        <f t="shared" si="244"/>
        <v>0</v>
      </c>
      <c r="M5457" s="3"/>
      <c r="N5457" s="3">
        <f t="shared" si="245"/>
        <v>0</v>
      </c>
      <c r="O5457" s="3"/>
      <c r="S5457" s="89">
        <f>100%-Table34[[#This Row],[PDF_initial fee]]</f>
        <v>1</v>
      </c>
      <c r="T5457" s="89"/>
      <c r="X5457" s="9"/>
    </row>
    <row r="5458" spans="1:30" hidden="1" x14ac:dyDescent="0.25">
      <c r="A5458">
        <v>843863</v>
      </c>
      <c r="B5458" t="s">
        <v>5107</v>
      </c>
      <c r="C5458" t="s">
        <v>31612</v>
      </c>
      <c r="D5458">
        <v>1</v>
      </c>
      <c r="E5458" t="s">
        <v>5107</v>
      </c>
      <c r="G5458" s="3"/>
      <c r="H5458" s="3">
        <v>0</v>
      </c>
      <c r="I5458" s="3">
        <v>0</v>
      </c>
      <c r="J5458" s="3">
        <v>0</v>
      </c>
      <c r="K5458" s="3">
        <v>0</v>
      </c>
      <c r="L5458" s="3">
        <f t="shared" si="244"/>
        <v>0</v>
      </c>
      <c r="M5458" s="3"/>
      <c r="N5458" s="3">
        <f t="shared" si="245"/>
        <v>0</v>
      </c>
      <c r="O5458" s="3"/>
      <c r="S5458" s="89">
        <f>100%-Table34[[#This Row],[PDF_initial fee]]</f>
        <v>1</v>
      </c>
      <c r="T5458" s="89"/>
      <c r="X5458" s="9"/>
    </row>
    <row r="5459" spans="1:30" hidden="1" x14ac:dyDescent="0.25">
      <c r="A5459" s="58">
        <v>789409</v>
      </c>
      <c r="B5459" s="58" t="s">
        <v>4764</v>
      </c>
      <c r="C5459" s="59" t="s">
        <v>31613</v>
      </c>
      <c r="D5459">
        <v>0</v>
      </c>
      <c r="E5459" t="s">
        <v>4764</v>
      </c>
      <c r="G5459" s="3"/>
      <c r="H5459" s="3"/>
      <c r="I5459" s="3"/>
      <c r="J5459" s="3"/>
      <c r="K5459" s="3"/>
      <c r="L5459" s="3">
        <f t="shared" si="244"/>
        <v>0</v>
      </c>
      <c r="M5459" s="3"/>
      <c r="N5459" s="3">
        <f t="shared" si="245"/>
        <v>0</v>
      </c>
      <c r="O5459" s="3"/>
      <c r="S5459" s="89">
        <f>100%-Table34[[#This Row],[PDF_initial fee]]</f>
        <v>1</v>
      </c>
      <c r="T5459" s="89"/>
      <c r="X5459" s="9"/>
    </row>
    <row r="5460" spans="1:30" hidden="1" x14ac:dyDescent="0.25">
      <c r="A5460">
        <v>800673</v>
      </c>
      <c r="B5460" t="s">
        <v>4846</v>
      </c>
      <c r="C5460" t="s">
        <v>31614</v>
      </c>
      <c r="D5460">
        <v>1</v>
      </c>
      <c r="E5460" t="s">
        <v>4846</v>
      </c>
      <c r="G5460" s="3"/>
      <c r="H5460" s="3">
        <v>0</v>
      </c>
      <c r="I5460" s="3">
        <v>0</v>
      </c>
      <c r="J5460" s="3">
        <v>0</v>
      </c>
      <c r="K5460" s="3">
        <v>0</v>
      </c>
      <c r="L5460" s="3">
        <f t="shared" si="244"/>
        <v>0</v>
      </c>
      <c r="M5460" s="3"/>
      <c r="N5460" s="3">
        <f t="shared" si="245"/>
        <v>0</v>
      </c>
      <c r="O5460" s="3"/>
      <c r="S5460" s="89">
        <f>100%-Table34[[#This Row],[PDF_initial fee]]</f>
        <v>1</v>
      </c>
      <c r="T5460" s="89"/>
      <c r="X5460" s="9"/>
    </row>
    <row r="5461" spans="1:30" hidden="1" x14ac:dyDescent="0.25">
      <c r="A5461">
        <v>917076</v>
      </c>
      <c r="B5461" t="s">
        <v>5195</v>
      </c>
      <c r="C5461" t="s">
        <v>31615</v>
      </c>
      <c r="D5461">
        <v>4</v>
      </c>
      <c r="E5461" t="s">
        <v>5195</v>
      </c>
      <c r="G5461" s="3"/>
      <c r="H5461" s="3">
        <v>0</v>
      </c>
      <c r="I5461" s="3">
        <v>0</v>
      </c>
      <c r="J5461" s="3">
        <v>0</v>
      </c>
      <c r="K5461" s="3">
        <v>0</v>
      </c>
      <c r="L5461" s="3">
        <f t="shared" si="244"/>
        <v>0</v>
      </c>
      <c r="M5461" s="3"/>
      <c r="N5461" s="3">
        <f t="shared" si="245"/>
        <v>0</v>
      </c>
      <c r="O5461" s="3"/>
      <c r="S5461" s="89">
        <f>100%-Table34[[#This Row],[PDF_initial fee]]</f>
        <v>1</v>
      </c>
      <c r="T5461" s="89"/>
      <c r="X5461" s="9"/>
    </row>
    <row r="5462" spans="1:30" hidden="1" x14ac:dyDescent="0.25">
      <c r="A5462">
        <v>930354</v>
      </c>
      <c r="B5462" t="s">
        <v>5311</v>
      </c>
      <c r="C5462" t="s">
        <v>9623</v>
      </c>
      <c r="D5462">
        <v>2</v>
      </c>
      <c r="E5462" t="s">
        <v>5311</v>
      </c>
      <c r="G5462" s="3"/>
      <c r="H5462" s="3"/>
      <c r="I5462" s="3"/>
      <c r="J5462" s="3"/>
      <c r="K5462" s="3"/>
      <c r="L5462" s="3">
        <f t="shared" si="244"/>
        <v>0</v>
      </c>
      <c r="M5462" s="3"/>
      <c r="N5462" s="3">
        <f t="shared" si="245"/>
        <v>0</v>
      </c>
      <c r="O5462" s="3"/>
      <c r="S5462" s="89">
        <f>100%-Table34[[#This Row],[PDF_initial fee]]</f>
        <v>1</v>
      </c>
      <c r="T5462" s="89"/>
      <c r="X5462" s="9"/>
    </row>
    <row r="5463" spans="1:30" hidden="1" x14ac:dyDescent="0.25">
      <c r="A5463">
        <v>931264</v>
      </c>
      <c r="B5463" t="s">
        <v>5317</v>
      </c>
      <c r="C5463" t="s">
        <v>31616</v>
      </c>
      <c r="D5463">
        <v>2</v>
      </c>
      <c r="E5463" t="s">
        <v>5317</v>
      </c>
      <c r="G5463" s="3"/>
      <c r="H5463" s="3">
        <v>0</v>
      </c>
      <c r="I5463" s="3">
        <v>0</v>
      </c>
      <c r="J5463" s="3">
        <v>0</v>
      </c>
      <c r="K5463" s="3">
        <v>0</v>
      </c>
      <c r="L5463" s="3">
        <f t="shared" si="244"/>
        <v>0</v>
      </c>
      <c r="M5463" s="3"/>
      <c r="N5463" s="3">
        <f t="shared" si="245"/>
        <v>0</v>
      </c>
      <c r="O5463" s="3"/>
      <c r="S5463" s="89">
        <f>100%-Table34[[#This Row],[PDF_initial fee]]</f>
        <v>1</v>
      </c>
      <c r="T5463" s="89"/>
      <c r="X5463" s="9"/>
    </row>
    <row r="5464" spans="1:30" hidden="1" x14ac:dyDescent="0.25">
      <c r="A5464">
        <v>912121</v>
      </c>
      <c r="B5464" t="s">
        <v>5152</v>
      </c>
      <c r="C5464" t="s">
        <v>31617</v>
      </c>
      <c r="D5464">
        <v>2</v>
      </c>
      <c r="E5464" t="s">
        <v>5152</v>
      </c>
      <c r="G5464" s="3"/>
      <c r="H5464" s="3">
        <v>0</v>
      </c>
      <c r="I5464" s="3">
        <v>0</v>
      </c>
      <c r="J5464" s="3">
        <v>0</v>
      </c>
      <c r="K5464" s="3">
        <v>0</v>
      </c>
      <c r="L5464" s="3">
        <f t="shared" si="244"/>
        <v>0</v>
      </c>
      <c r="M5464" s="3"/>
      <c r="N5464" s="3">
        <f t="shared" si="245"/>
        <v>0</v>
      </c>
      <c r="O5464" s="3"/>
      <c r="S5464" s="89">
        <f>100%-Table34[[#This Row],[PDF_initial fee]]</f>
        <v>1</v>
      </c>
      <c r="T5464" s="89"/>
      <c r="X5464" s="9"/>
    </row>
    <row r="5465" spans="1:30" hidden="1" x14ac:dyDescent="0.25">
      <c r="A5465">
        <v>966244</v>
      </c>
      <c r="B5465" t="s">
        <v>5549</v>
      </c>
      <c r="C5465" t="s">
        <v>31618</v>
      </c>
      <c r="D5465">
        <v>6</v>
      </c>
      <c r="E5465" t="s">
        <v>5549</v>
      </c>
      <c r="G5465" s="3"/>
      <c r="H5465" s="3"/>
      <c r="I5465" s="3"/>
      <c r="J5465" s="3"/>
      <c r="K5465" s="3"/>
      <c r="L5465" s="3">
        <f t="shared" si="244"/>
        <v>0</v>
      </c>
      <c r="M5465" s="3"/>
      <c r="N5465" s="3">
        <f t="shared" si="245"/>
        <v>0</v>
      </c>
      <c r="O5465" s="3"/>
      <c r="S5465" s="89">
        <f>100%-Table34[[#This Row],[PDF_initial fee]]</f>
        <v>1</v>
      </c>
      <c r="T5465" s="89"/>
      <c r="X5465" s="9"/>
      <c r="AD5465" t="s">
        <v>31619</v>
      </c>
    </row>
    <row r="5466" spans="1:30" hidden="1" x14ac:dyDescent="0.25">
      <c r="A5466">
        <v>991954</v>
      </c>
      <c r="B5466" t="s">
        <v>5651</v>
      </c>
      <c r="C5466" t="s">
        <v>31620</v>
      </c>
      <c r="D5466">
        <v>1</v>
      </c>
      <c r="E5466" t="s">
        <v>5651</v>
      </c>
      <c r="G5466" s="3"/>
      <c r="H5466" s="3">
        <v>0</v>
      </c>
      <c r="I5466" s="3">
        <v>0</v>
      </c>
      <c r="J5466" s="3">
        <v>0</v>
      </c>
      <c r="K5466" s="3">
        <v>0</v>
      </c>
      <c r="L5466" s="3">
        <f t="shared" si="244"/>
        <v>0</v>
      </c>
      <c r="M5466" s="3"/>
      <c r="N5466" s="3">
        <f t="shared" si="245"/>
        <v>0</v>
      </c>
      <c r="O5466" s="3"/>
      <c r="S5466" s="89">
        <f>100%-Table34[[#This Row],[PDF_initial fee]]</f>
        <v>1</v>
      </c>
      <c r="T5466" s="89"/>
      <c r="X5466" s="9"/>
    </row>
    <row r="5467" spans="1:30" s="85" customFormat="1" hidden="1" x14ac:dyDescent="0.25">
      <c r="A5467" s="85">
        <v>769848</v>
      </c>
      <c r="B5467" s="85" t="s">
        <v>4634</v>
      </c>
      <c r="C5467" s="85" t="s">
        <v>7568</v>
      </c>
      <c r="D5467" s="85">
        <v>1</v>
      </c>
      <c r="E5467" s="85" t="s">
        <v>4634</v>
      </c>
      <c r="F5467" s="85" t="s">
        <v>3</v>
      </c>
      <c r="G5467" s="28">
        <v>1.6999999999999999E-3</v>
      </c>
      <c r="H5467" s="3"/>
      <c r="I5467" s="3"/>
      <c r="J5467" s="6"/>
      <c r="K5467" s="6"/>
      <c r="L5467" s="3"/>
      <c r="M5467" s="3"/>
      <c r="N5467" s="3"/>
      <c r="S5467" s="89">
        <f>100%-Table34[[#This Row],[PDF_initial fee]]</f>
        <v>1</v>
      </c>
      <c r="T5467" s="89"/>
      <c r="X5467" s="9"/>
      <c r="Y5467" s="30"/>
    </row>
    <row r="5468" spans="1:30" hidden="1" x14ac:dyDescent="0.25">
      <c r="A5468">
        <v>933612</v>
      </c>
      <c r="B5468" t="s">
        <v>5326</v>
      </c>
      <c r="C5468" t="s">
        <v>31621</v>
      </c>
      <c r="D5468">
        <v>1</v>
      </c>
      <c r="E5468" t="s">
        <v>5326</v>
      </c>
      <c r="H5468" s="3">
        <v>0</v>
      </c>
      <c r="I5468" s="3">
        <v>0</v>
      </c>
      <c r="J5468" s="3">
        <v>0</v>
      </c>
      <c r="K5468" s="3">
        <v>0</v>
      </c>
      <c r="L5468" s="3">
        <f t="shared" ref="L5468:L5480" si="246">SUM(H5468:K5468)</f>
        <v>0</v>
      </c>
      <c r="M5468" s="3"/>
      <c r="N5468" s="3">
        <f t="shared" ref="N5468:N5480" si="247">L5468+G5468</f>
        <v>0</v>
      </c>
      <c r="O5468" s="3"/>
      <c r="S5468" s="89">
        <f>100%-Table34[[#This Row],[PDF_initial fee]]</f>
        <v>1</v>
      </c>
      <c r="T5468" s="89"/>
    </row>
    <row r="5469" spans="1:30" hidden="1" x14ac:dyDescent="0.25">
      <c r="A5469">
        <v>830294</v>
      </c>
      <c r="B5469" t="s">
        <v>5035</v>
      </c>
      <c r="C5469" t="s">
        <v>31622</v>
      </c>
      <c r="D5469">
        <v>6</v>
      </c>
      <c r="E5469" t="s">
        <v>5035</v>
      </c>
      <c r="H5469" s="3">
        <v>0</v>
      </c>
      <c r="I5469" s="3">
        <v>0</v>
      </c>
      <c r="J5469" s="3">
        <v>0</v>
      </c>
      <c r="K5469" s="3">
        <v>0</v>
      </c>
      <c r="L5469" s="3">
        <f t="shared" si="246"/>
        <v>0</v>
      </c>
      <c r="M5469" s="3"/>
      <c r="N5469" s="3">
        <f t="shared" si="247"/>
        <v>0</v>
      </c>
      <c r="O5469" s="3"/>
      <c r="S5469" s="89">
        <f>100%-Table34[[#This Row],[PDF_initial fee]]</f>
        <v>1</v>
      </c>
      <c r="T5469" s="89"/>
    </row>
    <row r="5470" spans="1:30" hidden="1" x14ac:dyDescent="0.25">
      <c r="A5470">
        <v>1009576</v>
      </c>
      <c r="B5470" t="s">
        <v>5699</v>
      </c>
      <c r="C5470" t="s">
        <v>31623</v>
      </c>
      <c r="D5470">
        <v>1</v>
      </c>
      <c r="E5470" t="s">
        <v>5699</v>
      </c>
      <c r="H5470" s="3">
        <v>0</v>
      </c>
      <c r="I5470" s="3">
        <v>0</v>
      </c>
      <c r="J5470" s="3">
        <v>0</v>
      </c>
      <c r="K5470" s="3">
        <v>0</v>
      </c>
      <c r="L5470" s="3">
        <f t="shared" si="246"/>
        <v>0</v>
      </c>
      <c r="M5470" s="3"/>
      <c r="N5470" s="3">
        <f t="shared" si="247"/>
        <v>0</v>
      </c>
      <c r="O5470" s="3"/>
      <c r="S5470" s="89">
        <f>100%-Table34[[#This Row],[PDF_initial fee]]</f>
        <v>1</v>
      </c>
      <c r="T5470" s="89"/>
    </row>
    <row r="5471" spans="1:30" hidden="1" x14ac:dyDescent="0.25">
      <c r="A5471">
        <v>966199</v>
      </c>
      <c r="B5471" t="s">
        <v>5548</v>
      </c>
      <c r="C5471" t="s">
        <v>31624</v>
      </c>
      <c r="D5471">
        <v>2</v>
      </c>
      <c r="E5471" t="s">
        <v>5548</v>
      </c>
      <c r="H5471" s="3">
        <v>0</v>
      </c>
      <c r="I5471" s="3">
        <v>0</v>
      </c>
      <c r="J5471" s="3">
        <v>0</v>
      </c>
      <c r="K5471" s="3">
        <v>0</v>
      </c>
      <c r="L5471" s="3">
        <f t="shared" si="246"/>
        <v>0</v>
      </c>
      <c r="M5471" s="3"/>
      <c r="N5471" s="3">
        <f t="shared" si="247"/>
        <v>0</v>
      </c>
      <c r="O5471" s="3"/>
      <c r="S5471" s="89">
        <f>100%-Table34[[#This Row],[PDF_initial fee]]</f>
        <v>1</v>
      </c>
      <c r="T5471" s="89"/>
    </row>
    <row r="5472" spans="1:30" hidden="1" x14ac:dyDescent="0.25">
      <c r="A5472">
        <v>810631</v>
      </c>
      <c r="B5472" t="s">
        <v>4914</v>
      </c>
      <c r="C5472" t="s">
        <v>31625</v>
      </c>
      <c r="D5472">
        <v>12</v>
      </c>
      <c r="E5472" t="s">
        <v>4914</v>
      </c>
      <c r="H5472" s="3">
        <v>0</v>
      </c>
      <c r="I5472" s="3">
        <v>0</v>
      </c>
      <c r="J5472" s="3">
        <v>0</v>
      </c>
      <c r="K5472" s="3">
        <v>0</v>
      </c>
      <c r="L5472" s="3">
        <f t="shared" si="246"/>
        <v>0</v>
      </c>
      <c r="M5472" s="3"/>
      <c r="N5472" s="3">
        <f t="shared" si="247"/>
        <v>0</v>
      </c>
      <c r="O5472" s="3"/>
      <c r="S5472" s="89">
        <f>100%-Table34[[#This Row],[PDF_initial fee]]</f>
        <v>1</v>
      </c>
      <c r="T5472" s="89"/>
    </row>
    <row r="5473" spans="1:27" hidden="1" x14ac:dyDescent="0.25">
      <c r="A5473">
        <v>792342</v>
      </c>
      <c r="B5473" t="s">
        <v>4785</v>
      </c>
      <c r="C5473" t="s">
        <v>31626</v>
      </c>
      <c r="D5473">
        <v>1</v>
      </c>
      <c r="E5473" t="s">
        <v>4785</v>
      </c>
      <c r="H5473" s="3">
        <v>0</v>
      </c>
      <c r="I5473" s="3">
        <v>0</v>
      </c>
      <c r="J5473" s="3">
        <v>0</v>
      </c>
      <c r="K5473" s="3">
        <v>0</v>
      </c>
      <c r="L5473" s="3">
        <f t="shared" si="246"/>
        <v>0</v>
      </c>
      <c r="M5473" s="3"/>
      <c r="N5473" s="3">
        <f t="shared" si="247"/>
        <v>0</v>
      </c>
      <c r="O5473" s="3"/>
      <c r="S5473" s="89">
        <f>100%-Table34[[#This Row],[PDF_initial fee]]</f>
        <v>1</v>
      </c>
      <c r="T5473" s="89"/>
    </row>
    <row r="5474" spans="1:27" hidden="1" x14ac:dyDescent="0.25">
      <c r="A5474">
        <v>796333</v>
      </c>
      <c r="B5474" t="s">
        <v>4816</v>
      </c>
      <c r="C5474" t="s">
        <v>31627</v>
      </c>
      <c r="D5474">
        <v>1</v>
      </c>
      <c r="E5474" t="s">
        <v>4816</v>
      </c>
      <c r="H5474" s="3">
        <v>0</v>
      </c>
      <c r="I5474" s="3">
        <v>0</v>
      </c>
      <c r="J5474" s="3">
        <v>0</v>
      </c>
      <c r="K5474" s="3">
        <v>0</v>
      </c>
      <c r="L5474" s="3">
        <f t="shared" si="246"/>
        <v>0</v>
      </c>
      <c r="M5474" s="3"/>
      <c r="N5474" s="3">
        <f t="shared" si="247"/>
        <v>0</v>
      </c>
      <c r="O5474" s="3"/>
      <c r="S5474" s="89">
        <f>100%-Table34[[#This Row],[PDF_initial fee]]</f>
        <v>1</v>
      </c>
      <c r="T5474" s="89"/>
    </row>
    <row r="5475" spans="1:27" hidden="1" x14ac:dyDescent="0.25">
      <c r="A5475">
        <v>992232</v>
      </c>
      <c r="B5475" t="s">
        <v>5652</v>
      </c>
      <c r="C5475" t="s">
        <v>31628</v>
      </c>
      <c r="D5475">
        <v>2</v>
      </c>
      <c r="E5475" t="s">
        <v>5652</v>
      </c>
      <c r="H5475" s="3">
        <v>0</v>
      </c>
      <c r="I5475" s="3">
        <v>0</v>
      </c>
      <c r="J5475" s="3">
        <v>0</v>
      </c>
      <c r="K5475" s="3">
        <v>0</v>
      </c>
      <c r="L5475" s="3">
        <f t="shared" si="246"/>
        <v>0</v>
      </c>
      <c r="M5475" s="3"/>
      <c r="N5475" s="3">
        <f t="shared" si="247"/>
        <v>0</v>
      </c>
      <c r="O5475" s="3"/>
      <c r="S5475" s="89">
        <f>100%-Table34[[#This Row],[PDF_initial fee]]</f>
        <v>1</v>
      </c>
      <c r="T5475" s="89"/>
    </row>
    <row r="5476" spans="1:27" hidden="1" x14ac:dyDescent="0.25">
      <c r="A5476">
        <v>944354</v>
      </c>
      <c r="B5476" t="s">
        <v>5401</v>
      </c>
      <c r="C5476" t="s">
        <v>31629</v>
      </c>
      <c r="D5476">
        <v>3</v>
      </c>
      <c r="E5476" t="s">
        <v>5401</v>
      </c>
      <c r="H5476" s="3">
        <v>0</v>
      </c>
      <c r="I5476" s="3">
        <v>0</v>
      </c>
      <c r="J5476" s="3">
        <v>0</v>
      </c>
      <c r="K5476" s="3">
        <v>0</v>
      </c>
      <c r="L5476" s="3">
        <f t="shared" si="246"/>
        <v>0</v>
      </c>
      <c r="M5476" s="3"/>
      <c r="N5476" s="3">
        <f t="shared" si="247"/>
        <v>0</v>
      </c>
      <c r="O5476" s="3"/>
      <c r="S5476" s="89">
        <f>100%-Table34[[#This Row],[PDF_initial fee]]</f>
        <v>1</v>
      </c>
      <c r="T5476" s="89"/>
    </row>
    <row r="5477" spans="1:27" hidden="1" x14ac:dyDescent="0.25">
      <c r="A5477">
        <v>917243</v>
      </c>
      <c r="B5477" t="s">
        <v>5202</v>
      </c>
      <c r="C5477" t="s">
        <v>31630</v>
      </c>
      <c r="D5477">
        <v>3</v>
      </c>
      <c r="E5477" t="s">
        <v>5202</v>
      </c>
      <c r="H5477" s="3">
        <v>0</v>
      </c>
      <c r="I5477" s="3">
        <v>0</v>
      </c>
      <c r="J5477" s="3">
        <v>0</v>
      </c>
      <c r="K5477" s="3">
        <v>0</v>
      </c>
      <c r="L5477" s="3">
        <f t="shared" si="246"/>
        <v>0</v>
      </c>
      <c r="M5477" s="3"/>
      <c r="N5477" s="3">
        <f t="shared" si="247"/>
        <v>0</v>
      </c>
      <c r="O5477" s="3"/>
      <c r="S5477" s="89">
        <f>100%-Table34[[#This Row],[PDF_initial fee]]</f>
        <v>1</v>
      </c>
      <c r="T5477" s="89"/>
    </row>
    <row r="5478" spans="1:27" hidden="1" x14ac:dyDescent="0.25">
      <c r="A5478">
        <v>921116</v>
      </c>
      <c r="B5478" t="s">
        <v>5223</v>
      </c>
      <c r="C5478" t="s">
        <v>31631</v>
      </c>
      <c r="D5478">
        <v>1</v>
      </c>
      <c r="E5478" t="s">
        <v>5223</v>
      </c>
      <c r="H5478" s="3">
        <v>0</v>
      </c>
      <c r="I5478" s="3">
        <v>0</v>
      </c>
      <c r="J5478" s="3">
        <v>0</v>
      </c>
      <c r="K5478" s="3">
        <v>0</v>
      </c>
      <c r="L5478" s="3">
        <f t="shared" si="246"/>
        <v>0</v>
      </c>
      <c r="M5478" s="3"/>
      <c r="N5478" s="3">
        <f t="shared" si="247"/>
        <v>0</v>
      </c>
      <c r="O5478" s="3"/>
      <c r="S5478" s="89">
        <f>100%-Table34[[#This Row],[PDF_initial fee]]</f>
        <v>1</v>
      </c>
      <c r="T5478" s="89"/>
    </row>
    <row r="5479" spans="1:27" hidden="1" x14ac:dyDescent="0.25">
      <c r="A5479">
        <v>927926</v>
      </c>
      <c r="B5479" t="s">
        <v>5290</v>
      </c>
      <c r="C5479" t="s">
        <v>31632</v>
      </c>
      <c r="D5479">
        <v>2</v>
      </c>
      <c r="E5479" t="s">
        <v>5290</v>
      </c>
      <c r="H5479" s="3">
        <v>0</v>
      </c>
      <c r="I5479" s="3">
        <v>0</v>
      </c>
      <c r="J5479" s="3">
        <v>0</v>
      </c>
      <c r="K5479" s="3">
        <v>0</v>
      </c>
      <c r="L5479" s="3">
        <f t="shared" si="246"/>
        <v>0</v>
      </c>
      <c r="M5479" s="3"/>
      <c r="N5479" s="3">
        <f t="shared" si="247"/>
        <v>0</v>
      </c>
      <c r="O5479" s="3"/>
      <c r="S5479" s="89">
        <f>100%-Table34[[#This Row],[PDF_initial fee]]</f>
        <v>1</v>
      </c>
      <c r="T5479" s="89"/>
    </row>
    <row r="5480" spans="1:27" x14ac:dyDescent="0.25">
      <c r="A5480">
        <v>461391</v>
      </c>
      <c r="B5480" t="s">
        <v>2264</v>
      </c>
      <c r="C5480" s="1" t="s">
        <v>31633</v>
      </c>
      <c r="D5480">
        <v>1</v>
      </c>
      <c r="E5480" t="s">
        <v>2264</v>
      </c>
      <c r="F5480" t="s">
        <v>3</v>
      </c>
      <c r="G5480" s="3">
        <v>1.4E-3</v>
      </c>
      <c r="H5480" s="3">
        <f>(25%+7.5%)/2</f>
        <v>0.16250000000000001</v>
      </c>
      <c r="I5480" s="3">
        <f>(15%+50%)/2</f>
        <v>0.32500000000000001</v>
      </c>
      <c r="L5480" s="3">
        <f t="shared" si="246"/>
        <v>0.48750000000000004</v>
      </c>
      <c r="N5480" s="3">
        <f t="shared" si="247"/>
        <v>0.48890000000000006</v>
      </c>
      <c r="O5480" t="s">
        <v>31634</v>
      </c>
      <c r="Q5480" t="s">
        <v>31787</v>
      </c>
      <c r="R5480" s="30">
        <v>0.33333333333333348</v>
      </c>
      <c r="S5480" s="89">
        <f>100%-Table34[[#This Row],[InitialFee]]</f>
        <v>0.83750000000000002</v>
      </c>
      <c r="T5480" s="89">
        <f>(1-Table34[[#This Row],[OngoingFee (plus Platform fee)]])^5</f>
        <v>0.14012604492187505</v>
      </c>
      <c r="U5480" s="26">
        <f>(1+Table34[[#This Row],[Net 5yrs return (mostly up to 28th of Feb 2026)]])*Table34[[#This Row],[Investment after initial charge]]*Table34[[#This Row],[Cummulative 5yrs ongoing advice charge]]-1</f>
        <v>-0.84352591650390618</v>
      </c>
      <c r="V5480" s="96">
        <f>1214141+100558</f>
        <v>1314699</v>
      </c>
      <c r="W5480" t="s">
        <v>29051</v>
      </c>
      <c r="X5480" s="97">
        <v>971169</v>
      </c>
      <c r="Y5480" s="30"/>
      <c r="AA5480" s="1" t="s">
        <v>31635</v>
      </c>
    </row>
    <row r="5481" spans="1:27" hidden="1" x14ac:dyDescent="0.25">
      <c r="A5481">
        <v>953665</v>
      </c>
      <c r="B5481" t="s">
        <v>5488</v>
      </c>
      <c r="C5481" t="s">
        <v>6958</v>
      </c>
      <c r="D5481">
        <v>1</v>
      </c>
      <c r="F5481" t="s">
        <v>6958</v>
      </c>
      <c r="S5481" s="89">
        <f>100%-Table34[[#This Row],[PDF_initial fee]]</f>
        <v>1</v>
      </c>
      <c r="T5481" s="89"/>
    </row>
    <row r="5482" spans="1:27" hidden="1" x14ac:dyDescent="0.25">
      <c r="A5482">
        <v>921293</v>
      </c>
      <c r="B5482" t="s">
        <v>5224</v>
      </c>
      <c r="C5482" s="1" t="s">
        <v>31636</v>
      </c>
      <c r="D5482">
        <v>1</v>
      </c>
      <c r="S5482" s="89">
        <f>100%-Table34[[#This Row],[PDF_initial fee]]</f>
        <v>1</v>
      </c>
      <c r="T5482" s="89"/>
    </row>
    <row r="5483" spans="1:27" hidden="1" x14ac:dyDescent="0.25">
      <c r="A5483">
        <v>714242</v>
      </c>
      <c r="B5483" t="s">
        <v>4295</v>
      </c>
      <c r="C5483" s="1" t="s">
        <v>31637</v>
      </c>
      <c r="D5483">
        <v>1</v>
      </c>
      <c r="S5483" s="89">
        <f>100%-Table34[[#This Row],[PDF_initial fee]]</f>
        <v>1</v>
      </c>
      <c r="T5483" s="89"/>
    </row>
    <row r="5484" spans="1:27" hidden="1" x14ac:dyDescent="0.25">
      <c r="A5484">
        <v>948245</v>
      </c>
      <c r="B5484" t="s">
        <v>5435</v>
      </c>
      <c r="C5484" t="s">
        <v>6958</v>
      </c>
      <c r="D5484">
        <v>1</v>
      </c>
      <c r="F5484" t="s">
        <v>6958</v>
      </c>
      <c r="S5484" s="89">
        <f>100%-Table34[[#This Row],[PDF_initial fee]]</f>
        <v>1</v>
      </c>
      <c r="T5484" s="89"/>
    </row>
    <row r="5485" spans="1:27" hidden="1" x14ac:dyDescent="0.25">
      <c r="A5485">
        <v>228799</v>
      </c>
      <c r="B5485" t="s">
        <v>1420</v>
      </c>
      <c r="C5485" t="s">
        <v>6958</v>
      </c>
      <c r="D5485">
        <v>1</v>
      </c>
      <c r="F5485" t="s">
        <v>6958</v>
      </c>
      <c r="S5485" s="89">
        <f>100%-Table34[[#This Row],[PDF_initial fee]]</f>
        <v>1</v>
      </c>
      <c r="T5485" s="89"/>
    </row>
    <row r="5486" spans="1:27" hidden="1" x14ac:dyDescent="0.25">
      <c r="A5486">
        <v>524871</v>
      </c>
      <c r="B5486" t="s">
        <v>2940</v>
      </c>
      <c r="C5486" s="1" t="s">
        <v>31638</v>
      </c>
      <c r="D5486">
        <v>6</v>
      </c>
      <c r="S5486" s="89">
        <f>100%-Table34[[#This Row],[PDF_initial fee]]</f>
        <v>1</v>
      </c>
      <c r="T5486" s="89"/>
    </row>
    <row r="5487" spans="1:27" hidden="1" x14ac:dyDescent="0.25">
      <c r="A5487">
        <v>122088</v>
      </c>
      <c r="B5487" t="s">
        <v>511</v>
      </c>
      <c r="C5487" s="1" t="s">
        <v>31639</v>
      </c>
      <c r="D5487">
        <v>5</v>
      </c>
      <c r="S5487" s="89">
        <f>100%-Table34[[#This Row],[PDF_initial fee]]</f>
        <v>1</v>
      </c>
      <c r="T5487" s="89"/>
    </row>
    <row r="5488" spans="1:27" hidden="1" x14ac:dyDescent="0.25">
      <c r="A5488">
        <v>500195</v>
      </c>
      <c r="B5488" t="s">
        <v>2686</v>
      </c>
      <c r="C5488" t="s">
        <v>6958</v>
      </c>
      <c r="D5488">
        <v>1</v>
      </c>
      <c r="F5488" t="s">
        <v>6958</v>
      </c>
      <c r="S5488" s="89">
        <f>100%-Table34[[#This Row],[PDF_initial fee]]</f>
        <v>1</v>
      </c>
      <c r="T5488" s="89"/>
    </row>
    <row r="5489" spans="1:20" hidden="1" x14ac:dyDescent="0.25">
      <c r="A5489">
        <v>802626</v>
      </c>
      <c r="B5489" t="s">
        <v>4858</v>
      </c>
      <c r="C5489" t="s">
        <v>6958</v>
      </c>
      <c r="D5489">
        <v>0</v>
      </c>
      <c r="F5489" t="s">
        <v>6958</v>
      </c>
      <c r="S5489" s="89">
        <f>100%-Table34[[#This Row],[PDF_initial fee]]</f>
        <v>1</v>
      </c>
      <c r="T5489" s="89"/>
    </row>
    <row r="5490" spans="1:20" hidden="1" x14ac:dyDescent="0.25">
      <c r="A5490">
        <v>204793</v>
      </c>
      <c r="B5490" t="s">
        <v>1176</v>
      </c>
      <c r="C5490" s="1" t="s">
        <v>31640</v>
      </c>
      <c r="D5490">
        <v>5</v>
      </c>
      <c r="S5490" s="89">
        <f>100%-Table34[[#This Row],[PDF_initial fee]]</f>
        <v>1</v>
      </c>
      <c r="T5490" s="89"/>
    </row>
    <row r="5491" spans="1:20" hidden="1" x14ac:dyDescent="0.25">
      <c r="A5491">
        <v>565148</v>
      </c>
      <c r="B5491" t="s">
        <v>3220</v>
      </c>
      <c r="C5491" t="s">
        <v>6958</v>
      </c>
      <c r="D5491">
        <v>2</v>
      </c>
      <c r="F5491" t="s">
        <v>6958</v>
      </c>
      <c r="S5491" s="89">
        <f>100%-Table34[[#This Row],[PDF_initial fee]]</f>
        <v>1</v>
      </c>
      <c r="T5491" s="89"/>
    </row>
    <row r="5492" spans="1:20" hidden="1" x14ac:dyDescent="0.25">
      <c r="A5492">
        <v>408128</v>
      </c>
      <c r="B5492" t="s">
        <v>1672</v>
      </c>
      <c r="C5492" t="s">
        <v>6958</v>
      </c>
      <c r="D5492">
        <v>1</v>
      </c>
      <c r="F5492" t="s">
        <v>6958</v>
      </c>
      <c r="S5492" s="89">
        <f>100%-Table34[[#This Row],[PDF_initial fee]]</f>
        <v>1</v>
      </c>
      <c r="T5492" s="89"/>
    </row>
    <row r="5493" spans="1:20" hidden="1" x14ac:dyDescent="0.25">
      <c r="A5493">
        <v>515379</v>
      </c>
      <c r="B5493" t="s">
        <v>2836</v>
      </c>
      <c r="C5493" t="s">
        <v>6958</v>
      </c>
      <c r="D5493">
        <v>5</v>
      </c>
      <c r="F5493" t="s">
        <v>6958</v>
      </c>
      <c r="S5493" s="89">
        <f>100%-Table34[[#This Row],[PDF_initial fee]]</f>
        <v>1</v>
      </c>
      <c r="T5493" s="89"/>
    </row>
    <row r="5494" spans="1:20" hidden="1" x14ac:dyDescent="0.25">
      <c r="A5494">
        <v>435534</v>
      </c>
      <c r="B5494" t="s">
        <v>1898</v>
      </c>
      <c r="C5494" t="s">
        <v>6958</v>
      </c>
      <c r="D5494">
        <v>7</v>
      </c>
      <c r="F5494" t="s">
        <v>6958</v>
      </c>
      <c r="S5494" s="89">
        <f>100%-Table34[[#This Row],[PDF_initial fee]]</f>
        <v>1</v>
      </c>
      <c r="T5494" s="89"/>
    </row>
    <row r="5495" spans="1:20" hidden="1" x14ac:dyDescent="0.25">
      <c r="A5495">
        <v>524848</v>
      </c>
      <c r="B5495" t="s">
        <v>2939</v>
      </c>
      <c r="C5495" t="s">
        <v>6958</v>
      </c>
      <c r="D5495">
        <v>1</v>
      </c>
      <c r="F5495" t="s">
        <v>6958</v>
      </c>
      <c r="S5495" s="89">
        <f>100%-Table34[[#This Row],[PDF_initial fee]]</f>
        <v>1</v>
      </c>
      <c r="T5495" s="89"/>
    </row>
    <row r="5496" spans="1:20" hidden="1" x14ac:dyDescent="0.25">
      <c r="A5496">
        <v>719605</v>
      </c>
      <c r="B5496" t="s">
        <v>4349</v>
      </c>
      <c r="C5496" s="1" t="s">
        <v>31641</v>
      </c>
      <c r="D5496">
        <v>2</v>
      </c>
      <c r="S5496" s="89">
        <f>100%-Table34[[#This Row],[PDF_initial fee]]</f>
        <v>1</v>
      </c>
      <c r="T5496" s="89"/>
    </row>
    <row r="5497" spans="1:20" hidden="1" x14ac:dyDescent="0.25">
      <c r="A5497">
        <v>466838</v>
      </c>
      <c r="B5497" t="s">
        <v>2348</v>
      </c>
      <c r="C5497" t="s">
        <v>6958</v>
      </c>
      <c r="D5497">
        <v>22</v>
      </c>
      <c r="F5497" t="s">
        <v>6958</v>
      </c>
      <c r="S5497" s="89">
        <f>100%-Table34[[#This Row],[PDF_initial fee]]</f>
        <v>1</v>
      </c>
      <c r="T5497" s="89"/>
    </row>
    <row r="5498" spans="1:20" hidden="1" x14ac:dyDescent="0.25">
      <c r="A5498">
        <v>989443</v>
      </c>
      <c r="B5498" t="s">
        <v>5644</v>
      </c>
      <c r="C5498" s="1" t="s">
        <v>31642</v>
      </c>
      <c r="D5498">
        <v>25</v>
      </c>
      <c r="S5498" s="89">
        <f>100%-Table34[[#This Row],[PDF_initial fee]]</f>
        <v>1</v>
      </c>
      <c r="T5498" s="89"/>
    </row>
    <row r="5499" spans="1:20" hidden="1" x14ac:dyDescent="0.25">
      <c r="A5499">
        <v>596038</v>
      </c>
      <c r="B5499" t="s">
        <v>3501</v>
      </c>
      <c r="C5499" t="s">
        <v>6958</v>
      </c>
      <c r="D5499">
        <v>1</v>
      </c>
      <c r="F5499" t="s">
        <v>6958</v>
      </c>
      <c r="S5499" s="89">
        <f>100%-Table34[[#This Row],[PDF_initial fee]]</f>
        <v>1</v>
      </c>
      <c r="T5499" s="89"/>
    </row>
    <row r="5500" spans="1:20" hidden="1" x14ac:dyDescent="0.25">
      <c r="A5500">
        <v>153420</v>
      </c>
      <c r="B5500" t="s">
        <v>821</v>
      </c>
      <c r="C5500" t="s">
        <v>6958</v>
      </c>
      <c r="D5500">
        <v>1</v>
      </c>
      <c r="F5500" t="s">
        <v>6958</v>
      </c>
      <c r="S5500" s="89">
        <f>100%-Table34[[#This Row],[PDF_initial fee]]</f>
        <v>1</v>
      </c>
      <c r="T5500" s="89"/>
    </row>
    <row r="5501" spans="1:20" hidden="1" x14ac:dyDescent="0.25">
      <c r="A5501">
        <v>812336</v>
      </c>
      <c r="B5501" t="s">
        <v>4931</v>
      </c>
      <c r="C5501" t="s">
        <v>6958</v>
      </c>
      <c r="D5501">
        <v>0</v>
      </c>
      <c r="F5501" t="s">
        <v>6958</v>
      </c>
      <c r="S5501" s="89">
        <f>100%-Table34[[#This Row],[PDF_initial fee]]</f>
        <v>1</v>
      </c>
      <c r="T5501" s="89"/>
    </row>
    <row r="5502" spans="1:20" hidden="1" x14ac:dyDescent="0.25">
      <c r="A5502">
        <v>209369</v>
      </c>
      <c r="B5502" t="s">
        <v>1205</v>
      </c>
      <c r="C5502" t="s">
        <v>6958</v>
      </c>
      <c r="D5502">
        <v>1</v>
      </c>
      <c r="F5502" t="s">
        <v>6958</v>
      </c>
      <c r="S5502" s="89">
        <f>100%-Table34[[#This Row],[PDF_initial fee]]</f>
        <v>1</v>
      </c>
      <c r="T5502" s="89"/>
    </row>
    <row r="5503" spans="1:20" hidden="1" x14ac:dyDescent="0.25">
      <c r="A5503">
        <v>462885</v>
      </c>
      <c r="B5503" t="s">
        <v>2293</v>
      </c>
      <c r="C5503" t="s">
        <v>6958</v>
      </c>
      <c r="D5503">
        <v>0</v>
      </c>
      <c r="F5503" t="s">
        <v>6958</v>
      </c>
      <c r="S5503" s="89">
        <f>100%-Table34[[#This Row],[PDF_initial fee]]</f>
        <v>1</v>
      </c>
      <c r="T5503" s="89"/>
    </row>
    <row r="5504" spans="1:20" hidden="1" x14ac:dyDescent="0.25">
      <c r="A5504">
        <v>744716</v>
      </c>
      <c r="B5504" t="s">
        <v>4475</v>
      </c>
      <c r="C5504" s="1" t="s">
        <v>31643</v>
      </c>
      <c r="D5504">
        <v>1</v>
      </c>
      <c r="F5504" t="s">
        <v>31644</v>
      </c>
      <c r="S5504" s="89">
        <f>100%-Table34[[#This Row],[PDF_initial fee]]</f>
        <v>1</v>
      </c>
      <c r="T5504" s="89"/>
    </row>
    <row r="5505" spans="1:20" hidden="1" x14ac:dyDescent="0.25">
      <c r="A5505">
        <v>434725</v>
      </c>
      <c r="B5505" t="s">
        <v>1890</v>
      </c>
      <c r="C5505" t="s">
        <v>6958</v>
      </c>
      <c r="D5505">
        <v>1</v>
      </c>
      <c r="F5505" t="s">
        <v>6958</v>
      </c>
      <c r="S5505" s="89">
        <f>100%-Table34[[#This Row],[PDF_initial fee]]</f>
        <v>1</v>
      </c>
      <c r="T5505" s="89"/>
    </row>
    <row r="5506" spans="1:20" hidden="1" x14ac:dyDescent="0.25">
      <c r="A5506">
        <v>625059</v>
      </c>
      <c r="B5506" t="s">
        <v>3886</v>
      </c>
      <c r="C5506" t="s">
        <v>6958</v>
      </c>
      <c r="D5506">
        <v>1</v>
      </c>
      <c r="F5506" t="s">
        <v>6958</v>
      </c>
      <c r="S5506" s="89">
        <f>100%-Table34[[#This Row],[PDF_initial fee]]</f>
        <v>1</v>
      </c>
      <c r="T5506" s="89"/>
    </row>
    <row r="5507" spans="1:20" hidden="1" x14ac:dyDescent="0.25">
      <c r="A5507">
        <v>599241</v>
      </c>
      <c r="B5507" t="s">
        <v>3539</v>
      </c>
      <c r="C5507" t="s">
        <v>6958</v>
      </c>
      <c r="D5507">
        <v>1</v>
      </c>
      <c r="F5507" t="s">
        <v>6958</v>
      </c>
      <c r="S5507" s="89">
        <f>100%-Table34[[#This Row],[PDF_initial fee]]</f>
        <v>1</v>
      </c>
      <c r="T5507" s="89"/>
    </row>
    <row r="5508" spans="1:20" hidden="1" x14ac:dyDescent="0.25">
      <c r="A5508">
        <v>974349</v>
      </c>
      <c r="B5508" t="s">
        <v>5592</v>
      </c>
      <c r="C5508" s="1" t="s">
        <v>31645</v>
      </c>
      <c r="D5508">
        <v>16</v>
      </c>
      <c r="F5508" t="s">
        <v>29136</v>
      </c>
      <c r="S5508" s="89">
        <f>100%-Table34[[#This Row],[PDF_initial fee]]</f>
        <v>1</v>
      </c>
      <c r="T5508" s="89"/>
    </row>
    <row r="5509" spans="1:20" hidden="1" x14ac:dyDescent="0.25">
      <c r="A5509">
        <v>475949</v>
      </c>
      <c r="B5509" t="s">
        <v>2468</v>
      </c>
      <c r="C5509" t="s">
        <v>6958</v>
      </c>
      <c r="D5509">
        <v>1</v>
      </c>
      <c r="F5509" t="s">
        <v>6958</v>
      </c>
      <c r="S5509" s="89">
        <f>100%-Table34[[#This Row],[PDF_initial fee]]</f>
        <v>1</v>
      </c>
      <c r="T5509" s="89"/>
    </row>
    <row r="5510" spans="1:20" hidden="1" x14ac:dyDescent="0.25">
      <c r="A5510">
        <v>925056</v>
      </c>
      <c r="B5510" t="s">
        <v>5262</v>
      </c>
      <c r="C5510" t="s">
        <v>6958</v>
      </c>
      <c r="D5510">
        <v>1</v>
      </c>
      <c r="F5510" t="s">
        <v>6958</v>
      </c>
      <c r="S5510" s="89">
        <f>100%-Table34[[#This Row],[PDF_initial fee]]</f>
        <v>1</v>
      </c>
      <c r="T5510" s="89"/>
    </row>
    <row r="5511" spans="1:20" hidden="1" x14ac:dyDescent="0.25">
      <c r="A5511">
        <v>435402</v>
      </c>
      <c r="B5511" t="s">
        <v>1896</v>
      </c>
      <c r="C5511" t="s">
        <v>6958</v>
      </c>
      <c r="D5511">
        <v>1</v>
      </c>
      <c r="F5511" t="s">
        <v>6958</v>
      </c>
      <c r="S5511" s="89">
        <f>100%-Table34[[#This Row],[PDF_initial fee]]</f>
        <v>1</v>
      </c>
      <c r="T5511" s="89"/>
    </row>
    <row r="5512" spans="1:20" hidden="1" x14ac:dyDescent="0.25">
      <c r="A5512">
        <v>121618</v>
      </c>
      <c r="B5512" t="s">
        <v>500</v>
      </c>
      <c r="C5512" t="s">
        <v>6958</v>
      </c>
      <c r="D5512">
        <v>7</v>
      </c>
      <c r="F5512" t="s">
        <v>6958</v>
      </c>
      <c r="S5512" s="89">
        <f>100%-Table34[[#This Row],[PDF_initial fee]]</f>
        <v>1</v>
      </c>
      <c r="T5512" s="89"/>
    </row>
    <row r="5513" spans="1:20" hidden="1" x14ac:dyDescent="0.25">
      <c r="A5513">
        <v>515997</v>
      </c>
      <c r="B5513" t="s">
        <v>2845</v>
      </c>
      <c r="C5513" t="s">
        <v>6958</v>
      </c>
      <c r="D5513">
        <v>1</v>
      </c>
      <c r="F5513" t="s">
        <v>6958</v>
      </c>
      <c r="S5513" s="89">
        <f>100%-Table34[[#This Row],[PDF_initial fee]]</f>
        <v>1</v>
      </c>
      <c r="T5513" s="89"/>
    </row>
    <row r="5514" spans="1:20" hidden="1" x14ac:dyDescent="0.25">
      <c r="A5514">
        <v>655268</v>
      </c>
      <c r="B5514" t="s">
        <v>4043</v>
      </c>
      <c r="C5514" t="s">
        <v>6958</v>
      </c>
      <c r="D5514">
        <v>0</v>
      </c>
      <c r="F5514" t="s">
        <v>6958</v>
      </c>
      <c r="S5514" s="89">
        <f>100%-Table34[[#This Row],[PDF_initial fee]]</f>
        <v>1</v>
      </c>
      <c r="T5514" s="89"/>
    </row>
    <row r="5515" spans="1:20" hidden="1" x14ac:dyDescent="0.25">
      <c r="A5515">
        <v>605906</v>
      </c>
      <c r="B5515" t="s">
        <v>3633</v>
      </c>
      <c r="C5515" t="s">
        <v>6958</v>
      </c>
      <c r="D5515">
        <v>0</v>
      </c>
      <c r="F5515" t="s">
        <v>6958</v>
      </c>
      <c r="S5515" s="89">
        <f>100%-Table34[[#This Row],[PDF_initial fee]]</f>
        <v>1</v>
      </c>
      <c r="T5515" s="89"/>
    </row>
    <row r="5516" spans="1:20" hidden="1" x14ac:dyDescent="0.25">
      <c r="A5516">
        <v>459257</v>
      </c>
      <c r="B5516" t="s">
        <v>2224</v>
      </c>
      <c r="C5516" t="s">
        <v>6958</v>
      </c>
      <c r="D5516">
        <v>0</v>
      </c>
      <c r="F5516" t="s">
        <v>6958</v>
      </c>
      <c r="S5516" s="89">
        <f>100%-Table34[[#This Row],[PDF_initial fee]]</f>
        <v>1</v>
      </c>
      <c r="T5516" s="89"/>
    </row>
    <row r="5517" spans="1:20" hidden="1" x14ac:dyDescent="0.25">
      <c r="A5517">
        <v>463679</v>
      </c>
      <c r="B5517" t="s">
        <v>2303</v>
      </c>
      <c r="C5517" t="s">
        <v>6958</v>
      </c>
      <c r="D5517">
        <v>0</v>
      </c>
      <c r="F5517" t="s">
        <v>6958</v>
      </c>
      <c r="S5517" s="89">
        <f>100%-Table34[[#This Row],[PDF_initial fee]]</f>
        <v>1</v>
      </c>
      <c r="T5517" s="89"/>
    </row>
    <row r="5518" spans="1:20" hidden="1" x14ac:dyDescent="0.25">
      <c r="A5518">
        <v>495699</v>
      </c>
      <c r="B5518" t="s">
        <v>2650</v>
      </c>
      <c r="C5518" t="s">
        <v>6958</v>
      </c>
      <c r="D5518">
        <v>4</v>
      </c>
      <c r="F5518" t="s">
        <v>6958</v>
      </c>
      <c r="S5518" s="89">
        <f>100%-Table34[[#This Row],[PDF_initial fee]]</f>
        <v>1</v>
      </c>
      <c r="T5518" s="89"/>
    </row>
    <row r="5519" spans="1:20" hidden="1" x14ac:dyDescent="0.25">
      <c r="A5519">
        <v>703422</v>
      </c>
      <c r="B5519" t="s">
        <v>4171</v>
      </c>
      <c r="C5519" t="s">
        <v>6958</v>
      </c>
      <c r="D5519">
        <v>1</v>
      </c>
      <c r="F5519" t="s">
        <v>6958</v>
      </c>
      <c r="S5519" s="89">
        <f>100%-Table34[[#This Row],[PDF_initial fee]]</f>
        <v>1</v>
      </c>
      <c r="T5519" s="89"/>
    </row>
    <row r="5520" spans="1:20" hidden="1" x14ac:dyDescent="0.25">
      <c r="A5520">
        <v>607351</v>
      </c>
      <c r="B5520" t="s">
        <v>3662</v>
      </c>
      <c r="C5520" t="s">
        <v>6958</v>
      </c>
      <c r="D5520">
        <v>1</v>
      </c>
      <c r="F5520" t="s">
        <v>6958</v>
      </c>
      <c r="S5520" s="89">
        <f>100%-Table34[[#This Row],[PDF_initial fee]]</f>
        <v>1</v>
      </c>
      <c r="T5520" s="89"/>
    </row>
    <row r="5521" spans="1:20" hidden="1" x14ac:dyDescent="0.25">
      <c r="A5521">
        <v>927316</v>
      </c>
      <c r="B5521" t="s">
        <v>5284</v>
      </c>
      <c r="C5521" t="s">
        <v>6958</v>
      </c>
      <c r="D5521">
        <v>1</v>
      </c>
      <c r="F5521" t="s">
        <v>6958</v>
      </c>
      <c r="S5521" s="89">
        <f>100%-Table34[[#This Row],[PDF_initial fee]]</f>
        <v>1</v>
      </c>
      <c r="T5521" s="89"/>
    </row>
    <row r="5522" spans="1:20" hidden="1" x14ac:dyDescent="0.25">
      <c r="A5522">
        <v>224090</v>
      </c>
      <c r="B5522" t="s">
        <v>1338</v>
      </c>
      <c r="C5522" t="s">
        <v>6958</v>
      </c>
      <c r="D5522">
        <v>1</v>
      </c>
      <c r="F5522" t="s">
        <v>6958</v>
      </c>
      <c r="S5522" s="89">
        <f>100%-Table34[[#This Row],[PDF_initial fee]]</f>
        <v>1</v>
      </c>
      <c r="T5522" s="89"/>
    </row>
    <row r="5523" spans="1:20" hidden="1" x14ac:dyDescent="0.25">
      <c r="A5523">
        <v>786425</v>
      </c>
      <c r="B5523" t="s">
        <v>4739</v>
      </c>
      <c r="C5523" t="s">
        <v>6958</v>
      </c>
      <c r="D5523">
        <v>2</v>
      </c>
      <c r="F5523" t="s">
        <v>6958</v>
      </c>
      <c r="S5523" s="89">
        <f>100%-Table34[[#This Row],[PDF_initial fee]]</f>
        <v>1</v>
      </c>
      <c r="T5523" s="89"/>
    </row>
    <row r="5524" spans="1:20" hidden="1" x14ac:dyDescent="0.25">
      <c r="A5524">
        <v>148021</v>
      </c>
      <c r="B5524" t="s">
        <v>767</v>
      </c>
      <c r="C5524" t="s">
        <v>6958</v>
      </c>
      <c r="D5524">
        <v>0</v>
      </c>
      <c r="F5524" t="s">
        <v>6958</v>
      </c>
      <c r="S5524" s="89">
        <f>100%-Table34[[#This Row],[PDF_initial fee]]</f>
        <v>1</v>
      </c>
      <c r="T5524" s="89"/>
    </row>
    <row r="5525" spans="1:20" hidden="1" x14ac:dyDescent="0.25">
      <c r="A5525">
        <v>149824</v>
      </c>
      <c r="B5525" t="s">
        <v>792</v>
      </c>
      <c r="C5525" t="s">
        <v>6958</v>
      </c>
      <c r="D5525">
        <v>1</v>
      </c>
      <c r="F5525" t="s">
        <v>6958</v>
      </c>
      <c r="S5525" s="89">
        <f>100%-Table34[[#This Row],[PDF_initial fee]]</f>
        <v>1</v>
      </c>
      <c r="T5525" s="89"/>
    </row>
    <row r="5526" spans="1:20" hidden="1" x14ac:dyDescent="0.25">
      <c r="A5526">
        <v>572121</v>
      </c>
      <c r="B5526" t="s">
        <v>3262</v>
      </c>
      <c r="C5526" t="s">
        <v>6958</v>
      </c>
      <c r="D5526">
        <v>1</v>
      </c>
      <c r="F5526" t="s">
        <v>6958</v>
      </c>
      <c r="S5526" s="89">
        <f>100%-Table34[[#This Row],[PDF_initial fee]]</f>
        <v>1</v>
      </c>
      <c r="T5526" s="89"/>
    </row>
    <row r="5527" spans="1:20" hidden="1" x14ac:dyDescent="0.25">
      <c r="A5527">
        <v>821102</v>
      </c>
      <c r="B5527" t="s">
        <v>4975</v>
      </c>
      <c r="C5527" t="s">
        <v>6958</v>
      </c>
      <c r="D5527">
        <v>1</v>
      </c>
      <c r="F5527" t="s">
        <v>6958</v>
      </c>
      <c r="S5527" s="89">
        <f>100%-Table34[[#This Row],[PDF_initial fee]]</f>
        <v>1</v>
      </c>
      <c r="T5527" s="89"/>
    </row>
    <row r="5528" spans="1:20" hidden="1" x14ac:dyDescent="0.25">
      <c r="A5528">
        <v>497173</v>
      </c>
      <c r="B5528" t="s">
        <v>2665</v>
      </c>
      <c r="C5528" t="s">
        <v>6958</v>
      </c>
      <c r="D5528">
        <v>1</v>
      </c>
      <c r="F5528" t="s">
        <v>6958</v>
      </c>
      <c r="S5528" s="89">
        <f>100%-Table34[[#This Row],[PDF_initial fee]]</f>
        <v>1</v>
      </c>
      <c r="T5528" s="89"/>
    </row>
    <row r="5529" spans="1:20" hidden="1" x14ac:dyDescent="0.25">
      <c r="A5529">
        <v>962840</v>
      </c>
      <c r="B5529" t="s">
        <v>5532</v>
      </c>
      <c r="C5529" s="1" t="s">
        <v>31646</v>
      </c>
      <c r="D5529">
        <v>1</v>
      </c>
      <c r="F5529" t="s">
        <v>31647</v>
      </c>
      <c r="S5529" s="89">
        <f>100%-Table34[[#This Row],[PDF_initial fee]]</f>
        <v>1</v>
      </c>
      <c r="T5529" s="89"/>
    </row>
    <row r="5530" spans="1:20" hidden="1" x14ac:dyDescent="0.25">
      <c r="A5530">
        <v>848978</v>
      </c>
      <c r="B5530" t="s">
        <v>5141</v>
      </c>
      <c r="C5530" t="s">
        <v>6958</v>
      </c>
      <c r="D5530">
        <v>2</v>
      </c>
      <c r="F5530" t="s">
        <v>6958</v>
      </c>
      <c r="S5530" s="89">
        <f>100%-Table34[[#This Row],[PDF_initial fee]]</f>
        <v>1</v>
      </c>
      <c r="T5530" s="89"/>
    </row>
    <row r="5531" spans="1:20" hidden="1" x14ac:dyDescent="0.25">
      <c r="A5531">
        <v>746441</v>
      </c>
      <c r="B5531" t="s">
        <v>4489</v>
      </c>
      <c r="C5531" t="s">
        <v>6958</v>
      </c>
      <c r="D5531">
        <v>1</v>
      </c>
      <c r="F5531" t="s">
        <v>6958</v>
      </c>
      <c r="S5531" s="89">
        <f>100%-Table34[[#This Row],[PDF_initial fee]]</f>
        <v>1</v>
      </c>
      <c r="T5531" s="89"/>
    </row>
    <row r="5532" spans="1:20" hidden="1" x14ac:dyDescent="0.25">
      <c r="A5532">
        <v>568328</v>
      </c>
      <c r="B5532" t="s">
        <v>3241</v>
      </c>
      <c r="C5532" t="s">
        <v>6958</v>
      </c>
      <c r="D5532">
        <v>1</v>
      </c>
      <c r="F5532" t="s">
        <v>6958</v>
      </c>
      <c r="S5532" s="89">
        <f>100%-Table34[[#This Row],[PDF_initial fee]]</f>
        <v>1</v>
      </c>
      <c r="T5532" s="89"/>
    </row>
    <row r="5533" spans="1:20" hidden="1" x14ac:dyDescent="0.25">
      <c r="A5533">
        <v>124659</v>
      </c>
      <c r="B5533" t="s">
        <v>536</v>
      </c>
      <c r="C5533" s="1" t="s">
        <v>29337</v>
      </c>
      <c r="D5533">
        <v>7</v>
      </c>
      <c r="F5533" t="s">
        <v>6</v>
      </c>
      <c r="S5533" s="89">
        <f>100%-Table34[[#This Row],[PDF_initial fee]]</f>
        <v>1</v>
      </c>
      <c r="T5533" s="89"/>
    </row>
    <row r="5534" spans="1:20" hidden="1" x14ac:dyDescent="0.25">
      <c r="A5534">
        <v>169994</v>
      </c>
      <c r="B5534" t="s">
        <v>884</v>
      </c>
      <c r="C5534" t="s">
        <v>6958</v>
      </c>
      <c r="D5534">
        <v>1</v>
      </c>
      <c r="F5534" t="s">
        <v>6958</v>
      </c>
      <c r="S5534" s="89">
        <f>100%-Table34[[#This Row],[PDF_initial fee]]</f>
        <v>1</v>
      </c>
      <c r="T5534" s="89"/>
    </row>
    <row r="5535" spans="1:20" hidden="1" x14ac:dyDescent="0.25">
      <c r="A5535">
        <v>197470</v>
      </c>
      <c r="B5535" t="s">
        <v>1164</v>
      </c>
      <c r="C5535" t="s">
        <v>6958</v>
      </c>
      <c r="D5535">
        <v>1</v>
      </c>
      <c r="F5535" t="s">
        <v>6958</v>
      </c>
      <c r="S5535" s="89">
        <f>100%-Table34[[#This Row],[PDF_initial fee]]</f>
        <v>1</v>
      </c>
      <c r="T5535" s="89"/>
    </row>
    <row r="5536" spans="1:20" hidden="1" x14ac:dyDescent="0.25">
      <c r="A5536">
        <v>163487</v>
      </c>
      <c r="B5536" t="s">
        <v>868</v>
      </c>
      <c r="C5536" t="s">
        <v>6958</v>
      </c>
      <c r="D5536">
        <v>1</v>
      </c>
      <c r="F5536" t="s">
        <v>6958</v>
      </c>
      <c r="S5536" s="89">
        <f>100%-Table34[[#This Row],[PDF_initial fee]]</f>
        <v>1</v>
      </c>
      <c r="T5536" s="89"/>
    </row>
    <row r="5537" spans="1:20" hidden="1" x14ac:dyDescent="0.25">
      <c r="A5537">
        <v>947631</v>
      </c>
      <c r="B5537" t="s">
        <v>5428</v>
      </c>
      <c r="C5537" t="s">
        <v>6958</v>
      </c>
      <c r="D5537">
        <v>1</v>
      </c>
      <c r="F5537" t="s">
        <v>6958</v>
      </c>
      <c r="S5537" s="89">
        <f>100%-Table34[[#This Row],[PDF_initial fee]]</f>
        <v>1</v>
      </c>
      <c r="T5537" s="89"/>
    </row>
    <row r="5538" spans="1:20" hidden="1" x14ac:dyDescent="0.25">
      <c r="A5538">
        <v>190354</v>
      </c>
      <c r="B5538" t="s">
        <v>1034</v>
      </c>
      <c r="C5538" t="s">
        <v>6958</v>
      </c>
      <c r="D5538">
        <v>1</v>
      </c>
      <c r="F5538" t="s">
        <v>6958</v>
      </c>
      <c r="S5538" s="89">
        <f>100%-Table34[[#This Row],[PDF_initial fee]]</f>
        <v>1</v>
      </c>
      <c r="T5538" s="89"/>
    </row>
    <row r="5539" spans="1:20" hidden="1" x14ac:dyDescent="0.25">
      <c r="A5539">
        <v>493722</v>
      </c>
      <c r="B5539" t="s">
        <v>2641</v>
      </c>
      <c r="C5539" t="s">
        <v>6958</v>
      </c>
      <c r="D5539">
        <v>1</v>
      </c>
      <c r="F5539" t="s">
        <v>6958</v>
      </c>
      <c r="S5539" s="89">
        <f>100%-Table34[[#This Row],[PDF_initial fee]]</f>
        <v>1</v>
      </c>
      <c r="T5539" s="89"/>
    </row>
    <row r="5540" spans="1:20" hidden="1" x14ac:dyDescent="0.25">
      <c r="A5540">
        <v>650305</v>
      </c>
      <c r="B5540" t="s">
        <v>4021</v>
      </c>
      <c r="C5540" t="s">
        <v>6958</v>
      </c>
      <c r="D5540">
        <v>2</v>
      </c>
      <c r="F5540" t="s">
        <v>6958</v>
      </c>
      <c r="S5540" s="89">
        <f>100%-Table34[[#This Row],[PDF_initial fee]]</f>
        <v>1</v>
      </c>
      <c r="T5540" s="89"/>
    </row>
    <row r="5541" spans="1:20" hidden="1" x14ac:dyDescent="0.25">
      <c r="A5541">
        <v>453011</v>
      </c>
      <c r="B5541" t="s">
        <v>2104</v>
      </c>
      <c r="C5541" t="s">
        <v>6958</v>
      </c>
      <c r="D5541">
        <v>1</v>
      </c>
      <c r="F5541" t="s">
        <v>6958</v>
      </c>
      <c r="S5541" s="89">
        <f>100%-Table34[[#This Row],[PDF_initial fee]]</f>
        <v>1</v>
      </c>
      <c r="T5541" s="89"/>
    </row>
    <row r="5542" spans="1:20" hidden="1" x14ac:dyDescent="0.25">
      <c r="A5542">
        <v>747407</v>
      </c>
      <c r="B5542" t="s">
        <v>4494</v>
      </c>
      <c r="C5542" t="s">
        <v>6958</v>
      </c>
      <c r="D5542">
        <v>1</v>
      </c>
      <c r="F5542" t="s">
        <v>6958</v>
      </c>
      <c r="S5542" s="89">
        <f>100%-Table34[[#This Row],[PDF_initial fee]]</f>
        <v>1</v>
      </c>
      <c r="T5542" s="89"/>
    </row>
    <row r="5543" spans="1:20" hidden="1" x14ac:dyDescent="0.25">
      <c r="A5543">
        <v>713202</v>
      </c>
      <c r="B5543" t="s">
        <v>4274</v>
      </c>
      <c r="C5543" t="s">
        <v>6958</v>
      </c>
      <c r="D5543">
        <v>1</v>
      </c>
      <c r="F5543" t="s">
        <v>6958</v>
      </c>
      <c r="S5543" s="89">
        <f>100%-Table34[[#This Row],[PDF_initial fee]]</f>
        <v>1</v>
      </c>
      <c r="T5543" s="89"/>
    </row>
    <row r="5544" spans="1:20" hidden="1" x14ac:dyDescent="0.25">
      <c r="A5544">
        <v>198003</v>
      </c>
      <c r="B5544" t="s">
        <v>1166</v>
      </c>
      <c r="C5544" t="s">
        <v>6958</v>
      </c>
      <c r="D5544">
        <v>2</v>
      </c>
      <c r="F5544" t="s">
        <v>6958</v>
      </c>
      <c r="S5544" s="89">
        <f>100%-Table34[[#This Row],[PDF_initial fee]]</f>
        <v>1</v>
      </c>
      <c r="T5544" s="89"/>
    </row>
    <row r="5545" spans="1:20" hidden="1" x14ac:dyDescent="0.25">
      <c r="A5545">
        <v>122674</v>
      </c>
      <c r="B5545" t="s">
        <v>524</v>
      </c>
      <c r="C5545" s="1" t="s">
        <v>31648</v>
      </c>
      <c r="D5545">
        <v>2</v>
      </c>
      <c r="F5545" t="s">
        <v>6</v>
      </c>
      <c r="S5545" s="89">
        <f>100%-Table34[[#This Row],[PDF_initial fee]]</f>
        <v>1</v>
      </c>
      <c r="T5545" s="89"/>
    </row>
    <row r="5546" spans="1:20" hidden="1" x14ac:dyDescent="0.25">
      <c r="A5546">
        <v>439856</v>
      </c>
      <c r="B5546" t="s">
        <v>1945</v>
      </c>
      <c r="C5546" t="s">
        <v>6958</v>
      </c>
      <c r="D5546">
        <v>1</v>
      </c>
      <c r="F5546" t="s">
        <v>6958</v>
      </c>
      <c r="S5546" s="89">
        <f>100%-Table34[[#This Row],[PDF_initial fee]]</f>
        <v>1</v>
      </c>
      <c r="T5546" s="89"/>
    </row>
    <row r="5547" spans="1:20" hidden="1" x14ac:dyDescent="0.25">
      <c r="A5547">
        <v>507941</v>
      </c>
      <c r="B5547" t="s">
        <v>2765</v>
      </c>
      <c r="C5547" t="s">
        <v>6958</v>
      </c>
      <c r="D5547">
        <v>1</v>
      </c>
      <c r="F5547" t="s">
        <v>6958</v>
      </c>
      <c r="S5547" s="89">
        <f>100%-Table34[[#This Row],[PDF_initial fee]]</f>
        <v>1</v>
      </c>
      <c r="T5547" s="89"/>
    </row>
    <row r="5548" spans="1:20" hidden="1" x14ac:dyDescent="0.25">
      <c r="A5548">
        <v>665649</v>
      </c>
      <c r="B5548" t="s">
        <v>4067</v>
      </c>
      <c r="C5548" s="1" t="s">
        <v>31649</v>
      </c>
      <c r="D5548">
        <v>1</v>
      </c>
      <c r="F5548" t="s">
        <v>31647</v>
      </c>
      <c r="S5548" s="89">
        <f>100%-Table34[[#This Row],[PDF_initial fee]]</f>
        <v>1</v>
      </c>
      <c r="T5548" s="89"/>
    </row>
    <row r="5549" spans="1:20" hidden="1" x14ac:dyDescent="0.25">
      <c r="A5549">
        <v>305452</v>
      </c>
      <c r="B5549" t="s">
        <v>1530</v>
      </c>
      <c r="C5549" s="1" t="s">
        <v>31650</v>
      </c>
      <c r="D5549">
        <v>1</v>
      </c>
      <c r="F5549" t="s">
        <v>3</v>
      </c>
      <c r="S5549" s="89">
        <f>100%-Table34[[#This Row],[PDF_initial fee]]</f>
        <v>1</v>
      </c>
      <c r="T5549" s="89"/>
    </row>
    <row r="5550" spans="1:20" hidden="1" x14ac:dyDescent="0.25">
      <c r="A5550">
        <v>831633</v>
      </c>
      <c r="B5550" t="s">
        <v>5047</v>
      </c>
      <c r="C5550" t="s">
        <v>6958</v>
      </c>
      <c r="D5550">
        <v>2</v>
      </c>
      <c r="F5550" t="s">
        <v>6958</v>
      </c>
      <c r="S5550" s="89">
        <f>100%-Table34[[#This Row],[PDF_initial fee]]</f>
        <v>1</v>
      </c>
      <c r="T5550" s="89"/>
    </row>
    <row r="5551" spans="1:20" hidden="1" x14ac:dyDescent="0.25">
      <c r="A5551">
        <v>143610</v>
      </c>
      <c r="B5551" t="s">
        <v>708</v>
      </c>
      <c r="C5551" t="s">
        <v>6958</v>
      </c>
      <c r="D5551">
        <v>0</v>
      </c>
      <c r="F5551" t="s">
        <v>6958</v>
      </c>
      <c r="S5551" s="89">
        <f>100%-Table34[[#This Row],[PDF_initial fee]]</f>
        <v>1</v>
      </c>
      <c r="T5551" s="89"/>
    </row>
    <row r="5552" spans="1:20" hidden="1" x14ac:dyDescent="0.25">
      <c r="A5552">
        <v>413444</v>
      </c>
      <c r="B5552" t="s">
        <v>1704</v>
      </c>
      <c r="C5552" t="s">
        <v>6958</v>
      </c>
      <c r="D5552">
        <v>0</v>
      </c>
      <c r="F5552" t="s">
        <v>6958</v>
      </c>
      <c r="S5552" s="89">
        <f>100%-Table34[[#This Row],[PDF_initial fee]]</f>
        <v>1</v>
      </c>
      <c r="T5552" s="89"/>
    </row>
    <row r="5553" spans="1:20" hidden="1" x14ac:dyDescent="0.25">
      <c r="A5553">
        <v>560679</v>
      </c>
      <c r="B5553" t="s">
        <v>3174</v>
      </c>
      <c r="C5553" t="s">
        <v>6958</v>
      </c>
      <c r="D5553">
        <v>0</v>
      </c>
      <c r="F5553" t="s">
        <v>6958</v>
      </c>
      <c r="S5553" s="89">
        <f>100%-Table34[[#This Row],[PDF_initial fee]]</f>
        <v>1</v>
      </c>
      <c r="T5553" s="89"/>
    </row>
    <row r="5554" spans="1:20" hidden="1" x14ac:dyDescent="0.25">
      <c r="A5554">
        <v>516459</v>
      </c>
      <c r="B5554" t="s">
        <v>2851</v>
      </c>
      <c r="C5554" t="s">
        <v>6958</v>
      </c>
      <c r="D5554">
        <v>2</v>
      </c>
      <c r="F5554" t="s">
        <v>6958</v>
      </c>
      <c r="S5554" s="89">
        <f>100%-Table34[[#This Row],[PDF_initial fee]]</f>
        <v>1</v>
      </c>
      <c r="T5554" s="89"/>
    </row>
    <row r="5555" spans="1:20" hidden="1" x14ac:dyDescent="0.25">
      <c r="A5555">
        <v>502674</v>
      </c>
      <c r="B5555" t="s">
        <v>2719</v>
      </c>
      <c r="C5555" s="1" t="s">
        <v>31651</v>
      </c>
      <c r="D5555">
        <v>2</v>
      </c>
      <c r="F5555" t="s">
        <v>29136</v>
      </c>
      <c r="S5555" s="89">
        <f>100%-Table34[[#This Row],[PDF_initial fee]]</f>
        <v>1</v>
      </c>
      <c r="T5555" s="89"/>
    </row>
    <row r="5556" spans="1:20" hidden="1" x14ac:dyDescent="0.25">
      <c r="A5556">
        <v>796911</v>
      </c>
      <c r="B5556" t="s">
        <v>4820</v>
      </c>
      <c r="C5556" t="s">
        <v>6958</v>
      </c>
      <c r="D5556">
        <v>3</v>
      </c>
      <c r="F5556" t="s">
        <v>6958</v>
      </c>
      <c r="S5556" s="89">
        <f>100%-Table34[[#This Row],[PDF_initial fee]]</f>
        <v>1</v>
      </c>
      <c r="T5556" s="89"/>
    </row>
    <row r="5557" spans="1:20" hidden="1" x14ac:dyDescent="0.25">
      <c r="A5557">
        <v>104219</v>
      </c>
      <c r="B5557" t="s">
        <v>378</v>
      </c>
      <c r="C5557" t="s">
        <v>6958</v>
      </c>
      <c r="D5557">
        <v>1</v>
      </c>
      <c r="F5557" t="s">
        <v>6958</v>
      </c>
      <c r="S5557" s="89">
        <f>100%-Table34[[#This Row],[PDF_initial fee]]</f>
        <v>1</v>
      </c>
      <c r="T5557" s="89"/>
    </row>
    <row r="5558" spans="1:20" hidden="1" x14ac:dyDescent="0.25">
      <c r="A5558">
        <v>118161</v>
      </c>
      <c r="B5558" t="s">
        <v>466</v>
      </c>
      <c r="C5558" t="s">
        <v>6958</v>
      </c>
      <c r="D5558">
        <v>1</v>
      </c>
      <c r="F5558" t="s">
        <v>6958</v>
      </c>
      <c r="S5558" s="89">
        <f>100%-Table34[[#This Row],[PDF_initial fee]]</f>
        <v>1</v>
      </c>
      <c r="T5558" s="89"/>
    </row>
    <row r="5559" spans="1:20" hidden="1" x14ac:dyDescent="0.25">
      <c r="A5559">
        <v>926071</v>
      </c>
      <c r="B5559" t="s">
        <v>5274</v>
      </c>
      <c r="C5559" t="s">
        <v>6958</v>
      </c>
      <c r="D5559">
        <v>1</v>
      </c>
      <c r="F5559" t="s">
        <v>6958</v>
      </c>
      <c r="S5559" s="89">
        <f>100%-Table34[[#This Row],[PDF_initial fee]]</f>
        <v>1</v>
      </c>
      <c r="T5559" s="89"/>
    </row>
    <row r="5560" spans="1:20" hidden="1" x14ac:dyDescent="0.25">
      <c r="A5560">
        <v>747887</v>
      </c>
      <c r="B5560" t="s">
        <v>4499</v>
      </c>
      <c r="C5560" s="1" t="s">
        <v>31652</v>
      </c>
      <c r="D5560">
        <v>1</v>
      </c>
      <c r="F5560" t="s">
        <v>31653</v>
      </c>
      <c r="S5560" s="89">
        <f>100%-Table34[[#This Row],[PDF_initial fee]]</f>
        <v>1</v>
      </c>
      <c r="T5560" s="89"/>
    </row>
    <row r="5561" spans="1:20" hidden="1" x14ac:dyDescent="0.25">
      <c r="A5561">
        <v>126033</v>
      </c>
      <c r="B5561" t="s">
        <v>577</v>
      </c>
      <c r="C5561" t="s">
        <v>6958</v>
      </c>
      <c r="D5561">
        <v>1</v>
      </c>
      <c r="F5561" t="s">
        <v>6958</v>
      </c>
      <c r="S5561" s="89">
        <f>100%-Table34[[#This Row],[PDF_initial fee]]</f>
        <v>1</v>
      </c>
      <c r="T5561" s="89"/>
    </row>
    <row r="5562" spans="1:20" hidden="1" x14ac:dyDescent="0.25">
      <c r="A5562">
        <v>763658</v>
      </c>
      <c r="B5562" t="s">
        <v>4594</v>
      </c>
      <c r="C5562" t="s">
        <v>6958</v>
      </c>
      <c r="D5562">
        <v>1</v>
      </c>
      <c r="F5562" t="s">
        <v>6958</v>
      </c>
      <c r="S5562" s="89">
        <f>100%-Table34[[#This Row],[PDF_initial fee]]</f>
        <v>1</v>
      </c>
      <c r="T5562" s="89"/>
    </row>
    <row r="5563" spans="1:20" hidden="1" x14ac:dyDescent="0.25">
      <c r="A5563">
        <v>727582</v>
      </c>
      <c r="B5563" t="s">
        <v>4389</v>
      </c>
      <c r="C5563" s="1" t="s">
        <v>31654</v>
      </c>
      <c r="D5563">
        <v>1</v>
      </c>
      <c r="F5563" t="s">
        <v>3</v>
      </c>
      <c r="S5563" s="89">
        <f>100%-Table34[[#This Row],[PDF_initial fee]]</f>
        <v>1</v>
      </c>
      <c r="T5563" s="89"/>
    </row>
    <row r="5564" spans="1:20" hidden="1" x14ac:dyDescent="0.25">
      <c r="A5564">
        <v>800988</v>
      </c>
      <c r="B5564" t="s">
        <v>4850</v>
      </c>
      <c r="C5564" s="1" t="s">
        <v>31655</v>
      </c>
      <c r="D5564">
        <v>0</v>
      </c>
      <c r="F5564" t="s">
        <v>3</v>
      </c>
      <c r="S5564" s="89">
        <f>100%-Table34[[#This Row],[PDF_initial fee]]</f>
        <v>1</v>
      </c>
      <c r="T5564" s="89"/>
    </row>
    <row r="5565" spans="1:20" hidden="1" x14ac:dyDescent="0.25">
      <c r="A5565">
        <v>146450</v>
      </c>
      <c r="B5565" t="s">
        <v>746</v>
      </c>
      <c r="C5565" t="s">
        <v>6958</v>
      </c>
      <c r="D5565">
        <v>0</v>
      </c>
      <c r="F5565" t="s">
        <v>6958</v>
      </c>
      <c r="S5565" s="89">
        <f>100%-Table34[[#This Row],[PDF_initial fee]]</f>
        <v>1</v>
      </c>
      <c r="T5565" s="89"/>
    </row>
    <row r="5566" spans="1:20" hidden="1" x14ac:dyDescent="0.25">
      <c r="A5566">
        <v>438892</v>
      </c>
      <c r="B5566" t="s">
        <v>1926</v>
      </c>
      <c r="C5566" t="s">
        <v>6958</v>
      </c>
      <c r="D5566">
        <v>0</v>
      </c>
      <c r="F5566" t="s">
        <v>6958</v>
      </c>
      <c r="S5566" s="89">
        <f>100%-Table34[[#This Row],[PDF_initial fee]]</f>
        <v>1</v>
      </c>
      <c r="T5566" s="89"/>
    </row>
    <row r="5567" spans="1:20" hidden="1" x14ac:dyDescent="0.25">
      <c r="A5567">
        <v>521332</v>
      </c>
      <c r="B5567" t="s">
        <v>2899</v>
      </c>
      <c r="C5567" t="s">
        <v>6958</v>
      </c>
      <c r="D5567">
        <v>1</v>
      </c>
      <c r="F5567" t="s">
        <v>6958</v>
      </c>
      <c r="S5567" s="89">
        <f>100%-Table34[[#This Row],[PDF_initial fee]]</f>
        <v>1</v>
      </c>
      <c r="T5567" s="89"/>
    </row>
    <row r="5568" spans="1:20" hidden="1" x14ac:dyDescent="0.25">
      <c r="A5568">
        <v>542126</v>
      </c>
      <c r="B5568" t="s">
        <v>3092</v>
      </c>
      <c r="C5568" t="s">
        <v>6958</v>
      </c>
      <c r="D5568">
        <v>0</v>
      </c>
      <c r="F5568" t="s">
        <v>6958</v>
      </c>
      <c r="S5568" s="89">
        <f>100%-Table34[[#This Row],[PDF_initial fee]]</f>
        <v>1</v>
      </c>
      <c r="T5568" s="89"/>
    </row>
    <row r="5569" spans="1:20" hidden="1" x14ac:dyDescent="0.25">
      <c r="A5569">
        <v>583069</v>
      </c>
      <c r="B5569" t="s">
        <v>3344</v>
      </c>
      <c r="C5569" s="1" t="s">
        <v>31656</v>
      </c>
      <c r="D5569">
        <v>1</v>
      </c>
      <c r="F5569" t="s">
        <v>29136</v>
      </c>
      <c r="S5569" s="89">
        <f>100%-Table34[[#This Row],[PDF_initial fee]]</f>
        <v>1</v>
      </c>
      <c r="T5569" s="89"/>
    </row>
    <row r="5570" spans="1:20" hidden="1" x14ac:dyDescent="0.25">
      <c r="A5570">
        <v>400462</v>
      </c>
      <c r="B5570" t="s">
        <v>1564</v>
      </c>
      <c r="C5570" t="s">
        <v>6958</v>
      </c>
      <c r="D5570">
        <v>1</v>
      </c>
      <c r="F5570" t="s">
        <v>6958</v>
      </c>
      <c r="S5570" s="89">
        <f>100%-Table34[[#This Row],[PDF_initial fee]]</f>
        <v>1</v>
      </c>
      <c r="T5570" s="89"/>
    </row>
    <row r="5571" spans="1:20" hidden="1" x14ac:dyDescent="0.25">
      <c r="A5571">
        <v>730780</v>
      </c>
      <c r="B5571" t="s">
        <v>4405</v>
      </c>
      <c r="C5571" t="s">
        <v>6958</v>
      </c>
      <c r="D5571">
        <v>2</v>
      </c>
      <c r="F5571" t="s">
        <v>6958</v>
      </c>
      <c r="S5571" s="89">
        <f>100%-Table34[[#This Row],[PDF_initial fee]]</f>
        <v>1</v>
      </c>
      <c r="T5571" s="89"/>
    </row>
    <row r="5572" spans="1:20" hidden="1" x14ac:dyDescent="0.25">
      <c r="A5572" s="11">
        <v>624572</v>
      </c>
      <c r="B5572" s="11" t="s">
        <v>3870</v>
      </c>
      <c r="C5572" t="s">
        <v>6958</v>
      </c>
      <c r="D5572">
        <v>1</v>
      </c>
      <c r="F5572" t="s">
        <v>6958</v>
      </c>
      <c r="S5572" s="89">
        <f>100%-Table34[[#This Row],[PDF_initial fee]]</f>
        <v>1</v>
      </c>
      <c r="T5572" s="89"/>
    </row>
    <row r="5573" spans="1:20" hidden="1" x14ac:dyDescent="0.25">
      <c r="A5573">
        <v>152885</v>
      </c>
      <c r="B5573" t="s">
        <v>817</v>
      </c>
      <c r="C5573" t="s">
        <v>6958</v>
      </c>
      <c r="D5573">
        <v>11</v>
      </c>
      <c r="F5573" t="s">
        <v>6958</v>
      </c>
      <c r="S5573" s="89">
        <f>100%-Table34[[#This Row],[PDF_initial fee]]</f>
        <v>1</v>
      </c>
      <c r="T5573" s="89"/>
    </row>
    <row r="5574" spans="1:20" hidden="1" x14ac:dyDescent="0.25">
      <c r="A5574">
        <v>224577</v>
      </c>
      <c r="B5574" t="s">
        <v>1347</v>
      </c>
      <c r="C5574" t="s">
        <v>6958</v>
      </c>
      <c r="D5574">
        <v>1</v>
      </c>
      <c r="F5574" t="s">
        <v>6958</v>
      </c>
      <c r="S5574" s="89">
        <f>100%-Table34[[#This Row],[PDF_initial fee]]</f>
        <v>1</v>
      </c>
      <c r="T5574" s="89"/>
    </row>
    <row r="5575" spans="1:20" hidden="1" x14ac:dyDescent="0.25">
      <c r="A5575">
        <v>591587</v>
      </c>
      <c r="B5575" t="s">
        <v>3462</v>
      </c>
      <c r="C5575" t="s">
        <v>6958</v>
      </c>
      <c r="D5575">
        <v>2</v>
      </c>
      <c r="F5575" t="s">
        <v>6958</v>
      </c>
      <c r="S5575" s="89">
        <f>100%-Table34[[#This Row],[PDF_initial fee]]</f>
        <v>1</v>
      </c>
      <c r="T5575" s="89"/>
    </row>
    <row r="5576" spans="1:20" hidden="1" x14ac:dyDescent="0.25">
      <c r="A5576">
        <v>543221</v>
      </c>
      <c r="B5576" t="s">
        <v>3104</v>
      </c>
      <c r="C5576" t="s">
        <v>6958</v>
      </c>
      <c r="D5576">
        <v>5</v>
      </c>
      <c r="F5576" t="s">
        <v>6958</v>
      </c>
      <c r="S5576" s="89">
        <f>100%-Table34[[#This Row],[PDF_initial fee]]</f>
        <v>1</v>
      </c>
      <c r="T5576" s="89"/>
    </row>
    <row r="5577" spans="1:20" hidden="1" x14ac:dyDescent="0.25">
      <c r="A5577">
        <v>730717</v>
      </c>
      <c r="B5577" t="s">
        <v>4404</v>
      </c>
      <c r="C5577" s="1" t="s">
        <v>31657</v>
      </c>
      <c r="D5577">
        <v>1</v>
      </c>
      <c r="F5577" t="s">
        <v>31644</v>
      </c>
      <c r="S5577" s="89">
        <f>100%-Table34[[#This Row],[PDF_initial fee]]</f>
        <v>1</v>
      </c>
      <c r="T5577" s="89"/>
    </row>
    <row r="5578" spans="1:20" hidden="1" x14ac:dyDescent="0.25">
      <c r="A5578">
        <v>913488</v>
      </c>
      <c r="B5578" t="s">
        <v>5170</v>
      </c>
      <c r="C5578" t="s">
        <v>6958</v>
      </c>
      <c r="D5578">
        <v>2</v>
      </c>
      <c r="F5578" t="s">
        <v>6958</v>
      </c>
      <c r="S5578" s="89">
        <f>100%-Table34[[#This Row],[PDF_initial fee]]</f>
        <v>1</v>
      </c>
      <c r="T5578" s="89"/>
    </row>
    <row r="5579" spans="1:20" hidden="1" x14ac:dyDescent="0.25">
      <c r="A5579">
        <v>707501</v>
      </c>
      <c r="B5579" t="s">
        <v>4208</v>
      </c>
      <c r="C5579" t="s">
        <v>6958</v>
      </c>
      <c r="D5579">
        <v>2</v>
      </c>
      <c r="F5579" t="s">
        <v>6958</v>
      </c>
      <c r="S5579" s="89">
        <f>100%-Table34[[#This Row],[PDF_initial fee]]</f>
        <v>1</v>
      </c>
      <c r="T5579" s="89"/>
    </row>
    <row r="5580" spans="1:20" hidden="1" x14ac:dyDescent="0.25">
      <c r="A5580">
        <v>811407</v>
      </c>
      <c r="B5580" t="s">
        <v>4923</v>
      </c>
      <c r="C5580" s="1" t="s">
        <v>31658</v>
      </c>
      <c r="D5580">
        <v>2</v>
      </c>
      <c r="F5580" t="s">
        <v>29136</v>
      </c>
      <c r="S5580" s="89">
        <f>100%-Table34[[#This Row],[PDF_initial fee]]</f>
        <v>1</v>
      </c>
      <c r="T5580" s="89"/>
    </row>
    <row r="5581" spans="1:20" hidden="1" x14ac:dyDescent="0.25">
      <c r="A5581">
        <v>114638</v>
      </c>
      <c r="B5581" t="s">
        <v>422</v>
      </c>
      <c r="C5581" t="s">
        <v>6958</v>
      </c>
      <c r="D5581">
        <v>1</v>
      </c>
      <c r="F5581" t="s">
        <v>6958</v>
      </c>
      <c r="S5581" s="89">
        <f>100%-Table34[[#This Row],[PDF_initial fee]]</f>
        <v>1</v>
      </c>
      <c r="T5581" s="89"/>
    </row>
    <row r="5582" spans="1:20" hidden="1" x14ac:dyDescent="0.25">
      <c r="A5582">
        <v>523393</v>
      </c>
      <c r="B5582" t="s">
        <v>2925</v>
      </c>
      <c r="C5582" s="1" t="s">
        <v>31659</v>
      </c>
      <c r="D5582">
        <v>2</v>
      </c>
      <c r="F5582" t="s">
        <v>3</v>
      </c>
      <c r="S5582" s="89">
        <f>100%-Table34[[#This Row],[PDF_initial fee]]</f>
        <v>1</v>
      </c>
      <c r="T5582" s="89"/>
    </row>
    <row r="5583" spans="1:20" hidden="1" x14ac:dyDescent="0.25">
      <c r="A5583">
        <v>922134</v>
      </c>
      <c r="B5583" t="s">
        <v>5237</v>
      </c>
      <c r="C5583" t="s">
        <v>6958</v>
      </c>
      <c r="D5583">
        <v>2</v>
      </c>
      <c r="F5583" t="s">
        <v>6958</v>
      </c>
      <c r="S5583" s="89">
        <f>100%-Table34[[#This Row],[PDF_initial fee]]</f>
        <v>1</v>
      </c>
      <c r="T5583" s="89"/>
    </row>
    <row r="5584" spans="1:20" hidden="1" x14ac:dyDescent="0.25">
      <c r="A5584">
        <v>593439</v>
      </c>
      <c r="B5584" t="s">
        <v>3482</v>
      </c>
      <c r="C5584" s="1" t="s">
        <v>31660</v>
      </c>
      <c r="D5584">
        <v>4</v>
      </c>
      <c r="F5584" t="s">
        <v>6</v>
      </c>
      <c r="S5584" s="89">
        <f>100%-Table34[[#This Row],[PDF_initial fee]]</f>
        <v>1</v>
      </c>
      <c r="T5584" s="89"/>
    </row>
    <row r="5585" spans="1:20" hidden="1" x14ac:dyDescent="0.25">
      <c r="A5585">
        <v>230836</v>
      </c>
      <c r="B5585" t="s">
        <v>1457</v>
      </c>
      <c r="C5585" t="s">
        <v>6958</v>
      </c>
      <c r="D5585">
        <v>1</v>
      </c>
      <c r="F5585" t="s">
        <v>6958</v>
      </c>
      <c r="S5585" s="89">
        <f>100%-Table34[[#This Row],[PDF_initial fee]]</f>
        <v>1</v>
      </c>
      <c r="T5585" s="89"/>
    </row>
    <row r="5586" spans="1:20" hidden="1" x14ac:dyDescent="0.25">
      <c r="A5586">
        <v>843432</v>
      </c>
      <c r="B5586" t="s">
        <v>5103</v>
      </c>
      <c r="C5586" t="s">
        <v>6958</v>
      </c>
      <c r="D5586">
        <v>1</v>
      </c>
      <c r="F5586" t="s">
        <v>6958</v>
      </c>
      <c r="S5586" s="89">
        <f>100%-Table34[[#This Row],[PDF_initial fee]]</f>
        <v>1</v>
      </c>
      <c r="T5586" s="89"/>
    </row>
    <row r="5587" spans="1:20" hidden="1" x14ac:dyDescent="0.25">
      <c r="A5587">
        <v>598169</v>
      </c>
      <c r="B5587" t="s">
        <v>3530</v>
      </c>
      <c r="C5587" t="s">
        <v>6958</v>
      </c>
      <c r="D5587">
        <v>1</v>
      </c>
      <c r="F5587" t="s">
        <v>6958</v>
      </c>
      <c r="S5587" s="89">
        <f>100%-Table34[[#This Row],[PDF_initial fee]]</f>
        <v>1</v>
      </c>
      <c r="T5587" s="89"/>
    </row>
    <row r="5588" spans="1:20" hidden="1" x14ac:dyDescent="0.25">
      <c r="A5588">
        <v>456314</v>
      </c>
      <c r="B5588" t="s">
        <v>2156</v>
      </c>
      <c r="C5588" t="s">
        <v>6958</v>
      </c>
      <c r="D5588">
        <v>2</v>
      </c>
      <c r="F5588" t="s">
        <v>6958</v>
      </c>
      <c r="S5588" s="89">
        <f>100%-Table34[[#This Row],[PDF_initial fee]]</f>
        <v>1</v>
      </c>
      <c r="T5588" s="89"/>
    </row>
    <row r="5589" spans="1:20" hidden="1" x14ac:dyDescent="0.25">
      <c r="A5589">
        <v>566837</v>
      </c>
      <c r="B5589" t="s">
        <v>3227</v>
      </c>
      <c r="C5589" t="s">
        <v>6958</v>
      </c>
      <c r="D5589">
        <v>0</v>
      </c>
      <c r="F5589" t="s">
        <v>6958</v>
      </c>
      <c r="S5589" s="89">
        <f>100%-Table34[[#This Row],[PDF_initial fee]]</f>
        <v>1</v>
      </c>
      <c r="T5589" s="89"/>
    </row>
    <row r="5590" spans="1:20" hidden="1" x14ac:dyDescent="0.25">
      <c r="A5590">
        <v>472251</v>
      </c>
      <c r="B5590" t="s">
        <v>2416</v>
      </c>
      <c r="C5590" t="s">
        <v>6958</v>
      </c>
      <c r="D5590">
        <v>0</v>
      </c>
      <c r="F5590" t="s">
        <v>6958</v>
      </c>
      <c r="S5590" s="89">
        <f>100%-Table34[[#This Row],[PDF_initial fee]]</f>
        <v>1</v>
      </c>
      <c r="T5590" s="89"/>
    </row>
    <row r="5591" spans="1:20" hidden="1" x14ac:dyDescent="0.25">
      <c r="A5591">
        <v>133584</v>
      </c>
      <c r="B5591" t="s">
        <v>612</v>
      </c>
      <c r="C5591" t="s">
        <v>6958</v>
      </c>
      <c r="D5591">
        <v>1</v>
      </c>
      <c r="F5591" t="s">
        <v>6958</v>
      </c>
      <c r="S5591" s="89">
        <f>100%-Table34[[#This Row],[PDF_initial fee]]</f>
        <v>1</v>
      </c>
      <c r="T5591" s="89"/>
    </row>
    <row r="5592" spans="1:20" hidden="1" x14ac:dyDescent="0.25">
      <c r="A5592">
        <v>450232</v>
      </c>
      <c r="B5592" t="s">
        <v>2076</v>
      </c>
      <c r="C5592" t="s">
        <v>6958</v>
      </c>
      <c r="D5592">
        <v>1</v>
      </c>
      <c r="F5592" t="s">
        <v>6958</v>
      </c>
      <c r="S5592" s="89">
        <f>100%-Table34[[#This Row],[PDF_initial fee]]</f>
        <v>1</v>
      </c>
      <c r="T5592" s="89"/>
    </row>
    <row r="5593" spans="1:20" hidden="1" x14ac:dyDescent="0.25">
      <c r="A5593">
        <v>926168</v>
      </c>
      <c r="B5593" t="s">
        <v>5276</v>
      </c>
      <c r="C5593" s="1" t="s">
        <v>31661</v>
      </c>
      <c r="D5593">
        <v>1</v>
      </c>
      <c r="F5593" t="s">
        <v>3</v>
      </c>
      <c r="S5593" s="89">
        <f>100%-Table34[[#This Row],[PDF_initial fee]]</f>
        <v>1</v>
      </c>
      <c r="T5593" s="89"/>
    </row>
    <row r="5594" spans="1:20" hidden="1" x14ac:dyDescent="0.25">
      <c r="A5594">
        <v>570820</v>
      </c>
      <c r="B5594" t="s">
        <v>3251</v>
      </c>
      <c r="C5594" t="s">
        <v>6958</v>
      </c>
      <c r="D5594">
        <v>1</v>
      </c>
      <c r="F5594" t="s">
        <v>6958</v>
      </c>
      <c r="S5594" s="89">
        <f>100%-Table34[[#This Row],[PDF_initial fee]]</f>
        <v>1</v>
      </c>
      <c r="T5594" s="89"/>
    </row>
    <row r="5595" spans="1:20" hidden="1" x14ac:dyDescent="0.25">
      <c r="A5595">
        <v>831644</v>
      </c>
      <c r="B5595" t="s">
        <v>5048</v>
      </c>
      <c r="C5595" s="1" t="s">
        <v>31662</v>
      </c>
      <c r="D5595">
        <v>1</v>
      </c>
      <c r="F5595" t="s">
        <v>31663</v>
      </c>
      <c r="S5595" s="89">
        <f>100%-Table34[[#This Row],[PDF_initial fee]]</f>
        <v>1</v>
      </c>
      <c r="T5595" s="89"/>
    </row>
    <row r="5596" spans="1:20" hidden="1" x14ac:dyDescent="0.25">
      <c r="A5596">
        <v>754560</v>
      </c>
      <c r="B5596" t="s">
        <v>4539</v>
      </c>
      <c r="C5596" t="s">
        <v>6958</v>
      </c>
      <c r="D5596">
        <v>2</v>
      </c>
      <c r="F5596" t="s">
        <v>6958</v>
      </c>
      <c r="S5596" s="89">
        <f>100%-Table34[[#This Row],[PDF_initial fee]]</f>
        <v>1</v>
      </c>
      <c r="T5596" s="89"/>
    </row>
    <row r="5597" spans="1:20" hidden="1" x14ac:dyDescent="0.25">
      <c r="A5597">
        <v>653104</v>
      </c>
      <c r="B5597" t="s">
        <v>4036</v>
      </c>
      <c r="C5597" t="s">
        <v>6958</v>
      </c>
      <c r="D5597">
        <v>0</v>
      </c>
      <c r="F5597" t="s">
        <v>6958</v>
      </c>
      <c r="S5597" s="89">
        <f>100%-Table34[[#This Row],[PDF_initial fee]]</f>
        <v>1</v>
      </c>
      <c r="T5597" s="89"/>
    </row>
    <row r="5598" spans="1:20" hidden="1" x14ac:dyDescent="0.25">
      <c r="A5598">
        <v>631363</v>
      </c>
      <c r="B5598" t="s">
        <v>3989</v>
      </c>
      <c r="C5598" t="s">
        <v>6958</v>
      </c>
      <c r="D5598">
        <v>1</v>
      </c>
      <c r="F5598" t="s">
        <v>6958</v>
      </c>
      <c r="S5598" s="89">
        <f>100%-Table34[[#This Row],[PDF_initial fee]]</f>
        <v>1</v>
      </c>
      <c r="T5598" s="89"/>
    </row>
    <row r="5599" spans="1:20" hidden="1" x14ac:dyDescent="0.25">
      <c r="A5599">
        <v>301709</v>
      </c>
      <c r="B5599" t="s">
        <v>1512</v>
      </c>
      <c r="C5599" t="s">
        <v>6958</v>
      </c>
      <c r="D5599">
        <v>1</v>
      </c>
      <c r="F5599" t="s">
        <v>6958</v>
      </c>
      <c r="S5599" s="89">
        <f>100%-Table34[[#This Row],[PDF_initial fee]]</f>
        <v>1</v>
      </c>
      <c r="T5599" s="89"/>
    </row>
    <row r="5600" spans="1:20" hidden="1" x14ac:dyDescent="0.25">
      <c r="A5600">
        <v>462402</v>
      </c>
      <c r="B5600" t="s">
        <v>2281</v>
      </c>
      <c r="C5600" t="s">
        <v>6958</v>
      </c>
      <c r="D5600">
        <v>2</v>
      </c>
      <c r="F5600" t="s">
        <v>6958</v>
      </c>
      <c r="S5600" s="89">
        <f>100%-Table34[[#This Row],[PDF_initial fee]]</f>
        <v>1</v>
      </c>
      <c r="T5600" s="89"/>
    </row>
    <row r="5601" spans="1:27" hidden="1" x14ac:dyDescent="0.25">
      <c r="A5601">
        <v>461650</v>
      </c>
      <c r="B5601" t="s">
        <v>2269</v>
      </c>
      <c r="C5601" t="s">
        <v>6958</v>
      </c>
      <c r="D5601">
        <v>2</v>
      </c>
      <c r="F5601" t="s">
        <v>6958</v>
      </c>
      <c r="S5601" s="89">
        <f>100%-Table34[[#This Row],[PDF_initial fee]]</f>
        <v>1</v>
      </c>
      <c r="T5601" s="89"/>
    </row>
    <row r="5602" spans="1:27" hidden="1" x14ac:dyDescent="0.25">
      <c r="A5602">
        <v>751127</v>
      </c>
      <c r="B5602" t="s">
        <v>4523</v>
      </c>
      <c r="C5602" t="s">
        <v>6958</v>
      </c>
      <c r="D5602">
        <v>3</v>
      </c>
      <c r="F5602" t="s">
        <v>6958</v>
      </c>
      <c r="S5602" s="89">
        <f>100%-Table34[[#This Row],[PDF_initial fee]]</f>
        <v>1</v>
      </c>
      <c r="T5602" s="89"/>
    </row>
    <row r="5603" spans="1:27" hidden="1" x14ac:dyDescent="0.25">
      <c r="A5603">
        <v>755010</v>
      </c>
      <c r="B5603" t="s">
        <v>4543</v>
      </c>
      <c r="C5603" t="s">
        <v>6958</v>
      </c>
      <c r="D5603">
        <v>1</v>
      </c>
      <c r="F5603" t="s">
        <v>6958</v>
      </c>
      <c r="S5603" s="89">
        <f>100%-Table34[[#This Row],[PDF_initial fee]]</f>
        <v>1</v>
      </c>
      <c r="T5603" s="89"/>
    </row>
    <row r="5604" spans="1:27" hidden="1" x14ac:dyDescent="0.25">
      <c r="A5604">
        <v>713859</v>
      </c>
      <c r="B5604" t="s">
        <v>4287</v>
      </c>
      <c r="C5604" s="1" t="s">
        <v>31664</v>
      </c>
      <c r="D5604">
        <v>13</v>
      </c>
      <c r="F5604" t="s">
        <v>6</v>
      </c>
      <c r="S5604" s="89">
        <f>100%-Table34[[#This Row],[PDF_initial fee]]</f>
        <v>1</v>
      </c>
      <c r="T5604" s="89"/>
    </row>
    <row r="5605" spans="1:27" hidden="1" x14ac:dyDescent="0.25">
      <c r="A5605">
        <v>142989</v>
      </c>
      <c r="B5605" t="s">
        <v>705</v>
      </c>
      <c r="C5605" t="s">
        <v>6958</v>
      </c>
      <c r="D5605">
        <v>172</v>
      </c>
      <c r="F5605" t="s">
        <v>6958</v>
      </c>
      <c r="S5605" s="89">
        <f>100%-Table34[[#This Row],[PDF_initial fee]]</f>
        <v>1</v>
      </c>
      <c r="T5605" s="89"/>
    </row>
    <row r="5606" spans="1:27" hidden="1" x14ac:dyDescent="0.25">
      <c r="A5606">
        <v>110937</v>
      </c>
      <c r="B5606" t="s">
        <v>391</v>
      </c>
      <c r="C5606" t="s">
        <v>6958</v>
      </c>
      <c r="D5606">
        <v>0</v>
      </c>
      <c r="F5606" t="s">
        <v>6958</v>
      </c>
      <c r="S5606" s="89">
        <f>100%-Table34[[#This Row],[PDF_initial fee]]</f>
        <v>1</v>
      </c>
      <c r="T5606" s="89"/>
    </row>
    <row r="5607" spans="1:27" hidden="1" x14ac:dyDescent="0.25">
      <c r="A5607">
        <v>782810</v>
      </c>
      <c r="B5607" t="s">
        <v>4714</v>
      </c>
      <c r="C5607" t="s">
        <v>6958</v>
      </c>
      <c r="D5607">
        <v>0</v>
      </c>
      <c r="F5607" t="s">
        <v>6958</v>
      </c>
      <c r="S5607" s="89">
        <f>100%-Table34[[#This Row],[PDF_initial fee]]</f>
        <v>1</v>
      </c>
      <c r="T5607" s="89"/>
    </row>
    <row r="5608" spans="1:27" hidden="1" x14ac:dyDescent="0.25">
      <c r="A5608" s="11">
        <v>534569</v>
      </c>
      <c r="B5608" s="11" t="s">
        <v>3042</v>
      </c>
      <c r="C5608" t="s">
        <v>6958</v>
      </c>
      <c r="D5608">
        <v>4</v>
      </c>
      <c r="F5608" t="s">
        <v>6958</v>
      </c>
      <c r="S5608" s="89">
        <f>100%-Table34[[#This Row],[PDF_initial fee]]</f>
        <v>1</v>
      </c>
      <c r="T5608" s="89"/>
    </row>
    <row r="5609" spans="1:27" x14ac:dyDescent="0.25">
      <c r="A5609">
        <v>772350</v>
      </c>
      <c r="B5609" t="s">
        <v>4653</v>
      </c>
      <c r="C5609" s="1" t="s">
        <v>31665</v>
      </c>
      <c r="D5609">
        <v>1</v>
      </c>
      <c r="F5609" t="s">
        <v>3</v>
      </c>
      <c r="G5609" s="3">
        <v>1.4E-3</v>
      </c>
      <c r="J5609" s="3">
        <f>0.85%+0.85%+0.5%+0.4%</f>
        <v>2.6000000000000002E-2</v>
      </c>
      <c r="K5609" s="3">
        <v>1.0200000000000001E-2</v>
      </c>
      <c r="L5609" s="3">
        <f>J5609+K5609</f>
        <v>3.6200000000000003E-2</v>
      </c>
      <c r="M5609" s="3">
        <v>5.0000000000000001E-3</v>
      </c>
      <c r="N5609" s="3">
        <f>L5609+G5609</f>
        <v>3.7600000000000001E-2</v>
      </c>
      <c r="P5609" s="1" t="s">
        <v>31666</v>
      </c>
      <c r="Q5609" t="s">
        <v>31787</v>
      </c>
      <c r="R5609" s="30">
        <v>0.33333333333333348</v>
      </c>
      <c r="S5609" s="89">
        <f>100%-Table34[[#This Row],[PDF_initial fee]]</f>
        <v>0.97399999999999998</v>
      </c>
      <c r="T5609" s="89">
        <f>(1-Table34[[#This Row],[PDF ongoing fee]])^5</f>
        <v>0.95002984193119999</v>
      </c>
      <c r="U5609" s="26">
        <f>(1+Table34[[#This Row],[Net 5yrs return (mostly up to 28th of Feb 2026)]])*Table34[[#This Row],[Investment after initial charge]]*Table34[[#This Row],[Cummulative 5yrs ongoing advice charge]]-1</f>
        <v>0.23377208805465188</v>
      </c>
      <c r="V5609">
        <f>142021+1051</f>
        <v>143072</v>
      </c>
      <c r="W5609" t="s">
        <v>29051</v>
      </c>
      <c r="X5609" s="10">
        <v>140970</v>
      </c>
      <c r="Y5609" s="30">
        <f>X5609/V5609</f>
        <v>0.98530809662267949</v>
      </c>
      <c r="AA5609" t="s">
        <v>31667</v>
      </c>
    </row>
    <row r="5610" spans="1:27" hidden="1" x14ac:dyDescent="0.25">
      <c r="A5610">
        <v>131818</v>
      </c>
      <c r="B5610" t="s">
        <v>609</v>
      </c>
      <c r="C5610" s="1" t="s">
        <v>31668</v>
      </c>
      <c r="D5610">
        <v>7</v>
      </c>
      <c r="F5610" t="s">
        <v>31669</v>
      </c>
      <c r="S5610" s="89">
        <f>100%-Table34[[#This Row],[PDF_initial fee]]</f>
        <v>1</v>
      </c>
      <c r="T5610" s="89"/>
    </row>
    <row r="5611" spans="1:27" hidden="1" x14ac:dyDescent="0.25">
      <c r="A5611">
        <v>607609</v>
      </c>
      <c r="B5611" t="s">
        <v>3668</v>
      </c>
      <c r="C5611" t="s">
        <v>31670</v>
      </c>
      <c r="D5611">
        <v>1</v>
      </c>
      <c r="F5611" t="s">
        <v>3</v>
      </c>
      <c r="S5611" s="89">
        <f>100%-Table34[[#This Row],[PDF_initial fee]]</f>
        <v>1</v>
      </c>
      <c r="T5611" s="89"/>
    </row>
    <row r="5612" spans="1:27" x14ac:dyDescent="0.25">
      <c r="A5612">
        <v>628181</v>
      </c>
      <c r="B5612" t="s">
        <v>3933</v>
      </c>
      <c r="C5612" s="1" t="s">
        <v>31671</v>
      </c>
      <c r="D5612">
        <v>2</v>
      </c>
      <c r="F5612" t="s">
        <v>3</v>
      </c>
      <c r="G5612" s="3">
        <v>1.4E-3</v>
      </c>
      <c r="H5612" s="21">
        <v>0.01</v>
      </c>
      <c r="I5612" s="3">
        <v>5.0000000000000001E-3</v>
      </c>
      <c r="L5612" s="3">
        <f>SUM(H5612:K5612)</f>
        <v>1.4999999999999999E-2</v>
      </c>
      <c r="N5612" s="3">
        <f>L5612+G5612</f>
        <v>1.6399999999999998E-2</v>
      </c>
      <c r="P5612" s="1" t="s">
        <v>31672</v>
      </c>
      <c r="Q5612" t="s">
        <v>31787</v>
      </c>
      <c r="R5612" s="30">
        <v>0.33333333333333348</v>
      </c>
      <c r="S5612" s="89">
        <f>100%-Table34[[#This Row],[InitialFee]]</f>
        <v>0.99</v>
      </c>
      <c r="T5612" s="89">
        <f>(1-Table34[[#This Row],[OngoingFee (plus Platform fee)]])^5</f>
        <v>0.97524875312187509</v>
      </c>
      <c r="U5612" s="26">
        <f>(1+Table34[[#This Row],[Net 5yrs return (mostly up to 28th of Feb 2026)]])*Table34[[#This Row],[Investment after initial charge]]*Table34[[#This Row],[Cummulative 5yrs ongoing advice charge]]-1</f>
        <v>0.2873283541208751</v>
      </c>
      <c r="V5612" s="98">
        <f>78662+1233</f>
        <v>79895</v>
      </c>
      <c r="W5612" t="s">
        <v>29051</v>
      </c>
      <c r="X5612" s="10">
        <v>60403</v>
      </c>
      <c r="Y5612" s="30">
        <f>X5612/V5612</f>
        <v>0.75602978909819141</v>
      </c>
      <c r="AA5612" t="s">
        <v>31673</v>
      </c>
    </row>
    <row r="5613" spans="1:27" x14ac:dyDescent="0.25">
      <c r="A5613">
        <v>578626</v>
      </c>
      <c r="B5613" t="s">
        <v>3313</v>
      </c>
      <c r="C5613" s="1" t="s">
        <v>31674</v>
      </c>
      <c r="D5613">
        <v>6</v>
      </c>
      <c r="F5613" t="s">
        <v>3</v>
      </c>
      <c r="G5613" s="3">
        <v>1.4E-3</v>
      </c>
      <c r="J5613" s="21">
        <v>0.03</v>
      </c>
      <c r="K5613" s="21">
        <v>5.0000000000000001E-3</v>
      </c>
      <c r="L5613" s="3">
        <f>SUM(H5613:K5613)</f>
        <v>3.4999999999999996E-2</v>
      </c>
      <c r="N5613" s="3">
        <f>L5613+G5613</f>
        <v>3.6399999999999995E-2</v>
      </c>
      <c r="P5613" s="1" t="s">
        <v>31675</v>
      </c>
      <c r="Q5613" t="s">
        <v>31787</v>
      </c>
      <c r="R5613" s="30">
        <v>0.33333333333333348</v>
      </c>
      <c r="S5613" s="89">
        <f>100%-Table34[[#This Row],[PDF_initial fee]]</f>
        <v>0.97</v>
      </c>
      <c r="T5613" s="89">
        <f>(1-Table34[[#This Row],[PDF ongoing fee]])^5</f>
        <v>0.97524875312187509</v>
      </c>
      <c r="U5613" s="26">
        <f>(1+Table34[[#This Row],[Net 5yrs return (mostly up to 28th of Feb 2026)]])*Table34[[#This Row],[Investment after initial charge]]*Table34[[#This Row],[Cummulative 5yrs ongoing advice charge]]-1</f>
        <v>0.26132172070429194</v>
      </c>
      <c r="V5613">
        <f>642822+2078</f>
        <v>644900</v>
      </c>
      <c r="W5613" t="s">
        <v>29051</v>
      </c>
      <c r="X5613" s="10">
        <v>531060</v>
      </c>
      <c r="Y5613" s="30">
        <f>X5613/V5613</f>
        <v>0.82347650798573424</v>
      </c>
      <c r="AA5613" t="s">
        <v>31676</v>
      </c>
    </row>
    <row r="5614" spans="1:27" hidden="1" x14ac:dyDescent="0.25">
      <c r="A5614">
        <v>609841</v>
      </c>
      <c r="B5614" t="s">
        <v>3700</v>
      </c>
      <c r="C5614" s="1" t="s">
        <v>31677</v>
      </c>
      <c r="D5614">
        <v>2</v>
      </c>
      <c r="F5614" t="s">
        <v>6</v>
      </c>
      <c r="S5614" s="89">
        <f>100%-Table34[[#This Row],[PDF_initial fee]]</f>
        <v>1</v>
      </c>
      <c r="T5614" s="89"/>
    </row>
    <row r="5615" spans="1:27" hidden="1" x14ac:dyDescent="0.25">
      <c r="A5615">
        <v>402969</v>
      </c>
      <c r="B5615" t="s">
        <v>1646</v>
      </c>
      <c r="C5615" s="1" t="s">
        <v>31678</v>
      </c>
      <c r="D5615">
        <v>1</v>
      </c>
      <c r="F5615" t="s">
        <v>3</v>
      </c>
      <c r="S5615" s="89">
        <f>100%-Table34[[#This Row],[PDF_initial fee]]</f>
        <v>1</v>
      </c>
      <c r="T5615" s="89"/>
    </row>
    <row r="5616" spans="1:27" hidden="1" x14ac:dyDescent="0.25">
      <c r="A5616">
        <v>122702</v>
      </c>
      <c r="B5616" t="s">
        <v>525</v>
      </c>
      <c r="C5616" s="1" t="s">
        <v>31679</v>
      </c>
      <c r="D5616">
        <v>299</v>
      </c>
      <c r="S5616" s="89">
        <f>100%-Table34[[#This Row],[PDF_initial fee]]</f>
        <v>1</v>
      </c>
      <c r="T5616" s="89"/>
    </row>
    <row r="5617" spans="1:30" hidden="1" x14ac:dyDescent="0.25">
      <c r="A5617">
        <v>230612</v>
      </c>
      <c r="B5617" t="s">
        <v>1452</v>
      </c>
      <c r="C5617" s="1" t="s">
        <v>31680</v>
      </c>
      <c r="D5617">
        <v>1</v>
      </c>
      <c r="F5617" t="s">
        <v>3</v>
      </c>
      <c r="S5617" s="89">
        <f>100%-Table34[[#This Row],[PDF_initial fee]]</f>
        <v>1</v>
      </c>
      <c r="T5617" s="89"/>
    </row>
    <row r="5618" spans="1:30" hidden="1" x14ac:dyDescent="0.25">
      <c r="A5618">
        <v>471166</v>
      </c>
      <c r="B5618" t="s">
        <v>2403</v>
      </c>
      <c r="C5618" s="1" t="s">
        <v>31681</v>
      </c>
      <c r="D5618">
        <v>1</v>
      </c>
      <c r="F5618" t="s">
        <v>3</v>
      </c>
      <c r="S5618" s="89">
        <f>100%-Table34[[#This Row],[PDF_initial fee]]</f>
        <v>1</v>
      </c>
      <c r="T5618" s="89"/>
    </row>
    <row r="5619" spans="1:30" hidden="1" x14ac:dyDescent="0.25">
      <c r="A5619">
        <v>921484</v>
      </c>
      <c r="B5619" t="s">
        <v>5229</v>
      </c>
      <c r="C5619" s="1" t="s">
        <v>31682</v>
      </c>
      <c r="D5619">
        <v>1</v>
      </c>
      <c r="F5619" t="s">
        <v>3</v>
      </c>
      <c r="S5619" s="89">
        <f>100%-Table34[[#This Row],[PDF_initial fee]]</f>
        <v>1</v>
      </c>
      <c r="T5619" s="89"/>
    </row>
    <row r="5620" spans="1:30" hidden="1" x14ac:dyDescent="0.25">
      <c r="A5620">
        <v>770143</v>
      </c>
      <c r="B5620" t="s">
        <v>4636</v>
      </c>
      <c r="C5620" t="s">
        <v>6958</v>
      </c>
      <c r="D5620">
        <v>1</v>
      </c>
      <c r="F5620" t="s">
        <v>6958</v>
      </c>
      <c r="S5620" s="89">
        <f>100%-Table34[[#This Row],[PDF_initial fee]]</f>
        <v>1</v>
      </c>
      <c r="T5620" s="89"/>
    </row>
    <row r="5621" spans="1:30" hidden="1" x14ac:dyDescent="0.25">
      <c r="A5621">
        <v>449269</v>
      </c>
      <c r="B5621" t="s">
        <v>2065</v>
      </c>
      <c r="C5621" s="1" t="s">
        <v>31683</v>
      </c>
      <c r="D5621">
        <v>12</v>
      </c>
      <c r="F5621" t="s">
        <v>31644</v>
      </c>
      <c r="S5621" s="89">
        <f>100%-Table34[[#This Row],[PDF_initial fee]]</f>
        <v>1</v>
      </c>
      <c r="T5621" s="89"/>
    </row>
    <row r="5622" spans="1:30" hidden="1" x14ac:dyDescent="0.25">
      <c r="A5622">
        <v>154146</v>
      </c>
      <c r="B5622" t="s">
        <v>832</v>
      </c>
      <c r="C5622" s="1" t="s">
        <v>31684</v>
      </c>
      <c r="D5622">
        <v>4</v>
      </c>
      <c r="F5622" t="s">
        <v>3</v>
      </c>
      <c r="S5622" s="89">
        <f>100%-Table34[[#This Row],[PDF_initial fee]]</f>
        <v>1</v>
      </c>
      <c r="T5622" s="89"/>
    </row>
    <row r="5623" spans="1:30" hidden="1" x14ac:dyDescent="0.25">
      <c r="A5623">
        <v>438697</v>
      </c>
      <c r="B5623" t="s">
        <v>1923</v>
      </c>
      <c r="C5623" t="s">
        <v>6958</v>
      </c>
      <c r="D5623">
        <v>0</v>
      </c>
      <c r="F5623" t="s">
        <v>6958</v>
      </c>
      <c r="S5623" s="89">
        <f>100%-Table34[[#This Row],[PDF_initial fee]]</f>
        <v>1</v>
      </c>
      <c r="T5623" s="89"/>
    </row>
    <row r="5624" spans="1:30" x14ac:dyDescent="0.25">
      <c r="A5624">
        <v>578614</v>
      </c>
      <c r="B5624" t="s">
        <v>3312</v>
      </c>
      <c r="C5624" s="1" t="s">
        <v>30991</v>
      </c>
      <c r="D5624">
        <v>167</v>
      </c>
      <c r="E5624" t="s">
        <v>3312</v>
      </c>
      <c r="F5624" t="s">
        <v>6</v>
      </c>
      <c r="G5624" s="3">
        <v>9.7999999999999997E-3</v>
      </c>
      <c r="H5624" s="3">
        <v>0.03</v>
      </c>
      <c r="I5624" s="3">
        <v>0.01</v>
      </c>
      <c r="J5624" s="6">
        <v>0</v>
      </c>
      <c r="K5624" s="6">
        <v>0</v>
      </c>
      <c r="L5624" s="3">
        <v>0.04</v>
      </c>
      <c r="M5624" s="3">
        <v>4.9799999999999997E-2</v>
      </c>
      <c r="N5624" s="3">
        <f>L5624+G5624</f>
        <v>4.9799999999999997E-2</v>
      </c>
      <c r="O5624" s="1"/>
      <c r="P5624" s="1" t="s">
        <v>30988</v>
      </c>
      <c r="Q5624" s="1" t="s">
        <v>31792</v>
      </c>
      <c r="R5624" s="89">
        <v>0.19270000000000001</v>
      </c>
      <c r="S5624" s="89">
        <f>100%-Table34[[#This Row],[InitialFee]]</f>
        <v>0.97</v>
      </c>
      <c r="T5624" s="89">
        <f>(1-Table34[[#This Row],[OngoingFee (plus Platform fee)]])^5</f>
        <v>0.95099004989999991</v>
      </c>
      <c r="U5624" s="26">
        <f>(1+Table34[[#This Row],[Net 5yrs return (mostly up to 28th of Feb 2026)]])*Table34[[#This Row],[Investment after initial charge]]*Table34[[#This Row],[Cummulative 5yrs ongoing advice charge]]-1</f>
        <v>0.10021845754025804</v>
      </c>
      <c r="V5624" s="10">
        <v>169640000</v>
      </c>
      <c r="W5624" s="10" t="s">
        <v>29051</v>
      </c>
      <c r="X5624" s="10">
        <v>136930000</v>
      </c>
      <c r="Y5624" s="30">
        <f>X5624/V5624</f>
        <v>0.80717991039849091</v>
      </c>
      <c r="Z5624" s="10" t="s">
        <v>12692</v>
      </c>
      <c r="AA5624" s="1" t="s">
        <v>30989</v>
      </c>
      <c r="AD5624" s="1"/>
    </row>
    <row r="5625" spans="1:30" hidden="1" x14ac:dyDescent="0.25">
      <c r="A5625">
        <v>607200</v>
      </c>
      <c r="B5625" t="s">
        <v>3658</v>
      </c>
      <c r="C5625" s="1" t="s">
        <v>31685</v>
      </c>
      <c r="D5625">
        <v>0</v>
      </c>
      <c r="F5625" t="s">
        <v>3</v>
      </c>
      <c r="S5625" s="89">
        <f>100%-Table34[[#This Row],[PDF_initial fee]]</f>
        <v>1</v>
      </c>
      <c r="T5625" s="89"/>
    </row>
    <row r="5626" spans="1:30" hidden="1" x14ac:dyDescent="0.25">
      <c r="A5626">
        <v>515454</v>
      </c>
      <c r="B5626" t="s">
        <v>2840</v>
      </c>
      <c r="C5626" s="1" t="s">
        <v>31686</v>
      </c>
      <c r="D5626">
        <v>1</v>
      </c>
      <c r="F5626" t="s">
        <v>3</v>
      </c>
      <c r="S5626" s="89">
        <f>100%-Table34[[#This Row],[PDF_initial fee]]</f>
        <v>1</v>
      </c>
      <c r="T5626" s="89"/>
    </row>
    <row r="5627" spans="1:30" hidden="1" x14ac:dyDescent="0.25">
      <c r="A5627">
        <v>453293</v>
      </c>
      <c r="B5627" t="s">
        <v>2108</v>
      </c>
      <c r="C5627" s="1" t="s">
        <v>31687</v>
      </c>
      <c r="D5627">
        <v>6</v>
      </c>
      <c r="F5627" t="s">
        <v>3</v>
      </c>
      <c r="S5627" s="89">
        <f>100%-Table34[[#This Row],[PDF_initial fee]]</f>
        <v>1</v>
      </c>
      <c r="T5627" s="89"/>
    </row>
    <row r="5628" spans="1:30" hidden="1" x14ac:dyDescent="0.25">
      <c r="A5628">
        <v>968942</v>
      </c>
      <c r="B5628" t="s">
        <v>5567</v>
      </c>
      <c r="C5628" t="s">
        <v>6958</v>
      </c>
      <c r="D5628">
        <v>2</v>
      </c>
      <c r="F5628" t="s">
        <v>6958</v>
      </c>
      <c r="S5628" s="89">
        <f>100%-Table34[[#This Row],[PDF_initial fee]]</f>
        <v>1</v>
      </c>
      <c r="T5628" s="89"/>
    </row>
    <row r="5629" spans="1:30" hidden="1" x14ac:dyDescent="0.25">
      <c r="A5629">
        <v>626364</v>
      </c>
      <c r="B5629" t="s">
        <v>3905</v>
      </c>
      <c r="C5629" s="1" t="s">
        <v>31688</v>
      </c>
      <c r="D5629">
        <v>1</v>
      </c>
      <c r="F5629" t="s">
        <v>3</v>
      </c>
      <c r="S5629" s="89">
        <f>100%-Table34[[#This Row],[PDF_initial fee]]</f>
        <v>1</v>
      </c>
      <c r="T5629" s="89"/>
    </row>
    <row r="5630" spans="1:30" hidden="1" x14ac:dyDescent="0.25">
      <c r="A5630">
        <v>474566</v>
      </c>
      <c r="B5630" t="s">
        <v>2441</v>
      </c>
      <c r="C5630" s="1" t="s">
        <v>31689</v>
      </c>
      <c r="D5630">
        <v>5</v>
      </c>
      <c r="F5630" t="s">
        <v>3</v>
      </c>
      <c r="S5630" s="89">
        <f>100%-Table34[[#This Row],[PDF_initial fee]]</f>
        <v>1</v>
      </c>
      <c r="T5630" s="89"/>
    </row>
    <row r="5631" spans="1:30" x14ac:dyDescent="0.25">
      <c r="A5631">
        <v>806635</v>
      </c>
      <c r="B5631" t="s">
        <v>4883</v>
      </c>
      <c r="C5631" s="1" t="s">
        <v>31690</v>
      </c>
      <c r="D5631">
        <v>1</v>
      </c>
      <c r="F5631" t="s">
        <v>3</v>
      </c>
      <c r="G5631" s="3">
        <v>1.4E-3</v>
      </c>
      <c r="H5631" s="21">
        <v>0.05</v>
      </c>
      <c r="I5631" s="21">
        <v>0.01</v>
      </c>
      <c r="L5631" s="3">
        <f>SUM(H5631:K5631)</f>
        <v>6.0000000000000005E-2</v>
      </c>
      <c r="N5631" s="3">
        <f>L5631+G5631</f>
        <v>6.1400000000000003E-2</v>
      </c>
      <c r="P5631" s="1" t="s">
        <v>31691</v>
      </c>
      <c r="Q5631" t="s">
        <v>31787</v>
      </c>
      <c r="R5631" s="30">
        <v>0.33333333333333348</v>
      </c>
      <c r="S5631" s="89">
        <f>100%-Table34[[#This Row],[InitialFee]]</f>
        <v>0.95</v>
      </c>
      <c r="T5631" s="89">
        <f>(1-Table34[[#This Row],[OngoingFee (plus Platform fee)]])^5</f>
        <v>0.95099004989999991</v>
      </c>
      <c r="U5631" s="26">
        <f>(1+Table34[[#This Row],[Net 5yrs return (mostly up to 28th of Feb 2026)]])*Table34[[#This Row],[Investment after initial charge]]*Table34[[#This Row],[Cummulative 5yrs ongoing advice charge]]-1</f>
        <v>0.20458739654000002</v>
      </c>
      <c r="V5631">
        <f>298500+68244</f>
        <v>366744</v>
      </c>
      <c r="W5631" s="10" t="s">
        <v>29051</v>
      </c>
      <c r="X5631" s="91">
        <v>268999</v>
      </c>
      <c r="Y5631" s="30">
        <f>X5631/V5631</f>
        <v>0.73347893898741356</v>
      </c>
      <c r="AA5631" s="1" t="s">
        <v>31692</v>
      </c>
      <c r="AB5631" t="s">
        <v>29056</v>
      </c>
    </row>
    <row r="5632" spans="1:30" x14ac:dyDescent="0.25">
      <c r="A5632">
        <v>453710</v>
      </c>
      <c r="B5632" t="s">
        <v>2111</v>
      </c>
      <c r="C5632" s="1" t="s">
        <v>31693</v>
      </c>
      <c r="D5632">
        <v>3</v>
      </c>
      <c r="F5632" t="s">
        <v>3</v>
      </c>
      <c r="G5632" s="3">
        <v>1.4E-3</v>
      </c>
      <c r="H5632" s="3">
        <v>1.4999999999999999E-2</v>
      </c>
      <c r="I5632" s="3">
        <v>5.0000000000000001E-3</v>
      </c>
      <c r="L5632" s="3">
        <f>SUM(H5632:K5632)</f>
        <v>0.02</v>
      </c>
      <c r="N5632" s="3">
        <f>L5632+G5632</f>
        <v>2.1399999999999999E-2</v>
      </c>
      <c r="P5632" s="1" t="s">
        <v>31694</v>
      </c>
      <c r="Q5632" t="s">
        <v>31787</v>
      </c>
      <c r="R5632" s="30">
        <v>0.33333333333333348</v>
      </c>
      <c r="S5632" s="89">
        <f>100%-Table34[[#This Row],[InitialFee]]</f>
        <v>0.98499999999999999</v>
      </c>
      <c r="T5632" s="89">
        <f>(1-Table34[[#This Row],[OngoingFee (plus Platform fee)]])^5</f>
        <v>0.97524875312187509</v>
      </c>
      <c r="U5632" s="26">
        <f>(1+Table34[[#This Row],[Net 5yrs return (mostly up to 28th of Feb 2026)]])*Table34[[#This Row],[Investment after initial charge]]*Table34[[#This Row],[Cummulative 5yrs ongoing advice charge]]-1</f>
        <v>0.28082669576672936</v>
      </c>
      <c r="V5632">
        <v>1</v>
      </c>
      <c r="W5632" s="10" t="s">
        <v>29051</v>
      </c>
      <c r="X5632" s="10">
        <v>1</v>
      </c>
      <c r="Y5632" s="30">
        <f>X5632/V5632</f>
        <v>1</v>
      </c>
      <c r="AA5632" t="s">
        <v>31695</v>
      </c>
    </row>
    <row r="5633" spans="1:28" hidden="1" x14ac:dyDescent="0.25">
      <c r="A5633">
        <v>739045</v>
      </c>
      <c r="B5633" t="s">
        <v>4449</v>
      </c>
      <c r="C5633" s="1" t="s">
        <v>31696</v>
      </c>
      <c r="D5633">
        <v>10</v>
      </c>
      <c r="F5633" t="s">
        <v>3</v>
      </c>
      <c r="S5633" s="89">
        <f>100%-Table34[[#This Row],[PDF_initial fee]]</f>
        <v>1</v>
      </c>
      <c r="T5633" s="89"/>
    </row>
    <row r="5634" spans="1:28" hidden="1" x14ac:dyDescent="0.25">
      <c r="A5634">
        <v>506519</v>
      </c>
      <c r="B5634" t="s">
        <v>2750</v>
      </c>
      <c r="C5634" s="1" t="s">
        <v>31697</v>
      </c>
      <c r="D5634">
        <v>2</v>
      </c>
      <c r="F5634" t="s">
        <v>3</v>
      </c>
      <c r="S5634" s="89">
        <f>100%-Table34[[#This Row],[PDF_initial fee]]</f>
        <v>1</v>
      </c>
      <c r="T5634" s="89"/>
    </row>
    <row r="5635" spans="1:28" hidden="1" x14ac:dyDescent="0.25">
      <c r="A5635">
        <v>777162</v>
      </c>
      <c r="B5635" t="s">
        <v>4679</v>
      </c>
      <c r="C5635" s="1" t="s">
        <v>31698</v>
      </c>
      <c r="D5635">
        <v>1</v>
      </c>
      <c r="F5635" t="s">
        <v>31699</v>
      </c>
      <c r="S5635" s="89">
        <f>100%-Table34[[#This Row],[PDF_initial fee]]</f>
        <v>1</v>
      </c>
      <c r="T5635" s="89"/>
    </row>
    <row r="5636" spans="1:28" hidden="1" x14ac:dyDescent="0.25">
      <c r="A5636">
        <v>125686</v>
      </c>
      <c r="B5636" t="s">
        <v>566</v>
      </c>
      <c r="C5636" t="s">
        <v>6958</v>
      </c>
      <c r="D5636">
        <v>1</v>
      </c>
      <c r="F5636" t="s">
        <v>6958</v>
      </c>
      <c r="S5636" s="89">
        <f>100%-Table34[[#This Row],[PDF_initial fee]]</f>
        <v>1</v>
      </c>
      <c r="T5636" s="89"/>
    </row>
    <row r="5637" spans="1:28" hidden="1" x14ac:dyDescent="0.25">
      <c r="A5637">
        <v>415909</v>
      </c>
      <c r="B5637" t="s">
        <v>1720</v>
      </c>
      <c r="C5637" s="1" t="s">
        <v>31700</v>
      </c>
      <c r="D5637">
        <v>1</v>
      </c>
      <c r="F5637" t="s">
        <v>29936</v>
      </c>
      <c r="S5637" s="89">
        <f>100%-Table34[[#This Row],[PDF_initial fee]]</f>
        <v>1</v>
      </c>
      <c r="T5637" s="89"/>
    </row>
    <row r="5638" spans="1:28" hidden="1" x14ac:dyDescent="0.25">
      <c r="A5638">
        <v>446579</v>
      </c>
      <c r="B5638" t="s">
        <v>2030</v>
      </c>
      <c r="C5638" s="1" t="s">
        <v>31701</v>
      </c>
      <c r="D5638">
        <v>1</v>
      </c>
      <c r="F5638" t="s">
        <v>6</v>
      </c>
      <c r="S5638" s="89">
        <f>100%-Table34[[#This Row],[PDF_initial fee]]</f>
        <v>1</v>
      </c>
      <c r="T5638" s="89"/>
    </row>
    <row r="5639" spans="1:28" hidden="1" x14ac:dyDescent="0.25">
      <c r="A5639">
        <v>170969</v>
      </c>
      <c r="B5639" t="s">
        <v>891</v>
      </c>
      <c r="C5639" s="1" t="s">
        <v>31702</v>
      </c>
      <c r="D5639">
        <v>2</v>
      </c>
      <c r="F5639" t="s">
        <v>3</v>
      </c>
      <c r="S5639" s="89">
        <f>100%-Table34[[#This Row],[PDF_initial fee]]</f>
        <v>1</v>
      </c>
      <c r="T5639" s="89"/>
    </row>
    <row r="5640" spans="1:28" hidden="1" x14ac:dyDescent="0.25">
      <c r="A5640">
        <v>150161</v>
      </c>
      <c r="B5640" t="s">
        <v>802</v>
      </c>
      <c r="C5640" t="s">
        <v>6958</v>
      </c>
      <c r="D5640">
        <v>1</v>
      </c>
      <c r="F5640" t="s">
        <v>6958</v>
      </c>
      <c r="S5640" s="89">
        <f>100%-Table34[[#This Row],[PDF_initial fee]]</f>
        <v>1</v>
      </c>
      <c r="T5640" s="89"/>
    </row>
    <row r="5641" spans="1:28" hidden="1" x14ac:dyDescent="0.25">
      <c r="A5641">
        <v>711327</v>
      </c>
      <c r="B5641" t="s">
        <v>4256</v>
      </c>
      <c r="C5641" t="s">
        <v>6958</v>
      </c>
      <c r="D5641">
        <v>1</v>
      </c>
      <c r="F5641" t="s">
        <v>6958</v>
      </c>
      <c r="S5641" s="89">
        <f>100%-Table34[[#This Row],[PDF_initial fee]]</f>
        <v>1</v>
      </c>
      <c r="T5641" s="89"/>
    </row>
    <row r="5642" spans="1:28" hidden="1" x14ac:dyDescent="0.25">
      <c r="A5642">
        <v>815310</v>
      </c>
      <c r="B5642" t="s">
        <v>4949</v>
      </c>
      <c r="C5642" s="1" t="s">
        <v>31703</v>
      </c>
      <c r="D5642">
        <v>1</v>
      </c>
      <c r="F5642" t="s">
        <v>3</v>
      </c>
      <c r="S5642" s="89">
        <f>100%-Table34[[#This Row],[PDF_initial fee]]</f>
        <v>1</v>
      </c>
      <c r="T5642" s="89"/>
    </row>
    <row r="5643" spans="1:28" x14ac:dyDescent="0.25">
      <c r="A5643">
        <v>116336</v>
      </c>
      <c r="B5643" t="s">
        <v>450</v>
      </c>
      <c r="C5643" s="1" t="s">
        <v>31704</v>
      </c>
      <c r="D5643">
        <v>3</v>
      </c>
      <c r="F5643" t="s">
        <v>3</v>
      </c>
      <c r="G5643" s="3">
        <v>1.4E-3</v>
      </c>
      <c r="H5643" s="21">
        <v>0.05</v>
      </c>
      <c r="I5643" s="21">
        <v>0.02</v>
      </c>
      <c r="L5643" s="3">
        <f>SUM(H5643:K5643)</f>
        <v>7.0000000000000007E-2</v>
      </c>
      <c r="N5643" s="3">
        <f>L5643+G5643</f>
        <v>7.1400000000000005E-2</v>
      </c>
      <c r="P5643" s="1" t="s">
        <v>31705</v>
      </c>
      <c r="Q5643" t="s">
        <v>31787</v>
      </c>
      <c r="R5643" s="30">
        <v>0.33333333333333348</v>
      </c>
      <c r="S5643" s="89">
        <f>100%-Table34[[#This Row],[InitialFee]]</f>
        <v>0.95</v>
      </c>
      <c r="T5643" s="89">
        <f>(1-Table34[[#This Row],[OngoingFee (plus Platform fee)]])^5</f>
        <v>0.90392079679999982</v>
      </c>
      <c r="U5643" s="26">
        <f>(1+Table34[[#This Row],[Net 5yrs return (mostly up to 28th of Feb 2026)]])*Table34[[#This Row],[Investment after initial charge]]*Table34[[#This Row],[Cummulative 5yrs ongoing advice charge]]-1</f>
        <v>0.14496634261333319</v>
      </c>
      <c r="V5643" s="10">
        <f>534117+70220</f>
        <v>604337</v>
      </c>
      <c r="W5643" s="10" t="s">
        <v>29051</v>
      </c>
      <c r="X5643" s="10">
        <v>475240</v>
      </c>
      <c r="Y5643" s="30">
        <f>X5643/V5643</f>
        <v>0.78638243231839189</v>
      </c>
      <c r="AA5643" s="1" t="s">
        <v>31706</v>
      </c>
      <c r="AB5643" t="s">
        <v>29056</v>
      </c>
    </row>
    <row r="5644" spans="1:28" hidden="1" x14ac:dyDescent="0.25">
      <c r="A5644">
        <v>515774</v>
      </c>
      <c r="B5644" t="s">
        <v>2842</v>
      </c>
      <c r="C5644" s="1" t="s">
        <v>31707</v>
      </c>
      <c r="D5644">
        <v>3</v>
      </c>
      <c r="F5644" t="s">
        <v>3</v>
      </c>
      <c r="S5644" s="89">
        <f>100%-Table34[[#This Row],[PDF_initial fee]]</f>
        <v>1</v>
      </c>
      <c r="T5644" s="89"/>
    </row>
    <row r="5645" spans="1:28" hidden="1" x14ac:dyDescent="0.25">
      <c r="A5645">
        <v>208737</v>
      </c>
      <c r="B5645" t="s">
        <v>1201</v>
      </c>
      <c r="C5645" s="1" t="s">
        <v>31708</v>
      </c>
      <c r="D5645">
        <v>9</v>
      </c>
      <c r="F5645" t="s">
        <v>3</v>
      </c>
      <c r="S5645" s="89">
        <f>100%-Table34[[#This Row],[PDF_initial fee]]</f>
        <v>1</v>
      </c>
      <c r="T5645" s="89"/>
    </row>
    <row r="5646" spans="1:28" x14ac:dyDescent="0.25">
      <c r="A5646">
        <v>402770</v>
      </c>
      <c r="B5646" t="s">
        <v>1641</v>
      </c>
      <c r="C5646" s="1" t="s">
        <v>29828</v>
      </c>
      <c r="D5646">
        <v>15</v>
      </c>
      <c r="E5646" t="s">
        <v>1641</v>
      </c>
      <c r="F5646" t="s">
        <v>6</v>
      </c>
      <c r="G5646" s="3">
        <v>9.1000000000000004E-3</v>
      </c>
      <c r="H5646" s="3">
        <v>0.02</v>
      </c>
      <c r="I5646" s="3">
        <v>7.4999999999999997E-3</v>
      </c>
      <c r="J5646" s="6">
        <v>0</v>
      </c>
      <c r="K5646" s="6">
        <v>0</v>
      </c>
      <c r="L5646" s="3">
        <v>2.75E-2</v>
      </c>
      <c r="M5646" s="3">
        <v>3.5749999999999997E-2</v>
      </c>
      <c r="N5646" s="3">
        <f>L5646+G5646</f>
        <v>3.6600000000000001E-2</v>
      </c>
      <c r="P5646" s="1" t="s">
        <v>29821</v>
      </c>
      <c r="Q5646" s="1" t="s">
        <v>29822</v>
      </c>
      <c r="R5646" s="99">
        <v>0.2828</v>
      </c>
      <c r="S5646" s="89">
        <f>100%-Table34[[#This Row],[InitialFee]]</f>
        <v>0.98</v>
      </c>
      <c r="T5646" s="89">
        <f>(1-Table34[[#This Row],[OngoingFee (plus Platform fee)]])^5</f>
        <v>0.9630582970465823</v>
      </c>
      <c r="U5646" s="26">
        <f>(1+Table34[[#This Row],[Net 5yrs return (mostly up to 28th of Feb 2026)]])*Table34[[#This Row],[Investment after initial charge]]*Table34[[#This Row],[Cummulative 5yrs ongoing advice charge]]-1</f>
        <v>0.21070295978232845</v>
      </c>
      <c r="V5646" s="10">
        <f>21895536+2032833</f>
        <v>23928369</v>
      </c>
      <c r="W5646" s="10" t="s">
        <v>29051</v>
      </c>
      <c r="X5646" s="10">
        <v>21891619</v>
      </c>
      <c r="Y5646" s="30">
        <f>X5646/V5646</f>
        <v>0.91488136947403309</v>
      </c>
      <c r="AA5646" s="1" t="s">
        <v>29823</v>
      </c>
    </row>
    <row r="5647" spans="1:28" hidden="1" x14ac:dyDescent="0.25">
      <c r="A5647">
        <v>670729</v>
      </c>
      <c r="B5647" t="s">
        <v>4092</v>
      </c>
      <c r="C5647" s="1" t="s">
        <v>31709</v>
      </c>
      <c r="D5647">
        <v>2</v>
      </c>
      <c r="F5647" t="s">
        <v>29824</v>
      </c>
      <c r="S5647" s="3">
        <f>100%-Table34[[#This Row],[PDF_initial fee]]</f>
        <v>1</v>
      </c>
      <c r="T5647" s="89"/>
    </row>
    <row r="5648" spans="1:28" hidden="1" x14ac:dyDescent="0.25">
      <c r="A5648">
        <v>504742</v>
      </c>
      <c r="B5648" t="s">
        <v>2741</v>
      </c>
      <c r="C5648" s="1" t="s">
        <v>31710</v>
      </c>
      <c r="D5648">
        <v>1</v>
      </c>
      <c r="F5648" t="s">
        <v>3</v>
      </c>
      <c r="S5648" s="3">
        <f>100%-Table34[[#This Row],[PDF_initial fee]]</f>
        <v>1</v>
      </c>
      <c r="T5648" s="89"/>
    </row>
    <row r="5649" spans="1:27" hidden="1" x14ac:dyDescent="0.25">
      <c r="A5649">
        <v>468093</v>
      </c>
      <c r="B5649" t="s">
        <v>2361</v>
      </c>
      <c r="C5649" t="s">
        <v>6958</v>
      </c>
      <c r="D5649">
        <v>0</v>
      </c>
      <c r="F5649" t="s">
        <v>6958</v>
      </c>
      <c r="S5649" s="3">
        <f>100%-Table34[[#This Row],[PDF_initial fee]]</f>
        <v>1</v>
      </c>
      <c r="T5649" s="89"/>
    </row>
    <row r="5650" spans="1:27" hidden="1" x14ac:dyDescent="0.25">
      <c r="A5650">
        <v>441083</v>
      </c>
      <c r="B5650" t="s">
        <v>1977</v>
      </c>
      <c r="C5650" t="s">
        <v>6958</v>
      </c>
      <c r="D5650">
        <v>2</v>
      </c>
      <c r="F5650" t="s">
        <v>6958</v>
      </c>
      <c r="S5650" s="3">
        <f>100%-Table34[[#This Row],[PDF_initial fee]]</f>
        <v>1</v>
      </c>
      <c r="T5650" s="89"/>
    </row>
    <row r="5651" spans="1:27" x14ac:dyDescent="0.25">
      <c r="A5651">
        <v>232518</v>
      </c>
      <c r="B5651" t="s">
        <v>1492</v>
      </c>
      <c r="C5651" s="1" t="s">
        <v>31711</v>
      </c>
      <c r="D5651">
        <v>3</v>
      </c>
      <c r="F5651" t="s">
        <v>3</v>
      </c>
      <c r="G5651" s="3">
        <v>1.4E-3</v>
      </c>
      <c r="H5651" s="3">
        <f>1.5%+2.5%</f>
        <v>0.04</v>
      </c>
      <c r="I5651" s="21">
        <v>0.01</v>
      </c>
      <c r="L5651" s="3">
        <f>SUM(H5651:K5651)</f>
        <v>0.05</v>
      </c>
      <c r="N5651" s="3">
        <f>L5651+G5651</f>
        <v>5.1400000000000001E-2</v>
      </c>
      <c r="P5651" s="1" t="s">
        <v>31712</v>
      </c>
      <c r="Q5651" t="s">
        <v>31787</v>
      </c>
      <c r="R5651" s="30">
        <v>0.33333333333333348</v>
      </c>
      <c r="S5651" s="89">
        <f>100%-Table34[[#This Row],[InitialFee]]</f>
        <v>0.96</v>
      </c>
      <c r="T5651" s="89">
        <f>(1-Table34[[#This Row],[OngoingFee (plus Platform fee)]])^5</f>
        <v>0.95099004989999991</v>
      </c>
      <c r="U5651" s="26">
        <f>(1+Table34[[#This Row],[Net 5yrs return (mostly up to 28th of Feb 2026)]])*Table34[[#This Row],[Investment after initial charge]]*Table34[[#This Row],[Cummulative 5yrs ongoing advice charge]]-1</f>
        <v>0.2172672638719999</v>
      </c>
      <c r="V5651" s="10">
        <f>2052702+60891</f>
        <v>2113593</v>
      </c>
      <c r="W5651" s="10" t="s">
        <v>29051</v>
      </c>
      <c r="X5651" s="10">
        <v>1736533</v>
      </c>
      <c r="Y5651" s="30">
        <f>X5651/V5651</f>
        <v>0.82160236147640531</v>
      </c>
      <c r="AA5651" s="1" t="s">
        <v>31713</v>
      </c>
    </row>
    <row r="5652" spans="1:27" hidden="1" x14ac:dyDescent="0.25">
      <c r="A5652">
        <v>189815</v>
      </c>
      <c r="B5652" t="s">
        <v>1020</v>
      </c>
      <c r="C5652" s="1" t="s">
        <v>31714</v>
      </c>
      <c r="D5652">
        <v>7</v>
      </c>
      <c r="F5652" t="s">
        <v>3</v>
      </c>
      <c r="S5652" s="3">
        <f>100%-Table34[[#This Row],[PDF_initial fee]]</f>
        <v>1</v>
      </c>
      <c r="T5652" s="89"/>
    </row>
    <row r="5653" spans="1:27" hidden="1" x14ac:dyDescent="0.25">
      <c r="A5653">
        <v>212694</v>
      </c>
      <c r="B5653" t="s">
        <v>1240</v>
      </c>
      <c r="C5653" t="s">
        <v>6958</v>
      </c>
      <c r="D5653">
        <v>2</v>
      </c>
      <c r="F5653" t="s">
        <v>6958</v>
      </c>
      <c r="S5653" s="3">
        <f>100%-Table34[[#This Row],[PDF_initial fee]]</f>
        <v>1</v>
      </c>
      <c r="T5653" s="89"/>
    </row>
    <row r="5654" spans="1:27" hidden="1" x14ac:dyDescent="0.25">
      <c r="A5654">
        <v>622187</v>
      </c>
      <c r="B5654" t="s">
        <v>3818</v>
      </c>
      <c r="C5654" s="1" t="s">
        <v>31715</v>
      </c>
      <c r="D5654">
        <v>1</v>
      </c>
      <c r="F5654" t="s">
        <v>3</v>
      </c>
      <c r="S5654" s="3">
        <f>100%-Table34[[#This Row],[PDF_initial fee]]</f>
        <v>1</v>
      </c>
      <c r="T5654" s="89"/>
    </row>
    <row r="5655" spans="1:27" hidden="1" x14ac:dyDescent="0.25">
      <c r="A5655">
        <v>301023</v>
      </c>
      <c r="B5655" t="s">
        <v>1506</v>
      </c>
      <c r="C5655" s="1" t="s">
        <v>31716</v>
      </c>
      <c r="D5655">
        <v>1</v>
      </c>
      <c r="F5655" t="s">
        <v>3</v>
      </c>
      <c r="S5655" s="3">
        <f>100%-Table34[[#This Row],[PDF_initial fee]]</f>
        <v>1</v>
      </c>
      <c r="T5655" s="89"/>
    </row>
    <row r="5656" spans="1:27" hidden="1" x14ac:dyDescent="0.25">
      <c r="A5656">
        <v>220743</v>
      </c>
      <c r="B5656" t="s">
        <v>1280</v>
      </c>
      <c r="C5656" s="1" t="s">
        <v>31716</v>
      </c>
      <c r="D5656">
        <v>81</v>
      </c>
      <c r="F5656" t="s">
        <v>3</v>
      </c>
      <c r="S5656" s="3">
        <f>100%-Table34[[#This Row],[PDF_initial fee]]</f>
        <v>1</v>
      </c>
      <c r="T5656" s="89"/>
    </row>
    <row r="5657" spans="1:27" hidden="1" x14ac:dyDescent="0.25">
      <c r="A5657">
        <v>126147</v>
      </c>
      <c r="B5657" t="s">
        <v>581</v>
      </c>
      <c r="C5657" s="1" t="s">
        <v>31717</v>
      </c>
      <c r="D5657">
        <v>20</v>
      </c>
      <c r="F5657" t="s">
        <v>3</v>
      </c>
      <c r="S5657" s="3">
        <f>100%-Table34[[#This Row],[PDF_initial fee]]</f>
        <v>1</v>
      </c>
      <c r="T5657" s="89"/>
    </row>
    <row r="5658" spans="1:27" hidden="1" x14ac:dyDescent="0.25">
      <c r="A5658">
        <v>143715</v>
      </c>
      <c r="B5658" t="s">
        <v>711</v>
      </c>
      <c r="C5658" s="1" t="s">
        <v>31718</v>
      </c>
      <c r="D5658">
        <v>15</v>
      </c>
      <c r="F5658" t="s">
        <v>31719</v>
      </c>
      <c r="S5658" s="3">
        <f>100%-Table34[[#This Row],[PDF_initial fee]]</f>
        <v>1</v>
      </c>
      <c r="T5658" s="89"/>
    </row>
    <row r="5659" spans="1:27" hidden="1" x14ac:dyDescent="0.25">
      <c r="A5659">
        <v>630157</v>
      </c>
      <c r="B5659" t="s">
        <v>3972</v>
      </c>
      <c r="C5659" s="1" t="s">
        <v>31720</v>
      </c>
      <c r="D5659">
        <v>1</v>
      </c>
      <c r="F5659" t="s">
        <v>3</v>
      </c>
      <c r="S5659" s="3">
        <f>100%-Table34[[#This Row],[PDF_initial fee]]</f>
        <v>1</v>
      </c>
      <c r="T5659" s="89"/>
    </row>
    <row r="5660" spans="1:27" hidden="1" x14ac:dyDescent="0.25">
      <c r="A5660">
        <v>648950</v>
      </c>
      <c r="B5660" t="s">
        <v>4008</v>
      </c>
      <c r="C5660" s="1" t="s">
        <v>31721</v>
      </c>
      <c r="D5660">
        <v>1</v>
      </c>
      <c r="F5660" t="s">
        <v>29936</v>
      </c>
      <c r="S5660" s="3">
        <f>100%-Table34[[#This Row],[PDF_initial fee]]</f>
        <v>1</v>
      </c>
      <c r="T5660" s="89"/>
    </row>
    <row r="5661" spans="1:27" hidden="1" x14ac:dyDescent="0.25">
      <c r="A5661">
        <v>510121</v>
      </c>
      <c r="B5661" t="s">
        <v>2779</v>
      </c>
      <c r="C5661" t="s">
        <v>6958</v>
      </c>
      <c r="D5661">
        <v>6</v>
      </c>
      <c r="F5661" t="s">
        <v>6958</v>
      </c>
      <c r="S5661" s="3">
        <f>100%-Table34[[#This Row],[PDF_initial fee]]</f>
        <v>1</v>
      </c>
      <c r="T5661" s="89"/>
    </row>
    <row r="5662" spans="1:27" hidden="1" x14ac:dyDescent="0.25">
      <c r="A5662">
        <v>121003</v>
      </c>
      <c r="B5662" t="s">
        <v>486</v>
      </c>
      <c r="C5662" s="1" t="s">
        <v>31722</v>
      </c>
      <c r="D5662">
        <v>2</v>
      </c>
      <c r="F5662" t="s">
        <v>3</v>
      </c>
      <c r="S5662" s="3">
        <f>100%-Table34[[#This Row],[PDF_initial fee]]</f>
        <v>1</v>
      </c>
      <c r="T5662" s="89"/>
    </row>
    <row r="5663" spans="1:27" hidden="1" x14ac:dyDescent="0.25">
      <c r="A5663">
        <v>134005</v>
      </c>
      <c r="B5663" t="s">
        <v>620</v>
      </c>
      <c r="C5663" s="1" t="s">
        <v>30298</v>
      </c>
      <c r="D5663">
        <v>6</v>
      </c>
      <c r="F5663" t="s">
        <v>3</v>
      </c>
      <c r="S5663" s="3">
        <f>100%-Table34[[#This Row],[PDF_initial fee]]</f>
        <v>1</v>
      </c>
      <c r="T5663" s="89"/>
    </row>
    <row r="5664" spans="1:27" hidden="1" x14ac:dyDescent="0.25">
      <c r="A5664">
        <v>554067</v>
      </c>
      <c r="B5664" t="s">
        <v>3158</v>
      </c>
      <c r="C5664" s="1" t="s">
        <v>31723</v>
      </c>
      <c r="D5664">
        <v>1</v>
      </c>
      <c r="F5664" t="s">
        <v>3</v>
      </c>
      <c r="S5664" s="3">
        <f>100%-Table34[[#This Row],[PDF_initial fee]]</f>
        <v>1</v>
      </c>
      <c r="T5664" s="89"/>
    </row>
    <row r="5665" spans="1:30" hidden="1" x14ac:dyDescent="0.25">
      <c r="A5665">
        <v>440770</v>
      </c>
      <c r="B5665" t="s">
        <v>1971</v>
      </c>
      <c r="C5665" s="1" t="s">
        <v>31724</v>
      </c>
      <c r="D5665">
        <v>2</v>
      </c>
      <c r="F5665" t="s">
        <v>29936</v>
      </c>
      <c r="S5665" s="3">
        <f>100%-Table34[[#This Row],[PDF_initial fee]]</f>
        <v>1</v>
      </c>
      <c r="T5665" s="89"/>
    </row>
    <row r="5666" spans="1:30" hidden="1" x14ac:dyDescent="0.25">
      <c r="A5666">
        <v>163292</v>
      </c>
      <c r="B5666" t="s">
        <v>866</v>
      </c>
      <c r="C5666" s="1" t="s">
        <v>31725</v>
      </c>
      <c r="D5666">
        <v>1</v>
      </c>
      <c r="F5666" t="s">
        <v>3</v>
      </c>
      <c r="S5666" s="3">
        <f>100%-Table34[[#This Row],[PDF_initial fee]]</f>
        <v>1</v>
      </c>
      <c r="T5666" s="89"/>
    </row>
    <row r="5667" spans="1:30" hidden="1" x14ac:dyDescent="0.25">
      <c r="A5667">
        <v>223377</v>
      </c>
      <c r="B5667" t="s">
        <v>1326</v>
      </c>
      <c r="C5667" s="1" t="s">
        <v>31726</v>
      </c>
      <c r="D5667">
        <v>18</v>
      </c>
      <c r="F5667" t="s">
        <v>3</v>
      </c>
      <c r="S5667" s="3">
        <f>100%-Table34[[#This Row],[PDF_initial fee]]</f>
        <v>1</v>
      </c>
      <c r="T5667" s="89"/>
    </row>
    <row r="5668" spans="1:30" hidden="1" x14ac:dyDescent="0.25">
      <c r="A5668">
        <v>441766</v>
      </c>
      <c r="B5668" t="s">
        <v>1993</v>
      </c>
      <c r="C5668" s="1" t="s">
        <v>31727</v>
      </c>
      <c r="D5668">
        <v>13</v>
      </c>
      <c r="F5668" t="s">
        <v>3</v>
      </c>
      <c r="S5668" s="3">
        <f>100%-Table34[[#This Row],[PDF_initial fee]]</f>
        <v>1</v>
      </c>
      <c r="T5668" s="89"/>
    </row>
    <row r="5669" spans="1:30" hidden="1" x14ac:dyDescent="0.25">
      <c r="A5669">
        <v>191657</v>
      </c>
      <c r="B5669" t="s">
        <v>1057</v>
      </c>
      <c r="C5669" s="1" t="s">
        <v>31728</v>
      </c>
      <c r="D5669">
        <v>4</v>
      </c>
      <c r="F5669" t="s">
        <v>29114</v>
      </c>
      <c r="S5669" s="3">
        <f>100%-Table34[[#This Row],[PDF_initial fee]]</f>
        <v>1</v>
      </c>
      <c r="T5669" s="89"/>
    </row>
    <row r="5670" spans="1:30" hidden="1" x14ac:dyDescent="0.25">
      <c r="A5670">
        <v>133733</v>
      </c>
      <c r="B5670" t="s">
        <v>614</v>
      </c>
      <c r="C5670" t="s">
        <v>6958</v>
      </c>
      <c r="D5670">
        <v>0</v>
      </c>
      <c r="F5670" t="s">
        <v>6958</v>
      </c>
      <c r="S5670" s="3">
        <f>100%-Table34[[#This Row],[PDF_initial fee]]</f>
        <v>1</v>
      </c>
      <c r="T5670" s="89"/>
    </row>
    <row r="5671" spans="1:30" hidden="1" x14ac:dyDescent="0.25">
      <c r="A5671">
        <v>185829</v>
      </c>
      <c r="B5671" t="s">
        <v>974</v>
      </c>
      <c r="C5671" s="1" t="s">
        <v>31729</v>
      </c>
      <c r="D5671">
        <v>1</v>
      </c>
      <c r="F5671" t="s">
        <v>3</v>
      </c>
      <c r="S5671" s="3">
        <f>100%-Table34[[#This Row],[PDF_initial fee]]</f>
        <v>1</v>
      </c>
      <c r="T5671" s="89"/>
    </row>
    <row r="5672" spans="1:30" hidden="1" x14ac:dyDescent="0.25">
      <c r="A5672">
        <v>562795</v>
      </c>
      <c r="B5672" t="s">
        <v>3189</v>
      </c>
      <c r="C5672" s="1" t="s">
        <v>31730</v>
      </c>
      <c r="D5672">
        <v>2</v>
      </c>
      <c r="F5672" t="s">
        <v>3</v>
      </c>
      <c r="S5672" s="3">
        <f>100%-Table34[[#This Row],[PDF_initial fee]]</f>
        <v>1</v>
      </c>
      <c r="T5672" s="89"/>
    </row>
    <row r="5673" spans="1:30" x14ac:dyDescent="0.25">
      <c r="A5673">
        <v>163291</v>
      </c>
      <c r="B5673" t="s">
        <v>865</v>
      </c>
      <c r="C5673" s="1" t="s">
        <v>29828</v>
      </c>
      <c r="D5673">
        <v>27</v>
      </c>
      <c r="F5673" t="s">
        <v>6</v>
      </c>
      <c r="G5673" s="3">
        <v>9.1000000000000004E-3</v>
      </c>
      <c r="H5673" s="3">
        <v>0.02</v>
      </c>
      <c r="I5673" s="3">
        <v>7.4999999999999997E-3</v>
      </c>
      <c r="J5673" s="6">
        <v>0</v>
      </c>
      <c r="K5673" s="6">
        <v>0</v>
      </c>
      <c r="L5673" s="3">
        <v>2.75E-2</v>
      </c>
      <c r="M5673" s="3">
        <v>3.5749999999999997E-2</v>
      </c>
      <c r="N5673" s="3">
        <f>L5673+G5673</f>
        <v>3.6600000000000001E-2</v>
      </c>
      <c r="O5673" s="1" t="s">
        <v>29821</v>
      </c>
      <c r="P5673" s="1" t="s">
        <v>29822</v>
      </c>
      <c r="Q5673" s="1" t="s">
        <v>29822</v>
      </c>
      <c r="R5673" s="99">
        <v>0.2828</v>
      </c>
      <c r="S5673" s="89">
        <f>100%-Table34[[#This Row],[InitialFee]]</f>
        <v>0.98</v>
      </c>
      <c r="T5673" s="89">
        <f>(1-Table34[[#This Row],[OngoingFee (plus Platform fee)]])^5</f>
        <v>0.9630582970465823</v>
      </c>
      <c r="U5673" s="26">
        <f>(1+Table34[[#This Row],[Net 5yrs return (mostly up to 28th of Feb 2026)]])*Table34[[#This Row],[Investment after initial charge]]*Table34[[#This Row],[Cummulative 5yrs ongoing advice charge]]-1</f>
        <v>0.21070295978232845</v>
      </c>
      <c r="V5673" s="10">
        <v>23928369</v>
      </c>
      <c r="W5673" s="10" t="s">
        <v>29051</v>
      </c>
      <c r="X5673" s="10">
        <v>21891619</v>
      </c>
      <c r="Y5673" s="30">
        <f>X5673/V5673</f>
        <v>0.91488136947403309</v>
      </c>
      <c r="Z5673" s="8" t="s">
        <v>12692</v>
      </c>
      <c r="AA5673" s="1" t="s">
        <v>29823</v>
      </c>
      <c r="AB5673" s="8"/>
    </row>
    <row r="5674" spans="1:30" hidden="1" x14ac:dyDescent="0.25">
      <c r="A5674">
        <v>133767</v>
      </c>
      <c r="B5674" t="s">
        <v>615</v>
      </c>
      <c r="C5674" t="s">
        <v>6958</v>
      </c>
      <c r="D5674">
        <v>6</v>
      </c>
      <c r="F5674" t="s">
        <v>6958</v>
      </c>
      <c r="S5674" s="3">
        <f>100%-Table34[[#This Row],[PDF_initial fee]]</f>
        <v>1</v>
      </c>
      <c r="T5674" s="89"/>
    </row>
    <row r="5675" spans="1:30" hidden="1" x14ac:dyDescent="0.25">
      <c r="A5675">
        <v>440742</v>
      </c>
      <c r="B5675" t="s">
        <v>1968</v>
      </c>
      <c r="C5675" s="1" t="s">
        <v>31731</v>
      </c>
      <c r="D5675">
        <v>2</v>
      </c>
      <c r="F5675" t="s">
        <v>3</v>
      </c>
      <c r="S5675" s="3">
        <f>100%-Table34[[#This Row],[PDF_initial fee]]</f>
        <v>1</v>
      </c>
      <c r="T5675" s="89"/>
    </row>
    <row r="5676" spans="1:30" hidden="1" x14ac:dyDescent="0.25">
      <c r="A5676">
        <v>512604</v>
      </c>
      <c r="B5676" t="s">
        <v>2797</v>
      </c>
      <c r="C5676" s="1" t="s">
        <v>31732</v>
      </c>
      <c r="D5676">
        <v>1</v>
      </c>
      <c r="F5676" t="s">
        <v>3</v>
      </c>
      <c r="S5676" s="3">
        <f>100%-Table34[[#This Row],[PDF_initial fee]]</f>
        <v>1</v>
      </c>
      <c r="T5676" s="89"/>
    </row>
    <row r="5677" spans="1:30" hidden="1" x14ac:dyDescent="0.25">
      <c r="A5677">
        <v>449607</v>
      </c>
      <c r="B5677" t="s">
        <v>2069</v>
      </c>
      <c r="C5677" s="86" t="s">
        <v>31733</v>
      </c>
      <c r="D5677">
        <v>47</v>
      </c>
      <c r="F5677" s="27" t="s">
        <v>31734</v>
      </c>
      <c r="S5677" s="3">
        <f>100%-Table34[[#This Row],[PDF_initial fee]]</f>
        <v>1</v>
      </c>
      <c r="T5677" s="89"/>
    </row>
    <row r="5678" spans="1:30" hidden="1" x14ac:dyDescent="0.25">
      <c r="A5678">
        <v>225327</v>
      </c>
      <c r="B5678" t="s">
        <v>1365</v>
      </c>
      <c r="C5678" t="s">
        <v>6958</v>
      </c>
      <c r="D5678">
        <v>1</v>
      </c>
      <c r="F5678" t="s">
        <v>6958</v>
      </c>
      <c r="S5678" s="3">
        <f>100%-Table34[[#This Row],[PDF_initial fee]]</f>
        <v>1</v>
      </c>
      <c r="T5678" s="89"/>
    </row>
    <row r="5679" spans="1:30" x14ac:dyDescent="0.25">
      <c r="A5679">
        <v>554381</v>
      </c>
      <c r="B5679" t="s">
        <v>3160</v>
      </c>
      <c r="C5679" s="1" t="s">
        <v>31735</v>
      </c>
      <c r="D5679">
        <v>2</v>
      </c>
      <c r="F5679" t="s">
        <v>6</v>
      </c>
      <c r="G5679" s="3">
        <v>0.01</v>
      </c>
      <c r="H5679" s="3">
        <f>(3/2)%</f>
        <v>1.4999999999999999E-2</v>
      </c>
      <c r="I5679" s="3">
        <f>((0.6+1.5)/2)/100</f>
        <v>1.0500000000000001E-2</v>
      </c>
      <c r="J5679" s="6">
        <v>0</v>
      </c>
      <c r="K5679" s="6">
        <v>0</v>
      </c>
      <c r="L5679" s="3">
        <f>SUM(H5679:K5679)</f>
        <v>2.5500000000000002E-2</v>
      </c>
      <c r="N5679" s="3">
        <f>L5679+G5679</f>
        <v>3.5500000000000004E-2</v>
      </c>
      <c r="P5679" s="1" t="s">
        <v>29215</v>
      </c>
      <c r="Q5679" s="87" t="s">
        <v>31790</v>
      </c>
      <c r="R5679" s="89">
        <v>0.27600000000000002</v>
      </c>
      <c r="S5679" s="89">
        <f>100%-Table34[[#This Row],[InitialFee]]</f>
        <v>0.98499999999999999</v>
      </c>
      <c r="T5679" s="103">
        <f>(1-Table34[[#This Row],[OngoingFee (plus Platform fee)]])^3</f>
        <v>0.9688295923750001</v>
      </c>
      <c r="U5679" s="26">
        <f>(1+Table34[[#This Row],[Net 5yrs return (mostly up to 28th of Feb 2026)]])*Table34[[#This Row],[Investment after initial charge]]*Table34[[#This Row],[Cummulative 5yrs ongoing advice charge]]-1</f>
        <v>0.21768316147244282</v>
      </c>
      <c r="V5679" s="10">
        <v>64390152</v>
      </c>
      <c r="W5679" s="10" t="s">
        <v>29051</v>
      </c>
      <c r="X5679" s="10">
        <v>54399623</v>
      </c>
      <c r="Y5679" s="30">
        <f>X5679/V5679</f>
        <v>0.84484383574680799</v>
      </c>
      <c r="Z5679" s="10"/>
      <c r="AA5679" s="1" t="s">
        <v>29237</v>
      </c>
      <c r="AD5679" s="1"/>
    </row>
    <row r="5680" spans="1:30" hidden="1" x14ac:dyDescent="0.25">
      <c r="A5680">
        <v>466834</v>
      </c>
      <c r="B5680" t="s">
        <v>2347</v>
      </c>
      <c r="C5680" s="1" t="s">
        <v>31736</v>
      </c>
      <c r="D5680">
        <v>4</v>
      </c>
      <c r="F5680" t="s">
        <v>3</v>
      </c>
      <c r="S5680" s="3">
        <f>100%-Table34[[#This Row],[PDF_initial fee]]</f>
        <v>1</v>
      </c>
      <c r="T5680" s="89"/>
    </row>
    <row r="5681" spans="1:20" hidden="1" x14ac:dyDescent="0.25">
      <c r="A5681">
        <v>149780</v>
      </c>
      <c r="B5681" t="s">
        <v>791</v>
      </c>
      <c r="C5681" t="s">
        <v>6958</v>
      </c>
      <c r="D5681">
        <v>0</v>
      </c>
      <c r="F5681" t="s">
        <v>6958</v>
      </c>
      <c r="S5681" s="3">
        <f>100%-Table34[[#This Row],[PDF_initial fee]]</f>
        <v>1</v>
      </c>
      <c r="T5681" s="89"/>
    </row>
    <row r="5682" spans="1:20" hidden="1" x14ac:dyDescent="0.25">
      <c r="A5682">
        <v>763630</v>
      </c>
      <c r="B5682" t="s">
        <v>4593</v>
      </c>
      <c r="C5682" s="1" t="s">
        <v>31737</v>
      </c>
      <c r="D5682">
        <v>5</v>
      </c>
      <c r="S5682" s="3">
        <f>100%-Table34[[#This Row],[PDF_initial fee]]</f>
        <v>1</v>
      </c>
      <c r="T5682" s="89"/>
    </row>
    <row r="5683" spans="1:20" hidden="1" x14ac:dyDescent="0.25">
      <c r="A5683">
        <v>525844</v>
      </c>
      <c r="B5683" t="s">
        <v>2954</v>
      </c>
      <c r="C5683" s="1" t="s">
        <v>31738</v>
      </c>
      <c r="D5683">
        <v>1</v>
      </c>
      <c r="F5683" t="s">
        <v>31644</v>
      </c>
      <c r="S5683" s="3">
        <f>100%-Table34[[#This Row],[PDF_initial fee]]</f>
        <v>1</v>
      </c>
      <c r="T5683" s="89"/>
    </row>
    <row r="5684" spans="1:20" hidden="1" x14ac:dyDescent="0.25">
      <c r="A5684">
        <v>149309</v>
      </c>
      <c r="B5684" t="s">
        <v>785</v>
      </c>
      <c r="C5684" s="1" t="s">
        <v>31739</v>
      </c>
      <c r="D5684">
        <v>2</v>
      </c>
      <c r="F5684" t="s">
        <v>3</v>
      </c>
      <c r="S5684" s="3">
        <f>100%-Table34[[#This Row],[PDF_initial fee]]</f>
        <v>1</v>
      </c>
      <c r="T5684" s="3"/>
    </row>
    <row r="5685" spans="1:20" hidden="1" x14ac:dyDescent="0.25">
      <c r="A5685">
        <v>583474</v>
      </c>
      <c r="B5685" t="s">
        <v>3357</v>
      </c>
      <c r="C5685" s="1" t="s">
        <v>31740</v>
      </c>
      <c r="D5685">
        <v>6</v>
      </c>
      <c r="F5685" t="s">
        <v>6</v>
      </c>
      <c r="G5685" s="3">
        <f>(0.2%+1%)/2</f>
        <v>6.0000000000000001E-3</v>
      </c>
      <c r="H5685" s="3">
        <v>2.5000000000000001E-2</v>
      </c>
      <c r="I5685" s="3">
        <v>7.0000000000000001E-3</v>
      </c>
      <c r="O5685" t="s">
        <v>31741</v>
      </c>
      <c r="P5685" s="1" t="s">
        <v>31742</v>
      </c>
      <c r="S5685" s="3">
        <f>100%-Table34[[#This Row],[PDF_initial fee]]</f>
        <v>1</v>
      </c>
      <c r="T5685" s="3"/>
    </row>
    <row r="5687" spans="1:20" x14ac:dyDescent="0.25">
      <c r="N5687" s="104"/>
    </row>
    <row r="5691" spans="1:20" x14ac:dyDescent="0.25">
      <c r="R5691" s="102"/>
    </row>
    <row r="5694" spans="1:20" x14ac:dyDescent="0.25">
      <c r="R5694" s="87"/>
    </row>
  </sheetData>
  <conditionalFormatting sqref="A1:A5685">
    <cfRule type="duplicateValues" dxfId="4" priority="2"/>
  </conditionalFormatting>
  <conditionalFormatting sqref="B1:B5685">
    <cfRule type="duplicateValues" dxfId="3" priority="3"/>
    <cfRule type="duplicateValues" dxfId="2" priority="4"/>
  </conditionalFormatting>
  <conditionalFormatting sqref="P364">
    <cfRule type="duplicateValues" dxfId="1" priority="5"/>
    <cfRule type="duplicateValues" dxfId="0" priority="6"/>
  </conditionalFormatting>
  <hyperlinks>
    <hyperlink ref="C8" r:id="rId1" xr:uid="{00000000-0004-0000-2800-000000000000}"/>
    <hyperlink ref="C9" r:id="rId2" xr:uid="{00000000-0004-0000-2800-000001000000}"/>
    <hyperlink ref="P9" r:id="rId3" xr:uid="{00000000-0004-0000-2800-000002000000}"/>
    <hyperlink ref="C10" r:id="rId4" xr:uid="{00000000-0004-0000-2800-000003000000}"/>
    <hyperlink ref="P10" r:id="rId5" xr:uid="{00000000-0004-0000-2800-000004000000}"/>
    <hyperlink ref="AA10" r:id="rId6" xr:uid="{00000000-0004-0000-2800-000005000000}"/>
    <hyperlink ref="C17" r:id="rId7" xr:uid="{00000000-0004-0000-2800-000006000000}"/>
    <hyperlink ref="P17" r:id="rId8" xr:uid="{00000000-0004-0000-2800-000007000000}"/>
    <hyperlink ref="AA17" r:id="rId9" xr:uid="{00000000-0004-0000-2800-000008000000}"/>
    <hyperlink ref="C18" r:id="rId10" xr:uid="{00000000-0004-0000-2800-000009000000}"/>
    <hyperlink ref="P18" r:id="rId11" xr:uid="{00000000-0004-0000-2800-00000A000000}"/>
    <hyperlink ref="AA18" r:id="rId12" xr:uid="{00000000-0004-0000-2800-00000B000000}"/>
    <hyperlink ref="C26" r:id="rId13" xr:uid="{00000000-0004-0000-2800-00000C000000}"/>
    <hyperlink ref="C39" r:id="rId14" xr:uid="{00000000-0004-0000-2800-00000D000000}"/>
    <hyperlink ref="P39" r:id="rId15" xr:uid="{00000000-0004-0000-2800-00000E000000}"/>
    <hyperlink ref="AA39" r:id="rId16" xr:uid="{00000000-0004-0000-2800-000010000000}"/>
    <hyperlink ref="C40" r:id="rId17" xr:uid="{00000000-0004-0000-2800-000011000000}"/>
    <hyperlink ref="C49" r:id="rId18" xr:uid="{00000000-0004-0000-2800-000012000000}"/>
    <hyperlink ref="P49" r:id="rId19" xr:uid="{00000000-0004-0000-2800-000013000000}"/>
    <hyperlink ref="AA49" r:id="rId20" xr:uid="{00000000-0004-0000-2800-000014000000}"/>
    <hyperlink ref="C55" r:id="rId21" xr:uid="{00000000-0004-0000-2800-000015000000}"/>
    <hyperlink ref="P55" r:id="rId22" xr:uid="{00000000-0004-0000-2800-000016000000}"/>
    <hyperlink ref="AA55" r:id="rId23" xr:uid="{00000000-0004-0000-2800-000017000000}"/>
    <hyperlink ref="C60" r:id="rId24" xr:uid="{00000000-0004-0000-2800-000018000000}"/>
    <hyperlink ref="P60" r:id="rId25" xr:uid="{00000000-0004-0000-2800-000019000000}"/>
    <hyperlink ref="AA60" r:id="rId26" xr:uid="{00000000-0004-0000-2800-00001A000000}"/>
    <hyperlink ref="C76" r:id="rId27" xr:uid="{00000000-0004-0000-2800-00001B000000}"/>
    <hyperlink ref="P76" r:id="rId28" xr:uid="{00000000-0004-0000-2800-00001C000000}"/>
    <hyperlink ref="Q76" r:id="rId29" xr:uid="{00000000-0004-0000-2800-00001D000000}"/>
    <hyperlink ref="AA76" r:id="rId30" xr:uid="{00000000-0004-0000-2800-00001E000000}"/>
    <hyperlink ref="C77" r:id="rId31" xr:uid="{00000000-0004-0000-2800-00001F000000}"/>
    <hyperlink ref="P77" r:id="rId32" xr:uid="{00000000-0004-0000-2800-000020000000}"/>
    <hyperlink ref="Q77" r:id="rId33" xr:uid="{00000000-0004-0000-2800-000021000000}"/>
    <hyperlink ref="AA77" r:id="rId34" xr:uid="{00000000-0004-0000-2800-000022000000}"/>
    <hyperlink ref="C78" r:id="rId35" xr:uid="{00000000-0004-0000-2800-000023000000}"/>
    <hyperlink ref="P78" r:id="rId36" xr:uid="{00000000-0004-0000-2800-000024000000}"/>
    <hyperlink ref="C85" r:id="rId37" xr:uid="{00000000-0004-0000-2800-000025000000}"/>
    <hyperlink ref="P85" r:id="rId38" xr:uid="{00000000-0004-0000-2800-000026000000}"/>
    <hyperlink ref="AA85" r:id="rId39" xr:uid="{00000000-0004-0000-2800-000027000000}"/>
    <hyperlink ref="C87" r:id="rId40" xr:uid="{00000000-0004-0000-2800-000028000000}"/>
    <hyperlink ref="P87" r:id="rId41" xr:uid="{00000000-0004-0000-2800-000029000000}"/>
    <hyperlink ref="Q87" r:id="rId42" xr:uid="{00000000-0004-0000-2800-00002A000000}"/>
    <hyperlink ref="AA87" r:id="rId43" xr:uid="{00000000-0004-0000-2800-00002B000000}"/>
    <hyperlink ref="C91" r:id="rId44" xr:uid="{00000000-0004-0000-2800-00002C000000}"/>
    <hyperlink ref="P91" r:id="rId45" xr:uid="{00000000-0004-0000-2800-00002D000000}"/>
    <hyperlink ref="AA91" r:id="rId46" xr:uid="{00000000-0004-0000-2800-00002E000000}"/>
    <hyperlink ref="C95" r:id="rId47" xr:uid="{00000000-0004-0000-2800-00002F000000}"/>
    <hyperlink ref="P95" r:id="rId48" xr:uid="{00000000-0004-0000-2800-000030000000}"/>
    <hyperlink ref="AA95" r:id="rId49" xr:uid="{00000000-0004-0000-2800-000031000000}"/>
    <hyperlink ref="C99" r:id="rId50" xr:uid="{00000000-0004-0000-2800-000032000000}"/>
    <hyperlink ref="P99" r:id="rId51" xr:uid="{00000000-0004-0000-2800-000033000000}"/>
    <hyperlink ref="AA99" r:id="rId52" xr:uid="{00000000-0004-0000-2800-000034000000}"/>
    <hyperlink ref="C116" r:id="rId53" xr:uid="{00000000-0004-0000-2800-000035000000}"/>
    <hyperlink ref="C117" r:id="rId54" xr:uid="{00000000-0004-0000-2800-000036000000}"/>
    <hyperlink ref="D117" r:id="rId55" display="https://register.fca.org.uk/s/firm?id=001b000000MfI0DAAV" xr:uid="{00000000-0004-0000-2800-000037000000}"/>
    <hyperlink ref="P117" r:id="rId56" xr:uid="{00000000-0004-0000-2800-000038000000}"/>
    <hyperlink ref="AA117" r:id="rId57" xr:uid="{00000000-0004-0000-2800-000039000000}"/>
    <hyperlink ref="C122" r:id="rId58" xr:uid="{00000000-0004-0000-2800-00003A000000}"/>
    <hyperlink ref="P122" r:id="rId59" xr:uid="{00000000-0004-0000-2800-00003B000000}"/>
    <hyperlink ref="AA122" r:id="rId60" xr:uid="{00000000-0004-0000-2800-00003C000000}"/>
    <hyperlink ref="C124" r:id="rId61" xr:uid="{00000000-0004-0000-2800-00003D000000}"/>
    <hyperlink ref="P124" r:id="rId62" xr:uid="{00000000-0004-0000-2800-00003E000000}"/>
    <hyperlink ref="Q124" r:id="rId63" xr:uid="{00000000-0004-0000-2800-00003F000000}"/>
    <hyperlink ref="AA124" r:id="rId64" xr:uid="{00000000-0004-0000-2800-000040000000}"/>
    <hyperlink ref="C126" r:id="rId65" xr:uid="{00000000-0004-0000-2800-000041000000}"/>
    <hyperlink ref="P129" r:id="rId66" xr:uid="{00000000-0004-0000-2800-000042000000}"/>
    <hyperlink ref="C133" r:id="rId67" xr:uid="{00000000-0004-0000-2800-000043000000}"/>
    <hyperlink ref="P133" r:id="rId68" xr:uid="{00000000-0004-0000-2800-000044000000}"/>
    <hyperlink ref="AA133" r:id="rId69" xr:uid="{00000000-0004-0000-2800-000045000000}"/>
    <hyperlink ref="C142" r:id="rId70" xr:uid="{00000000-0004-0000-2800-000046000000}"/>
    <hyperlink ref="P142" r:id="rId71" xr:uid="{00000000-0004-0000-2800-000047000000}"/>
    <hyperlink ref="Q142" r:id="rId72" xr:uid="{00000000-0004-0000-2800-000048000000}"/>
    <hyperlink ref="AA142" r:id="rId73" xr:uid="{00000000-0004-0000-2800-000049000000}"/>
    <hyperlink ref="C148" r:id="rId74" xr:uid="{00000000-0004-0000-2800-00004A000000}"/>
    <hyperlink ref="P148" r:id="rId75" xr:uid="{00000000-0004-0000-2800-00004B000000}"/>
    <hyperlink ref="Q148" r:id="rId76" xr:uid="{00000000-0004-0000-2800-00004C000000}"/>
    <hyperlink ref="AA148" r:id="rId77" xr:uid="{00000000-0004-0000-2800-00004D000000}"/>
    <hyperlink ref="C153" r:id="rId78" xr:uid="{00000000-0004-0000-2800-00004E000000}"/>
    <hyperlink ref="P153" r:id="rId79" xr:uid="{00000000-0004-0000-2800-00004F000000}"/>
    <hyperlink ref="Q153" r:id="rId80" xr:uid="{00000000-0004-0000-2800-000050000000}"/>
    <hyperlink ref="AA153" r:id="rId81" xr:uid="{00000000-0004-0000-2800-000051000000}"/>
    <hyperlink ref="P156" r:id="rId82" xr:uid="{00000000-0004-0000-2800-000052000000}"/>
    <hyperlink ref="AA156" r:id="rId83" xr:uid="{00000000-0004-0000-2800-000053000000}"/>
    <hyperlink ref="AD156" r:id="rId84" xr:uid="{00000000-0004-0000-2800-000054000000}"/>
    <hyperlink ref="C167" r:id="rId85" xr:uid="{00000000-0004-0000-2800-000055000000}"/>
    <hyperlink ref="P167" r:id="rId86" xr:uid="{00000000-0004-0000-2800-000056000000}"/>
    <hyperlink ref="AA167" r:id="rId87" xr:uid="{00000000-0004-0000-2800-000057000000}"/>
    <hyperlink ref="C169" r:id="rId88" xr:uid="{00000000-0004-0000-2800-000058000000}"/>
    <hyperlink ref="C170" r:id="rId89" xr:uid="{00000000-0004-0000-2800-000059000000}"/>
    <hyperlink ref="P170" r:id="rId90" xr:uid="{00000000-0004-0000-2800-00005A000000}"/>
    <hyperlink ref="AA170" r:id="rId91" xr:uid="{00000000-0004-0000-2800-00005B000000}"/>
    <hyperlink ref="AD170" r:id="rId92" xr:uid="{00000000-0004-0000-2800-00005C000000}"/>
    <hyperlink ref="C175" r:id="rId93" xr:uid="{00000000-0004-0000-2800-00005D000000}"/>
    <hyperlink ref="P175" r:id="rId94" xr:uid="{00000000-0004-0000-2800-00005E000000}"/>
    <hyperlink ref="AA175" r:id="rId95" xr:uid="{00000000-0004-0000-2800-00005F000000}"/>
    <hyperlink ref="C176" r:id="rId96" xr:uid="{00000000-0004-0000-2800-000060000000}"/>
    <hyperlink ref="P176" r:id="rId97" xr:uid="{00000000-0004-0000-2800-000061000000}"/>
    <hyperlink ref="AA176" r:id="rId98" xr:uid="{00000000-0004-0000-2800-000062000000}"/>
    <hyperlink ref="AD176" r:id="rId99" xr:uid="{00000000-0004-0000-2800-000063000000}"/>
    <hyperlink ref="C178" r:id="rId100" xr:uid="{00000000-0004-0000-2800-000064000000}"/>
    <hyperlink ref="P178" r:id="rId101" xr:uid="{00000000-0004-0000-2800-000065000000}"/>
    <hyperlink ref="AA178" r:id="rId102" xr:uid="{00000000-0004-0000-2800-000066000000}"/>
    <hyperlink ref="AD178" r:id="rId103" xr:uid="{00000000-0004-0000-2800-000067000000}"/>
    <hyperlink ref="P182" r:id="rId104" xr:uid="{00000000-0004-0000-2800-000068000000}"/>
    <hyperlink ref="Q182" r:id="rId105" xr:uid="{00000000-0004-0000-2800-000069000000}"/>
    <hyperlink ref="AA182" r:id="rId106" xr:uid="{00000000-0004-0000-2800-00006A000000}"/>
    <hyperlink ref="C189" r:id="rId107" xr:uid="{00000000-0004-0000-2800-00006B000000}"/>
    <hyperlink ref="C192" r:id="rId108" xr:uid="{00000000-0004-0000-2800-00006C000000}"/>
    <hyperlink ref="P192" r:id="rId109" xr:uid="{00000000-0004-0000-2800-00006D000000}"/>
    <hyperlink ref="AA192" r:id="rId110" xr:uid="{00000000-0004-0000-2800-00006E000000}"/>
    <hyperlink ref="C199" r:id="rId111" xr:uid="{00000000-0004-0000-2800-00006F000000}"/>
    <hyperlink ref="P199" r:id="rId112" xr:uid="{00000000-0004-0000-2800-000070000000}"/>
    <hyperlink ref="Q199" r:id="rId113" xr:uid="{00000000-0004-0000-2800-000071000000}"/>
    <hyperlink ref="AA199" r:id="rId114" xr:uid="{00000000-0004-0000-2800-000072000000}"/>
    <hyperlink ref="P211" r:id="rId115" xr:uid="{00000000-0004-0000-2800-000073000000}"/>
    <hyperlink ref="AD211" r:id="rId116" xr:uid="{00000000-0004-0000-2800-000074000000}"/>
    <hyperlink ref="P219" r:id="rId117" xr:uid="{00000000-0004-0000-2800-000075000000}"/>
    <hyperlink ref="AD219" r:id="rId118" xr:uid="{00000000-0004-0000-2800-000076000000}"/>
    <hyperlink ref="C220" r:id="rId119" xr:uid="{00000000-0004-0000-2800-000077000000}"/>
    <hyperlink ref="C228" r:id="rId120" xr:uid="{00000000-0004-0000-2800-000078000000}"/>
    <hyperlink ref="P228" r:id="rId121" xr:uid="{00000000-0004-0000-2800-000079000000}"/>
    <hyperlink ref="C233" r:id="rId122" xr:uid="{00000000-0004-0000-2800-00007B000000}"/>
    <hyperlink ref="P233" r:id="rId123" xr:uid="{00000000-0004-0000-2800-00007C000000}"/>
    <hyperlink ref="AA233" r:id="rId124" xr:uid="{00000000-0004-0000-2800-00007E000000}"/>
    <hyperlink ref="C240" r:id="rId125" xr:uid="{00000000-0004-0000-2800-00007F000000}"/>
    <hyperlink ref="C242" r:id="rId126" xr:uid="{00000000-0004-0000-2800-000080000000}"/>
    <hyperlink ref="P242" r:id="rId127" xr:uid="{00000000-0004-0000-2800-000081000000}"/>
    <hyperlink ref="AA242" r:id="rId128" xr:uid="{00000000-0004-0000-2800-000082000000}"/>
    <hyperlink ref="C244" r:id="rId129" xr:uid="{00000000-0004-0000-2800-000084000000}"/>
    <hyperlink ref="P244" r:id="rId130" xr:uid="{00000000-0004-0000-2800-000085000000}"/>
    <hyperlink ref="AA244" r:id="rId131" xr:uid="{00000000-0004-0000-2800-000086000000}"/>
    <hyperlink ref="C251" r:id="rId132" xr:uid="{00000000-0004-0000-2800-000087000000}"/>
    <hyperlink ref="P251" r:id="rId133" xr:uid="{00000000-0004-0000-2800-000088000000}"/>
    <hyperlink ref="AA251" r:id="rId134" xr:uid="{00000000-0004-0000-2800-000089000000}"/>
    <hyperlink ref="C259" r:id="rId135" xr:uid="{00000000-0004-0000-2800-00008A000000}"/>
    <hyperlink ref="P259" r:id="rId136" xr:uid="{00000000-0004-0000-2800-00008B000000}"/>
    <hyperlink ref="AA259" r:id="rId137" xr:uid="{00000000-0004-0000-2800-00008C000000}"/>
    <hyperlink ref="C261" r:id="rId138" xr:uid="{00000000-0004-0000-2800-00008D000000}"/>
    <hyperlink ref="P261" r:id="rId139" xr:uid="{00000000-0004-0000-2800-00008E000000}"/>
    <hyperlink ref="AA261" r:id="rId140" xr:uid="{00000000-0004-0000-2800-00008F000000}"/>
    <hyperlink ref="C262" r:id="rId141" xr:uid="{00000000-0004-0000-2800-000090000000}"/>
    <hyperlink ref="P262" r:id="rId142" xr:uid="{00000000-0004-0000-2800-000091000000}"/>
    <hyperlink ref="AA262" r:id="rId143" xr:uid="{00000000-0004-0000-2800-000092000000}"/>
    <hyperlink ref="C268" r:id="rId144" xr:uid="{00000000-0004-0000-2800-000093000000}"/>
    <hyperlink ref="C272" r:id="rId145" xr:uid="{00000000-0004-0000-2800-000094000000}"/>
    <hyperlink ref="C274" r:id="rId146" xr:uid="{00000000-0004-0000-2800-000095000000}"/>
    <hyperlink ref="P274" r:id="rId147" xr:uid="{00000000-0004-0000-2800-000096000000}"/>
    <hyperlink ref="AA274" r:id="rId148" xr:uid="{00000000-0004-0000-2800-000097000000}"/>
    <hyperlink ref="C275" r:id="rId149" xr:uid="{00000000-0004-0000-2800-000098000000}"/>
    <hyperlink ref="C276" r:id="rId150" xr:uid="{00000000-0004-0000-2800-000099000000}"/>
    <hyperlink ref="C279" r:id="rId151" xr:uid="{00000000-0004-0000-2800-00009A000000}"/>
    <hyperlink ref="P279" r:id="rId152" xr:uid="{00000000-0004-0000-2800-00009B000000}"/>
    <hyperlink ref="C294" r:id="rId153" xr:uid="{00000000-0004-0000-2800-00009C000000}"/>
    <hyperlink ref="P294" r:id="rId154" xr:uid="{00000000-0004-0000-2800-00009D000000}"/>
    <hyperlink ref="AA294" r:id="rId155" xr:uid="{00000000-0004-0000-2800-00009E000000}"/>
    <hyperlink ref="C295" r:id="rId156" xr:uid="{00000000-0004-0000-2800-00009F000000}"/>
    <hyperlink ref="P295" r:id="rId157" xr:uid="{00000000-0004-0000-2800-0000A0000000}"/>
    <hyperlink ref="Q295" r:id="rId158" xr:uid="{00000000-0004-0000-2800-0000A1000000}"/>
    <hyperlink ref="AA295" r:id="rId159" xr:uid="{00000000-0004-0000-2800-0000A2000000}"/>
    <hyperlink ref="C297" r:id="rId160" xr:uid="{00000000-0004-0000-2800-0000A3000000}"/>
    <hyperlink ref="P297" r:id="rId161" xr:uid="{00000000-0004-0000-2800-0000A4000000}"/>
    <hyperlink ref="AA297" r:id="rId162" xr:uid="{00000000-0004-0000-2800-0000A5000000}"/>
    <hyperlink ref="C302" r:id="rId163" xr:uid="{00000000-0004-0000-2800-0000A6000000}"/>
    <hyperlink ref="P302" r:id="rId164" xr:uid="{00000000-0004-0000-2800-0000A7000000}"/>
    <hyperlink ref="AA302" r:id="rId165" xr:uid="{00000000-0004-0000-2800-0000A8000000}"/>
    <hyperlink ref="C307" r:id="rId166" xr:uid="{00000000-0004-0000-2800-0000A9000000}"/>
    <hyperlink ref="P307" r:id="rId167" xr:uid="{00000000-0004-0000-2800-0000AA000000}"/>
    <hyperlink ref="AA307" r:id="rId168" xr:uid="{00000000-0004-0000-2800-0000AB000000}"/>
    <hyperlink ref="C317" r:id="rId169" xr:uid="{00000000-0004-0000-2800-0000AC000000}"/>
    <hyperlink ref="P317" r:id="rId170" xr:uid="{00000000-0004-0000-2800-0000AD000000}"/>
    <hyperlink ref="AA317" r:id="rId171" xr:uid="{00000000-0004-0000-2800-0000AE000000}"/>
    <hyperlink ref="C319" r:id="rId172" xr:uid="{00000000-0004-0000-2800-0000AF000000}"/>
    <hyperlink ref="P319" r:id="rId173" xr:uid="{00000000-0004-0000-2800-0000B0000000}"/>
    <hyperlink ref="AA319" r:id="rId174" xr:uid="{00000000-0004-0000-2800-0000B1000000}"/>
    <hyperlink ref="C324" r:id="rId175" xr:uid="{00000000-0004-0000-2800-0000B2000000}"/>
    <hyperlink ref="P324" r:id="rId176" xr:uid="{00000000-0004-0000-2800-0000B3000000}"/>
    <hyperlink ref="AA324" r:id="rId177" xr:uid="{00000000-0004-0000-2800-0000B4000000}"/>
    <hyperlink ref="C329" r:id="rId178" xr:uid="{00000000-0004-0000-2800-0000B5000000}"/>
    <hyperlink ref="P329" r:id="rId179" xr:uid="{00000000-0004-0000-2800-0000B6000000}"/>
    <hyperlink ref="AA329" r:id="rId180" xr:uid="{00000000-0004-0000-2800-0000B7000000}"/>
    <hyperlink ref="C337" r:id="rId181" xr:uid="{00000000-0004-0000-2800-0000B8000000}"/>
    <hyperlink ref="P337" r:id="rId182" xr:uid="{00000000-0004-0000-2800-0000B9000000}"/>
    <hyperlink ref="Q337" r:id="rId183" xr:uid="{00000000-0004-0000-2800-0000BA000000}"/>
    <hyperlink ref="AA337" r:id="rId184" xr:uid="{00000000-0004-0000-2800-0000BB000000}"/>
    <hyperlink ref="C346" r:id="rId185" xr:uid="{00000000-0004-0000-2800-0000BC000000}"/>
    <hyperlink ref="C351" r:id="rId186" xr:uid="{00000000-0004-0000-2800-0000BD000000}"/>
    <hyperlink ref="P351" r:id="rId187" xr:uid="{00000000-0004-0000-2800-0000BE000000}"/>
    <hyperlink ref="AA351" r:id="rId188" xr:uid="{00000000-0004-0000-2800-0000BF000000}"/>
    <hyperlink ref="C352" r:id="rId189" xr:uid="{00000000-0004-0000-2800-0000C0000000}"/>
    <hyperlink ref="P352" r:id="rId190" xr:uid="{00000000-0004-0000-2800-0000C1000000}"/>
    <hyperlink ref="AA352" r:id="rId191" xr:uid="{00000000-0004-0000-2800-0000C2000000}"/>
    <hyperlink ref="C355" r:id="rId192" xr:uid="{00000000-0004-0000-2800-0000C3000000}"/>
    <hyperlink ref="C359" r:id="rId193" xr:uid="{00000000-0004-0000-2800-0000C4000000}"/>
    <hyperlink ref="P359" r:id="rId194" xr:uid="{00000000-0004-0000-2800-0000C5000000}"/>
    <hyperlink ref="P364" r:id="rId195" xr:uid="{00000000-0004-0000-2800-0000C6000000}"/>
    <hyperlink ref="AA364" r:id="rId196" xr:uid="{00000000-0004-0000-2800-0000C7000000}"/>
    <hyperlink ref="C366" r:id="rId197" xr:uid="{00000000-0004-0000-2800-0000C8000000}"/>
    <hyperlink ref="C367" r:id="rId198" xr:uid="{00000000-0004-0000-2800-0000C9000000}"/>
    <hyperlink ref="P367" r:id="rId199" xr:uid="{00000000-0004-0000-2800-0000CA000000}"/>
    <hyperlink ref="AA367" r:id="rId200" xr:uid="{00000000-0004-0000-2800-0000CB000000}"/>
    <hyperlink ref="C374" r:id="rId201" xr:uid="{00000000-0004-0000-2800-0000CC000000}"/>
    <hyperlink ref="P376" r:id="rId202" xr:uid="{00000000-0004-0000-2800-0000CD000000}"/>
    <hyperlink ref="AA376" r:id="rId203" xr:uid="{00000000-0004-0000-2800-0000CE000000}"/>
    <hyperlink ref="P377" r:id="rId204" xr:uid="{00000000-0004-0000-2800-0000CF000000}"/>
    <hyperlink ref="AA377" r:id="rId205" xr:uid="{00000000-0004-0000-2800-0000D0000000}"/>
    <hyperlink ref="P381" r:id="rId206" xr:uid="{00000000-0004-0000-2800-0000D1000000}"/>
    <hyperlink ref="AA381" r:id="rId207" xr:uid="{00000000-0004-0000-2800-0000D2000000}"/>
    <hyperlink ref="P396" r:id="rId208" xr:uid="{00000000-0004-0000-2800-0000D3000000}"/>
    <hyperlink ref="AA396" r:id="rId209" xr:uid="{00000000-0004-0000-2800-0000D4000000}"/>
    <hyperlink ref="C400" r:id="rId210" xr:uid="{00000000-0004-0000-2800-0000D5000000}"/>
    <hyperlink ref="P407" r:id="rId211" xr:uid="{00000000-0004-0000-2800-0000D6000000}"/>
    <hyperlink ref="AA407" r:id="rId212" xr:uid="{00000000-0004-0000-2800-0000D7000000}"/>
    <hyperlink ref="P412" r:id="rId213" xr:uid="{00000000-0004-0000-2800-0000D8000000}"/>
    <hyperlink ref="AA412" r:id="rId214" xr:uid="{00000000-0004-0000-2800-0000D9000000}"/>
    <hyperlink ref="P413" r:id="rId215" xr:uid="{00000000-0004-0000-2800-0000DA000000}"/>
    <hyperlink ref="AA413" r:id="rId216" xr:uid="{00000000-0004-0000-2800-0000DB000000}"/>
    <hyperlink ref="P420" r:id="rId217" xr:uid="{00000000-0004-0000-2800-0000DC000000}"/>
    <hyperlink ref="AA420" r:id="rId218" xr:uid="{00000000-0004-0000-2800-0000DD000000}"/>
    <hyperlink ref="P423" r:id="rId219" xr:uid="{00000000-0004-0000-2800-0000DE000000}"/>
    <hyperlink ref="AA423" r:id="rId220" xr:uid="{00000000-0004-0000-2800-0000DF000000}"/>
    <hyperlink ref="C427" r:id="rId221" xr:uid="{00000000-0004-0000-2800-0000E0000000}"/>
    <hyperlink ref="P427" r:id="rId222" xr:uid="{00000000-0004-0000-2800-0000E1000000}"/>
    <hyperlink ref="AA427" r:id="rId223" xr:uid="{00000000-0004-0000-2800-0000E2000000}"/>
    <hyperlink ref="C428" r:id="rId224" xr:uid="{00000000-0004-0000-2800-0000E3000000}"/>
    <hyperlink ref="F428" r:id="rId225" xr:uid="{00000000-0004-0000-2800-0000E4000000}"/>
    <hyperlink ref="P429" r:id="rId226" xr:uid="{00000000-0004-0000-2800-0000E5000000}"/>
    <hyperlink ref="AA429" r:id="rId227" xr:uid="{00000000-0004-0000-2800-0000E6000000}"/>
    <hyperlink ref="P438" r:id="rId228" xr:uid="{00000000-0004-0000-2800-0000E7000000}"/>
    <hyperlink ref="AA438" r:id="rId229" xr:uid="{00000000-0004-0000-2800-0000E8000000}"/>
    <hyperlink ref="P470" r:id="rId230" xr:uid="{00000000-0004-0000-2800-0000E9000000}"/>
    <hyperlink ref="AA470" r:id="rId231" xr:uid="{00000000-0004-0000-2800-0000EA000000}"/>
    <hyperlink ref="C485" r:id="rId232" xr:uid="{00000000-0004-0000-2800-0000EB000000}"/>
    <hyperlink ref="P485" r:id="rId233" xr:uid="{00000000-0004-0000-2800-0000EC000000}"/>
    <hyperlink ref="AA485" r:id="rId234" xr:uid="{00000000-0004-0000-2800-0000ED000000}"/>
    <hyperlink ref="C488" r:id="rId235" xr:uid="{00000000-0004-0000-2800-0000EE000000}"/>
    <hyperlink ref="P492" r:id="rId236" xr:uid="{00000000-0004-0000-2800-0000EF000000}"/>
    <hyperlink ref="AA492" r:id="rId237" xr:uid="{00000000-0004-0000-2800-0000F0000000}"/>
    <hyperlink ref="C503" r:id="rId238" xr:uid="{00000000-0004-0000-2800-0000F1000000}"/>
    <hyperlink ref="P503" r:id="rId239" xr:uid="{00000000-0004-0000-2800-0000F2000000}"/>
    <hyperlink ref="P525" r:id="rId240" xr:uid="{00000000-0004-0000-2800-0000F3000000}"/>
    <hyperlink ref="AA525" r:id="rId241" xr:uid="{00000000-0004-0000-2800-0000F4000000}"/>
    <hyperlink ref="C530" r:id="rId242" xr:uid="{00000000-0004-0000-2800-0000F5000000}"/>
    <hyperlink ref="P530" r:id="rId243" xr:uid="{00000000-0004-0000-2800-0000F6000000}"/>
    <hyperlink ref="AA530" r:id="rId244" xr:uid="{00000000-0004-0000-2800-0000F7000000}"/>
    <hyperlink ref="P533" r:id="rId245" xr:uid="{00000000-0004-0000-2800-0000F8000000}"/>
    <hyperlink ref="AA533" r:id="rId246" xr:uid="{00000000-0004-0000-2800-0000F9000000}"/>
    <hyperlink ref="P542" r:id="rId247" xr:uid="{00000000-0004-0000-2800-0000FA000000}"/>
    <hyperlink ref="AA542" r:id="rId248" xr:uid="{00000000-0004-0000-2800-0000FB000000}"/>
    <hyperlink ref="P550" r:id="rId249" xr:uid="{00000000-0004-0000-2800-0000FC000000}"/>
    <hyperlink ref="AA550" r:id="rId250" xr:uid="{00000000-0004-0000-2800-0000FD000000}"/>
    <hyperlink ref="P551" r:id="rId251" xr:uid="{00000000-0004-0000-2800-0000FE000000}"/>
    <hyperlink ref="AA551" r:id="rId252" xr:uid="{00000000-0004-0000-2800-0000FF000000}"/>
    <hyperlink ref="P569" r:id="rId253" xr:uid="{00000000-0004-0000-2800-000000010000}"/>
    <hyperlink ref="AA569" r:id="rId254" xr:uid="{00000000-0004-0000-2800-000001010000}"/>
    <hyperlink ref="P576" r:id="rId255" xr:uid="{00000000-0004-0000-2800-000002010000}"/>
    <hyperlink ref="AA576" r:id="rId256" xr:uid="{00000000-0004-0000-2800-000003010000}"/>
    <hyperlink ref="C583" r:id="rId257" xr:uid="{00000000-0004-0000-2800-000004010000}"/>
    <hyperlink ref="C587" r:id="rId258" xr:uid="{00000000-0004-0000-2800-000005010000}"/>
    <hyperlink ref="P591" r:id="rId259" xr:uid="{00000000-0004-0000-2800-000006010000}"/>
    <hyperlink ref="AA591" r:id="rId260" xr:uid="{00000000-0004-0000-2800-000007010000}"/>
    <hyperlink ref="P601" r:id="rId261" xr:uid="{00000000-0004-0000-2800-000008010000}"/>
    <hyperlink ref="AA601" r:id="rId262" xr:uid="{00000000-0004-0000-2800-000009010000}"/>
    <hyperlink ref="P619" r:id="rId263" xr:uid="{00000000-0004-0000-2800-00000A010000}"/>
    <hyperlink ref="C620" r:id="rId264" xr:uid="{00000000-0004-0000-2800-00000B010000}"/>
    <hyperlink ref="P620" r:id="rId265" xr:uid="{00000000-0004-0000-2800-00000C010000}"/>
    <hyperlink ref="Q620" r:id="rId266" xr:uid="{00000000-0004-0000-2800-00000D010000}"/>
    <hyperlink ref="AA620" r:id="rId267" xr:uid="{00000000-0004-0000-2800-00000E010000}"/>
    <hyperlink ref="P621" r:id="rId268" xr:uid="{00000000-0004-0000-2800-00000F010000}"/>
    <hyperlink ref="AA621" r:id="rId269" xr:uid="{00000000-0004-0000-2800-000011010000}"/>
    <hyperlink ref="P624" r:id="rId270" xr:uid="{00000000-0004-0000-2800-000012010000}"/>
    <hyperlink ref="C635" r:id="rId271" xr:uid="{00000000-0004-0000-2800-000013010000}"/>
    <hyperlink ref="P635" r:id="rId272" xr:uid="{00000000-0004-0000-2800-000014010000}"/>
    <hyperlink ref="AA635" r:id="rId273" xr:uid="{00000000-0004-0000-2800-000015010000}"/>
    <hyperlink ref="C641" r:id="rId274" xr:uid="{00000000-0004-0000-2800-000016010000}"/>
    <hyperlink ref="D641" r:id="rId275" display="https://careers.nfumutual.co.uk/what-you-could-be-doing/financial-advisers" xr:uid="{00000000-0004-0000-2800-000017010000}"/>
    <hyperlink ref="P641" r:id="rId276" xr:uid="{00000000-0004-0000-2800-000018010000}"/>
    <hyperlink ref="Q641" r:id="rId277" xr:uid="{00000000-0004-0000-2800-000019010000}"/>
    <hyperlink ref="AA641" r:id="rId278" xr:uid="{00000000-0004-0000-2800-00001A010000}"/>
    <hyperlink ref="C642" r:id="rId279" xr:uid="{00000000-0004-0000-2800-00001B010000}"/>
    <hyperlink ref="C653" r:id="rId280" xr:uid="{00000000-0004-0000-2800-00001C010000}"/>
    <hyperlink ref="P654" r:id="rId281" xr:uid="{00000000-0004-0000-2800-00001D010000}"/>
    <hyperlink ref="AA654" r:id="rId282" xr:uid="{00000000-0004-0000-2800-00001E010000}"/>
    <hyperlink ref="P667" r:id="rId283" xr:uid="{00000000-0004-0000-2800-00001F010000}"/>
    <hyperlink ref="AA667" r:id="rId284" xr:uid="{00000000-0004-0000-2800-000020010000}"/>
    <hyperlink ref="P672" r:id="rId285" xr:uid="{00000000-0004-0000-2800-000021010000}"/>
    <hyperlink ref="AA672" r:id="rId286" xr:uid="{00000000-0004-0000-2800-000022010000}"/>
    <hyperlink ref="P681" r:id="rId287" location="expect" xr:uid="{00000000-0004-0000-2800-000023010000}"/>
    <hyperlink ref="AA681" r:id="rId288" xr:uid="{00000000-0004-0000-2800-000024010000}"/>
    <hyperlink ref="P687" r:id="rId289" xr:uid="{00000000-0004-0000-2800-000025010000}"/>
    <hyperlink ref="AA687" r:id="rId290" xr:uid="{00000000-0004-0000-2800-000026010000}"/>
    <hyperlink ref="P690" r:id="rId291" xr:uid="{00000000-0004-0000-2800-000027010000}"/>
    <hyperlink ref="AA690" r:id="rId292" xr:uid="{00000000-0004-0000-2800-000028010000}"/>
    <hyperlink ref="P691" r:id="rId293" xr:uid="{00000000-0004-0000-2800-000029010000}"/>
    <hyperlink ref="AA691" r:id="rId294" xr:uid="{00000000-0004-0000-2800-00002A010000}"/>
    <hyperlink ref="P693" r:id="rId295" xr:uid="{00000000-0004-0000-2800-00002B010000}"/>
    <hyperlink ref="AA693" r:id="rId296" xr:uid="{00000000-0004-0000-2800-00002C010000}"/>
    <hyperlink ref="P711" r:id="rId297" xr:uid="{00000000-0004-0000-2800-00002D010000}"/>
    <hyperlink ref="AA711" r:id="rId298" xr:uid="{00000000-0004-0000-2800-00002E010000}"/>
    <hyperlink ref="P714" r:id="rId299" xr:uid="{00000000-0004-0000-2800-00002F010000}"/>
    <hyperlink ref="AA714" r:id="rId300" xr:uid="{00000000-0004-0000-2800-000030010000}"/>
    <hyperlink ref="P729" r:id="rId301" xr:uid="{00000000-0004-0000-2800-000031010000}"/>
    <hyperlink ref="P735" r:id="rId302" xr:uid="{00000000-0004-0000-2800-000032010000}"/>
    <hyperlink ref="AA735" r:id="rId303" xr:uid="{00000000-0004-0000-2800-000033010000}"/>
    <hyperlink ref="C740" r:id="rId304" xr:uid="{00000000-0004-0000-2800-000034010000}"/>
    <hyperlink ref="P740" r:id="rId305" xr:uid="{00000000-0004-0000-2800-000035010000}"/>
    <hyperlink ref="AA740" r:id="rId306" xr:uid="{00000000-0004-0000-2800-000036010000}"/>
    <hyperlink ref="P751" r:id="rId307" xr:uid="{00000000-0004-0000-2800-000037010000}"/>
    <hyperlink ref="AA751" r:id="rId308" xr:uid="{00000000-0004-0000-2800-000038010000}"/>
    <hyperlink ref="P755" r:id="rId309" xr:uid="{00000000-0004-0000-2800-000039010000}"/>
    <hyperlink ref="AA755" r:id="rId310" xr:uid="{00000000-0004-0000-2800-00003A010000}"/>
    <hyperlink ref="P785" r:id="rId311" xr:uid="{00000000-0004-0000-2800-00003B010000}"/>
    <hyperlink ref="AA785" r:id="rId312" xr:uid="{00000000-0004-0000-2800-00003C010000}"/>
    <hyperlink ref="P787" r:id="rId313" xr:uid="{00000000-0004-0000-2800-00003D010000}"/>
    <hyperlink ref="AA787" r:id="rId314" xr:uid="{00000000-0004-0000-2800-00003E010000}"/>
    <hyperlink ref="P788" r:id="rId315" xr:uid="{00000000-0004-0000-2800-00003F010000}"/>
    <hyperlink ref="P803" r:id="rId316" xr:uid="{00000000-0004-0000-2800-000040010000}"/>
    <hyperlink ref="AA803" r:id="rId317" xr:uid="{00000000-0004-0000-2800-000041010000}"/>
    <hyperlink ref="P840" r:id="rId318" xr:uid="{00000000-0004-0000-2800-000042010000}"/>
    <hyperlink ref="AA840" r:id="rId319" xr:uid="{00000000-0004-0000-2800-000043010000}"/>
    <hyperlink ref="P848" r:id="rId320" xr:uid="{00000000-0004-0000-2800-000044010000}"/>
    <hyperlink ref="AA848" r:id="rId321" xr:uid="{00000000-0004-0000-2800-000045010000}"/>
    <hyperlink ref="P850" r:id="rId322" xr:uid="{00000000-0004-0000-2800-000046010000}"/>
    <hyperlink ref="AA850" r:id="rId323" xr:uid="{00000000-0004-0000-2800-000047010000}"/>
    <hyperlink ref="AD850" r:id="rId324" xr:uid="{00000000-0004-0000-2800-000048010000}"/>
    <hyperlink ref="C854" r:id="rId325" xr:uid="{00000000-0004-0000-2800-000049010000}"/>
    <hyperlink ref="C865" r:id="rId326" xr:uid="{00000000-0004-0000-2800-00004A010000}"/>
    <hyperlink ref="C867" r:id="rId327" xr:uid="{00000000-0004-0000-2800-00004B010000}"/>
    <hyperlink ref="C880" r:id="rId328" xr:uid="{00000000-0004-0000-2800-00004C010000}"/>
    <hyperlink ref="P880" r:id="rId329" xr:uid="{00000000-0004-0000-2800-00004D010000}"/>
    <hyperlink ref="AA880" r:id="rId330" xr:uid="{00000000-0004-0000-2800-00004E010000}"/>
    <hyperlink ref="P883" r:id="rId331" xr:uid="{00000000-0004-0000-2800-00004F010000}"/>
    <hyperlink ref="AA883" r:id="rId332" xr:uid="{00000000-0004-0000-2800-000050010000}"/>
    <hyperlink ref="P889" r:id="rId333" xr:uid="{00000000-0004-0000-2800-000051010000}"/>
    <hyperlink ref="AA889" r:id="rId334" xr:uid="{00000000-0004-0000-2800-000052010000}"/>
    <hyperlink ref="P907" r:id="rId335" xr:uid="{00000000-0004-0000-2800-000053010000}"/>
    <hyperlink ref="Q907" r:id="rId336" xr:uid="{00000000-0004-0000-2800-000054010000}"/>
    <hyperlink ref="AA907" r:id="rId337" xr:uid="{00000000-0004-0000-2800-000055010000}"/>
    <hyperlink ref="P913" r:id="rId338" xr:uid="{00000000-0004-0000-2800-000056010000}"/>
    <hyperlink ref="AA913" r:id="rId339" xr:uid="{00000000-0004-0000-2800-000057010000}"/>
    <hyperlink ref="P925" r:id="rId340" xr:uid="{00000000-0004-0000-2800-000058010000}"/>
    <hyperlink ref="P934" r:id="rId341" xr:uid="{00000000-0004-0000-2800-000059010000}"/>
    <hyperlink ref="AA934" r:id="rId342" xr:uid="{00000000-0004-0000-2800-00005A010000}"/>
    <hyperlink ref="P936" r:id="rId343" xr:uid="{00000000-0004-0000-2800-00005B010000}"/>
    <hyperlink ref="AA936" r:id="rId344" xr:uid="{00000000-0004-0000-2800-00005C010000}"/>
    <hyperlink ref="P943" r:id="rId345" xr:uid="{00000000-0004-0000-2800-00005D010000}"/>
    <hyperlink ref="AA943" r:id="rId346" xr:uid="{00000000-0004-0000-2800-00005E010000}"/>
    <hyperlink ref="AA949" r:id="rId347" xr:uid="{00000000-0004-0000-2800-00005F010000}"/>
    <hyperlink ref="P960" r:id="rId348" xr:uid="{00000000-0004-0000-2800-000060010000}"/>
    <hyperlink ref="AA960" r:id="rId349" xr:uid="{00000000-0004-0000-2800-000061010000}"/>
    <hyperlink ref="P986" r:id="rId350" xr:uid="{00000000-0004-0000-2800-000062010000}"/>
    <hyperlink ref="P994" r:id="rId351" xr:uid="{00000000-0004-0000-2800-000063010000}"/>
    <hyperlink ref="AA994" r:id="rId352" xr:uid="{00000000-0004-0000-2800-000064010000}"/>
    <hyperlink ref="C995" r:id="rId353" xr:uid="{00000000-0004-0000-2800-000065010000}"/>
    <hyperlink ref="P995" r:id="rId354" xr:uid="{00000000-0004-0000-2800-000066010000}"/>
    <hyperlink ref="AA995" r:id="rId355" xr:uid="{00000000-0004-0000-2800-000067010000}"/>
    <hyperlink ref="C1005" r:id="rId356" xr:uid="{00000000-0004-0000-2800-000068010000}"/>
    <hyperlink ref="P1005" r:id="rId357" xr:uid="{00000000-0004-0000-2800-000069010000}"/>
    <hyperlink ref="AA1005" r:id="rId358" xr:uid="{00000000-0004-0000-2800-00006A010000}"/>
    <hyperlink ref="C1013" r:id="rId359" xr:uid="{00000000-0004-0000-2800-00006B010000}"/>
    <hyperlink ref="C1017" r:id="rId360" xr:uid="{00000000-0004-0000-2800-00006C010000}"/>
    <hyperlink ref="C1030" r:id="rId361" xr:uid="{00000000-0004-0000-2800-00006D010000}"/>
    <hyperlink ref="P1030" r:id="rId362" xr:uid="{00000000-0004-0000-2800-00006E010000}"/>
    <hyperlink ref="AA1030" r:id="rId363" xr:uid="{00000000-0004-0000-2800-00006F010000}"/>
    <hyperlink ref="AD1030" r:id="rId364" xr:uid="{00000000-0004-0000-2800-000070010000}"/>
    <hyperlink ref="C1042" r:id="rId365" xr:uid="{00000000-0004-0000-2800-000071010000}"/>
    <hyperlink ref="P1054" r:id="rId366" xr:uid="{00000000-0004-0000-2800-000072010000}"/>
    <hyperlink ref="AA1054" r:id="rId367" xr:uid="{00000000-0004-0000-2800-000073010000}"/>
    <hyperlink ref="C1066" r:id="rId368" xr:uid="{00000000-0004-0000-2800-000074010000}"/>
    <hyperlink ref="P1066" r:id="rId369" xr:uid="{00000000-0004-0000-2800-000075010000}"/>
    <hyperlink ref="AA1066" r:id="rId370" xr:uid="{00000000-0004-0000-2800-000076010000}"/>
    <hyperlink ref="C1083" r:id="rId371" xr:uid="{00000000-0004-0000-2800-000077010000}"/>
    <hyperlink ref="P1091" r:id="rId372" xr:uid="{00000000-0004-0000-2800-000078010000}"/>
    <hyperlink ref="AA1091" r:id="rId373" xr:uid="{00000000-0004-0000-2800-000079010000}"/>
    <hyperlink ref="P1093" r:id="rId374" xr:uid="{00000000-0004-0000-2800-00007A010000}"/>
    <hyperlink ref="AA1093" r:id="rId375" xr:uid="{00000000-0004-0000-2800-00007B010000}"/>
    <hyperlink ref="P1096" r:id="rId376" xr:uid="{00000000-0004-0000-2800-00007C010000}"/>
    <hyperlink ref="AA1096" r:id="rId377" xr:uid="{00000000-0004-0000-2800-00007D010000}"/>
    <hyperlink ref="C1114" r:id="rId378" xr:uid="{00000000-0004-0000-2800-00007E010000}"/>
    <hyperlink ref="P1118" r:id="rId379" xr:uid="{00000000-0004-0000-2800-00007F010000}"/>
    <hyperlink ref="AA1118" r:id="rId380" xr:uid="{00000000-0004-0000-2800-000080010000}"/>
    <hyperlink ref="P1126" r:id="rId381" xr:uid="{00000000-0004-0000-2800-000081010000}"/>
    <hyperlink ref="AA1126" r:id="rId382" xr:uid="{00000000-0004-0000-2800-000082010000}"/>
    <hyperlink ref="C1130" r:id="rId383" xr:uid="{00000000-0004-0000-2800-000083010000}"/>
    <hyperlink ref="P1130" r:id="rId384" xr:uid="{00000000-0004-0000-2800-000084010000}"/>
    <hyperlink ref="AA1130" r:id="rId385" xr:uid="{00000000-0004-0000-2800-000085010000}"/>
    <hyperlink ref="C1150" r:id="rId386" xr:uid="{00000000-0004-0000-2800-000086010000}"/>
    <hyperlink ref="P1150" r:id="rId387" xr:uid="{00000000-0004-0000-2800-000087010000}"/>
    <hyperlink ref="AA1150" r:id="rId388" xr:uid="{00000000-0004-0000-2800-000088010000}"/>
    <hyperlink ref="P1158" r:id="rId389" xr:uid="{00000000-0004-0000-2800-000089010000}"/>
    <hyperlink ref="AA1158" r:id="rId390" xr:uid="{00000000-0004-0000-2800-00008A010000}"/>
    <hyperlink ref="P1165" r:id="rId391" xr:uid="{00000000-0004-0000-2800-00008B010000}"/>
    <hyperlink ref="AA1165" r:id="rId392" xr:uid="{00000000-0004-0000-2800-00008C010000}"/>
    <hyperlink ref="C1169" r:id="rId393" xr:uid="{00000000-0004-0000-2800-00008D010000}"/>
    <hyperlink ref="P1171" r:id="rId394" xr:uid="{00000000-0004-0000-2800-00008E010000}"/>
    <hyperlink ref="AA1171" r:id="rId395" xr:uid="{00000000-0004-0000-2800-00008F010000}"/>
    <hyperlink ref="P1176" r:id="rId396" xr:uid="{00000000-0004-0000-2800-000090010000}"/>
    <hyperlink ref="AA1176" r:id="rId397" xr:uid="{00000000-0004-0000-2800-000091010000}"/>
    <hyperlink ref="P1189" r:id="rId398" xr:uid="{00000000-0004-0000-2800-000092010000}"/>
    <hyperlink ref="Q1189" r:id="rId399" xr:uid="{00000000-0004-0000-2800-000093010000}"/>
    <hyperlink ref="P1206" r:id="rId400" xr:uid="{00000000-0004-0000-2800-000094010000}"/>
    <hyperlink ref="Q1206" r:id="rId401" xr:uid="{00000000-0004-0000-2800-000095010000}"/>
    <hyperlink ref="C1263" r:id="rId402" xr:uid="{00000000-0004-0000-2800-000096010000}"/>
    <hyperlink ref="P1263" r:id="rId403" xr:uid="{00000000-0004-0000-2800-000097010000}"/>
    <hyperlink ref="Q1263" r:id="rId404" xr:uid="{00000000-0004-0000-2800-000098010000}"/>
    <hyperlink ref="P1277" r:id="rId405" xr:uid="{00000000-0004-0000-2800-000099010000}"/>
    <hyperlink ref="Q1277" r:id="rId406" xr:uid="{00000000-0004-0000-2800-00009A010000}"/>
    <hyperlink ref="C1278" r:id="rId407" xr:uid="{00000000-0004-0000-2800-00009B010000}"/>
    <hyperlink ref="P1303" r:id="rId408" xr:uid="{00000000-0004-0000-2800-00009C010000}"/>
    <hyperlink ref="Q1303" r:id="rId409" xr:uid="{00000000-0004-0000-2800-00009D010000}"/>
    <hyperlink ref="P1306" r:id="rId410" xr:uid="{00000000-0004-0000-2800-00009E010000}"/>
    <hyperlink ref="Q1306" r:id="rId411" xr:uid="{00000000-0004-0000-2800-00009F010000}"/>
    <hyperlink ref="P1315" r:id="rId412" xr:uid="{00000000-0004-0000-2800-0000A0010000}"/>
    <hyperlink ref="Q1315" r:id="rId413" xr:uid="{00000000-0004-0000-2800-0000A1010000}"/>
    <hyperlink ref="P1326" r:id="rId414" xr:uid="{00000000-0004-0000-2800-0000A2010000}"/>
    <hyperlink ref="AA1326" r:id="rId415" xr:uid="{00000000-0004-0000-2800-0000A3010000}"/>
    <hyperlink ref="P1345" r:id="rId416" xr:uid="{00000000-0004-0000-2800-0000A4010000}"/>
    <hyperlink ref="AA1345" r:id="rId417" xr:uid="{00000000-0004-0000-2800-0000A5010000}"/>
    <hyperlink ref="P1361" r:id="rId418" xr:uid="{00000000-0004-0000-2800-0000A6010000}"/>
    <hyperlink ref="AA1361" r:id="rId419" xr:uid="{00000000-0004-0000-2800-0000A7010000}"/>
    <hyperlink ref="C1374" r:id="rId420" xr:uid="{00000000-0004-0000-2800-0000A8010000}"/>
    <hyperlink ref="P1414" r:id="rId421" xr:uid="{00000000-0004-0000-2800-0000A9010000}"/>
    <hyperlink ref="AA1414" r:id="rId422" xr:uid="{00000000-0004-0000-2800-0000AA010000}"/>
    <hyperlink ref="C1416" r:id="rId423" xr:uid="{00000000-0004-0000-2800-0000AB010000}"/>
    <hyperlink ref="P1416" r:id="rId424" xr:uid="{00000000-0004-0000-2800-0000AC010000}"/>
    <hyperlink ref="AA1416" r:id="rId425" xr:uid="{00000000-0004-0000-2800-0000AE010000}"/>
    <hyperlink ref="C1434" r:id="rId426" xr:uid="{00000000-0004-0000-2800-0000AF010000}"/>
    <hyperlink ref="P1434" r:id="rId427" xr:uid="{00000000-0004-0000-2800-0000B0010000}"/>
    <hyperlink ref="AA1434" r:id="rId428" xr:uid="{00000000-0004-0000-2800-0000B2010000}"/>
    <hyperlink ref="C1441" r:id="rId429" xr:uid="{00000000-0004-0000-2800-0000B3010000}"/>
    <hyperlink ref="C1444" r:id="rId430" xr:uid="{00000000-0004-0000-2800-0000B4010000}"/>
    <hyperlink ref="P1444" r:id="rId431" xr:uid="{00000000-0004-0000-2800-0000B5010000}"/>
    <hyperlink ref="AA1444" r:id="rId432" xr:uid="{00000000-0004-0000-2800-0000B6010000}"/>
    <hyperlink ref="AD1444" r:id="rId433" xr:uid="{00000000-0004-0000-2800-0000B7010000}"/>
    <hyperlink ref="C1496" r:id="rId434" xr:uid="{00000000-0004-0000-2800-0000B8010000}"/>
    <hyperlink ref="P1496" r:id="rId435" xr:uid="{00000000-0004-0000-2800-0000B9010000}"/>
    <hyperlink ref="AD1496" r:id="rId436" xr:uid="{00000000-0004-0000-2800-0000BA010000}"/>
    <hyperlink ref="C1539" r:id="rId437" xr:uid="{00000000-0004-0000-2800-0000BB010000}"/>
    <hyperlink ref="P1539" r:id="rId438" xr:uid="{00000000-0004-0000-2800-0000BC010000}"/>
    <hyperlink ref="AA1539" r:id="rId439" xr:uid="{00000000-0004-0000-2800-0000BD010000}"/>
    <hyperlink ref="P1556" r:id="rId440" xr:uid="{00000000-0004-0000-2800-0000BE010000}"/>
    <hyperlink ref="AA1556" r:id="rId441" xr:uid="{00000000-0004-0000-2800-0000BF010000}"/>
    <hyperlink ref="P1558" r:id="rId442" xr:uid="{00000000-0004-0000-2800-0000C0010000}"/>
    <hyperlink ref="AA1558" r:id="rId443" xr:uid="{00000000-0004-0000-2800-0000C1010000}"/>
    <hyperlink ref="C1562" r:id="rId444" xr:uid="{00000000-0004-0000-2800-0000C2010000}"/>
    <hyperlink ref="P1562" r:id="rId445" xr:uid="{00000000-0004-0000-2800-0000C3010000}"/>
    <hyperlink ref="AA1562" r:id="rId446" xr:uid="{00000000-0004-0000-2800-0000C4010000}"/>
    <hyperlink ref="P1570" r:id="rId447" xr:uid="{00000000-0004-0000-2800-0000C5010000}"/>
    <hyperlink ref="AA1570" r:id="rId448" xr:uid="{00000000-0004-0000-2800-0000C6010000}"/>
    <hyperlink ref="P1609" r:id="rId449" xr:uid="{00000000-0004-0000-2800-0000C7010000}"/>
    <hyperlink ref="AA1609" r:id="rId450" xr:uid="{00000000-0004-0000-2800-0000C9010000}"/>
    <hyperlink ref="C1614" r:id="rId451" xr:uid="{00000000-0004-0000-2800-0000CA010000}"/>
    <hyperlink ref="P1633" r:id="rId452" xr:uid="{00000000-0004-0000-2800-0000CB010000}"/>
    <hyperlink ref="AA1633" r:id="rId453" xr:uid="{00000000-0004-0000-2800-0000CC010000}"/>
    <hyperlink ref="C1637" r:id="rId454" xr:uid="{00000000-0004-0000-2800-0000CD010000}"/>
    <hyperlink ref="P1637" r:id="rId455" xr:uid="{00000000-0004-0000-2800-0000CE010000}"/>
    <hyperlink ref="AA1637" r:id="rId456" xr:uid="{00000000-0004-0000-2800-0000D0010000}"/>
    <hyperlink ref="C1639" r:id="rId457" xr:uid="{00000000-0004-0000-2800-0000D1010000}"/>
    <hyperlink ref="P1639" r:id="rId458" xr:uid="{00000000-0004-0000-2800-0000D2010000}"/>
    <hyperlink ref="AA1639" r:id="rId459" xr:uid="{00000000-0004-0000-2800-0000D4010000}"/>
    <hyperlink ref="C1649" r:id="rId460" xr:uid="{00000000-0004-0000-2800-0000D5010000}"/>
    <hyperlink ref="C1683" r:id="rId461" xr:uid="{00000000-0004-0000-2800-0000D6010000}"/>
    <hyperlink ref="D1683" r:id="rId462" display="https://register.fca.org.uk/s/firm?id=001b000000Mfbv9AAB" xr:uid="{00000000-0004-0000-2800-0000D7010000}"/>
    <hyperlink ref="P1683" r:id="rId463" xr:uid="{00000000-0004-0000-2800-0000D8010000}"/>
    <hyperlink ref="C1688" r:id="rId464" xr:uid="{00000000-0004-0000-2800-0000D9010000}"/>
    <hyperlink ref="P1688" r:id="rId465" location="our-fees" xr:uid="{00000000-0004-0000-2800-0000DA010000}"/>
    <hyperlink ref="AA1688" r:id="rId466" xr:uid="{00000000-0004-0000-2800-0000DB010000}"/>
    <hyperlink ref="C1757" r:id="rId467" xr:uid="{00000000-0004-0000-2800-0000DC010000}"/>
    <hyperlink ref="P1757" r:id="rId468" xr:uid="{00000000-0004-0000-2800-0000DD010000}"/>
    <hyperlink ref="AA1757" r:id="rId469" xr:uid="{00000000-0004-0000-2800-0000DE010000}"/>
    <hyperlink ref="C1759" r:id="rId470" xr:uid="{00000000-0004-0000-2800-0000DF010000}"/>
    <hyperlink ref="P1759" r:id="rId471" xr:uid="{00000000-0004-0000-2800-0000E0010000}"/>
    <hyperlink ref="AA1759" r:id="rId472" xr:uid="{00000000-0004-0000-2800-0000E1010000}"/>
    <hyperlink ref="C1760" r:id="rId473" xr:uid="{00000000-0004-0000-2800-0000E2010000}"/>
    <hyperlink ref="P1760" r:id="rId474" xr:uid="{00000000-0004-0000-2800-0000E3010000}"/>
    <hyperlink ref="AA1760" r:id="rId475" xr:uid="{00000000-0004-0000-2800-0000E4010000}"/>
    <hyperlink ref="C1770" r:id="rId476" xr:uid="{00000000-0004-0000-2800-0000E5010000}"/>
    <hyperlink ref="P1770" r:id="rId477" xr:uid="{00000000-0004-0000-2800-0000E6010000}"/>
    <hyperlink ref="AA1770" r:id="rId478" xr:uid="{00000000-0004-0000-2800-0000E7010000}"/>
    <hyperlink ref="C1791" r:id="rId479" xr:uid="{00000000-0004-0000-2800-0000E8010000}"/>
    <hyperlink ref="P1791" r:id="rId480" xr:uid="{00000000-0004-0000-2800-0000E9010000}"/>
    <hyperlink ref="AA1791" r:id="rId481" xr:uid="{00000000-0004-0000-2800-0000EA010000}"/>
    <hyperlink ref="C1804" r:id="rId482" xr:uid="{00000000-0004-0000-2800-0000EB010000}"/>
    <hyperlink ref="P1804" r:id="rId483" xr:uid="{00000000-0004-0000-2800-0000EC010000}"/>
    <hyperlink ref="AA1804" r:id="rId484" xr:uid="{00000000-0004-0000-2800-0000ED010000}"/>
    <hyperlink ref="C1821" r:id="rId485" xr:uid="{00000000-0004-0000-2800-0000EE010000}"/>
    <hyperlink ref="P1821" r:id="rId486" xr:uid="{00000000-0004-0000-2800-0000EF010000}"/>
    <hyperlink ref="AA1821" r:id="rId487" xr:uid="{00000000-0004-0000-2800-0000F0010000}"/>
    <hyperlink ref="C1826" r:id="rId488" xr:uid="{00000000-0004-0000-2800-0000F1010000}"/>
    <hyperlink ref="AA1826" r:id="rId489" xr:uid="{00000000-0004-0000-2800-0000F2010000}"/>
    <hyperlink ref="C1828" r:id="rId490" xr:uid="{00000000-0004-0000-2800-0000F3010000}"/>
    <hyperlink ref="P1828" r:id="rId491" xr:uid="{00000000-0004-0000-2800-0000F4010000}"/>
    <hyperlink ref="AA1828" r:id="rId492" xr:uid="{00000000-0004-0000-2800-0000F5010000}"/>
    <hyperlink ref="P1840" r:id="rId493" xr:uid="{00000000-0004-0000-2800-0000F6010000}"/>
    <hyperlink ref="C1851" r:id="rId494" xr:uid="{00000000-0004-0000-2800-0000F7010000}"/>
    <hyperlink ref="P1851" r:id="rId495" xr:uid="{00000000-0004-0000-2800-0000F8010000}"/>
    <hyperlink ref="AA1851" r:id="rId496" xr:uid="{00000000-0004-0000-2800-0000F9010000}"/>
    <hyperlink ref="C1852" r:id="rId497" xr:uid="{00000000-0004-0000-2800-0000FA010000}"/>
    <hyperlink ref="P1852" r:id="rId498" xr:uid="{00000000-0004-0000-2800-0000FB010000}"/>
    <hyperlink ref="AA1852" r:id="rId499" xr:uid="{00000000-0004-0000-2800-0000FC010000}"/>
    <hyperlink ref="C1891" r:id="rId500" xr:uid="{00000000-0004-0000-2800-0000FD010000}"/>
    <hyperlink ref="P1891" r:id="rId501" xr:uid="{00000000-0004-0000-2800-0000FE010000}"/>
    <hyperlink ref="AA1891" r:id="rId502" xr:uid="{00000000-0004-0000-2800-0000FF010000}"/>
    <hyperlink ref="P1917" r:id="rId503" xr:uid="{00000000-0004-0000-2800-000000020000}"/>
    <hyperlink ref="Q1917" r:id="rId504" xr:uid="{00000000-0004-0000-2800-000001020000}"/>
    <hyperlink ref="AA1917" r:id="rId505" xr:uid="{00000000-0004-0000-2800-000002020000}"/>
    <hyperlink ref="C1923" r:id="rId506" xr:uid="{00000000-0004-0000-2800-000003020000}"/>
    <hyperlink ref="P1935" r:id="rId507" xr:uid="{00000000-0004-0000-2800-000004020000}"/>
    <hyperlink ref="Q1935" r:id="rId508" xr:uid="{00000000-0004-0000-2800-000005020000}"/>
    <hyperlink ref="P1957" r:id="rId509" xr:uid="{00000000-0004-0000-2800-000006020000}"/>
    <hyperlink ref="Q1957" r:id="rId510" xr:uid="{00000000-0004-0000-2800-000007020000}"/>
    <hyperlink ref="AA1957" r:id="rId511" xr:uid="{00000000-0004-0000-2800-000008020000}"/>
    <hyperlink ref="C1967" r:id="rId512" location="wealth-management-services" xr:uid="{00000000-0004-0000-2800-000009020000}"/>
    <hyperlink ref="P1976" r:id="rId513" xr:uid="{00000000-0004-0000-2800-00000A020000}"/>
    <hyperlink ref="Q1976" r:id="rId514" xr:uid="{00000000-0004-0000-2800-00000B020000}"/>
    <hyperlink ref="P2013" r:id="rId515" xr:uid="{00000000-0004-0000-2800-00000C020000}"/>
    <hyperlink ref="Q2013" r:id="rId516" xr:uid="{00000000-0004-0000-2800-00000D020000}"/>
    <hyperlink ref="P2048" r:id="rId517" xr:uid="{00000000-0004-0000-2800-00000E020000}"/>
    <hyperlink ref="Q2048" r:id="rId518" xr:uid="{00000000-0004-0000-2800-00000F020000}"/>
    <hyperlink ref="P2058" r:id="rId519" xr:uid="{00000000-0004-0000-2800-000010020000}"/>
    <hyperlink ref="Q2058" r:id="rId520" xr:uid="{00000000-0004-0000-2800-000011020000}"/>
    <hyperlink ref="P2099" r:id="rId521" xr:uid="{00000000-0004-0000-2800-000012020000}"/>
    <hyperlink ref="Q2099" r:id="rId522" xr:uid="{00000000-0004-0000-2800-000013020000}"/>
    <hyperlink ref="AA2099" r:id="rId523" xr:uid="{00000000-0004-0000-2800-000014020000}"/>
    <hyperlink ref="P2121" r:id="rId524" xr:uid="{00000000-0004-0000-2800-000015020000}"/>
    <hyperlink ref="C2124" r:id="rId525" xr:uid="{00000000-0004-0000-2800-000016020000}"/>
    <hyperlink ref="P2135" r:id="rId526" xr:uid="{00000000-0004-0000-2800-000017020000}"/>
    <hyperlink ref="Q2135" r:id="rId527" xr:uid="{00000000-0004-0000-2800-000018020000}"/>
    <hyperlink ref="P2138" r:id="rId528" xr:uid="{00000000-0004-0000-2800-000019020000}"/>
    <hyperlink ref="Q2138" r:id="rId529" xr:uid="{00000000-0004-0000-2800-00001A020000}"/>
    <hyperlink ref="AA2138" r:id="rId530" xr:uid="{00000000-0004-0000-2800-00001B020000}"/>
    <hyperlink ref="P2174" r:id="rId531" xr:uid="{00000000-0004-0000-2800-00001C020000}"/>
    <hyperlink ref="AD2174" r:id="rId532" xr:uid="{00000000-0004-0000-2800-00001D020000}"/>
    <hyperlink ref="P2175" r:id="rId533" xr:uid="{00000000-0004-0000-2800-00001E020000}"/>
    <hyperlink ref="Q2175" r:id="rId534" xr:uid="{00000000-0004-0000-2800-00001F020000}"/>
    <hyperlink ref="AA2175" r:id="rId535" xr:uid="{00000000-0004-0000-2800-000020020000}"/>
    <hyperlink ref="P2181" r:id="rId536" xr:uid="{00000000-0004-0000-2800-000021020000}"/>
    <hyperlink ref="Q2181" r:id="rId537" xr:uid="{00000000-0004-0000-2800-000022020000}"/>
    <hyperlink ref="AA2181" r:id="rId538" xr:uid="{00000000-0004-0000-2800-000023020000}"/>
    <hyperlink ref="P2210" r:id="rId539" xr:uid="{00000000-0004-0000-2800-000024020000}"/>
    <hyperlink ref="AA2210" r:id="rId540" xr:uid="{00000000-0004-0000-2800-000025020000}"/>
    <hyperlink ref="P2231" r:id="rId541" xr:uid="{00000000-0004-0000-2800-000026020000}"/>
    <hyperlink ref="AA2231" r:id="rId542" xr:uid="{00000000-0004-0000-2800-000027020000}"/>
    <hyperlink ref="P2233" r:id="rId543" xr:uid="{00000000-0004-0000-2800-000028020000}"/>
    <hyperlink ref="AA2233" r:id="rId544" xr:uid="{00000000-0004-0000-2800-000029020000}"/>
    <hyperlink ref="C2271" r:id="rId545" xr:uid="{00000000-0004-0000-2800-00002A020000}"/>
    <hyperlink ref="P2271" r:id="rId546" xr:uid="{00000000-0004-0000-2800-00002B020000}"/>
    <hyperlink ref="AA2271" r:id="rId547" xr:uid="{00000000-0004-0000-2800-00002C020000}"/>
    <hyperlink ref="C2294" r:id="rId548" xr:uid="{00000000-0004-0000-2800-00002D020000}"/>
    <hyperlink ref="P2321" r:id="rId549" xr:uid="{00000000-0004-0000-2800-00002E020000}"/>
    <hyperlink ref="AA2321" r:id="rId550" xr:uid="{00000000-0004-0000-2800-00002F020000}"/>
    <hyperlink ref="D2332" r:id="rId551" display="https://register.fca.org.uk/s/firm?id=001b000000MfFfKAAV" xr:uid="{00000000-0004-0000-2800-000030020000}"/>
    <hyperlink ref="P2332" r:id="rId552" xr:uid="{00000000-0004-0000-2800-000031020000}"/>
    <hyperlink ref="AA2332" r:id="rId553" xr:uid="{00000000-0004-0000-2800-000032020000}"/>
    <hyperlink ref="C2387" r:id="rId554" xr:uid="{00000000-0004-0000-2800-000033020000}"/>
    <hyperlink ref="P2413" r:id="rId555" xr:uid="{00000000-0004-0000-2800-000034020000}"/>
    <hyperlink ref="AA2413" r:id="rId556" xr:uid="{00000000-0004-0000-2800-000035020000}"/>
    <hyperlink ref="C2416" r:id="rId557" xr:uid="{00000000-0004-0000-2800-000036020000}"/>
    <hyperlink ref="P2421" r:id="rId558" xr:uid="{00000000-0004-0000-2800-000037020000}"/>
    <hyperlink ref="AA2421" r:id="rId559" xr:uid="{00000000-0004-0000-2800-000038020000}"/>
    <hyperlink ref="P2423" r:id="rId560" xr:uid="{00000000-0004-0000-2800-000039020000}"/>
    <hyperlink ref="AA2423" r:id="rId561" xr:uid="{00000000-0004-0000-2800-00003A020000}"/>
    <hyperlink ref="P2451" r:id="rId562" xr:uid="{00000000-0004-0000-2800-00003B020000}"/>
    <hyperlink ref="AA2451" r:id="rId563" xr:uid="{00000000-0004-0000-2800-00003C020000}"/>
    <hyperlink ref="P2474" r:id="rId564" xr:uid="{00000000-0004-0000-2800-00003D020000}"/>
    <hyperlink ref="AA2474" r:id="rId565" xr:uid="{00000000-0004-0000-2800-00003E020000}"/>
    <hyperlink ref="AA2475" r:id="rId566" xr:uid="{00000000-0004-0000-2800-00003F020000}"/>
    <hyperlink ref="AA2500" r:id="rId567" xr:uid="{00000000-0004-0000-2800-000040020000}"/>
    <hyperlink ref="P2528" r:id="rId568" xr:uid="{00000000-0004-0000-2800-000041020000}"/>
    <hyperlink ref="AA2528" r:id="rId569" xr:uid="{00000000-0004-0000-2800-000042020000}"/>
    <hyperlink ref="P2537" r:id="rId570" xr:uid="{00000000-0004-0000-2800-000043020000}"/>
    <hyperlink ref="Q2537" r:id="rId571" xr:uid="{00000000-0004-0000-2800-000044020000}"/>
    <hyperlink ref="AA2537" r:id="rId572" xr:uid="{00000000-0004-0000-2800-000045020000}"/>
    <hyperlink ref="C2539" r:id="rId573" xr:uid="{00000000-0004-0000-2800-000046020000}"/>
    <hyperlink ref="P2539" r:id="rId574" xr:uid="{00000000-0004-0000-2800-000047020000}"/>
    <hyperlink ref="AA2539" r:id="rId575" xr:uid="{00000000-0004-0000-2800-000048020000}"/>
    <hyperlink ref="P2549" r:id="rId576" xr:uid="{00000000-0004-0000-2800-000049020000}"/>
    <hyperlink ref="AA2549" r:id="rId577" xr:uid="{00000000-0004-0000-2800-00004A020000}"/>
    <hyperlink ref="P2586" r:id="rId578" xr:uid="{00000000-0004-0000-2800-00004B020000}"/>
    <hyperlink ref="AA2586" r:id="rId579" xr:uid="{00000000-0004-0000-2800-00004C020000}"/>
    <hyperlink ref="P2588" r:id="rId580" xr:uid="{00000000-0004-0000-2800-00004D020000}"/>
    <hyperlink ref="AA2588" r:id="rId581" xr:uid="{00000000-0004-0000-2800-00004E020000}"/>
    <hyperlink ref="P2601" r:id="rId582" xr:uid="{00000000-0004-0000-2800-00004F020000}"/>
    <hyperlink ref="AA2601" r:id="rId583" xr:uid="{00000000-0004-0000-2800-000050020000}"/>
    <hyperlink ref="P2614" r:id="rId584" xr:uid="{00000000-0004-0000-2800-000051020000}"/>
    <hyperlink ref="AA2614" r:id="rId585" xr:uid="{00000000-0004-0000-2800-000052020000}"/>
    <hyperlink ref="P2625" r:id="rId586" xr:uid="{00000000-0004-0000-2800-000053020000}"/>
    <hyperlink ref="AA2625" r:id="rId587" xr:uid="{00000000-0004-0000-2800-000054020000}"/>
    <hyperlink ref="C2641" r:id="rId588" xr:uid="{00000000-0004-0000-2800-000055020000}"/>
    <hyperlink ref="P2641" r:id="rId589" xr:uid="{00000000-0004-0000-2800-000056020000}"/>
    <hyperlink ref="AA2641" r:id="rId590" xr:uid="{00000000-0004-0000-2800-000057020000}"/>
    <hyperlink ref="C2642" r:id="rId591" xr:uid="{00000000-0004-0000-2800-000058020000}"/>
    <hyperlink ref="P2647" r:id="rId592" xr:uid="{00000000-0004-0000-2800-000059020000}"/>
    <hyperlink ref="AA2647" r:id="rId593" xr:uid="{00000000-0004-0000-2800-00005A020000}"/>
    <hyperlink ref="P2653" r:id="rId594" xr:uid="{00000000-0004-0000-2800-00005B020000}"/>
    <hyperlink ref="AA2653" r:id="rId595" xr:uid="{00000000-0004-0000-2800-00005C020000}"/>
    <hyperlink ref="AD2653" r:id="rId596" display="One of the cheapest MPS available " xr:uid="{00000000-0004-0000-2800-00005D020000}"/>
    <hyperlink ref="AA2656" r:id="rId597" xr:uid="{00000000-0004-0000-2800-00005E020000}"/>
    <hyperlink ref="AA2675" r:id="rId598" xr:uid="{00000000-0004-0000-2800-00005F020000}"/>
    <hyperlink ref="P2687" r:id="rId599" xr:uid="{00000000-0004-0000-2800-000060020000}"/>
    <hyperlink ref="Q2687" r:id="rId600" xr:uid="{00000000-0004-0000-2800-000061020000}"/>
    <hyperlink ref="AA2687" r:id="rId601" xr:uid="{00000000-0004-0000-2800-000062020000}"/>
    <hyperlink ref="P2763" r:id="rId602" xr:uid="{00000000-0004-0000-2800-000063020000}"/>
    <hyperlink ref="Q2763" r:id="rId603" xr:uid="{00000000-0004-0000-2800-000064020000}"/>
    <hyperlink ref="AD2763" r:id="rId604" xr:uid="{00000000-0004-0000-2800-000065020000}"/>
    <hyperlink ref="P2783" r:id="rId605" xr:uid="{00000000-0004-0000-2800-000066020000}"/>
    <hyperlink ref="AA2783" r:id="rId606" xr:uid="{00000000-0004-0000-2800-000068020000}"/>
    <hyperlink ref="AD2783" r:id="rId607" xr:uid="{00000000-0004-0000-2800-000069020000}"/>
    <hyperlink ref="C2803" r:id="rId608" xr:uid="{00000000-0004-0000-2800-00006A020000}"/>
    <hyperlink ref="P2803" r:id="rId609" xr:uid="{00000000-0004-0000-2800-00006B020000}"/>
    <hyperlink ref="Q2803" r:id="rId610" xr:uid="{00000000-0004-0000-2800-00006C020000}"/>
    <hyperlink ref="AA2803" r:id="rId611" xr:uid="{00000000-0004-0000-2800-00006D020000}"/>
    <hyperlink ref="P2816" r:id="rId612" xr:uid="{00000000-0004-0000-2800-00006E020000}"/>
    <hyperlink ref="AA2816" r:id="rId613" xr:uid="{00000000-0004-0000-2800-00006F020000}"/>
    <hyperlink ref="AA2871" r:id="rId614" xr:uid="{00000000-0004-0000-2800-000070020000}"/>
    <hyperlink ref="AD2871" r:id="rId615" xr:uid="{00000000-0004-0000-2800-000071020000}"/>
    <hyperlink ref="P2906" r:id="rId616" xr:uid="{00000000-0004-0000-2800-000072020000}"/>
    <hyperlink ref="Q2906" r:id="rId617" xr:uid="{00000000-0004-0000-2800-000073020000}"/>
    <hyperlink ref="AD2909" r:id="rId618" xr:uid="{00000000-0004-0000-2800-000074020000}"/>
    <hyperlink ref="AD2913" r:id="rId619" xr:uid="{00000000-0004-0000-2800-000075020000}"/>
    <hyperlink ref="P2923" r:id="rId620" xr:uid="{00000000-0004-0000-2800-000076020000}"/>
    <hyperlink ref="AA2923" r:id="rId621" xr:uid="{00000000-0004-0000-2800-000077020000}"/>
    <hyperlink ref="AA2933" r:id="rId622" xr:uid="{00000000-0004-0000-2800-000078020000}"/>
    <hyperlink ref="C2935" r:id="rId623" xr:uid="{00000000-0004-0000-2800-000079020000}"/>
    <hyperlink ref="O2935" r:id="rId624" xr:uid="{00000000-0004-0000-2800-00007A020000}"/>
    <hyperlink ref="C2945" r:id="rId625" xr:uid="{00000000-0004-0000-2800-00007B020000}"/>
    <hyperlink ref="P2945" r:id="rId626" xr:uid="{00000000-0004-0000-2800-00007C020000}"/>
    <hyperlink ref="AA2945" r:id="rId627" xr:uid="{00000000-0004-0000-2800-00007D020000}"/>
    <hyperlink ref="C2960" r:id="rId628" xr:uid="{00000000-0004-0000-2800-00007E020000}"/>
    <hyperlink ref="P2960" r:id="rId629" xr:uid="{00000000-0004-0000-2800-00007F020000}"/>
    <hyperlink ref="AA2960" r:id="rId630" xr:uid="{00000000-0004-0000-2800-000080020000}"/>
    <hyperlink ref="AA2963" r:id="rId631" xr:uid="{00000000-0004-0000-2800-000081020000}"/>
    <hyperlink ref="P2965" r:id="rId632" xr:uid="{00000000-0004-0000-2800-000082020000}"/>
    <hyperlink ref="AA2965" r:id="rId633" xr:uid="{00000000-0004-0000-2800-000083020000}"/>
    <hyperlink ref="P2967" r:id="rId634" xr:uid="{00000000-0004-0000-2800-000084020000}"/>
    <hyperlink ref="AA2967" r:id="rId635" xr:uid="{00000000-0004-0000-2800-000085020000}"/>
    <hyperlink ref="P2971" r:id="rId636" xr:uid="{00000000-0004-0000-2800-000086020000}"/>
    <hyperlink ref="AA2971" r:id="rId637" xr:uid="{00000000-0004-0000-2800-000087020000}"/>
    <hyperlink ref="P2975" r:id="rId638" xr:uid="{00000000-0004-0000-2800-000088020000}"/>
    <hyperlink ref="AA2975" r:id="rId639" xr:uid="{00000000-0004-0000-2800-000089020000}"/>
    <hyperlink ref="C2985" r:id="rId640" xr:uid="{00000000-0004-0000-2800-00008A020000}"/>
    <hyperlink ref="P2985" r:id="rId641" xr:uid="{00000000-0004-0000-2800-00008B020000}"/>
    <hyperlink ref="AA2985" r:id="rId642" xr:uid="{00000000-0004-0000-2800-00008C020000}"/>
    <hyperlink ref="P2990" r:id="rId643" xr:uid="{00000000-0004-0000-2800-00008D020000}"/>
    <hyperlink ref="AA2990" r:id="rId644" xr:uid="{00000000-0004-0000-2800-00008F020000}"/>
    <hyperlink ref="P2998" r:id="rId645" xr:uid="{00000000-0004-0000-2800-000090020000}"/>
    <hyperlink ref="AA2998" r:id="rId646" xr:uid="{00000000-0004-0000-2800-000091020000}"/>
    <hyperlink ref="C3022" r:id="rId647" xr:uid="{00000000-0004-0000-2800-000092020000}"/>
    <hyperlink ref="P3049" r:id="rId648" xr:uid="{00000000-0004-0000-2800-000093020000}"/>
    <hyperlink ref="AA3049" r:id="rId649" xr:uid="{00000000-0004-0000-2800-000094020000}"/>
    <hyperlink ref="P3057" r:id="rId650" xr:uid="{00000000-0004-0000-2800-000095020000}"/>
    <hyperlink ref="AA3057" r:id="rId651" xr:uid="{00000000-0004-0000-2800-000096020000}"/>
    <hyperlink ref="P3071" r:id="rId652" xr:uid="{00000000-0004-0000-2800-000097020000}"/>
    <hyperlink ref="AA3071" r:id="rId653" xr:uid="{00000000-0004-0000-2800-000098020000}"/>
    <hyperlink ref="P3089" r:id="rId654" xr:uid="{00000000-0004-0000-2800-000099020000}"/>
    <hyperlink ref="Q3089" r:id="rId655" xr:uid="{00000000-0004-0000-2800-00009A020000}"/>
    <hyperlink ref="AA3089" r:id="rId656" xr:uid="{00000000-0004-0000-2800-00009B020000}"/>
    <hyperlink ref="P3091" r:id="rId657" xr:uid="{00000000-0004-0000-2800-00009C020000}"/>
    <hyperlink ref="AA3091" r:id="rId658" xr:uid="{00000000-0004-0000-2800-00009D020000}"/>
    <hyperlink ref="C3099" r:id="rId659" xr:uid="{00000000-0004-0000-2800-00009E020000}"/>
    <hyperlink ref="P3099" r:id="rId660" xr:uid="{00000000-0004-0000-2800-00009F020000}"/>
    <hyperlink ref="AA3099" r:id="rId661" xr:uid="{00000000-0004-0000-2800-0000A0020000}"/>
    <hyperlink ref="AD3099" r:id="rId662" xr:uid="{00000000-0004-0000-2800-0000A1020000}"/>
    <hyperlink ref="P3172" r:id="rId663" xr:uid="{00000000-0004-0000-2800-0000A2020000}"/>
    <hyperlink ref="AA3172" r:id="rId664" xr:uid="{00000000-0004-0000-2800-0000A3020000}"/>
    <hyperlink ref="AD3172" r:id="rId665" xr:uid="{00000000-0004-0000-2800-0000A4020000}"/>
    <hyperlink ref="C3173" r:id="rId666" xr:uid="{00000000-0004-0000-2800-0000A5020000}"/>
    <hyperlink ref="P3249" r:id="rId667" xr:uid="{00000000-0004-0000-2800-0000A6020000}"/>
    <hyperlink ref="AA3249" r:id="rId668" xr:uid="{00000000-0004-0000-2800-0000A7020000}"/>
    <hyperlink ref="C3265" r:id="rId669" xr:uid="{00000000-0004-0000-2800-0000A8020000}"/>
    <hyperlink ref="P3265" r:id="rId670" xr:uid="{00000000-0004-0000-2800-0000A9020000}"/>
    <hyperlink ref="AA3265" r:id="rId671" xr:uid="{00000000-0004-0000-2800-0000AA020000}"/>
    <hyperlink ref="C3267" r:id="rId672" xr:uid="{00000000-0004-0000-2800-0000AB020000}"/>
    <hyperlink ref="Q3287" r:id="rId673" xr:uid="{00000000-0004-0000-2800-0000AC020000}"/>
    <hyperlink ref="AA3287" r:id="rId674" xr:uid="{00000000-0004-0000-2800-0000AD020000}"/>
    <hyperlink ref="P3296" r:id="rId675" xr:uid="{00000000-0004-0000-2800-0000AE020000}"/>
    <hyperlink ref="Q3296" r:id="rId676" xr:uid="{00000000-0004-0000-2800-0000AF020000}"/>
    <hyperlink ref="AA3296" r:id="rId677" xr:uid="{00000000-0004-0000-2800-0000B0020000}"/>
    <hyperlink ref="P3314" r:id="rId678" xr:uid="{00000000-0004-0000-2800-0000B1020000}"/>
    <hyperlink ref="AA3314" r:id="rId679" xr:uid="{00000000-0004-0000-2800-0000B2020000}"/>
    <hyperlink ref="P3338" r:id="rId680" xr:uid="{00000000-0004-0000-2800-0000B3020000}"/>
    <hyperlink ref="AA3338" r:id="rId681" xr:uid="{00000000-0004-0000-2800-0000B4020000}"/>
    <hyperlink ref="C3365" r:id="rId682" xr:uid="{00000000-0004-0000-2800-0000B5020000}"/>
    <hyperlink ref="P3365" r:id="rId683" xr:uid="{00000000-0004-0000-2800-0000B6020000}"/>
    <hyperlink ref="AA3365" r:id="rId684" xr:uid="{00000000-0004-0000-2800-0000B7020000}"/>
    <hyperlink ref="P3371" r:id="rId685" xr:uid="{00000000-0004-0000-2800-0000B8020000}"/>
    <hyperlink ref="AA3371" r:id="rId686" xr:uid="{00000000-0004-0000-2800-0000B9020000}"/>
    <hyperlink ref="P3388" r:id="rId687" xr:uid="{00000000-0004-0000-2800-0000BA020000}"/>
    <hyperlink ref="AA3388" r:id="rId688" xr:uid="{00000000-0004-0000-2800-0000BB020000}"/>
    <hyperlink ref="P3419" r:id="rId689" xr:uid="{00000000-0004-0000-2800-0000BC020000}"/>
    <hyperlink ref="AA3419" r:id="rId690" xr:uid="{00000000-0004-0000-2800-0000BD020000}"/>
    <hyperlink ref="C3436" r:id="rId691" xr:uid="{00000000-0004-0000-2800-0000BE020000}"/>
    <hyperlink ref="P3436" r:id="rId692" xr:uid="{00000000-0004-0000-2800-0000BF020000}"/>
    <hyperlink ref="AA3436" r:id="rId693" xr:uid="{00000000-0004-0000-2800-0000C0020000}"/>
    <hyperlink ref="C3473" r:id="rId694" xr:uid="{00000000-0004-0000-2800-0000C1020000}"/>
    <hyperlink ref="C3507" r:id="rId695" xr:uid="{00000000-0004-0000-2800-0000C2020000}"/>
    <hyperlink ref="P3507" r:id="rId696" xr:uid="{00000000-0004-0000-2800-0000C3020000}"/>
    <hyperlink ref="AA3507" r:id="rId697" xr:uid="{00000000-0004-0000-2800-0000C4020000}"/>
    <hyperlink ref="C3513" r:id="rId698" xr:uid="{00000000-0004-0000-2800-0000C5020000}"/>
    <hyperlink ref="C3520" r:id="rId699" xr:uid="{00000000-0004-0000-2800-0000C6020000}"/>
    <hyperlink ref="P3520" r:id="rId700" xr:uid="{00000000-0004-0000-2800-0000C7020000}"/>
    <hyperlink ref="AA3520" r:id="rId701" xr:uid="{00000000-0004-0000-2800-0000C8020000}"/>
    <hyperlink ref="P3578" r:id="rId702" xr:uid="{00000000-0004-0000-2800-0000C9020000}"/>
    <hyperlink ref="AA3578" r:id="rId703" xr:uid="{00000000-0004-0000-2800-0000CA020000}"/>
    <hyperlink ref="C3582" r:id="rId704" xr:uid="{00000000-0004-0000-2800-0000CB020000}"/>
    <hyperlink ref="P3582" r:id="rId705" xr:uid="{00000000-0004-0000-2800-0000CC020000}"/>
    <hyperlink ref="AA3582" r:id="rId706" xr:uid="{00000000-0004-0000-2800-0000CD020000}"/>
    <hyperlink ref="C3583" r:id="rId707" xr:uid="{00000000-0004-0000-2800-0000CE020000}"/>
    <hyperlink ref="P3583" r:id="rId708" xr:uid="{00000000-0004-0000-2800-0000CF020000}"/>
    <hyperlink ref="AA3583" r:id="rId709" xr:uid="{00000000-0004-0000-2800-0000D0020000}"/>
    <hyperlink ref="AD3583" r:id="rId710" xr:uid="{00000000-0004-0000-2800-0000D1020000}"/>
    <hyperlink ref="P3587" r:id="rId711" location="pricing" xr:uid="{00000000-0004-0000-2800-0000D2020000}"/>
    <hyperlink ref="AA3587" r:id="rId712" xr:uid="{00000000-0004-0000-2800-0000D3020000}"/>
    <hyperlink ref="P3631" r:id="rId713" xr:uid="{00000000-0004-0000-2800-0000D4020000}"/>
    <hyperlink ref="P3691" r:id="rId714" xr:uid="{00000000-0004-0000-2800-0000D5020000}"/>
    <hyperlink ref="AA3691" r:id="rId715" xr:uid="{00000000-0004-0000-2800-0000D6020000}"/>
    <hyperlink ref="C3707" r:id="rId716" xr:uid="{00000000-0004-0000-2800-0000D7020000}"/>
    <hyperlink ref="D3707" r:id="rId717" display="https://brigroup.co.uk/our-team/" xr:uid="{00000000-0004-0000-2800-0000D8020000}"/>
    <hyperlink ref="P3707" r:id="rId718" xr:uid="{00000000-0004-0000-2800-0000D9020000}"/>
    <hyperlink ref="AA3707" r:id="rId719" xr:uid="{00000000-0004-0000-2800-0000DA020000}"/>
    <hyperlink ref="P3745" r:id="rId720" xr:uid="{00000000-0004-0000-2800-0000DB020000}"/>
    <hyperlink ref="AA3745" r:id="rId721" xr:uid="{00000000-0004-0000-2800-0000DC020000}"/>
    <hyperlink ref="P3749" r:id="rId722" xr:uid="{00000000-0004-0000-2800-0000DD020000}"/>
    <hyperlink ref="AA3749" r:id="rId723" xr:uid="{00000000-0004-0000-2800-0000DE020000}"/>
    <hyperlink ref="P3776" r:id="rId724" xr:uid="{00000000-0004-0000-2800-0000DF020000}"/>
    <hyperlink ref="AA3776" r:id="rId725" xr:uid="{00000000-0004-0000-2800-0000E0020000}"/>
    <hyperlink ref="P3822" r:id="rId726" xr:uid="{00000000-0004-0000-2800-0000E1020000}"/>
    <hyperlink ref="AA3822" r:id="rId727" xr:uid="{00000000-0004-0000-2800-0000E2020000}"/>
    <hyperlink ref="P3838" r:id="rId728" xr:uid="{00000000-0004-0000-2800-0000E3020000}"/>
    <hyperlink ref="AA3838" r:id="rId729" xr:uid="{00000000-0004-0000-2800-0000E4020000}"/>
    <hyperlink ref="C3861" r:id="rId730" xr:uid="{00000000-0004-0000-2800-0000E5020000}"/>
    <hyperlink ref="P3882" r:id="rId731" xr:uid="{00000000-0004-0000-2800-0000E6020000}"/>
    <hyperlink ref="AA3882" r:id="rId732" xr:uid="{00000000-0004-0000-2800-0000E7020000}"/>
    <hyperlink ref="P3911" r:id="rId733" xr:uid="{00000000-0004-0000-2800-0000E8020000}"/>
    <hyperlink ref="AA3911" r:id="rId734" xr:uid="{00000000-0004-0000-2800-0000E9020000}"/>
    <hyperlink ref="P3944" r:id="rId735" xr:uid="{00000000-0004-0000-2800-0000EA020000}"/>
    <hyperlink ref="AA3944" r:id="rId736" xr:uid="{00000000-0004-0000-2800-0000EB020000}"/>
    <hyperlink ref="P3950" r:id="rId737" xr:uid="{00000000-0004-0000-2800-0000EC020000}"/>
    <hyperlink ref="AA3950" r:id="rId738" xr:uid="{00000000-0004-0000-2800-0000ED020000}"/>
    <hyperlink ref="P3975" r:id="rId739" xr:uid="{00000000-0004-0000-2800-0000EE020000}"/>
    <hyperlink ref="C3982" r:id="rId740" xr:uid="{00000000-0004-0000-2800-0000EF020000}"/>
    <hyperlink ref="P3982" r:id="rId741" xr:uid="{00000000-0004-0000-2800-0000F0020000}"/>
    <hyperlink ref="AA3982" r:id="rId742" xr:uid="{00000000-0004-0000-2800-0000F1020000}"/>
    <hyperlink ref="C4017" r:id="rId743" xr:uid="{00000000-0004-0000-2800-0000F2020000}"/>
    <hyperlink ref="P4021" r:id="rId744" xr:uid="{00000000-0004-0000-2800-0000F3020000}"/>
    <hyperlink ref="AA4021" r:id="rId745" xr:uid="{00000000-0004-0000-2800-0000F4020000}"/>
    <hyperlink ref="P4040" r:id="rId746" xr:uid="{00000000-0004-0000-2800-0000F5020000}"/>
    <hyperlink ref="AA4040" r:id="rId747" xr:uid="{00000000-0004-0000-2800-0000F6020000}"/>
    <hyperlink ref="C4075" r:id="rId748" xr:uid="{00000000-0004-0000-2800-0000F7020000}"/>
    <hyperlink ref="P4075" r:id="rId749" xr:uid="{00000000-0004-0000-2800-0000F8020000}"/>
    <hyperlink ref="AA4075" r:id="rId750" xr:uid="{00000000-0004-0000-2800-0000F9020000}"/>
    <hyperlink ref="C4101" r:id="rId751" xr:uid="{00000000-0004-0000-2800-0000FA020000}"/>
    <hyperlink ref="P4101" r:id="rId752" xr:uid="{00000000-0004-0000-2800-0000FB020000}"/>
    <hyperlink ref="AA4101" r:id="rId753" xr:uid="{00000000-0004-0000-2800-0000FC020000}"/>
    <hyperlink ref="C4118" r:id="rId754" xr:uid="{00000000-0004-0000-2800-0000FD020000}"/>
    <hyperlink ref="P4118" r:id="rId755" xr:uid="{00000000-0004-0000-2800-0000FE020000}"/>
    <hyperlink ref="AA4118" r:id="rId756" xr:uid="{00000000-0004-0000-2800-0000FF020000}"/>
    <hyperlink ref="P4151" r:id="rId757" xr:uid="{00000000-0004-0000-2800-000000030000}"/>
    <hyperlink ref="AA4151" r:id="rId758" xr:uid="{00000000-0004-0000-2800-000001030000}"/>
    <hyperlink ref="P4200" r:id="rId759" xr:uid="{00000000-0004-0000-2800-000002030000}"/>
    <hyperlink ref="C4204" r:id="rId760" xr:uid="{00000000-0004-0000-2800-000003030000}"/>
    <hyperlink ref="P4204" r:id="rId761" xr:uid="{00000000-0004-0000-2800-000004030000}"/>
    <hyperlink ref="AA4204" r:id="rId762" xr:uid="{00000000-0004-0000-2800-000005030000}"/>
    <hyperlink ref="P4206" r:id="rId763" xr:uid="{00000000-0004-0000-2800-000006030000}"/>
    <hyperlink ref="AA4206" r:id="rId764" xr:uid="{00000000-0004-0000-2800-000007030000}"/>
    <hyperlink ref="C4212" r:id="rId765" xr:uid="{00000000-0004-0000-2800-000008030000}"/>
    <hyperlink ref="P4212" r:id="rId766" xr:uid="{00000000-0004-0000-2800-000009030000}"/>
    <hyperlink ref="AA4212" r:id="rId767" xr:uid="{00000000-0004-0000-2800-00000A030000}"/>
    <hyperlink ref="C4216" r:id="rId768" xr:uid="{00000000-0004-0000-2800-00000B030000}"/>
    <hyperlink ref="P4227" r:id="rId769" xr:uid="{00000000-0004-0000-2800-00000C030000}"/>
    <hyperlink ref="AA4227" r:id="rId770" xr:uid="{00000000-0004-0000-2800-00000D030000}"/>
    <hyperlink ref="C4230" r:id="rId771" xr:uid="{00000000-0004-0000-2800-00000E030000}"/>
    <hyperlink ref="P4230" r:id="rId772" xr:uid="{00000000-0004-0000-2800-00000F030000}"/>
    <hyperlink ref="C4239" r:id="rId773" xr:uid="{00000000-0004-0000-2800-000010030000}"/>
    <hyperlink ref="P4239" r:id="rId774" xr:uid="{00000000-0004-0000-2800-000011030000}"/>
    <hyperlink ref="AA4239" r:id="rId775" xr:uid="{00000000-0004-0000-2800-000013030000}"/>
    <hyperlink ref="C4242" r:id="rId776" xr:uid="{00000000-0004-0000-2800-000014030000}"/>
    <hyperlink ref="P4242" r:id="rId777" xr:uid="{00000000-0004-0000-2800-000015030000}"/>
    <hyperlink ref="AA4242" r:id="rId778" xr:uid="{00000000-0004-0000-2800-000017030000}"/>
    <hyperlink ref="C4260" r:id="rId779" xr:uid="{00000000-0004-0000-2800-000018030000}"/>
    <hyperlink ref="P4260" r:id="rId780" xr:uid="{00000000-0004-0000-2800-000019030000}"/>
    <hyperlink ref="AA4260" r:id="rId781" xr:uid="{00000000-0004-0000-2800-00001B030000}"/>
    <hyperlink ref="C4274" r:id="rId782" xr:uid="{00000000-0004-0000-2800-00001C030000}"/>
    <hyperlink ref="D4274" r:id="rId783" display="https://register.fca.org.uk/s/firm?id=001b000000Mff3PAAR" xr:uid="{00000000-0004-0000-2800-00001D030000}"/>
    <hyperlink ref="P4274" r:id="rId784" xr:uid="{00000000-0004-0000-2800-00001E030000}"/>
    <hyperlink ref="AA4274" r:id="rId785" xr:uid="{00000000-0004-0000-2800-000020030000}"/>
    <hyperlink ref="C4279" r:id="rId786" xr:uid="{00000000-0004-0000-2800-000021030000}"/>
    <hyperlink ref="P4279" r:id="rId787" xr:uid="{00000000-0004-0000-2800-000022030000}"/>
    <hyperlink ref="AA4279" r:id="rId788" xr:uid="{00000000-0004-0000-2800-000024030000}"/>
    <hyperlink ref="C4285" r:id="rId789" xr:uid="{00000000-0004-0000-2800-000026030000}"/>
    <hyperlink ref="P4285" r:id="rId790" xr:uid="{00000000-0004-0000-2800-000027030000}"/>
    <hyperlink ref="AA4285" r:id="rId791" xr:uid="{00000000-0004-0000-2800-000029030000}"/>
    <hyperlink ref="C4288" r:id="rId792" xr:uid="{00000000-0004-0000-2800-00002B030000}"/>
    <hyperlink ref="D4288" r:id="rId793" display="https://register.fca.org.uk/s/firm?id=001b000000NMXZ4AAP" xr:uid="{00000000-0004-0000-2800-00002C030000}"/>
    <hyperlink ref="P4288" r:id="rId794" xr:uid="{00000000-0004-0000-2800-00002D030000}"/>
    <hyperlink ref="AA4288" r:id="rId795" xr:uid="{00000000-0004-0000-2800-00002F030000}"/>
    <hyperlink ref="C4302" r:id="rId796" xr:uid="{00000000-0004-0000-2800-000031030000}"/>
    <hyperlink ref="D4302" r:id="rId797" display="https://register.fca.org.uk/s/firm?id=001b000000c43l7AAA" xr:uid="{00000000-0004-0000-2800-000032030000}"/>
    <hyperlink ref="P4302" r:id="rId798" xr:uid="{00000000-0004-0000-2800-000033030000}"/>
    <hyperlink ref="AA4302" r:id="rId799" xr:uid="{00000000-0004-0000-2800-000035030000}"/>
    <hyperlink ref="C4315" r:id="rId800" xr:uid="{00000000-0004-0000-2800-000037030000}"/>
    <hyperlink ref="D4315" r:id="rId801" display="https://register.fca.org.uk/s/firm?id=0010X000046DIxEQAW" xr:uid="{00000000-0004-0000-2800-000038030000}"/>
    <hyperlink ref="P4315" r:id="rId802" xr:uid="{00000000-0004-0000-2800-000039030000}"/>
    <hyperlink ref="AA4315" r:id="rId803" xr:uid="{00000000-0004-0000-2800-00003B030000}"/>
    <hyperlink ref="C4340" r:id="rId804" xr:uid="{00000000-0004-0000-2800-00003D030000}"/>
    <hyperlink ref="P4340" r:id="rId805" xr:uid="{00000000-0004-0000-2800-00003E030000}"/>
    <hyperlink ref="AA4340" r:id="rId806" xr:uid="{00000000-0004-0000-2800-00003F030000}"/>
    <hyperlink ref="C4356" r:id="rId807" xr:uid="{00000000-0004-0000-2800-000040030000}"/>
    <hyperlink ref="P4356" r:id="rId808" xr:uid="{00000000-0004-0000-2800-000041030000}"/>
    <hyperlink ref="AA4356" r:id="rId809" xr:uid="{00000000-0004-0000-2800-000042030000}"/>
    <hyperlink ref="C4363" r:id="rId810" xr:uid="{00000000-0004-0000-2800-000043030000}"/>
    <hyperlink ref="P4363" r:id="rId811" xr:uid="{00000000-0004-0000-2800-000044030000}"/>
    <hyperlink ref="AA4363" r:id="rId812" xr:uid="{00000000-0004-0000-2800-000045030000}"/>
    <hyperlink ref="C4370" r:id="rId813" xr:uid="{00000000-0004-0000-2800-000046030000}"/>
    <hyperlink ref="P4370" r:id="rId814" xr:uid="{00000000-0004-0000-2800-000047030000}"/>
    <hyperlink ref="AA4370" r:id="rId815" xr:uid="{00000000-0004-0000-2800-000048030000}"/>
    <hyperlink ref="P4379" r:id="rId816" xr:uid="{00000000-0004-0000-2800-000049030000}"/>
    <hyperlink ref="AA4379" r:id="rId817" xr:uid="{00000000-0004-0000-2800-00004A030000}"/>
    <hyperlink ref="P4439" r:id="rId818" xr:uid="{00000000-0004-0000-2800-00004B030000}"/>
    <hyperlink ref="P4447" r:id="rId819" xr:uid="{00000000-0004-0000-2800-00004C030000}"/>
    <hyperlink ref="AA4447" r:id="rId820" xr:uid="{00000000-0004-0000-2800-00004D030000}"/>
    <hyperlink ref="P4476" r:id="rId821" xr:uid="{00000000-0004-0000-2800-00004E030000}"/>
    <hyperlink ref="AA4476" r:id="rId822" xr:uid="{00000000-0004-0000-2800-00004F030000}"/>
    <hyperlink ref="P4478" r:id="rId823" xr:uid="{00000000-0004-0000-2800-000050030000}"/>
    <hyperlink ref="Q4478" r:id="rId824" xr:uid="{00000000-0004-0000-2800-000051030000}"/>
    <hyperlink ref="AA4478" r:id="rId825" xr:uid="{00000000-0004-0000-2800-000052030000}"/>
    <hyperlink ref="P4485" r:id="rId826" xr:uid="{00000000-0004-0000-2800-000053030000}"/>
    <hyperlink ref="AA4485" r:id="rId827" xr:uid="{00000000-0004-0000-2800-000054030000}"/>
    <hyperlink ref="P4533" r:id="rId828" xr:uid="{00000000-0004-0000-2800-000055030000}"/>
    <hyperlink ref="AA4533" r:id="rId829" xr:uid="{00000000-0004-0000-2800-000056030000}"/>
    <hyperlink ref="P4543" r:id="rId830" xr:uid="{00000000-0004-0000-2800-000057030000}"/>
    <hyperlink ref="AA4543" r:id="rId831" xr:uid="{00000000-0004-0000-2800-000058030000}"/>
    <hyperlink ref="C4563" r:id="rId832" xr:uid="{00000000-0004-0000-2800-000059030000}"/>
    <hyperlink ref="P4563" r:id="rId833" xr:uid="{00000000-0004-0000-2800-00005A030000}"/>
    <hyperlink ref="AA4563" r:id="rId834" xr:uid="{00000000-0004-0000-2800-00005B030000}"/>
    <hyperlink ref="C4566" r:id="rId835" xr:uid="{00000000-0004-0000-2800-00005C030000}"/>
    <hyperlink ref="P4574" r:id="rId836" xr:uid="{00000000-0004-0000-2800-00005D030000}"/>
    <hyperlink ref="AA4574" r:id="rId837" xr:uid="{00000000-0004-0000-2800-00005E030000}"/>
    <hyperlink ref="P4577" r:id="rId838" xr:uid="{00000000-0004-0000-2800-00005F030000}"/>
    <hyperlink ref="AA4577" r:id="rId839" xr:uid="{00000000-0004-0000-2800-000060030000}"/>
    <hyperlink ref="P4578" r:id="rId840" xr:uid="{00000000-0004-0000-2800-000061030000}"/>
    <hyperlink ref="AA4578" r:id="rId841" xr:uid="{00000000-0004-0000-2800-000062030000}"/>
    <hyperlink ref="C4587" r:id="rId842" xr:uid="{00000000-0004-0000-2800-000063030000}"/>
    <hyperlink ref="P4587" r:id="rId843" xr:uid="{00000000-0004-0000-2800-000064030000}"/>
    <hyperlink ref="AA4587" r:id="rId844" xr:uid="{00000000-0004-0000-2800-000065030000}"/>
    <hyperlink ref="AD4587" r:id="rId845" xr:uid="{00000000-0004-0000-2800-000066030000}"/>
    <hyperlink ref="P4593" r:id="rId846" xr:uid="{00000000-0004-0000-2800-000067030000}"/>
    <hyperlink ref="AA4593" r:id="rId847" xr:uid="{00000000-0004-0000-2800-000068030000}"/>
    <hyperlink ref="P4594" r:id="rId848" xr:uid="{00000000-0004-0000-2800-000069030000}"/>
    <hyperlink ref="AA4594" r:id="rId849" xr:uid="{00000000-0004-0000-2800-00006A030000}"/>
    <hyperlink ref="P4607" r:id="rId850" xr:uid="{00000000-0004-0000-2800-00006B030000}"/>
    <hyperlink ref="AA4607" r:id="rId851" xr:uid="{00000000-0004-0000-2800-00006C030000}"/>
    <hyperlink ref="P4617" r:id="rId852" xr:uid="{00000000-0004-0000-2800-00006D030000}"/>
    <hyperlink ref="AA4617" r:id="rId853" xr:uid="{00000000-0004-0000-2800-00006E030000}"/>
    <hyperlink ref="AD4617" r:id="rId854" xr:uid="{00000000-0004-0000-2800-00006F030000}"/>
    <hyperlink ref="C4637" r:id="rId855" xr:uid="{00000000-0004-0000-2800-000070030000}"/>
    <hyperlink ref="P4637" r:id="rId856" xr:uid="{00000000-0004-0000-2800-000071030000}"/>
    <hyperlink ref="AA4637" r:id="rId857" xr:uid="{00000000-0004-0000-2800-000072030000}"/>
    <hyperlink ref="P4687" r:id="rId858" xr:uid="{00000000-0004-0000-2800-000073030000}"/>
    <hyperlink ref="AA4687" r:id="rId859" xr:uid="{00000000-0004-0000-2800-000074030000}"/>
    <hyperlink ref="P4704" r:id="rId860" xr:uid="{00000000-0004-0000-2800-000075030000}"/>
    <hyperlink ref="AA4704" r:id="rId861" xr:uid="{00000000-0004-0000-2800-000076030000}"/>
    <hyperlink ref="C4719" r:id="rId862" xr:uid="{00000000-0004-0000-2800-000077030000}"/>
    <hyperlink ref="P4719" r:id="rId863" xr:uid="{00000000-0004-0000-2800-000078030000}"/>
    <hyperlink ref="Q4719" r:id="rId864" xr:uid="{00000000-0004-0000-2800-000079030000}"/>
    <hyperlink ref="AA4719" r:id="rId865" xr:uid="{00000000-0004-0000-2800-00007A030000}"/>
    <hyperlink ref="P4753" r:id="rId866" xr:uid="{00000000-0004-0000-2800-00007B030000}"/>
    <hyperlink ref="AA4753" r:id="rId867" xr:uid="{00000000-0004-0000-2800-00007C030000}"/>
    <hyperlink ref="C4763" r:id="rId868" xr:uid="{00000000-0004-0000-2800-00007D030000}"/>
    <hyperlink ref="P4764" r:id="rId869" xr:uid="{00000000-0004-0000-2800-00007E030000}"/>
    <hyperlink ref="AA4764" r:id="rId870" xr:uid="{00000000-0004-0000-2800-00007F030000}"/>
    <hyperlink ref="P4772" r:id="rId871" xr:uid="{00000000-0004-0000-2800-000080030000}"/>
    <hyperlink ref="AA4772" r:id="rId872" xr:uid="{00000000-0004-0000-2800-000081030000}"/>
    <hyperlink ref="P4782" r:id="rId873" xr:uid="{00000000-0004-0000-2800-000082030000}"/>
    <hyperlink ref="AA4782" r:id="rId874" xr:uid="{00000000-0004-0000-2800-000083030000}"/>
    <hyperlink ref="P4788" r:id="rId875" xr:uid="{00000000-0004-0000-2800-000084030000}"/>
    <hyperlink ref="Q4788" r:id="rId876" xr:uid="{00000000-0004-0000-2800-000085030000}"/>
    <hyperlink ref="C4789" r:id="rId877" xr:uid="{00000000-0004-0000-2800-000086030000}"/>
    <hyperlink ref="P4793" r:id="rId878" xr:uid="{00000000-0004-0000-2800-000087030000}"/>
    <hyperlink ref="AA4793" r:id="rId879" xr:uid="{00000000-0004-0000-2800-000088030000}"/>
    <hyperlink ref="C4801" r:id="rId880" xr:uid="{00000000-0004-0000-2800-000089030000}"/>
    <hyperlink ref="C4802" r:id="rId881" xr:uid="{00000000-0004-0000-2800-00008A030000}"/>
    <hyperlink ref="P4802" r:id="rId882" xr:uid="{00000000-0004-0000-2800-00008B030000}"/>
    <hyperlink ref="AA4802" r:id="rId883" xr:uid="{00000000-0004-0000-2800-00008C030000}"/>
    <hyperlink ref="C4826" r:id="rId884" xr:uid="{00000000-0004-0000-2800-00008D030000}"/>
    <hyperlink ref="C4838" r:id="rId885" xr:uid="{00000000-0004-0000-2800-00008E030000}"/>
    <hyperlink ref="P4838" r:id="rId886" xr:uid="{00000000-0004-0000-2800-00008F030000}"/>
    <hyperlink ref="AA4838" r:id="rId887" xr:uid="{00000000-0004-0000-2800-000091030000}"/>
    <hyperlink ref="P4844" r:id="rId888" xr:uid="{00000000-0004-0000-2800-000092030000}"/>
    <hyperlink ref="AA4844" r:id="rId889" xr:uid="{00000000-0004-0000-2800-000093030000}"/>
    <hyperlink ref="C4880" r:id="rId890" xr:uid="{00000000-0004-0000-2800-000095030000}"/>
    <hyperlink ref="C4887" r:id="rId891" xr:uid="{00000000-0004-0000-2800-000096030000}"/>
    <hyperlink ref="C4888" r:id="rId892" xr:uid="{00000000-0004-0000-2800-000097030000}"/>
    <hyperlink ref="C4893" r:id="rId893" xr:uid="{00000000-0004-0000-2800-000098030000}"/>
    <hyperlink ref="P4893" r:id="rId894" xr:uid="{00000000-0004-0000-2800-000099030000}"/>
    <hyperlink ref="P4900" r:id="rId895" xr:uid="{00000000-0004-0000-2800-00009B030000}"/>
    <hyperlink ref="AA4900" r:id="rId896" xr:uid="{00000000-0004-0000-2800-00009D030000}"/>
    <hyperlink ref="P4908" r:id="rId897" xr:uid="{00000000-0004-0000-2800-00009E030000}"/>
    <hyperlink ref="C4913" r:id="rId898" xr:uid="{00000000-0004-0000-2800-0000A0030000}"/>
    <hyperlink ref="P4913" r:id="rId899" xr:uid="{00000000-0004-0000-2800-0000A1030000}"/>
    <hyperlink ref="Q4913" r:id="rId900" xr:uid="{00000000-0004-0000-2800-0000A2030000}"/>
    <hyperlink ref="C4950" r:id="rId901" xr:uid="{00000000-0004-0000-2800-0000A3030000}"/>
    <hyperlink ref="P4950" r:id="rId902" xr:uid="{00000000-0004-0000-2800-0000A4030000}"/>
    <hyperlink ref="Q4950" r:id="rId903" xr:uid="{00000000-0004-0000-2800-0000A5030000}"/>
    <hyperlink ref="AA4950" r:id="rId904" xr:uid="{00000000-0004-0000-2800-0000A6030000}"/>
    <hyperlink ref="AA4958" r:id="rId905" xr:uid="{00000000-0004-0000-2800-0000A9030000}"/>
    <hyperlink ref="AD4958" r:id="rId906" xr:uid="{00000000-0004-0000-2800-0000AA030000}"/>
    <hyperlink ref="C4988" r:id="rId907" xr:uid="{00000000-0004-0000-2800-0000AB030000}"/>
    <hyperlink ref="O4988" r:id="rId908" xr:uid="{00000000-0004-0000-2800-0000AC030000}"/>
    <hyperlink ref="P4988" r:id="rId909" xr:uid="{00000000-0004-0000-2800-0000AD030000}"/>
    <hyperlink ref="AA4988" r:id="rId910" xr:uid="{00000000-0004-0000-2800-0000AE030000}"/>
    <hyperlink ref="P5004" r:id="rId911" xr:uid="{00000000-0004-0000-2800-0000AF030000}"/>
    <hyperlink ref="AA5004" r:id="rId912" xr:uid="{00000000-0004-0000-2800-0000B0030000}"/>
    <hyperlink ref="P5009" r:id="rId913" xr:uid="{00000000-0004-0000-2800-0000B1030000}"/>
    <hyperlink ref="AA5009" r:id="rId914" xr:uid="{00000000-0004-0000-2800-0000B2030000}"/>
    <hyperlink ref="C5011" r:id="rId915" xr:uid="{00000000-0004-0000-2800-0000B3030000}"/>
    <hyperlink ref="C5020" r:id="rId916" xr:uid="{00000000-0004-0000-2800-0000B4030000}"/>
    <hyperlink ref="P5028" r:id="rId917" xr:uid="{00000000-0004-0000-2800-0000B5030000}"/>
    <hyperlink ref="AA5028" r:id="rId918" xr:uid="{00000000-0004-0000-2800-0000B6030000}"/>
    <hyperlink ref="C5048" r:id="rId919" xr:uid="{00000000-0004-0000-2800-0000B7030000}"/>
    <hyperlink ref="AA5048" r:id="rId920" xr:uid="{00000000-0004-0000-2800-0000B9030000}"/>
    <hyperlink ref="C5065" r:id="rId921" xr:uid="{00000000-0004-0000-2800-0000BA030000}"/>
    <hyperlink ref="P5065" r:id="rId922" xr:uid="{00000000-0004-0000-2800-0000BB030000}"/>
    <hyperlink ref="Q5065" r:id="rId923" xr:uid="{00000000-0004-0000-2800-0000BC030000}"/>
    <hyperlink ref="AA5065" r:id="rId924" xr:uid="{00000000-0004-0000-2800-0000BD030000}"/>
    <hyperlink ref="P5080" r:id="rId925" xr:uid="{00000000-0004-0000-2800-0000BE030000}"/>
    <hyperlink ref="AA5080" r:id="rId926" xr:uid="{00000000-0004-0000-2800-0000C0030000}"/>
    <hyperlink ref="C5081" r:id="rId927" xr:uid="{00000000-0004-0000-2800-0000C1030000}"/>
    <hyperlink ref="P5081" r:id="rId928" xr:uid="{00000000-0004-0000-2800-0000C2030000}"/>
    <hyperlink ref="AA5081" r:id="rId929" xr:uid="{00000000-0004-0000-2800-0000C3030000}"/>
    <hyperlink ref="P5109" r:id="rId930" xr:uid="{00000000-0004-0000-2800-0000C5030000}"/>
    <hyperlink ref="AA5109" r:id="rId931" xr:uid="{00000000-0004-0000-2800-0000C6030000}"/>
    <hyperlink ref="P5127" r:id="rId932" xr:uid="{00000000-0004-0000-2800-0000C8030000}"/>
    <hyperlink ref="AA5127" r:id="rId933" xr:uid="{00000000-0004-0000-2800-0000C9030000}"/>
    <hyperlink ref="P5137" r:id="rId934" xr:uid="{00000000-0004-0000-2800-0000CA030000}"/>
    <hyperlink ref="AA5137" r:id="rId935" xr:uid="{00000000-0004-0000-2800-0000CB030000}"/>
    <hyperlink ref="P5138" r:id="rId936" xr:uid="{00000000-0004-0000-2800-0000CC030000}"/>
    <hyperlink ref="AA5138" r:id="rId937" xr:uid="{00000000-0004-0000-2800-0000CD030000}"/>
    <hyperlink ref="C5142" r:id="rId938" xr:uid="{00000000-0004-0000-2800-0000CE030000}"/>
    <hyperlink ref="P5146" r:id="rId939" xr:uid="{00000000-0004-0000-2800-0000CF030000}"/>
    <hyperlink ref="AA5146" r:id="rId940" xr:uid="{00000000-0004-0000-2800-0000D0030000}"/>
    <hyperlink ref="C5151" r:id="rId941" xr:uid="{00000000-0004-0000-2800-0000D1030000}"/>
    <hyperlink ref="P5173" r:id="rId942" xr:uid="{00000000-0004-0000-2800-0000D2030000}"/>
    <hyperlink ref="AA5173" r:id="rId943" xr:uid="{00000000-0004-0000-2800-0000D3030000}"/>
    <hyperlink ref="P5205" r:id="rId944" xr:uid="{00000000-0004-0000-2800-0000D4030000}"/>
    <hyperlink ref="AA5205" r:id="rId945" xr:uid="{00000000-0004-0000-2800-0000D5030000}"/>
    <hyperlink ref="C5207" r:id="rId946" xr:uid="{00000000-0004-0000-2800-0000D6030000}"/>
    <hyperlink ref="C5212" r:id="rId947" xr:uid="{00000000-0004-0000-2800-0000D7030000}"/>
    <hyperlink ref="P5212" r:id="rId948" xr:uid="{00000000-0004-0000-2800-0000D8030000}"/>
    <hyperlink ref="AA5212" r:id="rId949" xr:uid="{00000000-0004-0000-2800-0000D9030000}"/>
    <hyperlink ref="P5224" r:id="rId950" xr:uid="{00000000-0004-0000-2800-0000DA030000}"/>
    <hyperlink ref="AA5224" r:id="rId951" xr:uid="{00000000-0004-0000-2800-0000DB030000}"/>
    <hyperlink ref="P5243" r:id="rId952" xr:uid="{00000000-0004-0000-2800-0000DC030000}"/>
    <hyperlink ref="AA5243" r:id="rId953" xr:uid="{00000000-0004-0000-2800-0000DD030000}"/>
    <hyperlink ref="P5248" r:id="rId954" xr:uid="{00000000-0004-0000-2800-0000DE030000}"/>
    <hyperlink ref="AA5248" r:id="rId955" xr:uid="{00000000-0004-0000-2800-0000DF030000}"/>
    <hyperlink ref="P5259" r:id="rId956" xr:uid="{00000000-0004-0000-2800-0000E0030000}"/>
    <hyperlink ref="AA5259" r:id="rId957" xr:uid="{00000000-0004-0000-2800-0000E1030000}"/>
    <hyperlink ref="P5264" r:id="rId958" xr:uid="{00000000-0004-0000-2800-0000E2030000}"/>
    <hyperlink ref="AA5264" r:id="rId959" xr:uid="{00000000-0004-0000-2800-0000E3030000}"/>
    <hyperlink ref="P5280" r:id="rId960" xr:uid="{00000000-0004-0000-2800-0000E4030000}"/>
    <hyperlink ref="AA5280" r:id="rId961" xr:uid="{00000000-0004-0000-2800-0000E5030000}"/>
    <hyperlink ref="P5298" r:id="rId962" xr:uid="{00000000-0004-0000-2800-0000E6030000}"/>
    <hyperlink ref="AA5298" r:id="rId963" xr:uid="{00000000-0004-0000-2800-0000E7030000}"/>
    <hyperlink ref="P5299" r:id="rId964" xr:uid="{00000000-0004-0000-2800-0000E8030000}"/>
    <hyperlink ref="C5304" r:id="rId965" xr:uid="{00000000-0004-0000-2800-0000E9030000}"/>
    <hyperlink ref="P5308" r:id="rId966" xr:uid="{00000000-0004-0000-2800-0000EA030000}"/>
    <hyperlink ref="AA5308" r:id="rId967" xr:uid="{00000000-0004-0000-2800-0000EB030000}"/>
    <hyperlink ref="C5313" r:id="rId968" xr:uid="{00000000-0004-0000-2800-0000EC030000}"/>
    <hyperlink ref="P5313" r:id="rId969" xr:uid="{00000000-0004-0000-2800-0000ED030000}"/>
    <hyperlink ref="AA5313" r:id="rId970" xr:uid="{00000000-0004-0000-2800-0000EE030000}"/>
    <hyperlink ref="C5314" r:id="rId971" xr:uid="{00000000-0004-0000-2800-0000EF030000}"/>
    <hyperlink ref="P5314" r:id="rId972" xr:uid="{00000000-0004-0000-2800-0000F0030000}"/>
    <hyperlink ref="AA5314" r:id="rId973" xr:uid="{00000000-0004-0000-2800-0000F1030000}"/>
    <hyperlink ref="C5315" r:id="rId974" xr:uid="{00000000-0004-0000-2800-0000F2030000}"/>
    <hyperlink ref="P5316" r:id="rId975" xr:uid="{00000000-0004-0000-2800-0000F3030000}"/>
    <hyperlink ref="AA5316" r:id="rId976" xr:uid="{00000000-0004-0000-2800-0000F4030000}"/>
    <hyperlink ref="C5317" r:id="rId977" xr:uid="{00000000-0004-0000-2800-0000F5030000}"/>
    <hyperlink ref="C5332" r:id="rId978" xr:uid="{00000000-0004-0000-2800-0000F6030000}"/>
    <hyperlink ref="AA5355" r:id="rId979" xr:uid="{00000000-0004-0000-2800-0000F7030000}"/>
    <hyperlink ref="C5447" r:id="rId980" xr:uid="{00000000-0004-0000-2800-0000F8030000}"/>
    <hyperlink ref="C5459" r:id="rId981" xr:uid="{00000000-0004-0000-2800-0000F9030000}"/>
    <hyperlink ref="C5480" r:id="rId982" xr:uid="{00000000-0004-0000-2800-0000FA030000}"/>
    <hyperlink ref="AA5480" r:id="rId983" xr:uid="{00000000-0004-0000-2800-0000FB030000}"/>
    <hyperlink ref="C5482" r:id="rId984" xr:uid="{00000000-0004-0000-2800-0000FC030000}"/>
    <hyperlink ref="C5483" r:id="rId985" xr:uid="{00000000-0004-0000-2800-0000FD030000}"/>
    <hyperlink ref="C5486" r:id="rId986" xr:uid="{00000000-0004-0000-2800-0000FE030000}"/>
    <hyperlink ref="C5487" r:id="rId987" xr:uid="{00000000-0004-0000-2800-0000FF030000}"/>
    <hyperlink ref="C5490" r:id="rId988" xr:uid="{00000000-0004-0000-2800-000000040000}"/>
    <hyperlink ref="C5496" r:id="rId989" xr:uid="{00000000-0004-0000-2800-000001040000}"/>
    <hyperlink ref="C5498" r:id="rId990" xr:uid="{00000000-0004-0000-2800-000002040000}"/>
    <hyperlink ref="C5504" r:id="rId991" xr:uid="{00000000-0004-0000-2800-000003040000}"/>
    <hyperlink ref="C5508" r:id="rId992" xr:uid="{00000000-0004-0000-2800-000004040000}"/>
    <hyperlink ref="C5529" r:id="rId993" xr:uid="{00000000-0004-0000-2800-000005040000}"/>
    <hyperlink ref="C5533" r:id="rId994" xr:uid="{00000000-0004-0000-2800-000006040000}"/>
    <hyperlink ref="C5545" r:id="rId995" xr:uid="{00000000-0004-0000-2800-000007040000}"/>
    <hyperlink ref="C5548" r:id="rId996" xr:uid="{00000000-0004-0000-2800-000008040000}"/>
    <hyperlink ref="C5549" r:id="rId997" xr:uid="{00000000-0004-0000-2800-000009040000}"/>
    <hyperlink ref="C5555" r:id="rId998" xr:uid="{00000000-0004-0000-2800-00000A040000}"/>
    <hyperlink ref="C5560" r:id="rId999" xr:uid="{00000000-0004-0000-2800-00000B040000}"/>
    <hyperlink ref="C5563" r:id="rId1000" xr:uid="{00000000-0004-0000-2800-00000C040000}"/>
    <hyperlink ref="C5564" r:id="rId1001" xr:uid="{00000000-0004-0000-2800-00000D040000}"/>
    <hyperlink ref="C5569" r:id="rId1002" xr:uid="{00000000-0004-0000-2800-00000E040000}"/>
    <hyperlink ref="C5577" r:id="rId1003" xr:uid="{00000000-0004-0000-2800-00000F040000}"/>
    <hyperlink ref="C5580" r:id="rId1004" xr:uid="{00000000-0004-0000-2800-000010040000}"/>
    <hyperlink ref="C5582" r:id="rId1005" xr:uid="{00000000-0004-0000-2800-000011040000}"/>
    <hyperlink ref="C5584" r:id="rId1006" xr:uid="{00000000-0004-0000-2800-000012040000}"/>
    <hyperlink ref="C5593" r:id="rId1007" xr:uid="{00000000-0004-0000-2800-000013040000}"/>
    <hyperlink ref="C5595" r:id="rId1008" xr:uid="{00000000-0004-0000-2800-000014040000}"/>
    <hyperlink ref="C5604" r:id="rId1009" xr:uid="{00000000-0004-0000-2800-000015040000}"/>
    <hyperlink ref="C5609" r:id="rId1010" xr:uid="{00000000-0004-0000-2800-000016040000}"/>
    <hyperlink ref="P5609" r:id="rId1011" xr:uid="{00000000-0004-0000-2800-000017040000}"/>
    <hyperlink ref="C5610" r:id="rId1012" xr:uid="{00000000-0004-0000-2800-000018040000}"/>
    <hyperlink ref="C5612" r:id="rId1013" xr:uid="{00000000-0004-0000-2800-000019040000}"/>
    <hyperlink ref="P5612" r:id="rId1014" xr:uid="{00000000-0004-0000-2800-00001A040000}"/>
    <hyperlink ref="C5613" r:id="rId1015" xr:uid="{00000000-0004-0000-2800-00001B040000}"/>
    <hyperlink ref="P5613" r:id="rId1016" xr:uid="{00000000-0004-0000-2800-00001C040000}"/>
    <hyperlink ref="C5614" r:id="rId1017" xr:uid="{00000000-0004-0000-2800-00001D040000}"/>
    <hyperlink ref="C5615" r:id="rId1018" xr:uid="{00000000-0004-0000-2800-00001E040000}"/>
    <hyperlink ref="C5616" r:id="rId1019" xr:uid="{00000000-0004-0000-2800-00001F040000}"/>
    <hyperlink ref="C5617" r:id="rId1020" xr:uid="{00000000-0004-0000-2800-000020040000}"/>
    <hyperlink ref="C5618" r:id="rId1021" xr:uid="{00000000-0004-0000-2800-000021040000}"/>
    <hyperlink ref="C5619" r:id="rId1022" xr:uid="{00000000-0004-0000-2800-000022040000}"/>
    <hyperlink ref="C5621" r:id="rId1023" xr:uid="{00000000-0004-0000-2800-000023040000}"/>
    <hyperlink ref="C5622" r:id="rId1024" xr:uid="{00000000-0004-0000-2800-000024040000}"/>
    <hyperlink ref="C5624" r:id="rId1025" xr:uid="{00000000-0004-0000-2800-000025040000}"/>
    <hyperlink ref="P5624" r:id="rId1026" xr:uid="{00000000-0004-0000-2800-000026040000}"/>
    <hyperlink ref="AA5624" r:id="rId1027" xr:uid="{00000000-0004-0000-2800-000028040000}"/>
    <hyperlink ref="C5625" r:id="rId1028" xr:uid="{00000000-0004-0000-2800-00002A040000}"/>
    <hyperlink ref="C5626" r:id="rId1029" xr:uid="{00000000-0004-0000-2800-00002B040000}"/>
    <hyperlink ref="C5627" r:id="rId1030" xr:uid="{00000000-0004-0000-2800-00002C040000}"/>
    <hyperlink ref="C5629" r:id="rId1031" xr:uid="{00000000-0004-0000-2800-00002D040000}"/>
    <hyperlink ref="C5630" r:id="rId1032" xr:uid="{00000000-0004-0000-2800-00002E040000}"/>
    <hyperlink ref="C5631" r:id="rId1033" xr:uid="{00000000-0004-0000-2800-00002F040000}"/>
    <hyperlink ref="P5631" r:id="rId1034" xr:uid="{00000000-0004-0000-2800-000030040000}"/>
    <hyperlink ref="AA5631" r:id="rId1035" xr:uid="{00000000-0004-0000-2800-000031040000}"/>
    <hyperlink ref="C5632" r:id="rId1036" xr:uid="{00000000-0004-0000-2800-000032040000}"/>
    <hyperlink ref="P5632" r:id="rId1037" xr:uid="{00000000-0004-0000-2800-000033040000}"/>
    <hyperlink ref="C5633" r:id="rId1038" xr:uid="{00000000-0004-0000-2800-000034040000}"/>
    <hyperlink ref="C5634" r:id="rId1039" xr:uid="{00000000-0004-0000-2800-000035040000}"/>
    <hyperlink ref="C5635" r:id="rId1040" xr:uid="{00000000-0004-0000-2800-000036040000}"/>
    <hyperlink ref="C5637" r:id="rId1041" xr:uid="{00000000-0004-0000-2800-000037040000}"/>
    <hyperlink ref="C5638" r:id="rId1042" xr:uid="{00000000-0004-0000-2800-000038040000}"/>
    <hyperlink ref="C5639" r:id="rId1043" xr:uid="{00000000-0004-0000-2800-000039040000}"/>
    <hyperlink ref="C5642" r:id="rId1044" xr:uid="{00000000-0004-0000-2800-00003A040000}"/>
    <hyperlink ref="C5643" r:id="rId1045" xr:uid="{00000000-0004-0000-2800-00003B040000}"/>
    <hyperlink ref="P5643" r:id="rId1046" xr:uid="{00000000-0004-0000-2800-00003C040000}"/>
    <hyperlink ref="AA5643" r:id="rId1047" xr:uid="{00000000-0004-0000-2800-00003D040000}"/>
    <hyperlink ref="C5644" r:id="rId1048" xr:uid="{00000000-0004-0000-2800-00003E040000}"/>
    <hyperlink ref="C5645" r:id="rId1049" xr:uid="{00000000-0004-0000-2800-00003F040000}"/>
    <hyperlink ref="C5646" r:id="rId1050" xr:uid="{00000000-0004-0000-2800-000040040000}"/>
    <hyperlink ref="P5646" r:id="rId1051" xr:uid="{00000000-0004-0000-2800-000041040000}"/>
    <hyperlink ref="Q5646" r:id="rId1052" xr:uid="{00000000-0004-0000-2800-000042040000}"/>
    <hyperlink ref="C5647" r:id="rId1053" xr:uid="{00000000-0004-0000-2800-000043040000}"/>
    <hyperlink ref="C5648" r:id="rId1054" xr:uid="{00000000-0004-0000-2800-000044040000}"/>
    <hyperlink ref="C5651" r:id="rId1055" xr:uid="{00000000-0004-0000-2800-000045040000}"/>
    <hyperlink ref="AA5651" r:id="rId1056" xr:uid="{00000000-0004-0000-2800-000046040000}"/>
    <hyperlink ref="C5652" r:id="rId1057" xr:uid="{00000000-0004-0000-2800-000047040000}"/>
    <hyperlink ref="C5654" r:id="rId1058" xr:uid="{00000000-0004-0000-2800-000048040000}"/>
    <hyperlink ref="C5655" r:id="rId1059" xr:uid="{00000000-0004-0000-2800-000049040000}"/>
    <hyperlink ref="C5656" r:id="rId1060" xr:uid="{00000000-0004-0000-2800-00004A040000}"/>
    <hyperlink ref="C5657" r:id="rId1061" xr:uid="{00000000-0004-0000-2800-00004B040000}"/>
    <hyperlink ref="C5658" r:id="rId1062" xr:uid="{00000000-0004-0000-2800-00004C040000}"/>
    <hyperlink ref="C5659" r:id="rId1063" xr:uid="{00000000-0004-0000-2800-00004D040000}"/>
    <hyperlink ref="C5660" r:id="rId1064" xr:uid="{00000000-0004-0000-2800-00004E040000}"/>
    <hyperlink ref="C5662" r:id="rId1065" xr:uid="{00000000-0004-0000-2800-00004F040000}"/>
    <hyperlink ref="C5663" r:id="rId1066" xr:uid="{00000000-0004-0000-2800-000050040000}"/>
    <hyperlink ref="C5664" r:id="rId1067" xr:uid="{00000000-0004-0000-2800-000051040000}"/>
    <hyperlink ref="C5665" r:id="rId1068" xr:uid="{00000000-0004-0000-2800-000052040000}"/>
    <hyperlink ref="C5666" r:id="rId1069" xr:uid="{00000000-0004-0000-2800-000053040000}"/>
    <hyperlink ref="C5667" r:id="rId1070" xr:uid="{00000000-0004-0000-2800-000054040000}"/>
    <hyperlink ref="C5668" r:id="rId1071" xr:uid="{00000000-0004-0000-2800-000055040000}"/>
    <hyperlink ref="C5669" r:id="rId1072" xr:uid="{00000000-0004-0000-2800-000056040000}"/>
    <hyperlink ref="C5671" r:id="rId1073" xr:uid="{00000000-0004-0000-2800-000057040000}"/>
    <hyperlink ref="C5672" r:id="rId1074" xr:uid="{00000000-0004-0000-2800-000058040000}"/>
    <hyperlink ref="C5673" r:id="rId1075" xr:uid="{00000000-0004-0000-2800-000059040000}"/>
    <hyperlink ref="O5673" r:id="rId1076" xr:uid="{00000000-0004-0000-2800-00005A040000}"/>
    <hyperlink ref="P5673" r:id="rId1077" xr:uid="{00000000-0004-0000-2800-00005B040000}"/>
    <hyperlink ref="C5675" r:id="rId1078" xr:uid="{00000000-0004-0000-2800-00005C040000}"/>
    <hyperlink ref="C5676" r:id="rId1079" xr:uid="{00000000-0004-0000-2800-00005D040000}"/>
    <hyperlink ref="C5677" r:id="rId1080" xr:uid="{00000000-0004-0000-2800-00005E040000}"/>
    <hyperlink ref="C5679" r:id="rId1081" xr:uid="{00000000-0004-0000-2800-00005F040000}"/>
    <hyperlink ref="P5679" r:id="rId1082" xr:uid="{00000000-0004-0000-2800-000060040000}"/>
    <hyperlink ref="AA5679" r:id="rId1083" xr:uid="{00000000-0004-0000-2800-000061040000}"/>
    <hyperlink ref="C5680" r:id="rId1084" xr:uid="{00000000-0004-0000-2800-000063040000}"/>
    <hyperlink ref="C5682" r:id="rId1085" xr:uid="{00000000-0004-0000-2800-000064040000}"/>
    <hyperlink ref="C5683" r:id="rId1086" xr:uid="{00000000-0004-0000-2800-000065040000}"/>
    <hyperlink ref="C5684" r:id="rId1087" xr:uid="{00000000-0004-0000-2800-000066040000}"/>
    <hyperlink ref="C5685" r:id="rId1088" xr:uid="{00000000-0004-0000-2800-000067040000}"/>
    <hyperlink ref="P5685" r:id="rId1089" xr:uid="{00000000-0004-0000-2800-000068040000}"/>
    <hyperlink ref="Q2653" r:id="rId1090" display="One of the cheapest MPS available " xr:uid="{70BF0FEE-9E16-4357-A43D-9BE4178FD782}"/>
    <hyperlink ref="Q85" r:id="rId1091" xr:uid="{0A685DE9-6D3E-4F0D-A803-22E6497C3DED}"/>
    <hyperlink ref="Q91" r:id="rId1092" xr:uid="{37FD3973-7132-40F0-9E3C-0A38D90F69CE}"/>
    <hyperlink ref="Q95" r:id="rId1093" xr:uid="{25A79559-D316-48ED-B4F5-98BF969A1C6A}"/>
    <hyperlink ref="Q99" r:id="rId1094" xr:uid="{EADA6C7B-A640-44CF-B595-1E43E113C9AF}"/>
    <hyperlink ref="Q117" r:id="rId1095" xr:uid="{536EC9AB-2247-471D-9724-92D2B65ED3A8}"/>
    <hyperlink ref="Q122" r:id="rId1096" xr:uid="{9B2844A9-D66E-452C-94F1-14C62D5E18B1}"/>
    <hyperlink ref="Q133" r:id="rId1097" xr:uid="{61AFE10E-60BB-43AF-9EAA-DFA4052BA5BD}"/>
    <hyperlink ref="Q156" r:id="rId1098" xr:uid="{12332201-50B9-46E5-ACF7-490BA3A64B8A}"/>
    <hyperlink ref="Q170" r:id="rId1099" xr:uid="{8029FBA6-AEE8-4C67-859C-A3D7C9474258}"/>
    <hyperlink ref="Q167" r:id="rId1100" xr:uid="{A9993013-970A-4A1A-BA25-756E350FD026}"/>
    <hyperlink ref="Q175" r:id="rId1101" xr:uid="{FFFD7F42-166C-4164-9851-490B474A2B6A}"/>
    <hyperlink ref="Q176" r:id="rId1102" xr:uid="{3A45ADBA-F6A1-4C82-AF2E-14735E4483F4}"/>
    <hyperlink ref="Q178" r:id="rId1103" xr:uid="{3219B829-1906-455F-AC42-8A5D0610AB12}"/>
    <hyperlink ref="Q192" r:id="rId1104" xr:uid="{EED7382D-26F0-4DA9-92D9-E854DE2D02EA}"/>
    <hyperlink ref="Q2783" r:id="rId1105" xr:uid="{1FDF3E25-DE38-498D-8104-1C8D2EB3AA01}"/>
    <hyperlink ref="Q228" r:id="rId1106" display="https://www.saltus.co.uk/managed-portfolio-service/portfolio-service" xr:uid="{A858CFA0-F757-4F84-A10B-053431857B4F}"/>
    <hyperlink ref="Q2174" r:id="rId1107" xr:uid="{F75298E1-CB51-4569-84FC-9E7333761A23}"/>
    <hyperlink ref="Q3975" r:id="rId1108" display="Using average OCF of all the balanced fund share classes" xr:uid="{ECA466F2-30C4-4E94-A3B6-3502A50C8974}"/>
    <hyperlink ref="Q4587" r:id="rId1109" xr:uid="{660B4A22-3244-4B37-A513-B350FA5F8CBC}"/>
    <hyperlink ref="Q5673" r:id="rId1110" xr:uid="{C1E078B5-9BFF-4E5D-A680-F6E78074494C}"/>
    <hyperlink ref="Q3099" r:id="rId1111" xr:uid="{D813BEAF-8D31-4A98-848E-0C4D3EFA173C}"/>
    <hyperlink ref="Q3172" r:id="rId1112" xr:uid="{98D8BCEB-BBBD-4025-9F8D-DF9D3E7B4E83}"/>
    <hyperlink ref="Q601" r:id="rId1113" xr:uid="{397FE673-4E80-46F1-B254-8C91D669A434}"/>
    <hyperlink ref="Q3091" r:id="rId1114" xr:uid="{7519766B-DFF6-4BB6-9E96-A5E846DCC8F5}"/>
    <hyperlink ref="Q2933" r:id="rId1115" display="https://www.quilter.com/documents/?filters=116434" xr:uid="{A1C02035-2432-4878-8FB0-E8EC5AC7A3C5}"/>
    <hyperlink ref="Q2945" r:id="rId1116" display="https://www.quilter.com/documents/?filters=116434" xr:uid="{BEEB353D-BB4B-4750-A341-B1C54F04FA2E}"/>
    <hyperlink ref="Q2960" r:id="rId1117" display="https://www.quilter.com/documents/?filters=116434" xr:uid="{CB083C3A-CA1C-458A-A9BD-46727FB6F0BE}"/>
    <hyperlink ref="Q2963" r:id="rId1118" display="https://www.quilter.com/documents/?filters=116434" xr:uid="{4F056043-017A-4C6A-9B8E-32E16CF7E4A2}"/>
    <hyperlink ref="Q2871" r:id="rId1119" xr:uid="{4029D986-F192-44EB-AE26-5E515044F5C9}"/>
    <hyperlink ref="C4844" r:id="rId1120" xr:uid="{F5A1E489-C2B0-484C-A301-E817BD4C7EFD}"/>
    <hyperlink ref="Q2909" r:id="rId1121" xr:uid="{95A40AB1-EFFB-497F-9AE4-2A85ED1B89F1}"/>
    <hyperlink ref="Q2913" r:id="rId1122" xr:uid="{75344C7B-9842-47AB-962B-914B712FDA77}"/>
    <hyperlink ref="Q3583" r:id="rId1123" xr:uid="{37CD3CD1-1DBF-4949-B4BE-C7241017E302}"/>
    <hyperlink ref="Q5048" r:id="rId1124" xr:uid="{FC8B9EB0-1C9E-410B-B65C-E17C206687C9}"/>
    <hyperlink ref="Q39" r:id="rId1125" display="https://www.trustnet.com/factsheets/O/ibre/barclays-multi-asset-cautious-income/" xr:uid="{DAF3B0CD-431F-4B47-ACE7-9367F2F5A7EB}"/>
    <hyperlink ref="Q934" r:id="rId1126" display="https://www.trustnet.com/factsheets/O/ibre/barclays-multi-asset-cautious-income/" xr:uid="{0CE98678-7174-4064-AC11-CB382714C116}"/>
    <hyperlink ref="Q233" r:id="rId1127" display="https://www.saltus.co.uk/managed-portfolio-service/portfolio-service" xr:uid="{43CE05C2-4A57-494C-A461-E3201CC6B29F}"/>
    <hyperlink ref="Q242" r:id="rId1128" display="https://www.saltus.co.uk/managed-portfolio-service/portfolio-service" xr:uid="{58E2A92A-93BA-4FC8-A90C-EE81FC8A74F5}"/>
    <hyperlink ref="Q244" r:id="rId1129" display="https://www.saltus.co.uk/managed-portfolio-service/portfolio-service" xr:uid="{14E678DD-ACCE-4224-BBAE-EACB55EBD715}"/>
    <hyperlink ref="Q5679" r:id="rId1130" display="https://www.saltus.co.uk/managed-portfolio-service/portfolio-service" xr:uid="{F2A74AE2-A8CE-4AA4-96E6-958D8F76C8D6}"/>
    <hyperlink ref="Q1609" r:id="rId1131" display="https://www.ifslfunds.com/sponsor/wise-funds" xr:uid="{5DD2B3D3-415C-4CC7-AD58-9B829678FA46}"/>
    <hyperlink ref="Q1416" r:id="rId1132" display="https://api.titanwh.com/assets/b9014520-1e54-4706-93da-5a2472bdef9a?" xr:uid="{7293D33D-DA36-4788-8194-2B6BEA13AB58}"/>
    <hyperlink ref="Q1434" r:id="rId1133" display="https://api.titanwh.com/assets/b9014520-1e54-4706-93da-5a2472bdef9a?" xr:uid="{D067D16B-3103-42DC-BB44-8E0FC178FB4A}"/>
    <hyperlink ref="Q1444" r:id="rId1134" display="https://api.titanwh.com/assets/b9014520-1e54-4706-93da-5a2472bdef9a?" xr:uid="{3BCD8902-0335-4C1C-A0CC-23C3F6F62BEC}"/>
    <hyperlink ref="Q1496" r:id="rId1135" display="https://api.titanwh.com/assets/b9014520-1e54-4706-93da-5a2472bdef9a?" xr:uid="{ADD41D7B-C472-4490-B39D-08B2A351F008}"/>
    <hyperlink ref="AD228" r:id="rId1136" display="https://www.saltus.co.uk/managed-portfolio-service/portfolio-service" xr:uid="{9E7DE6D0-44DA-46F2-BD78-0CA5E103468D}"/>
    <hyperlink ref="AD233" r:id="rId1137" display="https://www.saltus.co.uk/managed-portfolio-service/portfolio-service" xr:uid="{24AD1746-C98E-43A1-8353-DF2540C62160}"/>
    <hyperlink ref="AD242" r:id="rId1138" display="https://www.saltus.co.uk/managed-portfolio-service/portfolio-service" xr:uid="{1FD55CDD-3E14-42AC-93B0-F06D8FE26241}"/>
    <hyperlink ref="AD244" r:id="rId1139" display="https://www.saltus.co.uk/managed-portfolio-service/portfolio-service" xr:uid="{3ED0197D-B671-4DAD-A3B4-9A42D59CDC65}"/>
    <hyperlink ref="P2909" r:id="rId1140" xr:uid="{64E95202-ED39-478C-9466-7CF257C7F99C}"/>
    <hyperlink ref="P2913" r:id="rId1141" xr:uid="{09293821-C7D8-4F9F-91A2-EF37BA1DF68D}"/>
    <hyperlink ref="P2933" r:id="rId1142" xr:uid="{D8B9C185-4E91-4806-B108-9A696147A3D7}"/>
    <hyperlink ref="AD5080" r:id="rId1143" xr:uid="{2330D54B-3B17-473C-9D66-95477974898F}"/>
    <hyperlink ref="AD5081" r:id="rId1144" xr:uid="{6E298EB2-3BFC-443D-AF53-74C1C1188DC4}"/>
    <hyperlink ref="AD5109" r:id="rId1145" xr:uid="{DCE7DCAF-FA96-47EE-AAB7-44304FCD12FC}"/>
  </hyperlinks>
  <pageMargins left="0.7" right="0.7" top="0.75" bottom="0.75" header="0.511811023622047" footer="0.511811023622047"/>
  <pageSetup paperSize="9" orientation="portrait" horizontalDpi="300" verticalDpi="300"/>
  <tableParts count="1">
    <tablePart r:id="rId1146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B5424"/>
  <sheetViews>
    <sheetView zoomScaleNormal="100" zoomScalePageLayoutView="60" workbookViewId="0"/>
  </sheetViews>
  <sheetFormatPr defaultColWidth="12.85546875" defaultRowHeight="15" x14ac:dyDescent="0.25"/>
  <sheetData>
    <row r="1" spans="1:2" x14ac:dyDescent="0.25">
      <c r="A1" t="s">
        <v>5702</v>
      </c>
      <c r="B1" t="s">
        <v>5703</v>
      </c>
    </row>
    <row r="2" spans="1:2" x14ac:dyDescent="0.25">
      <c r="A2" t="s">
        <v>2194</v>
      </c>
      <c r="B2" t="s">
        <v>6000</v>
      </c>
    </row>
    <row r="3" spans="1:2" x14ac:dyDescent="0.25">
      <c r="A3" t="s">
        <v>2355</v>
      </c>
      <c r="B3" t="s">
        <v>5804</v>
      </c>
    </row>
    <row r="4" spans="1:2" x14ac:dyDescent="0.25">
      <c r="A4" t="s">
        <v>4047</v>
      </c>
      <c r="B4" t="s">
        <v>5858</v>
      </c>
    </row>
    <row r="5" spans="1:2" x14ac:dyDescent="0.25">
      <c r="A5" t="s">
        <v>3772</v>
      </c>
      <c r="B5" t="s">
        <v>5806</v>
      </c>
    </row>
    <row r="6" spans="1:2" x14ac:dyDescent="0.25">
      <c r="A6" t="s">
        <v>2125</v>
      </c>
      <c r="B6" t="s">
        <v>5782</v>
      </c>
    </row>
    <row r="7" spans="1:2" x14ac:dyDescent="0.25">
      <c r="A7" t="s">
        <v>2267</v>
      </c>
      <c r="B7" t="s">
        <v>5704</v>
      </c>
    </row>
    <row r="8" spans="1:2" x14ac:dyDescent="0.25">
      <c r="A8" t="s">
        <v>2667</v>
      </c>
      <c r="B8" t="s">
        <v>5728</v>
      </c>
    </row>
    <row r="9" spans="1:2" x14ac:dyDescent="0.25">
      <c r="A9" t="s">
        <v>4297</v>
      </c>
      <c r="B9" t="s">
        <v>6642</v>
      </c>
    </row>
    <row r="10" spans="1:2" x14ac:dyDescent="0.25">
      <c r="A10" t="s">
        <v>3224</v>
      </c>
      <c r="B10" t="s">
        <v>5790</v>
      </c>
    </row>
    <row r="11" spans="1:2" x14ac:dyDescent="0.25">
      <c r="A11" t="s">
        <v>3389</v>
      </c>
      <c r="B11" t="s">
        <v>5992</v>
      </c>
    </row>
    <row r="12" spans="1:2" x14ac:dyDescent="0.25">
      <c r="A12" t="s">
        <v>3597</v>
      </c>
      <c r="B12" t="s">
        <v>5849</v>
      </c>
    </row>
    <row r="13" spans="1:2" x14ac:dyDescent="0.25">
      <c r="A13" t="s">
        <v>161</v>
      </c>
      <c r="B13" t="s">
        <v>6112</v>
      </c>
    </row>
    <row r="14" spans="1:2" x14ac:dyDescent="0.25">
      <c r="A14" t="s">
        <v>3171</v>
      </c>
      <c r="B14" t="s">
        <v>6164</v>
      </c>
    </row>
    <row r="15" spans="1:2" x14ac:dyDescent="0.25">
      <c r="A15" t="s">
        <v>1200</v>
      </c>
      <c r="B15" t="s">
        <v>6096</v>
      </c>
    </row>
    <row r="16" spans="1:2" x14ac:dyDescent="0.25">
      <c r="A16" t="s">
        <v>4653</v>
      </c>
      <c r="B16" t="s">
        <v>5787</v>
      </c>
    </row>
    <row r="17" spans="1:2" x14ac:dyDescent="0.25">
      <c r="A17" t="s">
        <v>2506</v>
      </c>
      <c r="B17" t="s">
        <v>6367</v>
      </c>
    </row>
    <row r="18" spans="1:2" x14ac:dyDescent="0.25">
      <c r="A18" t="s">
        <v>4414</v>
      </c>
      <c r="B18" t="s">
        <v>5837</v>
      </c>
    </row>
    <row r="19" spans="1:2" x14ac:dyDescent="0.25">
      <c r="A19" t="s">
        <v>2864</v>
      </c>
      <c r="B19" t="s">
        <v>6077</v>
      </c>
    </row>
    <row r="20" spans="1:2" x14ac:dyDescent="0.25">
      <c r="A20" t="s">
        <v>1477</v>
      </c>
      <c r="B20" t="s">
        <v>5787</v>
      </c>
    </row>
    <row r="21" spans="1:2" x14ac:dyDescent="0.25">
      <c r="A21" t="s">
        <v>3451</v>
      </c>
      <c r="B21" t="s">
        <v>5790</v>
      </c>
    </row>
    <row r="22" spans="1:2" x14ac:dyDescent="0.25">
      <c r="A22" t="s">
        <v>2963</v>
      </c>
      <c r="B22" t="s">
        <v>5900</v>
      </c>
    </row>
    <row r="23" spans="1:2" x14ac:dyDescent="0.25">
      <c r="A23" t="s">
        <v>4607</v>
      </c>
      <c r="B23" t="s">
        <v>6079</v>
      </c>
    </row>
    <row r="24" spans="1:2" x14ac:dyDescent="0.25">
      <c r="A24" t="s">
        <v>5253</v>
      </c>
      <c r="B24" t="s">
        <v>5790</v>
      </c>
    </row>
    <row r="25" spans="1:2" x14ac:dyDescent="0.25">
      <c r="A25" t="s">
        <v>5688</v>
      </c>
      <c r="B25" t="s">
        <v>5883</v>
      </c>
    </row>
    <row r="26" spans="1:2" x14ac:dyDescent="0.25">
      <c r="A26" t="s">
        <v>1734</v>
      </c>
      <c r="B26" t="s">
        <v>6059</v>
      </c>
    </row>
    <row r="27" spans="1:2" x14ac:dyDescent="0.25">
      <c r="A27" t="s">
        <v>299</v>
      </c>
      <c r="B27" t="s">
        <v>5787</v>
      </c>
    </row>
    <row r="28" spans="1:2" x14ac:dyDescent="0.25">
      <c r="A28" t="s">
        <v>346</v>
      </c>
      <c r="B28" t="s">
        <v>6314</v>
      </c>
    </row>
    <row r="29" spans="1:2" x14ac:dyDescent="0.25">
      <c r="A29" t="s">
        <v>3841</v>
      </c>
      <c r="B29" t="s">
        <v>5774</v>
      </c>
    </row>
    <row r="30" spans="1:2" x14ac:dyDescent="0.25">
      <c r="A30" t="s">
        <v>5339</v>
      </c>
      <c r="B30" t="s">
        <v>5787</v>
      </c>
    </row>
    <row r="31" spans="1:2" x14ac:dyDescent="0.25">
      <c r="A31" t="s">
        <v>1775</v>
      </c>
      <c r="B31" t="s">
        <v>5807</v>
      </c>
    </row>
    <row r="32" spans="1:2" x14ac:dyDescent="0.25">
      <c r="A32" t="s">
        <v>4191</v>
      </c>
      <c r="B32" t="s">
        <v>5704</v>
      </c>
    </row>
    <row r="33" spans="1:2" x14ac:dyDescent="0.25">
      <c r="A33" t="s">
        <v>1697</v>
      </c>
      <c r="B33" t="s">
        <v>5782</v>
      </c>
    </row>
    <row r="34" spans="1:2" x14ac:dyDescent="0.25">
      <c r="A34" t="s">
        <v>2300</v>
      </c>
      <c r="B34" t="s">
        <v>5851</v>
      </c>
    </row>
    <row r="35" spans="1:2" x14ac:dyDescent="0.25">
      <c r="A35" t="s">
        <v>1470</v>
      </c>
      <c r="B35" t="s">
        <v>6162</v>
      </c>
    </row>
    <row r="36" spans="1:2" x14ac:dyDescent="0.25">
      <c r="A36" t="s">
        <v>3364</v>
      </c>
      <c r="B36" t="s">
        <v>5806</v>
      </c>
    </row>
    <row r="37" spans="1:2" x14ac:dyDescent="0.25">
      <c r="A37" t="s">
        <v>3750</v>
      </c>
      <c r="B37" t="s">
        <v>6080</v>
      </c>
    </row>
    <row r="38" spans="1:2" x14ac:dyDescent="0.25">
      <c r="A38" t="s">
        <v>1509</v>
      </c>
      <c r="B38" t="s">
        <v>5806</v>
      </c>
    </row>
    <row r="39" spans="1:2" x14ac:dyDescent="0.25">
      <c r="A39" t="s">
        <v>5156</v>
      </c>
      <c r="B39" t="s">
        <v>5865</v>
      </c>
    </row>
    <row r="40" spans="1:2" x14ac:dyDescent="0.25">
      <c r="A40" t="s">
        <v>4939</v>
      </c>
      <c r="B40" t="s">
        <v>5836</v>
      </c>
    </row>
    <row r="41" spans="1:2" x14ac:dyDescent="0.25">
      <c r="A41" t="s">
        <v>1558</v>
      </c>
      <c r="B41" t="s">
        <v>5882</v>
      </c>
    </row>
    <row r="42" spans="1:2" x14ac:dyDescent="0.25">
      <c r="A42" t="s">
        <v>586</v>
      </c>
      <c r="B42" t="s">
        <v>6007</v>
      </c>
    </row>
    <row r="43" spans="1:2" x14ac:dyDescent="0.25">
      <c r="A43" t="s">
        <v>5358</v>
      </c>
      <c r="B43" t="s">
        <v>5951</v>
      </c>
    </row>
    <row r="44" spans="1:2" x14ac:dyDescent="0.25">
      <c r="A44" t="s">
        <v>4192</v>
      </c>
      <c r="B44" t="s">
        <v>5744</v>
      </c>
    </row>
    <row r="45" spans="1:2" x14ac:dyDescent="0.25">
      <c r="A45" t="s">
        <v>2354</v>
      </c>
      <c r="B45" t="s">
        <v>6341</v>
      </c>
    </row>
    <row r="46" spans="1:2" x14ac:dyDescent="0.25">
      <c r="A46" t="s">
        <v>835</v>
      </c>
      <c r="B46" t="s">
        <v>6199</v>
      </c>
    </row>
    <row r="47" spans="1:2" x14ac:dyDescent="0.25">
      <c r="A47" t="s">
        <v>1062</v>
      </c>
      <c r="B47" t="s">
        <v>5770</v>
      </c>
    </row>
    <row r="48" spans="1:2" x14ac:dyDescent="0.25">
      <c r="A48" t="s">
        <v>2418</v>
      </c>
      <c r="B48" t="s">
        <v>6264</v>
      </c>
    </row>
    <row r="49" spans="1:2" x14ac:dyDescent="0.25">
      <c r="A49" t="s">
        <v>2764</v>
      </c>
      <c r="B49" t="s">
        <v>6335</v>
      </c>
    </row>
    <row r="50" spans="1:2" x14ac:dyDescent="0.25">
      <c r="A50" t="s">
        <v>726</v>
      </c>
      <c r="B50" t="s">
        <v>5750</v>
      </c>
    </row>
    <row r="51" spans="1:2" x14ac:dyDescent="0.25">
      <c r="A51" t="s">
        <v>4005</v>
      </c>
    </row>
    <row r="52" spans="1:2" x14ac:dyDescent="0.25">
      <c r="A52" t="s">
        <v>4283</v>
      </c>
      <c r="B52" t="s">
        <v>6239</v>
      </c>
    </row>
    <row r="53" spans="1:2" x14ac:dyDescent="0.25">
      <c r="A53" t="s">
        <v>5485</v>
      </c>
      <c r="B53" t="s">
        <v>5780</v>
      </c>
    </row>
    <row r="54" spans="1:2" x14ac:dyDescent="0.25">
      <c r="A54" t="s">
        <v>3681</v>
      </c>
      <c r="B54" t="s">
        <v>5780</v>
      </c>
    </row>
    <row r="55" spans="1:2" x14ac:dyDescent="0.25">
      <c r="A55" t="s">
        <v>5610</v>
      </c>
      <c r="B55" t="s">
        <v>5894</v>
      </c>
    </row>
    <row r="56" spans="1:2" x14ac:dyDescent="0.25">
      <c r="A56" t="s">
        <v>140</v>
      </c>
      <c r="B56" t="s">
        <v>5988</v>
      </c>
    </row>
    <row r="57" spans="1:2" x14ac:dyDescent="0.25">
      <c r="A57" t="s">
        <v>6843</v>
      </c>
      <c r="B57" t="s">
        <v>5805</v>
      </c>
    </row>
    <row r="58" spans="1:2" x14ac:dyDescent="0.25">
      <c r="A58" t="s">
        <v>3998</v>
      </c>
      <c r="B58" t="s">
        <v>5902</v>
      </c>
    </row>
    <row r="59" spans="1:2" x14ac:dyDescent="0.25">
      <c r="A59" t="s">
        <v>1637</v>
      </c>
      <c r="B59" t="s">
        <v>5828</v>
      </c>
    </row>
    <row r="60" spans="1:2" x14ac:dyDescent="0.25">
      <c r="A60" t="s">
        <v>2846</v>
      </c>
      <c r="B60" t="s">
        <v>6097</v>
      </c>
    </row>
    <row r="61" spans="1:2" x14ac:dyDescent="0.25">
      <c r="A61" t="s">
        <v>228</v>
      </c>
      <c r="B61" t="s">
        <v>5904</v>
      </c>
    </row>
    <row r="62" spans="1:2" x14ac:dyDescent="0.25">
      <c r="A62" t="s">
        <v>3713</v>
      </c>
      <c r="B62" t="s">
        <v>6065</v>
      </c>
    </row>
    <row r="63" spans="1:2" x14ac:dyDescent="0.25">
      <c r="A63" t="s">
        <v>1278</v>
      </c>
      <c r="B63" t="s">
        <v>5719</v>
      </c>
    </row>
    <row r="64" spans="1:2" x14ac:dyDescent="0.25">
      <c r="A64" t="s">
        <v>31</v>
      </c>
      <c r="B64" t="s">
        <v>5876</v>
      </c>
    </row>
    <row r="65" spans="1:2" x14ac:dyDescent="0.25">
      <c r="A65" t="s">
        <v>2724</v>
      </c>
      <c r="B65" t="s">
        <v>6091</v>
      </c>
    </row>
    <row r="66" spans="1:2" x14ac:dyDescent="0.25">
      <c r="A66" t="s">
        <v>4011</v>
      </c>
      <c r="B66" t="s">
        <v>5716</v>
      </c>
    </row>
    <row r="67" spans="1:2" x14ac:dyDescent="0.25">
      <c r="A67" t="s">
        <v>1268</v>
      </c>
      <c r="B67" t="s">
        <v>5867</v>
      </c>
    </row>
    <row r="68" spans="1:2" x14ac:dyDescent="0.25">
      <c r="A68" t="s">
        <v>4102</v>
      </c>
      <c r="B68" t="s">
        <v>6700</v>
      </c>
    </row>
    <row r="69" spans="1:2" x14ac:dyDescent="0.25">
      <c r="A69" t="s">
        <v>699</v>
      </c>
      <c r="B69" t="s">
        <v>5780</v>
      </c>
    </row>
    <row r="70" spans="1:2" x14ac:dyDescent="0.25">
      <c r="A70" t="s">
        <v>360</v>
      </c>
      <c r="B70" t="s">
        <v>5859</v>
      </c>
    </row>
    <row r="71" spans="1:2" x14ac:dyDescent="0.25">
      <c r="A71" t="s">
        <v>3756</v>
      </c>
      <c r="B71" t="s">
        <v>5787</v>
      </c>
    </row>
    <row r="72" spans="1:2" x14ac:dyDescent="0.25">
      <c r="A72" t="s">
        <v>3752</v>
      </c>
      <c r="B72" t="s">
        <v>5787</v>
      </c>
    </row>
    <row r="73" spans="1:2" x14ac:dyDescent="0.25">
      <c r="A73" t="s">
        <v>3101</v>
      </c>
      <c r="B73" t="s">
        <v>5993</v>
      </c>
    </row>
    <row r="74" spans="1:2" x14ac:dyDescent="0.25">
      <c r="A74" t="s">
        <v>2943</v>
      </c>
      <c r="B74" t="s">
        <v>5719</v>
      </c>
    </row>
    <row r="75" spans="1:2" x14ac:dyDescent="0.25">
      <c r="A75" t="s">
        <v>2928</v>
      </c>
      <c r="B75" t="s">
        <v>5787</v>
      </c>
    </row>
    <row r="76" spans="1:2" x14ac:dyDescent="0.25">
      <c r="A76" t="s">
        <v>5657</v>
      </c>
      <c r="B76" t="s">
        <v>5885</v>
      </c>
    </row>
    <row r="77" spans="1:2" x14ac:dyDescent="0.25">
      <c r="A77" t="s">
        <v>160</v>
      </c>
      <c r="B77" t="s">
        <v>5790</v>
      </c>
    </row>
    <row r="78" spans="1:2" x14ac:dyDescent="0.25">
      <c r="A78" t="s">
        <v>60</v>
      </c>
      <c r="B78" t="s">
        <v>5789</v>
      </c>
    </row>
    <row r="79" spans="1:2" x14ac:dyDescent="0.25">
      <c r="A79" t="s">
        <v>3832</v>
      </c>
      <c r="B79" t="s">
        <v>5787</v>
      </c>
    </row>
    <row r="80" spans="1:2" x14ac:dyDescent="0.25">
      <c r="A80" t="s">
        <v>805</v>
      </c>
      <c r="B80" t="s">
        <v>5728</v>
      </c>
    </row>
    <row r="81" spans="1:2" x14ac:dyDescent="0.25">
      <c r="A81" t="s">
        <v>1588</v>
      </c>
      <c r="B81" t="s">
        <v>5869</v>
      </c>
    </row>
    <row r="82" spans="1:2" x14ac:dyDescent="0.25">
      <c r="A82" t="s">
        <v>3238</v>
      </c>
      <c r="B82" t="s">
        <v>5849</v>
      </c>
    </row>
    <row r="83" spans="1:2" x14ac:dyDescent="0.25">
      <c r="A83" t="s">
        <v>2978</v>
      </c>
      <c r="B83" t="s">
        <v>5799</v>
      </c>
    </row>
    <row r="84" spans="1:2" x14ac:dyDescent="0.25">
      <c r="A84" t="s">
        <v>5023</v>
      </c>
      <c r="B84" t="s">
        <v>6162</v>
      </c>
    </row>
    <row r="85" spans="1:2" x14ac:dyDescent="0.25">
      <c r="A85" t="s">
        <v>3386</v>
      </c>
      <c r="B85" t="s">
        <v>5706</v>
      </c>
    </row>
    <row r="86" spans="1:2" x14ac:dyDescent="0.25">
      <c r="A86" t="s">
        <v>4737</v>
      </c>
      <c r="B86" t="s">
        <v>6207</v>
      </c>
    </row>
    <row r="87" spans="1:2" x14ac:dyDescent="0.25">
      <c r="A87" t="s">
        <v>5726</v>
      </c>
    </row>
    <row r="88" spans="1:2" x14ac:dyDescent="0.25">
      <c r="A88" t="s">
        <v>3961</v>
      </c>
      <c r="B88" t="s">
        <v>5706</v>
      </c>
    </row>
    <row r="89" spans="1:2" x14ac:dyDescent="0.25">
      <c r="A89" t="s">
        <v>1320</v>
      </c>
      <c r="B89" t="s">
        <v>6007</v>
      </c>
    </row>
    <row r="90" spans="1:2" x14ac:dyDescent="0.25">
      <c r="A90" t="s">
        <v>2454</v>
      </c>
      <c r="B90" t="s">
        <v>6022</v>
      </c>
    </row>
    <row r="91" spans="1:2" x14ac:dyDescent="0.25">
      <c r="A91" t="s">
        <v>803</v>
      </c>
      <c r="B91" t="s">
        <v>5963</v>
      </c>
    </row>
    <row r="92" spans="1:2" x14ac:dyDescent="0.25">
      <c r="A92" t="s">
        <v>3749</v>
      </c>
      <c r="B92" t="s">
        <v>5805</v>
      </c>
    </row>
    <row r="93" spans="1:2" x14ac:dyDescent="0.25">
      <c r="A93" t="s">
        <v>4000</v>
      </c>
      <c r="B93" t="s">
        <v>5789</v>
      </c>
    </row>
    <row r="94" spans="1:2" x14ac:dyDescent="0.25">
      <c r="A94" t="s">
        <v>1384</v>
      </c>
      <c r="B94" t="s">
        <v>5805</v>
      </c>
    </row>
    <row r="95" spans="1:2" x14ac:dyDescent="0.25">
      <c r="A95" t="s">
        <v>1871</v>
      </c>
      <c r="B95" t="s">
        <v>6006</v>
      </c>
    </row>
    <row r="96" spans="1:2" x14ac:dyDescent="0.25">
      <c r="A96" t="s">
        <v>2106</v>
      </c>
      <c r="B96" t="s">
        <v>6122</v>
      </c>
    </row>
    <row r="97" spans="1:2" x14ac:dyDescent="0.25">
      <c r="A97" t="s">
        <v>4517</v>
      </c>
      <c r="B97">
        <v>0</v>
      </c>
    </row>
    <row r="98" spans="1:2" x14ac:dyDescent="0.25">
      <c r="A98" t="s">
        <v>2809</v>
      </c>
      <c r="B98" t="s">
        <v>5883</v>
      </c>
    </row>
    <row r="99" spans="1:2" x14ac:dyDescent="0.25">
      <c r="A99" t="s">
        <v>3983</v>
      </c>
      <c r="B99" t="s">
        <v>5793</v>
      </c>
    </row>
    <row r="100" spans="1:2" x14ac:dyDescent="0.25">
      <c r="A100" t="s">
        <v>1253</v>
      </c>
      <c r="B100" t="s">
        <v>6427</v>
      </c>
    </row>
    <row r="101" spans="1:2" x14ac:dyDescent="0.25">
      <c r="A101" t="s">
        <v>3641</v>
      </c>
      <c r="B101" t="s">
        <v>5766</v>
      </c>
    </row>
    <row r="102" spans="1:2" x14ac:dyDescent="0.25">
      <c r="A102" t="s">
        <v>2572</v>
      </c>
      <c r="B102" t="s">
        <v>6602</v>
      </c>
    </row>
    <row r="103" spans="1:2" x14ac:dyDescent="0.25">
      <c r="A103" t="s">
        <v>312</v>
      </c>
      <c r="B103" t="s">
        <v>5713</v>
      </c>
    </row>
    <row r="104" spans="1:2" x14ac:dyDescent="0.25">
      <c r="A104" t="s">
        <v>1893</v>
      </c>
      <c r="B104" t="s">
        <v>6382</v>
      </c>
    </row>
    <row r="105" spans="1:2" x14ac:dyDescent="0.25">
      <c r="A105" t="s">
        <v>4743</v>
      </c>
      <c r="B105" t="s">
        <v>6226</v>
      </c>
    </row>
    <row r="106" spans="1:2" x14ac:dyDescent="0.25">
      <c r="A106" t="s">
        <v>3692</v>
      </c>
      <c r="B106" t="s">
        <v>6020</v>
      </c>
    </row>
    <row r="107" spans="1:2" x14ac:dyDescent="0.25">
      <c r="A107" t="s">
        <v>1513</v>
      </c>
      <c r="B107" t="s">
        <v>5989</v>
      </c>
    </row>
    <row r="108" spans="1:2" x14ac:dyDescent="0.25">
      <c r="A108" t="s">
        <v>1082</v>
      </c>
      <c r="B108" t="s">
        <v>6125</v>
      </c>
    </row>
    <row r="109" spans="1:2" x14ac:dyDescent="0.25">
      <c r="A109" t="s">
        <v>564</v>
      </c>
      <c r="B109" t="s">
        <v>5927</v>
      </c>
    </row>
    <row r="110" spans="1:2" x14ac:dyDescent="0.25">
      <c r="A110" t="s">
        <v>3850</v>
      </c>
      <c r="B110" t="s">
        <v>5977</v>
      </c>
    </row>
    <row r="111" spans="1:2" x14ac:dyDescent="0.25">
      <c r="A111" t="s">
        <v>1095</v>
      </c>
      <c r="B111">
        <v>0</v>
      </c>
    </row>
    <row r="112" spans="1:2" x14ac:dyDescent="0.25">
      <c r="A112" t="s">
        <v>1323</v>
      </c>
      <c r="B112" t="s">
        <v>5837</v>
      </c>
    </row>
    <row r="113" spans="1:2" x14ac:dyDescent="0.25">
      <c r="A113" t="s">
        <v>2308</v>
      </c>
      <c r="B113" t="s">
        <v>6131</v>
      </c>
    </row>
    <row r="114" spans="1:2" x14ac:dyDescent="0.25">
      <c r="A114" t="s">
        <v>4745</v>
      </c>
      <c r="B114" t="s">
        <v>5787</v>
      </c>
    </row>
    <row r="115" spans="1:2" x14ac:dyDescent="0.25">
      <c r="A115" t="s">
        <v>1521</v>
      </c>
      <c r="B115" t="s">
        <v>5706</v>
      </c>
    </row>
    <row r="116" spans="1:2" x14ac:dyDescent="0.25">
      <c r="A116" t="s">
        <v>4668</v>
      </c>
      <c r="B116" t="s">
        <v>5975</v>
      </c>
    </row>
    <row r="117" spans="1:2" x14ac:dyDescent="0.25">
      <c r="A117" t="s">
        <v>2075</v>
      </c>
      <c r="B117" t="s">
        <v>6637</v>
      </c>
    </row>
    <row r="118" spans="1:2" x14ac:dyDescent="0.25">
      <c r="A118" t="s">
        <v>119</v>
      </c>
      <c r="B118" t="s">
        <v>6146</v>
      </c>
    </row>
    <row r="119" spans="1:2" x14ac:dyDescent="0.25">
      <c r="A119" t="s">
        <v>3543</v>
      </c>
      <c r="B119" t="s">
        <v>6081</v>
      </c>
    </row>
    <row r="120" spans="1:2" x14ac:dyDescent="0.25">
      <c r="A120" t="s">
        <v>5614</v>
      </c>
      <c r="B120" t="s">
        <v>5861</v>
      </c>
    </row>
    <row r="121" spans="1:2" x14ac:dyDescent="0.25">
      <c r="A121" t="s">
        <v>5184</v>
      </c>
      <c r="B121" t="s">
        <v>5918</v>
      </c>
    </row>
    <row r="122" spans="1:2" x14ac:dyDescent="0.25">
      <c r="A122" t="s">
        <v>2589</v>
      </c>
      <c r="B122" t="s">
        <v>5863</v>
      </c>
    </row>
    <row r="123" spans="1:2" x14ac:dyDescent="0.25">
      <c r="A123" t="s">
        <v>4272</v>
      </c>
      <c r="B123" t="s">
        <v>5857</v>
      </c>
    </row>
    <row r="124" spans="1:2" x14ac:dyDescent="0.25">
      <c r="A124" t="s">
        <v>3704</v>
      </c>
      <c r="B124" t="s">
        <v>6694</v>
      </c>
    </row>
    <row r="125" spans="1:2" x14ac:dyDescent="0.25">
      <c r="A125" t="s">
        <v>4269</v>
      </c>
      <c r="B125" t="s">
        <v>5825</v>
      </c>
    </row>
    <row r="126" spans="1:2" x14ac:dyDescent="0.25">
      <c r="A126" t="s">
        <v>2648</v>
      </c>
      <c r="B126" t="s">
        <v>6152</v>
      </c>
    </row>
    <row r="127" spans="1:2" x14ac:dyDescent="0.25">
      <c r="A127" t="s">
        <v>1639</v>
      </c>
      <c r="B127" t="s">
        <v>6140</v>
      </c>
    </row>
    <row r="128" spans="1:2" x14ac:dyDescent="0.25">
      <c r="A128" t="s">
        <v>1300</v>
      </c>
      <c r="B128" t="s">
        <v>5853</v>
      </c>
    </row>
    <row r="129" spans="1:2" x14ac:dyDescent="0.25">
      <c r="A129" t="s">
        <v>1063</v>
      </c>
      <c r="B129" t="s">
        <v>6612</v>
      </c>
    </row>
    <row r="130" spans="1:2" x14ac:dyDescent="0.25">
      <c r="A130" t="s">
        <v>3418</v>
      </c>
      <c r="B130" t="s">
        <v>5875</v>
      </c>
    </row>
    <row r="131" spans="1:2" x14ac:dyDescent="0.25">
      <c r="A131" t="s">
        <v>4536</v>
      </c>
      <c r="B131" t="s">
        <v>6102</v>
      </c>
    </row>
    <row r="132" spans="1:2" x14ac:dyDescent="0.25">
      <c r="A132" t="s">
        <v>261</v>
      </c>
      <c r="B132" t="s">
        <v>5933</v>
      </c>
    </row>
    <row r="133" spans="1:2" x14ac:dyDescent="0.25">
      <c r="A133" t="s">
        <v>5600</v>
      </c>
      <c r="B133" t="s">
        <v>6679</v>
      </c>
    </row>
    <row r="134" spans="1:2" x14ac:dyDescent="0.25">
      <c r="A134" t="s">
        <v>2702</v>
      </c>
      <c r="B134" t="s">
        <v>5716</v>
      </c>
    </row>
    <row r="135" spans="1:2" x14ac:dyDescent="0.25">
      <c r="A135" t="s">
        <v>776</v>
      </c>
      <c r="B135" t="s">
        <v>5787</v>
      </c>
    </row>
    <row r="136" spans="1:2" x14ac:dyDescent="0.25">
      <c r="A136" t="s">
        <v>3248</v>
      </c>
      <c r="B136" t="s">
        <v>6062</v>
      </c>
    </row>
    <row r="137" spans="1:2" x14ac:dyDescent="0.25">
      <c r="A137" t="s">
        <v>4135</v>
      </c>
      <c r="B137" t="s">
        <v>5853</v>
      </c>
    </row>
    <row r="138" spans="1:2" x14ac:dyDescent="0.25">
      <c r="A138" t="s">
        <v>3319</v>
      </c>
      <c r="B138" t="s">
        <v>5787</v>
      </c>
    </row>
    <row r="139" spans="1:2" x14ac:dyDescent="0.25">
      <c r="A139" t="s">
        <v>1120</v>
      </c>
      <c r="B139" t="s">
        <v>5805</v>
      </c>
    </row>
    <row r="140" spans="1:2" x14ac:dyDescent="0.25">
      <c r="A140" t="s">
        <v>2643</v>
      </c>
      <c r="B140" t="s">
        <v>5801</v>
      </c>
    </row>
    <row r="141" spans="1:2" x14ac:dyDescent="0.25">
      <c r="A141" t="s">
        <v>1806</v>
      </c>
      <c r="B141" t="s">
        <v>6640</v>
      </c>
    </row>
    <row r="142" spans="1:2" x14ac:dyDescent="0.25">
      <c r="A142" t="s">
        <v>2751</v>
      </c>
      <c r="B142" t="s">
        <v>5788</v>
      </c>
    </row>
    <row r="143" spans="1:2" x14ac:dyDescent="0.25">
      <c r="A143" t="s">
        <v>5340</v>
      </c>
      <c r="B143" t="s">
        <v>5883</v>
      </c>
    </row>
    <row r="144" spans="1:2" x14ac:dyDescent="0.25">
      <c r="A144" t="s">
        <v>1836</v>
      </c>
      <c r="B144" t="s">
        <v>5788</v>
      </c>
    </row>
    <row r="145" spans="1:2" x14ac:dyDescent="0.25">
      <c r="A145" t="s">
        <v>3635</v>
      </c>
      <c r="B145" t="s">
        <v>5787</v>
      </c>
    </row>
    <row r="146" spans="1:2" x14ac:dyDescent="0.25">
      <c r="A146" t="s">
        <v>4095</v>
      </c>
      <c r="B146" t="s">
        <v>6286</v>
      </c>
    </row>
    <row r="147" spans="1:2" x14ac:dyDescent="0.25">
      <c r="A147" t="s">
        <v>4101</v>
      </c>
      <c r="B147" t="s">
        <v>6065</v>
      </c>
    </row>
    <row r="148" spans="1:2" x14ac:dyDescent="0.25">
      <c r="A148" t="s">
        <v>4695</v>
      </c>
      <c r="B148" t="s">
        <v>5924</v>
      </c>
    </row>
    <row r="149" spans="1:2" x14ac:dyDescent="0.25">
      <c r="A149" t="s">
        <v>5080</v>
      </c>
      <c r="B149" t="s">
        <v>5768</v>
      </c>
    </row>
    <row r="150" spans="1:2" x14ac:dyDescent="0.25">
      <c r="A150" t="s">
        <v>4336</v>
      </c>
      <c r="B150" t="s">
        <v>5787</v>
      </c>
    </row>
    <row r="151" spans="1:2" x14ac:dyDescent="0.25">
      <c r="A151" t="s">
        <v>5350</v>
      </c>
      <c r="B151" t="s">
        <v>5787</v>
      </c>
    </row>
    <row r="152" spans="1:2" x14ac:dyDescent="0.25">
      <c r="A152" t="s">
        <v>3875</v>
      </c>
      <c r="B152" t="s">
        <v>5871</v>
      </c>
    </row>
    <row r="153" spans="1:2" x14ac:dyDescent="0.25">
      <c r="A153" t="s">
        <v>1029</v>
      </c>
      <c r="B153" t="s">
        <v>6647</v>
      </c>
    </row>
    <row r="154" spans="1:2" x14ac:dyDescent="0.25">
      <c r="A154" t="s">
        <v>4905</v>
      </c>
      <c r="B154" t="s">
        <v>6619</v>
      </c>
    </row>
    <row r="155" spans="1:2" x14ac:dyDescent="0.25">
      <c r="A155" t="s">
        <v>3852</v>
      </c>
      <c r="B155" t="s">
        <v>5787</v>
      </c>
    </row>
    <row r="156" spans="1:2" x14ac:dyDescent="0.25">
      <c r="A156" t="s">
        <v>1711</v>
      </c>
      <c r="B156" t="s">
        <v>5909</v>
      </c>
    </row>
    <row r="157" spans="1:2" x14ac:dyDescent="0.25">
      <c r="A157" t="s">
        <v>4886</v>
      </c>
      <c r="B157" t="s">
        <v>5787</v>
      </c>
    </row>
    <row r="158" spans="1:2" x14ac:dyDescent="0.25">
      <c r="A158" t="s">
        <v>2316</v>
      </c>
      <c r="B158" t="s">
        <v>5787</v>
      </c>
    </row>
    <row r="159" spans="1:2" x14ac:dyDescent="0.25">
      <c r="A159" t="s">
        <v>3834</v>
      </c>
      <c r="B159" t="s">
        <v>5787</v>
      </c>
    </row>
    <row r="160" spans="1:2" x14ac:dyDescent="0.25">
      <c r="A160" t="s">
        <v>4372</v>
      </c>
      <c r="B160" t="s">
        <v>5842</v>
      </c>
    </row>
    <row r="161" spans="1:2" x14ac:dyDescent="0.25">
      <c r="A161" t="s">
        <v>2171</v>
      </c>
      <c r="B161" t="s">
        <v>6446</v>
      </c>
    </row>
    <row r="162" spans="1:2" x14ac:dyDescent="0.25">
      <c r="A162" t="s">
        <v>5243</v>
      </c>
      <c r="B162" t="s">
        <v>5822</v>
      </c>
    </row>
    <row r="163" spans="1:2" x14ac:dyDescent="0.25">
      <c r="A163" t="s">
        <v>1684</v>
      </c>
      <c r="B163" t="s">
        <v>5706</v>
      </c>
    </row>
    <row r="164" spans="1:2" x14ac:dyDescent="0.25">
      <c r="A164" t="s">
        <v>3450</v>
      </c>
      <c r="B164" t="s">
        <v>6009</v>
      </c>
    </row>
    <row r="165" spans="1:2" x14ac:dyDescent="0.25">
      <c r="A165" t="s">
        <v>5451</v>
      </c>
      <c r="B165" t="s">
        <v>6056</v>
      </c>
    </row>
    <row r="166" spans="1:2" x14ac:dyDescent="0.25">
      <c r="A166" t="s">
        <v>4347</v>
      </c>
      <c r="B166" t="s">
        <v>5979</v>
      </c>
    </row>
    <row r="167" spans="1:2" x14ac:dyDescent="0.25">
      <c r="A167" t="s">
        <v>2838</v>
      </c>
      <c r="B167" t="s">
        <v>6059</v>
      </c>
    </row>
    <row r="168" spans="1:2" x14ac:dyDescent="0.25">
      <c r="A168" t="s">
        <v>905</v>
      </c>
      <c r="B168" t="s">
        <v>6255</v>
      </c>
    </row>
    <row r="169" spans="1:2" x14ac:dyDescent="0.25">
      <c r="A169" t="s">
        <v>1257</v>
      </c>
      <c r="B169" t="s">
        <v>5811</v>
      </c>
    </row>
    <row r="170" spans="1:2" x14ac:dyDescent="0.25">
      <c r="A170" t="s">
        <v>2883</v>
      </c>
      <c r="B170" t="s">
        <v>6025</v>
      </c>
    </row>
    <row r="171" spans="1:2" x14ac:dyDescent="0.25">
      <c r="A171" t="s">
        <v>5346</v>
      </c>
      <c r="B171" t="s">
        <v>6708</v>
      </c>
    </row>
    <row r="172" spans="1:2" x14ac:dyDescent="0.25">
      <c r="A172" t="s">
        <v>3587</v>
      </c>
      <c r="B172" t="s">
        <v>5853</v>
      </c>
    </row>
    <row r="173" spans="1:2" x14ac:dyDescent="0.25">
      <c r="A173" t="s">
        <v>1143</v>
      </c>
      <c r="B173" t="s">
        <v>5772</v>
      </c>
    </row>
    <row r="174" spans="1:2" x14ac:dyDescent="0.25">
      <c r="A174" t="s">
        <v>3660</v>
      </c>
      <c r="B174" t="s">
        <v>6464</v>
      </c>
    </row>
    <row r="175" spans="1:2" x14ac:dyDescent="0.25">
      <c r="A175" t="s">
        <v>4088</v>
      </c>
      <c r="B175" t="s">
        <v>5704</v>
      </c>
    </row>
    <row r="176" spans="1:2" x14ac:dyDescent="0.25">
      <c r="A176" t="s">
        <v>4756</v>
      </c>
      <c r="B176" t="s">
        <v>5704</v>
      </c>
    </row>
    <row r="177" spans="1:2" x14ac:dyDescent="0.25">
      <c r="A177" t="s">
        <v>2657</v>
      </c>
      <c r="B177" t="s">
        <v>6063</v>
      </c>
    </row>
    <row r="178" spans="1:2" x14ac:dyDescent="0.25">
      <c r="A178" t="s">
        <v>2758</v>
      </c>
      <c r="B178" t="s">
        <v>5788</v>
      </c>
    </row>
    <row r="179" spans="1:2" x14ac:dyDescent="0.25">
      <c r="A179" t="s">
        <v>1194</v>
      </c>
      <c r="B179" t="s">
        <v>5787</v>
      </c>
    </row>
    <row r="180" spans="1:2" x14ac:dyDescent="0.25">
      <c r="A180" t="s">
        <v>4206</v>
      </c>
      <c r="B180" t="s">
        <v>5787</v>
      </c>
    </row>
    <row r="181" spans="1:2" x14ac:dyDescent="0.25">
      <c r="A181" t="s">
        <v>1078</v>
      </c>
      <c r="B181" t="s">
        <v>6003</v>
      </c>
    </row>
    <row r="182" spans="1:2" x14ac:dyDescent="0.25">
      <c r="A182" t="s">
        <v>5185</v>
      </c>
      <c r="B182" t="s">
        <v>6194</v>
      </c>
    </row>
    <row r="183" spans="1:2" x14ac:dyDescent="0.25">
      <c r="A183" t="s">
        <v>1559</v>
      </c>
      <c r="B183" t="s">
        <v>6108</v>
      </c>
    </row>
    <row r="184" spans="1:2" x14ac:dyDescent="0.25">
      <c r="A184" t="s">
        <v>1080</v>
      </c>
      <c r="B184" t="s">
        <v>5976</v>
      </c>
    </row>
    <row r="185" spans="1:2" x14ac:dyDescent="0.25">
      <c r="A185" t="s">
        <v>4500</v>
      </c>
      <c r="B185" t="s">
        <v>5867</v>
      </c>
    </row>
    <row r="186" spans="1:2" x14ac:dyDescent="0.25">
      <c r="A186" t="s">
        <v>95</v>
      </c>
      <c r="B186" t="s">
        <v>6379</v>
      </c>
    </row>
    <row r="187" spans="1:2" x14ac:dyDescent="0.25">
      <c r="A187" t="s">
        <v>847</v>
      </c>
      <c r="B187" t="s">
        <v>6110</v>
      </c>
    </row>
    <row r="188" spans="1:2" x14ac:dyDescent="0.25">
      <c r="A188" t="s">
        <v>5303</v>
      </c>
      <c r="B188" t="s">
        <v>5747</v>
      </c>
    </row>
    <row r="189" spans="1:2" x14ac:dyDescent="0.25">
      <c r="A189" t="s">
        <v>6940</v>
      </c>
      <c r="B189" t="s">
        <v>6280</v>
      </c>
    </row>
    <row r="190" spans="1:2" x14ac:dyDescent="0.25">
      <c r="A190" t="s">
        <v>1399</v>
      </c>
      <c r="B190" t="s">
        <v>5754</v>
      </c>
    </row>
    <row r="191" spans="1:2" x14ac:dyDescent="0.25">
      <c r="A191" t="s">
        <v>5411</v>
      </c>
      <c r="B191" t="s">
        <v>5824</v>
      </c>
    </row>
    <row r="192" spans="1:2" x14ac:dyDescent="0.25">
      <c r="A192" t="s">
        <v>4235</v>
      </c>
      <c r="B192" t="s">
        <v>5975</v>
      </c>
    </row>
    <row r="193" spans="1:2" x14ac:dyDescent="0.25">
      <c r="A193" t="s">
        <v>3366</v>
      </c>
      <c r="B193" t="s">
        <v>5750</v>
      </c>
    </row>
    <row r="194" spans="1:2" x14ac:dyDescent="0.25">
      <c r="A194" t="s">
        <v>1942</v>
      </c>
      <c r="B194" t="s">
        <v>5787</v>
      </c>
    </row>
    <row r="195" spans="1:2" x14ac:dyDescent="0.25">
      <c r="A195" t="s">
        <v>5427</v>
      </c>
      <c r="B195" t="s">
        <v>6739</v>
      </c>
    </row>
    <row r="196" spans="1:2" x14ac:dyDescent="0.25">
      <c r="A196" t="s">
        <v>80</v>
      </c>
      <c r="B196" t="s">
        <v>5967</v>
      </c>
    </row>
    <row r="197" spans="1:2" x14ac:dyDescent="0.25">
      <c r="A197" t="s">
        <v>5136</v>
      </c>
      <c r="B197" t="s">
        <v>5944</v>
      </c>
    </row>
    <row r="198" spans="1:2" x14ac:dyDescent="0.25">
      <c r="A198" t="s">
        <v>2179</v>
      </c>
      <c r="B198" t="s">
        <v>5941</v>
      </c>
    </row>
    <row r="199" spans="1:2" x14ac:dyDescent="0.25">
      <c r="A199" t="s">
        <v>3802</v>
      </c>
      <c r="B199" t="s">
        <v>5787</v>
      </c>
    </row>
    <row r="200" spans="1:2" x14ac:dyDescent="0.25">
      <c r="A200" t="s">
        <v>1230</v>
      </c>
      <c r="B200" t="s">
        <v>5713</v>
      </c>
    </row>
    <row r="201" spans="1:2" x14ac:dyDescent="0.25">
      <c r="A201" t="s">
        <v>7049</v>
      </c>
      <c r="B201" t="s">
        <v>6133</v>
      </c>
    </row>
    <row r="202" spans="1:2" x14ac:dyDescent="0.25">
      <c r="A202" t="s">
        <v>4839</v>
      </c>
      <c r="B202" t="s">
        <v>6723</v>
      </c>
    </row>
    <row r="203" spans="1:2" x14ac:dyDescent="0.25">
      <c r="A203" t="s">
        <v>3274</v>
      </c>
      <c r="B203" t="s">
        <v>5787</v>
      </c>
    </row>
    <row r="204" spans="1:2" x14ac:dyDescent="0.25">
      <c r="A204" t="s">
        <v>1996</v>
      </c>
      <c r="B204" t="s">
        <v>6173</v>
      </c>
    </row>
    <row r="205" spans="1:2" x14ac:dyDescent="0.25">
      <c r="A205" t="s">
        <v>2173</v>
      </c>
      <c r="B205" t="s">
        <v>5719</v>
      </c>
    </row>
    <row r="206" spans="1:2" x14ac:dyDescent="0.25">
      <c r="A206" t="s">
        <v>4550</v>
      </c>
    </row>
    <row r="207" spans="1:2" x14ac:dyDescent="0.25">
      <c r="A207" t="s">
        <v>417</v>
      </c>
      <c r="B207" t="s">
        <v>6073</v>
      </c>
    </row>
    <row r="208" spans="1:2" x14ac:dyDescent="0.25">
      <c r="A208" t="s">
        <v>2489</v>
      </c>
      <c r="B208" t="s">
        <v>5787</v>
      </c>
    </row>
    <row r="209" spans="1:2" x14ac:dyDescent="0.25">
      <c r="A209" t="s">
        <v>939</v>
      </c>
      <c r="B209" t="s">
        <v>5818</v>
      </c>
    </row>
    <row r="210" spans="1:2" x14ac:dyDescent="0.25">
      <c r="A210" t="s">
        <v>3878</v>
      </c>
      <c r="B210" t="s">
        <v>5794</v>
      </c>
    </row>
    <row r="211" spans="1:2" x14ac:dyDescent="0.25">
      <c r="A211" t="s">
        <v>2599</v>
      </c>
      <c r="B211" t="s">
        <v>5857</v>
      </c>
    </row>
    <row r="212" spans="1:2" x14ac:dyDescent="0.25">
      <c r="A212" t="s">
        <v>774</v>
      </c>
      <c r="B212" t="s">
        <v>5806</v>
      </c>
    </row>
    <row r="213" spans="1:2" x14ac:dyDescent="0.25">
      <c r="A213" t="s">
        <v>3791</v>
      </c>
      <c r="B213" t="s">
        <v>6057</v>
      </c>
    </row>
    <row r="214" spans="1:2" x14ac:dyDescent="0.25">
      <c r="A214" t="s">
        <v>1821</v>
      </c>
      <c r="B214" t="s">
        <v>6220</v>
      </c>
    </row>
    <row r="215" spans="1:2" x14ac:dyDescent="0.25">
      <c r="A215" t="s">
        <v>517</v>
      </c>
      <c r="B215" t="s">
        <v>5787</v>
      </c>
    </row>
    <row r="216" spans="1:2" x14ac:dyDescent="0.25">
      <c r="A216" t="s">
        <v>4874</v>
      </c>
      <c r="B216" t="s">
        <v>5754</v>
      </c>
    </row>
    <row r="217" spans="1:2" x14ac:dyDescent="0.25">
      <c r="A217" t="s">
        <v>4266</v>
      </c>
      <c r="B217" t="s">
        <v>5787</v>
      </c>
    </row>
    <row r="218" spans="1:2" x14ac:dyDescent="0.25">
      <c r="A218" t="s">
        <v>4143</v>
      </c>
      <c r="B218" t="s">
        <v>6038</v>
      </c>
    </row>
    <row r="219" spans="1:2" x14ac:dyDescent="0.25">
      <c r="A219" t="s">
        <v>4964</v>
      </c>
      <c r="B219" t="s">
        <v>6322</v>
      </c>
    </row>
    <row r="220" spans="1:2" x14ac:dyDescent="0.25">
      <c r="A220" t="s">
        <v>1376</v>
      </c>
      <c r="B220" t="s">
        <v>5948</v>
      </c>
    </row>
    <row r="221" spans="1:2" x14ac:dyDescent="0.25">
      <c r="A221" t="s">
        <v>2624</v>
      </c>
      <c r="B221" t="s">
        <v>6102</v>
      </c>
    </row>
    <row r="222" spans="1:2" x14ac:dyDescent="0.25">
      <c r="A222" t="s">
        <v>3966</v>
      </c>
      <c r="B222" t="s">
        <v>5754</v>
      </c>
    </row>
    <row r="223" spans="1:2" x14ac:dyDescent="0.25">
      <c r="A223" t="s">
        <v>3621</v>
      </c>
      <c r="B223" t="s">
        <v>6124</v>
      </c>
    </row>
    <row r="224" spans="1:2" x14ac:dyDescent="0.25">
      <c r="A224" t="s">
        <v>5206</v>
      </c>
      <c r="B224" t="s">
        <v>5933</v>
      </c>
    </row>
    <row r="225" spans="1:2" x14ac:dyDescent="0.25">
      <c r="A225" t="s">
        <v>933</v>
      </c>
      <c r="B225" t="s">
        <v>5787</v>
      </c>
    </row>
    <row r="226" spans="1:2" x14ac:dyDescent="0.25">
      <c r="A226" t="s">
        <v>4630</v>
      </c>
      <c r="B226" t="s">
        <v>5734</v>
      </c>
    </row>
    <row r="227" spans="1:2" x14ac:dyDescent="0.25">
      <c r="A227" t="s">
        <v>5404</v>
      </c>
      <c r="B227" t="s">
        <v>6775</v>
      </c>
    </row>
    <row r="228" spans="1:2" x14ac:dyDescent="0.25">
      <c r="A228" t="s">
        <v>4546</v>
      </c>
      <c r="B228" t="s">
        <v>6522</v>
      </c>
    </row>
    <row r="229" spans="1:2" x14ac:dyDescent="0.25">
      <c r="A229" t="s">
        <v>5251</v>
      </c>
      <c r="B229" t="s">
        <v>5788</v>
      </c>
    </row>
    <row r="230" spans="1:2" x14ac:dyDescent="0.25">
      <c r="A230" t="s">
        <v>1648</v>
      </c>
      <c r="B230" t="s">
        <v>6056</v>
      </c>
    </row>
    <row r="231" spans="1:2" x14ac:dyDescent="0.25">
      <c r="A231" t="s">
        <v>5695</v>
      </c>
      <c r="B231" t="s">
        <v>6084</v>
      </c>
    </row>
    <row r="232" spans="1:2" x14ac:dyDescent="0.25">
      <c r="A232" t="s">
        <v>1949</v>
      </c>
      <c r="B232" t="s">
        <v>5846</v>
      </c>
    </row>
    <row r="233" spans="1:2" x14ac:dyDescent="0.25">
      <c r="A233" t="s">
        <v>2037</v>
      </c>
      <c r="B233" t="s">
        <v>5762</v>
      </c>
    </row>
    <row r="234" spans="1:2" x14ac:dyDescent="0.25">
      <c r="A234" t="s">
        <v>2608</v>
      </c>
      <c r="B234" t="s">
        <v>5787</v>
      </c>
    </row>
    <row r="235" spans="1:2" x14ac:dyDescent="0.25">
      <c r="A235" t="s">
        <v>5305</v>
      </c>
      <c r="B235" t="s">
        <v>5770</v>
      </c>
    </row>
    <row r="236" spans="1:2" x14ac:dyDescent="0.25">
      <c r="A236" t="s">
        <v>2189</v>
      </c>
      <c r="B236" t="s">
        <v>5946</v>
      </c>
    </row>
    <row r="237" spans="1:2" x14ac:dyDescent="0.25">
      <c r="A237" t="s">
        <v>4895</v>
      </c>
      <c r="B237" t="s">
        <v>5961</v>
      </c>
    </row>
    <row r="238" spans="1:2" x14ac:dyDescent="0.25">
      <c r="A238" t="s">
        <v>5244</v>
      </c>
      <c r="B238" t="s">
        <v>5787</v>
      </c>
    </row>
    <row r="239" spans="1:2" x14ac:dyDescent="0.25">
      <c r="A239" t="s">
        <v>3210</v>
      </c>
      <c r="B239" t="s">
        <v>5787</v>
      </c>
    </row>
    <row r="240" spans="1:2" x14ac:dyDescent="0.25">
      <c r="A240" t="s">
        <v>2185</v>
      </c>
      <c r="B240" t="s">
        <v>5716</v>
      </c>
    </row>
    <row r="241" spans="1:2" x14ac:dyDescent="0.25">
      <c r="A241" t="s">
        <v>115</v>
      </c>
      <c r="B241" t="s">
        <v>5730</v>
      </c>
    </row>
    <row r="242" spans="1:2" x14ac:dyDescent="0.25">
      <c r="A242" t="s">
        <v>4253</v>
      </c>
      <c r="B242" t="s">
        <v>6386</v>
      </c>
    </row>
    <row r="243" spans="1:2" x14ac:dyDescent="0.25">
      <c r="A243" t="s">
        <v>4034</v>
      </c>
      <c r="B243" t="s">
        <v>5772</v>
      </c>
    </row>
    <row r="244" spans="1:2" x14ac:dyDescent="0.25">
      <c r="A244" t="s">
        <v>3117</v>
      </c>
      <c r="B244" t="s">
        <v>5851</v>
      </c>
    </row>
    <row r="245" spans="1:2" x14ac:dyDescent="0.25">
      <c r="A245" t="s">
        <v>2006</v>
      </c>
      <c r="B245" t="s">
        <v>5750</v>
      </c>
    </row>
    <row r="246" spans="1:2" x14ac:dyDescent="0.25">
      <c r="A246" t="s">
        <v>2889</v>
      </c>
      <c r="B246" t="s">
        <v>5790</v>
      </c>
    </row>
    <row r="247" spans="1:2" x14ac:dyDescent="0.25">
      <c r="A247" t="s">
        <v>4493</v>
      </c>
      <c r="B247" t="s">
        <v>5787</v>
      </c>
    </row>
    <row r="248" spans="1:2" x14ac:dyDescent="0.25">
      <c r="A248" t="s">
        <v>794</v>
      </c>
      <c r="B248" t="s">
        <v>5799</v>
      </c>
    </row>
    <row r="249" spans="1:2" x14ac:dyDescent="0.25">
      <c r="A249" t="s">
        <v>3340</v>
      </c>
      <c r="B249" t="s">
        <v>5787</v>
      </c>
    </row>
    <row r="250" spans="1:2" x14ac:dyDescent="0.25">
      <c r="A250" t="s">
        <v>3089</v>
      </c>
      <c r="B250" t="s">
        <v>5787</v>
      </c>
    </row>
    <row r="251" spans="1:2" x14ac:dyDescent="0.25">
      <c r="A251" t="s">
        <v>5458</v>
      </c>
      <c r="B251" t="s">
        <v>5953</v>
      </c>
    </row>
    <row r="252" spans="1:2" x14ac:dyDescent="0.25">
      <c r="A252" t="s">
        <v>2844</v>
      </c>
      <c r="B252" t="s">
        <v>5787</v>
      </c>
    </row>
    <row r="253" spans="1:2" x14ac:dyDescent="0.25">
      <c r="A253" t="s">
        <v>289</v>
      </c>
      <c r="B253" t="s">
        <v>5957</v>
      </c>
    </row>
    <row r="254" spans="1:2" x14ac:dyDescent="0.25">
      <c r="A254" t="s">
        <v>67</v>
      </c>
      <c r="B254" t="s">
        <v>6138</v>
      </c>
    </row>
    <row r="255" spans="1:2" x14ac:dyDescent="0.25">
      <c r="A255" t="s">
        <v>1451</v>
      </c>
      <c r="B255" t="s">
        <v>5787</v>
      </c>
    </row>
    <row r="256" spans="1:2" x14ac:dyDescent="0.25">
      <c r="A256" t="s">
        <v>2817</v>
      </c>
      <c r="B256" t="s">
        <v>5787</v>
      </c>
    </row>
    <row r="257" spans="1:2" x14ac:dyDescent="0.25">
      <c r="A257" t="s">
        <v>2983</v>
      </c>
      <c r="B257" t="s">
        <v>5834</v>
      </c>
    </row>
    <row r="258" spans="1:2" x14ac:dyDescent="0.25">
      <c r="A258" t="s">
        <v>2973</v>
      </c>
      <c r="B258" t="s">
        <v>5793</v>
      </c>
    </row>
    <row r="259" spans="1:2" x14ac:dyDescent="0.25">
      <c r="A259" t="s">
        <v>4817</v>
      </c>
      <c r="B259" t="s">
        <v>6121</v>
      </c>
    </row>
    <row r="260" spans="1:2" x14ac:dyDescent="0.25">
      <c r="A260" t="s">
        <v>2016</v>
      </c>
      <c r="B260" t="s">
        <v>6046</v>
      </c>
    </row>
    <row r="261" spans="1:2" x14ac:dyDescent="0.25">
      <c r="A261" t="s">
        <v>800</v>
      </c>
      <c r="B261" t="s">
        <v>6467</v>
      </c>
    </row>
    <row r="262" spans="1:2" x14ac:dyDescent="0.25">
      <c r="A262" t="s">
        <v>2582</v>
      </c>
      <c r="B262" t="s">
        <v>6056</v>
      </c>
    </row>
    <row r="263" spans="1:2" x14ac:dyDescent="0.25">
      <c r="A263" t="s">
        <v>4195</v>
      </c>
      <c r="B263" t="s">
        <v>6345</v>
      </c>
    </row>
    <row r="264" spans="1:2" x14ac:dyDescent="0.25">
      <c r="A264" t="s">
        <v>4809</v>
      </c>
      <c r="B264" t="s">
        <v>5881</v>
      </c>
    </row>
    <row r="265" spans="1:2" x14ac:dyDescent="0.25">
      <c r="A265" t="s">
        <v>143</v>
      </c>
      <c r="B265" t="s">
        <v>5892</v>
      </c>
    </row>
    <row r="266" spans="1:2" x14ac:dyDescent="0.25">
      <c r="A266" t="s">
        <v>4133</v>
      </c>
      <c r="B266" t="s">
        <v>6673</v>
      </c>
    </row>
    <row r="267" spans="1:2" x14ac:dyDescent="0.25">
      <c r="A267" t="s">
        <v>4700</v>
      </c>
      <c r="B267" t="s">
        <v>5787</v>
      </c>
    </row>
    <row r="268" spans="1:2" x14ac:dyDescent="0.25">
      <c r="A268" t="s">
        <v>3594</v>
      </c>
      <c r="B268" t="s">
        <v>5740</v>
      </c>
    </row>
    <row r="269" spans="1:2" x14ac:dyDescent="0.25">
      <c r="A269" t="s">
        <v>3840</v>
      </c>
      <c r="B269" t="s">
        <v>6042</v>
      </c>
    </row>
    <row r="270" spans="1:2" x14ac:dyDescent="0.25">
      <c r="A270" t="s">
        <v>2870</v>
      </c>
      <c r="B270" t="s">
        <v>5721</v>
      </c>
    </row>
    <row r="271" spans="1:2" x14ac:dyDescent="0.25">
      <c r="A271" t="s">
        <v>1345</v>
      </c>
      <c r="B271" t="s">
        <v>5945</v>
      </c>
    </row>
    <row r="272" spans="1:2" x14ac:dyDescent="0.25">
      <c r="A272" t="s">
        <v>3548</v>
      </c>
      <c r="B272" t="s">
        <v>5788</v>
      </c>
    </row>
    <row r="273" spans="1:2" x14ac:dyDescent="0.25">
      <c r="A273" t="s">
        <v>874</v>
      </c>
      <c r="B273" t="s">
        <v>5819</v>
      </c>
    </row>
    <row r="274" spans="1:2" x14ac:dyDescent="0.25">
      <c r="A274" t="s">
        <v>4476</v>
      </c>
      <c r="B274" t="s">
        <v>5787</v>
      </c>
    </row>
    <row r="275" spans="1:2" x14ac:dyDescent="0.25">
      <c r="A275" t="s">
        <v>5425</v>
      </c>
      <c r="B275" t="s">
        <v>6266</v>
      </c>
    </row>
    <row r="276" spans="1:2" x14ac:dyDescent="0.25">
      <c r="A276" t="s">
        <v>743</v>
      </c>
      <c r="B276" t="s">
        <v>5787</v>
      </c>
    </row>
    <row r="277" spans="1:2" x14ac:dyDescent="0.25">
      <c r="A277" t="s">
        <v>5161</v>
      </c>
      <c r="B277" t="s">
        <v>5787</v>
      </c>
    </row>
    <row r="278" spans="1:2" x14ac:dyDescent="0.25">
      <c r="A278" t="s">
        <v>4823</v>
      </c>
      <c r="B278" t="s">
        <v>5993</v>
      </c>
    </row>
    <row r="279" spans="1:2" x14ac:dyDescent="0.25">
      <c r="A279" t="s">
        <v>5046</v>
      </c>
      <c r="B279" t="s">
        <v>5820</v>
      </c>
    </row>
    <row r="280" spans="1:2" x14ac:dyDescent="0.25">
      <c r="A280" t="s">
        <v>7133</v>
      </c>
      <c r="B280" t="s">
        <v>6052</v>
      </c>
    </row>
    <row r="281" spans="1:2" x14ac:dyDescent="0.25">
      <c r="A281" t="s">
        <v>2771</v>
      </c>
      <c r="B281" t="s">
        <v>6497</v>
      </c>
    </row>
    <row r="282" spans="1:2" x14ac:dyDescent="0.25">
      <c r="A282" t="s">
        <v>3013</v>
      </c>
      <c r="B282" t="s">
        <v>5757</v>
      </c>
    </row>
    <row r="283" spans="1:2" x14ac:dyDescent="0.25">
      <c r="A283" t="s">
        <v>1277</v>
      </c>
      <c r="B283" t="s">
        <v>5957</v>
      </c>
    </row>
    <row r="284" spans="1:2" x14ac:dyDescent="0.25">
      <c r="A284" t="s">
        <v>1723</v>
      </c>
      <c r="B284" t="s">
        <v>5856</v>
      </c>
    </row>
    <row r="285" spans="1:2" x14ac:dyDescent="0.25">
      <c r="A285" t="s">
        <v>3151</v>
      </c>
      <c r="B285" t="s">
        <v>5790</v>
      </c>
    </row>
    <row r="286" spans="1:2" x14ac:dyDescent="0.25">
      <c r="A286" t="s">
        <v>1461</v>
      </c>
      <c r="B286" t="s">
        <v>6002</v>
      </c>
    </row>
    <row r="287" spans="1:2" x14ac:dyDescent="0.25">
      <c r="A287" t="s">
        <v>4538</v>
      </c>
      <c r="B287" t="s">
        <v>5831</v>
      </c>
    </row>
    <row r="288" spans="1:2" x14ac:dyDescent="0.25">
      <c r="A288" t="s">
        <v>4310</v>
      </c>
      <c r="B288" t="s">
        <v>5836</v>
      </c>
    </row>
    <row r="289" spans="1:2" x14ac:dyDescent="0.25">
      <c r="A289" t="s">
        <v>214</v>
      </c>
      <c r="B289" t="s">
        <v>5708</v>
      </c>
    </row>
    <row r="290" spans="1:2" x14ac:dyDescent="0.25">
      <c r="A290" t="s">
        <v>2142</v>
      </c>
      <c r="B290" t="s">
        <v>5724</v>
      </c>
    </row>
    <row r="291" spans="1:2" x14ac:dyDescent="0.25">
      <c r="A291" t="s">
        <v>634</v>
      </c>
      <c r="B291" t="s">
        <v>5868</v>
      </c>
    </row>
    <row r="292" spans="1:2" x14ac:dyDescent="0.25">
      <c r="A292" t="s">
        <v>3932</v>
      </c>
      <c r="B292" t="s">
        <v>5843</v>
      </c>
    </row>
    <row r="293" spans="1:2" x14ac:dyDescent="0.25">
      <c r="A293" t="s">
        <v>4053</v>
      </c>
      <c r="B293" t="s">
        <v>5800</v>
      </c>
    </row>
    <row r="294" spans="1:2" x14ac:dyDescent="0.25">
      <c r="A294" t="s">
        <v>4510</v>
      </c>
      <c r="B294" t="s">
        <v>5823</v>
      </c>
    </row>
    <row r="295" spans="1:2" x14ac:dyDescent="0.25">
      <c r="A295" t="s">
        <v>3698</v>
      </c>
      <c r="B295" t="s">
        <v>5820</v>
      </c>
    </row>
    <row r="296" spans="1:2" x14ac:dyDescent="0.25">
      <c r="A296" t="s">
        <v>2766</v>
      </c>
      <c r="B296" t="s">
        <v>5810</v>
      </c>
    </row>
    <row r="297" spans="1:2" x14ac:dyDescent="0.25">
      <c r="A297" t="s">
        <v>5590</v>
      </c>
      <c r="B297" t="s">
        <v>6344</v>
      </c>
    </row>
    <row r="298" spans="1:2" x14ac:dyDescent="0.25">
      <c r="A298" t="s">
        <v>3918</v>
      </c>
      <c r="B298" t="s">
        <v>5817</v>
      </c>
    </row>
    <row r="299" spans="1:2" x14ac:dyDescent="0.25">
      <c r="A299" t="s">
        <v>2581</v>
      </c>
      <c r="B299" t="s">
        <v>6172</v>
      </c>
    </row>
    <row r="300" spans="1:2" x14ac:dyDescent="0.25">
      <c r="A300" t="s">
        <v>2433</v>
      </c>
      <c r="B300" t="s">
        <v>6118</v>
      </c>
    </row>
    <row r="301" spans="1:2" x14ac:dyDescent="0.25">
      <c r="A301" t="s">
        <v>3359</v>
      </c>
      <c r="B301" t="s">
        <v>5874</v>
      </c>
    </row>
    <row r="302" spans="1:2" x14ac:dyDescent="0.25">
      <c r="A302" t="s">
        <v>504</v>
      </c>
      <c r="B302" t="s">
        <v>5787</v>
      </c>
    </row>
    <row r="303" spans="1:2" x14ac:dyDescent="0.25">
      <c r="A303" t="s">
        <v>5037</v>
      </c>
      <c r="B303" t="s">
        <v>5804</v>
      </c>
    </row>
    <row r="304" spans="1:2" x14ac:dyDescent="0.25">
      <c r="A304" t="s">
        <v>1015</v>
      </c>
      <c r="B304" t="s">
        <v>6156</v>
      </c>
    </row>
    <row r="305" spans="1:2" x14ac:dyDescent="0.25">
      <c r="A305" t="s">
        <v>4605</v>
      </c>
      <c r="B305" t="s">
        <v>5750</v>
      </c>
    </row>
    <row r="306" spans="1:2" x14ac:dyDescent="0.25">
      <c r="A306" t="s">
        <v>5173</v>
      </c>
      <c r="B306" t="s">
        <v>6335</v>
      </c>
    </row>
    <row r="307" spans="1:2" x14ac:dyDescent="0.25">
      <c r="A307" t="s">
        <v>4265</v>
      </c>
      <c r="B307" t="s">
        <v>6132</v>
      </c>
    </row>
    <row r="308" spans="1:2" x14ac:dyDescent="0.25">
      <c r="A308" t="s">
        <v>2288</v>
      </c>
      <c r="B308" t="s">
        <v>5704</v>
      </c>
    </row>
    <row r="309" spans="1:2" x14ac:dyDescent="0.25">
      <c r="A309" t="s">
        <v>575</v>
      </c>
      <c r="B309" t="s">
        <v>5724</v>
      </c>
    </row>
    <row r="310" spans="1:2" x14ac:dyDescent="0.25">
      <c r="A310" t="s">
        <v>2662</v>
      </c>
      <c r="B310" t="s">
        <v>5887</v>
      </c>
    </row>
    <row r="311" spans="1:2" x14ac:dyDescent="0.25">
      <c r="A311" t="s">
        <v>3626</v>
      </c>
      <c r="B311" t="s">
        <v>6717</v>
      </c>
    </row>
    <row r="312" spans="1:2" x14ac:dyDescent="0.25">
      <c r="A312" t="s">
        <v>1535</v>
      </c>
      <c r="B312" t="s">
        <v>5799</v>
      </c>
    </row>
    <row r="313" spans="1:2" x14ac:dyDescent="0.25">
      <c r="A313" t="s">
        <v>2143</v>
      </c>
      <c r="B313" t="s">
        <v>5744</v>
      </c>
    </row>
    <row r="314" spans="1:2" x14ac:dyDescent="0.25">
      <c r="A314" t="s">
        <v>3392</v>
      </c>
      <c r="B314" t="s">
        <v>5995</v>
      </c>
    </row>
    <row r="315" spans="1:2" x14ac:dyDescent="0.25">
      <c r="A315" t="s">
        <v>4970</v>
      </c>
      <c r="B315" t="s">
        <v>6039</v>
      </c>
    </row>
    <row r="316" spans="1:2" x14ac:dyDescent="0.25">
      <c r="A316" t="s">
        <v>2587</v>
      </c>
      <c r="B316" t="s">
        <v>5869</v>
      </c>
    </row>
    <row r="317" spans="1:2" x14ac:dyDescent="0.25">
      <c r="A317" t="s">
        <v>1756</v>
      </c>
      <c r="B317" t="s">
        <v>5876</v>
      </c>
    </row>
    <row r="318" spans="1:2" x14ac:dyDescent="0.25">
      <c r="A318" t="s">
        <v>229</v>
      </c>
      <c r="B318" t="s">
        <v>5988</v>
      </c>
    </row>
    <row r="319" spans="1:2" x14ac:dyDescent="0.25">
      <c r="A319" t="s">
        <v>5483</v>
      </c>
      <c r="B319" t="s">
        <v>5716</v>
      </c>
    </row>
    <row r="320" spans="1:2" x14ac:dyDescent="0.25">
      <c r="A320" t="s">
        <v>4509</v>
      </c>
      <c r="B320" t="s">
        <v>5787</v>
      </c>
    </row>
    <row r="321" spans="1:2" x14ac:dyDescent="0.25">
      <c r="A321" t="s">
        <v>2577</v>
      </c>
      <c r="B321" t="s">
        <v>5708</v>
      </c>
    </row>
    <row r="322" spans="1:2" x14ac:dyDescent="0.25">
      <c r="A322" t="s">
        <v>4606</v>
      </c>
      <c r="B322" t="s">
        <v>5812</v>
      </c>
    </row>
    <row r="323" spans="1:2" x14ac:dyDescent="0.25">
      <c r="A323" t="s">
        <v>1526</v>
      </c>
      <c r="B323" t="s">
        <v>5789</v>
      </c>
    </row>
    <row r="324" spans="1:2" x14ac:dyDescent="0.25">
      <c r="A324" t="s">
        <v>3667</v>
      </c>
      <c r="B324" t="s">
        <v>6621</v>
      </c>
    </row>
    <row r="325" spans="1:2" x14ac:dyDescent="0.25">
      <c r="A325" t="s">
        <v>1766</v>
      </c>
      <c r="B325" t="s">
        <v>5962</v>
      </c>
    </row>
    <row r="326" spans="1:2" x14ac:dyDescent="0.25">
      <c r="A326" t="s">
        <v>2923</v>
      </c>
      <c r="B326" t="s">
        <v>5827</v>
      </c>
    </row>
    <row r="327" spans="1:2" x14ac:dyDescent="0.25">
      <c r="A327" t="s">
        <v>1541</v>
      </c>
      <c r="B327" t="s">
        <v>5787</v>
      </c>
    </row>
    <row r="328" spans="1:2" x14ac:dyDescent="0.25">
      <c r="A328" t="s">
        <v>3113</v>
      </c>
      <c r="B328" t="s">
        <v>5788</v>
      </c>
    </row>
    <row r="329" spans="1:2" x14ac:dyDescent="0.25">
      <c r="A329" t="s">
        <v>2767</v>
      </c>
      <c r="B329" t="s">
        <v>5815</v>
      </c>
    </row>
    <row r="330" spans="1:2" x14ac:dyDescent="0.25">
      <c r="A330" t="s">
        <v>5097</v>
      </c>
      <c r="B330" t="s">
        <v>5774</v>
      </c>
    </row>
    <row r="331" spans="1:2" x14ac:dyDescent="0.25">
      <c r="A331" t="s">
        <v>5619</v>
      </c>
      <c r="B331" t="s">
        <v>6332</v>
      </c>
    </row>
    <row r="332" spans="1:2" x14ac:dyDescent="0.25">
      <c r="A332" t="s">
        <v>957</v>
      </c>
      <c r="B332" t="s">
        <v>5787</v>
      </c>
    </row>
    <row r="333" spans="1:2" x14ac:dyDescent="0.25">
      <c r="A333" t="s">
        <v>2727</v>
      </c>
      <c r="B333" t="s">
        <v>5882</v>
      </c>
    </row>
    <row r="334" spans="1:2" x14ac:dyDescent="0.25">
      <c r="A334" t="s">
        <v>2394</v>
      </c>
      <c r="B334" t="s">
        <v>6029</v>
      </c>
    </row>
    <row r="335" spans="1:2" x14ac:dyDescent="0.25">
      <c r="A335" t="s">
        <v>2338</v>
      </c>
      <c r="B335" t="s">
        <v>5923</v>
      </c>
    </row>
    <row r="336" spans="1:2" x14ac:dyDescent="0.25">
      <c r="A336" t="s">
        <v>3580</v>
      </c>
      <c r="B336" t="s">
        <v>6436</v>
      </c>
    </row>
    <row r="337" spans="1:2" x14ac:dyDescent="0.25">
      <c r="A337" t="s">
        <v>3103</v>
      </c>
      <c r="B337" t="s">
        <v>6309</v>
      </c>
    </row>
    <row r="338" spans="1:2" x14ac:dyDescent="0.25">
      <c r="A338" t="s">
        <v>4946</v>
      </c>
      <c r="B338" t="s">
        <v>5774</v>
      </c>
    </row>
    <row r="339" spans="1:2" x14ac:dyDescent="0.25">
      <c r="A339" t="s">
        <v>3970</v>
      </c>
      <c r="B339" t="s">
        <v>5823</v>
      </c>
    </row>
    <row r="340" spans="1:2" x14ac:dyDescent="0.25">
      <c r="A340" t="s">
        <v>4554</v>
      </c>
      <c r="B340" t="s">
        <v>5930</v>
      </c>
    </row>
    <row r="341" spans="1:2" x14ac:dyDescent="0.25">
      <c r="A341" t="s">
        <v>3616</v>
      </c>
      <c r="B341" t="s">
        <v>6227</v>
      </c>
    </row>
    <row r="342" spans="1:2" x14ac:dyDescent="0.25">
      <c r="A342" t="s">
        <v>3311</v>
      </c>
      <c r="B342" t="s">
        <v>6454</v>
      </c>
    </row>
    <row r="343" spans="1:2" x14ac:dyDescent="0.25">
      <c r="A343" t="s">
        <v>2419</v>
      </c>
      <c r="B343" t="s">
        <v>5708</v>
      </c>
    </row>
    <row r="344" spans="1:2" x14ac:dyDescent="0.25">
      <c r="A344" t="s">
        <v>858</v>
      </c>
      <c r="B344" t="s">
        <v>5752</v>
      </c>
    </row>
    <row r="345" spans="1:2" x14ac:dyDescent="0.25">
      <c r="A345" t="s">
        <v>2798</v>
      </c>
      <c r="B345" t="s">
        <v>5787</v>
      </c>
    </row>
    <row r="346" spans="1:2" x14ac:dyDescent="0.25">
      <c r="A346" t="s">
        <v>5641</v>
      </c>
      <c r="B346" t="s">
        <v>5797</v>
      </c>
    </row>
    <row r="347" spans="1:2" x14ac:dyDescent="0.25">
      <c r="A347" t="s">
        <v>5349</v>
      </c>
      <c r="B347" t="s">
        <v>5968</v>
      </c>
    </row>
    <row r="348" spans="1:2" x14ac:dyDescent="0.25">
      <c r="A348" t="s">
        <v>707</v>
      </c>
      <c r="B348" t="s">
        <v>5787</v>
      </c>
    </row>
    <row r="349" spans="1:2" x14ac:dyDescent="0.25">
      <c r="A349" t="s">
        <v>1740</v>
      </c>
      <c r="B349" t="s">
        <v>5937</v>
      </c>
    </row>
    <row r="350" spans="1:2" x14ac:dyDescent="0.25">
      <c r="A350" t="s">
        <v>3640</v>
      </c>
      <c r="B350" t="s">
        <v>5747</v>
      </c>
    </row>
    <row r="351" spans="1:2" x14ac:dyDescent="0.25">
      <c r="A351" t="s">
        <v>4015</v>
      </c>
      <c r="B351" t="s">
        <v>6344</v>
      </c>
    </row>
    <row r="352" spans="1:2" x14ac:dyDescent="0.25">
      <c r="A352" t="s">
        <v>5722</v>
      </c>
      <c r="B352" t="s">
        <v>5721</v>
      </c>
    </row>
    <row r="353" spans="1:2" x14ac:dyDescent="0.25">
      <c r="A353" t="s">
        <v>1198</v>
      </c>
      <c r="B353" t="s">
        <v>5947</v>
      </c>
    </row>
    <row r="354" spans="1:2" x14ac:dyDescent="0.25">
      <c r="A354" t="s">
        <v>2276</v>
      </c>
      <c r="B354" t="s">
        <v>5734</v>
      </c>
    </row>
    <row r="355" spans="1:2" x14ac:dyDescent="0.25">
      <c r="A355" t="s">
        <v>3438</v>
      </c>
      <c r="B355" t="s">
        <v>6651</v>
      </c>
    </row>
    <row r="356" spans="1:2" x14ac:dyDescent="0.25">
      <c r="A356" t="s">
        <v>129</v>
      </c>
      <c r="B356" t="s">
        <v>5740</v>
      </c>
    </row>
    <row r="357" spans="1:2" x14ac:dyDescent="0.25">
      <c r="A357" t="s">
        <v>347</v>
      </c>
      <c r="B357" t="s">
        <v>5787</v>
      </c>
    </row>
    <row r="358" spans="1:2" x14ac:dyDescent="0.25">
      <c r="A358" t="s">
        <v>3851</v>
      </c>
      <c r="B358" t="s">
        <v>5989</v>
      </c>
    </row>
    <row r="359" spans="1:2" x14ac:dyDescent="0.25">
      <c r="A359" t="s">
        <v>1738</v>
      </c>
      <c r="B359" t="s">
        <v>5989</v>
      </c>
    </row>
    <row r="360" spans="1:2" x14ac:dyDescent="0.25">
      <c r="A360" t="s">
        <v>4179</v>
      </c>
      <c r="B360" t="s">
        <v>5787</v>
      </c>
    </row>
    <row r="361" spans="1:2" x14ac:dyDescent="0.25">
      <c r="A361" t="s">
        <v>217</v>
      </c>
      <c r="B361" t="s">
        <v>6137</v>
      </c>
    </row>
    <row r="362" spans="1:2" x14ac:dyDescent="0.25">
      <c r="A362" t="s">
        <v>970</v>
      </c>
      <c r="B362" t="s">
        <v>5788</v>
      </c>
    </row>
    <row r="363" spans="1:2" x14ac:dyDescent="0.25">
      <c r="A363" t="s">
        <v>3253</v>
      </c>
      <c r="B363" t="s">
        <v>6648</v>
      </c>
    </row>
    <row r="364" spans="1:2" x14ac:dyDescent="0.25">
      <c r="A364" t="s">
        <v>2543</v>
      </c>
      <c r="B364" t="s">
        <v>5787</v>
      </c>
    </row>
    <row r="365" spans="1:2" x14ac:dyDescent="0.25">
      <c r="A365" t="s">
        <v>4061</v>
      </c>
      <c r="B365" t="s">
        <v>6718</v>
      </c>
    </row>
    <row r="366" spans="1:2" x14ac:dyDescent="0.25">
      <c r="A366" t="s">
        <v>5591</v>
      </c>
      <c r="B366" t="s">
        <v>6422</v>
      </c>
    </row>
    <row r="367" spans="1:2" x14ac:dyDescent="0.25">
      <c r="A367" t="s">
        <v>3110</v>
      </c>
      <c r="B367" t="s">
        <v>5881</v>
      </c>
    </row>
    <row r="368" spans="1:2" x14ac:dyDescent="0.25">
      <c r="A368" t="s">
        <v>4726</v>
      </c>
      <c r="B368" t="s">
        <v>5759</v>
      </c>
    </row>
    <row r="369" spans="1:2" x14ac:dyDescent="0.25">
      <c r="A369" t="s">
        <v>1835</v>
      </c>
      <c r="B369" t="s">
        <v>5918</v>
      </c>
    </row>
    <row r="370" spans="1:2" x14ac:dyDescent="0.25">
      <c r="A370" t="s">
        <v>4084</v>
      </c>
      <c r="B370" t="s">
        <v>5787</v>
      </c>
    </row>
    <row r="371" spans="1:2" x14ac:dyDescent="0.25">
      <c r="A371" t="s">
        <v>4689</v>
      </c>
      <c r="B371" t="s">
        <v>6018</v>
      </c>
    </row>
    <row r="372" spans="1:2" x14ac:dyDescent="0.25">
      <c r="A372" t="s">
        <v>1730</v>
      </c>
      <c r="B372" t="s">
        <v>5787</v>
      </c>
    </row>
    <row r="373" spans="1:2" x14ac:dyDescent="0.25">
      <c r="A373" t="s">
        <v>3091</v>
      </c>
      <c r="B373" t="s">
        <v>5937</v>
      </c>
    </row>
    <row r="374" spans="1:2" x14ac:dyDescent="0.25">
      <c r="A374" t="s">
        <v>3195</v>
      </c>
      <c r="B374" t="s">
        <v>5966</v>
      </c>
    </row>
    <row r="375" spans="1:2" x14ac:dyDescent="0.25">
      <c r="A375" t="s">
        <v>3249</v>
      </c>
      <c r="B375" t="s">
        <v>5789</v>
      </c>
    </row>
    <row r="376" spans="1:2" x14ac:dyDescent="0.25">
      <c r="A376" t="s">
        <v>1748</v>
      </c>
      <c r="B376" t="s">
        <v>5858</v>
      </c>
    </row>
    <row r="377" spans="1:2" x14ac:dyDescent="0.25">
      <c r="A377" t="s">
        <v>4518</v>
      </c>
      <c r="B377" t="s">
        <v>5973</v>
      </c>
    </row>
    <row r="378" spans="1:2" x14ac:dyDescent="0.25">
      <c r="A378" t="s">
        <v>46</v>
      </c>
      <c r="B378" t="s">
        <v>5787</v>
      </c>
    </row>
    <row r="379" spans="1:2" x14ac:dyDescent="0.25">
      <c r="A379" t="s">
        <v>4996</v>
      </c>
      <c r="B379" t="s">
        <v>5704</v>
      </c>
    </row>
    <row r="380" spans="1:2" x14ac:dyDescent="0.25">
      <c r="A380" t="s">
        <v>4574</v>
      </c>
      <c r="B380" t="s">
        <v>5967</v>
      </c>
    </row>
    <row r="381" spans="1:2" x14ac:dyDescent="0.25">
      <c r="A381" t="s">
        <v>4407</v>
      </c>
      <c r="B381" t="s">
        <v>5772</v>
      </c>
    </row>
    <row r="382" spans="1:2" x14ac:dyDescent="0.25">
      <c r="A382" t="s">
        <v>5267</v>
      </c>
      <c r="B382" t="s">
        <v>5747</v>
      </c>
    </row>
    <row r="383" spans="1:2" x14ac:dyDescent="0.25">
      <c r="A383" t="s">
        <v>4122</v>
      </c>
      <c r="B383" t="s">
        <v>5789</v>
      </c>
    </row>
    <row r="384" spans="1:2" x14ac:dyDescent="0.25">
      <c r="A384" t="s">
        <v>2334</v>
      </c>
      <c r="B384" t="s">
        <v>5897</v>
      </c>
    </row>
    <row r="385" spans="1:2" x14ac:dyDescent="0.25">
      <c r="A385" t="s">
        <v>3356</v>
      </c>
      <c r="B385" t="s">
        <v>5716</v>
      </c>
    </row>
    <row r="386" spans="1:2" x14ac:dyDescent="0.25">
      <c r="A386" t="s">
        <v>2754</v>
      </c>
      <c r="B386" t="s">
        <v>5782</v>
      </c>
    </row>
    <row r="387" spans="1:2" x14ac:dyDescent="0.25">
      <c r="A387" t="s">
        <v>5432</v>
      </c>
      <c r="B387" t="s">
        <v>5787</v>
      </c>
    </row>
    <row r="388" spans="1:2" x14ac:dyDescent="0.25">
      <c r="A388" t="s">
        <v>231</v>
      </c>
      <c r="B388" t="s">
        <v>5716</v>
      </c>
    </row>
    <row r="389" spans="1:2" x14ac:dyDescent="0.25">
      <c r="A389" t="s">
        <v>3143</v>
      </c>
      <c r="B389" t="s">
        <v>5832</v>
      </c>
    </row>
    <row r="390" spans="1:2" x14ac:dyDescent="0.25">
      <c r="A390" t="s">
        <v>2878</v>
      </c>
      <c r="B390" t="s">
        <v>5787</v>
      </c>
    </row>
    <row r="391" spans="1:2" x14ac:dyDescent="0.25">
      <c r="A391" t="s">
        <v>2852</v>
      </c>
      <c r="B391" t="s">
        <v>5787</v>
      </c>
    </row>
    <row r="392" spans="1:2" x14ac:dyDescent="0.25">
      <c r="A392" t="s">
        <v>5357</v>
      </c>
      <c r="B392" t="s">
        <v>6327</v>
      </c>
    </row>
    <row r="393" spans="1:2" x14ac:dyDescent="0.25">
      <c r="A393" t="s">
        <v>3108</v>
      </c>
      <c r="B393" t="s">
        <v>5787</v>
      </c>
    </row>
    <row r="394" spans="1:2" x14ac:dyDescent="0.25">
      <c r="A394" t="s">
        <v>1290</v>
      </c>
      <c r="B394" t="s">
        <v>5787</v>
      </c>
    </row>
    <row r="395" spans="1:2" x14ac:dyDescent="0.25">
      <c r="A395" t="s">
        <v>1873</v>
      </c>
      <c r="B395" t="s">
        <v>5766</v>
      </c>
    </row>
    <row r="396" spans="1:2" x14ac:dyDescent="0.25">
      <c r="A396" t="s">
        <v>2623</v>
      </c>
      <c r="B396" t="s">
        <v>5798</v>
      </c>
    </row>
    <row r="397" spans="1:2" x14ac:dyDescent="0.25">
      <c r="A397" t="s">
        <v>3657</v>
      </c>
      <c r="B397" t="s">
        <v>5816</v>
      </c>
    </row>
    <row r="398" spans="1:2" x14ac:dyDescent="0.25">
      <c r="A398" t="s">
        <v>1580</v>
      </c>
      <c r="B398" t="s">
        <v>5787</v>
      </c>
    </row>
    <row r="399" spans="1:2" x14ac:dyDescent="0.25">
      <c r="A399" t="s">
        <v>3785</v>
      </c>
      <c r="B399" t="s">
        <v>6295</v>
      </c>
    </row>
    <row r="400" spans="1:2" x14ac:dyDescent="0.25">
      <c r="A400" t="s">
        <v>7262</v>
      </c>
      <c r="B400" t="s">
        <v>5946</v>
      </c>
    </row>
    <row r="401" spans="1:2" x14ac:dyDescent="0.25">
      <c r="A401" t="s">
        <v>4773</v>
      </c>
    </row>
    <row r="402" spans="1:2" x14ac:dyDescent="0.25">
      <c r="A402" t="s">
        <v>3653</v>
      </c>
      <c r="B402" t="s">
        <v>5747</v>
      </c>
    </row>
    <row r="403" spans="1:2" x14ac:dyDescent="0.25">
      <c r="A403" t="s">
        <v>2714</v>
      </c>
      <c r="B403" t="s">
        <v>5895</v>
      </c>
    </row>
    <row r="404" spans="1:2" x14ac:dyDescent="0.25">
      <c r="A404" t="s">
        <v>2350</v>
      </c>
      <c r="B404" t="s">
        <v>6179</v>
      </c>
    </row>
    <row r="405" spans="1:2" x14ac:dyDescent="0.25">
      <c r="A405" t="s">
        <v>1231</v>
      </c>
      <c r="B405" t="s">
        <v>5795</v>
      </c>
    </row>
    <row r="406" spans="1:2" x14ac:dyDescent="0.25">
      <c r="A406" t="s">
        <v>5102</v>
      </c>
      <c r="B406" t="s">
        <v>6026</v>
      </c>
    </row>
    <row r="407" spans="1:2" x14ac:dyDescent="0.25">
      <c r="A407" t="s">
        <v>273</v>
      </c>
      <c r="B407">
        <v>0</v>
      </c>
    </row>
    <row r="408" spans="1:2" x14ac:dyDescent="0.25">
      <c r="A408" t="s">
        <v>2649</v>
      </c>
      <c r="B408" t="s">
        <v>5787</v>
      </c>
    </row>
    <row r="409" spans="1:2" x14ac:dyDescent="0.25">
      <c r="A409" t="s">
        <v>203</v>
      </c>
      <c r="B409" t="s">
        <v>5787</v>
      </c>
    </row>
    <row r="410" spans="1:2" x14ac:dyDescent="0.25">
      <c r="A410" t="s">
        <v>5240</v>
      </c>
      <c r="B410" t="s">
        <v>5914</v>
      </c>
    </row>
    <row r="411" spans="1:2" x14ac:dyDescent="0.25">
      <c r="A411" t="s">
        <v>4076</v>
      </c>
      <c r="B411" t="s">
        <v>5706</v>
      </c>
    </row>
    <row r="412" spans="1:2" x14ac:dyDescent="0.25">
      <c r="A412" t="s">
        <v>175</v>
      </c>
      <c r="B412" t="s">
        <v>5787</v>
      </c>
    </row>
    <row r="413" spans="1:2" x14ac:dyDescent="0.25">
      <c r="A413" t="s">
        <v>2465</v>
      </c>
      <c r="B413" t="s">
        <v>5994</v>
      </c>
    </row>
    <row r="414" spans="1:2" x14ac:dyDescent="0.25">
      <c r="A414" t="s">
        <v>4552</v>
      </c>
    </row>
    <row r="415" spans="1:2" x14ac:dyDescent="0.25">
      <c r="A415" t="s">
        <v>4331</v>
      </c>
      <c r="B415" t="s">
        <v>6624</v>
      </c>
    </row>
    <row r="416" spans="1:2" x14ac:dyDescent="0.25">
      <c r="A416" t="s">
        <v>2154</v>
      </c>
      <c r="B416" t="s">
        <v>5790</v>
      </c>
    </row>
    <row r="417" spans="1:2" x14ac:dyDescent="0.25">
      <c r="A417" t="s">
        <v>4342</v>
      </c>
      <c r="B417" t="s">
        <v>6776</v>
      </c>
    </row>
    <row r="418" spans="1:2" x14ac:dyDescent="0.25">
      <c r="A418" t="s">
        <v>4104</v>
      </c>
    </row>
    <row r="419" spans="1:2" x14ac:dyDescent="0.25">
      <c r="A419" t="s">
        <v>1138</v>
      </c>
      <c r="B419" t="s">
        <v>6495</v>
      </c>
    </row>
    <row r="420" spans="1:2" x14ac:dyDescent="0.25">
      <c r="A420" t="s">
        <v>31751</v>
      </c>
      <c r="B420" t="s">
        <v>5787</v>
      </c>
    </row>
    <row r="421" spans="1:2" x14ac:dyDescent="0.25">
      <c r="A421" t="s">
        <v>5099</v>
      </c>
      <c r="B421" t="s">
        <v>5708</v>
      </c>
    </row>
    <row r="422" spans="1:2" x14ac:dyDescent="0.25">
      <c r="A422" t="s">
        <v>2291</v>
      </c>
      <c r="B422" t="s">
        <v>5713</v>
      </c>
    </row>
    <row r="423" spans="1:2" x14ac:dyDescent="0.25">
      <c r="A423" t="s">
        <v>901</v>
      </c>
      <c r="B423" t="s">
        <v>5728</v>
      </c>
    </row>
    <row r="424" spans="1:2" x14ac:dyDescent="0.25">
      <c r="A424" t="s">
        <v>3318</v>
      </c>
      <c r="B424" t="s">
        <v>5787</v>
      </c>
    </row>
    <row r="425" spans="1:2" x14ac:dyDescent="0.25">
      <c r="A425" t="s">
        <v>4031</v>
      </c>
      <c r="B425" t="s">
        <v>5787</v>
      </c>
    </row>
    <row r="426" spans="1:2" x14ac:dyDescent="0.25">
      <c r="A426" t="s">
        <v>1383</v>
      </c>
      <c r="B426" t="s">
        <v>6184</v>
      </c>
    </row>
    <row r="427" spans="1:2" x14ac:dyDescent="0.25">
      <c r="A427" t="s">
        <v>3575</v>
      </c>
      <c r="B427" t="s">
        <v>5883</v>
      </c>
    </row>
    <row r="428" spans="1:2" x14ac:dyDescent="0.25">
      <c r="A428" t="s">
        <v>716</v>
      </c>
      <c r="B428" t="s">
        <v>5945</v>
      </c>
    </row>
    <row r="429" spans="1:2" x14ac:dyDescent="0.25">
      <c r="A429" t="s">
        <v>4671</v>
      </c>
      <c r="B429" t="s">
        <v>5759</v>
      </c>
    </row>
    <row r="430" spans="1:2" x14ac:dyDescent="0.25">
      <c r="A430" t="s">
        <v>5084</v>
      </c>
      <c r="B430" t="s">
        <v>6308</v>
      </c>
    </row>
    <row r="431" spans="1:2" x14ac:dyDescent="0.25">
      <c r="A431" t="s">
        <v>4339</v>
      </c>
      <c r="B431" t="s">
        <v>5728</v>
      </c>
    </row>
    <row r="432" spans="1:2" x14ac:dyDescent="0.25">
      <c r="A432" t="s">
        <v>906</v>
      </c>
      <c r="B432" t="s">
        <v>5787</v>
      </c>
    </row>
    <row r="433" spans="1:2" x14ac:dyDescent="0.25">
      <c r="A433" t="s">
        <v>1828</v>
      </c>
      <c r="B433" t="s">
        <v>5940</v>
      </c>
    </row>
    <row r="434" spans="1:2" x14ac:dyDescent="0.25">
      <c r="A434" t="s">
        <v>1919</v>
      </c>
      <c r="B434" t="s">
        <v>5877</v>
      </c>
    </row>
    <row r="435" spans="1:2" x14ac:dyDescent="0.25">
      <c r="A435" t="s">
        <v>4921</v>
      </c>
      <c r="B435" t="s">
        <v>5865</v>
      </c>
    </row>
    <row r="436" spans="1:2" x14ac:dyDescent="0.25">
      <c r="A436" t="s">
        <v>1757</v>
      </c>
      <c r="B436" t="s">
        <v>5971</v>
      </c>
    </row>
    <row r="437" spans="1:2" x14ac:dyDescent="0.25">
      <c r="A437" t="s">
        <v>2553</v>
      </c>
      <c r="B437" t="s">
        <v>5787</v>
      </c>
    </row>
    <row r="438" spans="1:2" x14ac:dyDescent="0.25">
      <c r="A438" t="s">
        <v>3377</v>
      </c>
      <c r="B438" t="s">
        <v>6031</v>
      </c>
    </row>
    <row r="439" spans="1:2" x14ac:dyDescent="0.25">
      <c r="A439" t="s">
        <v>3014</v>
      </c>
      <c r="B439" t="s">
        <v>6597</v>
      </c>
    </row>
    <row r="440" spans="1:2" x14ac:dyDescent="0.25">
      <c r="A440" t="s">
        <v>5620</v>
      </c>
      <c r="B440" t="s">
        <v>5985</v>
      </c>
    </row>
    <row r="441" spans="1:2" x14ac:dyDescent="0.25">
      <c r="A441" t="s">
        <v>4437</v>
      </c>
      <c r="B441" t="s">
        <v>5816</v>
      </c>
    </row>
    <row r="442" spans="1:2" x14ac:dyDescent="0.25">
      <c r="A442" t="s">
        <v>4149</v>
      </c>
      <c r="B442" t="s">
        <v>5822</v>
      </c>
    </row>
    <row r="443" spans="1:2" x14ac:dyDescent="0.25">
      <c r="A443" t="s">
        <v>3917</v>
      </c>
      <c r="B443" t="s">
        <v>5866</v>
      </c>
    </row>
    <row r="444" spans="1:2" x14ac:dyDescent="0.25">
      <c r="A444" t="s">
        <v>4460</v>
      </c>
      <c r="B444">
        <v>0</v>
      </c>
    </row>
    <row r="445" spans="1:2" x14ac:dyDescent="0.25">
      <c r="A445" t="s">
        <v>654</v>
      </c>
      <c r="B445" t="s">
        <v>5780</v>
      </c>
    </row>
    <row r="446" spans="1:2" x14ac:dyDescent="0.25">
      <c r="A446" t="s">
        <v>84</v>
      </c>
      <c r="B446" t="s">
        <v>5904</v>
      </c>
    </row>
    <row r="447" spans="1:2" x14ac:dyDescent="0.25">
      <c r="A447" t="s">
        <v>5186</v>
      </c>
      <c r="B447" t="s">
        <v>6224</v>
      </c>
    </row>
    <row r="448" spans="1:2" x14ac:dyDescent="0.25">
      <c r="A448" t="s">
        <v>213</v>
      </c>
      <c r="B448" t="s">
        <v>5734</v>
      </c>
    </row>
    <row r="449" spans="1:2" x14ac:dyDescent="0.25">
      <c r="A449" t="s">
        <v>4597</v>
      </c>
      <c r="B449" t="s">
        <v>5825</v>
      </c>
    </row>
    <row r="450" spans="1:2" x14ac:dyDescent="0.25">
      <c r="A450" t="s">
        <v>3316</v>
      </c>
      <c r="B450" t="s">
        <v>5787</v>
      </c>
    </row>
    <row r="451" spans="1:2" x14ac:dyDescent="0.25">
      <c r="A451" t="s">
        <v>1946</v>
      </c>
      <c r="B451" t="s">
        <v>6085</v>
      </c>
    </row>
    <row r="452" spans="1:2" x14ac:dyDescent="0.25">
      <c r="A452" t="s">
        <v>1089</v>
      </c>
      <c r="B452" t="s">
        <v>5706</v>
      </c>
    </row>
    <row r="453" spans="1:2" x14ac:dyDescent="0.25">
      <c r="A453" t="s">
        <v>523</v>
      </c>
      <c r="B453" t="s">
        <v>5787</v>
      </c>
    </row>
    <row r="454" spans="1:2" x14ac:dyDescent="0.25">
      <c r="A454" t="s">
        <v>3048</v>
      </c>
      <c r="B454" t="s">
        <v>6007</v>
      </c>
    </row>
    <row r="455" spans="1:2" x14ac:dyDescent="0.25">
      <c r="A455" t="s">
        <v>2664</v>
      </c>
      <c r="B455" t="s">
        <v>5766</v>
      </c>
    </row>
    <row r="456" spans="1:2" x14ac:dyDescent="0.25">
      <c r="A456" t="s">
        <v>2274</v>
      </c>
      <c r="B456" t="s">
        <v>5766</v>
      </c>
    </row>
    <row r="457" spans="1:2" x14ac:dyDescent="0.25">
      <c r="A457" t="s">
        <v>1970</v>
      </c>
      <c r="B457" t="s">
        <v>6211</v>
      </c>
    </row>
    <row r="458" spans="1:2" x14ac:dyDescent="0.25">
      <c r="A458" t="s">
        <v>2149</v>
      </c>
      <c r="B458" t="s">
        <v>5790</v>
      </c>
    </row>
    <row r="459" spans="1:2" x14ac:dyDescent="0.25">
      <c r="A459" t="s">
        <v>5576</v>
      </c>
      <c r="B459" t="s">
        <v>5838</v>
      </c>
    </row>
    <row r="460" spans="1:2" x14ac:dyDescent="0.25">
      <c r="A460" t="s">
        <v>5499</v>
      </c>
      <c r="B460" t="s">
        <v>5956</v>
      </c>
    </row>
    <row r="461" spans="1:2" x14ac:dyDescent="0.25">
      <c r="A461" t="s">
        <v>462</v>
      </c>
      <c r="B461" t="s">
        <v>5787</v>
      </c>
    </row>
    <row r="462" spans="1:2" x14ac:dyDescent="0.25">
      <c r="A462" t="s">
        <v>3172</v>
      </c>
      <c r="B462" t="s">
        <v>6796</v>
      </c>
    </row>
    <row r="463" spans="1:2" x14ac:dyDescent="0.25">
      <c r="A463" t="s">
        <v>3057</v>
      </c>
      <c r="B463" t="s">
        <v>5787</v>
      </c>
    </row>
    <row r="464" spans="1:2" x14ac:dyDescent="0.25">
      <c r="A464" t="s">
        <v>491</v>
      </c>
      <c r="B464" t="s">
        <v>5796</v>
      </c>
    </row>
    <row r="465" spans="1:2" x14ac:dyDescent="0.25">
      <c r="A465" t="s">
        <v>4911</v>
      </c>
      <c r="B465" t="s">
        <v>5716</v>
      </c>
    </row>
    <row r="466" spans="1:2" x14ac:dyDescent="0.25">
      <c r="A466" t="s">
        <v>222</v>
      </c>
      <c r="B466" t="s">
        <v>5787</v>
      </c>
    </row>
    <row r="467" spans="1:2" x14ac:dyDescent="0.25">
      <c r="A467" t="s">
        <v>4842</v>
      </c>
      <c r="B467" t="s">
        <v>5881</v>
      </c>
    </row>
    <row r="468" spans="1:2" x14ac:dyDescent="0.25">
      <c r="A468" t="s">
        <v>2847</v>
      </c>
      <c r="B468" t="s">
        <v>6069</v>
      </c>
    </row>
    <row r="469" spans="1:2" x14ac:dyDescent="0.25">
      <c r="A469" t="s">
        <v>3943</v>
      </c>
      <c r="B469" t="s">
        <v>5940</v>
      </c>
    </row>
    <row r="470" spans="1:2" x14ac:dyDescent="0.25">
      <c r="A470" t="s">
        <v>5007</v>
      </c>
      <c r="B470" t="s">
        <v>5770</v>
      </c>
    </row>
    <row r="471" spans="1:2" x14ac:dyDescent="0.25">
      <c r="A471" t="s">
        <v>4013</v>
      </c>
      <c r="B471" t="s">
        <v>6109</v>
      </c>
    </row>
    <row r="472" spans="1:2" x14ac:dyDescent="0.25">
      <c r="A472" t="s">
        <v>3780</v>
      </c>
      <c r="B472" t="s">
        <v>5734</v>
      </c>
    </row>
    <row r="473" spans="1:2" x14ac:dyDescent="0.25">
      <c r="A473" t="s">
        <v>942</v>
      </c>
      <c r="B473" t="s">
        <v>5828</v>
      </c>
    </row>
    <row r="474" spans="1:2" x14ac:dyDescent="0.25">
      <c r="A474" t="s">
        <v>5566</v>
      </c>
      <c r="B474" t="s">
        <v>5787</v>
      </c>
    </row>
    <row r="475" spans="1:2" x14ac:dyDescent="0.25">
      <c r="A475" t="s">
        <v>2118</v>
      </c>
      <c r="B475" t="s">
        <v>6103</v>
      </c>
    </row>
    <row r="476" spans="1:2" x14ac:dyDescent="0.25">
      <c r="A476" t="s">
        <v>3691</v>
      </c>
      <c r="B476" t="s">
        <v>5948</v>
      </c>
    </row>
    <row r="477" spans="1:2" x14ac:dyDescent="0.25">
      <c r="A477" t="s">
        <v>972</v>
      </c>
      <c r="B477" t="s">
        <v>5734</v>
      </c>
    </row>
    <row r="478" spans="1:2" x14ac:dyDescent="0.25">
      <c r="A478" t="s">
        <v>733</v>
      </c>
      <c r="B478" t="s">
        <v>5734</v>
      </c>
    </row>
    <row r="479" spans="1:2" x14ac:dyDescent="0.25">
      <c r="A479" t="s">
        <v>2625</v>
      </c>
      <c r="B479" t="s">
        <v>5787</v>
      </c>
    </row>
    <row r="480" spans="1:2" x14ac:dyDescent="0.25">
      <c r="A480" t="s">
        <v>5264</v>
      </c>
      <c r="B480" t="s">
        <v>5788</v>
      </c>
    </row>
    <row r="481" spans="1:2" x14ac:dyDescent="0.25">
      <c r="A481" t="s">
        <v>1206</v>
      </c>
      <c r="B481" t="s">
        <v>5870</v>
      </c>
    </row>
    <row r="482" spans="1:2" x14ac:dyDescent="0.25">
      <c r="A482" t="s">
        <v>1932</v>
      </c>
      <c r="B482" t="s">
        <v>5916</v>
      </c>
    </row>
    <row r="483" spans="1:2" x14ac:dyDescent="0.25">
      <c r="A483" t="s">
        <v>3021</v>
      </c>
      <c r="B483" t="s">
        <v>6330</v>
      </c>
    </row>
    <row r="484" spans="1:2" x14ac:dyDescent="0.25">
      <c r="A484" t="s">
        <v>994</v>
      </c>
      <c r="B484" t="s">
        <v>5787</v>
      </c>
    </row>
    <row r="485" spans="1:2" x14ac:dyDescent="0.25">
      <c r="A485" t="s">
        <v>481</v>
      </c>
      <c r="B485" t="s">
        <v>5787</v>
      </c>
    </row>
    <row r="486" spans="1:2" x14ac:dyDescent="0.25">
      <c r="A486" t="s">
        <v>2086</v>
      </c>
      <c r="B486" t="s">
        <v>5787</v>
      </c>
    </row>
    <row r="487" spans="1:2" x14ac:dyDescent="0.25">
      <c r="A487" t="s">
        <v>2140</v>
      </c>
      <c r="B487" t="s">
        <v>5864</v>
      </c>
    </row>
    <row r="488" spans="1:2" x14ac:dyDescent="0.25">
      <c r="A488" t="s">
        <v>1390</v>
      </c>
      <c r="B488" t="s">
        <v>6055</v>
      </c>
    </row>
    <row r="489" spans="1:2" x14ac:dyDescent="0.25">
      <c r="A489" t="s">
        <v>2633</v>
      </c>
      <c r="B489" t="s">
        <v>6704</v>
      </c>
    </row>
    <row r="490" spans="1:2" x14ac:dyDescent="0.25">
      <c r="A490" t="s">
        <v>3007</v>
      </c>
      <c r="B490" t="s">
        <v>5744</v>
      </c>
    </row>
    <row r="491" spans="1:2" x14ac:dyDescent="0.25">
      <c r="A491" t="s">
        <v>5624</v>
      </c>
      <c r="B491" t="s">
        <v>6333</v>
      </c>
    </row>
    <row r="492" spans="1:2" x14ac:dyDescent="0.25">
      <c r="A492" t="s">
        <v>5738</v>
      </c>
      <c r="B492" t="s">
        <v>5737</v>
      </c>
    </row>
    <row r="493" spans="1:2" x14ac:dyDescent="0.25">
      <c r="A493" t="s">
        <v>7353</v>
      </c>
      <c r="B493" t="s">
        <v>5915</v>
      </c>
    </row>
    <row r="494" spans="1:2" x14ac:dyDescent="0.25">
      <c r="A494" t="s">
        <v>2059</v>
      </c>
      <c r="B494" t="s">
        <v>6135</v>
      </c>
    </row>
    <row r="495" spans="1:2" x14ac:dyDescent="0.25">
      <c r="A495" t="s">
        <v>5510</v>
      </c>
      <c r="B495" t="s">
        <v>5864</v>
      </c>
    </row>
    <row r="496" spans="1:2" x14ac:dyDescent="0.25">
      <c r="A496" t="s">
        <v>3375</v>
      </c>
      <c r="B496" t="s">
        <v>5719</v>
      </c>
    </row>
    <row r="497" spans="1:2" x14ac:dyDescent="0.25">
      <c r="A497" t="s">
        <v>4374</v>
      </c>
      <c r="B497" t="s">
        <v>5787</v>
      </c>
    </row>
    <row r="498" spans="1:2" x14ac:dyDescent="0.25">
      <c r="A498" t="s">
        <v>2197</v>
      </c>
      <c r="B498" t="s">
        <v>5901</v>
      </c>
    </row>
    <row r="499" spans="1:2" x14ac:dyDescent="0.25">
      <c r="A499" t="s">
        <v>583</v>
      </c>
      <c r="B499" t="s">
        <v>5816</v>
      </c>
    </row>
    <row r="500" spans="1:2" x14ac:dyDescent="0.25">
      <c r="A500" t="s">
        <v>2651</v>
      </c>
      <c r="B500" t="s">
        <v>5949</v>
      </c>
    </row>
    <row r="501" spans="1:2" x14ac:dyDescent="0.25">
      <c r="A501" t="s">
        <v>1994</v>
      </c>
      <c r="B501" t="s">
        <v>6369</v>
      </c>
    </row>
    <row r="502" spans="1:2" x14ac:dyDescent="0.25">
      <c r="A502" t="s">
        <v>4114</v>
      </c>
      <c r="B502" t="s">
        <v>6162</v>
      </c>
    </row>
    <row r="503" spans="1:2" x14ac:dyDescent="0.25">
      <c r="A503" t="s">
        <v>5269</v>
      </c>
      <c r="B503" t="s">
        <v>6153</v>
      </c>
    </row>
    <row r="504" spans="1:2" x14ac:dyDescent="0.25">
      <c r="A504" t="s">
        <v>35</v>
      </c>
      <c r="B504" t="s">
        <v>5976</v>
      </c>
    </row>
    <row r="505" spans="1:2" x14ac:dyDescent="0.25">
      <c r="A505" t="s">
        <v>5139</v>
      </c>
      <c r="B505" t="s">
        <v>5737</v>
      </c>
    </row>
    <row r="506" spans="1:2" x14ac:dyDescent="0.25">
      <c r="A506" t="s">
        <v>208</v>
      </c>
      <c r="B506" t="s">
        <v>5815</v>
      </c>
    </row>
    <row r="507" spans="1:2" x14ac:dyDescent="0.25">
      <c r="A507" t="s">
        <v>4985</v>
      </c>
      <c r="B507" t="s">
        <v>5805</v>
      </c>
    </row>
    <row r="508" spans="1:2" x14ac:dyDescent="0.25">
      <c r="A508" t="s">
        <v>1692</v>
      </c>
      <c r="B508" t="s">
        <v>6207</v>
      </c>
    </row>
    <row r="509" spans="1:2" x14ac:dyDescent="0.25">
      <c r="A509" t="s">
        <v>2488</v>
      </c>
      <c r="B509" t="s">
        <v>5740</v>
      </c>
    </row>
    <row r="510" spans="1:2" x14ac:dyDescent="0.25">
      <c r="A510" t="s">
        <v>1007</v>
      </c>
      <c r="B510" t="s">
        <v>5815</v>
      </c>
    </row>
    <row r="511" spans="1:2" x14ac:dyDescent="0.25">
      <c r="A511" t="s">
        <v>2169</v>
      </c>
      <c r="B511" t="s">
        <v>5789</v>
      </c>
    </row>
    <row r="512" spans="1:2" x14ac:dyDescent="0.25">
      <c r="A512" t="s">
        <v>2773</v>
      </c>
      <c r="B512" t="s">
        <v>5812</v>
      </c>
    </row>
    <row r="513" spans="1:2" x14ac:dyDescent="0.25">
      <c r="A513" t="s">
        <v>2148</v>
      </c>
      <c r="B513" t="s">
        <v>6721</v>
      </c>
    </row>
    <row r="514" spans="1:2" x14ac:dyDescent="0.25">
      <c r="A514" t="s">
        <v>258</v>
      </c>
      <c r="B514" t="s">
        <v>5711</v>
      </c>
    </row>
    <row r="515" spans="1:2" x14ac:dyDescent="0.25">
      <c r="A515" t="s">
        <v>1523</v>
      </c>
      <c r="B515" t="s">
        <v>5816</v>
      </c>
    </row>
    <row r="516" spans="1:2" x14ac:dyDescent="0.25">
      <c r="A516" t="s">
        <v>1001</v>
      </c>
      <c r="B516">
        <v>0</v>
      </c>
    </row>
    <row r="517" spans="1:2" x14ac:dyDescent="0.25">
      <c r="A517" t="s">
        <v>3471</v>
      </c>
      <c r="B517" t="s">
        <v>6074</v>
      </c>
    </row>
    <row r="518" spans="1:2" x14ac:dyDescent="0.25">
      <c r="A518" t="s">
        <v>1366</v>
      </c>
      <c r="B518" t="s">
        <v>6355</v>
      </c>
    </row>
    <row r="519" spans="1:2" x14ac:dyDescent="0.25">
      <c r="A519" t="s">
        <v>2353</v>
      </c>
      <c r="B519" t="s">
        <v>5787</v>
      </c>
    </row>
    <row r="520" spans="1:2" x14ac:dyDescent="0.25">
      <c r="A520" t="s">
        <v>889</v>
      </c>
      <c r="B520" t="s">
        <v>5787</v>
      </c>
    </row>
    <row r="521" spans="1:2" x14ac:dyDescent="0.25">
      <c r="A521" t="s">
        <v>2311</v>
      </c>
      <c r="B521" t="s">
        <v>5787</v>
      </c>
    </row>
    <row r="522" spans="1:2" x14ac:dyDescent="0.25">
      <c r="A522" t="s">
        <v>77</v>
      </c>
      <c r="B522" t="s">
        <v>5790</v>
      </c>
    </row>
    <row r="523" spans="1:2" x14ac:dyDescent="0.25">
      <c r="A523" t="s">
        <v>4821</v>
      </c>
      <c r="B523" t="s">
        <v>6550</v>
      </c>
    </row>
    <row r="524" spans="1:2" x14ac:dyDescent="0.25">
      <c r="A524" t="s">
        <v>842</v>
      </c>
      <c r="B524" t="s">
        <v>5873</v>
      </c>
    </row>
    <row r="525" spans="1:2" x14ac:dyDescent="0.25">
      <c r="A525" t="s">
        <v>525</v>
      </c>
      <c r="B525" t="s">
        <v>5787</v>
      </c>
    </row>
    <row r="526" spans="1:2" x14ac:dyDescent="0.25">
      <c r="A526" t="s">
        <v>4568</v>
      </c>
      <c r="B526" t="s">
        <v>5787</v>
      </c>
    </row>
    <row r="527" spans="1:2" x14ac:dyDescent="0.25">
      <c r="A527" t="s">
        <v>848</v>
      </c>
      <c r="B527" t="s">
        <v>5787</v>
      </c>
    </row>
    <row r="528" spans="1:2" x14ac:dyDescent="0.25">
      <c r="A528" t="s">
        <v>5367</v>
      </c>
      <c r="B528" t="s">
        <v>5704</v>
      </c>
    </row>
    <row r="529" spans="1:2" x14ac:dyDescent="0.25">
      <c r="A529" t="s">
        <v>4348</v>
      </c>
      <c r="B529" t="s">
        <v>6668</v>
      </c>
    </row>
    <row r="530" spans="1:2" x14ac:dyDescent="0.25">
      <c r="A530" t="s">
        <v>5168</v>
      </c>
      <c r="B530" t="s">
        <v>5976</v>
      </c>
    </row>
    <row r="531" spans="1:2" x14ac:dyDescent="0.25">
      <c r="A531" t="s">
        <v>1875</v>
      </c>
      <c r="B531" t="s">
        <v>5895</v>
      </c>
    </row>
    <row r="532" spans="1:2" x14ac:dyDescent="0.25">
      <c r="A532" t="s">
        <v>2865</v>
      </c>
      <c r="B532" t="s">
        <v>5849</v>
      </c>
    </row>
    <row r="533" spans="1:2" x14ac:dyDescent="0.25">
      <c r="A533" t="s">
        <v>4364</v>
      </c>
      <c r="B533" t="s">
        <v>6027</v>
      </c>
    </row>
    <row r="534" spans="1:2" x14ac:dyDescent="0.25">
      <c r="A534" t="s">
        <v>197</v>
      </c>
      <c r="B534" t="s">
        <v>5787</v>
      </c>
    </row>
    <row r="535" spans="1:2" x14ac:dyDescent="0.25">
      <c r="A535" t="s">
        <v>2721</v>
      </c>
      <c r="B535" t="s">
        <v>5990</v>
      </c>
    </row>
    <row r="536" spans="1:2" x14ac:dyDescent="0.25">
      <c r="A536" t="s">
        <v>5320</v>
      </c>
      <c r="B536" t="s">
        <v>5787</v>
      </c>
    </row>
    <row r="537" spans="1:2" x14ac:dyDescent="0.25">
      <c r="A537" t="s">
        <v>3121</v>
      </c>
      <c r="B537">
        <v>0</v>
      </c>
    </row>
    <row r="538" spans="1:2" x14ac:dyDescent="0.25">
      <c r="A538" t="s">
        <v>2023</v>
      </c>
      <c r="B538" t="s">
        <v>6177</v>
      </c>
    </row>
    <row r="539" spans="1:2" x14ac:dyDescent="0.25">
      <c r="A539" t="s">
        <v>1378</v>
      </c>
      <c r="B539" t="s">
        <v>5716</v>
      </c>
    </row>
    <row r="540" spans="1:2" x14ac:dyDescent="0.25">
      <c r="A540" t="s">
        <v>2646</v>
      </c>
      <c r="B540" t="s">
        <v>5787</v>
      </c>
    </row>
    <row r="541" spans="1:2" x14ac:dyDescent="0.25">
      <c r="A541" t="s">
        <v>334</v>
      </c>
      <c r="B541" t="s">
        <v>6153</v>
      </c>
    </row>
    <row r="542" spans="1:2" x14ac:dyDescent="0.25">
      <c r="A542" t="s">
        <v>696</v>
      </c>
      <c r="B542" t="s">
        <v>5787</v>
      </c>
    </row>
    <row r="543" spans="1:2" x14ac:dyDescent="0.25">
      <c r="A543" t="s">
        <v>673</v>
      </c>
      <c r="B543" t="s">
        <v>5999</v>
      </c>
    </row>
    <row r="544" spans="1:2" x14ac:dyDescent="0.25">
      <c r="A544" t="s">
        <v>1779</v>
      </c>
      <c r="B544" t="s">
        <v>5713</v>
      </c>
    </row>
    <row r="545" spans="1:2" x14ac:dyDescent="0.25">
      <c r="A545" t="s">
        <v>3208</v>
      </c>
      <c r="B545" t="s">
        <v>5830</v>
      </c>
    </row>
    <row r="546" spans="1:2" x14ac:dyDescent="0.25">
      <c r="A546" t="s">
        <v>1849</v>
      </c>
      <c r="B546" t="s">
        <v>5728</v>
      </c>
    </row>
    <row r="547" spans="1:2" x14ac:dyDescent="0.25">
      <c r="A547" t="s">
        <v>73</v>
      </c>
      <c r="B547" t="s">
        <v>6240</v>
      </c>
    </row>
    <row r="548" spans="1:2" x14ac:dyDescent="0.25">
      <c r="A548" t="s">
        <v>4798</v>
      </c>
      <c r="B548" t="s">
        <v>5740</v>
      </c>
    </row>
    <row r="549" spans="1:2" x14ac:dyDescent="0.25">
      <c r="A549" t="s">
        <v>2256</v>
      </c>
      <c r="B549" t="s">
        <v>6111</v>
      </c>
    </row>
    <row r="550" spans="1:2" x14ac:dyDescent="0.25">
      <c r="A550" t="s">
        <v>1247</v>
      </c>
      <c r="B550" t="s">
        <v>5852</v>
      </c>
    </row>
    <row r="551" spans="1:2" x14ac:dyDescent="0.25">
      <c r="A551" t="s">
        <v>4140</v>
      </c>
      <c r="B551" t="s">
        <v>5762</v>
      </c>
    </row>
    <row r="552" spans="1:2" x14ac:dyDescent="0.25">
      <c r="A552" t="s">
        <v>4833</v>
      </c>
      <c r="B552" t="s">
        <v>6797</v>
      </c>
    </row>
    <row r="553" spans="1:2" x14ac:dyDescent="0.25">
      <c r="A553" t="s">
        <v>588</v>
      </c>
      <c r="B553" t="s">
        <v>5724</v>
      </c>
    </row>
    <row r="554" spans="1:2" x14ac:dyDescent="0.25">
      <c r="A554" t="s">
        <v>427</v>
      </c>
      <c r="B554" t="s">
        <v>5704</v>
      </c>
    </row>
    <row r="555" spans="1:2" x14ac:dyDescent="0.25">
      <c r="A555" t="s">
        <v>3428</v>
      </c>
      <c r="B555" t="s">
        <v>5926</v>
      </c>
    </row>
    <row r="556" spans="1:2" x14ac:dyDescent="0.25">
      <c r="A556" t="s">
        <v>5533</v>
      </c>
      <c r="B556" t="s">
        <v>5787</v>
      </c>
    </row>
    <row r="557" spans="1:2" x14ac:dyDescent="0.25">
      <c r="A557" t="s">
        <v>4156</v>
      </c>
      <c r="B557" t="s">
        <v>5799</v>
      </c>
    </row>
    <row r="558" spans="1:2" x14ac:dyDescent="0.25">
      <c r="A558" t="s">
        <v>5735</v>
      </c>
      <c r="B558" t="s">
        <v>5734</v>
      </c>
    </row>
    <row r="559" spans="1:2" x14ac:dyDescent="0.25">
      <c r="A559" t="s">
        <v>2295</v>
      </c>
      <c r="B559" t="s">
        <v>5826</v>
      </c>
    </row>
    <row r="560" spans="1:2" x14ac:dyDescent="0.25">
      <c r="A560" t="s">
        <v>3331</v>
      </c>
      <c r="B560" t="s">
        <v>6325</v>
      </c>
    </row>
    <row r="561" spans="1:2" x14ac:dyDescent="0.25">
      <c r="A561" t="s">
        <v>5674</v>
      </c>
      <c r="B561" t="s">
        <v>5708</v>
      </c>
    </row>
    <row r="562" spans="1:2" x14ac:dyDescent="0.25">
      <c r="A562" t="s">
        <v>5399</v>
      </c>
      <c r="B562" t="s">
        <v>5833</v>
      </c>
    </row>
    <row r="563" spans="1:2" x14ac:dyDescent="0.25">
      <c r="A563" t="s">
        <v>5398</v>
      </c>
      <c r="B563" t="s">
        <v>5857</v>
      </c>
    </row>
    <row r="564" spans="1:2" x14ac:dyDescent="0.25">
      <c r="A564" t="s">
        <v>4028</v>
      </c>
      <c r="B564" t="s">
        <v>5787</v>
      </c>
    </row>
    <row r="565" spans="1:2" x14ac:dyDescent="0.25">
      <c r="A565" t="s">
        <v>7428</v>
      </c>
      <c r="B565" t="s">
        <v>5889</v>
      </c>
    </row>
    <row r="566" spans="1:2" x14ac:dyDescent="0.25">
      <c r="A566" t="s">
        <v>5239</v>
      </c>
      <c r="B566" t="s">
        <v>5898</v>
      </c>
    </row>
    <row r="567" spans="1:2" x14ac:dyDescent="0.25">
      <c r="A567" t="s">
        <v>2682</v>
      </c>
      <c r="B567" t="s">
        <v>6050</v>
      </c>
    </row>
    <row r="568" spans="1:2" x14ac:dyDescent="0.25">
      <c r="A568" t="s">
        <v>713</v>
      </c>
      <c r="B568" t="s">
        <v>5817</v>
      </c>
    </row>
    <row r="569" spans="1:2" x14ac:dyDescent="0.25">
      <c r="A569" t="s">
        <v>2967</v>
      </c>
      <c r="B569" t="s">
        <v>6471</v>
      </c>
    </row>
    <row r="570" spans="1:2" x14ac:dyDescent="0.25">
      <c r="A570" t="s">
        <v>3229</v>
      </c>
      <c r="B570" t="s">
        <v>6685</v>
      </c>
    </row>
    <row r="571" spans="1:2" x14ac:dyDescent="0.25">
      <c r="A571" t="s">
        <v>1186</v>
      </c>
      <c r="B571" t="s">
        <v>6361</v>
      </c>
    </row>
    <row r="572" spans="1:2" x14ac:dyDescent="0.25">
      <c r="A572" t="s">
        <v>4685</v>
      </c>
      <c r="B572" t="s">
        <v>5768</v>
      </c>
    </row>
    <row r="573" spans="1:2" x14ac:dyDescent="0.25">
      <c r="A573" t="s">
        <v>1989</v>
      </c>
      <c r="B573" t="s">
        <v>5730</v>
      </c>
    </row>
    <row r="574" spans="1:2" x14ac:dyDescent="0.25">
      <c r="A574" t="s">
        <v>3350</v>
      </c>
      <c r="B574" t="s">
        <v>5871</v>
      </c>
    </row>
    <row r="575" spans="1:2" x14ac:dyDescent="0.25">
      <c r="A575" t="s">
        <v>5639</v>
      </c>
      <c r="B575" t="s">
        <v>5826</v>
      </c>
    </row>
    <row r="576" spans="1:2" x14ac:dyDescent="0.25">
      <c r="A576" t="s">
        <v>961</v>
      </c>
      <c r="B576">
        <v>0</v>
      </c>
    </row>
    <row r="577" spans="1:2" x14ac:dyDescent="0.25">
      <c r="A577" t="s">
        <v>4657</v>
      </c>
      <c r="B577" t="s">
        <v>5820</v>
      </c>
    </row>
    <row r="578" spans="1:2" x14ac:dyDescent="0.25">
      <c r="A578" t="s">
        <v>666</v>
      </c>
      <c r="B578" t="s">
        <v>5913</v>
      </c>
    </row>
    <row r="579" spans="1:2" x14ac:dyDescent="0.25">
      <c r="A579" t="s">
        <v>1680</v>
      </c>
      <c r="B579" t="s">
        <v>5999</v>
      </c>
    </row>
    <row r="580" spans="1:2" x14ac:dyDescent="0.25">
      <c r="A580" t="s">
        <v>1809</v>
      </c>
      <c r="B580" t="s">
        <v>5752</v>
      </c>
    </row>
    <row r="581" spans="1:2" x14ac:dyDescent="0.25">
      <c r="A581" t="s">
        <v>1673</v>
      </c>
      <c r="B581" t="s">
        <v>6098</v>
      </c>
    </row>
    <row r="582" spans="1:2" x14ac:dyDescent="0.25">
      <c r="A582" t="s">
        <v>3648</v>
      </c>
      <c r="B582" t="s">
        <v>6607</v>
      </c>
    </row>
    <row r="583" spans="1:2" x14ac:dyDescent="0.25">
      <c r="A583" t="s">
        <v>5437</v>
      </c>
      <c r="B583" t="s">
        <v>6501</v>
      </c>
    </row>
    <row r="584" spans="1:2" x14ac:dyDescent="0.25">
      <c r="A584" t="s">
        <v>4178</v>
      </c>
      <c r="B584" t="s">
        <v>6328</v>
      </c>
    </row>
    <row r="585" spans="1:2" x14ac:dyDescent="0.25">
      <c r="A585" t="s">
        <v>4123</v>
      </c>
      <c r="B585" t="s">
        <v>6141</v>
      </c>
    </row>
    <row r="586" spans="1:2" x14ac:dyDescent="0.25">
      <c r="A586" t="s">
        <v>5052</v>
      </c>
      <c r="B586" t="s">
        <v>5744</v>
      </c>
    </row>
    <row r="587" spans="1:2" x14ac:dyDescent="0.25">
      <c r="A587" t="s">
        <v>186</v>
      </c>
      <c r="B587" t="s">
        <v>5788</v>
      </c>
    </row>
    <row r="588" spans="1:2" x14ac:dyDescent="0.25">
      <c r="A588" t="s">
        <v>2725</v>
      </c>
      <c r="B588" t="s">
        <v>5797</v>
      </c>
    </row>
    <row r="589" spans="1:2" x14ac:dyDescent="0.25">
      <c r="A589" t="s">
        <v>1691</v>
      </c>
      <c r="B589" t="s">
        <v>5805</v>
      </c>
    </row>
    <row r="590" spans="1:2" x14ac:dyDescent="0.25">
      <c r="A590" t="s">
        <v>2828</v>
      </c>
      <c r="B590" t="s">
        <v>5716</v>
      </c>
    </row>
    <row r="591" spans="1:2" x14ac:dyDescent="0.25">
      <c r="A591" t="s">
        <v>2897</v>
      </c>
      <c r="B591" t="s">
        <v>6416</v>
      </c>
    </row>
    <row r="592" spans="1:2" x14ac:dyDescent="0.25">
      <c r="A592" t="s">
        <v>4194</v>
      </c>
      <c r="B592" t="s">
        <v>6733</v>
      </c>
    </row>
    <row r="593" spans="1:2" x14ac:dyDescent="0.25">
      <c r="A593" t="s">
        <v>3317</v>
      </c>
      <c r="B593" t="s">
        <v>6256</v>
      </c>
    </row>
    <row r="594" spans="1:2" x14ac:dyDescent="0.25">
      <c r="A594" t="s">
        <v>5522</v>
      </c>
      <c r="B594" t="s">
        <v>6041</v>
      </c>
    </row>
    <row r="595" spans="1:2" x14ac:dyDescent="0.25">
      <c r="A595" t="s">
        <v>687</v>
      </c>
      <c r="B595" t="s">
        <v>5787</v>
      </c>
    </row>
    <row r="596" spans="1:2" x14ac:dyDescent="0.25">
      <c r="A596" t="s">
        <v>150</v>
      </c>
      <c r="B596" t="s">
        <v>6054</v>
      </c>
    </row>
    <row r="597" spans="1:2" x14ac:dyDescent="0.25">
      <c r="A597" t="s">
        <v>81</v>
      </c>
      <c r="B597" t="s">
        <v>5762</v>
      </c>
    </row>
    <row r="598" spans="1:2" x14ac:dyDescent="0.25">
      <c r="A598" t="s">
        <v>5378</v>
      </c>
      <c r="B598" t="s">
        <v>5949</v>
      </c>
    </row>
    <row r="599" spans="1:2" x14ac:dyDescent="0.25">
      <c r="A599" t="s">
        <v>3493</v>
      </c>
      <c r="B599" t="s">
        <v>6233</v>
      </c>
    </row>
    <row r="600" spans="1:2" x14ac:dyDescent="0.25">
      <c r="A600" t="s">
        <v>342</v>
      </c>
      <c r="B600" t="s">
        <v>5787</v>
      </c>
    </row>
    <row r="601" spans="1:2" x14ac:dyDescent="0.25">
      <c r="A601" t="s">
        <v>3157</v>
      </c>
      <c r="B601" t="s">
        <v>6710</v>
      </c>
    </row>
    <row r="602" spans="1:2" x14ac:dyDescent="0.25">
      <c r="A602" t="s">
        <v>5105</v>
      </c>
      <c r="B602" t="s">
        <v>6003</v>
      </c>
    </row>
    <row r="603" spans="1:2" x14ac:dyDescent="0.25">
      <c r="A603" t="s">
        <v>4825</v>
      </c>
      <c r="B603" t="s">
        <v>5882</v>
      </c>
    </row>
    <row r="604" spans="1:2" x14ac:dyDescent="0.25">
      <c r="A604" t="s">
        <v>4048</v>
      </c>
      <c r="B604" t="s">
        <v>5708</v>
      </c>
    </row>
    <row r="605" spans="1:2" x14ac:dyDescent="0.25">
      <c r="A605" t="s">
        <v>2819</v>
      </c>
      <c r="B605" t="s">
        <v>5876</v>
      </c>
    </row>
    <row r="606" spans="1:2" x14ac:dyDescent="0.25">
      <c r="A606" t="s">
        <v>751</v>
      </c>
      <c r="B606" t="s">
        <v>5936</v>
      </c>
    </row>
    <row r="607" spans="1:2" x14ac:dyDescent="0.25">
      <c r="A607" t="s">
        <v>4845</v>
      </c>
      <c r="B607" t="s">
        <v>5936</v>
      </c>
    </row>
    <row r="608" spans="1:2" x14ac:dyDescent="0.25">
      <c r="A608" t="s">
        <v>3260</v>
      </c>
      <c r="B608" t="s">
        <v>5787</v>
      </c>
    </row>
    <row r="609" spans="1:2" x14ac:dyDescent="0.25">
      <c r="A609" t="s">
        <v>4254</v>
      </c>
      <c r="B609" t="s">
        <v>6340</v>
      </c>
    </row>
    <row r="610" spans="1:2" x14ac:dyDescent="0.25">
      <c r="A610" t="s">
        <v>1140</v>
      </c>
      <c r="B610" t="s">
        <v>5847</v>
      </c>
    </row>
    <row r="611" spans="1:2" x14ac:dyDescent="0.25">
      <c r="A611" t="s">
        <v>4664</v>
      </c>
      <c r="B611">
        <v>0</v>
      </c>
    </row>
    <row r="612" spans="1:2" x14ac:dyDescent="0.25">
      <c r="A612" t="s">
        <v>4999</v>
      </c>
      <c r="B612" t="s">
        <v>5943</v>
      </c>
    </row>
    <row r="613" spans="1:2" x14ac:dyDescent="0.25">
      <c r="A613" t="s">
        <v>4746</v>
      </c>
      <c r="B613" t="s">
        <v>5704</v>
      </c>
    </row>
    <row r="614" spans="1:2" x14ac:dyDescent="0.25">
      <c r="A614" t="s">
        <v>7494</v>
      </c>
      <c r="B614" t="s">
        <v>5853</v>
      </c>
    </row>
    <row r="615" spans="1:2" x14ac:dyDescent="0.25">
      <c r="A615" t="s">
        <v>4343</v>
      </c>
      <c r="B615" t="s">
        <v>5890</v>
      </c>
    </row>
    <row r="616" spans="1:2" x14ac:dyDescent="0.25">
      <c r="A616" t="s">
        <v>5547</v>
      </c>
      <c r="B616" t="s">
        <v>5787</v>
      </c>
    </row>
    <row r="617" spans="1:2" x14ac:dyDescent="0.25">
      <c r="A617" t="s">
        <v>4811</v>
      </c>
      <c r="B617" t="s">
        <v>5869</v>
      </c>
    </row>
    <row r="618" spans="1:2" x14ac:dyDescent="0.25">
      <c r="A618" t="s">
        <v>3722</v>
      </c>
      <c r="B618" t="s">
        <v>5818</v>
      </c>
    </row>
    <row r="619" spans="1:2" x14ac:dyDescent="0.25">
      <c r="A619" t="s">
        <v>5574</v>
      </c>
      <c r="B619" t="s">
        <v>5792</v>
      </c>
    </row>
    <row r="620" spans="1:2" x14ac:dyDescent="0.25">
      <c r="A620" t="s">
        <v>4495</v>
      </c>
      <c r="B620" t="s">
        <v>5940</v>
      </c>
    </row>
    <row r="621" spans="1:2" x14ac:dyDescent="0.25">
      <c r="A621" t="s">
        <v>3777</v>
      </c>
      <c r="B621" t="s">
        <v>5822</v>
      </c>
    </row>
    <row r="622" spans="1:2" x14ac:dyDescent="0.25">
      <c r="A622" t="s">
        <v>2762</v>
      </c>
      <c r="B622" t="s">
        <v>5900</v>
      </c>
    </row>
    <row r="623" spans="1:2" x14ac:dyDescent="0.25">
      <c r="A623" t="s">
        <v>3670</v>
      </c>
      <c r="B623" t="s">
        <v>5799</v>
      </c>
    </row>
    <row r="624" spans="1:2" x14ac:dyDescent="0.25">
      <c r="A624" t="s">
        <v>123</v>
      </c>
      <c r="B624" t="s">
        <v>5823</v>
      </c>
    </row>
    <row r="625" spans="1:2" x14ac:dyDescent="0.25">
      <c r="A625" t="s">
        <v>3760</v>
      </c>
      <c r="B625" t="s">
        <v>6218</v>
      </c>
    </row>
    <row r="626" spans="1:2" x14ac:dyDescent="0.25">
      <c r="A626" t="s">
        <v>1736</v>
      </c>
      <c r="B626" t="s">
        <v>5796</v>
      </c>
    </row>
    <row r="627" spans="1:2" x14ac:dyDescent="0.25">
      <c r="A627" t="s">
        <v>2944</v>
      </c>
      <c r="B627" t="s">
        <v>5711</v>
      </c>
    </row>
    <row r="628" spans="1:2" x14ac:dyDescent="0.25">
      <c r="A628" t="s">
        <v>4824</v>
      </c>
      <c r="B628" t="s">
        <v>5728</v>
      </c>
    </row>
    <row r="629" spans="1:2" x14ac:dyDescent="0.25">
      <c r="A629" t="s">
        <v>5313</v>
      </c>
      <c r="B629" t="s">
        <v>5820</v>
      </c>
    </row>
    <row r="630" spans="1:2" x14ac:dyDescent="0.25">
      <c r="A630" t="s">
        <v>781</v>
      </c>
      <c r="B630" t="s">
        <v>6582</v>
      </c>
    </row>
    <row r="631" spans="1:2" x14ac:dyDescent="0.25">
      <c r="A631" t="s">
        <v>62</v>
      </c>
      <c r="B631" t="s">
        <v>6666</v>
      </c>
    </row>
    <row r="632" spans="1:2" x14ac:dyDescent="0.25">
      <c r="A632" t="s">
        <v>1706</v>
      </c>
      <c r="B632" t="s">
        <v>5895</v>
      </c>
    </row>
    <row r="633" spans="1:2" x14ac:dyDescent="0.25">
      <c r="A633" t="s">
        <v>570</v>
      </c>
      <c r="B633" t="s">
        <v>5719</v>
      </c>
    </row>
    <row r="634" spans="1:2" x14ac:dyDescent="0.25">
      <c r="A634" t="s">
        <v>1324</v>
      </c>
      <c r="B634" t="s">
        <v>6056</v>
      </c>
    </row>
    <row r="635" spans="1:2" x14ac:dyDescent="0.25">
      <c r="A635" t="s">
        <v>1048</v>
      </c>
      <c r="B635" t="s">
        <v>5719</v>
      </c>
    </row>
    <row r="636" spans="1:2" x14ac:dyDescent="0.25">
      <c r="A636" t="s">
        <v>2026</v>
      </c>
      <c r="B636" t="s">
        <v>5992</v>
      </c>
    </row>
    <row r="637" spans="1:2" x14ac:dyDescent="0.25">
      <c r="A637" t="s">
        <v>973</v>
      </c>
      <c r="B637" t="s">
        <v>5992</v>
      </c>
    </row>
    <row r="638" spans="1:2" x14ac:dyDescent="0.25">
      <c r="A638" t="s">
        <v>2763</v>
      </c>
      <c r="B638" t="s">
        <v>5787</v>
      </c>
    </row>
    <row r="639" spans="1:2" x14ac:dyDescent="0.25">
      <c r="A639" t="s">
        <v>421</v>
      </c>
      <c r="B639" t="s">
        <v>6730</v>
      </c>
    </row>
    <row r="640" spans="1:2" x14ac:dyDescent="0.25">
      <c r="A640" t="s">
        <v>3463</v>
      </c>
      <c r="B640" t="s">
        <v>6009</v>
      </c>
    </row>
    <row r="641" spans="1:2" x14ac:dyDescent="0.25">
      <c r="A641" t="s">
        <v>4039</v>
      </c>
      <c r="B641" t="s">
        <v>5747</v>
      </c>
    </row>
    <row r="642" spans="1:2" x14ac:dyDescent="0.25">
      <c r="A642" t="s">
        <v>592</v>
      </c>
      <c r="B642" t="s">
        <v>6569</v>
      </c>
    </row>
    <row r="643" spans="1:2" x14ac:dyDescent="0.25">
      <c r="A643" t="s">
        <v>1446</v>
      </c>
      <c r="B643" t="s">
        <v>5730</v>
      </c>
    </row>
    <row r="644" spans="1:2" x14ac:dyDescent="0.25">
      <c r="A644" t="s">
        <v>3842</v>
      </c>
      <c r="B644" t="s">
        <v>5831</v>
      </c>
    </row>
    <row r="645" spans="1:2" x14ac:dyDescent="0.25">
      <c r="A645" t="s">
        <v>4906</v>
      </c>
      <c r="B645" t="s">
        <v>5787</v>
      </c>
    </row>
    <row r="646" spans="1:2" x14ac:dyDescent="0.25">
      <c r="A646" t="s">
        <v>3427</v>
      </c>
      <c r="B646" t="s">
        <v>6158</v>
      </c>
    </row>
    <row r="647" spans="1:2" x14ac:dyDescent="0.25">
      <c r="A647" t="s">
        <v>2792</v>
      </c>
      <c r="B647" t="s">
        <v>6593</v>
      </c>
    </row>
    <row r="648" spans="1:2" x14ac:dyDescent="0.25">
      <c r="A648" t="s">
        <v>3915</v>
      </c>
      <c r="B648" t="s">
        <v>6302</v>
      </c>
    </row>
    <row r="649" spans="1:2" x14ac:dyDescent="0.25">
      <c r="A649" t="s">
        <v>3025</v>
      </c>
      <c r="B649" t="s">
        <v>6553</v>
      </c>
    </row>
    <row r="650" spans="1:2" x14ac:dyDescent="0.25">
      <c r="A650" t="s">
        <v>131</v>
      </c>
      <c r="B650" t="s">
        <v>5787</v>
      </c>
    </row>
    <row r="651" spans="1:2" x14ac:dyDescent="0.25">
      <c r="A651" t="s">
        <v>2337</v>
      </c>
      <c r="B651" t="s">
        <v>5832</v>
      </c>
    </row>
    <row r="652" spans="1:2" x14ac:dyDescent="0.25">
      <c r="A652" t="s">
        <v>4448</v>
      </c>
      <c r="B652" t="s">
        <v>5813</v>
      </c>
    </row>
    <row r="653" spans="1:2" x14ac:dyDescent="0.25">
      <c r="A653" t="s">
        <v>4751</v>
      </c>
      <c r="B653" t="s">
        <v>5948</v>
      </c>
    </row>
    <row r="654" spans="1:2" x14ac:dyDescent="0.25">
      <c r="A654" t="s">
        <v>828</v>
      </c>
      <c r="B654" t="s">
        <v>5829</v>
      </c>
    </row>
    <row r="655" spans="1:2" x14ac:dyDescent="0.25">
      <c r="A655" t="s">
        <v>930</v>
      </c>
      <c r="B655">
        <v>0</v>
      </c>
    </row>
    <row r="656" spans="1:2" x14ac:dyDescent="0.25">
      <c r="A656" t="s">
        <v>5337</v>
      </c>
      <c r="B656" t="s">
        <v>5789</v>
      </c>
    </row>
    <row r="657" spans="1:2" x14ac:dyDescent="0.25">
      <c r="A657" t="s">
        <v>3764</v>
      </c>
      <c r="B657" t="s">
        <v>5812</v>
      </c>
    </row>
    <row r="658" spans="1:2" x14ac:dyDescent="0.25">
      <c r="A658" t="s">
        <v>3978</v>
      </c>
      <c r="B658" t="s">
        <v>5917</v>
      </c>
    </row>
    <row r="659" spans="1:2" x14ac:dyDescent="0.25">
      <c r="A659" t="s">
        <v>2220</v>
      </c>
      <c r="B659" t="s">
        <v>5787</v>
      </c>
    </row>
    <row r="660" spans="1:2" x14ac:dyDescent="0.25">
      <c r="A660" t="s">
        <v>5463</v>
      </c>
      <c r="B660" t="s">
        <v>6383</v>
      </c>
    </row>
    <row r="661" spans="1:2" x14ac:dyDescent="0.25">
      <c r="A661" t="s">
        <v>999</v>
      </c>
      <c r="B661" t="s">
        <v>5856</v>
      </c>
    </row>
    <row r="662" spans="1:2" x14ac:dyDescent="0.25">
      <c r="A662" t="s">
        <v>5470</v>
      </c>
      <c r="B662" t="s">
        <v>5787</v>
      </c>
    </row>
    <row r="663" spans="1:2" x14ac:dyDescent="0.25">
      <c r="A663" t="s">
        <v>5106</v>
      </c>
      <c r="B663" t="s">
        <v>6328</v>
      </c>
    </row>
    <row r="664" spans="1:2" x14ac:dyDescent="0.25">
      <c r="A664" t="s">
        <v>4908</v>
      </c>
      <c r="B664" t="s">
        <v>5983</v>
      </c>
    </row>
    <row r="665" spans="1:2" x14ac:dyDescent="0.25">
      <c r="A665" t="s">
        <v>7559</v>
      </c>
      <c r="B665" t="s">
        <v>5907</v>
      </c>
    </row>
    <row r="666" spans="1:2" x14ac:dyDescent="0.25">
      <c r="A666" t="s">
        <v>710</v>
      </c>
      <c r="B666" t="s">
        <v>5789</v>
      </c>
    </row>
    <row r="667" spans="1:2" x14ac:dyDescent="0.25">
      <c r="A667" t="s">
        <v>5429</v>
      </c>
      <c r="B667" t="s">
        <v>6311</v>
      </c>
    </row>
    <row r="668" spans="1:2" x14ac:dyDescent="0.25">
      <c r="A668" t="s">
        <v>5514</v>
      </c>
      <c r="B668" t="s">
        <v>5719</v>
      </c>
    </row>
    <row r="669" spans="1:2" x14ac:dyDescent="0.25">
      <c r="A669" t="s">
        <v>924</v>
      </c>
      <c r="B669" t="s">
        <v>5787</v>
      </c>
    </row>
    <row r="670" spans="1:2" x14ac:dyDescent="0.25">
      <c r="A670" t="s">
        <v>223</v>
      </c>
      <c r="B670" t="s">
        <v>5787</v>
      </c>
    </row>
    <row r="671" spans="1:2" x14ac:dyDescent="0.25">
      <c r="A671" t="s">
        <v>5044</v>
      </c>
      <c r="B671" t="s">
        <v>5948</v>
      </c>
    </row>
    <row r="672" spans="1:2" x14ac:dyDescent="0.25">
      <c r="A672" t="s">
        <v>3459</v>
      </c>
      <c r="B672" t="s">
        <v>5787</v>
      </c>
    </row>
    <row r="673" spans="1:2" x14ac:dyDescent="0.25">
      <c r="A673" t="s">
        <v>4217</v>
      </c>
      <c r="B673" t="s">
        <v>5704</v>
      </c>
    </row>
    <row r="674" spans="1:2" x14ac:dyDescent="0.25">
      <c r="A674" t="s">
        <v>3889</v>
      </c>
      <c r="B674" t="s">
        <v>6254</v>
      </c>
    </row>
    <row r="675" spans="1:2" x14ac:dyDescent="0.25">
      <c r="A675" t="s">
        <v>998</v>
      </c>
      <c r="B675" t="s">
        <v>5704</v>
      </c>
    </row>
    <row r="676" spans="1:2" x14ac:dyDescent="0.25">
      <c r="A676" t="s">
        <v>5643</v>
      </c>
      <c r="B676" t="s">
        <v>5787</v>
      </c>
    </row>
    <row r="677" spans="1:2" x14ac:dyDescent="0.25">
      <c r="A677" t="s">
        <v>4634</v>
      </c>
      <c r="B677" t="s">
        <v>6174</v>
      </c>
    </row>
    <row r="678" spans="1:2" x14ac:dyDescent="0.25">
      <c r="A678" t="s">
        <v>2223</v>
      </c>
      <c r="B678" t="s">
        <v>5711</v>
      </c>
    </row>
    <row r="679" spans="1:2" x14ac:dyDescent="0.25">
      <c r="A679" t="s">
        <v>7570</v>
      </c>
      <c r="B679" t="s">
        <v>5834</v>
      </c>
    </row>
    <row r="680" spans="1:2" x14ac:dyDescent="0.25">
      <c r="A680" t="s">
        <v>4506</v>
      </c>
      <c r="B680" t="s">
        <v>5708</v>
      </c>
    </row>
    <row r="681" spans="1:2" x14ac:dyDescent="0.25">
      <c r="A681" t="s">
        <v>3060</v>
      </c>
      <c r="B681" t="s">
        <v>5895</v>
      </c>
    </row>
    <row r="682" spans="1:2" x14ac:dyDescent="0.25">
      <c r="A682" t="s">
        <v>4759</v>
      </c>
      <c r="B682" t="s">
        <v>6152</v>
      </c>
    </row>
    <row r="683" spans="1:2" x14ac:dyDescent="0.25">
      <c r="A683" t="s">
        <v>2158</v>
      </c>
      <c r="B683" t="s">
        <v>6756</v>
      </c>
    </row>
    <row r="684" spans="1:2" x14ac:dyDescent="0.25">
      <c r="A684" t="s">
        <v>4642</v>
      </c>
      <c r="B684" t="s">
        <v>5815</v>
      </c>
    </row>
    <row r="685" spans="1:2" x14ac:dyDescent="0.25">
      <c r="A685" t="s">
        <v>2591</v>
      </c>
      <c r="B685" t="s">
        <v>6189</v>
      </c>
    </row>
    <row r="686" spans="1:2" x14ac:dyDescent="0.25">
      <c r="A686" t="s">
        <v>485</v>
      </c>
      <c r="B686" t="s">
        <v>6402</v>
      </c>
    </row>
    <row r="687" spans="1:2" x14ac:dyDescent="0.25">
      <c r="A687" t="s">
        <v>4519</v>
      </c>
      <c r="B687" t="s">
        <v>5893</v>
      </c>
    </row>
    <row r="688" spans="1:2" x14ac:dyDescent="0.25">
      <c r="A688" t="s">
        <v>1236</v>
      </c>
      <c r="B688" t="s">
        <v>5815</v>
      </c>
    </row>
    <row r="689" spans="1:2" x14ac:dyDescent="0.25">
      <c r="A689" t="s">
        <v>3226</v>
      </c>
      <c r="B689" t="s">
        <v>5863</v>
      </c>
    </row>
    <row r="690" spans="1:2" x14ac:dyDescent="0.25">
      <c r="A690" t="s">
        <v>247</v>
      </c>
      <c r="B690" t="s">
        <v>5711</v>
      </c>
    </row>
    <row r="691" spans="1:2" x14ac:dyDescent="0.25">
      <c r="A691" t="s">
        <v>4728</v>
      </c>
      <c r="B691" t="s">
        <v>5747</v>
      </c>
    </row>
    <row r="692" spans="1:2" x14ac:dyDescent="0.25">
      <c r="A692" t="s">
        <v>5648</v>
      </c>
      <c r="B692" t="s">
        <v>6071</v>
      </c>
    </row>
    <row r="693" spans="1:2" x14ac:dyDescent="0.25">
      <c r="A693" t="s">
        <v>2491</v>
      </c>
      <c r="B693" t="s">
        <v>5832</v>
      </c>
    </row>
    <row r="694" spans="1:2" x14ac:dyDescent="0.25">
      <c r="A694" t="s">
        <v>3908</v>
      </c>
      <c r="B694" t="s">
        <v>6157</v>
      </c>
    </row>
    <row r="695" spans="1:2" x14ac:dyDescent="0.25">
      <c r="A695" t="s">
        <v>3329</v>
      </c>
      <c r="B695" t="s">
        <v>5830</v>
      </c>
    </row>
    <row r="696" spans="1:2" x14ac:dyDescent="0.25">
      <c r="A696" t="s">
        <v>326</v>
      </c>
      <c r="B696" t="s">
        <v>5787</v>
      </c>
    </row>
    <row r="697" spans="1:2" x14ac:dyDescent="0.25">
      <c r="A697" t="s">
        <v>4398</v>
      </c>
      <c r="B697" t="s">
        <v>5819</v>
      </c>
    </row>
    <row r="698" spans="1:2" x14ac:dyDescent="0.25">
      <c r="A698" t="s">
        <v>4631</v>
      </c>
      <c r="B698" t="s">
        <v>5711</v>
      </c>
    </row>
    <row r="699" spans="1:2" x14ac:dyDescent="0.25">
      <c r="A699" t="s">
        <v>5178</v>
      </c>
      <c r="B699">
        <v>0</v>
      </c>
    </row>
    <row r="700" spans="1:2" x14ac:dyDescent="0.25">
      <c r="A700" t="s">
        <v>282</v>
      </c>
      <c r="B700" t="s">
        <v>5790</v>
      </c>
    </row>
    <row r="701" spans="1:2" x14ac:dyDescent="0.25">
      <c r="A701" t="s">
        <v>2040</v>
      </c>
      <c r="B701" t="s">
        <v>5815</v>
      </c>
    </row>
    <row r="702" spans="1:2" x14ac:dyDescent="0.25">
      <c r="A702" t="s">
        <v>4284</v>
      </c>
      <c r="B702" t="s">
        <v>5946</v>
      </c>
    </row>
    <row r="703" spans="1:2" x14ac:dyDescent="0.25">
      <c r="A703" t="s">
        <v>5553</v>
      </c>
      <c r="B703" t="s">
        <v>5797</v>
      </c>
    </row>
    <row r="704" spans="1:2" x14ac:dyDescent="0.25">
      <c r="A704" t="s">
        <v>2503</v>
      </c>
      <c r="B704" t="s">
        <v>5802</v>
      </c>
    </row>
    <row r="705" spans="1:2" x14ac:dyDescent="0.25">
      <c r="A705" t="s">
        <v>2814</v>
      </c>
      <c r="B705" t="s">
        <v>5789</v>
      </c>
    </row>
    <row r="706" spans="1:2" x14ac:dyDescent="0.25">
      <c r="A706" t="s">
        <v>4470</v>
      </c>
      <c r="B706" t="s">
        <v>5787</v>
      </c>
    </row>
    <row r="707" spans="1:2" x14ac:dyDescent="0.25">
      <c r="A707" t="s">
        <v>5621</v>
      </c>
      <c r="B707" t="s">
        <v>6117</v>
      </c>
    </row>
    <row r="708" spans="1:2" x14ac:dyDescent="0.25">
      <c r="A708" t="s">
        <v>5587</v>
      </c>
      <c r="B708" t="s">
        <v>5907</v>
      </c>
    </row>
    <row r="709" spans="1:2" x14ac:dyDescent="0.25">
      <c r="A709" t="s">
        <v>5111</v>
      </c>
      <c r="B709" t="s">
        <v>6324</v>
      </c>
    </row>
    <row r="710" spans="1:2" x14ac:dyDescent="0.25">
      <c r="A710" t="s">
        <v>5306</v>
      </c>
      <c r="B710" t="s">
        <v>5796</v>
      </c>
    </row>
    <row r="711" spans="1:2" x14ac:dyDescent="0.25">
      <c r="A711" t="s">
        <v>535</v>
      </c>
      <c r="B711" t="s">
        <v>5787</v>
      </c>
    </row>
    <row r="712" spans="1:2" x14ac:dyDescent="0.25">
      <c r="A712" t="s">
        <v>3373</v>
      </c>
      <c r="B712" t="s">
        <v>5823</v>
      </c>
    </row>
    <row r="713" spans="1:2" x14ac:dyDescent="0.25">
      <c r="A713" t="s">
        <v>2696</v>
      </c>
      <c r="B713" t="s">
        <v>5752</v>
      </c>
    </row>
    <row r="714" spans="1:2" x14ac:dyDescent="0.25">
      <c r="A714" t="s">
        <v>1943</v>
      </c>
      <c r="B714" t="s">
        <v>6098</v>
      </c>
    </row>
    <row r="715" spans="1:2" x14ac:dyDescent="0.25">
      <c r="A715" t="s">
        <v>1151</v>
      </c>
      <c r="B715" t="s">
        <v>5954</v>
      </c>
    </row>
    <row r="716" spans="1:2" x14ac:dyDescent="0.25">
      <c r="A716" t="s">
        <v>3153</v>
      </c>
      <c r="B716" t="s">
        <v>5911</v>
      </c>
    </row>
    <row r="717" spans="1:2" x14ac:dyDescent="0.25">
      <c r="A717" t="s">
        <v>1554</v>
      </c>
      <c r="B717" t="s">
        <v>5979</v>
      </c>
    </row>
    <row r="718" spans="1:2" x14ac:dyDescent="0.25">
      <c r="A718" t="s">
        <v>4692</v>
      </c>
      <c r="B718" t="s">
        <v>5787</v>
      </c>
    </row>
    <row r="719" spans="1:2" x14ac:dyDescent="0.25">
      <c r="A719" t="s">
        <v>4667</v>
      </c>
      <c r="B719" t="s">
        <v>5788</v>
      </c>
    </row>
    <row r="720" spans="1:2" x14ac:dyDescent="0.25">
      <c r="A720" t="s">
        <v>4778</v>
      </c>
      <c r="B720" t="s">
        <v>5782</v>
      </c>
    </row>
    <row r="721" spans="1:2" x14ac:dyDescent="0.25">
      <c r="A721" t="s">
        <v>1467</v>
      </c>
      <c r="B721" t="s">
        <v>5801</v>
      </c>
    </row>
    <row r="722" spans="1:2" x14ac:dyDescent="0.25">
      <c r="A722" t="s">
        <v>2785</v>
      </c>
      <c r="B722" t="s">
        <v>5995</v>
      </c>
    </row>
    <row r="723" spans="1:2" x14ac:dyDescent="0.25">
      <c r="A723" t="s">
        <v>410</v>
      </c>
      <c r="B723" t="s">
        <v>5787</v>
      </c>
    </row>
    <row r="724" spans="1:2" x14ac:dyDescent="0.25">
      <c r="A724" t="s">
        <v>4652</v>
      </c>
      <c r="B724" t="s">
        <v>5839</v>
      </c>
    </row>
    <row r="725" spans="1:2" x14ac:dyDescent="0.25">
      <c r="A725" t="s">
        <v>304</v>
      </c>
      <c r="B725" t="s">
        <v>5708</v>
      </c>
    </row>
    <row r="726" spans="1:2" x14ac:dyDescent="0.25">
      <c r="A726" t="s">
        <v>1590</v>
      </c>
      <c r="B726" t="s">
        <v>5787</v>
      </c>
    </row>
    <row r="727" spans="1:2" x14ac:dyDescent="0.25">
      <c r="A727" t="s">
        <v>2374</v>
      </c>
      <c r="B727">
        <v>0</v>
      </c>
    </row>
    <row r="728" spans="1:2" x14ac:dyDescent="0.25">
      <c r="A728" t="s">
        <v>5565</v>
      </c>
      <c r="B728" t="s">
        <v>5929</v>
      </c>
    </row>
    <row r="729" spans="1:2" x14ac:dyDescent="0.25">
      <c r="A729" t="s">
        <v>1431</v>
      </c>
      <c r="B729" t="s">
        <v>6068</v>
      </c>
    </row>
    <row r="730" spans="1:2" x14ac:dyDescent="0.25">
      <c r="A730" t="s">
        <v>2708</v>
      </c>
      <c r="B730" t="s">
        <v>6084</v>
      </c>
    </row>
    <row r="731" spans="1:2" x14ac:dyDescent="0.25">
      <c r="A731" t="s">
        <v>36</v>
      </c>
      <c r="B731" t="s">
        <v>5826</v>
      </c>
    </row>
    <row r="732" spans="1:2" x14ac:dyDescent="0.25">
      <c r="A732" t="s">
        <v>5209</v>
      </c>
      <c r="B732" t="s">
        <v>5787</v>
      </c>
    </row>
    <row r="733" spans="1:2" x14ac:dyDescent="0.25">
      <c r="A733" t="s">
        <v>5172</v>
      </c>
      <c r="B733" t="s">
        <v>5950</v>
      </c>
    </row>
    <row r="734" spans="1:2" x14ac:dyDescent="0.25">
      <c r="A734" t="s">
        <v>3341</v>
      </c>
      <c r="B734" t="s">
        <v>5810</v>
      </c>
    </row>
    <row r="735" spans="1:2" x14ac:dyDescent="0.25">
      <c r="A735" t="s">
        <v>4956</v>
      </c>
      <c r="B735" t="s">
        <v>6059</v>
      </c>
    </row>
    <row r="736" spans="1:2" x14ac:dyDescent="0.25">
      <c r="A736" t="s">
        <v>2092</v>
      </c>
      <c r="B736" t="s">
        <v>5903</v>
      </c>
    </row>
    <row r="737" spans="1:2" x14ac:dyDescent="0.25">
      <c r="A737" t="s">
        <v>5042</v>
      </c>
      <c r="B737" t="s">
        <v>5744</v>
      </c>
    </row>
    <row r="738" spans="1:2" x14ac:dyDescent="0.25">
      <c r="A738" t="s">
        <v>4834</v>
      </c>
      <c r="B738" t="s">
        <v>5787</v>
      </c>
    </row>
    <row r="739" spans="1:2" x14ac:dyDescent="0.25">
      <c r="A739" t="s">
        <v>3906</v>
      </c>
      <c r="B739" t="s">
        <v>5787</v>
      </c>
    </row>
    <row r="740" spans="1:2" x14ac:dyDescent="0.25">
      <c r="A740" t="s">
        <v>440</v>
      </c>
      <c r="B740" t="s">
        <v>5706</v>
      </c>
    </row>
    <row r="741" spans="1:2" x14ac:dyDescent="0.25">
      <c r="A741" t="s">
        <v>1652</v>
      </c>
      <c r="B741" t="s">
        <v>5787</v>
      </c>
    </row>
    <row r="742" spans="1:2" x14ac:dyDescent="0.25">
      <c r="A742" t="s">
        <v>5545</v>
      </c>
      <c r="B742" t="s">
        <v>6046</v>
      </c>
    </row>
    <row r="743" spans="1:2" x14ac:dyDescent="0.25">
      <c r="A743" t="s">
        <v>2476</v>
      </c>
      <c r="B743" t="s">
        <v>5819</v>
      </c>
    </row>
    <row r="744" spans="1:2" x14ac:dyDescent="0.25">
      <c r="A744" t="s">
        <v>863</v>
      </c>
      <c r="B744" t="s">
        <v>5787</v>
      </c>
    </row>
    <row r="745" spans="1:2" x14ac:dyDescent="0.25">
      <c r="A745" t="s">
        <v>3898</v>
      </c>
      <c r="B745" t="s">
        <v>6018</v>
      </c>
    </row>
    <row r="746" spans="1:2" x14ac:dyDescent="0.25">
      <c r="A746" t="s">
        <v>1816</v>
      </c>
      <c r="B746" t="s">
        <v>5711</v>
      </c>
    </row>
    <row r="747" spans="1:2" x14ac:dyDescent="0.25">
      <c r="A747" t="s">
        <v>1634</v>
      </c>
      <c r="B747" t="s">
        <v>5990</v>
      </c>
    </row>
    <row r="748" spans="1:2" x14ac:dyDescent="0.25">
      <c r="A748" t="s">
        <v>1696</v>
      </c>
      <c r="B748" t="s">
        <v>5787</v>
      </c>
    </row>
    <row r="749" spans="1:2" x14ac:dyDescent="0.25">
      <c r="A749" t="s">
        <v>4769</v>
      </c>
      <c r="B749" t="s">
        <v>6126</v>
      </c>
    </row>
    <row r="750" spans="1:2" x14ac:dyDescent="0.25">
      <c r="A750" t="s">
        <v>2055</v>
      </c>
      <c r="B750" t="s">
        <v>6415</v>
      </c>
    </row>
    <row r="751" spans="1:2" x14ac:dyDescent="0.25">
      <c r="A751" t="s">
        <v>1498</v>
      </c>
      <c r="B751" t="s">
        <v>5713</v>
      </c>
    </row>
    <row r="752" spans="1:2" x14ac:dyDescent="0.25">
      <c r="A752" t="s">
        <v>4333</v>
      </c>
      <c r="B752" t="s">
        <v>6296</v>
      </c>
    </row>
    <row r="753" spans="1:2" x14ac:dyDescent="0.25">
      <c r="A753" t="s">
        <v>2043</v>
      </c>
      <c r="B753" t="s">
        <v>5750</v>
      </c>
    </row>
    <row r="754" spans="1:2" x14ac:dyDescent="0.25">
      <c r="A754" t="s">
        <v>69</v>
      </c>
      <c r="B754" t="s">
        <v>5824</v>
      </c>
    </row>
    <row r="755" spans="1:2" x14ac:dyDescent="0.25">
      <c r="A755" t="s">
        <v>453</v>
      </c>
      <c r="B755" t="s">
        <v>6060</v>
      </c>
    </row>
    <row r="756" spans="1:2" x14ac:dyDescent="0.25">
      <c r="A756" t="s">
        <v>392</v>
      </c>
      <c r="B756" t="s">
        <v>5787</v>
      </c>
    </row>
    <row r="757" spans="1:2" x14ac:dyDescent="0.25">
      <c r="A757" t="s">
        <v>2955</v>
      </c>
      <c r="B757" t="s">
        <v>6644</v>
      </c>
    </row>
    <row r="758" spans="1:2" x14ac:dyDescent="0.25">
      <c r="A758" t="s">
        <v>3995</v>
      </c>
      <c r="B758" t="s">
        <v>5806</v>
      </c>
    </row>
    <row r="759" spans="1:2" x14ac:dyDescent="0.25">
      <c r="A759" t="s">
        <v>4197</v>
      </c>
      <c r="B759" t="s">
        <v>6184</v>
      </c>
    </row>
    <row r="760" spans="1:2" x14ac:dyDescent="0.25">
      <c r="A760" t="s">
        <v>28</v>
      </c>
      <c r="B760" t="s">
        <v>5787</v>
      </c>
    </row>
    <row r="761" spans="1:2" x14ac:dyDescent="0.25">
      <c r="A761" t="s">
        <v>521</v>
      </c>
      <c r="B761" t="s">
        <v>5798</v>
      </c>
    </row>
    <row r="762" spans="1:2" x14ac:dyDescent="0.25">
      <c r="A762" t="s">
        <v>3200</v>
      </c>
      <c r="B762" t="s">
        <v>5789</v>
      </c>
    </row>
    <row r="763" spans="1:2" x14ac:dyDescent="0.25">
      <c r="A763" t="s">
        <v>610</v>
      </c>
      <c r="B763" t="s">
        <v>6015</v>
      </c>
    </row>
    <row r="764" spans="1:2" x14ac:dyDescent="0.25">
      <c r="A764" t="s">
        <v>4218</v>
      </c>
      <c r="B764" t="s">
        <v>6009</v>
      </c>
    </row>
    <row r="765" spans="1:2" x14ac:dyDescent="0.25">
      <c r="A765" t="s">
        <v>3078</v>
      </c>
      <c r="B765" t="s">
        <v>6238</v>
      </c>
    </row>
    <row r="766" spans="1:2" x14ac:dyDescent="0.25">
      <c r="A766" t="s">
        <v>1239</v>
      </c>
      <c r="B766" t="s">
        <v>6031</v>
      </c>
    </row>
    <row r="767" spans="1:2" x14ac:dyDescent="0.25">
      <c r="A767" t="s">
        <v>3659</v>
      </c>
      <c r="B767" t="s">
        <v>5971</v>
      </c>
    </row>
    <row r="768" spans="1:2" x14ac:dyDescent="0.25">
      <c r="A768" t="s">
        <v>1265</v>
      </c>
      <c r="B768" t="s">
        <v>6406</v>
      </c>
    </row>
    <row r="769" spans="1:2" x14ac:dyDescent="0.25">
      <c r="A769" t="s">
        <v>3685</v>
      </c>
      <c r="B769" t="s">
        <v>5790</v>
      </c>
    </row>
    <row r="770" spans="1:2" x14ac:dyDescent="0.25">
      <c r="A770" t="s">
        <v>2812</v>
      </c>
      <c r="B770" t="s">
        <v>6033</v>
      </c>
    </row>
    <row r="771" spans="1:2" x14ac:dyDescent="0.25">
      <c r="A771" t="s">
        <v>4062</v>
      </c>
      <c r="B771" t="s">
        <v>6316</v>
      </c>
    </row>
    <row r="772" spans="1:2" x14ac:dyDescent="0.25">
      <c r="A772" t="s">
        <v>2136</v>
      </c>
      <c r="B772" t="s">
        <v>5941</v>
      </c>
    </row>
    <row r="773" spans="1:2" x14ac:dyDescent="0.25">
      <c r="A773" t="s">
        <v>5137</v>
      </c>
      <c r="B773" t="s">
        <v>5787</v>
      </c>
    </row>
    <row r="774" spans="1:2" x14ac:dyDescent="0.25">
      <c r="A774" t="s">
        <v>4248</v>
      </c>
      <c r="B774" t="s">
        <v>5962</v>
      </c>
    </row>
    <row r="775" spans="1:2" x14ac:dyDescent="0.25">
      <c r="A775" t="s">
        <v>2632</v>
      </c>
      <c r="B775" t="s">
        <v>5787</v>
      </c>
    </row>
    <row r="776" spans="1:2" x14ac:dyDescent="0.25">
      <c r="A776" t="s">
        <v>3352</v>
      </c>
      <c r="B776" t="s">
        <v>5848</v>
      </c>
    </row>
    <row r="777" spans="1:2" x14ac:dyDescent="0.25">
      <c r="A777" t="s">
        <v>784</v>
      </c>
      <c r="B777" t="s">
        <v>5706</v>
      </c>
    </row>
    <row r="778" spans="1:2" x14ac:dyDescent="0.25">
      <c r="A778" t="s">
        <v>2602</v>
      </c>
      <c r="B778" t="s">
        <v>5983</v>
      </c>
    </row>
    <row r="779" spans="1:2" x14ac:dyDescent="0.25">
      <c r="A779" t="s">
        <v>3574</v>
      </c>
      <c r="B779" t="s">
        <v>6146</v>
      </c>
    </row>
    <row r="780" spans="1:2" x14ac:dyDescent="0.25">
      <c r="A780" t="s">
        <v>405</v>
      </c>
      <c r="B780" t="s">
        <v>5787</v>
      </c>
    </row>
    <row r="781" spans="1:2" x14ac:dyDescent="0.25">
      <c r="A781" t="s">
        <v>3423</v>
      </c>
      <c r="B781" t="s">
        <v>5822</v>
      </c>
    </row>
    <row r="782" spans="1:2" x14ac:dyDescent="0.25">
      <c r="A782" t="s">
        <v>2768</v>
      </c>
      <c r="B782" t="s">
        <v>6444</v>
      </c>
    </row>
    <row r="783" spans="1:2" x14ac:dyDescent="0.25">
      <c r="A783" t="s">
        <v>4952</v>
      </c>
      <c r="B783" t="s">
        <v>6243</v>
      </c>
    </row>
    <row r="784" spans="1:2" x14ac:dyDescent="0.25">
      <c r="A784" t="s">
        <v>5518</v>
      </c>
      <c r="B784" t="s">
        <v>5935</v>
      </c>
    </row>
    <row r="785" spans="1:2" x14ac:dyDescent="0.25">
      <c r="A785" t="s">
        <v>1475</v>
      </c>
      <c r="B785" t="s">
        <v>5811</v>
      </c>
    </row>
    <row r="786" spans="1:2" x14ac:dyDescent="0.25">
      <c r="A786" t="s">
        <v>5295</v>
      </c>
      <c r="B786" t="s">
        <v>5835</v>
      </c>
    </row>
    <row r="787" spans="1:2" x14ac:dyDescent="0.25">
      <c r="A787" t="s">
        <v>3412</v>
      </c>
      <c r="B787" t="s">
        <v>5787</v>
      </c>
    </row>
    <row r="788" spans="1:2" x14ac:dyDescent="0.25">
      <c r="A788" t="s">
        <v>630</v>
      </c>
      <c r="B788" t="s">
        <v>5787</v>
      </c>
    </row>
    <row r="789" spans="1:2" x14ac:dyDescent="0.25">
      <c r="A789" t="s">
        <v>5417</v>
      </c>
      <c r="B789" t="s">
        <v>5750</v>
      </c>
    </row>
    <row r="790" spans="1:2" x14ac:dyDescent="0.25">
      <c r="A790" t="s">
        <v>900</v>
      </c>
      <c r="B790" t="s">
        <v>6263</v>
      </c>
    </row>
    <row r="791" spans="1:2" x14ac:dyDescent="0.25">
      <c r="A791" t="s">
        <v>2284</v>
      </c>
      <c r="B791" t="s">
        <v>6322</v>
      </c>
    </row>
    <row r="792" spans="1:2" x14ac:dyDescent="0.25">
      <c r="A792" t="s">
        <v>2051</v>
      </c>
      <c r="B792" t="s">
        <v>5759</v>
      </c>
    </row>
    <row r="793" spans="1:2" x14ac:dyDescent="0.25">
      <c r="A793" t="s">
        <v>1056</v>
      </c>
      <c r="B793" t="s">
        <v>5802</v>
      </c>
    </row>
    <row r="794" spans="1:2" x14ac:dyDescent="0.25">
      <c r="A794" t="s">
        <v>1370</v>
      </c>
      <c r="B794" t="s">
        <v>5785</v>
      </c>
    </row>
    <row r="795" spans="1:2" x14ac:dyDescent="0.25">
      <c r="A795" t="s">
        <v>4525</v>
      </c>
      <c r="B795" t="s">
        <v>5979</v>
      </c>
    </row>
    <row r="796" spans="1:2" x14ac:dyDescent="0.25">
      <c r="A796" t="s">
        <v>4894</v>
      </c>
      <c r="B796" t="s">
        <v>5948</v>
      </c>
    </row>
    <row r="797" spans="1:2" x14ac:dyDescent="0.25">
      <c r="A797" t="s">
        <v>963</v>
      </c>
      <c r="B797" t="s">
        <v>5787</v>
      </c>
    </row>
    <row r="798" spans="1:2" x14ac:dyDescent="0.25">
      <c r="A798" t="s">
        <v>2432</v>
      </c>
      <c r="B798" t="s">
        <v>5706</v>
      </c>
    </row>
    <row r="799" spans="1:2" x14ac:dyDescent="0.25">
      <c r="A799" t="s">
        <v>925</v>
      </c>
      <c r="B799" t="s">
        <v>5798</v>
      </c>
    </row>
    <row r="800" spans="1:2" x14ac:dyDescent="0.25">
      <c r="A800" t="s">
        <v>7704</v>
      </c>
      <c r="B800" t="s">
        <v>5795</v>
      </c>
    </row>
    <row r="801" spans="1:2" x14ac:dyDescent="0.25">
      <c r="A801" t="s">
        <v>1750</v>
      </c>
      <c r="B801" t="s">
        <v>5876</v>
      </c>
    </row>
    <row r="802" spans="1:2" x14ac:dyDescent="0.25">
      <c r="A802" t="s">
        <v>2456</v>
      </c>
      <c r="B802" t="s">
        <v>5787</v>
      </c>
    </row>
    <row r="803" spans="1:2" x14ac:dyDescent="0.25">
      <c r="A803" t="s">
        <v>534</v>
      </c>
      <c r="B803" t="s">
        <v>5787</v>
      </c>
    </row>
    <row r="804" spans="1:2" x14ac:dyDescent="0.25">
      <c r="A804" t="s">
        <v>1776</v>
      </c>
      <c r="B804" t="s">
        <v>5845</v>
      </c>
    </row>
    <row r="805" spans="1:2" x14ac:dyDescent="0.25">
      <c r="A805" t="s">
        <v>3282</v>
      </c>
      <c r="B805" t="s">
        <v>6475</v>
      </c>
    </row>
    <row r="806" spans="1:2" x14ac:dyDescent="0.25">
      <c r="A806" t="s">
        <v>3665</v>
      </c>
      <c r="B806" t="s">
        <v>5965</v>
      </c>
    </row>
    <row r="807" spans="1:2" x14ac:dyDescent="0.25">
      <c r="A807" t="s">
        <v>1985</v>
      </c>
      <c r="B807" t="s">
        <v>5737</v>
      </c>
    </row>
    <row r="808" spans="1:2" x14ac:dyDescent="0.25">
      <c r="A808" t="s">
        <v>3027</v>
      </c>
      <c r="B808" t="s">
        <v>5907</v>
      </c>
    </row>
    <row r="809" spans="1:2" x14ac:dyDescent="0.25">
      <c r="A809" t="s">
        <v>682</v>
      </c>
      <c r="B809" t="s">
        <v>5706</v>
      </c>
    </row>
    <row r="810" spans="1:2" x14ac:dyDescent="0.25">
      <c r="A810" t="s">
        <v>3035</v>
      </c>
      <c r="B810" t="s">
        <v>5829</v>
      </c>
    </row>
    <row r="811" spans="1:2" x14ac:dyDescent="0.25">
      <c r="A811" t="s">
        <v>3797</v>
      </c>
      <c r="B811" t="s">
        <v>5935</v>
      </c>
    </row>
    <row r="812" spans="1:2" x14ac:dyDescent="0.25">
      <c r="A812" t="s">
        <v>4128</v>
      </c>
      <c r="B812" t="s">
        <v>5747</v>
      </c>
    </row>
    <row r="813" spans="1:2" x14ac:dyDescent="0.25">
      <c r="A813" t="s">
        <v>4491</v>
      </c>
      <c r="B813" t="s">
        <v>5843</v>
      </c>
    </row>
    <row r="814" spans="1:2" x14ac:dyDescent="0.25">
      <c r="A814" t="s">
        <v>3191</v>
      </c>
      <c r="B814" t="s">
        <v>5787</v>
      </c>
    </row>
    <row r="815" spans="1:2" x14ac:dyDescent="0.25">
      <c r="A815" t="s">
        <v>1921</v>
      </c>
      <c r="B815" t="s">
        <v>5846</v>
      </c>
    </row>
    <row r="816" spans="1:2" x14ac:dyDescent="0.25">
      <c r="A816" t="s">
        <v>5453</v>
      </c>
      <c r="B816" t="s">
        <v>5835</v>
      </c>
    </row>
    <row r="817" spans="1:2" x14ac:dyDescent="0.25">
      <c r="A817" t="s">
        <v>4822</v>
      </c>
      <c r="B817" t="s">
        <v>5849</v>
      </c>
    </row>
    <row r="818" spans="1:2" x14ac:dyDescent="0.25">
      <c r="A818" t="s">
        <v>611</v>
      </c>
      <c r="B818" t="s">
        <v>5759</v>
      </c>
    </row>
    <row r="819" spans="1:2" x14ac:dyDescent="0.25">
      <c r="A819" t="s">
        <v>1961</v>
      </c>
      <c r="B819" t="s">
        <v>6392</v>
      </c>
    </row>
    <row r="820" spans="1:2" x14ac:dyDescent="0.25">
      <c r="A820" t="s">
        <v>4957</v>
      </c>
      <c r="B820" t="s">
        <v>5828</v>
      </c>
    </row>
    <row r="821" spans="1:2" x14ac:dyDescent="0.25">
      <c r="A821" t="s">
        <v>3938</v>
      </c>
      <c r="B821" t="s">
        <v>5787</v>
      </c>
    </row>
    <row r="822" spans="1:2" x14ac:dyDescent="0.25">
      <c r="A822" t="s">
        <v>5474</v>
      </c>
      <c r="B822" t="s">
        <v>5780</v>
      </c>
    </row>
    <row r="823" spans="1:2" x14ac:dyDescent="0.25">
      <c r="A823" t="s">
        <v>207</v>
      </c>
      <c r="B823" t="s">
        <v>5920</v>
      </c>
    </row>
    <row r="824" spans="1:2" x14ac:dyDescent="0.25">
      <c r="A824" t="s">
        <v>854</v>
      </c>
      <c r="B824" t="s">
        <v>5810</v>
      </c>
    </row>
    <row r="825" spans="1:2" x14ac:dyDescent="0.25">
      <c r="A825" t="s">
        <v>4308</v>
      </c>
      <c r="B825" t="s">
        <v>5728</v>
      </c>
    </row>
    <row r="826" spans="1:2" x14ac:dyDescent="0.25">
      <c r="A826" t="s">
        <v>3339</v>
      </c>
      <c r="B826" t="s">
        <v>6470</v>
      </c>
    </row>
    <row r="827" spans="1:2" x14ac:dyDescent="0.25">
      <c r="A827" t="s">
        <v>3718</v>
      </c>
      <c r="B827" t="s">
        <v>5721</v>
      </c>
    </row>
    <row r="828" spans="1:2" x14ac:dyDescent="0.25">
      <c r="A828" t="s">
        <v>1940</v>
      </c>
      <c r="B828" t="s">
        <v>5787</v>
      </c>
    </row>
    <row r="829" spans="1:2" x14ac:dyDescent="0.25">
      <c r="A829" t="s">
        <v>4725</v>
      </c>
      <c r="B829" t="s">
        <v>5835</v>
      </c>
    </row>
    <row r="830" spans="1:2" x14ac:dyDescent="0.25">
      <c r="A830" t="s">
        <v>5415</v>
      </c>
      <c r="B830" t="s">
        <v>5961</v>
      </c>
    </row>
    <row r="831" spans="1:2" x14ac:dyDescent="0.25">
      <c r="A831" t="s">
        <v>135</v>
      </c>
      <c r="B831" t="s">
        <v>5916</v>
      </c>
    </row>
    <row r="832" spans="1:2" x14ac:dyDescent="0.25">
      <c r="A832" t="s">
        <v>1763</v>
      </c>
      <c r="B832" t="s">
        <v>6038</v>
      </c>
    </row>
    <row r="833" spans="1:2" x14ac:dyDescent="0.25">
      <c r="A833" t="s">
        <v>5130</v>
      </c>
      <c r="B833" t="s">
        <v>6003</v>
      </c>
    </row>
    <row r="834" spans="1:2" x14ac:dyDescent="0.25">
      <c r="A834" t="s">
        <v>2003</v>
      </c>
      <c r="B834" t="s">
        <v>5793</v>
      </c>
    </row>
    <row r="835" spans="1:2" x14ac:dyDescent="0.25">
      <c r="A835" t="s">
        <v>5412</v>
      </c>
      <c r="B835" t="s">
        <v>5875</v>
      </c>
    </row>
    <row r="836" spans="1:2" x14ac:dyDescent="0.25">
      <c r="A836" t="s">
        <v>5319</v>
      </c>
      <c r="B836" t="s">
        <v>5880</v>
      </c>
    </row>
    <row r="837" spans="1:2" x14ac:dyDescent="0.25">
      <c r="A837" t="s">
        <v>3502</v>
      </c>
      <c r="B837" t="s">
        <v>5713</v>
      </c>
    </row>
    <row r="838" spans="1:2" x14ac:dyDescent="0.25">
      <c r="A838" t="s">
        <v>597</v>
      </c>
      <c r="B838" t="s">
        <v>5787</v>
      </c>
    </row>
    <row r="839" spans="1:2" x14ac:dyDescent="0.25">
      <c r="A839" t="s">
        <v>461</v>
      </c>
      <c r="B839" t="s">
        <v>5803</v>
      </c>
    </row>
    <row r="840" spans="1:2" x14ac:dyDescent="0.25">
      <c r="A840" t="s">
        <v>1322</v>
      </c>
      <c r="B840" t="s">
        <v>6692</v>
      </c>
    </row>
    <row r="841" spans="1:2" x14ac:dyDescent="0.25">
      <c r="A841" t="s">
        <v>5540</v>
      </c>
      <c r="B841" t="s">
        <v>5838</v>
      </c>
    </row>
    <row r="842" spans="1:2" x14ac:dyDescent="0.25">
      <c r="A842" t="s">
        <v>4313</v>
      </c>
      <c r="B842" t="s">
        <v>6645</v>
      </c>
    </row>
    <row r="843" spans="1:2" x14ac:dyDescent="0.25">
      <c r="A843" t="s">
        <v>4974</v>
      </c>
      <c r="B843" t="s">
        <v>5708</v>
      </c>
    </row>
    <row r="844" spans="1:2" x14ac:dyDescent="0.25">
      <c r="A844" t="s">
        <v>4152</v>
      </c>
      <c r="B844" t="s">
        <v>5800</v>
      </c>
    </row>
    <row r="845" spans="1:2" x14ac:dyDescent="0.25">
      <c r="A845" t="s">
        <v>3430</v>
      </c>
      <c r="B845" t="s">
        <v>5721</v>
      </c>
    </row>
    <row r="846" spans="1:2" x14ac:dyDescent="0.25">
      <c r="A846" t="s">
        <v>5515</v>
      </c>
      <c r="B846" t="s">
        <v>5920</v>
      </c>
    </row>
    <row r="847" spans="1:2" x14ac:dyDescent="0.25">
      <c r="A847" t="s">
        <v>3929</v>
      </c>
      <c r="B847" t="s">
        <v>5865</v>
      </c>
    </row>
    <row r="848" spans="1:2" x14ac:dyDescent="0.25">
      <c r="A848" t="s">
        <v>3820</v>
      </c>
      <c r="B848" t="s">
        <v>5711</v>
      </c>
    </row>
    <row r="849" spans="1:2" x14ac:dyDescent="0.25">
      <c r="A849" t="s">
        <v>487</v>
      </c>
      <c r="B849" t="s">
        <v>5927</v>
      </c>
    </row>
    <row r="850" spans="1:2" x14ac:dyDescent="0.25">
      <c r="A850" t="s">
        <v>2304</v>
      </c>
      <c r="B850" t="s">
        <v>5744</v>
      </c>
    </row>
    <row r="851" spans="1:2" x14ac:dyDescent="0.25">
      <c r="A851" t="s">
        <v>1372</v>
      </c>
      <c r="B851" t="s">
        <v>5863</v>
      </c>
    </row>
    <row r="852" spans="1:2" x14ac:dyDescent="0.25">
      <c r="A852" t="s">
        <v>356</v>
      </c>
      <c r="B852" t="s">
        <v>5953</v>
      </c>
    </row>
    <row r="853" spans="1:2" x14ac:dyDescent="0.25">
      <c r="A853" t="s">
        <v>2720</v>
      </c>
      <c r="B853" t="s">
        <v>5782</v>
      </c>
    </row>
    <row r="854" spans="1:2" x14ac:dyDescent="0.25">
      <c r="A854" t="s">
        <v>5564</v>
      </c>
      <c r="B854" t="s">
        <v>5787</v>
      </c>
    </row>
    <row r="855" spans="1:2" x14ac:dyDescent="0.25">
      <c r="A855" t="s">
        <v>4458</v>
      </c>
      <c r="B855" t="s">
        <v>5790</v>
      </c>
    </row>
    <row r="856" spans="1:2" x14ac:dyDescent="0.25">
      <c r="A856" t="s">
        <v>5025</v>
      </c>
      <c r="B856" t="s">
        <v>5788</v>
      </c>
    </row>
    <row r="857" spans="1:2" x14ac:dyDescent="0.25">
      <c r="A857" t="s">
        <v>698</v>
      </c>
      <c r="B857" t="s">
        <v>6267</v>
      </c>
    </row>
    <row r="858" spans="1:2" x14ac:dyDescent="0.25">
      <c r="A858" t="s">
        <v>404</v>
      </c>
      <c r="B858" t="s">
        <v>5787</v>
      </c>
    </row>
    <row r="859" spans="1:2" x14ac:dyDescent="0.25">
      <c r="A859" t="s">
        <v>5164</v>
      </c>
      <c r="B859" t="s">
        <v>6188</v>
      </c>
    </row>
    <row r="860" spans="1:2" x14ac:dyDescent="0.25">
      <c r="A860" t="s">
        <v>567</v>
      </c>
      <c r="B860" t="s">
        <v>5788</v>
      </c>
    </row>
    <row r="861" spans="1:2" x14ac:dyDescent="0.25">
      <c r="A861" t="s">
        <v>3403</v>
      </c>
      <c r="B861" t="s">
        <v>5788</v>
      </c>
    </row>
    <row r="862" spans="1:2" x14ac:dyDescent="0.25">
      <c r="A862" t="s">
        <v>2663</v>
      </c>
      <c r="B862" t="s">
        <v>6617</v>
      </c>
    </row>
    <row r="863" spans="1:2" x14ac:dyDescent="0.25">
      <c r="A863" t="s">
        <v>1252</v>
      </c>
      <c r="B863" t="s">
        <v>5790</v>
      </c>
    </row>
    <row r="864" spans="1:2" x14ac:dyDescent="0.25">
      <c r="A864" t="s">
        <v>5016</v>
      </c>
      <c r="B864" t="s">
        <v>6358</v>
      </c>
    </row>
    <row r="865" spans="1:2" x14ac:dyDescent="0.25">
      <c r="A865" t="s">
        <v>4057</v>
      </c>
      <c r="B865" t="s">
        <v>5789</v>
      </c>
    </row>
    <row r="866" spans="1:2" x14ac:dyDescent="0.25">
      <c r="A866" t="s">
        <v>1237</v>
      </c>
      <c r="B866" t="s">
        <v>6007</v>
      </c>
    </row>
    <row r="867" spans="1:2" x14ac:dyDescent="0.25">
      <c r="A867" t="s">
        <v>359</v>
      </c>
      <c r="B867" t="s">
        <v>6459</v>
      </c>
    </row>
    <row r="868" spans="1:2" x14ac:dyDescent="0.25">
      <c r="A868" t="s">
        <v>458</v>
      </c>
      <c r="B868" t="s">
        <v>5801</v>
      </c>
    </row>
    <row r="869" spans="1:2" x14ac:dyDescent="0.25">
      <c r="A869" t="s">
        <v>4170</v>
      </c>
      <c r="B869" t="s">
        <v>5790</v>
      </c>
    </row>
    <row r="870" spans="1:2" x14ac:dyDescent="0.25">
      <c r="A870" t="s">
        <v>1954</v>
      </c>
      <c r="B870" t="s">
        <v>5728</v>
      </c>
    </row>
    <row r="871" spans="1:2" x14ac:dyDescent="0.25">
      <c r="A871" t="s">
        <v>5517</v>
      </c>
      <c r="B871" t="s">
        <v>5790</v>
      </c>
    </row>
    <row r="872" spans="1:2" x14ac:dyDescent="0.25">
      <c r="A872" t="s">
        <v>4344</v>
      </c>
      <c r="B872" t="s">
        <v>5929</v>
      </c>
    </row>
    <row r="873" spans="1:2" x14ac:dyDescent="0.25">
      <c r="A873" t="s">
        <v>2188</v>
      </c>
      <c r="B873" t="s">
        <v>6137</v>
      </c>
    </row>
    <row r="874" spans="1:2" x14ac:dyDescent="0.25">
      <c r="A874" t="s">
        <v>4984</v>
      </c>
      <c r="B874" t="s">
        <v>5730</v>
      </c>
    </row>
    <row r="875" spans="1:2" x14ac:dyDescent="0.25">
      <c r="A875" t="s">
        <v>1362</v>
      </c>
      <c r="B875" t="s">
        <v>5887</v>
      </c>
    </row>
    <row r="876" spans="1:2" x14ac:dyDescent="0.25">
      <c r="A876" t="s">
        <v>852</v>
      </c>
      <c r="B876" t="s">
        <v>6468</v>
      </c>
    </row>
    <row r="877" spans="1:2" x14ac:dyDescent="0.25">
      <c r="A877" t="s">
        <v>5465</v>
      </c>
      <c r="B877" t="s">
        <v>5803</v>
      </c>
    </row>
    <row r="878" spans="1:2" x14ac:dyDescent="0.25">
      <c r="A878" t="s">
        <v>3900</v>
      </c>
      <c r="B878" t="s">
        <v>6252</v>
      </c>
    </row>
    <row r="879" spans="1:2" x14ac:dyDescent="0.25">
      <c r="A879" t="s">
        <v>31754</v>
      </c>
      <c r="B879" t="s">
        <v>5787</v>
      </c>
    </row>
    <row r="880" spans="1:2" x14ac:dyDescent="0.25">
      <c r="A880" t="s">
        <v>1925</v>
      </c>
      <c r="B880" t="s">
        <v>6006</v>
      </c>
    </row>
    <row r="881" spans="1:2" x14ac:dyDescent="0.25">
      <c r="A881" t="s">
        <v>4654</v>
      </c>
      <c r="B881" t="s">
        <v>6294</v>
      </c>
    </row>
    <row r="882" spans="1:2" x14ac:dyDescent="0.25">
      <c r="A882" t="s">
        <v>952</v>
      </c>
      <c r="B882" t="s">
        <v>5969</v>
      </c>
    </row>
    <row r="883" spans="1:2" x14ac:dyDescent="0.25">
      <c r="A883" t="s">
        <v>4683</v>
      </c>
      <c r="B883" t="s">
        <v>6399</v>
      </c>
    </row>
    <row r="884" spans="1:2" x14ac:dyDescent="0.25">
      <c r="A884" t="s">
        <v>3583</v>
      </c>
      <c r="B884" t="s">
        <v>5954</v>
      </c>
    </row>
    <row r="885" spans="1:2" x14ac:dyDescent="0.25">
      <c r="A885" t="s">
        <v>301</v>
      </c>
      <c r="B885" t="s">
        <v>6188</v>
      </c>
    </row>
    <row r="886" spans="1:2" x14ac:dyDescent="0.25">
      <c r="A886" t="s">
        <v>4806</v>
      </c>
      <c r="B886" t="s">
        <v>5933</v>
      </c>
    </row>
    <row r="887" spans="1:2" x14ac:dyDescent="0.25">
      <c r="A887" t="s">
        <v>5187</v>
      </c>
      <c r="B887" t="s">
        <v>5788</v>
      </c>
    </row>
    <row r="888" spans="1:2" x14ac:dyDescent="0.25">
      <c r="A888" t="s">
        <v>629</v>
      </c>
      <c r="B888" t="s">
        <v>5730</v>
      </c>
    </row>
    <row r="889" spans="1:2" x14ac:dyDescent="0.25">
      <c r="A889" t="s">
        <v>1132</v>
      </c>
      <c r="B889" t="s">
        <v>5787</v>
      </c>
    </row>
    <row r="890" spans="1:2" x14ac:dyDescent="0.25">
      <c r="A890" t="s">
        <v>2642</v>
      </c>
      <c r="B890" t="s">
        <v>5788</v>
      </c>
    </row>
    <row r="891" spans="1:2" x14ac:dyDescent="0.25">
      <c r="A891" t="s">
        <v>885</v>
      </c>
      <c r="B891" t="s">
        <v>5859</v>
      </c>
    </row>
    <row r="892" spans="1:2" x14ac:dyDescent="0.25">
      <c r="A892" t="s">
        <v>573</v>
      </c>
      <c r="B892" t="s">
        <v>5788</v>
      </c>
    </row>
    <row r="893" spans="1:2" x14ac:dyDescent="0.25">
      <c r="A893" t="s">
        <v>1009</v>
      </c>
      <c r="B893" t="s">
        <v>6354</v>
      </c>
    </row>
    <row r="894" spans="1:2" x14ac:dyDescent="0.25">
      <c r="A894" t="s">
        <v>836</v>
      </c>
      <c r="B894" t="s">
        <v>5787</v>
      </c>
    </row>
    <row r="895" spans="1:2" x14ac:dyDescent="0.25">
      <c r="A895" t="s">
        <v>1105</v>
      </c>
      <c r="B895" t="s">
        <v>5787</v>
      </c>
    </row>
    <row r="896" spans="1:2" x14ac:dyDescent="0.25">
      <c r="A896" t="s">
        <v>3982</v>
      </c>
      <c r="B896" t="s">
        <v>6035</v>
      </c>
    </row>
    <row r="897" spans="1:2" x14ac:dyDescent="0.25">
      <c r="A897" t="s">
        <v>4346</v>
      </c>
      <c r="B897" t="s">
        <v>5804</v>
      </c>
    </row>
    <row r="898" spans="1:2" x14ac:dyDescent="0.25">
      <c r="A898" t="s">
        <v>5364</v>
      </c>
      <c r="B898" t="s">
        <v>6041</v>
      </c>
    </row>
    <row r="899" spans="1:2" x14ac:dyDescent="0.25">
      <c r="A899" t="s">
        <v>5645</v>
      </c>
      <c r="B899" t="s">
        <v>5787</v>
      </c>
    </row>
    <row r="900" spans="1:2" x14ac:dyDescent="0.25">
      <c r="A900" t="s">
        <v>383</v>
      </c>
      <c r="B900" t="s">
        <v>6063</v>
      </c>
    </row>
    <row r="901" spans="1:2" x14ac:dyDescent="0.25">
      <c r="A901" t="s">
        <v>5283</v>
      </c>
      <c r="B901" t="s">
        <v>6172</v>
      </c>
    </row>
    <row r="902" spans="1:2" x14ac:dyDescent="0.25">
      <c r="A902" t="s">
        <v>7830</v>
      </c>
      <c r="B902" t="s">
        <v>5803</v>
      </c>
    </row>
    <row r="903" spans="1:2" x14ac:dyDescent="0.25">
      <c r="A903" t="s">
        <v>1838</v>
      </c>
      <c r="B903" t="s">
        <v>5796</v>
      </c>
    </row>
    <row r="904" spans="1:2" x14ac:dyDescent="0.25">
      <c r="A904" t="s">
        <v>5083</v>
      </c>
      <c r="B904" t="s">
        <v>5847</v>
      </c>
    </row>
    <row r="905" spans="1:2" x14ac:dyDescent="0.25">
      <c r="A905" t="s">
        <v>786</v>
      </c>
      <c r="B905" t="s">
        <v>5787</v>
      </c>
    </row>
    <row r="906" spans="1:2" x14ac:dyDescent="0.25">
      <c r="A906" t="s">
        <v>5748</v>
      </c>
      <c r="B906" t="s">
        <v>5747</v>
      </c>
    </row>
    <row r="907" spans="1:2" x14ac:dyDescent="0.25">
      <c r="A907" t="s">
        <v>1486</v>
      </c>
      <c r="B907" t="s">
        <v>5750</v>
      </c>
    </row>
    <row r="908" spans="1:2" x14ac:dyDescent="0.25">
      <c r="A908" t="s">
        <v>495</v>
      </c>
      <c r="B908" t="s">
        <v>5801</v>
      </c>
    </row>
    <row r="909" spans="1:2" x14ac:dyDescent="0.25">
      <c r="A909" t="s">
        <v>2084</v>
      </c>
      <c r="B909" t="s">
        <v>5787</v>
      </c>
    </row>
    <row r="910" spans="1:2" x14ac:dyDescent="0.25">
      <c r="A910" t="s">
        <v>1359</v>
      </c>
      <c r="B910" t="s">
        <v>5787</v>
      </c>
    </row>
    <row r="911" spans="1:2" x14ac:dyDescent="0.25">
      <c r="A911" t="s">
        <v>4531</v>
      </c>
      <c r="B911" t="s">
        <v>5839</v>
      </c>
    </row>
    <row r="912" spans="1:2" x14ac:dyDescent="0.25">
      <c r="A912" t="s">
        <v>4580</v>
      </c>
      <c r="B912" t="s">
        <v>6008</v>
      </c>
    </row>
    <row r="913" spans="1:2" x14ac:dyDescent="0.25">
      <c r="A913" t="s">
        <v>1803</v>
      </c>
      <c r="B913" t="s">
        <v>5787</v>
      </c>
    </row>
    <row r="914" spans="1:2" x14ac:dyDescent="0.25">
      <c r="A914" t="s">
        <v>1955</v>
      </c>
      <c r="B914" t="s">
        <v>5788</v>
      </c>
    </row>
    <row r="915" spans="1:2" x14ac:dyDescent="0.25">
      <c r="A915" t="s">
        <v>476</v>
      </c>
      <c r="B915" t="s">
        <v>5787</v>
      </c>
    </row>
    <row r="916" spans="1:2" x14ac:dyDescent="0.25">
      <c r="A916" t="s">
        <v>2124</v>
      </c>
      <c r="B916" t="s">
        <v>5704</v>
      </c>
    </row>
    <row r="917" spans="1:2" x14ac:dyDescent="0.25">
      <c r="A917" t="s">
        <v>1900</v>
      </c>
      <c r="B917" t="s">
        <v>5788</v>
      </c>
    </row>
    <row r="918" spans="1:2" x14ac:dyDescent="0.25">
      <c r="A918" t="s">
        <v>31755</v>
      </c>
      <c r="B918" t="s">
        <v>5787</v>
      </c>
    </row>
    <row r="919" spans="1:2" x14ac:dyDescent="0.25">
      <c r="A919" t="s">
        <v>1017</v>
      </c>
      <c r="B919" t="s">
        <v>5787</v>
      </c>
    </row>
    <row r="920" spans="1:2" x14ac:dyDescent="0.25">
      <c r="A920" t="s">
        <v>3120</v>
      </c>
      <c r="B920" t="s">
        <v>5713</v>
      </c>
    </row>
    <row r="921" spans="1:2" x14ac:dyDescent="0.25">
      <c r="A921" t="s">
        <v>912</v>
      </c>
      <c r="B921" t="s">
        <v>6053</v>
      </c>
    </row>
    <row r="922" spans="1:2" x14ac:dyDescent="0.25">
      <c r="A922" t="s">
        <v>4613</v>
      </c>
      <c r="B922" t="s">
        <v>6103</v>
      </c>
    </row>
    <row r="923" spans="1:2" x14ac:dyDescent="0.25">
      <c r="A923" t="s">
        <v>4002</v>
      </c>
      <c r="B923" t="s">
        <v>5750</v>
      </c>
    </row>
    <row r="924" spans="1:2" x14ac:dyDescent="0.25">
      <c r="A924" t="s">
        <v>3006</v>
      </c>
      <c r="B924" t="s">
        <v>5829</v>
      </c>
    </row>
    <row r="925" spans="1:2" x14ac:dyDescent="0.25">
      <c r="A925" t="s">
        <v>3054</v>
      </c>
      <c r="B925" t="s">
        <v>5790</v>
      </c>
    </row>
    <row r="926" spans="1:2" x14ac:dyDescent="0.25">
      <c r="A926" t="s">
        <v>3460</v>
      </c>
      <c r="B926" t="s">
        <v>5706</v>
      </c>
    </row>
    <row r="927" spans="1:2" x14ac:dyDescent="0.25">
      <c r="A927" t="s">
        <v>5613</v>
      </c>
      <c r="B927" t="s">
        <v>5982</v>
      </c>
    </row>
    <row r="928" spans="1:2" x14ac:dyDescent="0.25">
      <c r="A928" t="s">
        <v>576</v>
      </c>
      <c r="B928" t="s">
        <v>6186</v>
      </c>
    </row>
    <row r="929" spans="1:2" x14ac:dyDescent="0.25">
      <c r="A929" t="s">
        <v>7855</v>
      </c>
      <c r="B929" t="s">
        <v>5852</v>
      </c>
    </row>
    <row r="930" spans="1:2" x14ac:dyDescent="0.25">
      <c r="A930" t="s">
        <v>668</v>
      </c>
      <c r="B930" t="s">
        <v>5724</v>
      </c>
    </row>
    <row r="931" spans="1:2" x14ac:dyDescent="0.25">
      <c r="A931" t="s">
        <v>300</v>
      </c>
      <c r="B931">
        <v>0</v>
      </c>
    </row>
    <row r="932" spans="1:2" x14ac:dyDescent="0.25">
      <c r="A932" t="s">
        <v>3909</v>
      </c>
      <c r="B932" t="s">
        <v>5724</v>
      </c>
    </row>
    <row r="933" spans="1:2" x14ac:dyDescent="0.25">
      <c r="A933" t="s">
        <v>4117</v>
      </c>
      <c r="B933" t="s">
        <v>5721</v>
      </c>
    </row>
    <row r="934" spans="1:2" x14ac:dyDescent="0.25">
      <c r="A934" t="s">
        <v>613</v>
      </c>
      <c r="B934" t="s">
        <v>5856</v>
      </c>
    </row>
    <row r="935" spans="1:2" x14ac:dyDescent="0.25">
      <c r="A935" t="s">
        <v>1404</v>
      </c>
      <c r="B935" t="s">
        <v>5713</v>
      </c>
    </row>
    <row r="936" spans="1:2" x14ac:dyDescent="0.25">
      <c r="A936" t="s">
        <v>4841</v>
      </c>
      <c r="B936" t="s">
        <v>6144</v>
      </c>
    </row>
    <row r="937" spans="1:2" x14ac:dyDescent="0.25">
      <c r="A937" t="s">
        <v>971</v>
      </c>
      <c r="B937" t="s">
        <v>5896</v>
      </c>
    </row>
    <row r="938" spans="1:2" x14ac:dyDescent="0.25">
      <c r="A938" t="s">
        <v>1539</v>
      </c>
      <c r="B938" t="s">
        <v>5865</v>
      </c>
    </row>
    <row r="939" spans="1:2" x14ac:dyDescent="0.25">
      <c r="A939" t="s">
        <v>2793</v>
      </c>
      <c r="B939" t="s">
        <v>5881</v>
      </c>
    </row>
    <row r="940" spans="1:2" x14ac:dyDescent="0.25">
      <c r="A940" t="s">
        <v>5124</v>
      </c>
      <c r="B940" t="s">
        <v>5737</v>
      </c>
    </row>
    <row r="941" spans="1:2" x14ac:dyDescent="0.25">
      <c r="A941" t="s">
        <v>2605</v>
      </c>
      <c r="B941" t="s">
        <v>5862</v>
      </c>
    </row>
    <row r="942" spans="1:2" x14ac:dyDescent="0.25">
      <c r="A942" t="s">
        <v>2523</v>
      </c>
      <c r="B942" t="s">
        <v>6202</v>
      </c>
    </row>
    <row r="943" spans="1:2" x14ac:dyDescent="0.25">
      <c r="A943" t="s">
        <v>1019</v>
      </c>
      <c r="B943" t="s">
        <v>5789</v>
      </c>
    </row>
    <row r="944" spans="1:2" x14ac:dyDescent="0.25">
      <c r="A944" t="s">
        <v>2687</v>
      </c>
      <c r="B944" t="s">
        <v>5730</v>
      </c>
    </row>
    <row r="945" spans="1:2" x14ac:dyDescent="0.25">
      <c r="A945" t="s">
        <v>3231</v>
      </c>
      <c r="B945">
        <v>0</v>
      </c>
    </row>
    <row r="946" spans="1:2" x14ac:dyDescent="0.25">
      <c r="A946" t="s">
        <v>2786</v>
      </c>
      <c r="B946" t="s">
        <v>6548</v>
      </c>
    </row>
    <row r="947" spans="1:2" x14ac:dyDescent="0.25">
      <c r="A947" t="s">
        <v>4100</v>
      </c>
      <c r="B947" t="s">
        <v>6800</v>
      </c>
    </row>
    <row r="948" spans="1:2" x14ac:dyDescent="0.25">
      <c r="A948" t="s">
        <v>2167</v>
      </c>
      <c r="B948" t="s">
        <v>6071</v>
      </c>
    </row>
    <row r="949" spans="1:2" x14ac:dyDescent="0.25">
      <c r="A949" t="s">
        <v>19</v>
      </c>
      <c r="B949" t="s">
        <v>5978</v>
      </c>
    </row>
    <row r="950" spans="1:2" x14ac:dyDescent="0.25">
      <c r="A950" t="s">
        <v>101</v>
      </c>
      <c r="B950">
        <v>0</v>
      </c>
    </row>
    <row r="951" spans="1:2" x14ac:dyDescent="0.25">
      <c r="A951" t="s">
        <v>4910</v>
      </c>
      <c r="B951" t="s">
        <v>5787</v>
      </c>
    </row>
    <row r="952" spans="1:2" x14ac:dyDescent="0.25">
      <c r="A952" t="s">
        <v>7878</v>
      </c>
      <c r="B952" t="s">
        <v>5871</v>
      </c>
    </row>
    <row r="953" spans="1:2" x14ac:dyDescent="0.25">
      <c r="A953" t="s">
        <v>5019</v>
      </c>
      <c r="B953" t="s">
        <v>6030</v>
      </c>
    </row>
    <row r="954" spans="1:2" x14ac:dyDescent="0.25">
      <c r="A954" t="s">
        <v>382</v>
      </c>
      <c r="B954" t="s">
        <v>5955</v>
      </c>
    </row>
    <row r="955" spans="1:2" x14ac:dyDescent="0.25">
      <c r="A955" t="s">
        <v>3625</v>
      </c>
      <c r="B955" t="s">
        <v>5785</v>
      </c>
    </row>
    <row r="956" spans="1:2" x14ac:dyDescent="0.25">
      <c r="A956" t="s">
        <v>2217</v>
      </c>
      <c r="B956" t="s">
        <v>5789</v>
      </c>
    </row>
    <row r="957" spans="1:2" x14ac:dyDescent="0.25">
      <c r="A957" t="s">
        <v>4390</v>
      </c>
      <c r="B957" t="s">
        <v>5808</v>
      </c>
    </row>
    <row r="958" spans="1:2" x14ac:dyDescent="0.25">
      <c r="A958" t="s">
        <v>2263</v>
      </c>
      <c r="B958" t="s">
        <v>5938</v>
      </c>
    </row>
    <row r="959" spans="1:2" x14ac:dyDescent="0.25">
      <c r="A959" t="s">
        <v>5131</v>
      </c>
      <c r="B959" t="s">
        <v>5847</v>
      </c>
    </row>
    <row r="960" spans="1:2" x14ac:dyDescent="0.25">
      <c r="A960" t="s">
        <v>1413</v>
      </c>
      <c r="B960" t="s">
        <v>6702</v>
      </c>
    </row>
    <row r="961" spans="1:2" x14ac:dyDescent="0.25">
      <c r="A961" t="s">
        <v>33</v>
      </c>
      <c r="B961" t="s">
        <v>6404</v>
      </c>
    </row>
    <row r="962" spans="1:2" x14ac:dyDescent="0.25">
      <c r="A962" t="s">
        <v>3897</v>
      </c>
      <c r="B962" t="s">
        <v>5788</v>
      </c>
    </row>
    <row r="963" spans="1:2" x14ac:dyDescent="0.25">
      <c r="A963" t="s">
        <v>3855</v>
      </c>
      <c r="B963" t="s">
        <v>5788</v>
      </c>
    </row>
    <row r="964" spans="1:2" x14ac:dyDescent="0.25">
      <c r="A964" t="s">
        <v>1869</v>
      </c>
      <c r="B964" t="s">
        <v>5789</v>
      </c>
    </row>
    <row r="965" spans="1:2" x14ac:dyDescent="0.25">
      <c r="A965" t="s">
        <v>5679</v>
      </c>
      <c r="B965" t="s">
        <v>5711</v>
      </c>
    </row>
    <row r="966" spans="1:2" x14ac:dyDescent="0.25">
      <c r="A966" t="s">
        <v>882</v>
      </c>
      <c r="B966" t="s">
        <v>6530</v>
      </c>
    </row>
    <row r="967" spans="1:2" x14ac:dyDescent="0.25">
      <c r="A967" t="s">
        <v>5133</v>
      </c>
      <c r="B967" t="s">
        <v>6149</v>
      </c>
    </row>
    <row r="968" spans="1:2" x14ac:dyDescent="0.25">
      <c r="A968" t="s">
        <v>1978</v>
      </c>
      <c r="B968" t="s">
        <v>6268</v>
      </c>
    </row>
    <row r="969" spans="1:2" x14ac:dyDescent="0.25">
      <c r="A969" t="s">
        <v>1920</v>
      </c>
      <c r="B969" t="s">
        <v>5721</v>
      </c>
    </row>
    <row r="970" spans="1:2" x14ac:dyDescent="0.25">
      <c r="A970" t="s">
        <v>1482</v>
      </c>
      <c r="B970" t="s">
        <v>5905</v>
      </c>
    </row>
    <row r="971" spans="1:2" x14ac:dyDescent="0.25">
      <c r="A971" t="s">
        <v>3876</v>
      </c>
      <c r="B971" t="s">
        <v>5971</v>
      </c>
    </row>
    <row r="972" spans="1:2" x14ac:dyDescent="0.25">
      <c r="A972" t="s">
        <v>1334</v>
      </c>
      <c r="B972" t="s">
        <v>5787</v>
      </c>
    </row>
    <row r="973" spans="1:2" x14ac:dyDescent="0.25">
      <c r="A973" t="s">
        <v>4703</v>
      </c>
      <c r="B973" t="s">
        <v>5879</v>
      </c>
    </row>
    <row r="974" spans="1:2" x14ac:dyDescent="0.25">
      <c r="A974" t="s">
        <v>5108</v>
      </c>
      <c r="B974" t="s">
        <v>5747</v>
      </c>
    </row>
    <row r="975" spans="1:2" x14ac:dyDescent="0.25">
      <c r="A975" t="s">
        <v>2444</v>
      </c>
      <c r="B975" t="s">
        <v>5787</v>
      </c>
    </row>
    <row r="976" spans="1:2" x14ac:dyDescent="0.25">
      <c r="A976" t="s">
        <v>3767</v>
      </c>
      <c r="B976" t="s">
        <v>5787</v>
      </c>
    </row>
    <row r="977" spans="1:2" x14ac:dyDescent="0.25">
      <c r="A977" t="s">
        <v>1910</v>
      </c>
      <c r="B977" t="s">
        <v>5787</v>
      </c>
    </row>
    <row r="978" spans="1:2" x14ac:dyDescent="0.25">
      <c r="A978" t="s">
        <v>1724</v>
      </c>
      <c r="B978" t="s">
        <v>5787</v>
      </c>
    </row>
    <row r="979" spans="1:2" x14ac:dyDescent="0.25">
      <c r="A979" t="s">
        <v>1360</v>
      </c>
      <c r="B979" t="s">
        <v>5787</v>
      </c>
    </row>
    <row r="980" spans="1:2" x14ac:dyDescent="0.25">
      <c r="A980" t="s">
        <v>1859</v>
      </c>
      <c r="B980" t="s">
        <v>5787</v>
      </c>
    </row>
    <row r="981" spans="1:2" x14ac:dyDescent="0.25">
      <c r="A981" t="s">
        <v>5632</v>
      </c>
      <c r="B981" t="s">
        <v>5840</v>
      </c>
    </row>
    <row r="982" spans="1:2" x14ac:dyDescent="0.25">
      <c r="A982" t="s">
        <v>2823</v>
      </c>
      <c r="B982" t="s">
        <v>5787</v>
      </c>
    </row>
    <row r="983" spans="1:2" x14ac:dyDescent="0.25">
      <c r="A983" t="s">
        <v>946</v>
      </c>
      <c r="B983" t="s">
        <v>5787</v>
      </c>
    </row>
    <row r="984" spans="1:2" x14ac:dyDescent="0.25">
      <c r="A984" t="s">
        <v>478</v>
      </c>
      <c r="B984" t="s">
        <v>5787</v>
      </c>
    </row>
    <row r="985" spans="1:2" x14ac:dyDescent="0.25">
      <c r="A985" t="s">
        <v>3131</v>
      </c>
      <c r="B985" t="s">
        <v>5845</v>
      </c>
    </row>
    <row r="986" spans="1:2" x14ac:dyDescent="0.25">
      <c r="A986" t="s">
        <v>1377</v>
      </c>
      <c r="B986" t="s">
        <v>5842</v>
      </c>
    </row>
    <row r="987" spans="1:2" x14ac:dyDescent="0.25">
      <c r="A987" t="s">
        <v>490</v>
      </c>
      <c r="B987" t="s">
        <v>5787</v>
      </c>
    </row>
    <row r="988" spans="1:2" x14ac:dyDescent="0.25">
      <c r="A988" t="s">
        <v>3554</v>
      </c>
      <c r="B988">
        <v>0</v>
      </c>
    </row>
    <row r="989" spans="1:2" x14ac:dyDescent="0.25">
      <c r="A989" t="s">
        <v>4901</v>
      </c>
      <c r="B989" t="s">
        <v>6079</v>
      </c>
    </row>
    <row r="990" spans="1:2" x14ac:dyDescent="0.25">
      <c r="A990" t="s">
        <v>2913</v>
      </c>
      <c r="B990" t="s">
        <v>5768</v>
      </c>
    </row>
    <row r="991" spans="1:2" x14ac:dyDescent="0.25">
      <c r="A991" t="s">
        <v>623</v>
      </c>
      <c r="B991" t="s">
        <v>6650</v>
      </c>
    </row>
    <row r="992" spans="1:2" x14ac:dyDescent="0.25">
      <c r="A992" t="s">
        <v>2466</v>
      </c>
      <c r="B992" t="s">
        <v>5900</v>
      </c>
    </row>
    <row r="993" spans="1:2" x14ac:dyDescent="0.25">
      <c r="A993" t="s">
        <v>5559</v>
      </c>
      <c r="B993" t="s">
        <v>5907</v>
      </c>
    </row>
    <row r="994" spans="1:2" x14ac:dyDescent="0.25">
      <c r="A994" t="s">
        <v>2882</v>
      </c>
      <c r="B994" t="s">
        <v>6174</v>
      </c>
    </row>
    <row r="995" spans="1:2" x14ac:dyDescent="0.25">
      <c r="A995" t="s">
        <v>2777</v>
      </c>
      <c r="B995" t="s">
        <v>5922</v>
      </c>
    </row>
    <row r="996" spans="1:2" x14ac:dyDescent="0.25">
      <c r="A996" t="s">
        <v>187</v>
      </c>
      <c r="B996" t="s">
        <v>6151</v>
      </c>
    </row>
    <row r="997" spans="1:2" x14ac:dyDescent="0.25">
      <c r="A997" t="s">
        <v>2328</v>
      </c>
      <c r="B997" t="s">
        <v>5787</v>
      </c>
    </row>
    <row r="998" spans="1:2" x14ac:dyDescent="0.25">
      <c r="A998" t="s">
        <v>3703</v>
      </c>
      <c r="B998" t="s">
        <v>5792</v>
      </c>
    </row>
    <row r="999" spans="1:2" x14ac:dyDescent="0.25">
      <c r="A999" t="s">
        <v>259</v>
      </c>
      <c r="B999" t="s">
        <v>5874</v>
      </c>
    </row>
    <row r="1000" spans="1:2" x14ac:dyDescent="0.25">
      <c r="A1000" t="s">
        <v>31753</v>
      </c>
      <c r="B1000" t="s">
        <v>5787</v>
      </c>
    </row>
    <row r="1001" spans="1:2" x14ac:dyDescent="0.25">
      <c r="A1001" t="s">
        <v>435</v>
      </c>
      <c r="B1001" t="s">
        <v>5804</v>
      </c>
    </row>
    <row r="1002" spans="1:2" x14ac:dyDescent="0.25">
      <c r="A1002" t="s">
        <v>3258</v>
      </c>
      <c r="B1002" t="s">
        <v>5859</v>
      </c>
    </row>
    <row r="1003" spans="1:2" x14ac:dyDescent="0.25">
      <c r="A1003" t="s">
        <v>894</v>
      </c>
      <c r="B1003" t="s">
        <v>5787</v>
      </c>
    </row>
    <row r="1004" spans="1:2" x14ac:dyDescent="0.25">
      <c r="A1004" t="s">
        <v>3494</v>
      </c>
      <c r="B1004" t="s">
        <v>5787</v>
      </c>
    </row>
    <row r="1005" spans="1:2" x14ac:dyDescent="0.25">
      <c r="A1005" t="s">
        <v>4549</v>
      </c>
      <c r="B1005" t="s">
        <v>5759</v>
      </c>
    </row>
    <row r="1006" spans="1:2" x14ac:dyDescent="0.25">
      <c r="A1006" t="s">
        <v>148</v>
      </c>
      <c r="B1006" t="s">
        <v>5804</v>
      </c>
    </row>
    <row r="1007" spans="1:2" x14ac:dyDescent="0.25">
      <c r="A1007" t="s">
        <v>270</v>
      </c>
      <c r="B1007" t="s">
        <v>5713</v>
      </c>
    </row>
    <row r="1008" spans="1:2" x14ac:dyDescent="0.25">
      <c r="A1008" t="s">
        <v>7935</v>
      </c>
      <c r="B1008" t="s">
        <v>6757</v>
      </c>
    </row>
    <row r="1009" spans="1:2" x14ac:dyDescent="0.25">
      <c r="A1009" t="s">
        <v>4322</v>
      </c>
      <c r="B1009" t="s">
        <v>6086</v>
      </c>
    </row>
    <row r="1010" spans="1:2" x14ac:dyDescent="0.25">
      <c r="A1010" t="s">
        <v>550</v>
      </c>
      <c r="B1010" t="s">
        <v>5850</v>
      </c>
    </row>
    <row r="1011" spans="1:2" x14ac:dyDescent="0.25">
      <c r="A1011" t="s">
        <v>1293</v>
      </c>
      <c r="B1011" t="s">
        <v>5789</v>
      </c>
    </row>
    <row r="1012" spans="1:2" x14ac:dyDescent="0.25">
      <c r="A1012" t="s">
        <v>2736</v>
      </c>
      <c r="B1012" t="s">
        <v>5840</v>
      </c>
    </row>
    <row r="1013" spans="1:2" x14ac:dyDescent="0.25">
      <c r="A1013" t="s">
        <v>757</v>
      </c>
      <c r="B1013" t="s">
        <v>5787</v>
      </c>
    </row>
    <row r="1014" spans="1:2" x14ac:dyDescent="0.25">
      <c r="A1014" t="s">
        <v>3008</v>
      </c>
      <c r="B1014" t="s">
        <v>5870</v>
      </c>
    </row>
    <row r="1015" spans="1:2" x14ac:dyDescent="0.25">
      <c r="A1015" t="s">
        <v>956</v>
      </c>
      <c r="B1015" t="s">
        <v>6013</v>
      </c>
    </row>
    <row r="1016" spans="1:2" x14ac:dyDescent="0.25">
      <c r="A1016" t="s">
        <v>695</v>
      </c>
      <c r="B1016" t="s">
        <v>5774</v>
      </c>
    </row>
    <row r="1017" spans="1:2" x14ac:dyDescent="0.25">
      <c r="A1017" t="s">
        <v>2053</v>
      </c>
      <c r="B1017" t="s">
        <v>6211</v>
      </c>
    </row>
    <row r="1018" spans="1:2" x14ac:dyDescent="0.25">
      <c r="A1018" t="s">
        <v>2087</v>
      </c>
      <c r="B1018" t="s">
        <v>5809</v>
      </c>
    </row>
    <row r="1019" spans="1:2" x14ac:dyDescent="0.25">
      <c r="A1019" t="s">
        <v>253</v>
      </c>
      <c r="B1019" t="s">
        <v>5787</v>
      </c>
    </row>
    <row r="1020" spans="1:2" x14ac:dyDescent="0.25">
      <c r="A1020" t="s">
        <v>2426</v>
      </c>
      <c r="B1020" t="s">
        <v>5770</v>
      </c>
    </row>
    <row r="1021" spans="1:2" x14ac:dyDescent="0.25">
      <c r="A1021" t="s">
        <v>3754</v>
      </c>
      <c r="B1021">
        <v>0</v>
      </c>
    </row>
    <row r="1022" spans="1:2" x14ac:dyDescent="0.25">
      <c r="A1022" t="s">
        <v>3411</v>
      </c>
      <c r="B1022" t="s">
        <v>5941</v>
      </c>
    </row>
    <row r="1023" spans="1:2" x14ac:dyDescent="0.25">
      <c r="A1023" t="s">
        <v>1953</v>
      </c>
      <c r="B1023" t="s">
        <v>6781</v>
      </c>
    </row>
    <row r="1024" spans="1:2" x14ac:dyDescent="0.25">
      <c r="A1024" t="s">
        <v>851</v>
      </c>
      <c r="B1024" t="s">
        <v>5916</v>
      </c>
    </row>
    <row r="1025" spans="1:2" x14ac:dyDescent="0.25">
      <c r="A1025" t="s">
        <v>1136</v>
      </c>
      <c r="B1025" t="s">
        <v>5744</v>
      </c>
    </row>
    <row r="1026" spans="1:2" x14ac:dyDescent="0.25">
      <c r="A1026" t="s">
        <v>324</v>
      </c>
      <c r="B1026" t="s">
        <v>5837</v>
      </c>
    </row>
    <row r="1027" spans="1:2" x14ac:dyDescent="0.25">
      <c r="A1027" t="s">
        <v>4306</v>
      </c>
      <c r="B1027" t="s">
        <v>6166</v>
      </c>
    </row>
    <row r="1028" spans="1:2" x14ac:dyDescent="0.25">
      <c r="A1028" t="s">
        <v>1642</v>
      </c>
      <c r="B1028" t="s">
        <v>5799</v>
      </c>
    </row>
    <row r="1029" spans="1:2" x14ac:dyDescent="0.25">
      <c r="A1029" t="s">
        <v>5502</v>
      </c>
      <c r="B1029" t="s">
        <v>6384</v>
      </c>
    </row>
    <row r="1030" spans="1:2" x14ac:dyDescent="0.25">
      <c r="A1030" t="s">
        <v>296</v>
      </c>
      <c r="B1030" t="s">
        <v>5711</v>
      </c>
    </row>
    <row r="1031" spans="1:2" x14ac:dyDescent="0.25">
      <c r="A1031" t="s">
        <v>2831</v>
      </c>
      <c r="B1031" t="s">
        <v>5821</v>
      </c>
    </row>
    <row r="1032" spans="1:2" x14ac:dyDescent="0.25">
      <c r="A1032" t="s">
        <v>636</v>
      </c>
      <c r="B1032" t="s">
        <v>6054</v>
      </c>
    </row>
    <row r="1033" spans="1:2" x14ac:dyDescent="0.25">
      <c r="A1033" t="s">
        <v>4781</v>
      </c>
      <c r="B1033" t="s">
        <v>5931</v>
      </c>
    </row>
    <row r="1034" spans="1:2" x14ac:dyDescent="0.25">
      <c r="A1034" t="s">
        <v>737</v>
      </c>
      <c r="B1034" t="s">
        <v>5923</v>
      </c>
    </row>
    <row r="1035" spans="1:2" x14ac:dyDescent="0.25">
      <c r="A1035" t="s">
        <v>27</v>
      </c>
      <c r="B1035" t="s">
        <v>5787</v>
      </c>
    </row>
    <row r="1036" spans="1:2" x14ac:dyDescent="0.25">
      <c r="A1036" t="s">
        <v>1941</v>
      </c>
      <c r="B1036" t="s">
        <v>5734</v>
      </c>
    </row>
    <row r="1037" spans="1:2" x14ac:dyDescent="0.25">
      <c r="A1037" t="s">
        <v>5714</v>
      </c>
      <c r="B1037" t="s">
        <v>5713</v>
      </c>
    </row>
    <row r="1038" spans="1:2" x14ac:dyDescent="0.25">
      <c r="A1038" t="s">
        <v>1623</v>
      </c>
      <c r="B1038" t="s">
        <v>5887</v>
      </c>
    </row>
    <row r="1039" spans="1:2" x14ac:dyDescent="0.25">
      <c r="A1039" t="s">
        <v>4644</v>
      </c>
      <c r="B1039" t="s">
        <v>5790</v>
      </c>
    </row>
    <row r="1040" spans="1:2" x14ac:dyDescent="0.25">
      <c r="A1040" t="s">
        <v>5664</v>
      </c>
      <c r="B1040" t="s">
        <v>5985</v>
      </c>
    </row>
    <row r="1041" spans="1:2" x14ac:dyDescent="0.25">
      <c r="A1041" t="s">
        <v>1387</v>
      </c>
      <c r="B1041" t="s">
        <v>5810</v>
      </c>
    </row>
    <row r="1042" spans="1:2" x14ac:dyDescent="0.25">
      <c r="A1042" t="s">
        <v>729</v>
      </c>
      <c r="B1042" t="s">
        <v>5766</v>
      </c>
    </row>
    <row r="1043" spans="1:2" x14ac:dyDescent="0.25">
      <c r="A1043" t="s">
        <v>3275</v>
      </c>
      <c r="B1043" t="s">
        <v>5950</v>
      </c>
    </row>
    <row r="1044" spans="1:2" x14ac:dyDescent="0.25">
      <c r="A1044" t="s">
        <v>1733</v>
      </c>
      <c r="B1044" t="s">
        <v>6208</v>
      </c>
    </row>
    <row r="1045" spans="1:2" x14ac:dyDescent="0.25">
      <c r="A1045" t="s">
        <v>5370</v>
      </c>
      <c r="B1045" t="s">
        <v>6370</v>
      </c>
    </row>
    <row r="1046" spans="1:2" x14ac:dyDescent="0.25">
      <c r="A1046" t="s">
        <v>4421</v>
      </c>
      <c r="B1046" t="s">
        <v>5789</v>
      </c>
    </row>
    <row r="1047" spans="1:2" x14ac:dyDescent="0.25">
      <c r="A1047" t="s">
        <v>1854</v>
      </c>
      <c r="B1047" t="s">
        <v>6312</v>
      </c>
    </row>
    <row r="1048" spans="1:2" x14ac:dyDescent="0.25">
      <c r="A1048" t="s">
        <v>2285</v>
      </c>
      <c r="B1048" t="s">
        <v>5721</v>
      </c>
    </row>
    <row r="1049" spans="1:2" x14ac:dyDescent="0.25">
      <c r="A1049" t="s">
        <v>5373</v>
      </c>
      <c r="B1049" t="s">
        <v>6060</v>
      </c>
    </row>
    <row r="1050" spans="1:2" x14ac:dyDescent="0.25">
      <c r="A1050" t="s">
        <v>2060</v>
      </c>
      <c r="B1050" t="s">
        <v>5846</v>
      </c>
    </row>
    <row r="1051" spans="1:2" x14ac:dyDescent="0.25">
      <c r="A1051" t="s">
        <v>2114</v>
      </c>
      <c r="B1051" t="s">
        <v>5787</v>
      </c>
    </row>
    <row r="1052" spans="1:2" x14ac:dyDescent="0.25">
      <c r="A1052" t="s">
        <v>1496</v>
      </c>
      <c r="B1052" t="s">
        <v>6303</v>
      </c>
    </row>
    <row r="1053" spans="1:2" x14ac:dyDescent="0.25">
      <c r="A1053" t="s">
        <v>430</v>
      </c>
      <c r="B1053" t="s">
        <v>5812</v>
      </c>
    </row>
    <row r="1054" spans="1:2" x14ac:dyDescent="0.25">
      <c r="A1054" t="s">
        <v>1018</v>
      </c>
      <c r="B1054" t="s">
        <v>5816</v>
      </c>
    </row>
    <row r="1055" spans="1:2" x14ac:dyDescent="0.25">
      <c r="A1055" t="s">
        <v>2890</v>
      </c>
      <c r="B1055" t="s">
        <v>5802</v>
      </c>
    </row>
    <row r="1056" spans="1:2" x14ac:dyDescent="0.25">
      <c r="A1056" t="s">
        <v>1111</v>
      </c>
      <c r="B1056" t="s">
        <v>5841</v>
      </c>
    </row>
    <row r="1057" spans="1:2" x14ac:dyDescent="0.25">
      <c r="A1057" t="s">
        <v>52</v>
      </c>
      <c r="B1057" t="s">
        <v>5787</v>
      </c>
    </row>
    <row r="1058" spans="1:2" x14ac:dyDescent="0.25">
      <c r="A1058" t="s">
        <v>5583</v>
      </c>
      <c r="B1058" t="s">
        <v>5829</v>
      </c>
    </row>
    <row r="1059" spans="1:2" x14ac:dyDescent="0.25">
      <c r="A1059" t="s">
        <v>2024</v>
      </c>
      <c r="B1059" t="s">
        <v>5708</v>
      </c>
    </row>
    <row r="1060" spans="1:2" x14ac:dyDescent="0.25">
      <c r="A1060" t="s">
        <v>2200</v>
      </c>
      <c r="B1060" t="s">
        <v>6318</v>
      </c>
    </row>
    <row r="1061" spans="1:2" x14ac:dyDescent="0.25">
      <c r="A1061" t="s">
        <v>2875</v>
      </c>
      <c r="B1061" t="s">
        <v>5716</v>
      </c>
    </row>
    <row r="1062" spans="1:2" x14ac:dyDescent="0.25">
      <c r="A1062" t="s">
        <v>1409</v>
      </c>
      <c r="B1062" t="s">
        <v>5909</v>
      </c>
    </row>
    <row r="1063" spans="1:2" x14ac:dyDescent="0.25">
      <c r="A1063" t="s">
        <v>4608</v>
      </c>
      <c r="B1063" t="s">
        <v>6017</v>
      </c>
    </row>
    <row r="1064" spans="1:2" x14ac:dyDescent="0.25">
      <c r="A1064" t="s">
        <v>4993</v>
      </c>
      <c r="B1064" t="s">
        <v>5908</v>
      </c>
    </row>
    <row r="1065" spans="1:2" x14ac:dyDescent="0.25">
      <c r="A1065" t="s">
        <v>2616</v>
      </c>
      <c r="B1065" t="s">
        <v>6115</v>
      </c>
    </row>
    <row r="1066" spans="1:2" x14ac:dyDescent="0.25">
      <c r="A1066" t="s">
        <v>202</v>
      </c>
      <c r="B1066" t="s">
        <v>5886</v>
      </c>
    </row>
    <row r="1067" spans="1:2" x14ac:dyDescent="0.25">
      <c r="A1067" t="s">
        <v>1119</v>
      </c>
      <c r="B1067" t="s">
        <v>5787</v>
      </c>
    </row>
    <row r="1068" spans="1:2" x14ac:dyDescent="0.25">
      <c r="A1068" t="s">
        <v>3590</v>
      </c>
      <c r="B1068" t="s">
        <v>5766</v>
      </c>
    </row>
    <row r="1069" spans="1:2" x14ac:dyDescent="0.25">
      <c r="A1069" t="s">
        <v>1121</v>
      </c>
      <c r="B1069" t="s">
        <v>5766</v>
      </c>
    </row>
    <row r="1070" spans="1:2" x14ac:dyDescent="0.25">
      <c r="A1070" t="s">
        <v>1829</v>
      </c>
      <c r="B1070" t="s">
        <v>6051</v>
      </c>
    </row>
    <row r="1071" spans="1:2" x14ac:dyDescent="0.25">
      <c r="A1071" t="s">
        <v>3860</v>
      </c>
      <c r="B1071" t="s">
        <v>5969</v>
      </c>
    </row>
    <row r="1072" spans="1:2" x14ac:dyDescent="0.25">
      <c r="A1072" t="s">
        <v>1668</v>
      </c>
      <c r="B1072" t="s">
        <v>6511</v>
      </c>
    </row>
    <row r="1073" spans="1:2" x14ac:dyDescent="0.25">
      <c r="A1073" t="s">
        <v>2445</v>
      </c>
      <c r="B1073" t="s">
        <v>5785</v>
      </c>
    </row>
    <row r="1074" spans="1:2" x14ac:dyDescent="0.25">
      <c r="A1074" t="s">
        <v>4387</v>
      </c>
      <c r="B1074" t="s">
        <v>5852</v>
      </c>
    </row>
    <row r="1075" spans="1:2" x14ac:dyDescent="0.25">
      <c r="A1075" t="s">
        <v>587</v>
      </c>
      <c r="B1075" t="s">
        <v>5887</v>
      </c>
    </row>
    <row r="1076" spans="1:2" x14ac:dyDescent="0.25">
      <c r="A1076" t="s">
        <v>1107</v>
      </c>
      <c r="B1076" t="s">
        <v>6058</v>
      </c>
    </row>
    <row r="1077" spans="1:2" x14ac:dyDescent="0.25">
      <c r="A1077" t="s">
        <v>2487</v>
      </c>
      <c r="B1077" t="s">
        <v>5866</v>
      </c>
    </row>
    <row r="1078" spans="1:2" x14ac:dyDescent="0.25">
      <c r="A1078" t="s">
        <v>3799</v>
      </c>
      <c r="B1078" t="s">
        <v>6311</v>
      </c>
    </row>
    <row r="1079" spans="1:2" x14ac:dyDescent="0.25">
      <c r="A1079" t="s">
        <v>2822</v>
      </c>
      <c r="B1079" t="s">
        <v>5921</v>
      </c>
    </row>
    <row r="1080" spans="1:2" x14ac:dyDescent="0.25">
      <c r="A1080" t="s">
        <v>3629</v>
      </c>
      <c r="B1080" t="s">
        <v>6013</v>
      </c>
    </row>
    <row r="1081" spans="1:2" x14ac:dyDescent="0.25">
      <c r="A1081" t="s">
        <v>2163</v>
      </c>
      <c r="B1081" t="s">
        <v>5840</v>
      </c>
    </row>
    <row r="1082" spans="1:2" x14ac:dyDescent="0.25">
      <c r="A1082" t="s">
        <v>2794</v>
      </c>
      <c r="B1082" t="s">
        <v>5839</v>
      </c>
    </row>
    <row r="1083" spans="1:2" x14ac:dyDescent="0.25">
      <c r="A1083" t="s">
        <v>4129</v>
      </c>
      <c r="B1083" t="s">
        <v>5734</v>
      </c>
    </row>
    <row r="1084" spans="1:2" x14ac:dyDescent="0.25">
      <c r="A1084" t="s">
        <v>3557</v>
      </c>
      <c r="B1084" t="s">
        <v>5737</v>
      </c>
    </row>
    <row r="1085" spans="1:2" x14ac:dyDescent="0.25">
      <c r="A1085" t="s">
        <v>3206</v>
      </c>
      <c r="B1085" t="s">
        <v>5721</v>
      </c>
    </row>
    <row r="1086" spans="1:2" x14ac:dyDescent="0.25">
      <c r="A1086" t="s">
        <v>3974</v>
      </c>
      <c r="B1086" t="s">
        <v>5730</v>
      </c>
    </row>
    <row r="1087" spans="1:2" x14ac:dyDescent="0.25">
      <c r="A1087" t="s">
        <v>827</v>
      </c>
      <c r="B1087" t="s">
        <v>5787</v>
      </c>
    </row>
    <row r="1088" spans="1:2" x14ac:dyDescent="0.25">
      <c r="A1088" t="s">
        <v>4828</v>
      </c>
      <c r="B1088" t="s">
        <v>5837</v>
      </c>
    </row>
    <row r="1089" spans="1:2" x14ac:dyDescent="0.25">
      <c r="A1089" t="s">
        <v>2335</v>
      </c>
      <c r="B1089" t="s">
        <v>5789</v>
      </c>
    </row>
    <row r="1090" spans="1:2" x14ac:dyDescent="0.25">
      <c r="A1090" t="s">
        <v>3180</v>
      </c>
      <c r="B1090" t="s">
        <v>5754</v>
      </c>
    </row>
    <row r="1091" spans="1:2" x14ac:dyDescent="0.25">
      <c r="A1091" t="s">
        <v>1069</v>
      </c>
      <c r="B1091" t="s">
        <v>5788</v>
      </c>
    </row>
    <row r="1092" spans="1:2" x14ac:dyDescent="0.25">
      <c r="A1092" t="s">
        <v>4433</v>
      </c>
      <c r="B1092" t="s">
        <v>6562</v>
      </c>
    </row>
    <row r="1093" spans="1:2" x14ac:dyDescent="0.25">
      <c r="A1093" t="s">
        <v>2112</v>
      </c>
      <c r="B1093" t="s">
        <v>6033</v>
      </c>
    </row>
    <row r="1094" spans="1:2" x14ac:dyDescent="0.25">
      <c r="A1094" t="s">
        <v>1735</v>
      </c>
      <c r="B1094" t="s">
        <v>6287</v>
      </c>
    </row>
    <row r="1095" spans="1:2" x14ac:dyDescent="0.25">
      <c r="A1095" t="s">
        <v>2995</v>
      </c>
      <c r="B1095" t="s">
        <v>5762</v>
      </c>
    </row>
    <row r="1096" spans="1:2" x14ac:dyDescent="0.25">
      <c r="A1096" t="s">
        <v>5126</v>
      </c>
      <c r="B1096" t="s">
        <v>6306</v>
      </c>
    </row>
    <row r="1097" spans="1:2" x14ac:dyDescent="0.25">
      <c r="A1097" t="s">
        <v>5226</v>
      </c>
      <c r="B1097" t="s">
        <v>5888</v>
      </c>
    </row>
    <row r="1098" spans="1:2" x14ac:dyDescent="0.25">
      <c r="A1098" t="s">
        <v>641</v>
      </c>
      <c r="B1098" t="s">
        <v>6036</v>
      </c>
    </row>
    <row r="1099" spans="1:2" x14ac:dyDescent="0.25">
      <c r="A1099" t="s">
        <v>2988</v>
      </c>
      <c r="B1099" t="s">
        <v>5842</v>
      </c>
    </row>
    <row r="1100" spans="1:2" x14ac:dyDescent="0.25">
      <c r="A1100" t="s">
        <v>1612</v>
      </c>
      <c r="B1100" t="s">
        <v>5815</v>
      </c>
    </row>
    <row r="1101" spans="1:2" x14ac:dyDescent="0.25">
      <c r="A1101" t="s">
        <v>1514</v>
      </c>
      <c r="B1101" t="s">
        <v>5909</v>
      </c>
    </row>
    <row r="1102" spans="1:2" x14ac:dyDescent="0.25">
      <c r="A1102" t="s">
        <v>3458</v>
      </c>
      <c r="B1102" t="s">
        <v>5966</v>
      </c>
    </row>
    <row r="1103" spans="1:2" x14ac:dyDescent="0.25">
      <c r="A1103" t="s">
        <v>2826</v>
      </c>
      <c r="B1103" t="s">
        <v>5787</v>
      </c>
    </row>
    <row r="1104" spans="1:2" x14ac:dyDescent="0.25">
      <c r="A1104" t="s">
        <v>3270</v>
      </c>
      <c r="B1104" t="s">
        <v>6143</v>
      </c>
    </row>
    <row r="1105" spans="1:2" x14ac:dyDescent="0.25">
      <c r="A1105" t="s">
        <v>1038</v>
      </c>
      <c r="B1105" t="s">
        <v>6115</v>
      </c>
    </row>
    <row r="1106" spans="1:2" x14ac:dyDescent="0.25">
      <c r="A1106" t="s">
        <v>3053</v>
      </c>
      <c r="B1106" t="s">
        <v>6274</v>
      </c>
    </row>
    <row r="1107" spans="1:2" x14ac:dyDescent="0.25">
      <c r="A1107" t="s">
        <v>947</v>
      </c>
      <c r="B1107" t="s">
        <v>6771</v>
      </c>
    </row>
    <row r="1108" spans="1:2" x14ac:dyDescent="0.25">
      <c r="A1108" t="s">
        <v>4086</v>
      </c>
      <c r="B1108" t="s">
        <v>5706</v>
      </c>
    </row>
    <row r="1109" spans="1:2" x14ac:dyDescent="0.25">
      <c r="A1109" t="s">
        <v>855</v>
      </c>
      <c r="B1109" t="s">
        <v>6148</v>
      </c>
    </row>
    <row r="1110" spans="1:2" x14ac:dyDescent="0.25">
      <c r="A1110" t="s">
        <v>3402</v>
      </c>
      <c r="B1110" t="s">
        <v>5788</v>
      </c>
    </row>
    <row r="1111" spans="1:2" x14ac:dyDescent="0.25">
      <c r="A1111" t="s">
        <v>2431</v>
      </c>
      <c r="B1111" t="s">
        <v>5754</v>
      </c>
    </row>
    <row r="1112" spans="1:2" x14ac:dyDescent="0.25">
      <c r="A1112" t="s">
        <v>5135</v>
      </c>
      <c r="B1112">
        <v>0</v>
      </c>
    </row>
    <row r="1113" spans="1:2" x14ac:dyDescent="0.25">
      <c r="A1113" t="s">
        <v>780</v>
      </c>
      <c r="B1113" t="s">
        <v>5798</v>
      </c>
    </row>
    <row r="1114" spans="1:2" x14ac:dyDescent="0.25">
      <c r="A1114" t="s">
        <v>385</v>
      </c>
      <c r="B1114" t="s">
        <v>5885</v>
      </c>
    </row>
    <row r="1115" spans="1:2" x14ac:dyDescent="0.25">
      <c r="A1115" t="s">
        <v>1235</v>
      </c>
      <c r="B1115" t="s">
        <v>5787</v>
      </c>
    </row>
    <row r="1116" spans="1:2" x14ac:dyDescent="0.25">
      <c r="A1116" t="s">
        <v>4876</v>
      </c>
      <c r="B1116" t="s">
        <v>5787</v>
      </c>
    </row>
    <row r="1117" spans="1:2" x14ac:dyDescent="0.25">
      <c r="A1117" t="s">
        <v>537</v>
      </c>
      <c r="B1117" t="s">
        <v>5787</v>
      </c>
    </row>
    <row r="1118" spans="1:2" x14ac:dyDescent="0.25">
      <c r="A1118" t="s">
        <v>1785</v>
      </c>
      <c r="B1118" t="s">
        <v>5778</v>
      </c>
    </row>
    <row r="1119" spans="1:2" x14ac:dyDescent="0.25">
      <c r="A1119" t="s">
        <v>833</v>
      </c>
      <c r="B1119" t="s">
        <v>5799</v>
      </c>
    </row>
    <row r="1120" spans="1:2" x14ac:dyDescent="0.25">
      <c r="A1120" t="s">
        <v>41</v>
      </c>
      <c r="B1120" t="s">
        <v>6615</v>
      </c>
    </row>
    <row r="1121" spans="1:2" x14ac:dyDescent="0.25">
      <c r="A1121" t="s">
        <v>520</v>
      </c>
      <c r="B1121" t="s">
        <v>5787</v>
      </c>
    </row>
    <row r="1122" spans="1:2" x14ac:dyDescent="0.25">
      <c r="A1122" t="s">
        <v>2533</v>
      </c>
      <c r="B1122" t="s">
        <v>6141</v>
      </c>
    </row>
    <row r="1123" spans="1:2" x14ac:dyDescent="0.25">
      <c r="A1123" t="s">
        <v>843</v>
      </c>
      <c r="B1123" t="s">
        <v>5787</v>
      </c>
    </row>
    <row r="1124" spans="1:2" x14ac:dyDescent="0.25">
      <c r="A1124" t="s">
        <v>991</v>
      </c>
      <c r="B1124" t="s">
        <v>5780</v>
      </c>
    </row>
    <row r="1125" spans="1:2" x14ac:dyDescent="0.25">
      <c r="A1125" t="s">
        <v>2246</v>
      </c>
      <c r="B1125" t="s">
        <v>5752</v>
      </c>
    </row>
    <row r="1126" spans="1:2" x14ac:dyDescent="0.25">
      <c r="A1126" t="s">
        <v>1964</v>
      </c>
      <c r="B1126" t="s">
        <v>5805</v>
      </c>
    </row>
    <row r="1127" spans="1:2" x14ac:dyDescent="0.25">
      <c r="A1127" t="s">
        <v>2012</v>
      </c>
      <c r="B1127" t="s">
        <v>6041</v>
      </c>
    </row>
    <row r="1128" spans="1:2" x14ac:dyDescent="0.25">
      <c r="A1128" t="s">
        <v>3570</v>
      </c>
      <c r="B1128" t="s">
        <v>5740</v>
      </c>
    </row>
    <row r="1129" spans="1:2" x14ac:dyDescent="0.25">
      <c r="A1129" t="s">
        <v>263</v>
      </c>
      <c r="B1129" t="s">
        <v>5787</v>
      </c>
    </row>
    <row r="1130" spans="1:2" x14ac:dyDescent="0.25">
      <c r="A1130" t="s">
        <v>4662</v>
      </c>
      <c r="B1130" t="s">
        <v>5788</v>
      </c>
    </row>
    <row r="1131" spans="1:2" x14ac:dyDescent="0.25">
      <c r="A1131" t="s">
        <v>1156</v>
      </c>
      <c r="B1131" t="s">
        <v>6378</v>
      </c>
    </row>
    <row r="1132" spans="1:2" x14ac:dyDescent="0.25">
      <c r="A1132" t="s">
        <v>1474</v>
      </c>
      <c r="B1132" t="s">
        <v>5856</v>
      </c>
    </row>
    <row r="1133" spans="1:2" x14ac:dyDescent="0.25">
      <c r="A1133" t="s">
        <v>4329</v>
      </c>
      <c r="B1133" t="s">
        <v>6013</v>
      </c>
    </row>
    <row r="1134" spans="1:2" x14ac:dyDescent="0.25">
      <c r="A1134" t="s">
        <v>2791</v>
      </c>
      <c r="B1134" t="s">
        <v>5740</v>
      </c>
    </row>
    <row r="1135" spans="1:2" x14ac:dyDescent="0.25">
      <c r="A1135" t="s">
        <v>1179</v>
      </c>
      <c r="B1135" t="s">
        <v>5867</v>
      </c>
    </row>
    <row r="1136" spans="1:2" x14ac:dyDescent="0.25">
      <c r="A1136" t="s">
        <v>5507</v>
      </c>
      <c r="B1136" t="s">
        <v>6089</v>
      </c>
    </row>
    <row r="1137" spans="1:2" x14ac:dyDescent="0.25">
      <c r="A1137" t="s">
        <v>3076</v>
      </c>
      <c r="B1137" t="s">
        <v>6334</v>
      </c>
    </row>
    <row r="1138" spans="1:2" x14ac:dyDescent="0.25">
      <c r="A1138" t="s">
        <v>3362</v>
      </c>
      <c r="B1138" t="s">
        <v>6010</v>
      </c>
    </row>
    <row r="1139" spans="1:2" x14ac:dyDescent="0.25">
      <c r="A1139" t="s">
        <v>2884</v>
      </c>
      <c r="B1139" t="s">
        <v>6010</v>
      </c>
    </row>
    <row r="1140" spans="1:2" x14ac:dyDescent="0.25">
      <c r="A1140" t="s">
        <v>5562</v>
      </c>
      <c r="B1140" t="s">
        <v>5774</v>
      </c>
    </row>
    <row r="1141" spans="1:2" x14ac:dyDescent="0.25">
      <c r="A1141" t="s">
        <v>4430</v>
      </c>
      <c r="B1141" t="s">
        <v>5802</v>
      </c>
    </row>
    <row r="1142" spans="1:2" x14ac:dyDescent="0.25">
      <c r="A1142" t="s">
        <v>4784</v>
      </c>
      <c r="B1142" t="s">
        <v>5787</v>
      </c>
    </row>
    <row r="1143" spans="1:2" x14ac:dyDescent="0.25">
      <c r="A1143" t="s">
        <v>4968</v>
      </c>
    </row>
    <row r="1144" spans="1:2" x14ac:dyDescent="0.25">
      <c r="A1144" t="s">
        <v>1425</v>
      </c>
      <c r="B1144" t="s">
        <v>5787</v>
      </c>
    </row>
    <row r="1145" spans="1:2" x14ac:dyDescent="0.25">
      <c r="A1145" t="s">
        <v>8084</v>
      </c>
      <c r="B1145" t="s">
        <v>5790</v>
      </c>
    </row>
    <row r="1146" spans="1:2" x14ac:dyDescent="0.25">
      <c r="A1146" t="s">
        <v>5231</v>
      </c>
      <c r="B1146" t="s">
        <v>5790</v>
      </c>
    </row>
    <row r="1147" spans="1:2" x14ac:dyDescent="0.25">
      <c r="A1147" t="s">
        <v>966</v>
      </c>
      <c r="B1147" t="s">
        <v>5818</v>
      </c>
    </row>
    <row r="1148" spans="1:2" x14ac:dyDescent="0.25">
      <c r="A1148" t="s">
        <v>4562</v>
      </c>
      <c r="B1148" t="s">
        <v>5704</v>
      </c>
    </row>
    <row r="1149" spans="1:2" x14ac:dyDescent="0.25">
      <c r="A1149" t="s">
        <v>3286</v>
      </c>
      <c r="B1149" t="s">
        <v>6680</v>
      </c>
    </row>
    <row r="1150" spans="1:2" x14ac:dyDescent="0.25">
      <c r="A1150" t="s">
        <v>8092</v>
      </c>
      <c r="B1150" t="s">
        <v>5879</v>
      </c>
    </row>
    <row r="1151" spans="1:2" x14ac:dyDescent="0.25">
      <c r="A1151" t="s">
        <v>2472</v>
      </c>
      <c r="B1151" t="s">
        <v>5762</v>
      </c>
    </row>
    <row r="1152" spans="1:2" x14ac:dyDescent="0.25">
      <c r="A1152" t="s">
        <v>2911</v>
      </c>
      <c r="B1152" t="s">
        <v>5788</v>
      </c>
    </row>
    <row r="1153" spans="1:2" x14ac:dyDescent="0.25">
      <c r="A1153" t="s">
        <v>397</v>
      </c>
      <c r="B1153" t="s">
        <v>5787</v>
      </c>
    </row>
    <row r="1154" spans="1:2" x14ac:dyDescent="0.25">
      <c r="A1154" t="s">
        <v>2367</v>
      </c>
      <c r="B1154" t="s">
        <v>5904</v>
      </c>
    </row>
    <row r="1155" spans="1:2" x14ac:dyDescent="0.25">
      <c r="A1155" t="s">
        <v>2756</v>
      </c>
      <c r="B1155" t="s">
        <v>5770</v>
      </c>
    </row>
    <row r="1156" spans="1:2" x14ac:dyDescent="0.25">
      <c r="A1156" t="s">
        <v>4813</v>
      </c>
      <c r="B1156" t="s">
        <v>6053</v>
      </c>
    </row>
    <row r="1157" spans="1:2" x14ac:dyDescent="0.25">
      <c r="A1157" t="s">
        <v>3162</v>
      </c>
      <c r="B1157" t="s">
        <v>5706</v>
      </c>
    </row>
    <row r="1158" spans="1:2" x14ac:dyDescent="0.25">
      <c r="A1158" t="s">
        <v>923</v>
      </c>
      <c r="B1158" t="s">
        <v>5787</v>
      </c>
    </row>
    <row r="1159" spans="1:2" x14ac:dyDescent="0.25">
      <c r="A1159" t="s">
        <v>4529</v>
      </c>
      <c r="B1159" t="s">
        <v>6175</v>
      </c>
    </row>
    <row r="1160" spans="1:2" x14ac:dyDescent="0.25">
      <c r="A1160" t="s">
        <v>1885</v>
      </c>
      <c r="B1160" t="s">
        <v>6625</v>
      </c>
    </row>
    <row r="1161" spans="1:2" x14ac:dyDescent="0.25">
      <c r="A1161" t="s">
        <v>2562</v>
      </c>
      <c r="B1161" t="s">
        <v>5704</v>
      </c>
    </row>
    <row r="1162" spans="1:2" x14ac:dyDescent="0.25">
      <c r="A1162" t="s">
        <v>1281</v>
      </c>
      <c r="B1162" t="s">
        <v>6294</v>
      </c>
    </row>
    <row r="1163" spans="1:2" x14ac:dyDescent="0.25">
      <c r="A1163" t="s">
        <v>4198</v>
      </c>
      <c r="B1163" t="s">
        <v>5787</v>
      </c>
    </row>
    <row r="1164" spans="1:2" x14ac:dyDescent="0.25">
      <c r="A1164" t="s">
        <v>2292</v>
      </c>
      <c r="B1164" t="s">
        <v>6024</v>
      </c>
    </row>
    <row r="1165" spans="1:2" x14ac:dyDescent="0.25">
      <c r="A1165" t="s">
        <v>4224</v>
      </c>
      <c r="B1165" t="s">
        <v>6233</v>
      </c>
    </row>
    <row r="1166" spans="1:2" x14ac:dyDescent="0.25">
      <c r="A1166" t="s">
        <v>5405</v>
      </c>
      <c r="B1166" t="s">
        <v>6631</v>
      </c>
    </row>
    <row r="1167" spans="1:2" x14ac:dyDescent="0.25">
      <c r="A1167" t="s">
        <v>2042</v>
      </c>
      <c r="B1167" t="s">
        <v>5836</v>
      </c>
    </row>
    <row r="1168" spans="1:2" x14ac:dyDescent="0.25">
      <c r="A1168" t="s">
        <v>2936</v>
      </c>
      <c r="B1168" t="s">
        <v>5708</v>
      </c>
    </row>
    <row r="1169" spans="1:2" x14ac:dyDescent="0.25">
      <c r="A1169" t="s">
        <v>1790</v>
      </c>
      <c r="B1169" t="s">
        <v>6031</v>
      </c>
    </row>
    <row r="1170" spans="1:2" x14ac:dyDescent="0.25">
      <c r="A1170" t="s">
        <v>3177</v>
      </c>
      <c r="B1170" t="s">
        <v>6513</v>
      </c>
    </row>
    <row r="1171" spans="1:2" x14ac:dyDescent="0.25">
      <c r="A1171" t="s">
        <v>4139</v>
      </c>
      <c r="B1171" t="s">
        <v>5934</v>
      </c>
    </row>
    <row r="1172" spans="1:2" x14ac:dyDescent="0.25">
      <c r="A1172" t="s">
        <v>4422</v>
      </c>
      <c r="B1172" t="s">
        <v>5787</v>
      </c>
    </row>
    <row r="1173" spans="1:2" x14ac:dyDescent="0.25">
      <c r="A1173" t="s">
        <v>3079</v>
      </c>
      <c r="B1173" t="s">
        <v>5754</v>
      </c>
    </row>
    <row r="1174" spans="1:2" x14ac:dyDescent="0.25">
      <c r="A1174" t="s">
        <v>3728</v>
      </c>
      <c r="B1174" t="s">
        <v>5740</v>
      </c>
    </row>
    <row r="1175" spans="1:2" x14ac:dyDescent="0.25">
      <c r="A1175" t="s">
        <v>2411</v>
      </c>
      <c r="B1175" t="s">
        <v>5921</v>
      </c>
    </row>
    <row r="1176" spans="1:2" x14ac:dyDescent="0.25">
      <c r="A1176" t="s">
        <v>4473</v>
      </c>
      <c r="B1176">
        <v>0</v>
      </c>
    </row>
    <row r="1177" spans="1:2" x14ac:dyDescent="0.25">
      <c r="A1177" t="s">
        <v>1690</v>
      </c>
      <c r="B1177" t="s">
        <v>6423</v>
      </c>
    </row>
    <row r="1178" spans="1:2" x14ac:dyDescent="0.25">
      <c r="A1178" t="s">
        <v>5473</v>
      </c>
      <c r="B1178" t="s">
        <v>5788</v>
      </c>
    </row>
    <row r="1179" spans="1:2" x14ac:dyDescent="0.25">
      <c r="A1179" t="s">
        <v>4587</v>
      </c>
      <c r="B1179" t="s">
        <v>5831</v>
      </c>
    </row>
    <row r="1180" spans="1:2" x14ac:dyDescent="0.25">
      <c r="A1180" t="s">
        <v>4267</v>
      </c>
      <c r="B1180" t="s">
        <v>6079</v>
      </c>
    </row>
    <row r="1181" spans="1:2" x14ac:dyDescent="0.25">
      <c r="A1181" t="s">
        <v>3739</v>
      </c>
      <c r="B1181" t="s">
        <v>5858</v>
      </c>
    </row>
    <row r="1182" spans="1:2" x14ac:dyDescent="0.25">
      <c r="A1182" t="s">
        <v>2518</v>
      </c>
      <c r="B1182" t="s">
        <v>5706</v>
      </c>
    </row>
    <row r="1183" spans="1:2" x14ac:dyDescent="0.25">
      <c r="A1183" t="s">
        <v>5238</v>
      </c>
      <c r="B1183" t="s">
        <v>5706</v>
      </c>
    </row>
    <row r="1184" spans="1:2" x14ac:dyDescent="0.25">
      <c r="A1184" t="s">
        <v>3081</v>
      </c>
      <c r="B1184" t="s">
        <v>5706</v>
      </c>
    </row>
    <row r="1185" spans="1:2" x14ac:dyDescent="0.25">
      <c r="A1185" t="s">
        <v>3353</v>
      </c>
      <c r="B1185" t="s">
        <v>6234</v>
      </c>
    </row>
    <row r="1186" spans="1:2" x14ac:dyDescent="0.25">
      <c r="A1186" t="s">
        <v>1504</v>
      </c>
      <c r="B1186" t="s">
        <v>6187</v>
      </c>
    </row>
    <row r="1187" spans="1:2" x14ac:dyDescent="0.25">
      <c r="A1187" t="s">
        <v>4200</v>
      </c>
      <c r="B1187" t="s">
        <v>5708</v>
      </c>
    </row>
    <row r="1188" spans="1:2" x14ac:dyDescent="0.25">
      <c r="A1188" t="s">
        <v>480</v>
      </c>
      <c r="B1188" t="s">
        <v>5787</v>
      </c>
    </row>
    <row r="1189" spans="1:2" x14ac:dyDescent="0.25">
      <c r="A1189" t="s">
        <v>1549</v>
      </c>
      <c r="B1189" t="s">
        <v>5704</v>
      </c>
    </row>
    <row r="1190" spans="1:2" x14ac:dyDescent="0.25">
      <c r="A1190" t="s">
        <v>1309</v>
      </c>
      <c r="B1190" t="s">
        <v>6101</v>
      </c>
    </row>
    <row r="1191" spans="1:2" x14ac:dyDescent="0.25">
      <c r="A1191" t="s">
        <v>506</v>
      </c>
      <c r="B1191" t="s">
        <v>5788</v>
      </c>
    </row>
    <row r="1192" spans="1:2" x14ac:dyDescent="0.25">
      <c r="A1192" t="s">
        <v>2182</v>
      </c>
      <c r="B1192" t="s">
        <v>6515</v>
      </c>
    </row>
    <row r="1193" spans="1:2" x14ac:dyDescent="0.25">
      <c r="A1193" t="s">
        <v>5005</v>
      </c>
      <c r="B1193" t="s">
        <v>5878</v>
      </c>
    </row>
    <row r="1194" spans="1:2" x14ac:dyDescent="0.25">
      <c r="A1194" t="s">
        <v>3391</v>
      </c>
    </row>
    <row r="1195" spans="1:2" x14ac:dyDescent="0.25">
      <c r="A1195" t="s">
        <v>4326</v>
      </c>
      <c r="B1195" t="s">
        <v>5917</v>
      </c>
    </row>
    <row r="1196" spans="1:2" x14ac:dyDescent="0.25">
      <c r="A1196" t="s">
        <v>4416</v>
      </c>
      <c r="B1196" t="s">
        <v>6192</v>
      </c>
    </row>
    <row r="1197" spans="1:2" x14ac:dyDescent="0.25">
      <c r="A1197" t="s">
        <v>4713</v>
      </c>
      <c r="B1197" t="s">
        <v>5757</v>
      </c>
    </row>
    <row r="1198" spans="1:2" x14ac:dyDescent="0.25">
      <c r="A1198" t="s">
        <v>5449</v>
      </c>
      <c r="B1198" t="s">
        <v>5825</v>
      </c>
    </row>
    <row r="1199" spans="1:2" x14ac:dyDescent="0.25">
      <c r="A1199" t="s">
        <v>2837</v>
      </c>
      <c r="B1199" t="s">
        <v>5861</v>
      </c>
    </row>
    <row r="1200" spans="1:2" x14ac:dyDescent="0.25">
      <c r="A1200" t="s">
        <v>1199</v>
      </c>
      <c r="B1200" t="s">
        <v>5808</v>
      </c>
    </row>
    <row r="1201" spans="1:2" x14ac:dyDescent="0.25">
      <c r="A1201" t="s">
        <v>4843</v>
      </c>
      <c r="B1201" t="s">
        <v>5882</v>
      </c>
    </row>
    <row r="1202" spans="1:2" x14ac:dyDescent="0.25">
      <c r="A1202" t="s">
        <v>2088</v>
      </c>
      <c r="B1202" t="s">
        <v>5915</v>
      </c>
    </row>
    <row r="1203" spans="1:2" x14ac:dyDescent="0.25">
      <c r="A1203" t="s">
        <v>85</v>
      </c>
      <c r="B1203" t="s">
        <v>5711</v>
      </c>
    </row>
    <row r="1204" spans="1:2" x14ac:dyDescent="0.25">
      <c r="A1204" t="s">
        <v>2047</v>
      </c>
      <c r="B1204" t="s">
        <v>6244</v>
      </c>
    </row>
    <row r="1205" spans="1:2" x14ac:dyDescent="0.25">
      <c r="A1205" t="s">
        <v>1497</v>
      </c>
      <c r="B1205" t="s">
        <v>6099</v>
      </c>
    </row>
    <row r="1206" spans="1:2" x14ac:dyDescent="0.25">
      <c r="A1206" t="s">
        <v>3844</v>
      </c>
      <c r="B1206" t="s">
        <v>5913</v>
      </c>
    </row>
    <row r="1207" spans="1:2" x14ac:dyDescent="0.25">
      <c r="A1207" t="s">
        <v>5667</v>
      </c>
      <c r="B1207" t="s">
        <v>5907</v>
      </c>
    </row>
    <row r="1208" spans="1:2" x14ac:dyDescent="0.25">
      <c r="A1208" t="s">
        <v>1876</v>
      </c>
      <c r="B1208" t="s">
        <v>5787</v>
      </c>
    </row>
    <row r="1209" spans="1:2" x14ac:dyDescent="0.25">
      <c r="A1209" t="s">
        <v>5455</v>
      </c>
      <c r="B1209" t="s">
        <v>5716</v>
      </c>
    </row>
    <row r="1210" spans="1:2" x14ac:dyDescent="0.25">
      <c r="A1210" t="s">
        <v>5607</v>
      </c>
      <c r="B1210" t="s">
        <v>6251</v>
      </c>
    </row>
    <row r="1211" spans="1:2" x14ac:dyDescent="0.25">
      <c r="A1211" t="s">
        <v>3176</v>
      </c>
      <c r="B1211" t="s">
        <v>5706</v>
      </c>
    </row>
    <row r="1212" spans="1:2" x14ac:dyDescent="0.25">
      <c r="A1212" t="s">
        <v>4988</v>
      </c>
      <c r="B1212" t="s">
        <v>5788</v>
      </c>
    </row>
    <row r="1213" spans="1:2" x14ac:dyDescent="0.25">
      <c r="A1213" t="s">
        <v>5232</v>
      </c>
      <c r="B1213" t="s">
        <v>5774</v>
      </c>
    </row>
    <row r="1214" spans="1:2" x14ac:dyDescent="0.25">
      <c r="A1214" t="s">
        <v>3516</v>
      </c>
      <c r="B1214">
        <v>0</v>
      </c>
    </row>
    <row r="1215" spans="1:2" x14ac:dyDescent="0.25">
      <c r="A1215" t="s">
        <v>1998</v>
      </c>
      <c r="B1215" t="s">
        <v>5888</v>
      </c>
    </row>
    <row r="1216" spans="1:2" x14ac:dyDescent="0.25">
      <c r="A1216" t="s">
        <v>2546</v>
      </c>
      <c r="B1216" t="s">
        <v>5787</v>
      </c>
    </row>
    <row r="1217" spans="1:2" x14ac:dyDescent="0.25">
      <c r="A1217" t="s">
        <v>3196</v>
      </c>
      <c r="B1217" t="s">
        <v>5787</v>
      </c>
    </row>
    <row r="1218" spans="1:2" x14ac:dyDescent="0.25">
      <c r="A1218" t="s">
        <v>5060</v>
      </c>
      <c r="B1218" t="s">
        <v>6793</v>
      </c>
    </row>
    <row r="1219" spans="1:2" x14ac:dyDescent="0.25">
      <c r="A1219" t="s">
        <v>1991</v>
      </c>
      <c r="B1219" t="s">
        <v>5787</v>
      </c>
    </row>
    <row r="1220" spans="1:2" x14ac:dyDescent="0.25">
      <c r="A1220" t="s">
        <v>4186</v>
      </c>
      <c r="B1220" t="s">
        <v>5734</v>
      </c>
    </row>
    <row r="1221" spans="1:2" x14ac:dyDescent="0.25">
      <c r="A1221" t="s">
        <v>4488</v>
      </c>
      <c r="B1221" t="s">
        <v>5724</v>
      </c>
    </row>
    <row r="1222" spans="1:2" x14ac:dyDescent="0.25">
      <c r="A1222" t="s">
        <v>2932</v>
      </c>
      <c r="B1222" t="s">
        <v>5830</v>
      </c>
    </row>
    <row r="1223" spans="1:2" x14ac:dyDescent="0.25">
      <c r="A1223" t="s">
        <v>3198</v>
      </c>
      <c r="B1223" t="s">
        <v>5713</v>
      </c>
    </row>
    <row r="1224" spans="1:2" x14ac:dyDescent="0.25">
      <c r="A1224" t="s">
        <v>5421</v>
      </c>
      <c r="B1224" t="s">
        <v>6169</v>
      </c>
    </row>
    <row r="1225" spans="1:2" x14ac:dyDescent="0.25">
      <c r="A1225" t="s">
        <v>4732</v>
      </c>
      <c r="B1225" t="s">
        <v>6006</v>
      </c>
    </row>
    <row r="1226" spans="1:2" x14ac:dyDescent="0.25">
      <c r="A1226" t="s">
        <v>1400</v>
      </c>
      <c r="B1226" t="s">
        <v>5787</v>
      </c>
    </row>
    <row r="1227" spans="1:2" x14ac:dyDescent="0.25">
      <c r="A1227" t="s">
        <v>3867</v>
      </c>
      <c r="B1227" t="s">
        <v>5770</v>
      </c>
    </row>
    <row r="1228" spans="1:2" x14ac:dyDescent="0.25">
      <c r="A1228" t="s">
        <v>1449</v>
      </c>
      <c r="B1228" t="s">
        <v>6223</v>
      </c>
    </row>
    <row r="1229" spans="1:2" x14ac:dyDescent="0.25">
      <c r="A1229" t="s">
        <v>4544</v>
      </c>
      <c r="B1229" t="s">
        <v>6196</v>
      </c>
    </row>
    <row r="1230" spans="1:2" x14ac:dyDescent="0.25">
      <c r="A1230" t="s">
        <v>1594</v>
      </c>
      <c r="B1230" t="s">
        <v>5801</v>
      </c>
    </row>
    <row r="1231" spans="1:2" x14ac:dyDescent="0.25">
      <c r="A1231" t="s">
        <v>3686</v>
      </c>
      <c r="B1231" t="s">
        <v>5858</v>
      </c>
    </row>
    <row r="1232" spans="1:2" x14ac:dyDescent="0.25">
      <c r="A1232" t="s">
        <v>3424</v>
      </c>
      <c r="B1232" t="s">
        <v>5789</v>
      </c>
    </row>
    <row r="1233" spans="1:2" x14ac:dyDescent="0.25">
      <c r="A1233" t="s">
        <v>3484</v>
      </c>
      <c r="B1233" t="s">
        <v>5787</v>
      </c>
    </row>
    <row r="1234" spans="1:2" x14ac:dyDescent="0.25">
      <c r="A1234" t="s">
        <v>4227</v>
      </c>
      <c r="B1234" t="s">
        <v>5885</v>
      </c>
    </row>
    <row r="1235" spans="1:2" x14ac:dyDescent="0.25">
      <c r="A1235" t="s">
        <v>1674</v>
      </c>
      <c r="B1235" t="s">
        <v>5759</v>
      </c>
    </row>
    <row r="1236" spans="1:2" x14ac:dyDescent="0.25">
      <c r="A1236" t="s">
        <v>3581</v>
      </c>
      <c r="B1236" t="s">
        <v>5820</v>
      </c>
    </row>
    <row r="1237" spans="1:2" x14ac:dyDescent="0.25">
      <c r="A1237" t="s">
        <v>266</v>
      </c>
      <c r="B1237" t="s">
        <v>5737</v>
      </c>
    </row>
    <row r="1238" spans="1:2" x14ac:dyDescent="0.25">
      <c r="A1238" t="s">
        <v>1755</v>
      </c>
      <c r="B1238" t="s">
        <v>5818</v>
      </c>
    </row>
    <row r="1239" spans="1:2" x14ac:dyDescent="0.25">
      <c r="A1239" t="s">
        <v>2369</v>
      </c>
      <c r="B1239" t="s">
        <v>5910</v>
      </c>
    </row>
    <row r="1240" spans="1:2" x14ac:dyDescent="0.25">
      <c r="A1240" t="s">
        <v>3859</v>
      </c>
      <c r="B1240" t="s">
        <v>5711</v>
      </c>
    </row>
    <row r="1241" spans="1:2" x14ac:dyDescent="0.25">
      <c r="A1241" t="s">
        <v>1137</v>
      </c>
      <c r="B1241" t="s">
        <v>5789</v>
      </c>
    </row>
    <row r="1242" spans="1:2" x14ac:dyDescent="0.25">
      <c r="A1242" t="s">
        <v>4505</v>
      </c>
      <c r="B1242" t="s">
        <v>5991</v>
      </c>
    </row>
    <row r="1243" spans="1:2" x14ac:dyDescent="0.25">
      <c r="A1243" t="s">
        <v>2429</v>
      </c>
      <c r="B1243" t="s">
        <v>5757</v>
      </c>
    </row>
    <row r="1244" spans="1:2" x14ac:dyDescent="0.25">
      <c r="A1244" t="s">
        <v>2408</v>
      </c>
      <c r="B1244" t="s">
        <v>6508</v>
      </c>
    </row>
    <row r="1245" spans="1:2" x14ac:dyDescent="0.25">
      <c r="A1245" t="s">
        <v>5298</v>
      </c>
      <c r="B1245" t="s">
        <v>5772</v>
      </c>
    </row>
    <row r="1246" spans="1:2" x14ac:dyDescent="0.25">
      <c r="A1246" t="s">
        <v>2898</v>
      </c>
      <c r="B1246" t="s">
        <v>5943</v>
      </c>
    </row>
    <row r="1247" spans="1:2" x14ac:dyDescent="0.25">
      <c r="A1247" t="s">
        <v>2364</v>
      </c>
    </row>
    <row r="1248" spans="1:2" x14ac:dyDescent="0.25">
      <c r="A1248" t="s">
        <v>5389</v>
      </c>
      <c r="B1248" t="s">
        <v>5996</v>
      </c>
    </row>
    <row r="1249" spans="1:2" x14ac:dyDescent="0.25">
      <c r="A1249" t="s">
        <v>4849</v>
      </c>
      <c r="B1249" t="s">
        <v>5724</v>
      </c>
    </row>
    <row r="1250" spans="1:2" x14ac:dyDescent="0.25">
      <c r="A1250" t="s">
        <v>5154</v>
      </c>
      <c r="B1250" t="s">
        <v>6586</v>
      </c>
    </row>
    <row r="1251" spans="1:2" x14ac:dyDescent="0.25">
      <c r="A1251" t="s">
        <v>2383</v>
      </c>
      <c r="B1251" t="s">
        <v>5706</v>
      </c>
    </row>
    <row r="1252" spans="1:2" x14ac:dyDescent="0.25">
      <c r="A1252" t="s">
        <v>1133</v>
      </c>
      <c r="B1252" t="s">
        <v>5854</v>
      </c>
    </row>
    <row r="1253" spans="1:2" x14ac:dyDescent="0.25">
      <c r="A1253" t="s">
        <v>4933</v>
      </c>
      <c r="B1253" t="s">
        <v>5884</v>
      </c>
    </row>
    <row r="1254" spans="1:2" x14ac:dyDescent="0.25">
      <c r="A1254" t="s">
        <v>4399</v>
      </c>
      <c r="B1254" t="s">
        <v>6017</v>
      </c>
    </row>
    <row r="1255" spans="1:2" x14ac:dyDescent="0.25">
      <c r="A1255" t="s">
        <v>4981</v>
      </c>
      <c r="B1255" t="s">
        <v>6005</v>
      </c>
    </row>
    <row r="1256" spans="1:2" x14ac:dyDescent="0.25">
      <c r="A1256" t="s">
        <v>1572</v>
      </c>
      <c r="B1256" t="s">
        <v>5794</v>
      </c>
    </row>
    <row r="1257" spans="1:2" x14ac:dyDescent="0.25">
      <c r="A1257" t="s">
        <v>5342</v>
      </c>
      <c r="B1257" t="s">
        <v>5794</v>
      </c>
    </row>
    <row r="1258" spans="1:2" x14ac:dyDescent="0.25">
      <c r="A1258" t="s">
        <v>3846</v>
      </c>
      <c r="B1258" t="s">
        <v>5898</v>
      </c>
    </row>
    <row r="1259" spans="1:2" x14ac:dyDescent="0.25">
      <c r="A1259" t="s">
        <v>2329</v>
      </c>
      <c r="B1259" t="s">
        <v>6465</v>
      </c>
    </row>
    <row r="1260" spans="1:2" x14ac:dyDescent="0.25">
      <c r="A1260" t="s">
        <v>5570</v>
      </c>
      <c r="B1260" t="s">
        <v>5706</v>
      </c>
    </row>
    <row r="1261" spans="1:2" x14ac:dyDescent="0.25">
      <c r="A1261" t="s">
        <v>4856</v>
      </c>
      <c r="B1261" t="s">
        <v>5757</v>
      </c>
    </row>
    <row r="1262" spans="1:2" x14ac:dyDescent="0.25">
      <c r="A1262" t="s">
        <v>3571</v>
      </c>
      <c r="B1262">
        <v>0</v>
      </c>
    </row>
    <row r="1263" spans="1:2" x14ac:dyDescent="0.25">
      <c r="A1263" t="s">
        <v>5551</v>
      </c>
      <c r="B1263" t="s">
        <v>5787</v>
      </c>
    </row>
    <row r="1264" spans="1:2" x14ac:dyDescent="0.25">
      <c r="A1264" t="s">
        <v>3481</v>
      </c>
      <c r="B1264" t="s">
        <v>6093</v>
      </c>
    </row>
    <row r="1265" spans="1:2" x14ac:dyDescent="0.25">
      <c r="A1265" t="s">
        <v>5163</v>
      </c>
      <c r="B1265" t="s">
        <v>5969</v>
      </c>
    </row>
    <row r="1266" spans="1:2" x14ac:dyDescent="0.25">
      <c r="A1266" t="s">
        <v>4369</v>
      </c>
      <c r="B1266" t="s">
        <v>5792</v>
      </c>
    </row>
    <row r="1267" spans="1:2" x14ac:dyDescent="0.25">
      <c r="A1267" t="s">
        <v>1944</v>
      </c>
      <c r="B1267" t="s">
        <v>5889</v>
      </c>
    </row>
    <row r="1268" spans="1:2" x14ac:dyDescent="0.25">
      <c r="A1268" t="s">
        <v>130</v>
      </c>
      <c r="B1268" t="s">
        <v>5759</v>
      </c>
    </row>
    <row r="1269" spans="1:2" x14ac:dyDescent="0.25">
      <c r="A1269" t="s">
        <v>1153</v>
      </c>
      <c r="B1269" t="s">
        <v>5774</v>
      </c>
    </row>
    <row r="1270" spans="1:2" x14ac:dyDescent="0.25">
      <c r="A1270" t="s">
        <v>302</v>
      </c>
      <c r="B1270" t="s">
        <v>5801</v>
      </c>
    </row>
    <row r="1271" spans="1:2" x14ac:dyDescent="0.25">
      <c r="A1271" t="s">
        <v>2052</v>
      </c>
      <c r="B1271" t="s">
        <v>5754</v>
      </c>
    </row>
    <row r="1272" spans="1:2" x14ac:dyDescent="0.25">
      <c r="A1272" t="s">
        <v>1788</v>
      </c>
      <c r="B1272" t="s">
        <v>5816</v>
      </c>
    </row>
    <row r="1273" spans="1:2" x14ac:dyDescent="0.25">
      <c r="A1273" t="s">
        <v>870</v>
      </c>
      <c r="B1273" t="s">
        <v>5787</v>
      </c>
    </row>
    <row r="1274" spans="1:2" x14ac:dyDescent="0.25">
      <c r="A1274" t="s">
        <v>2404</v>
      </c>
      <c r="B1274" t="s">
        <v>5811</v>
      </c>
    </row>
    <row r="1275" spans="1:2" x14ac:dyDescent="0.25">
      <c r="A1275" t="s">
        <v>3036</v>
      </c>
      <c r="B1275" t="s">
        <v>5929</v>
      </c>
    </row>
    <row r="1276" spans="1:2" x14ac:dyDescent="0.25">
      <c r="A1276" t="s">
        <v>4796</v>
      </c>
      <c r="B1276" t="s">
        <v>6770</v>
      </c>
    </row>
    <row r="1277" spans="1:2" x14ac:dyDescent="0.25">
      <c r="A1277" t="s">
        <v>2259</v>
      </c>
      <c r="B1277" t="s">
        <v>5943</v>
      </c>
    </row>
    <row r="1278" spans="1:2" x14ac:dyDescent="0.25">
      <c r="A1278" t="s">
        <v>3483</v>
      </c>
      <c r="B1278" t="s">
        <v>6091</v>
      </c>
    </row>
    <row r="1279" spans="1:2" x14ac:dyDescent="0.25">
      <c r="A1279" t="s">
        <v>2211</v>
      </c>
      <c r="B1279" t="s">
        <v>5971</v>
      </c>
    </row>
    <row r="1280" spans="1:2" x14ac:dyDescent="0.25">
      <c r="A1280" t="s">
        <v>313</v>
      </c>
      <c r="B1280" t="s">
        <v>5828</v>
      </c>
    </row>
    <row r="1281" spans="1:2" x14ac:dyDescent="0.25">
      <c r="A1281" t="s">
        <v>2596</v>
      </c>
    </row>
    <row r="1282" spans="1:2" x14ac:dyDescent="0.25">
      <c r="A1282" t="s">
        <v>5609</v>
      </c>
      <c r="B1282" t="s">
        <v>5998</v>
      </c>
    </row>
    <row r="1283" spans="1:2" x14ac:dyDescent="0.25">
      <c r="A1283" t="s">
        <v>3508</v>
      </c>
      <c r="B1283" t="s">
        <v>6083</v>
      </c>
    </row>
    <row r="1284" spans="1:2" x14ac:dyDescent="0.25">
      <c r="A1284" t="s">
        <v>1585</v>
      </c>
      <c r="B1284" t="s">
        <v>6405</v>
      </c>
    </row>
    <row r="1285" spans="1:2" x14ac:dyDescent="0.25">
      <c r="A1285" t="s">
        <v>5385</v>
      </c>
      <c r="B1285" t="s">
        <v>5787</v>
      </c>
    </row>
    <row r="1286" spans="1:2" x14ac:dyDescent="0.25">
      <c r="A1286" t="s">
        <v>4463</v>
      </c>
      <c r="B1286" t="s">
        <v>5841</v>
      </c>
    </row>
    <row r="1287" spans="1:2" x14ac:dyDescent="0.25">
      <c r="A1287" t="s">
        <v>5188</v>
      </c>
      <c r="B1287" t="s">
        <v>6246</v>
      </c>
    </row>
    <row r="1288" spans="1:2" x14ac:dyDescent="0.25">
      <c r="A1288" t="s">
        <v>1286</v>
      </c>
      <c r="B1288" t="s">
        <v>5811</v>
      </c>
    </row>
    <row r="1289" spans="1:2" x14ac:dyDescent="0.25">
      <c r="A1289" t="s">
        <v>132</v>
      </c>
      <c r="B1289" t="s">
        <v>5716</v>
      </c>
    </row>
    <row r="1290" spans="1:2" x14ac:dyDescent="0.25">
      <c r="A1290" t="s">
        <v>3609</v>
      </c>
      <c r="B1290" t="s">
        <v>5798</v>
      </c>
    </row>
    <row r="1291" spans="1:2" x14ac:dyDescent="0.25">
      <c r="A1291" t="s">
        <v>3100</v>
      </c>
      <c r="B1291" t="s">
        <v>6506</v>
      </c>
    </row>
    <row r="1292" spans="1:2" x14ac:dyDescent="0.25">
      <c r="A1292" t="s">
        <v>608</v>
      </c>
      <c r="B1292" t="s">
        <v>5706</v>
      </c>
    </row>
    <row r="1293" spans="1:2" x14ac:dyDescent="0.25">
      <c r="A1293" t="s">
        <v>545</v>
      </c>
      <c r="B1293" t="s">
        <v>6030</v>
      </c>
    </row>
    <row r="1294" spans="1:2" x14ac:dyDescent="0.25">
      <c r="A1294" t="s">
        <v>4897</v>
      </c>
      <c r="B1294" t="s">
        <v>5864</v>
      </c>
    </row>
    <row r="1295" spans="1:2" x14ac:dyDescent="0.25">
      <c r="A1295" t="s">
        <v>182</v>
      </c>
      <c r="B1295" t="s">
        <v>5877</v>
      </c>
    </row>
    <row r="1296" spans="1:2" x14ac:dyDescent="0.25">
      <c r="A1296" t="s">
        <v>3796</v>
      </c>
      <c r="B1296" t="s">
        <v>5787</v>
      </c>
    </row>
    <row r="1297" spans="1:2" x14ac:dyDescent="0.25">
      <c r="A1297" t="s">
        <v>25</v>
      </c>
      <c r="B1297" t="s">
        <v>5787</v>
      </c>
    </row>
    <row r="1298" spans="1:2" x14ac:dyDescent="0.25">
      <c r="A1298" t="s">
        <v>5527</v>
      </c>
      <c r="B1298" t="s">
        <v>5962</v>
      </c>
    </row>
    <row r="1299" spans="1:2" x14ac:dyDescent="0.25">
      <c r="A1299" t="s">
        <v>578</v>
      </c>
      <c r="B1299" t="s">
        <v>6015</v>
      </c>
    </row>
    <row r="1300" spans="1:2" x14ac:dyDescent="0.25">
      <c r="A1300" t="s">
        <v>1489</v>
      </c>
      <c r="B1300" t="s">
        <v>5802</v>
      </c>
    </row>
    <row r="1301" spans="1:2" x14ac:dyDescent="0.25">
      <c r="A1301" t="s">
        <v>1485</v>
      </c>
      <c r="B1301" t="s">
        <v>5704</v>
      </c>
    </row>
    <row r="1302" spans="1:2" x14ac:dyDescent="0.25">
      <c r="A1302" t="s">
        <v>4302</v>
      </c>
      <c r="B1302" t="s">
        <v>5787</v>
      </c>
    </row>
    <row r="1303" spans="1:2" x14ac:dyDescent="0.25">
      <c r="A1303" t="s">
        <v>8256</v>
      </c>
      <c r="B1303" t="s">
        <v>6703</v>
      </c>
    </row>
    <row r="1304" spans="1:2" x14ac:dyDescent="0.25">
      <c r="A1304" t="s">
        <v>4298</v>
      </c>
      <c r="B1304" t="s">
        <v>5730</v>
      </c>
    </row>
    <row r="1305" spans="1:2" x14ac:dyDescent="0.25">
      <c r="A1305" t="s">
        <v>3323</v>
      </c>
      <c r="B1305" t="s">
        <v>5863</v>
      </c>
    </row>
    <row r="1306" spans="1:2" x14ac:dyDescent="0.25">
      <c r="A1306" t="s">
        <v>2425</v>
      </c>
      <c r="B1306" t="s">
        <v>5994</v>
      </c>
    </row>
    <row r="1307" spans="1:2" x14ac:dyDescent="0.25">
      <c r="A1307" t="s">
        <v>8262</v>
      </c>
      <c r="B1307" t="s">
        <v>6277</v>
      </c>
    </row>
    <row r="1308" spans="1:2" x14ac:dyDescent="0.25">
      <c r="A1308" t="s">
        <v>4209</v>
      </c>
      <c r="B1308" t="s">
        <v>6496</v>
      </c>
    </row>
    <row r="1309" spans="1:2" x14ac:dyDescent="0.25">
      <c r="A1309" t="s">
        <v>3690</v>
      </c>
      <c r="B1309" t="s">
        <v>5788</v>
      </c>
    </row>
    <row r="1310" spans="1:2" x14ac:dyDescent="0.25">
      <c r="A1310" t="s">
        <v>5581</v>
      </c>
      <c r="B1310" t="s">
        <v>5788</v>
      </c>
    </row>
    <row r="1311" spans="1:2" x14ac:dyDescent="0.25">
      <c r="A1311" t="s">
        <v>4688</v>
      </c>
      <c r="B1311" t="s">
        <v>6286</v>
      </c>
    </row>
    <row r="1312" spans="1:2" x14ac:dyDescent="0.25">
      <c r="A1312" t="s">
        <v>4861</v>
      </c>
      <c r="B1312" t="s">
        <v>5854</v>
      </c>
    </row>
    <row r="1313" spans="1:2" x14ac:dyDescent="0.25">
      <c r="A1313" t="s">
        <v>4226</v>
      </c>
      <c r="B1313" t="s">
        <v>5789</v>
      </c>
    </row>
    <row r="1314" spans="1:2" x14ac:dyDescent="0.25">
      <c r="A1314" t="s">
        <v>4965</v>
      </c>
      <c r="B1314" t="s">
        <v>5807</v>
      </c>
    </row>
    <row r="1315" spans="1:2" x14ac:dyDescent="0.25">
      <c r="A1315" t="s">
        <v>635</v>
      </c>
      <c r="B1315" t="s">
        <v>5952</v>
      </c>
    </row>
    <row r="1316" spans="1:2" x14ac:dyDescent="0.25">
      <c r="A1316" t="s">
        <v>5354</v>
      </c>
      <c r="B1316" t="s">
        <v>5747</v>
      </c>
    </row>
    <row r="1317" spans="1:2" x14ac:dyDescent="0.25">
      <c r="A1317" t="s">
        <v>3954</v>
      </c>
      <c r="B1317" t="s">
        <v>6385</v>
      </c>
    </row>
    <row r="1318" spans="1:2" x14ac:dyDescent="0.25">
      <c r="A1318" t="s">
        <v>4729</v>
      </c>
      <c r="B1318" t="s">
        <v>5730</v>
      </c>
    </row>
    <row r="1319" spans="1:2" x14ac:dyDescent="0.25">
      <c r="A1319" t="s">
        <v>206</v>
      </c>
      <c r="B1319" t="s">
        <v>5716</v>
      </c>
    </row>
    <row r="1320" spans="1:2" x14ac:dyDescent="0.25">
      <c r="A1320" t="s">
        <v>153</v>
      </c>
      <c r="B1320" t="s">
        <v>5744</v>
      </c>
    </row>
    <row r="1321" spans="1:2" x14ac:dyDescent="0.25">
      <c r="A1321" t="s">
        <v>2133</v>
      </c>
      <c r="B1321" t="s">
        <v>5957</v>
      </c>
    </row>
    <row r="1322" spans="1:2" x14ac:dyDescent="0.25">
      <c r="A1322" t="s">
        <v>3448</v>
      </c>
      <c r="B1322" t="s">
        <v>5812</v>
      </c>
    </row>
    <row r="1323" spans="1:2" x14ac:dyDescent="0.25">
      <c r="A1323" t="s">
        <v>4810</v>
      </c>
      <c r="B1323" t="s">
        <v>6400</v>
      </c>
    </row>
    <row r="1324" spans="1:2" x14ac:dyDescent="0.25">
      <c r="A1324" t="s">
        <v>529</v>
      </c>
      <c r="B1324" t="s">
        <v>5787</v>
      </c>
    </row>
    <row r="1325" spans="1:2" x14ac:dyDescent="0.25">
      <c r="A1325" t="s">
        <v>750</v>
      </c>
      <c r="B1325" t="s">
        <v>5787</v>
      </c>
    </row>
    <row r="1326" spans="1:2" x14ac:dyDescent="0.25">
      <c r="A1326" t="s">
        <v>1065</v>
      </c>
      <c r="B1326" t="s">
        <v>5787</v>
      </c>
    </row>
    <row r="1327" spans="1:2" x14ac:dyDescent="0.25">
      <c r="A1327" t="s">
        <v>2854</v>
      </c>
      <c r="B1327" t="s">
        <v>5928</v>
      </c>
    </row>
    <row r="1328" spans="1:2" x14ac:dyDescent="0.25">
      <c r="A1328" t="s">
        <v>5138</v>
      </c>
      <c r="B1328" t="s">
        <v>6134</v>
      </c>
    </row>
    <row r="1329" spans="1:2" x14ac:dyDescent="0.25">
      <c r="A1329" t="s">
        <v>4325</v>
      </c>
      <c r="B1329" t="s">
        <v>6086</v>
      </c>
    </row>
    <row r="1330" spans="1:2" x14ac:dyDescent="0.25">
      <c r="A1330" t="s">
        <v>1631</v>
      </c>
      <c r="B1330" t="s">
        <v>5724</v>
      </c>
    </row>
    <row r="1331" spans="1:2" x14ac:dyDescent="0.25">
      <c r="A1331" t="s">
        <v>1798</v>
      </c>
      <c r="B1331" t="s">
        <v>5836</v>
      </c>
    </row>
    <row r="1332" spans="1:2" x14ac:dyDescent="0.25">
      <c r="A1332" t="s">
        <v>4406</v>
      </c>
      <c r="B1332" t="s">
        <v>5949</v>
      </c>
    </row>
    <row r="1333" spans="1:2" x14ac:dyDescent="0.25">
      <c r="A1333" t="s">
        <v>3821</v>
      </c>
      <c r="B1333" t="s">
        <v>6315</v>
      </c>
    </row>
    <row r="1334" spans="1:2" x14ac:dyDescent="0.25">
      <c r="A1334" t="s">
        <v>2513</v>
      </c>
      <c r="B1334" t="s">
        <v>5787</v>
      </c>
    </row>
    <row r="1335" spans="1:2" x14ac:dyDescent="0.25">
      <c r="A1335" t="s">
        <v>913</v>
      </c>
      <c r="B1335" t="s">
        <v>5787</v>
      </c>
    </row>
    <row r="1336" spans="1:2" x14ac:dyDescent="0.25">
      <c r="A1336" t="s">
        <v>4018</v>
      </c>
      <c r="B1336" t="s">
        <v>5787</v>
      </c>
    </row>
    <row r="1337" spans="1:2" x14ac:dyDescent="0.25">
      <c r="A1337" t="s">
        <v>5560</v>
      </c>
      <c r="B1337" t="s">
        <v>5787</v>
      </c>
    </row>
    <row r="1338" spans="1:2" x14ac:dyDescent="0.25">
      <c r="A1338" t="s">
        <v>965</v>
      </c>
      <c r="B1338" t="s">
        <v>5797</v>
      </c>
    </row>
    <row r="1339" spans="1:2" x14ac:dyDescent="0.25">
      <c r="A1339" t="s">
        <v>1791</v>
      </c>
      <c r="B1339" t="s">
        <v>5855</v>
      </c>
    </row>
    <row r="1340" spans="1:2" x14ac:dyDescent="0.25">
      <c r="A1340" t="s">
        <v>179</v>
      </c>
      <c r="B1340" t="s">
        <v>5817</v>
      </c>
    </row>
    <row r="1341" spans="1:2" x14ac:dyDescent="0.25">
      <c r="A1341" t="s">
        <v>1746</v>
      </c>
      <c r="B1341" t="s">
        <v>5890</v>
      </c>
    </row>
    <row r="1342" spans="1:2" x14ac:dyDescent="0.25">
      <c r="A1342" t="s">
        <v>2437</v>
      </c>
      <c r="B1342" t="s">
        <v>5920</v>
      </c>
    </row>
    <row r="1343" spans="1:2" x14ac:dyDescent="0.25">
      <c r="A1343" t="s">
        <v>4572</v>
      </c>
      <c r="B1343" t="s">
        <v>5824</v>
      </c>
    </row>
    <row r="1344" spans="1:2" x14ac:dyDescent="0.25">
      <c r="A1344" t="s">
        <v>3819</v>
      </c>
      <c r="B1344" t="s">
        <v>5851</v>
      </c>
    </row>
    <row r="1345" spans="1:2" x14ac:dyDescent="0.25">
      <c r="A1345" t="s">
        <v>3527</v>
      </c>
      <c r="B1345" t="s">
        <v>5853</v>
      </c>
    </row>
    <row r="1346" spans="1:2" x14ac:dyDescent="0.25">
      <c r="A1346" t="s">
        <v>5040</v>
      </c>
      <c r="B1346" t="s">
        <v>5790</v>
      </c>
    </row>
    <row r="1347" spans="1:2" x14ac:dyDescent="0.25">
      <c r="A1347" t="s">
        <v>5123</v>
      </c>
      <c r="B1347" t="s">
        <v>6092</v>
      </c>
    </row>
    <row r="1348" spans="1:2" x14ac:dyDescent="0.25">
      <c r="A1348" t="s">
        <v>5287</v>
      </c>
      <c r="B1348" t="s">
        <v>5833</v>
      </c>
    </row>
    <row r="1349" spans="1:2" x14ac:dyDescent="0.25">
      <c r="A1349" t="s">
        <v>5387</v>
      </c>
      <c r="B1349" t="s">
        <v>5968</v>
      </c>
    </row>
    <row r="1350" spans="1:2" x14ac:dyDescent="0.25">
      <c r="A1350" t="s">
        <v>4513</v>
      </c>
      <c r="B1350" t="s">
        <v>5713</v>
      </c>
    </row>
    <row r="1351" spans="1:2" x14ac:dyDescent="0.25">
      <c r="A1351" t="s">
        <v>3582</v>
      </c>
      <c r="B1351">
        <v>0</v>
      </c>
    </row>
    <row r="1352" spans="1:2" x14ac:dyDescent="0.25">
      <c r="A1352" t="s">
        <v>5606</v>
      </c>
      <c r="B1352" t="s">
        <v>6336</v>
      </c>
    </row>
    <row r="1353" spans="1:2" x14ac:dyDescent="0.25">
      <c r="A1353" t="s">
        <v>4641</v>
      </c>
      <c r="B1353" t="s">
        <v>5787</v>
      </c>
    </row>
    <row r="1354" spans="1:2" x14ac:dyDescent="0.25">
      <c r="A1354" t="s">
        <v>1342</v>
      </c>
      <c r="B1354" t="s">
        <v>5802</v>
      </c>
    </row>
    <row r="1355" spans="1:2" x14ac:dyDescent="0.25">
      <c r="A1355" t="s">
        <v>4382</v>
      </c>
      <c r="B1355" t="s">
        <v>5804</v>
      </c>
    </row>
    <row r="1356" spans="1:2" x14ac:dyDescent="0.25">
      <c r="A1356" t="s">
        <v>428</v>
      </c>
      <c r="B1356" t="s">
        <v>5787</v>
      </c>
    </row>
    <row r="1357" spans="1:2" x14ac:dyDescent="0.25">
      <c r="A1357" t="s">
        <v>3566</v>
      </c>
      <c r="B1357" t="s">
        <v>5916</v>
      </c>
    </row>
    <row r="1358" spans="1:2" x14ac:dyDescent="0.25">
      <c r="A1358" t="s">
        <v>1830</v>
      </c>
      <c r="B1358" t="s">
        <v>6025</v>
      </c>
    </row>
    <row r="1359" spans="1:2" x14ac:dyDescent="0.25">
      <c r="A1359" t="s">
        <v>1104</v>
      </c>
      <c r="B1359" t="s">
        <v>6047</v>
      </c>
    </row>
    <row r="1360" spans="1:2" x14ac:dyDescent="0.25">
      <c r="A1360" t="s">
        <v>4223</v>
      </c>
      <c r="B1360" t="s">
        <v>5762</v>
      </c>
    </row>
    <row r="1361" spans="1:2" x14ac:dyDescent="0.25">
      <c r="A1361" t="s">
        <v>3578</v>
      </c>
      <c r="B1361" t="s">
        <v>5787</v>
      </c>
    </row>
    <row r="1362" spans="1:2" x14ac:dyDescent="0.25">
      <c r="A1362" t="s">
        <v>1098</v>
      </c>
      <c r="B1362" t="s">
        <v>6004</v>
      </c>
    </row>
    <row r="1363" spans="1:2" x14ac:dyDescent="0.25">
      <c r="A1363" t="s">
        <v>3565</v>
      </c>
      <c r="B1363" t="s">
        <v>5787</v>
      </c>
    </row>
    <row r="1364" spans="1:2" x14ac:dyDescent="0.25">
      <c r="A1364" t="s">
        <v>5696</v>
      </c>
      <c r="B1364" t="s">
        <v>5787</v>
      </c>
    </row>
    <row r="1365" spans="1:2" x14ac:dyDescent="0.25">
      <c r="A1365" t="s">
        <v>4582</v>
      </c>
      <c r="B1365" t="s">
        <v>5909</v>
      </c>
    </row>
    <row r="1366" spans="1:2" x14ac:dyDescent="0.25">
      <c r="A1366" t="s">
        <v>585</v>
      </c>
      <c r="B1366" t="s">
        <v>5788</v>
      </c>
    </row>
    <row r="1367" spans="1:2" x14ac:dyDescent="0.25">
      <c r="A1367" t="s">
        <v>2910</v>
      </c>
      <c r="B1367" t="s">
        <v>5713</v>
      </c>
    </row>
    <row r="1368" spans="1:2" x14ac:dyDescent="0.25">
      <c r="A1368" t="s">
        <v>112</v>
      </c>
      <c r="B1368" t="s">
        <v>5849</v>
      </c>
    </row>
    <row r="1369" spans="1:2" x14ac:dyDescent="0.25">
      <c r="A1369" t="s">
        <v>5289</v>
      </c>
      <c r="B1369" t="s">
        <v>5838</v>
      </c>
    </row>
    <row r="1370" spans="1:2" x14ac:dyDescent="0.25">
      <c r="A1370" t="s">
        <v>886</v>
      </c>
      <c r="B1370" t="s">
        <v>5716</v>
      </c>
    </row>
    <row r="1371" spans="1:2" x14ac:dyDescent="0.25">
      <c r="A1371" t="s">
        <v>1112</v>
      </c>
      <c r="B1371" t="s">
        <v>5847</v>
      </c>
    </row>
    <row r="1372" spans="1:2" x14ac:dyDescent="0.25">
      <c r="A1372" t="s">
        <v>2922</v>
      </c>
      <c r="B1372" t="s">
        <v>5981</v>
      </c>
    </row>
    <row r="1373" spans="1:2" x14ac:dyDescent="0.25">
      <c r="A1373" t="s">
        <v>1380</v>
      </c>
      <c r="B1373" t="s">
        <v>5787</v>
      </c>
    </row>
    <row r="1374" spans="1:2" x14ac:dyDescent="0.25">
      <c r="A1374" t="s">
        <v>227</v>
      </c>
      <c r="B1374" t="s">
        <v>5787</v>
      </c>
    </row>
    <row r="1375" spans="1:2" x14ac:dyDescent="0.25">
      <c r="A1375" t="s">
        <v>2570</v>
      </c>
      <c r="B1375" t="s">
        <v>5807</v>
      </c>
    </row>
    <row r="1376" spans="1:2" x14ac:dyDescent="0.25">
      <c r="A1376" t="s">
        <v>4793</v>
      </c>
      <c r="B1376">
        <v>0</v>
      </c>
    </row>
    <row r="1377" spans="1:2" x14ac:dyDescent="0.25">
      <c r="A1377" t="s">
        <v>3837</v>
      </c>
      <c r="B1377" t="s">
        <v>6034</v>
      </c>
    </row>
    <row r="1378" spans="1:2" x14ac:dyDescent="0.25">
      <c r="A1378" t="s">
        <v>2795</v>
      </c>
      <c r="B1378" t="s">
        <v>5719</v>
      </c>
    </row>
    <row r="1379" spans="1:2" x14ac:dyDescent="0.25">
      <c r="A1379" t="s">
        <v>1783</v>
      </c>
      <c r="B1379" t="s">
        <v>5721</v>
      </c>
    </row>
    <row r="1380" spans="1:2" x14ac:dyDescent="0.25">
      <c r="A1380" t="s">
        <v>5331</v>
      </c>
      <c r="B1380" t="s">
        <v>5997</v>
      </c>
    </row>
    <row r="1381" spans="1:2" x14ac:dyDescent="0.25">
      <c r="A1381" t="s">
        <v>4848</v>
      </c>
      <c r="B1381" t="s">
        <v>6009</v>
      </c>
    </row>
    <row r="1382" spans="1:2" x14ac:dyDescent="0.25">
      <c r="A1382" t="s">
        <v>2661</v>
      </c>
      <c r="B1382" t="s">
        <v>5915</v>
      </c>
    </row>
    <row r="1383" spans="1:2" x14ac:dyDescent="0.25">
      <c r="A1383" t="s">
        <v>3385</v>
      </c>
      <c r="B1383" t="s">
        <v>5817</v>
      </c>
    </row>
    <row r="1384" spans="1:2" x14ac:dyDescent="0.25">
      <c r="A1384" t="s">
        <v>3211</v>
      </c>
      <c r="B1384" t="s">
        <v>5782</v>
      </c>
    </row>
    <row r="1385" spans="1:2" x14ac:dyDescent="0.25">
      <c r="A1385" t="s">
        <v>4710</v>
      </c>
      <c r="B1385" t="s">
        <v>5704</v>
      </c>
    </row>
    <row r="1386" spans="1:2" x14ac:dyDescent="0.25">
      <c r="A1386" t="s">
        <v>5020</v>
      </c>
      <c r="B1386" t="s">
        <v>5789</v>
      </c>
    </row>
    <row r="1387" spans="1:2" x14ac:dyDescent="0.25">
      <c r="A1387" t="s">
        <v>908</v>
      </c>
      <c r="B1387" t="s">
        <v>5787</v>
      </c>
    </row>
    <row r="1388" spans="1:2" x14ac:dyDescent="0.25">
      <c r="A1388" t="s">
        <v>3600</v>
      </c>
      <c r="B1388" t="s">
        <v>5896</v>
      </c>
    </row>
    <row r="1389" spans="1:2" x14ac:dyDescent="0.25">
      <c r="A1389" t="s">
        <v>4</v>
      </c>
      <c r="B1389" t="s">
        <v>5787</v>
      </c>
    </row>
    <row r="1390" spans="1:2" x14ac:dyDescent="0.25">
      <c r="A1390" t="s">
        <v>4450</v>
      </c>
      <c r="B1390" t="s">
        <v>5787</v>
      </c>
    </row>
    <row r="1391" spans="1:2" x14ac:dyDescent="0.25">
      <c r="A1391" t="s">
        <v>1902</v>
      </c>
      <c r="B1391" t="s">
        <v>6473</v>
      </c>
    </row>
    <row r="1392" spans="1:2" x14ac:dyDescent="0.25">
      <c r="A1392" t="s">
        <v>3645</v>
      </c>
      <c r="B1392" t="s">
        <v>5793</v>
      </c>
    </row>
    <row r="1393" spans="1:2" x14ac:dyDescent="0.25">
      <c r="A1393" t="s">
        <v>5225</v>
      </c>
      <c r="B1393" t="s">
        <v>5848</v>
      </c>
    </row>
    <row r="1394" spans="1:2" x14ac:dyDescent="0.25">
      <c r="A1394" t="s">
        <v>5095</v>
      </c>
      <c r="B1394" t="s">
        <v>6082</v>
      </c>
    </row>
    <row r="1395" spans="1:2" x14ac:dyDescent="0.25">
      <c r="A1395" t="s">
        <v>5462</v>
      </c>
      <c r="B1395" t="s">
        <v>5935</v>
      </c>
    </row>
    <row r="1396" spans="1:2" x14ac:dyDescent="0.25">
      <c r="A1396" t="s">
        <v>4706</v>
      </c>
      <c r="B1396" t="s">
        <v>6238</v>
      </c>
    </row>
    <row r="1397" spans="1:2" x14ac:dyDescent="0.25">
      <c r="A1397" t="s">
        <v>2674</v>
      </c>
      <c r="B1397" t="s">
        <v>5787</v>
      </c>
    </row>
    <row r="1398" spans="1:2" x14ac:dyDescent="0.25">
      <c r="A1398" t="s">
        <v>3693</v>
      </c>
      <c r="B1398" t="s">
        <v>5795</v>
      </c>
    </row>
    <row r="1399" spans="1:2" x14ac:dyDescent="0.25">
      <c r="A1399" t="s">
        <v>4680</v>
      </c>
      <c r="B1399" t="s">
        <v>5787</v>
      </c>
    </row>
    <row r="1400" spans="1:2" x14ac:dyDescent="0.25">
      <c r="A1400" t="s">
        <v>8365</v>
      </c>
      <c r="B1400" t="s">
        <v>5923</v>
      </c>
    </row>
    <row r="1401" spans="1:2" x14ac:dyDescent="0.25">
      <c r="A1401" t="s">
        <v>2063</v>
      </c>
      <c r="B1401" t="s">
        <v>5931</v>
      </c>
    </row>
    <row r="1402" spans="1:2" x14ac:dyDescent="0.25">
      <c r="A1402" t="s">
        <v>5167</v>
      </c>
      <c r="B1402" t="s">
        <v>6369</v>
      </c>
    </row>
    <row r="1403" spans="1:2" x14ac:dyDescent="0.25">
      <c r="A1403" t="s">
        <v>5640</v>
      </c>
      <c r="B1403" t="s">
        <v>6397</v>
      </c>
    </row>
    <row r="1404" spans="1:2" x14ac:dyDescent="0.25">
      <c r="A1404" t="s">
        <v>51</v>
      </c>
      <c r="B1404" t="s">
        <v>5787</v>
      </c>
    </row>
    <row r="1405" spans="1:2" x14ac:dyDescent="0.25">
      <c r="A1405" t="s">
        <v>4761</v>
      </c>
      <c r="B1405" t="s">
        <v>6442</v>
      </c>
    </row>
    <row r="1406" spans="1:2" x14ac:dyDescent="0.25">
      <c r="A1406" t="s">
        <v>5066</v>
      </c>
      <c r="B1406" t="s">
        <v>5757</v>
      </c>
    </row>
    <row r="1407" spans="1:2" x14ac:dyDescent="0.25">
      <c r="A1407" t="s">
        <v>274</v>
      </c>
      <c r="B1407" t="s">
        <v>5803</v>
      </c>
    </row>
    <row r="1408" spans="1:2" x14ac:dyDescent="0.25">
      <c r="A1408" t="s">
        <v>1663</v>
      </c>
      <c r="B1408" t="s">
        <v>5817</v>
      </c>
    </row>
    <row r="1409" spans="1:2" x14ac:dyDescent="0.25">
      <c r="A1409" t="s">
        <v>2096</v>
      </c>
      <c r="B1409" t="s">
        <v>5728</v>
      </c>
    </row>
    <row r="1410" spans="1:2" x14ac:dyDescent="0.25">
      <c r="A1410" t="s">
        <v>2020</v>
      </c>
      <c r="B1410" t="s">
        <v>6438</v>
      </c>
    </row>
    <row r="1411" spans="1:2" x14ac:dyDescent="0.25">
      <c r="A1411" t="s">
        <v>2417</v>
      </c>
      <c r="B1411" t="s">
        <v>5908</v>
      </c>
    </row>
    <row r="1412" spans="1:2" x14ac:dyDescent="0.25">
      <c r="A1412" t="s">
        <v>2746</v>
      </c>
      <c r="B1412" t="s">
        <v>5937</v>
      </c>
    </row>
    <row r="1413" spans="1:2" x14ac:dyDescent="0.25">
      <c r="A1413" t="s">
        <v>742</v>
      </c>
      <c r="B1413" t="s">
        <v>5708</v>
      </c>
    </row>
    <row r="1414" spans="1:2" x14ac:dyDescent="0.25">
      <c r="A1414" t="s">
        <v>3085</v>
      </c>
      <c r="B1414" t="s">
        <v>6202</v>
      </c>
    </row>
    <row r="1415" spans="1:2" x14ac:dyDescent="0.25">
      <c r="A1415" t="s">
        <v>759</v>
      </c>
      <c r="B1415" t="s">
        <v>6189</v>
      </c>
    </row>
    <row r="1416" spans="1:2" x14ac:dyDescent="0.25">
      <c r="A1416" t="s">
        <v>4428</v>
      </c>
      <c r="B1416" t="s">
        <v>6040</v>
      </c>
    </row>
    <row r="1417" spans="1:2" x14ac:dyDescent="0.25">
      <c r="A1417" t="s">
        <v>2282</v>
      </c>
      <c r="B1417" t="s">
        <v>5711</v>
      </c>
    </row>
    <row r="1418" spans="1:2" x14ac:dyDescent="0.25">
      <c r="A1418" t="s">
        <v>2014</v>
      </c>
      <c r="B1418">
        <v>0</v>
      </c>
    </row>
    <row r="1419" spans="1:2" x14ac:dyDescent="0.25">
      <c r="A1419" t="s">
        <v>4924</v>
      </c>
      <c r="B1419" t="s">
        <v>5929</v>
      </c>
    </row>
    <row r="1420" spans="1:2" x14ac:dyDescent="0.25">
      <c r="A1420" t="s">
        <v>4162</v>
      </c>
      <c r="B1420" t="s">
        <v>5810</v>
      </c>
    </row>
    <row r="1421" spans="1:2" x14ac:dyDescent="0.25">
      <c r="A1421" t="s">
        <v>2729</v>
      </c>
      <c r="B1421" t="s">
        <v>5789</v>
      </c>
    </row>
    <row r="1422" spans="1:2" x14ac:dyDescent="0.25">
      <c r="A1422" t="s">
        <v>2919</v>
      </c>
      <c r="B1422" t="s">
        <v>5901</v>
      </c>
    </row>
    <row r="1423" spans="1:2" x14ac:dyDescent="0.25">
      <c r="A1423" t="s">
        <v>584</v>
      </c>
      <c r="B1423" t="s">
        <v>6643</v>
      </c>
    </row>
    <row r="1424" spans="1:2" x14ac:dyDescent="0.25">
      <c r="A1424" t="s">
        <v>4216</v>
      </c>
      <c r="B1424" t="s">
        <v>6217</v>
      </c>
    </row>
    <row r="1425" spans="1:2" x14ac:dyDescent="0.25">
      <c r="A1425" t="s">
        <v>4291</v>
      </c>
      <c r="B1425" t="s">
        <v>6054</v>
      </c>
    </row>
    <row r="1426" spans="1:2" x14ac:dyDescent="0.25">
      <c r="A1426" t="s">
        <v>1422</v>
      </c>
      <c r="B1426" t="s">
        <v>5924</v>
      </c>
    </row>
    <row r="1427" spans="1:2" x14ac:dyDescent="0.25">
      <c r="A1427" t="s">
        <v>1784</v>
      </c>
      <c r="B1427" t="s">
        <v>5788</v>
      </c>
    </row>
    <row r="1428" spans="1:2" x14ac:dyDescent="0.25">
      <c r="A1428" t="s">
        <v>3443</v>
      </c>
      <c r="B1428" t="s">
        <v>5788</v>
      </c>
    </row>
    <row r="1429" spans="1:2" x14ac:dyDescent="0.25">
      <c r="A1429" t="s">
        <v>4989</v>
      </c>
      <c r="B1429" t="s">
        <v>6309</v>
      </c>
    </row>
    <row r="1430" spans="1:2" x14ac:dyDescent="0.25">
      <c r="A1430" t="s">
        <v>2975</v>
      </c>
      <c r="B1430" t="s">
        <v>6289</v>
      </c>
    </row>
    <row r="1431" spans="1:2" x14ac:dyDescent="0.25">
      <c r="A1431" t="s">
        <v>2196</v>
      </c>
      <c r="B1431" t="s">
        <v>5911</v>
      </c>
    </row>
    <row r="1432" spans="1:2" x14ac:dyDescent="0.25">
      <c r="A1432" t="s">
        <v>1283</v>
      </c>
      <c r="B1432" t="s">
        <v>6269</v>
      </c>
    </row>
    <row r="1433" spans="1:2" x14ac:dyDescent="0.25">
      <c r="A1433" t="s">
        <v>1303</v>
      </c>
      <c r="B1433" t="s">
        <v>6106</v>
      </c>
    </row>
    <row r="1434" spans="1:2" x14ac:dyDescent="0.25">
      <c r="A1434" t="s">
        <v>505</v>
      </c>
      <c r="B1434" t="s">
        <v>5744</v>
      </c>
    </row>
    <row r="1435" spans="1:2" x14ac:dyDescent="0.25">
      <c r="A1435" t="s">
        <v>1980</v>
      </c>
      <c r="B1435" t="s">
        <v>6071</v>
      </c>
    </row>
    <row r="1436" spans="1:2" x14ac:dyDescent="0.25">
      <c r="A1436" t="s">
        <v>4881</v>
      </c>
      <c r="B1436" t="s">
        <v>5788</v>
      </c>
    </row>
    <row r="1437" spans="1:2" x14ac:dyDescent="0.25">
      <c r="A1437" t="s">
        <v>5241</v>
      </c>
      <c r="B1437" t="s">
        <v>6490</v>
      </c>
    </row>
    <row r="1438" spans="1:2" x14ac:dyDescent="0.25">
      <c r="A1438" t="s">
        <v>216</v>
      </c>
      <c r="B1438" t="s">
        <v>5762</v>
      </c>
    </row>
    <row r="1439" spans="1:2" x14ac:dyDescent="0.25">
      <c r="A1439" t="s">
        <v>2343</v>
      </c>
      <c r="B1439" t="s">
        <v>5792</v>
      </c>
    </row>
    <row r="1440" spans="1:2" x14ac:dyDescent="0.25">
      <c r="A1440" t="s">
        <v>1364</v>
      </c>
      <c r="B1440" t="s">
        <v>5788</v>
      </c>
    </row>
    <row r="1441" spans="1:2" x14ac:dyDescent="0.25">
      <c r="A1441" t="s">
        <v>4439</v>
      </c>
      <c r="B1441" t="s">
        <v>6364</v>
      </c>
    </row>
    <row r="1442" spans="1:2" x14ac:dyDescent="0.25">
      <c r="A1442" t="s">
        <v>1344</v>
      </c>
      <c r="B1442" t="s">
        <v>6462</v>
      </c>
    </row>
    <row r="1443" spans="1:2" x14ac:dyDescent="0.25">
      <c r="A1443" t="s">
        <v>2504</v>
      </c>
      <c r="B1443" t="s">
        <v>5800</v>
      </c>
    </row>
    <row r="1444" spans="1:2" x14ac:dyDescent="0.25">
      <c r="A1444" t="s">
        <v>463</v>
      </c>
      <c r="B1444" t="s">
        <v>5881</v>
      </c>
    </row>
    <row r="1445" spans="1:2" x14ac:dyDescent="0.25">
      <c r="A1445" t="s">
        <v>1787</v>
      </c>
      <c r="B1445" t="s">
        <v>6478</v>
      </c>
    </row>
    <row r="1446" spans="1:2" x14ac:dyDescent="0.25">
      <c r="A1446" t="s">
        <v>4148</v>
      </c>
      <c r="B1446" t="s">
        <v>5861</v>
      </c>
    </row>
    <row r="1447" spans="1:2" x14ac:dyDescent="0.25">
      <c r="A1447" t="s">
        <v>686</v>
      </c>
      <c r="B1447" t="s">
        <v>5787</v>
      </c>
    </row>
    <row r="1448" spans="1:2" x14ac:dyDescent="0.25">
      <c r="A1448" t="s">
        <v>2371</v>
      </c>
      <c r="B1448" t="s">
        <v>5895</v>
      </c>
    </row>
    <row r="1449" spans="1:2" x14ac:dyDescent="0.25">
      <c r="A1449" t="s">
        <v>5460</v>
      </c>
      <c r="B1449" t="s">
        <v>5766</v>
      </c>
    </row>
    <row r="1450" spans="1:2" x14ac:dyDescent="0.25">
      <c r="A1450" t="s">
        <v>5125</v>
      </c>
      <c r="B1450">
        <v>0</v>
      </c>
    </row>
    <row r="1451" spans="1:2" x14ac:dyDescent="0.25">
      <c r="A1451" t="s">
        <v>2229</v>
      </c>
      <c r="B1451" t="s">
        <v>5807</v>
      </c>
    </row>
    <row r="1452" spans="1:2" x14ac:dyDescent="0.25">
      <c r="A1452" t="s">
        <v>3592</v>
      </c>
      <c r="B1452" t="s">
        <v>5778</v>
      </c>
    </row>
    <row r="1453" spans="1:2" x14ac:dyDescent="0.25">
      <c r="A1453" t="s">
        <v>5039</v>
      </c>
      <c r="B1453" t="s">
        <v>6440</v>
      </c>
    </row>
    <row r="1454" spans="1:2" x14ac:dyDescent="0.25">
      <c r="A1454" t="s">
        <v>1030</v>
      </c>
      <c r="B1454" t="s">
        <v>5792</v>
      </c>
    </row>
    <row r="1455" spans="1:2" x14ac:dyDescent="0.25">
      <c r="A1455" t="s">
        <v>305</v>
      </c>
      <c r="B1455" t="s">
        <v>5787</v>
      </c>
    </row>
    <row r="1456" spans="1:2" x14ac:dyDescent="0.25">
      <c r="A1456" t="s">
        <v>53</v>
      </c>
      <c r="B1456" t="s">
        <v>6046</v>
      </c>
    </row>
    <row r="1457" spans="1:2" x14ac:dyDescent="0.25">
      <c r="A1457" t="s">
        <v>2260</v>
      </c>
      <c r="B1457" t="s">
        <v>6144</v>
      </c>
    </row>
    <row r="1458" spans="1:2" x14ac:dyDescent="0.25">
      <c r="A1458" t="s">
        <v>413</v>
      </c>
      <c r="B1458" t="s">
        <v>5875</v>
      </c>
    </row>
    <row r="1459" spans="1:2" x14ac:dyDescent="0.25">
      <c r="A1459" t="s">
        <v>387</v>
      </c>
      <c r="B1459" t="s">
        <v>5787</v>
      </c>
    </row>
    <row r="1460" spans="1:2" x14ac:dyDescent="0.25">
      <c r="A1460" t="s">
        <v>1097</v>
      </c>
      <c r="B1460" t="s">
        <v>5908</v>
      </c>
    </row>
    <row r="1461" spans="1:2" x14ac:dyDescent="0.25">
      <c r="A1461" t="s">
        <v>2262</v>
      </c>
      <c r="B1461" t="s">
        <v>5908</v>
      </c>
    </row>
    <row r="1462" spans="1:2" x14ac:dyDescent="0.25">
      <c r="A1462" t="s">
        <v>820</v>
      </c>
      <c r="B1462" t="s">
        <v>6180</v>
      </c>
    </row>
    <row r="1463" spans="1:2" x14ac:dyDescent="0.25">
      <c r="A1463" t="s">
        <v>3882</v>
      </c>
      <c r="B1463" t="s">
        <v>5774</v>
      </c>
    </row>
    <row r="1464" spans="1:2" x14ac:dyDescent="0.25">
      <c r="A1464" t="s">
        <v>2242</v>
      </c>
      <c r="B1464" t="s">
        <v>6566</v>
      </c>
    </row>
    <row r="1465" spans="1:2" x14ac:dyDescent="0.25">
      <c r="A1465" t="s">
        <v>5396</v>
      </c>
      <c r="B1465" t="s">
        <v>6050</v>
      </c>
    </row>
    <row r="1466" spans="1:2" x14ac:dyDescent="0.25">
      <c r="A1466" t="s">
        <v>3431</v>
      </c>
      <c r="B1466" t="s">
        <v>5787</v>
      </c>
    </row>
    <row r="1467" spans="1:2" x14ac:dyDescent="0.25">
      <c r="A1467" t="s">
        <v>5304</v>
      </c>
      <c r="B1467" t="s">
        <v>5793</v>
      </c>
    </row>
    <row r="1468" spans="1:2" x14ac:dyDescent="0.25">
      <c r="A1468" t="s">
        <v>4264</v>
      </c>
      <c r="B1468" t="s">
        <v>5830</v>
      </c>
    </row>
    <row r="1469" spans="1:2" x14ac:dyDescent="0.25">
      <c r="A1469" t="s">
        <v>798</v>
      </c>
      <c r="B1469" t="s">
        <v>5787</v>
      </c>
    </row>
    <row r="1470" spans="1:2" x14ac:dyDescent="0.25">
      <c r="A1470" t="s">
        <v>5495</v>
      </c>
      <c r="B1470" t="s">
        <v>6142</v>
      </c>
    </row>
    <row r="1471" spans="1:2" x14ac:dyDescent="0.25">
      <c r="A1471" t="s">
        <v>3973</v>
      </c>
      <c r="B1471" t="s">
        <v>5818</v>
      </c>
    </row>
    <row r="1472" spans="1:2" x14ac:dyDescent="0.25">
      <c r="A1472" t="s">
        <v>555</v>
      </c>
      <c r="B1472" t="s">
        <v>5787</v>
      </c>
    </row>
    <row r="1473" spans="1:2" x14ac:dyDescent="0.25">
      <c r="A1473" t="s">
        <v>3613</v>
      </c>
      <c r="B1473" t="s">
        <v>5834</v>
      </c>
    </row>
    <row r="1474" spans="1:2" x14ac:dyDescent="0.25">
      <c r="A1474" t="s">
        <v>5213</v>
      </c>
      <c r="B1474" t="s">
        <v>5967</v>
      </c>
    </row>
    <row r="1475" spans="1:2" x14ac:dyDescent="0.25">
      <c r="A1475" t="s">
        <v>5074</v>
      </c>
      <c r="B1475" t="s">
        <v>5809</v>
      </c>
    </row>
    <row r="1476" spans="1:2" x14ac:dyDescent="0.25">
      <c r="A1476" t="s">
        <v>1781</v>
      </c>
      <c r="B1476" t="s">
        <v>5772</v>
      </c>
    </row>
    <row r="1477" spans="1:2" x14ac:dyDescent="0.25">
      <c r="A1477" t="s">
        <v>3246</v>
      </c>
      <c r="B1477" t="s">
        <v>5857</v>
      </c>
    </row>
    <row r="1478" spans="1:2" x14ac:dyDescent="0.25">
      <c r="A1478" t="s">
        <v>4202</v>
      </c>
      <c r="B1478" t="s">
        <v>6122</v>
      </c>
    </row>
    <row r="1479" spans="1:2" x14ac:dyDescent="0.25">
      <c r="A1479" t="s">
        <v>1501</v>
      </c>
      <c r="B1479" t="s">
        <v>5958</v>
      </c>
    </row>
    <row r="1480" spans="1:2" x14ac:dyDescent="0.25">
      <c r="A1480" t="s">
        <v>2603</v>
      </c>
      <c r="B1480" t="s">
        <v>5868</v>
      </c>
    </row>
    <row r="1481" spans="1:2" x14ac:dyDescent="0.25">
      <c r="A1481" t="s">
        <v>4942</v>
      </c>
      <c r="B1481" t="s">
        <v>5864</v>
      </c>
    </row>
    <row r="1482" spans="1:2" x14ac:dyDescent="0.25">
      <c r="A1482" t="s">
        <v>2933</v>
      </c>
      <c r="B1482" t="s">
        <v>5866</v>
      </c>
    </row>
    <row r="1483" spans="1:2" x14ac:dyDescent="0.25">
      <c r="A1483" t="s">
        <v>4168</v>
      </c>
      <c r="B1483" t="s">
        <v>6085</v>
      </c>
    </row>
    <row r="1484" spans="1:2" x14ac:dyDescent="0.25">
      <c r="A1484" t="s">
        <v>4237</v>
      </c>
      <c r="B1484" t="s">
        <v>6023</v>
      </c>
    </row>
    <row r="1485" spans="1:2" x14ac:dyDescent="0.25">
      <c r="A1485" t="s">
        <v>5573</v>
      </c>
      <c r="B1485" t="s">
        <v>5838</v>
      </c>
    </row>
    <row r="1486" spans="1:2" x14ac:dyDescent="0.25">
      <c r="A1486" t="s">
        <v>287</v>
      </c>
      <c r="B1486" t="s">
        <v>6061</v>
      </c>
    </row>
    <row r="1487" spans="1:2" x14ac:dyDescent="0.25">
      <c r="A1487" t="s">
        <v>3454</v>
      </c>
      <c r="B1487" t="s">
        <v>5789</v>
      </c>
    </row>
    <row r="1488" spans="1:2" x14ac:dyDescent="0.25">
      <c r="A1488" t="s">
        <v>1375</v>
      </c>
      <c r="B1488" t="s">
        <v>5795</v>
      </c>
    </row>
    <row r="1489" spans="1:2" x14ac:dyDescent="0.25">
      <c r="A1489" t="s">
        <v>4586</v>
      </c>
      <c r="B1489" t="s">
        <v>5946</v>
      </c>
    </row>
    <row r="1490" spans="1:2" x14ac:dyDescent="0.25">
      <c r="A1490" t="s">
        <v>2234</v>
      </c>
      <c r="B1490" t="s">
        <v>5961</v>
      </c>
    </row>
    <row r="1491" spans="1:2" x14ac:dyDescent="0.25">
      <c r="A1491" t="s">
        <v>5682</v>
      </c>
      <c r="B1491" t="s">
        <v>5888</v>
      </c>
    </row>
    <row r="1492" spans="1:2" x14ac:dyDescent="0.25">
      <c r="A1492" t="s">
        <v>3169</v>
      </c>
      <c r="B1492" t="s">
        <v>5787</v>
      </c>
    </row>
    <row r="1493" spans="1:2" x14ac:dyDescent="0.25">
      <c r="A1493" t="s">
        <v>1665</v>
      </c>
      <c r="B1493" t="s">
        <v>5941</v>
      </c>
    </row>
    <row r="1494" spans="1:2" x14ac:dyDescent="0.25">
      <c r="A1494" t="s">
        <v>4650</v>
      </c>
      <c r="B1494" t="s">
        <v>5766</v>
      </c>
    </row>
    <row r="1495" spans="1:2" x14ac:dyDescent="0.25">
      <c r="A1495" t="s">
        <v>4565</v>
      </c>
      <c r="B1495" t="s">
        <v>5788</v>
      </c>
    </row>
    <row r="1496" spans="1:2" x14ac:dyDescent="0.25">
      <c r="A1496" t="s">
        <v>5022</v>
      </c>
      <c r="B1496" t="s">
        <v>5787</v>
      </c>
    </row>
    <row r="1497" spans="1:2" x14ac:dyDescent="0.25">
      <c r="A1497" t="s">
        <v>4279</v>
      </c>
      <c r="B1497" t="s">
        <v>5845</v>
      </c>
    </row>
    <row r="1498" spans="1:2" x14ac:dyDescent="0.25">
      <c r="A1498" t="s">
        <v>1484</v>
      </c>
      <c r="B1498" t="s">
        <v>5814</v>
      </c>
    </row>
    <row r="1499" spans="1:2" x14ac:dyDescent="0.25">
      <c r="A1499" t="s">
        <v>3358</v>
      </c>
      <c r="B1499" t="s">
        <v>5861</v>
      </c>
    </row>
    <row r="1500" spans="1:2" x14ac:dyDescent="0.25">
      <c r="A1500" t="s">
        <v>692</v>
      </c>
      <c r="B1500" t="s">
        <v>5795</v>
      </c>
    </row>
    <row r="1501" spans="1:2" x14ac:dyDescent="0.25">
      <c r="A1501" t="s">
        <v>981</v>
      </c>
      <c r="B1501" t="s">
        <v>5724</v>
      </c>
    </row>
    <row r="1502" spans="1:2" x14ac:dyDescent="0.25">
      <c r="A1502" t="s">
        <v>2257</v>
      </c>
      <c r="B1502" t="s">
        <v>5900</v>
      </c>
    </row>
    <row r="1503" spans="1:2" x14ac:dyDescent="0.25">
      <c r="A1503" t="s">
        <v>3149</v>
      </c>
      <c r="B1503" t="s">
        <v>5787</v>
      </c>
    </row>
    <row r="1504" spans="1:2" x14ac:dyDescent="0.25">
      <c r="A1504" t="s">
        <v>4686</v>
      </c>
      <c r="B1504" t="s">
        <v>6538</v>
      </c>
    </row>
    <row r="1505" spans="1:2" x14ac:dyDescent="0.25">
      <c r="A1505" t="s">
        <v>2597</v>
      </c>
      <c r="B1505" t="s">
        <v>6262</v>
      </c>
    </row>
    <row r="1506" spans="1:2" x14ac:dyDescent="0.25">
      <c r="A1506" t="s">
        <v>5353</v>
      </c>
      <c r="B1506">
        <v>0</v>
      </c>
    </row>
    <row r="1507" spans="1:2" x14ac:dyDescent="0.25">
      <c r="A1507" t="s">
        <v>4592</v>
      </c>
      <c r="B1507" t="s">
        <v>6349</v>
      </c>
    </row>
    <row r="1508" spans="1:2" x14ac:dyDescent="0.25">
      <c r="A1508" t="s">
        <v>5175</v>
      </c>
      <c r="B1508" t="s">
        <v>5855</v>
      </c>
    </row>
    <row r="1509" spans="1:2" x14ac:dyDescent="0.25">
      <c r="A1509" t="s">
        <v>2811</v>
      </c>
      <c r="B1509" t="s">
        <v>5827</v>
      </c>
    </row>
    <row r="1510" spans="1:2" x14ac:dyDescent="0.25">
      <c r="A1510" t="s">
        <v>2835</v>
      </c>
      <c r="B1510" t="s">
        <v>6113</v>
      </c>
    </row>
    <row r="1511" spans="1:2" x14ac:dyDescent="0.25">
      <c r="A1511" t="s">
        <v>502</v>
      </c>
      <c r="B1511" t="s">
        <v>5778</v>
      </c>
    </row>
    <row r="1512" spans="1:2" x14ac:dyDescent="0.25">
      <c r="A1512" t="s">
        <v>4176</v>
      </c>
      <c r="B1512" t="s">
        <v>5747</v>
      </c>
    </row>
    <row r="1513" spans="1:2" x14ac:dyDescent="0.25">
      <c r="A1513" t="s">
        <v>4245</v>
      </c>
      <c r="B1513" t="s">
        <v>5730</v>
      </c>
    </row>
    <row r="1514" spans="1:2" x14ac:dyDescent="0.25">
      <c r="A1514" t="s">
        <v>740</v>
      </c>
      <c r="B1514" t="s">
        <v>5787</v>
      </c>
    </row>
    <row r="1515" spans="1:2" x14ac:dyDescent="0.25">
      <c r="A1515" t="s">
        <v>5275</v>
      </c>
      <c r="B1515" t="s">
        <v>5787</v>
      </c>
    </row>
    <row r="1516" spans="1:2" x14ac:dyDescent="0.25">
      <c r="A1516" t="s">
        <v>3114</v>
      </c>
      <c r="B1516" t="s">
        <v>5787</v>
      </c>
    </row>
    <row r="1517" spans="1:2" x14ac:dyDescent="0.25">
      <c r="A1517" t="s">
        <v>3333</v>
      </c>
      <c r="B1517" t="s">
        <v>6351</v>
      </c>
    </row>
    <row r="1518" spans="1:2" x14ac:dyDescent="0.25">
      <c r="A1518" t="s">
        <v>4869</v>
      </c>
      <c r="B1518" t="s">
        <v>5798</v>
      </c>
    </row>
    <row r="1519" spans="1:2" x14ac:dyDescent="0.25">
      <c r="A1519" t="s">
        <v>1794</v>
      </c>
      <c r="B1519" t="s">
        <v>5782</v>
      </c>
    </row>
    <row r="1520" spans="1:2" x14ac:dyDescent="0.25">
      <c r="A1520" t="s">
        <v>1301</v>
      </c>
      <c r="B1520" t="s">
        <v>5750</v>
      </c>
    </row>
    <row r="1521" spans="1:2" x14ac:dyDescent="0.25">
      <c r="A1521" t="s">
        <v>954</v>
      </c>
      <c r="B1521" t="s">
        <v>5911</v>
      </c>
    </row>
    <row r="1522" spans="1:2" x14ac:dyDescent="0.25">
      <c r="A1522" t="s">
        <v>5094</v>
      </c>
      <c r="B1522" t="s">
        <v>5744</v>
      </c>
    </row>
    <row r="1523" spans="1:2" x14ac:dyDescent="0.25">
      <c r="A1523" t="s">
        <v>1229</v>
      </c>
      <c r="B1523" t="s">
        <v>6059</v>
      </c>
    </row>
    <row r="1524" spans="1:2" x14ac:dyDescent="0.25">
      <c r="A1524" t="s">
        <v>2017</v>
      </c>
      <c r="B1524" t="s">
        <v>5837</v>
      </c>
    </row>
    <row r="1525" spans="1:2" x14ac:dyDescent="0.25">
      <c r="A1525" t="s">
        <v>4755</v>
      </c>
      <c r="B1525" t="s">
        <v>5713</v>
      </c>
    </row>
    <row r="1526" spans="1:2" x14ac:dyDescent="0.25">
      <c r="A1526" t="s">
        <v>4161</v>
      </c>
      <c r="B1526" t="s">
        <v>6055</v>
      </c>
    </row>
    <row r="1527" spans="1:2" x14ac:dyDescent="0.25">
      <c r="A1527" t="s">
        <v>4812</v>
      </c>
      <c r="B1527" t="s">
        <v>5790</v>
      </c>
    </row>
    <row r="1528" spans="1:2" x14ac:dyDescent="0.25">
      <c r="A1528" t="s">
        <v>4163</v>
      </c>
      <c r="B1528" t="s">
        <v>5818</v>
      </c>
    </row>
    <row r="1529" spans="1:2" x14ac:dyDescent="0.25">
      <c r="A1529" t="s">
        <v>1502</v>
      </c>
      <c r="B1529" t="s">
        <v>5855</v>
      </c>
    </row>
    <row r="1530" spans="1:2" x14ac:dyDescent="0.25">
      <c r="A1530" t="s">
        <v>554</v>
      </c>
      <c r="B1530" t="s">
        <v>5800</v>
      </c>
    </row>
    <row r="1531" spans="1:2" x14ac:dyDescent="0.25">
      <c r="A1531" t="s">
        <v>5003</v>
      </c>
      <c r="B1531" t="s">
        <v>5759</v>
      </c>
    </row>
    <row r="1532" spans="1:2" x14ac:dyDescent="0.25">
      <c r="A1532" t="s">
        <v>3964</v>
      </c>
      <c r="B1532" t="s">
        <v>5851</v>
      </c>
    </row>
    <row r="1533" spans="1:2" x14ac:dyDescent="0.25">
      <c r="A1533" t="s">
        <v>2287</v>
      </c>
      <c r="B1533" t="s">
        <v>5984</v>
      </c>
    </row>
    <row r="1534" spans="1:2" x14ac:dyDescent="0.25">
      <c r="A1534" t="s">
        <v>3303</v>
      </c>
      <c r="B1534" t="s">
        <v>6015</v>
      </c>
    </row>
    <row r="1535" spans="1:2" x14ac:dyDescent="0.25">
      <c r="A1535" t="s">
        <v>1536</v>
      </c>
      <c r="B1535" t="s">
        <v>5706</v>
      </c>
    </row>
    <row r="1536" spans="1:2" x14ac:dyDescent="0.25">
      <c r="A1536" t="s">
        <v>3435</v>
      </c>
      <c r="B1536" t="s">
        <v>5704</v>
      </c>
    </row>
    <row r="1537" spans="1:2" x14ac:dyDescent="0.25">
      <c r="A1537" t="s">
        <v>1394</v>
      </c>
      <c r="B1537" t="s">
        <v>5789</v>
      </c>
    </row>
    <row r="1538" spans="1:2" x14ac:dyDescent="0.25">
      <c r="A1538" t="s">
        <v>5228</v>
      </c>
      <c r="B1538" t="s">
        <v>6016</v>
      </c>
    </row>
    <row r="1539" spans="1:2" x14ac:dyDescent="0.25">
      <c r="A1539" t="s">
        <v>4862</v>
      </c>
      <c r="B1539" t="s">
        <v>5737</v>
      </c>
    </row>
    <row r="1540" spans="1:2" x14ac:dyDescent="0.25">
      <c r="A1540" t="s">
        <v>619</v>
      </c>
      <c r="B1540" t="s">
        <v>5787</v>
      </c>
    </row>
    <row r="1541" spans="1:2" x14ac:dyDescent="0.25">
      <c r="A1541" t="s">
        <v>1802</v>
      </c>
      <c r="B1541">
        <v>0</v>
      </c>
    </row>
    <row r="1542" spans="1:2" x14ac:dyDescent="0.25">
      <c r="A1542" t="s">
        <v>5075</v>
      </c>
      <c r="B1542" t="s">
        <v>5823</v>
      </c>
    </row>
    <row r="1543" spans="1:2" x14ac:dyDescent="0.25">
      <c r="A1543" t="s">
        <v>3236</v>
      </c>
      <c r="B1543" t="s">
        <v>5801</v>
      </c>
    </row>
    <row r="1544" spans="1:2" x14ac:dyDescent="0.25">
      <c r="A1544" t="s">
        <v>452</v>
      </c>
      <c r="B1544" t="s">
        <v>6216</v>
      </c>
    </row>
    <row r="1545" spans="1:2" x14ac:dyDescent="0.25">
      <c r="A1545" t="s">
        <v>1878</v>
      </c>
      <c r="B1545" t="s">
        <v>5704</v>
      </c>
    </row>
    <row r="1546" spans="1:2" x14ac:dyDescent="0.25">
      <c r="A1546" t="s">
        <v>642</v>
      </c>
      <c r="B1546" t="s">
        <v>5730</v>
      </c>
    </row>
    <row r="1547" spans="1:2" x14ac:dyDescent="0.25">
      <c r="A1547" t="s">
        <v>4995</v>
      </c>
      <c r="B1547" t="s">
        <v>6034</v>
      </c>
    </row>
    <row r="1548" spans="1:2" x14ac:dyDescent="0.25">
      <c r="A1548" t="s">
        <v>1271</v>
      </c>
      <c r="B1548" t="s">
        <v>6346</v>
      </c>
    </row>
    <row r="1549" spans="1:2" x14ac:dyDescent="0.25">
      <c r="A1549" t="s">
        <v>4958</v>
      </c>
      <c r="B1549" t="s">
        <v>5789</v>
      </c>
    </row>
    <row r="1550" spans="1:2" x14ac:dyDescent="0.25">
      <c r="A1550" t="s">
        <v>3899</v>
      </c>
      <c r="B1550" t="s">
        <v>5719</v>
      </c>
    </row>
    <row r="1551" spans="1:2" x14ac:dyDescent="0.25">
      <c r="A1551" t="s">
        <v>3618</v>
      </c>
      <c r="B1551" t="s">
        <v>5747</v>
      </c>
    </row>
    <row r="1552" spans="1:2" x14ac:dyDescent="0.25">
      <c r="A1552" t="s">
        <v>5479</v>
      </c>
      <c r="B1552" t="s">
        <v>5935</v>
      </c>
    </row>
    <row r="1553" spans="1:2" x14ac:dyDescent="0.25">
      <c r="A1553" t="s">
        <v>2166</v>
      </c>
      <c r="B1553" t="s">
        <v>5752</v>
      </c>
    </row>
    <row r="1554" spans="1:2" x14ac:dyDescent="0.25">
      <c r="A1554" t="s">
        <v>563</v>
      </c>
      <c r="B1554" t="s">
        <v>5708</v>
      </c>
    </row>
    <row r="1555" spans="1:2" x14ac:dyDescent="0.25">
      <c r="A1555" t="s">
        <v>2025</v>
      </c>
      <c r="B1555" t="s">
        <v>5889</v>
      </c>
    </row>
    <row r="1556" spans="1:2" x14ac:dyDescent="0.25">
      <c r="A1556" t="s">
        <v>1006</v>
      </c>
      <c r="B1556" t="s">
        <v>6161</v>
      </c>
    </row>
    <row r="1557" spans="1:2" x14ac:dyDescent="0.25">
      <c r="A1557" t="s">
        <v>2818</v>
      </c>
      <c r="B1557" t="s">
        <v>5850</v>
      </c>
    </row>
    <row r="1558" spans="1:2" x14ac:dyDescent="0.25">
      <c r="A1558" t="s">
        <v>2138</v>
      </c>
      <c r="B1558" t="s">
        <v>6327</v>
      </c>
    </row>
    <row r="1559" spans="1:2" x14ac:dyDescent="0.25">
      <c r="A1559" t="s">
        <v>4205</v>
      </c>
      <c r="B1559" t="s">
        <v>6265</v>
      </c>
    </row>
    <row r="1560" spans="1:2" x14ac:dyDescent="0.25">
      <c r="A1560" t="s">
        <v>5227</v>
      </c>
      <c r="B1560" t="s">
        <v>5913</v>
      </c>
    </row>
    <row r="1561" spans="1:2" x14ac:dyDescent="0.25">
      <c r="A1561" t="s">
        <v>3927</v>
      </c>
      <c r="B1561" t="s">
        <v>5719</v>
      </c>
    </row>
    <row r="1562" spans="1:2" x14ac:dyDescent="0.25">
      <c r="A1562" t="s">
        <v>580</v>
      </c>
      <c r="B1562" t="s">
        <v>5829</v>
      </c>
    </row>
    <row r="1563" spans="1:2" x14ac:dyDescent="0.25">
      <c r="A1563" t="s">
        <v>3857</v>
      </c>
      <c r="B1563" t="s">
        <v>6026</v>
      </c>
    </row>
    <row r="1564" spans="1:2" x14ac:dyDescent="0.25">
      <c r="A1564" t="s">
        <v>5394</v>
      </c>
      <c r="B1564" t="s">
        <v>5788</v>
      </c>
    </row>
    <row r="1565" spans="1:2" x14ac:dyDescent="0.25">
      <c r="A1565" t="s">
        <v>5259</v>
      </c>
      <c r="B1565" t="s">
        <v>5903</v>
      </c>
    </row>
    <row r="1566" spans="1:2" x14ac:dyDescent="0.25">
      <c r="A1566" t="s">
        <v>4438</v>
      </c>
      <c r="B1566" t="s">
        <v>5860</v>
      </c>
    </row>
    <row r="1567" spans="1:2" x14ac:dyDescent="0.25">
      <c r="A1567" t="s">
        <v>4930</v>
      </c>
      <c r="B1567" t="s">
        <v>5910</v>
      </c>
    </row>
    <row r="1568" spans="1:2" x14ac:dyDescent="0.25">
      <c r="A1568" t="s">
        <v>2511</v>
      </c>
      <c r="B1568" t="s">
        <v>5878</v>
      </c>
    </row>
    <row r="1569" spans="1:2" x14ac:dyDescent="0.25">
      <c r="A1569" t="s">
        <v>5258</v>
      </c>
      <c r="B1569" t="s">
        <v>5787</v>
      </c>
    </row>
    <row r="1570" spans="1:2" x14ac:dyDescent="0.25">
      <c r="A1570" t="s">
        <v>5534</v>
      </c>
      <c r="B1570" t="s">
        <v>5788</v>
      </c>
    </row>
    <row r="1571" spans="1:2" x14ac:dyDescent="0.25">
      <c r="A1571" t="s">
        <v>4385</v>
      </c>
      <c r="B1571" t="s">
        <v>5789</v>
      </c>
    </row>
    <row r="1572" spans="1:2" x14ac:dyDescent="0.25">
      <c r="A1572" t="s">
        <v>1304</v>
      </c>
      <c r="B1572" t="s">
        <v>5790</v>
      </c>
    </row>
    <row r="1573" spans="1:2" x14ac:dyDescent="0.25">
      <c r="A1573" t="s">
        <v>967</v>
      </c>
      <c r="B1573" t="s">
        <v>5787</v>
      </c>
    </row>
    <row r="1574" spans="1:2" x14ac:dyDescent="0.25">
      <c r="A1574" t="s">
        <v>2356</v>
      </c>
      <c r="B1574" t="s">
        <v>5787</v>
      </c>
    </row>
    <row r="1575" spans="1:2" x14ac:dyDescent="0.25">
      <c r="A1575" t="s">
        <v>1907</v>
      </c>
      <c r="B1575" t="s">
        <v>6099</v>
      </c>
    </row>
    <row r="1576" spans="1:2" x14ac:dyDescent="0.25">
      <c r="A1576" t="s">
        <v>5272</v>
      </c>
      <c r="B1576" t="s">
        <v>5757</v>
      </c>
    </row>
    <row r="1577" spans="1:2" x14ac:dyDescent="0.25">
      <c r="A1577" t="s">
        <v>1562</v>
      </c>
      <c r="B1577" t="s">
        <v>5730</v>
      </c>
    </row>
    <row r="1578" spans="1:2" x14ac:dyDescent="0.25">
      <c r="A1578" t="s">
        <v>3090</v>
      </c>
      <c r="B1578" t="s">
        <v>5970</v>
      </c>
    </row>
    <row r="1579" spans="1:2" x14ac:dyDescent="0.25">
      <c r="A1579" t="s">
        <v>4370</v>
      </c>
      <c r="B1579" t="s">
        <v>5880</v>
      </c>
    </row>
    <row r="1580" spans="1:2" x14ac:dyDescent="0.25">
      <c r="A1580" t="s">
        <v>3854</v>
      </c>
      <c r="B1580" t="s">
        <v>5984</v>
      </c>
    </row>
    <row r="1581" spans="1:2" x14ac:dyDescent="0.25">
      <c r="A1581" t="s">
        <v>2498</v>
      </c>
      <c r="B1581" t="s">
        <v>6394</v>
      </c>
    </row>
    <row r="1582" spans="1:2" x14ac:dyDescent="0.25">
      <c r="A1582" t="s">
        <v>4124</v>
      </c>
      <c r="B1582" t="s">
        <v>5780</v>
      </c>
    </row>
    <row r="1583" spans="1:2" x14ac:dyDescent="0.25">
      <c r="A1583" t="s">
        <v>5212</v>
      </c>
      <c r="B1583" t="s">
        <v>5928</v>
      </c>
    </row>
    <row r="1584" spans="1:2" x14ac:dyDescent="0.25">
      <c r="A1584" t="s">
        <v>714</v>
      </c>
      <c r="B1584" t="s">
        <v>5787</v>
      </c>
    </row>
    <row r="1585" spans="1:2" x14ac:dyDescent="0.25">
      <c r="A1585" t="s">
        <v>5776</v>
      </c>
      <c r="B1585" t="s">
        <v>5774</v>
      </c>
    </row>
    <row r="1586" spans="1:2" x14ac:dyDescent="0.25">
      <c r="A1586" t="s">
        <v>3061</v>
      </c>
      <c r="B1586" t="s">
        <v>5787</v>
      </c>
    </row>
    <row r="1587" spans="1:2" x14ac:dyDescent="0.25">
      <c r="A1587" t="s">
        <v>3624</v>
      </c>
      <c r="B1587" t="s">
        <v>5787</v>
      </c>
    </row>
    <row r="1588" spans="1:2" x14ac:dyDescent="0.25">
      <c r="A1588" t="s">
        <v>4983</v>
      </c>
      <c r="B1588" t="s">
        <v>5787</v>
      </c>
    </row>
    <row r="1589" spans="1:2" x14ac:dyDescent="0.25">
      <c r="A1589" t="s">
        <v>1605</v>
      </c>
      <c r="B1589" t="s">
        <v>5788</v>
      </c>
    </row>
    <row r="1590" spans="1:2" x14ac:dyDescent="0.25">
      <c r="A1590" t="s">
        <v>3598</v>
      </c>
      <c r="B1590" t="s">
        <v>5830</v>
      </c>
    </row>
    <row r="1591" spans="1:2" x14ac:dyDescent="0.25">
      <c r="A1591" t="s">
        <v>121</v>
      </c>
      <c r="B1591" t="s">
        <v>6087</v>
      </c>
    </row>
    <row r="1592" spans="1:2" x14ac:dyDescent="0.25">
      <c r="A1592" t="s">
        <v>2183</v>
      </c>
      <c r="B1592" t="s">
        <v>6183</v>
      </c>
    </row>
    <row r="1593" spans="1:2" x14ac:dyDescent="0.25">
      <c r="A1593" t="s">
        <v>4055</v>
      </c>
      <c r="B1593" t="s">
        <v>5862</v>
      </c>
    </row>
    <row r="1594" spans="1:2" x14ac:dyDescent="0.25">
      <c r="A1594" t="s">
        <v>5054</v>
      </c>
      <c r="B1594" t="s">
        <v>6123</v>
      </c>
    </row>
    <row r="1595" spans="1:2" x14ac:dyDescent="0.25">
      <c r="A1595" t="s">
        <v>2157</v>
      </c>
      <c r="B1595" t="s">
        <v>5716</v>
      </c>
    </row>
    <row r="1596" spans="1:2" x14ac:dyDescent="0.25">
      <c r="A1596" t="s">
        <v>4046</v>
      </c>
      <c r="B1596" t="s">
        <v>5848</v>
      </c>
    </row>
    <row r="1597" spans="1:2" x14ac:dyDescent="0.25">
      <c r="A1597" t="s">
        <v>4870</v>
      </c>
      <c r="B1597" t="s">
        <v>5788</v>
      </c>
    </row>
    <row r="1598" spans="1:2" x14ac:dyDescent="0.25">
      <c r="A1598" t="s">
        <v>2996</v>
      </c>
      <c r="B1598" t="s">
        <v>5706</v>
      </c>
    </row>
    <row r="1599" spans="1:2" x14ac:dyDescent="0.25">
      <c r="A1599" t="s">
        <v>4260</v>
      </c>
      <c r="B1599" t="s">
        <v>6143</v>
      </c>
    </row>
    <row r="1600" spans="1:2" x14ac:dyDescent="0.25">
      <c r="A1600" t="s">
        <v>5683</v>
      </c>
      <c r="B1600" t="s">
        <v>5787</v>
      </c>
    </row>
    <row r="1601" spans="1:2" x14ac:dyDescent="0.25">
      <c r="A1601" t="s">
        <v>2660</v>
      </c>
      <c r="B1601" t="s">
        <v>5986</v>
      </c>
    </row>
    <row r="1602" spans="1:2" x14ac:dyDescent="0.25">
      <c r="A1602" t="s">
        <v>3696</v>
      </c>
      <c r="B1602" t="s">
        <v>6063</v>
      </c>
    </row>
    <row r="1603" spans="1:2" x14ac:dyDescent="0.25">
      <c r="A1603" t="s">
        <v>3732</v>
      </c>
      <c r="B1603" t="s">
        <v>5969</v>
      </c>
    </row>
    <row r="1604" spans="1:2" x14ac:dyDescent="0.25">
      <c r="A1604" t="s">
        <v>553</v>
      </c>
      <c r="B1604" t="s">
        <v>5819</v>
      </c>
    </row>
    <row r="1605" spans="1:2" x14ac:dyDescent="0.25">
      <c r="A1605" t="s">
        <v>2484</v>
      </c>
      <c r="B1605" t="s">
        <v>5730</v>
      </c>
    </row>
    <row r="1606" spans="1:2" x14ac:dyDescent="0.25">
      <c r="A1606" t="s">
        <v>8</v>
      </c>
      <c r="B1606" t="s">
        <v>5759</v>
      </c>
    </row>
    <row r="1607" spans="1:2" x14ac:dyDescent="0.25">
      <c r="A1607" t="s">
        <v>262</v>
      </c>
      <c r="B1607" t="s">
        <v>5759</v>
      </c>
    </row>
    <row r="1608" spans="1:2" x14ac:dyDescent="0.25">
      <c r="A1608" t="s">
        <v>336</v>
      </c>
      <c r="B1608" t="s">
        <v>5706</v>
      </c>
    </row>
    <row r="1609" spans="1:2" x14ac:dyDescent="0.25">
      <c r="A1609" t="s">
        <v>2340</v>
      </c>
      <c r="B1609" t="s">
        <v>5744</v>
      </c>
    </row>
    <row r="1610" spans="1:2" x14ac:dyDescent="0.25">
      <c r="A1610" t="s">
        <v>2787</v>
      </c>
      <c r="B1610" t="s">
        <v>5816</v>
      </c>
    </row>
    <row r="1611" spans="1:2" x14ac:dyDescent="0.25">
      <c r="A1611" t="s">
        <v>1570</v>
      </c>
      <c r="B1611" t="s">
        <v>5944</v>
      </c>
    </row>
    <row r="1612" spans="1:2" x14ac:dyDescent="0.25">
      <c r="A1612" t="s">
        <v>4044</v>
      </c>
      <c r="B1612" t="s">
        <v>6155</v>
      </c>
    </row>
    <row r="1613" spans="1:2" x14ac:dyDescent="0.25">
      <c r="A1613" t="s">
        <v>3166</v>
      </c>
      <c r="B1613" t="s">
        <v>5768</v>
      </c>
    </row>
    <row r="1614" spans="1:2" x14ac:dyDescent="0.25">
      <c r="A1614" t="s">
        <v>4070</v>
      </c>
      <c r="B1614" t="s">
        <v>5979</v>
      </c>
    </row>
    <row r="1615" spans="1:2" x14ac:dyDescent="0.25">
      <c r="A1615" t="s">
        <v>667</v>
      </c>
      <c r="B1615" t="s">
        <v>5787</v>
      </c>
    </row>
    <row r="1616" spans="1:2" x14ac:dyDescent="0.25">
      <c r="A1616" t="s">
        <v>5341</v>
      </c>
      <c r="B1616" t="s">
        <v>5959</v>
      </c>
    </row>
    <row r="1617" spans="1:2" x14ac:dyDescent="0.25">
      <c r="A1617" t="s">
        <v>211</v>
      </c>
      <c r="B1617" t="s">
        <v>5747</v>
      </c>
    </row>
    <row r="1618" spans="1:2" x14ac:dyDescent="0.25">
      <c r="A1618" t="s">
        <v>3775</v>
      </c>
      <c r="B1618" t="s">
        <v>5787</v>
      </c>
    </row>
    <row r="1619" spans="1:2" x14ac:dyDescent="0.25">
      <c r="A1619" t="s">
        <v>4660</v>
      </c>
      <c r="B1619" t="s">
        <v>5983</v>
      </c>
    </row>
    <row r="1620" spans="1:2" x14ac:dyDescent="0.25">
      <c r="A1620" t="s">
        <v>2825</v>
      </c>
      <c r="B1620" t="s">
        <v>5787</v>
      </c>
    </row>
    <row r="1621" spans="1:2" x14ac:dyDescent="0.25">
      <c r="A1621" t="s">
        <v>1433</v>
      </c>
      <c r="B1621" t="s">
        <v>5921</v>
      </c>
    </row>
    <row r="1622" spans="1:2" x14ac:dyDescent="0.25">
      <c r="A1622" t="s">
        <v>3277</v>
      </c>
      <c r="B1622" t="s">
        <v>5943</v>
      </c>
    </row>
    <row r="1623" spans="1:2" x14ac:dyDescent="0.25">
      <c r="A1623" t="s">
        <v>341</v>
      </c>
      <c r="B1623" t="s">
        <v>5787</v>
      </c>
    </row>
    <row r="1624" spans="1:2" x14ac:dyDescent="0.25">
      <c r="A1624" t="s">
        <v>1282</v>
      </c>
      <c r="B1624" t="s">
        <v>5830</v>
      </c>
    </row>
    <row r="1625" spans="1:2" x14ac:dyDescent="0.25">
      <c r="A1625" t="s">
        <v>1824</v>
      </c>
      <c r="B1625" t="s">
        <v>5888</v>
      </c>
    </row>
    <row r="1626" spans="1:2" x14ac:dyDescent="0.25">
      <c r="A1626" t="s">
        <v>3102</v>
      </c>
      <c r="B1626" t="s">
        <v>6531</v>
      </c>
    </row>
    <row r="1627" spans="1:2" x14ac:dyDescent="0.25">
      <c r="A1627" t="s">
        <v>292</v>
      </c>
      <c r="B1627" t="s">
        <v>5787</v>
      </c>
    </row>
    <row r="1628" spans="1:2" x14ac:dyDescent="0.25">
      <c r="A1628" t="s">
        <v>337</v>
      </c>
      <c r="B1628" t="s">
        <v>5827</v>
      </c>
    </row>
    <row r="1629" spans="1:2" x14ac:dyDescent="0.25">
      <c r="A1629" t="s">
        <v>5236</v>
      </c>
      <c r="B1629" t="s">
        <v>5886</v>
      </c>
    </row>
    <row r="1630" spans="1:2" x14ac:dyDescent="0.25">
      <c r="A1630" t="s">
        <v>5282</v>
      </c>
      <c r="B1630" t="s">
        <v>5787</v>
      </c>
    </row>
    <row r="1631" spans="1:2" x14ac:dyDescent="0.25">
      <c r="A1631" t="s">
        <v>4340</v>
      </c>
      <c r="B1631" t="s">
        <v>6290</v>
      </c>
    </row>
    <row r="1632" spans="1:2" x14ac:dyDescent="0.25">
      <c r="A1632" t="s">
        <v>5467</v>
      </c>
      <c r="B1632" t="s">
        <v>5833</v>
      </c>
    </row>
    <row r="1633" spans="1:2" x14ac:dyDescent="0.25">
      <c r="A1633" t="s">
        <v>3168</v>
      </c>
      <c r="B1633" t="s">
        <v>6104</v>
      </c>
    </row>
    <row r="1634" spans="1:2" x14ac:dyDescent="0.25">
      <c r="A1634" t="s">
        <v>3152</v>
      </c>
      <c r="B1634" t="s">
        <v>5787</v>
      </c>
    </row>
    <row r="1635" spans="1:2" x14ac:dyDescent="0.25">
      <c r="A1635" t="s">
        <v>2965</v>
      </c>
      <c r="B1635" t="s">
        <v>5789</v>
      </c>
    </row>
    <row r="1636" spans="1:2" x14ac:dyDescent="0.25">
      <c r="A1636" t="s">
        <v>3836</v>
      </c>
      <c r="B1636" t="s">
        <v>5785</v>
      </c>
    </row>
    <row r="1637" spans="1:2" x14ac:dyDescent="0.25">
      <c r="A1637" t="s">
        <v>5343</v>
      </c>
      <c r="B1637" t="s">
        <v>5848</v>
      </c>
    </row>
    <row r="1638" spans="1:2" x14ac:dyDescent="0.25">
      <c r="A1638" t="s">
        <v>4030</v>
      </c>
      <c r="B1638" t="s">
        <v>5813</v>
      </c>
    </row>
    <row r="1639" spans="1:2" x14ac:dyDescent="0.25">
      <c r="A1639" t="s">
        <v>8635</v>
      </c>
      <c r="B1639" t="s">
        <v>5789</v>
      </c>
    </row>
    <row r="1640" spans="1:2" x14ac:dyDescent="0.25">
      <c r="A1640" t="s">
        <v>4556</v>
      </c>
      <c r="B1640" t="s">
        <v>5787</v>
      </c>
    </row>
    <row r="1641" spans="1:2" x14ac:dyDescent="0.25">
      <c r="A1641" t="s">
        <v>1524</v>
      </c>
      <c r="B1641" t="s">
        <v>6247</v>
      </c>
    </row>
    <row r="1642" spans="1:2" x14ac:dyDescent="0.25">
      <c r="A1642" t="s">
        <v>4553</v>
      </c>
      <c r="B1642" t="s">
        <v>6539</v>
      </c>
    </row>
    <row r="1643" spans="1:2" x14ac:dyDescent="0.25">
      <c r="A1643" t="s">
        <v>907</v>
      </c>
      <c r="B1643" t="s">
        <v>5787</v>
      </c>
    </row>
    <row r="1644" spans="1:2" x14ac:dyDescent="0.25">
      <c r="A1644" t="s">
        <v>3070</v>
      </c>
      <c r="B1644" t="s">
        <v>5787</v>
      </c>
    </row>
    <row r="1645" spans="1:2" x14ac:dyDescent="0.25">
      <c r="A1645" t="s">
        <v>1661</v>
      </c>
      <c r="B1645" t="s">
        <v>5787</v>
      </c>
    </row>
    <row r="1646" spans="1:2" x14ac:dyDescent="0.25">
      <c r="A1646" t="s">
        <v>2313</v>
      </c>
      <c r="B1646" t="s">
        <v>5787</v>
      </c>
    </row>
    <row r="1647" spans="1:2" x14ac:dyDescent="0.25">
      <c r="A1647" t="s">
        <v>169</v>
      </c>
      <c r="B1647" t="s">
        <v>5919</v>
      </c>
    </row>
    <row r="1648" spans="1:2" x14ac:dyDescent="0.25">
      <c r="A1648" t="s">
        <v>293</v>
      </c>
      <c r="B1648" t="s">
        <v>5919</v>
      </c>
    </row>
    <row r="1649" spans="1:2" x14ac:dyDescent="0.25">
      <c r="A1649" t="s">
        <v>1987</v>
      </c>
      <c r="B1649" t="s">
        <v>5787</v>
      </c>
    </row>
    <row r="1650" spans="1:2" x14ac:dyDescent="0.25">
      <c r="A1650" t="s">
        <v>3619</v>
      </c>
      <c r="B1650" t="s">
        <v>5828</v>
      </c>
    </row>
    <row r="1651" spans="1:2" x14ac:dyDescent="0.25">
      <c r="A1651" t="s">
        <v>3762</v>
      </c>
      <c r="B1651" t="s">
        <v>5757</v>
      </c>
    </row>
    <row r="1652" spans="1:2" x14ac:dyDescent="0.25">
      <c r="A1652" t="s">
        <v>1843</v>
      </c>
      <c r="B1652">
        <v>0</v>
      </c>
    </row>
    <row r="1653" spans="1:2" x14ac:dyDescent="0.25">
      <c r="A1653" t="s">
        <v>2438</v>
      </c>
      <c r="B1653">
        <v>0</v>
      </c>
    </row>
    <row r="1654" spans="1:2" x14ac:dyDescent="0.25">
      <c r="A1654" t="s">
        <v>2469</v>
      </c>
      <c r="B1654" t="s">
        <v>5787</v>
      </c>
    </row>
    <row r="1655" spans="1:2" x14ac:dyDescent="0.25">
      <c r="A1655" t="s">
        <v>4275</v>
      </c>
      <c r="B1655" t="s">
        <v>5788</v>
      </c>
    </row>
    <row r="1656" spans="1:2" x14ac:dyDescent="0.25">
      <c r="A1656" t="s">
        <v>3031</v>
      </c>
    </row>
    <row r="1657" spans="1:2" x14ac:dyDescent="0.25">
      <c r="A1657" t="s">
        <v>5662</v>
      </c>
      <c r="B1657" t="s">
        <v>5790</v>
      </c>
    </row>
    <row r="1658" spans="1:2" x14ac:dyDescent="0.25">
      <c r="A1658" t="s">
        <v>2528</v>
      </c>
      <c r="B1658" t="s">
        <v>6455</v>
      </c>
    </row>
    <row r="1659" spans="1:2" x14ac:dyDescent="0.25">
      <c r="A1659" t="s">
        <v>1163</v>
      </c>
      <c r="B1659" t="s">
        <v>5885</v>
      </c>
    </row>
    <row r="1660" spans="1:2" x14ac:dyDescent="0.25">
      <c r="A1660" t="s">
        <v>1126</v>
      </c>
      <c r="B1660" t="s">
        <v>5787</v>
      </c>
    </row>
    <row r="1661" spans="1:2" x14ac:dyDescent="0.25">
      <c r="A1661" t="s">
        <v>3398</v>
      </c>
      <c r="B1661" t="s">
        <v>5877</v>
      </c>
    </row>
    <row r="1662" spans="1:2" x14ac:dyDescent="0.25">
      <c r="A1662" t="s">
        <v>1710</v>
      </c>
      <c r="B1662" t="s">
        <v>6301</v>
      </c>
    </row>
    <row r="1663" spans="1:2" x14ac:dyDescent="0.25">
      <c r="A1663" t="s">
        <v>2240</v>
      </c>
      <c r="B1663" t="s">
        <v>5708</v>
      </c>
    </row>
    <row r="1664" spans="1:2" x14ac:dyDescent="0.25">
      <c r="A1664" t="s">
        <v>782</v>
      </c>
      <c r="B1664" t="s">
        <v>6292</v>
      </c>
    </row>
    <row r="1665" spans="1:2" x14ac:dyDescent="0.25">
      <c r="A1665" t="s">
        <v>2113</v>
      </c>
      <c r="B1665" t="s">
        <v>5984</v>
      </c>
    </row>
    <row r="1666" spans="1:2" x14ac:dyDescent="0.25">
      <c r="A1666" t="s">
        <v>5233</v>
      </c>
      <c r="B1666" t="s">
        <v>5721</v>
      </c>
    </row>
    <row r="1667" spans="1:2" x14ac:dyDescent="0.25">
      <c r="A1667" t="s">
        <v>2887</v>
      </c>
      <c r="B1667" t="s">
        <v>5924</v>
      </c>
    </row>
    <row r="1668" spans="1:2" x14ac:dyDescent="0.25">
      <c r="A1668" t="s">
        <v>144</v>
      </c>
    </row>
    <row r="1669" spans="1:2" x14ac:dyDescent="0.25">
      <c r="A1669" t="s">
        <v>3222</v>
      </c>
      <c r="B1669" t="s">
        <v>5799</v>
      </c>
    </row>
    <row r="1670" spans="1:2" x14ac:dyDescent="0.25">
      <c r="A1670" t="s">
        <v>1314</v>
      </c>
      <c r="B1670" t="s">
        <v>5929</v>
      </c>
    </row>
    <row r="1671" spans="1:2" x14ac:dyDescent="0.25">
      <c r="A1671" t="s">
        <v>3766</v>
      </c>
      <c r="B1671" t="s">
        <v>6488</v>
      </c>
    </row>
    <row r="1672" spans="1:2" x14ac:dyDescent="0.25">
      <c r="A1672" t="s">
        <v>5249</v>
      </c>
      <c r="B1672" t="s">
        <v>6142</v>
      </c>
    </row>
    <row r="1673" spans="1:2" x14ac:dyDescent="0.25">
      <c r="A1673" t="s">
        <v>4420</v>
      </c>
      <c r="B1673" t="s">
        <v>5787</v>
      </c>
    </row>
    <row r="1674" spans="1:2" x14ac:dyDescent="0.25">
      <c r="A1674" t="s">
        <v>3146</v>
      </c>
      <c r="B1674" t="s">
        <v>5790</v>
      </c>
    </row>
    <row r="1675" spans="1:2" x14ac:dyDescent="0.25">
      <c r="A1675" t="s">
        <v>5015</v>
      </c>
      <c r="B1675" t="s">
        <v>6579</v>
      </c>
    </row>
    <row r="1676" spans="1:2" x14ac:dyDescent="0.25">
      <c r="A1676" t="s">
        <v>875</v>
      </c>
      <c r="B1676" t="s">
        <v>5766</v>
      </c>
    </row>
    <row r="1677" spans="1:2" x14ac:dyDescent="0.25">
      <c r="A1677" t="s">
        <v>4976</v>
      </c>
      <c r="B1677" t="s">
        <v>6557</v>
      </c>
    </row>
    <row r="1678" spans="1:2" x14ac:dyDescent="0.25">
      <c r="A1678" t="s">
        <v>5498</v>
      </c>
      <c r="B1678" t="s">
        <v>5728</v>
      </c>
    </row>
    <row r="1679" spans="1:2" x14ac:dyDescent="0.25">
      <c r="A1679" t="s">
        <v>1598</v>
      </c>
      <c r="B1679" t="s">
        <v>5787</v>
      </c>
    </row>
    <row r="1680" spans="1:2" x14ac:dyDescent="0.25">
      <c r="A1680" t="s">
        <v>1103</v>
      </c>
      <c r="B1680" t="s">
        <v>5787</v>
      </c>
    </row>
    <row r="1681" spans="1:2" x14ac:dyDescent="0.25">
      <c r="A1681" t="s">
        <v>2039</v>
      </c>
      <c r="B1681" t="s">
        <v>5787</v>
      </c>
    </row>
    <row r="1682" spans="1:2" x14ac:dyDescent="0.25">
      <c r="A1682" t="s">
        <v>419</v>
      </c>
      <c r="B1682" t="s">
        <v>6084</v>
      </c>
    </row>
    <row r="1683" spans="1:2" x14ac:dyDescent="0.25">
      <c r="A1683" t="s">
        <v>5332</v>
      </c>
      <c r="B1683" t="s">
        <v>5822</v>
      </c>
    </row>
    <row r="1684" spans="1:2" x14ac:dyDescent="0.25">
      <c r="A1684" t="s">
        <v>1886</v>
      </c>
      <c r="B1684" t="s">
        <v>5846</v>
      </c>
    </row>
    <row r="1685" spans="1:2" x14ac:dyDescent="0.25">
      <c r="A1685" t="s">
        <v>2972</v>
      </c>
      <c r="B1685" t="s">
        <v>6102</v>
      </c>
    </row>
    <row r="1686" spans="1:2" x14ac:dyDescent="0.25">
      <c r="A1686" t="s">
        <v>489</v>
      </c>
      <c r="B1686" t="s">
        <v>5787</v>
      </c>
    </row>
    <row r="1687" spans="1:2" x14ac:dyDescent="0.25">
      <c r="A1687" t="s">
        <v>122</v>
      </c>
      <c r="B1687" t="s">
        <v>5787</v>
      </c>
    </row>
    <row r="1688" spans="1:2" x14ac:dyDescent="0.25">
      <c r="A1688" t="s">
        <v>1258</v>
      </c>
      <c r="B1688" t="s">
        <v>5787</v>
      </c>
    </row>
    <row r="1689" spans="1:2" x14ac:dyDescent="0.25">
      <c r="A1689" t="s">
        <v>66</v>
      </c>
      <c r="B1689" t="s">
        <v>5787</v>
      </c>
    </row>
    <row r="1690" spans="1:2" x14ac:dyDescent="0.25">
      <c r="A1690" t="s">
        <v>48</v>
      </c>
      <c r="B1690" t="s">
        <v>5787</v>
      </c>
    </row>
    <row r="1691" spans="1:2" x14ac:dyDescent="0.25">
      <c r="A1691" t="s">
        <v>82</v>
      </c>
      <c r="B1691" t="s">
        <v>5787</v>
      </c>
    </row>
    <row r="1692" spans="1:2" x14ac:dyDescent="0.25">
      <c r="A1692" t="s">
        <v>233</v>
      </c>
      <c r="B1692" t="s">
        <v>5787</v>
      </c>
    </row>
    <row r="1693" spans="1:2" x14ac:dyDescent="0.25">
      <c r="A1693" t="s">
        <v>76</v>
      </c>
      <c r="B1693" t="s">
        <v>5787</v>
      </c>
    </row>
    <row r="1694" spans="1:2" x14ac:dyDescent="0.25">
      <c r="A1694" t="s">
        <v>40</v>
      </c>
      <c r="B1694" t="s">
        <v>5787</v>
      </c>
    </row>
    <row r="1695" spans="1:2" x14ac:dyDescent="0.25">
      <c r="A1695" t="s">
        <v>26</v>
      </c>
      <c r="B1695" t="s">
        <v>5787</v>
      </c>
    </row>
    <row r="1696" spans="1:2" x14ac:dyDescent="0.25">
      <c r="A1696" t="s">
        <v>484</v>
      </c>
      <c r="B1696" t="s">
        <v>6038</v>
      </c>
    </row>
    <row r="1697" spans="1:2" x14ac:dyDescent="0.25">
      <c r="A1697" t="s">
        <v>2160</v>
      </c>
      <c r="B1697" t="s">
        <v>6411</v>
      </c>
    </row>
    <row r="1698" spans="1:2" x14ac:dyDescent="0.25">
      <c r="A1698" t="s">
        <v>2011</v>
      </c>
      <c r="B1698" t="s">
        <v>6443</v>
      </c>
    </row>
    <row r="1699" spans="1:2" x14ac:dyDescent="0.25">
      <c r="A1699" t="s">
        <v>5670</v>
      </c>
      <c r="B1699" t="s">
        <v>5752</v>
      </c>
    </row>
    <row r="1700" spans="1:2" x14ac:dyDescent="0.25">
      <c r="A1700" t="s">
        <v>3526</v>
      </c>
      <c r="B1700" t="s">
        <v>5787</v>
      </c>
    </row>
    <row r="1701" spans="1:2" x14ac:dyDescent="0.25">
      <c r="A1701" t="s">
        <v>246</v>
      </c>
      <c r="B1701" t="s">
        <v>5823</v>
      </c>
    </row>
    <row r="1702" spans="1:2" x14ac:dyDescent="0.25">
      <c r="A1702" t="s">
        <v>4780</v>
      </c>
      <c r="B1702" t="s">
        <v>5719</v>
      </c>
    </row>
    <row r="1703" spans="1:2" x14ac:dyDescent="0.25">
      <c r="A1703" t="s">
        <v>3005</v>
      </c>
      <c r="B1703" t="s">
        <v>6166</v>
      </c>
    </row>
    <row r="1704" spans="1:2" x14ac:dyDescent="0.25">
      <c r="A1704" t="s">
        <v>2306</v>
      </c>
      <c r="B1704" t="s">
        <v>6632</v>
      </c>
    </row>
    <row r="1705" spans="1:2" x14ac:dyDescent="0.25">
      <c r="A1705" t="s">
        <v>2480</v>
      </c>
      <c r="B1705" t="s">
        <v>5757</v>
      </c>
    </row>
    <row r="1706" spans="1:2" x14ac:dyDescent="0.25">
      <c r="A1706" t="s">
        <v>1948</v>
      </c>
      <c r="B1706" t="s">
        <v>5782</v>
      </c>
    </row>
    <row r="1707" spans="1:2" x14ac:dyDescent="0.25">
      <c r="A1707" t="s">
        <v>834</v>
      </c>
      <c r="B1707" t="s">
        <v>5807</v>
      </c>
    </row>
    <row r="1708" spans="1:2" x14ac:dyDescent="0.25">
      <c r="A1708" t="s">
        <v>43</v>
      </c>
      <c r="B1708" t="s">
        <v>5933</v>
      </c>
    </row>
    <row r="1709" spans="1:2" x14ac:dyDescent="0.25">
      <c r="A1709" t="s">
        <v>1834</v>
      </c>
      <c r="B1709" t="s">
        <v>6241</v>
      </c>
    </row>
    <row r="1710" spans="1:2" x14ac:dyDescent="0.25">
      <c r="A1710" t="s">
        <v>4391</v>
      </c>
      <c r="B1710" t="s">
        <v>5866</v>
      </c>
    </row>
    <row r="1711" spans="1:2" x14ac:dyDescent="0.25">
      <c r="A1711" t="s">
        <v>4978</v>
      </c>
      <c r="B1711" t="s">
        <v>5790</v>
      </c>
    </row>
    <row r="1712" spans="1:2" x14ac:dyDescent="0.25">
      <c r="A1712" t="s">
        <v>5775</v>
      </c>
      <c r="B1712" t="s">
        <v>5774</v>
      </c>
    </row>
    <row r="1713" spans="1:2" x14ac:dyDescent="0.25">
      <c r="A1713" t="s">
        <v>1592</v>
      </c>
      <c r="B1713" t="s">
        <v>5892</v>
      </c>
    </row>
    <row r="1714" spans="1:2" x14ac:dyDescent="0.25">
      <c r="A1714" t="s">
        <v>325</v>
      </c>
      <c r="B1714" t="s">
        <v>5851</v>
      </c>
    </row>
    <row r="1715" spans="1:2" x14ac:dyDescent="0.25">
      <c r="A1715" t="s">
        <v>4490</v>
      </c>
      <c r="B1715" t="s">
        <v>6565</v>
      </c>
    </row>
    <row r="1716" spans="1:2" x14ac:dyDescent="0.25">
      <c r="A1716" t="s">
        <v>4670</v>
      </c>
      <c r="B1716" t="s">
        <v>5762</v>
      </c>
    </row>
    <row r="1717" spans="1:2" x14ac:dyDescent="0.25">
      <c r="A1717" t="s">
        <v>411</v>
      </c>
      <c r="B1717" t="s">
        <v>6420</v>
      </c>
    </row>
    <row r="1718" spans="1:2" x14ac:dyDescent="0.25">
      <c r="A1718" t="s">
        <v>4118</v>
      </c>
      <c r="B1718" t="s">
        <v>5893</v>
      </c>
    </row>
    <row r="1719" spans="1:2" x14ac:dyDescent="0.25">
      <c r="A1719" t="s">
        <v>1110</v>
      </c>
      <c r="B1719" t="s">
        <v>5811</v>
      </c>
    </row>
    <row r="1720" spans="1:2" x14ac:dyDescent="0.25">
      <c r="A1720" t="s">
        <v>5221</v>
      </c>
      <c r="B1720" t="s">
        <v>6374</v>
      </c>
    </row>
    <row r="1721" spans="1:2" x14ac:dyDescent="0.25">
      <c r="A1721" t="s">
        <v>4182</v>
      </c>
      <c r="B1721" t="s">
        <v>5875</v>
      </c>
    </row>
    <row r="1722" spans="1:2" x14ac:dyDescent="0.25">
      <c r="A1722" t="s">
        <v>522</v>
      </c>
      <c r="B1722" t="s">
        <v>5787</v>
      </c>
    </row>
    <row r="1723" spans="1:2" x14ac:dyDescent="0.25">
      <c r="A1723" t="s">
        <v>1752</v>
      </c>
      <c r="B1723" t="s">
        <v>5821</v>
      </c>
    </row>
    <row r="1724" spans="1:2" x14ac:dyDescent="0.25">
      <c r="A1724" t="s">
        <v>1933</v>
      </c>
      <c r="B1724" t="s">
        <v>5787</v>
      </c>
    </row>
    <row r="1725" spans="1:2" x14ac:dyDescent="0.25">
      <c r="A1725" t="s">
        <v>2717</v>
      </c>
      <c r="B1725" t="s">
        <v>5960</v>
      </c>
    </row>
    <row r="1726" spans="1:2" x14ac:dyDescent="0.25">
      <c r="A1726" t="s">
        <v>3919</v>
      </c>
      <c r="B1726" t="s">
        <v>6521</v>
      </c>
    </row>
    <row r="1727" spans="1:2" x14ac:dyDescent="0.25">
      <c r="A1727" t="s">
        <v>599</v>
      </c>
      <c r="B1727" t="s">
        <v>5787</v>
      </c>
    </row>
    <row r="1728" spans="1:2" x14ac:dyDescent="0.25">
      <c r="A1728" t="s">
        <v>4569</v>
      </c>
      <c r="B1728" t="s">
        <v>5708</v>
      </c>
    </row>
    <row r="1729" spans="1:2" x14ac:dyDescent="0.25">
      <c r="A1729" t="s">
        <v>2524</v>
      </c>
      <c r="B1729" t="s">
        <v>5747</v>
      </c>
    </row>
    <row r="1730" spans="1:2" x14ac:dyDescent="0.25">
      <c r="A1730" t="s">
        <v>5265</v>
      </c>
      <c r="B1730" t="s">
        <v>6039</v>
      </c>
    </row>
    <row r="1731" spans="1:2" x14ac:dyDescent="0.25">
      <c r="A1731" t="s">
        <v>2470</v>
      </c>
      <c r="B1731" t="s">
        <v>5845</v>
      </c>
    </row>
    <row r="1732" spans="1:2" x14ac:dyDescent="0.25">
      <c r="A1732" t="s">
        <v>2178</v>
      </c>
      <c r="B1732" t="s">
        <v>5845</v>
      </c>
    </row>
    <row r="1733" spans="1:2" x14ac:dyDescent="0.25">
      <c r="A1733" t="s">
        <v>90</v>
      </c>
      <c r="B1733" t="s">
        <v>5845</v>
      </c>
    </row>
    <row r="1734" spans="1:2" x14ac:dyDescent="0.25">
      <c r="A1734" t="s">
        <v>2396</v>
      </c>
      <c r="B1734" t="s">
        <v>6330</v>
      </c>
    </row>
    <row r="1735" spans="1:2" x14ac:dyDescent="0.25">
      <c r="A1735" t="s">
        <v>5671</v>
      </c>
      <c r="B1735" t="s">
        <v>5716</v>
      </c>
    </row>
    <row r="1736" spans="1:2" x14ac:dyDescent="0.25">
      <c r="A1736" t="s">
        <v>4440</v>
      </c>
      <c r="B1736" t="s">
        <v>6357</v>
      </c>
    </row>
    <row r="1737" spans="1:2" x14ac:dyDescent="0.25">
      <c r="A1737" t="s">
        <v>1273</v>
      </c>
      <c r="B1737" t="s">
        <v>6082</v>
      </c>
    </row>
    <row r="1738" spans="1:2" x14ac:dyDescent="0.25">
      <c r="A1738" t="s">
        <v>4852</v>
      </c>
      <c r="B1738" t="s">
        <v>5787</v>
      </c>
    </row>
    <row r="1739" spans="1:2" x14ac:dyDescent="0.25">
      <c r="A1739" t="s">
        <v>5486</v>
      </c>
      <c r="B1739" t="s">
        <v>5985</v>
      </c>
    </row>
    <row r="1740" spans="1:2" x14ac:dyDescent="0.25">
      <c r="A1740" t="s">
        <v>1624</v>
      </c>
      <c r="B1740" t="s">
        <v>5811</v>
      </c>
    </row>
    <row r="1741" spans="1:2" x14ac:dyDescent="0.25">
      <c r="A1741" t="s">
        <v>4603</v>
      </c>
      <c r="B1741" t="s">
        <v>5787</v>
      </c>
    </row>
    <row r="1742" spans="1:2" x14ac:dyDescent="0.25">
      <c r="A1742" t="s">
        <v>4222</v>
      </c>
      <c r="B1742" t="s">
        <v>6228</v>
      </c>
    </row>
    <row r="1743" spans="1:2" x14ac:dyDescent="0.25">
      <c r="A1743" t="s">
        <v>1358</v>
      </c>
      <c r="B1743" t="s">
        <v>6547</v>
      </c>
    </row>
    <row r="1744" spans="1:2" x14ac:dyDescent="0.25">
      <c r="A1744" t="s">
        <v>3586</v>
      </c>
      <c r="B1744" t="s">
        <v>6087</v>
      </c>
    </row>
    <row r="1745" spans="1:2" x14ac:dyDescent="0.25">
      <c r="A1745" t="s">
        <v>1847</v>
      </c>
      <c r="B1745" t="s">
        <v>5796</v>
      </c>
    </row>
    <row r="1746" spans="1:2" x14ac:dyDescent="0.25">
      <c r="A1746" t="s">
        <v>8734</v>
      </c>
      <c r="B1746" t="s">
        <v>5850</v>
      </c>
    </row>
    <row r="1747" spans="1:2" x14ac:dyDescent="0.25">
      <c r="A1747" t="s">
        <v>5359</v>
      </c>
      <c r="B1747" t="s">
        <v>5737</v>
      </c>
    </row>
    <row r="1748" spans="1:2" x14ac:dyDescent="0.25">
      <c r="A1748" t="s">
        <v>2387</v>
      </c>
      <c r="B1748" t="s">
        <v>5855</v>
      </c>
    </row>
    <row r="1749" spans="1:2" x14ac:dyDescent="0.25">
      <c r="A1749" t="s">
        <v>2268</v>
      </c>
      <c r="B1749" t="s">
        <v>5810</v>
      </c>
    </row>
    <row r="1750" spans="1:2" x14ac:dyDescent="0.25">
      <c r="A1750" t="s">
        <v>3086</v>
      </c>
      <c r="B1750" t="s">
        <v>5788</v>
      </c>
    </row>
    <row r="1751" spans="1:2" x14ac:dyDescent="0.25">
      <c r="A1751" t="s">
        <v>3019</v>
      </c>
      <c r="B1751" t="s">
        <v>6166</v>
      </c>
    </row>
    <row r="1752" spans="1:2" x14ac:dyDescent="0.25">
      <c r="A1752" t="s">
        <v>2680</v>
      </c>
      <c r="B1752" t="s">
        <v>5787</v>
      </c>
    </row>
    <row r="1753" spans="1:2" x14ac:dyDescent="0.25">
      <c r="A1753" t="s">
        <v>1468</v>
      </c>
      <c r="B1753" t="s">
        <v>5788</v>
      </c>
    </row>
    <row r="1754" spans="1:2" x14ac:dyDescent="0.25">
      <c r="A1754" t="s">
        <v>2614</v>
      </c>
      <c r="B1754" t="s">
        <v>5794</v>
      </c>
    </row>
    <row r="1755" spans="1:2" x14ac:dyDescent="0.25">
      <c r="A1755" t="s">
        <v>4836</v>
      </c>
      <c r="B1755" t="s">
        <v>6794</v>
      </c>
    </row>
    <row r="1756" spans="1:2" x14ac:dyDescent="0.25">
      <c r="A1756" t="s">
        <v>639</v>
      </c>
      <c r="B1756" t="s">
        <v>6287</v>
      </c>
    </row>
    <row r="1757" spans="1:2" x14ac:dyDescent="0.25">
      <c r="A1757" t="s">
        <v>3512</v>
      </c>
      <c r="B1757" t="s">
        <v>5787</v>
      </c>
    </row>
    <row r="1758" spans="1:2" x14ac:dyDescent="0.25">
      <c r="A1758" t="s">
        <v>3519</v>
      </c>
      <c r="B1758" t="s">
        <v>5787</v>
      </c>
    </row>
    <row r="1759" spans="1:2" x14ac:dyDescent="0.25">
      <c r="A1759" t="s">
        <v>2089</v>
      </c>
      <c r="B1759" t="s">
        <v>5704</v>
      </c>
    </row>
    <row r="1760" spans="1:2" x14ac:dyDescent="0.25">
      <c r="A1760" t="s">
        <v>5033</v>
      </c>
      <c r="B1760" t="s">
        <v>6150</v>
      </c>
    </row>
    <row r="1761" spans="1:2" x14ac:dyDescent="0.25">
      <c r="A1761" t="s">
        <v>3324</v>
      </c>
      <c r="B1761" t="s">
        <v>5780</v>
      </c>
    </row>
    <row r="1762" spans="1:2" x14ac:dyDescent="0.25">
      <c r="A1762" t="s">
        <v>3652</v>
      </c>
      <c r="B1762" t="s">
        <v>6050</v>
      </c>
    </row>
    <row r="1763" spans="1:2" x14ac:dyDescent="0.25">
      <c r="A1763" t="s">
        <v>4619</v>
      </c>
      <c r="B1763" t="s">
        <v>6391</v>
      </c>
    </row>
    <row r="1764" spans="1:2" x14ac:dyDescent="0.25">
      <c r="A1764" t="s">
        <v>2617</v>
      </c>
      <c r="B1764" t="s">
        <v>5762</v>
      </c>
    </row>
    <row r="1765" spans="1:2" x14ac:dyDescent="0.25">
      <c r="A1765" t="s">
        <v>332</v>
      </c>
      <c r="B1765" t="s">
        <v>5740</v>
      </c>
    </row>
    <row r="1766" spans="1:2" x14ac:dyDescent="0.25">
      <c r="A1766" t="s">
        <v>4917</v>
      </c>
      <c r="B1766" t="s">
        <v>5926</v>
      </c>
    </row>
    <row r="1767" spans="1:2" x14ac:dyDescent="0.25">
      <c r="A1767" t="s">
        <v>1780</v>
      </c>
      <c r="B1767" t="s">
        <v>5808</v>
      </c>
    </row>
    <row r="1768" spans="1:2" x14ac:dyDescent="0.25">
      <c r="A1768" t="s">
        <v>4994</v>
      </c>
      <c r="B1768" t="s">
        <v>5873</v>
      </c>
    </row>
    <row r="1769" spans="1:2" x14ac:dyDescent="0.25">
      <c r="A1769" t="s">
        <v>4350</v>
      </c>
      <c r="B1769" t="s">
        <v>5928</v>
      </c>
    </row>
    <row r="1770" spans="1:2" x14ac:dyDescent="0.25">
      <c r="A1770" t="s">
        <v>1000</v>
      </c>
      <c r="B1770" t="s">
        <v>5805</v>
      </c>
    </row>
    <row r="1771" spans="1:2" x14ac:dyDescent="0.25">
      <c r="A1771" t="s">
        <v>306</v>
      </c>
      <c r="B1771" t="s">
        <v>6265</v>
      </c>
    </row>
    <row r="1772" spans="1:2" x14ac:dyDescent="0.25">
      <c r="A1772" t="s">
        <v>2726</v>
      </c>
      <c r="B1772" t="s">
        <v>6449</v>
      </c>
    </row>
    <row r="1773" spans="1:2" x14ac:dyDescent="0.25">
      <c r="A1773" t="s">
        <v>149</v>
      </c>
      <c r="B1773" t="s">
        <v>5747</v>
      </c>
    </row>
    <row r="1774" spans="1:2" x14ac:dyDescent="0.25">
      <c r="A1774" t="s">
        <v>5668</v>
      </c>
      <c r="B1774" t="s">
        <v>5964</v>
      </c>
    </row>
    <row r="1775" spans="1:2" x14ac:dyDescent="0.25">
      <c r="A1775" t="s">
        <v>3622</v>
      </c>
      <c r="B1775" t="s">
        <v>5719</v>
      </c>
    </row>
    <row r="1776" spans="1:2" x14ac:dyDescent="0.25">
      <c r="A1776" t="s">
        <v>183</v>
      </c>
      <c r="B1776" t="s">
        <v>6348</v>
      </c>
    </row>
    <row r="1777" spans="1:2" x14ac:dyDescent="0.25">
      <c r="A1777" t="s">
        <v>1246</v>
      </c>
      <c r="B1777" t="s">
        <v>6022</v>
      </c>
    </row>
    <row r="1778" spans="1:2" x14ac:dyDescent="0.25">
      <c r="A1778" t="s">
        <v>3372</v>
      </c>
    </row>
    <row r="1779" spans="1:2" x14ac:dyDescent="0.25">
      <c r="A1779" t="s">
        <v>3737</v>
      </c>
      <c r="B1779">
        <v>0</v>
      </c>
    </row>
    <row r="1780" spans="1:2" x14ac:dyDescent="0.25">
      <c r="A1780" t="s">
        <v>1617</v>
      </c>
      <c r="B1780" t="s">
        <v>5822</v>
      </c>
    </row>
    <row r="1781" spans="1:2" x14ac:dyDescent="0.25">
      <c r="A1781" t="s">
        <v>2137</v>
      </c>
      <c r="B1781">
        <v>0</v>
      </c>
    </row>
    <row r="1782" spans="1:2" x14ac:dyDescent="0.25">
      <c r="A1782" t="s">
        <v>3135</v>
      </c>
      <c r="B1782" t="s">
        <v>5713</v>
      </c>
    </row>
    <row r="1783" spans="1:2" x14ac:dyDescent="0.25">
      <c r="A1783" t="s">
        <v>1533</v>
      </c>
      <c r="B1783" t="s">
        <v>6090</v>
      </c>
    </row>
    <row r="1784" spans="1:2" x14ac:dyDescent="0.25">
      <c r="A1784" t="s">
        <v>24</v>
      </c>
      <c r="B1784" t="s">
        <v>6348</v>
      </c>
    </row>
    <row r="1785" spans="1:2" x14ac:dyDescent="0.25">
      <c r="A1785" t="s">
        <v>766</v>
      </c>
      <c r="B1785" t="s">
        <v>6005</v>
      </c>
    </row>
    <row r="1786" spans="1:2" x14ac:dyDescent="0.25">
      <c r="A1786" t="s">
        <v>1702</v>
      </c>
      <c r="B1786" t="s">
        <v>5822</v>
      </c>
    </row>
    <row r="1787" spans="1:2" x14ac:dyDescent="0.25">
      <c r="A1787" t="s">
        <v>4038</v>
      </c>
      <c r="B1787" t="s">
        <v>5716</v>
      </c>
    </row>
    <row r="1788" spans="1:2" x14ac:dyDescent="0.25">
      <c r="A1788" t="s">
        <v>771</v>
      </c>
      <c r="B1788" t="s">
        <v>5944</v>
      </c>
    </row>
    <row r="1789" spans="1:2" x14ac:dyDescent="0.25">
      <c r="A1789" t="s">
        <v>3651</v>
      </c>
      <c r="B1789" t="s">
        <v>5944</v>
      </c>
    </row>
    <row r="1790" spans="1:2" x14ac:dyDescent="0.25">
      <c r="A1790" t="s">
        <v>2722</v>
      </c>
      <c r="B1790" t="s">
        <v>6132</v>
      </c>
    </row>
    <row r="1791" spans="1:2" x14ac:dyDescent="0.25">
      <c r="A1791" t="s">
        <v>3095</v>
      </c>
      <c r="B1791" t="s">
        <v>6011</v>
      </c>
    </row>
    <row r="1792" spans="1:2" x14ac:dyDescent="0.25">
      <c r="A1792" t="s">
        <v>353</v>
      </c>
      <c r="B1792" t="s">
        <v>5833</v>
      </c>
    </row>
    <row r="1793" spans="1:2" x14ac:dyDescent="0.25">
      <c r="A1793" t="s">
        <v>5113</v>
      </c>
      <c r="B1793" t="s">
        <v>5826</v>
      </c>
    </row>
    <row r="1794" spans="1:2" x14ac:dyDescent="0.25">
      <c r="A1794" t="s">
        <v>3056</v>
      </c>
      <c r="B1794" t="s">
        <v>6177</v>
      </c>
    </row>
    <row r="1795" spans="1:2" x14ac:dyDescent="0.25">
      <c r="A1795" t="s">
        <v>2715</v>
      </c>
      <c r="B1795" t="s">
        <v>6596</v>
      </c>
    </row>
    <row r="1796" spans="1:2" x14ac:dyDescent="0.25">
      <c r="A1796" t="s">
        <v>1712</v>
      </c>
      <c r="B1796" t="s">
        <v>6605</v>
      </c>
    </row>
    <row r="1797" spans="1:2" x14ac:dyDescent="0.25">
      <c r="A1797" t="s">
        <v>1759</v>
      </c>
      <c r="B1797" t="s">
        <v>6223</v>
      </c>
    </row>
    <row r="1798" spans="1:2" x14ac:dyDescent="0.25">
      <c r="A1798" t="s">
        <v>1889</v>
      </c>
      <c r="B1798" t="s">
        <v>6746</v>
      </c>
    </row>
    <row r="1799" spans="1:2" x14ac:dyDescent="0.25">
      <c r="A1799" t="s">
        <v>4532</v>
      </c>
      <c r="B1799" t="s">
        <v>5804</v>
      </c>
    </row>
    <row r="1800" spans="1:2" x14ac:dyDescent="0.25">
      <c r="A1800" t="s">
        <v>5104</v>
      </c>
      <c r="B1800" t="s">
        <v>5987</v>
      </c>
    </row>
    <row r="1801" spans="1:2" x14ac:dyDescent="0.25">
      <c r="A1801" t="s">
        <v>3926</v>
      </c>
      <c r="B1801" t="s">
        <v>5866</v>
      </c>
    </row>
    <row r="1802" spans="1:2" x14ac:dyDescent="0.25">
      <c r="A1802" t="s">
        <v>1804</v>
      </c>
      <c r="B1802" t="s">
        <v>5788</v>
      </c>
    </row>
    <row r="1803" spans="1:2" x14ac:dyDescent="0.25">
      <c r="A1803" t="s">
        <v>5294</v>
      </c>
      <c r="B1803" t="s">
        <v>5721</v>
      </c>
    </row>
    <row r="1804" spans="1:2" x14ac:dyDescent="0.25">
      <c r="A1804" t="s">
        <v>568</v>
      </c>
      <c r="B1804" t="s">
        <v>5901</v>
      </c>
    </row>
    <row r="1805" spans="1:2" x14ac:dyDescent="0.25">
      <c r="A1805" t="s">
        <v>5297</v>
      </c>
      <c r="B1805" t="s">
        <v>6075</v>
      </c>
    </row>
    <row r="1806" spans="1:2" x14ac:dyDescent="0.25">
      <c r="A1806" t="s">
        <v>1039</v>
      </c>
      <c r="B1806" t="s">
        <v>5721</v>
      </c>
    </row>
    <row r="1807" spans="1:2" x14ac:dyDescent="0.25">
      <c r="A1807" t="s">
        <v>3164</v>
      </c>
      <c r="B1807" t="s">
        <v>6259</v>
      </c>
    </row>
    <row r="1808" spans="1:2" x14ac:dyDescent="0.25">
      <c r="A1808" t="s">
        <v>3809</v>
      </c>
      <c r="B1808" t="s">
        <v>5825</v>
      </c>
    </row>
    <row r="1809" spans="1:2" x14ac:dyDescent="0.25">
      <c r="A1809" t="s">
        <v>2251</v>
      </c>
      <c r="B1809" t="s">
        <v>6524</v>
      </c>
    </row>
    <row r="1810" spans="1:2" x14ac:dyDescent="0.25">
      <c r="A1810" t="s">
        <v>2349</v>
      </c>
      <c r="B1810" t="s">
        <v>5915</v>
      </c>
    </row>
    <row r="1811" spans="1:2" x14ac:dyDescent="0.25">
      <c r="A1811" t="s">
        <v>1507</v>
      </c>
      <c r="B1811" t="s">
        <v>6785</v>
      </c>
    </row>
    <row r="1812" spans="1:2" x14ac:dyDescent="0.25">
      <c r="A1812" t="s">
        <v>2517</v>
      </c>
      <c r="B1812" t="s">
        <v>6149</v>
      </c>
    </row>
    <row r="1813" spans="1:2" x14ac:dyDescent="0.25">
      <c r="A1813" t="s">
        <v>4012</v>
      </c>
      <c r="B1813" t="s">
        <v>6206</v>
      </c>
    </row>
    <row r="1814" spans="1:2" x14ac:dyDescent="0.25">
      <c r="A1814" t="s">
        <v>2861</v>
      </c>
      <c r="B1814" t="s">
        <v>6448</v>
      </c>
    </row>
    <row r="1815" spans="1:2" x14ac:dyDescent="0.25">
      <c r="A1815" t="s">
        <v>1867</v>
      </c>
      <c r="B1815" t="s">
        <v>5821</v>
      </c>
    </row>
    <row r="1816" spans="1:2" x14ac:dyDescent="0.25">
      <c r="A1816" t="s">
        <v>4717</v>
      </c>
      <c r="B1816" t="s">
        <v>5724</v>
      </c>
    </row>
    <row r="1817" spans="1:2" x14ac:dyDescent="0.25">
      <c r="A1817" t="s">
        <v>2541</v>
      </c>
      <c r="B1817" t="s">
        <v>5787</v>
      </c>
    </row>
    <row r="1818" spans="1:2" x14ac:dyDescent="0.25">
      <c r="A1818" t="s">
        <v>856</v>
      </c>
      <c r="B1818" t="s">
        <v>5846</v>
      </c>
    </row>
    <row r="1819" spans="1:2" x14ac:dyDescent="0.25">
      <c r="A1819" t="s">
        <v>2601</v>
      </c>
      <c r="B1819" t="s">
        <v>5996</v>
      </c>
    </row>
    <row r="1820" spans="1:2" x14ac:dyDescent="0.25">
      <c r="A1820" t="s">
        <v>2824</v>
      </c>
      <c r="B1820" t="s">
        <v>5942</v>
      </c>
    </row>
    <row r="1821" spans="1:2" x14ac:dyDescent="0.25">
      <c r="A1821" t="s">
        <v>2569</v>
      </c>
      <c r="B1821" t="s">
        <v>5874</v>
      </c>
    </row>
    <row r="1822" spans="1:2" x14ac:dyDescent="0.25">
      <c r="A1822" t="s">
        <v>2019</v>
      </c>
      <c r="B1822" t="s">
        <v>5881</v>
      </c>
    </row>
    <row r="1823" spans="1:2" x14ac:dyDescent="0.25">
      <c r="A1823" t="s">
        <v>3782</v>
      </c>
      <c r="B1823" t="s">
        <v>5795</v>
      </c>
    </row>
    <row r="1824" spans="1:2" x14ac:dyDescent="0.25">
      <c r="A1824" t="s">
        <v>5487</v>
      </c>
      <c r="B1824" t="s">
        <v>6791</v>
      </c>
    </row>
    <row r="1825" spans="1:2" x14ac:dyDescent="0.25">
      <c r="A1825" t="s">
        <v>4947</v>
      </c>
      <c r="B1825" t="s">
        <v>5982</v>
      </c>
    </row>
    <row r="1826" spans="1:2" x14ac:dyDescent="0.25">
      <c r="A1826" t="s">
        <v>2980</v>
      </c>
      <c r="B1826" t="s">
        <v>5898</v>
      </c>
    </row>
    <row r="1827" spans="1:2" x14ac:dyDescent="0.25">
      <c r="A1827" t="s">
        <v>2833</v>
      </c>
      <c r="B1827" t="s">
        <v>6250</v>
      </c>
    </row>
    <row r="1828" spans="1:2" x14ac:dyDescent="0.25">
      <c r="A1828" t="s">
        <v>3425</v>
      </c>
      <c r="B1828" t="s">
        <v>5977</v>
      </c>
    </row>
    <row r="1829" spans="1:2" x14ac:dyDescent="0.25">
      <c r="A1829" t="s">
        <v>2610</v>
      </c>
      <c r="B1829" t="s">
        <v>6365</v>
      </c>
    </row>
    <row r="1830" spans="1:2" x14ac:dyDescent="0.25">
      <c r="A1830" t="s">
        <v>2778</v>
      </c>
      <c r="B1830" t="s">
        <v>6433</v>
      </c>
    </row>
    <row r="1831" spans="1:2" x14ac:dyDescent="0.25">
      <c r="A1831" t="s">
        <v>420</v>
      </c>
      <c r="B1831" t="s">
        <v>5788</v>
      </c>
    </row>
    <row r="1832" spans="1:2" x14ac:dyDescent="0.25">
      <c r="A1832" t="s">
        <v>1115</v>
      </c>
      <c r="B1832" t="s">
        <v>5826</v>
      </c>
    </row>
    <row r="1833" spans="1:2" x14ac:dyDescent="0.25">
      <c r="A1833" t="s">
        <v>3388</v>
      </c>
      <c r="B1833" t="s">
        <v>5893</v>
      </c>
    </row>
    <row r="1834" spans="1:2" x14ac:dyDescent="0.25">
      <c r="A1834" t="s">
        <v>700</v>
      </c>
      <c r="B1834" t="s">
        <v>5958</v>
      </c>
    </row>
    <row r="1835" spans="1:2" x14ac:dyDescent="0.25">
      <c r="A1835" t="s">
        <v>1108</v>
      </c>
      <c r="B1835" t="s">
        <v>5958</v>
      </c>
    </row>
    <row r="1836" spans="1:2" x14ac:dyDescent="0.25">
      <c r="A1836" t="s">
        <v>3207</v>
      </c>
      <c r="B1836" t="s">
        <v>5797</v>
      </c>
    </row>
    <row r="1837" spans="1:2" x14ac:dyDescent="0.25">
      <c r="A1837" t="s">
        <v>2917</v>
      </c>
      <c r="B1837" t="s">
        <v>5799</v>
      </c>
    </row>
    <row r="1838" spans="1:2" x14ac:dyDescent="0.25">
      <c r="A1838" t="s">
        <v>1025</v>
      </c>
      <c r="B1838" t="s">
        <v>5704</v>
      </c>
    </row>
    <row r="1839" spans="1:2" x14ac:dyDescent="0.25">
      <c r="A1839" t="s">
        <v>4943</v>
      </c>
      <c r="B1839" t="s">
        <v>5787</v>
      </c>
    </row>
    <row r="1840" spans="1:2" x14ac:dyDescent="0.25">
      <c r="A1840" t="s">
        <v>3369</v>
      </c>
      <c r="B1840" t="s">
        <v>5824</v>
      </c>
    </row>
    <row r="1841" spans="1:2" x14ac:dyDescent="0.25">
      <c r="A1841" t="s">
        <v>5093</v>
      </c>
      <c r="B1841" t="s">
        <v>5824</v>
      </c>
    </row>
    <row r="1842" spans="1:2" x14ac:dyDescent="0.25">
      <c r="A1842" t="s">
        <v>2684</v>
      </c>
      <c r="B1842" t="s">
        <v>6407</v>
      </c>
    </row>
    <row r="1843" spans="1:2" x14ac:dyDescent="0.25">
      <c r="A1843" t="s">
        <v>5372</v>
      </c>
      <c r="B1843" t="s">
        <v>5985</v>
      </c>
    </row>
    <row r="1844" spans="1:2" x14ac:dyDescent="0.25">
      <c r="A1844" t="s">
        <v>3872</v>
      </c>
      <c r="B1844" t="s">
        <v>5796</v>
      </c>
    </row>
    <row r="1845" spans="1:2" x14ac:dyDescent="0.25">
      <c r="A1845" t="s">
        <v>2532</v>
      </c>
      <c r="B1845" t="s">
        <v>5913</v>
      </c>
    </row>
    <row r="1846" spans="1:2" x14ac:dyDescent="0.25">
      <c r="A1846" t="s">
        <v>4711</v>
      </c>
      <c r="B1846" t="s">
        <v>5730</v>
      </c>
    </row>
    <row r="1847" spans="1:2" x14ac:dyDescent="0.25">
      <c r="A1847" t="s">
        <v>531</v>
      </c>
      <c r="B1847" t="s">
        <v>5787</v>
      </c>
    </row>
    <row r="1848" spans="1:2" x14ac:dyDescent="0.25">
      <c r="A1848" t="s">
        <v>1040</v>
      </c>
      <c r="B1848" t="s">
        <v>5851</v>
      </c>
    </row>
    <row r="1849" spans="1:2" x14ac:dyDescent="0.25">
      <c r="A1849" t="s">
        <v>1848</v>
      </c>
      <c r="B1849" t="s">
        <v>5721</v>
      </c>
    </row>
    <row r="1850" spans="1:2" x14ac:dyDescent="0.25">
      <c r="A1850" t="s">
        <v>4575</v>
      </c>
      <c r="B1850">
        <v>0</v>
      </c>
    </row>
    <row r="1851" spans="1:2" x14ac:dyDescent="0.25">
      <c r="A1851" t="s">
        <v>2497</v>
      </c>
      <c r="B1851" t="s">
        <v>5887</v>
      </c>
    </row>
    <row r="1852" spans="1:2" x14ac:dyDescent="0.25">
      <c r="A1852" t="s">
        <v>1677</v>
      </c>
      <c r="B1852" t="s">
        <v>5704</v>
      </c>
    </row>
    <row r="1853" spans="1:2" x14ac:dyDescent="0.25">
      <c r="A1853" t="s">
        <v>1259</v>
      </c>
      <c r="B1853" t="s">
        <v>5787</v>
      </c>
    </row>
    <row r="1854" spans="1:2" x14ac:dyDescent="0.25">
      <c r="A1854" t="s">
        <v>1238</v>
      </c>
      <c r="B1854" t="s">
        <v>5711</v>
      </c>
    </row>
    <row r="1855" spans="1:2" x14ac:dyDescent="0.25">
      <c r="A1855" t="s">
        <v>4467</v>
      </c>
      <c r="B1855" t="s">
        <v>5810</v>
      </c>
    </row>
    <row r="1856" spans="1:2" x14ac:dyDescent="0.25">
      <c r="A1856" t="s">
        <v>3453</v>
      </c>
      <c r="B1856">
        <v>0</v>
      </c>
    </row>
    <row r="1857" spans="1:2" x14ac:dyDescent="0.25">
      <c r="A1857" t="s">
        <v>4112</v>
      </c>
      <c r="B1857" t="s">
        <v>5843</v>
      </c>
    </row>
    <row r="1858" spans="1:2" x14ac:dyDescent="0.25">
      <c r="A1858" t="s">
        <v>1055</v>
      </c>
      <c r="B1858" t="s">
        <v>5787</v>
      </c>
    </row>
    <row r="1859" spans="1:2" x14ac:dyDescent="0.25">
      <c r="A1859" t="s">
        <v>530</v>
      </c>
      <c r="B1859" t="s">
        <v>5787</v>
      </c>
    </row>
    <row r="1860" spans="1:2" x14ac:dyDescent="0.25">
      <c r="A1860" t="s">
        <v>1538</v>
      </c>
      <c r="B1860" t="s">
        <v>6664</v>
      </c>
    </row>
    <row r="1861" spans="1:2" x14ac:dyDescent="0.25">
      <c r="A1861" t="s">
        <v>3683</v>
      </c>
      <c r="B1861" t="s">
        <v>5894</v>
      </c>
    </row>
    <row r="1862" spans="1:2" x14ac:dyDescent="0.25">
      <c r="A1862" t="s">
        <v>1600</v>
      </c>
      <c r="B1862" t="s">
        <v>5788</v>
      </c>
    </row>
    <row r="1863" spans="1:2" x14ac:dyDescent="0.25">
      <c r="A1863" t="s">
        <v>239</v>
      </c>
      <c r="B1863" t="s">
        <v>5896</v>
      </c>
    </row>
    <row r="1864" spans="1:2" x14ac:dyDescent="0.25">
      <c r="A1864" t="s">
        <v>251</v>
      </c>
      <c r="B1864" t="s">
        <v>6375</v>
      </c>
    </row>
    <row r="1865" spans="1:2" x14ac:dyDescent="0.25">
      <c r="A1865" t="s">
        <v>1284</v>
      </c>
      <c r="B1865" t="s">
        <v>5899</v>
      </c>
    </row>
    <row r="1866" spans="1:2" x14ac:dyDescent="0.25">
      <c r="A1866" t="s">
        <v>4772</v>
      </c>
      <c r="B1866" t="s">
        <v>5836</v>
      </c>
    </row>
    <row r="1867" spans="1:2" x14ac:dyDescent="0.25">
      <c r="A1867" t="s">
        <v>3228</v>
      </c>
      <c r="B1867" t="s">
        <v>5787</v>
      </c>
    </row>
    <row r="1868" spans="1:2" x14ac:dyDescent="0.25">
      <c r="A1868" t="s">
        <v>1772</v>
      </c>
      <c r="B1868" t="s">
        <v>5954</v>
      </c>
    </row>
    <row r="1869" spans="1:2" x14ac:dyDescent="0.25">
      <c r="A1869" t="s">
        <v>184</v>
      </c>
      <c r="B1869" t="s">
        <v>5757</v>
      </c>
    </row>
    <row r="1870" spans="1:2" x14ac:dyDescent="0.25">
      <c r="A1870" t="s">
        <v>3492</v>
      </c>
      <c r="B1870" t="s">
        <v>5812</v>
      </c>
    </row>
    <row r="1871" spans="1:2" x14ac:dyDescent="0.25">
      <c r="A1871" t="s">
        <v>2151</v>
      </c>
      <c r="B1871" t="s">
        <v>6299</v>
      </c>
    </row>
    <row r="1872" spans="1:2" x14ac:dyDescent="0.25">
      <c r="A1872" t="s">
        <v>2115</v>
      </c>
      <c r="B1872" t="s">
        <v>6431</v>
      </c>
    </row>
    <row r="1873" spans="1:2" x14ac:dyDescent="0.25">
      <c r="A1873" t="s">
        <v>725</v>
      </c>
      <c r="B1873" t="s">
        <v>6249</v>
      </c>
    </row>
    <row r="1874" spans="1:2" x14ac:dyDescent="0.25">
      <c r="A1874" t="s">
        <v>4354</v>
      </c>
      <c r="B1874" t="s">
        <v>5706</v>
      </c>
    </row>
    <row r="1875" spans="1:2" x14ac:dyDescent="0.25">
      <c r="A1875" t="s">
        <v>2796</v>
      </c>
      <c r="B1875">
        <v>0</v>
      </c>
    </row>
    <row r="1876" spans="1:2" x14ac:dyDescent="0.25">
      <c r="A1876" t="s">
        <v>3480</v>
      </c>
      <c r="B1876" t="s">
        <v>5704</v>
      </c>
    </row>
    <row r="1877" spans="1:2" x14ac:dyDescent="0.25">
      <c r="A1877" t="s">
        <v>4105</v>
      </c>
      <c r="B1877" t="s">
        <v>6036</v>
      </c>
    </row>
    <row r="1878" spans="1:2" x14ac:dyDescent="0.25">
      <c r="A1878" t="s">
        <v>2297</v>
      </c>
      <c r="B1878" t="s">
        <v>5866</v>
      </c>
    </row>
    <row r="1879" spans="1:2" x14ac:dyDescent="0.25">
      <c r="A1879" t="s">
        <v>3407</v>
      </c>
      <c r="B1879" t="s">
        <v>6352</v>
      </c>
    </row>
    <row r="1880" spans="1:2" x14ac:dyDescent="0.25">
      <c r="A1880" t="s">
        <v>3235</v>
      </c>
      <c r="B1880" t="s">
        <v>6000</v>
      </c>
    </row>
    <row r="1881" spans="1:2" x14ac:dyDescent="0.25">
      <c r="A1881" t="s">
        <v>3985</v>
      </c>
      <c r="B1881" t="s">
        <v>5847</v>
      </c>
    </row>
    <row r="1882" spans="1:2" x14ac:dyDescent="0.25">
      <c r="A1882" t="s">
        <v>1155</v>
      </c>
      <c r="B1882" t="s">
        <v>6171</v>
      </c>
    </row>
    <row r="1883" spans="1:2" x14ac:dyDescent="0.25">
      <c r="A1883" t="s">
        <v>1881</v>
      </c>
      <c r="B1883" t="s">
        <v>5719</v>
      </c>
    </row>
    <row r="1884" spans="1:2" x14ac:dyDescent="0.25">
      <c r="A1884" t="s">
        <v>1839</v>
      </c>
      <c r="B1884" t="s">
        <v>6093</v>
      </c>
    </row>
    <row r="1885" spans="1:2" x14ac:dyDescent="0.25">
      <c r="A1885" t="s">
        <v>269</v>
      </c>
      <c r="B1885" t="s">
        <v>5716</v>
      </c>
    </row>
    <row r="1886" spans="1:2" x14ac:dyDescent="0.25">
      <c r="A1886" t="s">
        <v>571</v>
      </c>
      <c r="B1886" t="s">
        <v>6024</v>
      </c>
    </row>
    <row r="1887" spans="1:2" x14ac:dyDescent="0.25">
      <c r="A1887" t="s">
        <v>5077</v>
      </c>
      <c r="B1887" t="s">
        <v>5790</v>
      </c>
    </row>
    <row r="1888" spans="1:2" x14ac:dyDescent="0.25">
      <c r="A1888" t="s">
        <v>2953</v>
      </c>
      <c r="B1888" t="s">
        <v>5737</v>
      </c>
    </row>
    <row r="1889" spans="1:2" x14ac:dyDescent="0.25">
      <c r="A1889" t="s">
        <v>327</v>
      </c>
      <c r="B1889" t="s">
        <v>6283</v>
      </c>
    </row>
    <row r="1890" spans="1:2" x14ac:dyDescent="0.25">
      <c r="A1890" t="s">
        <v>4753</v>
      </c>
      <c r="B1890" t="s">
        <v>5752</v>
      </c>
    </row>
    <row r="1891" spans="1:2" x14ac:dyDescent="0.25">
      <c r="A1891" t="s">
        <v>1167</v>
      </c>
      <c r="B1891" t="s">
        <v>5787</v>
      </c>
    </row>
    <row r="1892" spans="1:2" x14ac:dyDescent="0.25">
      <c r="A1892" t="s">
        <v>3744</v>
      </c>
      <c r="B1892" t="s">
        <v>5785</v>
      </c>
    </row>
    <row r="1893" spans="1:2" x14ac:dyDescent="0.25">
      <c r="A1893" t="s">
        <v>5191</v>
      </c>
      <c r="B1893" t="s">
        <v>5728</v>
      </c>
    </row>
    <row r="1894" spans="1:2" x14ac:dyDescent="0.25">
      <c r="A1894" t="s">
        <v>4913</v>
      </c>
      <c r="B1894" t="s">
        <v>6003</v>
      </c>
    </row>
    <row r="1895" spans="1:2" x14ac:dyDescent="0.25">
      <c r="A1895" t="s">
        <v>2790</v>
      </c>
      <c r="B1895" t="s">
        <v>5932</v>
      </c>
    </row>
    <row r="1896" spans="1:2" x14ac:dyDescent="0.25">
      <c r="A1896" t="s">
        <v>5604</v>
      </c>
      <c r="B1896" t="s">
        <v>6075</v>
      </c>
    </row>
    <row r="1897" spans="1:2" x14ac:dyDescent="0.25">
      <c r="A1897" t="s">
        <v>4503</v>
      </c>
      <c r="B1897" t="s">
        <v>5788</v>
      </c>
    </row>
    <row r="1898" spans="1:2" x14ac:dyDescent="0.25">
      <c r="A1898" t="s">
        <v>2478</v>
      </c>
      <c r="B1898" t="s">
        <v>5900</v>
      </c>
    </row>
    <row r="1899" spans="1:2" x14ac:dyDescent="0.25">
      <c r="A1899" t="s">
        <v>1762</v>
      </c>
      <c r="B1899" t="s">
        <v>6115</v>
      </c>
    </row>
    <row r="1900" spans="1:2" x14ac:dyDescent="0.25">
      <c r="A1900" t="s">
        <v>5585</v>
      </c>
      <c r="B1900" t="s">
        <v>5865</v>
      </c>
    </row>
    <row r="1901" spans="1:2" x14ac:dyDescent="0.25">
      <c r="A1901" t="s">
        <v>4925</v>
      </c>
      <c r="B1901" t="s">
        <v>5790</v>
      </c>
    </row>
    <row r="1902" spans="1:2" x14ac:dyDescent="0.25">
      <c r="A1902" t="s">
        <v>2443</v>
      </c>
      <c r="B1902" t="s">
        <v>6481</v>
      </c>
    </row>
    <row r="1903" spans="1:2" x14ac:dyDescent="0.25">
      <c r="A1903" t="s">
        <v>5676</v>
      </c>
      <c r="B1903" t="s">
        <v>5787</v>
      </c>
    </row>
    <row r="1904" spans="1:2" x14ac:dyDescent="0.25">
      <c r="A1904" t="s">
        <v>1742</v>
      </c>
      <c r="B1904" t="s">
        <v>6356</v>
      </c>
    </row>
    <row r="1905" spans="1:2" x14ac:dyDescent="0.25">
      <c r="A1905" t="s">
        <v>5070</v>
      </c>
      <c r="B1905" t="s">
        <v>6019</v>
      </c>
    </row>
    <row r="1906" spans="1:2" x14ac:dyDescent="0.25">
      <c r="A1906" t="s">
        <v>3969</v>
      </c>
      <c r="B1906" t="s">
        <v>5787</v>
      </c>
    </row>
    <row r="1907" spans="1:2" x14ac:dyDescent="0.25">
      <c r="A1907" t="s">
        <v>949</v>
      </c>
      <c r="B1907" t="s">
        <v>5787</v>
      </c>
    </row>
    <row r="1908" spans="1:2" x14ac:dyDescent="0.25">
      <c r="A1908" t="s">
        <v>3273</v>
      </c>
      <c r="B1908" t="s">
        <v>6005</v>
      </c>
    </row>
    <row r="1909" spans="1:2" x14ac:dyDescent="0.25">
      <c r="A1909" t="s">
        <v>4969</v>
      </c>
      <c r="B1909" t="s">
        <v>6567</v>
      </c>
    </row>
    <row r="1910" spans="1:2" x14ac:dyDescent="0.25">
      <c r="A1910" t="s">
        <v>2289</v>
      </c>
      <c r="B1910" t="s">
        <v>5787</v>
      </c>
    </row>
    <row r="1911" spans="1:2" x14ac:dyDescent="0.25">
      <c r="A1911" t="s">
        <v>3740</v>
      </c>
      <c r="B1911" t="s">
        <v>5785</v>
      </c>
    </row>
    <row r="1912" spans="1:2" x14ac:dyDescent="0.25">
      <c r="A1912" t="s">
        <v>2652</v>
      </c>
      <c r="B1912" t="s">
        <v>5787</v>
      </c>
    </row>
    <row r="1913" spans="1:2" x14ac:dyDescent="0.25">
      <c r="A1913" t="s">
        <v>2460</v>
      </c>
      <c r="B1913" t="s">
        <v>6338</v>
      </c>
    </row>
    <row r="1914" spans="1:2" x14ac:dyDescent="0.25">
      <c r="A1914" t="s">
        <v>5476</v>
      </c>
      <c r="B1914" t="s">
        <v>5724</v>
      </c>
    </row>
    <row r="1915" spans="1:2" x14ac:dyDescent="0.25">
      <c r="A1915" t="s">
        <v>145</v>
      </c>
      <c r="B1915" t="s">
        <v>5787</v>
      </c>
    </row>
    <row r="1916" spans="1:2" x14ac:dyDescent="0.25">
      <c r="A1916" t="s">
        <v>8933</v>
      </c>
      <c r="B1916" t="s">
        <v>5892</v>
      </c>
    </row>
    <row r="1917" spans="1:2" x14ac:dyDescent="0.25">
      <c r="A1917" t="s">
        <v>5271</v>
      </c>
      <c r="B1917" t="s">
        <v>5711</v>
      </c>
    </row>
    <row r="1918" spans="1:2" x14ac:dyDescent="0.25">
      <c r="A1918" t="s">
        <v>5742</v>
      </c>
      <c r="B1918" t="s">
        <v>5740</v>
      </c>
    </row>
    <row r="1919" spans="1:2" x14ac:dyDescent="0.25">
      <c r="A1919" t="s">
        <v>2693</v>
      </c>
      <c r="B1919" t="s">
        <v>5846</v>
      </c>
    </row>
    <row r="1920" spans="1:2" x14ac:dyDescent="0.25">
      <c r="A1920" t="s">
        <v>2159</v>
      </c>
      <c r="B1920" t="s">
        <v>5711</v>
      </c>
    </row>
    <row r="1921" spans="1:2" x14ac:dyDescent="0.25">
      <c r="A1921" t="s">
        <v>4418</v>
      </c>
      <c r="B1921" t="s">
        <v>5826</v>
      </c>
    </row>
    <row r="1922" spans="1:2" x14ac:dyDescent="0.25">
      <c r="A1922" t="s">
        <v>4898</v>
      </c>
      <c r="B1922" t="s">
        <v>5787</v>
      </c>
    </row>
    <row r="1923" spans="1:2" x14ac:dyDescent="0.25">
      <c r="A1923" t="s">
        <v>3887</v>
      </c>
      <c r="B1923" t="s">
        <v>5866</v>
      </c>
    </row>
    <row r="1924" spans="1:2" x14ac:dyDescent="0.25">
      <c r="A1924" t="s">
        <v>5681</v>
      </c>
      <c r="B1924" t="s">
        <v>6772</v>
      </c>
    </row>
    <row r="1925" spans="1:2" x14ac:dyDescent="0.25">
      <c r="A1925" t="s">
        <v>1130</v>
      </c>
      <c r="B1925" t="s">
        <v>5893</v>
      </c>
    </row>
    <row r="1926" spans="1:2" x14ac:dyDescent="0.25">
      <c r="A1926" t="s">
        <v>4277</v>
      </c>
      <c r="B1926" t="s">
        <v>6130</v>
      </c>
    </row>
    <row r="1927" spans="1:2" x14ac:dyDescent="0.25">
      <c r="A1927" t="s">
        <v>5174</v>
      </c>
      <c r="B1927" t="s">
        <v>5803</v>
      </c>
    </row>
    <row r="1928" spans="1:2" x14ac:dyDescent="0.25">
      <c r="A1928" t="s">
        <v>5441</v>
      </c>
      <c r="B1928" t="s">
        <v>5706</v>
      </c>
    </row>
    <row r="1929" spans="1:2" x14ac:dyDescent="0.25">
      <c r="A1929" t="s">
        <v>1884</v>
      </c>
      <c r="B1929" t="s">
        <v>5752</v>
      </c>
    </row>
    <row r="1930" spans="1:2" x14ac:dyDescent="0.25">
      <c r="A1930" t="s">
        <v>1494</v>
      </c>
      <c r="B1930" t="s">
        <v>5797</v>
      </c>
    </row>
    <row r="1931" spans="1:2" x14ac:dyDescent="0.25">
      <c r="A1931" t="s">
        <v>54</v>
      </c>
      <c r="B1931" t="s">
        <v>5798</v>
      </c>
    </row>
    <row r="1932" spans="1:2" x14ac:dyDescent="0.25">
      <c r="A1932" t="s">
        <v>3921</v>
      </c>
      <c r="B1932" t="s">
        <v>5787</v>
      </c>
    </row>
    <row r="1933" spans="1:2" x14ac:dyDescent="0.25">
      <c r="A1933" t="s">
        <v>2346</v>
      </c>
      <c r="B1933" t="s">
        <v>6763</v>
      </c>
    </row>
    <row r="1934" spans="1:2" x14ac:dyDescent="0.25">
      <c r="A1934" t="s">
        <v>5468</v>
      </c>
      <c r="B1934" t="s">
        <v>5711</v>
      </c>
    </row>
    <row r="1935" spans="1:2" x14ac:dyDescent="0.25">
      <c r="A1935" t="s">
        <v>895</v>
      </c>
      <c r="B1935" t="s">
        <v>5787</v>
      </c>
    </row>
    <row r="1936" spans="1:2" x14ac:dyDescent="0.25">
      <c r="A1936" t="s">
        <v>8953</v>
      </c>
      <c r="B1936" t="s">
        <v>5788</v>
      </c>
    </row>
    <row r="1937" spans="1:2" x14ac:dyDescent="0.25">
      <c r="A1937" t="s">
        <v>633</v>
      </c>
      <c r="B1937" t="s">
        <v>5778</v>
      </c>
    </row>
    <row r="1938" spans="1:2" x14ac:dyDescent="0.25">
      <c r="A1938" t="s">
        <v>5063</v>
      </c>
      <c r="B1938" t="s">
        <v>5706</v>
      </c>
    </row>
    <row r="1939" spans="1:2" x14ac:dyDescent="0.25">
      <c r="A1939" t="s">
        <v>4300</v>
      </c>
      <c r="B1939" t="s">
        <v>5800</v>
      </c>
    </row>
    <row r="1940" spans="1:2" x14ac:dyDescent="0.25">
      <c r="A1940" t="s">
        <v>4676</v>
      </c>
      <c r="B1940" t="s">
        <v>5704</v>
      </c>
    </row>
    <row r="1941" spans="1:2" x14ac:dyDescent="0.25">
      <c r="A1941" t="s">
        <v>5252</v>
      </c>
      <c r="B1941" t="s">
        <v>6114</v>
      </c>
    </row>
    <row r="1942" spans="1:2" x14ac:dyDescent="0.25">
      <c r="A1942" t="s">
        <v>4573</v>
      </c>
      <c r="B1942" t="s">
        <v>5972</v>
      </c>
    </row>
    <row r="1943" spans="1:2" x14ac:dyDescent="0.25">
      <c r="A1943" t="s">
        <v>2908</v>
      </c>
      <c r="B1943" t="s">
        <v>5934</v>
      </c>
    </row>
    <row r="1944" spans="1:2" x14ac:dyDescent="0.25">
      <c r="A1944" t="s">
        <v>730</v>
      </c>
      <c r="B1944" t="s">
        <v>6110</v>
      </c>
    </row>
    <row r="1945" spans="1:2" x14ac:dyDescent="0.25">
      <c r="A1945" t="s">
        <v>3401</v>
      </c>
      <c r="B1945" t="s">
        <v>6068</v>
      </c>
    </row>
    <row r="1946" spans="1:2" x14ac:dyDescent="0.25">
      <c r="A1946" t="s">
        <v>1603</v>
      </c>
      <c r="B1946" t="s">
        <v>5774</v>
      </c>
    </row>
    <row r="1947" spans="1:2" x14ac:dyDescent="0.25">
      <c r="A1947" t="s">
        <v>5069</v>
      </c>
      <c r="B1947" t="s">
        <v>5925</v>
      </c>
    </row>
    <row r="1948" spans="1:2" x14ac:dyDescent="0.25">
      <c r="A1948" t="s">
        <v>3808</v>
      </c>
      <c r="B1948" t="s">
        <v>5787</v>
      </c>
    </row>
    <row r="1949" spans="1:2" x14ac:dyDescent="0.25">
      <c r="A1949" t="s">
        <v>2527</v>
      </c>
      <c r="B1949" t="s">
        <v>6193</v>
      </c>
    </row>
    <row r="1950" spans="1:2" x14ac:dyDescent="0.25">
      <c r="A1950" t="s">
        <v>3406</v>
      </c>
      <c r="B1950" t="s">
        <v>5798</v>
      </c>
    </row>
    <row r="1951" spans="1:2" x14ac:dyDescent="0.25">
      <c r="A1951" t="s">
        <v>5110</v>
      </c>
      <c r="B1951" t="s">
        <v>6333</v>
      </c>
    </row>
    <row r="1952" spans="1:2" x14ac:dyDescent="0.25">
      <c r="A1952" t="s">
        <v>3743</v>
      </c>
      <c r="B1952" t="s">
        <v>5889</v>
      </c>
    </row>
    <row r="1953" spans="1:2" x14ac:dyDescent="0.25">
      <c r="A1953" t="s">
        <v>3874</v>
      </c>
      <c r="B1953" t="s">
        <v>5708</v>
      </c>
    </row>
    <row r="1954" spans="1:2" x14ac:dyDescent="0.25">
      <c r="A1954" t="s">
        <v>3611</v>
      </c>
      <c r="B1954" t="s">
        <v>5780</v>
      </c>
    </row>
    <row r="1955" spans="1:2" x14ac:dyDescent="0.25">
      <c r="A1955" t="s">
        <v>2832</v>
      </c>
      <c r="B1955" t="s">
        <v>5862</v>
      </c>
    </row>
    <row r="1956" spans="1:2" x14ac:dyDescent="0.25">
      <c r="A1956" t="s">
        <v>1714</v>
      </c>
      <c r="B1956" t="s">
        <v>5842</v>
      </c>
    </row>
    <row r="1957" spans="1:2" x14ac:dyDescent="0.25">
      <c r="A1957" t="s">
        <v>4151</v>
      </c>
      <c r="B1957" t="s">
        <v>6570</v>
      </c>
    </row>
    <row r="1958" spans="1:2" x14ac:dyDescent="0.25">
      <c r="A1958" t="s">
        <v>4318</v>
      </c>
      <c r="B1958" t="s">
        <v>6099</v>
      </c>
    </row>
    <row r="1959" spans="1:2" x14ac:dyDescent="0.25">
      <c r="A1959" t="s">
        <v>1348</v>
      </c>
      <c r="B1959" t="s">
        <v>5757</v>
      </c>
    </row>
    <row r="1960" spans="1:2" x14ac:dyDescent="0.25">
      <c r="A1960" t="s">
        <v>200</v>
      </c>
      <c r="B1960" t="s">
        <v>5719</v>
      </c>
    </row>
    <row r="1961" spans="1:2" x14ac:dyDescent="0.25">
      <c r="A1961" t="s">
        <v>1722</v>
      </c>
      <c r="B1961" t="s">
        <v>5787</v>
      </c>
    </row>
    <row r="1962" spans="1:2" x14ac:dyDescent="0.25">
      <c r="A1962" t="s">
        <v>778</v>
      </c>
      <c r="B1962" t="s">
        <v>5789</v>
      </c>
    </row>
    <row r="1963" spans="1:2" x14ac:dyDescent="0.25">
      <c r="A1963" t="s">
        <v>4173</v>
      </c>
      <c r="B1963" t="s">
        <v>5793</v>
      </c>
    </row>
    <row r="1964" spans="1:2" x14ac:dyDescent="0.25">
      <c r="A1964" t="s">
        <v>4434</v>
      </c>
      <c r="B1964" t="s">
        <v>5868</v>
      </c>
    </row>
    <row r="1965" spans="1:2" x14ac:dyDescent="0.25">
      <c r="A1965" t="s">
        <v>1660</v>
      </c>
      <c r="B1965" t="s">
        <v>6065</v>
      </c>
    </row>
    <row r="1966" spans="1:2" x14ac:dyDescent="0.25">
      <c r="A1966" t="s">
        <v>1986</v>
      </c>
      <c r="B1966" t="s">
        <v>5719</v>
      </c>
    </row>
    <row r="1967" spans="1:2" x14ac:dyDescent="0.25">
      <c r="A1967" t="s">
        <v>3300</v>
      </c>
      <c r="B1967" t="s">
        <v>5790</v>
      </c>
    </row>
    <row r="1968" spans="1:2" x14ac:dyDescent="0.25">
      <c r="A1968" t="s">
        <v>244</v>
      </c>
      <c r="B1968" t="s">
        <v>5719</v>
      </c>
    </row>
    <row r="1969" spans="1:2" x14ac:dyDescent="0.25">
      <c r="A1969" t="s">
        <v>5550</v>
      </c>
      <c r="B1969" t="s">
        <v>5768</v>
      </c>
    </row>
    <row r="1970" spans="1:2" x14ac:dyDescent="0.25">
      <c r="A1970" t="s">
        <v>1602</v>
      </c>
      <c r="B1970" t="s">
        <v>5716</v>
      </c>
    </row>
    <row r="1971" spans="1:2" x14ac:dyDescent="0.25">
      <c r="A1971" t="s">
        <v>1609</v>
      </c>
      <c r="B1971" t="s">
        <v>5980</v>
      </c>
    </row>
    <row r="1972" spans="1:2" x14ac:dyDescent="0.25">
      <c r="A1972" t="s">
        <v>2848</v>
      </c>
      <c r="B1972" t="s">
        <v>6066</v>
      </c>
    </row>
    <row r="1973" spans="1:2" x14ac:dyDescent="0.25">
      <c r="A1973" t="s">
        <v>3675</v>
      </c>
      <c r="B1973" t="s">
        <v>6173</v>
      </c>
    </row>
    <row r="1974" spans="1:2" x14ac:dyDescent="0.25">
      <c r="A1974" t="s">
        <v>549</v>
      </c>
      <c r="B1974" t="s">
        <v>5992</v>
      </c>
    </row>
    <row r="1975" spans="1:2" x14ac:dyDescent="0.25">
      <c r="A1975" t="s">
        <v>4009</v>
      </c>
      <c r="B1975" t="s">
        <v>5787</v>
      </c>
    </row>
    <row r="1976" spans="1:2" x14ac:dyDescent="0.25">
      <c r="A1976" t="s">
        <v>2869</v>
      </c>
      <c r="B1976" t="s">
        <v>5859</v>
      </c>
    </row>
    <row r="1977" spans="1:2" x14ac:dyDescent="0.25">
      <c r="A1977" t="s">
        <v>2457</v>
      </c>
      <c r="B1977" t="s">
        <v>5809</v>
      </c>
    </row>
    <row r="1978" spans="1:2" x14ac:dyDescent="0.25">
      <c r="A1978" t="s">
        <v>1850</v>
      </c>
      <c r="B1978" t="s">
        <v>5834</v>
      </c>
    </row>
    <row r="1979" spans="1:2" x14ac:dyDescent="0.25">
      <c r="A1979" t="s">
        <v>436</v>
      </c>
      <c r="B1979" t="s">
        <v>5787</v>
      </c>
    </row>
    <row r="1980" spans="1:2" x14ac:dyDescent="0.25">
      <c r="A1980" t="s">
        <v>960</v>
      </c>
      <c r="B1980" t="s">
        <v>5787</v>
      </c>
    </row>
    <row r="1981" spans="1:2" x14ac:dyDescent="0.25">
      <c r="A1981" t="s">
        <v>3515</v>
      </c>
      <c r="B1981" t="s">
        <v>5778</v>
      </c>
    </row>
    <row r="1982" spans="1:2" x14ac:dyDescent="0.25">
      <c r="A1982" t="s">
        <v>2583</v>
      </c>
      <c r="B1982" t="s">
        <v>5866</v>
      </c>
    </row>
    <row r="1983" spans="1:2" x14ac:dyDescent="0.25">
      <c r="A1983" t="s">
        <v>514</v>
      </c>
      <c r="B1983" t="s">
        <v>5787</v>
      </c>
    </row>
    <row r="1984" spans="1:2" x14ac:dyDescent="0.25">
      <c r="A1984" t="s">
        <v>3605</v>
      </c>
      <c r="B1984" t="s">
        <v>5704</v>
      </c>
    </row>
    <row r="1985" spans="1:2" x14ac:dyDescent="0.25">
      <c r="A1985" t="s">
        <v>4412</v>
      </c>
      <c r="B1985" t="s">
        <v>5798</v>
      </c>
    </row>
    <row r="1986" spans="1:2" x14ac:dyDescent="0.25">
      <c r="A1986" t="s">
        <v>1209</v>
      </c>
      <c r="B1986" t="s">
        <v>5740</v>
      </c>
    </row>
    <row r="1987" spans="1:2" x14ac:dyDescent="0.25">
      <c r="A1987" t="s">
        <v>5384</v>
      </c>
      <c r="B1987" t="s">
        <v>5792</v>
      </c>
    </row>
    <row r="1988" spans="1:2" x14ac:dyDescent="0.25">
      <c r="A1988" t="s">
        <v>1629</v>
      </c>
      <c r="B1988" t="s">
        <v>5716</v>
      </c>
    </row>
    <row r="1989" spans="1:2" x14ac:dyDescent="0.25">
      <c r="A1989" t="s">
        <v>2547</v>
      </c>
      <c r="B1989" t="s">
        <v>5778</v>
      </c>
    </row>
    <row r="1990" spans="1:2" x14ac:dyDescent="0.25">
      <c r="A1990" t="s">
        <v>1012</v>
      </c>
      <c r="B1990" t="s">
        <v>5787</v>
      </c>
    </row>
    <row r="1991" spans="1:2" x14ac:dyDescent="0.25">
      <c r="A1991" t="s">
        <v>288</v>
      </c>
      <c r="B1991" t="s">
        <v>6419</v>
      </c>
    </row>
    <row r="1992" spans="1:2" x14ac:dyDescent="0.25">
      <c r="A1992" t="s">
        <v>3601</v>
      </c>
      <c r="B1992" t="s">
        <v>5708</v>
      </c>
    </row>
    <row r="1993" spans="1:2" x14ac:dyDescent="0.25">
      <c r="A1993" t="s">
        <v>4172</v>
      </c>
      <c r="B1993" t="s">
        <v>5768</v>
      </c>
    </row>
    <row r="1994" spans="1:2" x14ac:dyDescent="0.25">
      <c r="A1994" t="s">
        <v>4515</v>
      </c>
      <c r="B1994" t="s">
        <v>6321</v>
      </c>
    </row>
    <row r="1995" spans="1:2" x14ac:dyDescent="0.25">
      <c r="A1995" t="s">
        <v>4196</v>
      </c>
      <c r="B1995" t="s">
        <v>6359</v>
      </c>
    </row>
    <row r="1996" spans="1:2" x14ac:dyDescent="0.25">
      <c r="A1996" t="s">
        <v>3965</v>
      </c>
      <c r="B1996" t="s">
        <v>6360</v>
      </c>
    </row>
    <row r="1997" spans="1:2" x14ac:dyDescent="0.25">
      <c r="A1997" t="s">
        <v>1428</v>
      </c>
      <c r="B1997" t="s">
        <v>5853</v>
      </c>
    </row>
    <row r="1998" spans="1:2" x14ac:dyDescent="0.25">
      <c r="A1998" t="s">
        <v>5697</v>
      </c>
      <c r="B1998" t="s">
        <v>5787</v>
      </c>
    </row>
    <row r="1999" spans="1:2" x14ac:dyDescent="0.25">
      <c r="A1999" t="s">
        <v>5760</v>
      </c>
      <c r="B1999" t="s">
        <v>5759</v>
      </c>
    </row>
    <row r="2000" spans="1:2" x14ac:dyDescent="0.25">
      <c r="A2000" t="s">
        <v>3475</v>
      </c>
      <c r="B2000" t="s">
        <v>5808</v>
      </c>
    </row>
    <row r="2001" spans="1:2" x14ac:dyDescent="0.25">
      <c r="A2001" t="s">
        <v>3223</v>
      </c>
      <c r="B2001" t="s">
        <v>6366</v>
      </c>
    </row>
    <row r="2002" spans="1:2" x14ac:dyDescent="0.25">
      <c r="A2002" t="s">
        <v>671</v>
      </c>
      <c r="B2002" t="s">
        <v>5871</v>
      </c>
    </row>
    <row r="2003" spans="1:2" x14ac:dyDescent="0.25">
      <c r="A2003" t="s">
        <v>1096</v>
      </c>
      <c r="B2003" t="s">
        <v>5787</v>
      </c>
    </row>
    <row r="2004" spans="1:2" x14ac:dyDescent="0.25">
      <c r="A2004" t="s">
        <v>2150</v>
      </c>
      <c r="B2004" t="s">
        <v>5817</v>
      </c>
    </row>
    <row r="2005" spans="1:2" x14ac:dyDescent="0.25">
      <c r="A2005" t="s">
        <v>1444</v>
      </c>
      <c r="B2005" t="s">
        <v>6217</v>
      </c>
    </row>
    <row r="2006" spans="1:2" x14ac:dyDescent="0.25">
      <c r="A2006" t="s">
        <v>5444</v>
      </c>
      <c r="B2006" t="s">
        <v>6765</v>
      </c>
    </row>
    <row r="2007" spans="1:2" x14ac:dyDescent="0.25">
      <c r="A2007" t="s">
        <v>3159</v>
      </c>
      <c r="B2007" t="s">
        <v>5766</v>
      </c>
    </row>
    <row r="2008" spans="1:2" x14ac:dyDescent="0.25">
      <c r="A2008" t="s">
        <v>2213</v>
      </c>
      <c r="B2008" t="s">
        <v>5768</v>
      </c>
    </row>
    <row r="2009" spans="1:2" x14ac:dyDescent="0.25">
      <c r="A2009" t="s">
        <v>2324</v>
      </c>
      <c r="B2009" t="s">
        <v>6008</v>
      </c>
    </row>
    <row r="2010" spans="1:2" x14ac:dyDescent="0.25">
      <c r="A2010" t="s">
        <v>5588</v>
      </c>
      <c r="B2010" t="s">
        <v>5844</v>
      </c>
    </row>
    <row r="2011" spans="1:2" x14ac:dyDescent="0.25">
      <c r="A2011" t="s">
        <v>1636</v>
      </c>
      <c r="B2011" t="s">
        <v>5918</v>
      </c>
    </row>
    <row r="2012" spans="1:2" x14ac:dyDescent="0.25">
      <c r="A2012" t="s">
        <v>2678</v>
      </c>
      <c r="B2012" t="s">
        <v>5787</v>
      </c>
    </row>
    <row r="2013" spans="1:2" x14ac:dyDescent="0.25">
      <c r="A2013" t="s">
        <v>4147</v>
      </c>
      <c r="B2013" t="s">
        <v>6058</v>
      </c>
    </row>
    <row r="2014" spans="1:2" x14ac:dyDescent="0.25">
      <c r="A2014" t="s">
        <v>3396</v>
      </c>
      <c r="B2014" t="s">
        <v>5787</v>
      </c>
    </row>
    <row r="2015" spans="1:2" x14ac:dyDescent="0.25">
      <c r="A2015" t="s">
        <v>120</v>
      </c>
      <c r="B2015" t="s">
        <v>5789</v>
      </c>
    </row>
    <row r="2016" spans="1:2" x14ac:dyDescent="0.25">
      <c r="A2016" t="s">
        <v>1813</v>
      </c>
      <c r="B2016" t="s">
        <v>5740</v>
      </c>
    </row>
    <row r="2017" spans="1:2" x14ac:dyDescent="0.25">
      <c r="A2017" t="s">
        <v>4893</v>
      </c>
      <c r="B2017" t="s">
        <v>5819</v>
      </c>
    </row>
    <row r="2018" spans="1:2" x14ac:dyDescent="0.25">
      <c r="A2018" t="s">
        <v>2447</v>
      </c>
      <c r="B2018" t="s">
        <v>5942</v>
      </c>
    </row>
    <row r="2019" spans="1:2" x14ac:dyDescent="0.25">
      <c r="A2019" t="s">
        <v>1047</v>
      </c>
      <c r="B2019" t="s">
        <v>6764</v>
      </c>
    </row>
    <row r="2020" spans="1:2" x14ac:dyDescent="0.25">
      <c r="A2020" t="s">
        <v>3001</v>
      </c>
      <c r="B2020" t="s">
        <v>5827</v>
      </c>
    </row>
    <row r="2021" spans="1:2" x14ac:dyDescent="0.25">
      <c r="A2021" t="s">
        <v>3709</v>
      </c>
      <c r="B2021" t="s">
        <v>5828</v>
      </c>
    </row>
    <row r="2022" spans="1:2" x14ac:dyDescent="0.25">
      <c r="A2022" t="s">
        <v>2671</v>
      </c>
      <c r="B2022" t="s">
        <v>5863</v>
      </c>
    </row>
    <row r="2023" spans="1:2" x14ac:dyDescent="0.25">
      <c r="A2023" t="s">
        <v>225</v>
      </c>
      <c r="B2023" t="s">
        <v>5711</v>
      </c>
    </row>
    <row r="2024" spans="1:2" x14ac:dyDescent="0.25">
      <c r="A2024" t="s">
        <v>3913</v>
      </c>
      <c r="B2024">
        <v>0</v>
      </c>
    </row>
    <row r="2025" spans="1:2" x14ac:dyDescent="0.25">
      <c r="A2025" t="s">
        <v>4690</v>
      </c>
      <c r="B2025" t="s">
        <v>5788</v>
      </c>
    </row>
    <row r="2026" spans="1:2" x14ac:dyDescent="0.25">
      <c r="A2026" t="s">
        <v>3305</v>
      </c>
      <c r="B2026" t="s">
        <v>6078</v>
      </c>
    </row>
    <row r="2027" spans="1:2" x14ac:dyDescent="0.25">
      <c r="A2027" t="s">
        <v>2718</v>
      </c>
      <c r="B2027" t="s">
        <v>5857</v>
      </c>
    </row>
    <row r="2028" spans="1:2" x14ac:dyDescent="0.25">
      <c r="A2028" t="s">
        <v>632</v>
      </c>
      <c r="B2028" t="s">
        <v>6101</v>
      </c>
    </row>
    <row r="2029" spans="1:2" x14ac:dyDescent="0.25">
      <c r="A2029" t="s">
        <v>1117</v>
      </c>
      <c r="B2029" t="s">
        <v>5873</v>
      </c>
    </row>
    <row r="2030" spans="1:2" x14ac:dyDescent="0.25">
      <c r="A2030" t="s">
        <v>5693</v>
      </c>
    </row>
    <row r="2031" spans="1:2" x14ac:dyDescent="0.25">
      <c r="A2031" t="s">
        <v>941</v>
      </c>
      <c r="B2031" t="s">
        <v>5716</v>
      </c>
    </row>
    <row r="2032" spans="1:2" x14ac:dyDescent="0.25">
      <c r="A2032" t="s">
        <v>1493</v>
      </c>
      <c r="B2032" t="s">
        <v>6414</v>
      </c>
    </row>
    <row r="2033" spans="1:2" x14ac:dyDescent="0.25">
      <c r="A2033" t="s">
        <v>818</v>
      </c>
      <c r="B2033" t="s">
        <v>5708</v>
      </c>
    </row>
    <row r="2034" spans="1:2" x14ac:dyDescent="0.25">
      <c r="A2034" t="s">
        <v>3532</v>
      </c>
      <c r="B2034" t="s">
        <v>5708</v>
      </c>
    </row>
    <row r="2035" spans="1:2" x14ac:dyDescent="0.25">
      <c r="A2035" t="s">
        <v>4078</v>
      </c>
      <c r="B2035" t="s">
        <v>6172</v>
      </c>
    </row>
    <row r="2036" spans="1:2" x14ac:dyDescent="0.25">
      <c r="A2036" t="s">
        <v>5392</v>
      </c>
      <c r="B2036" t="s">
        <v>5803</v>
      </c>
    </row>
    <row r="2037" spans="1:2" x14ac:dyDescent="0.25">
      <c r="A2037" t="s">
        <v>3020</v>
      </c>
      <c r="B2037" t="s">
        <v>6053</v>
      </c>
    </row>
    <row r="2038" spans="1:2" x14ac:dyDescent="0.25">
      <c r="A2038" t="s">
        <v>3439</v>
      </c>
      <c r="B2038" t="s">
        <v>5789</v>
      </c>
    </row>
    <row r="2039" spans="1:2" x14ac:dyDescent="0.25">
      <c r="A2039" t="s">
        <v>3325</v>
      </c>
      <c r="B2039" t="s">
        <v>5752</v>
      </c>
    </row>
    <row r="2040" spans="1:2" x14ac:dyDescent="0.25">
      <c r="A2040" t="s">
        <v>3215</v>
      </c>
      <c r="B2040" t="s">
        <v>5787</v>
      </c>
    </row>
    <row r="2041" spans="1:2" x14ac:dyDescent="0.25">
      <c r="A2041" t="s">
        <v>4826</v>
      </c>
      <c r="B2041" t="s">
        <v>5871</v>
      </c>
    </row>
    <row r="2042" spans="1:2" x14ac:dyDescent="0.25">
      <c r="A2042" t="s">
        <v>1529</v>
      </c>
      <c r="B2042" t="s">
        <v>6151</v>
      </c>
    </row>
    <row r="2043" spans="1:2" x14ac:dyDescent="0.25">
      <c r="A2043" t="s">
        <v>4234</v>
      </c>
      <c r="B2043" t="s">
        <v>5863</v>
      </c>
    </row>
    <row r="2044" spans="1:2" x14ac:dyDescent="0.25">
      <c r="A2044" t="s">
        <v>361</v>
      </c>
      <c r="B2044" t="s">
        <v>5964</v>
      </c>
    </row>
    <row r="2045" spans="1:2" x14ac:dyDescent="0.25">
      <c r="A2045" t="s">
        <v>4857</v>
      </c>
      <c r="B2045" t="s">
        <v>5944</v>
      </c>
    </row>
    <row r="2046" spans="1:2" x14ac:dyDescent="0.25">
      <c r="A2046" t="s">
        <v>2921</v>
      </c>
      <c r="B2046" t="s">
        <v>6430</v>
      </c>
    </row>
    <row r="2047" spans="1:2" x14ac:dyDescent="0.25">
      <c r="A2047" t="s">
        <v>1992</v>
      </c>
      <c r="B2047" t="s">
        <v>5905</v>
      </c>
    </row>
    <row r="2048" spans="1:2" x14ac:dyDescent="0.25">
      <c r="A2048" t="s">
        <v>1148</v>
      </c>
      <c r="B2048" t="s">
        <v>5788</v>
      </c>
    </row>
    <row r="2049" spans="1:2" x14ac:dyDescent="0.25">
      <c r="A2049" t="s">
        <v>3695</v>
      </c>
      <c r="B2049" t="s">
        <v>6618</v>
      </c>
    </row>
    <row r="2050" spans="1:2" x14ac:dyDescent="0.25">
      <c r="A2050" t="s">
        <v>526</v>
      </c>
      <c r="B2050" t="s">
        <v>5952</v>
      </c>
    </row>
    <row r="2051" spans="1:2" x14ac:dyDescent="0.25">
      <c r="A2051" t="s">
        <v>4735</v>
      </c>
      <c r="B2051" t="s">
        <v>6329</v>
      </c>
    </row>
    <row r="2052" spans="1:2" x14ac:dyDescent="0.25">
      <c r="A2052" t="s">
        <v>5160</v>
      </c>
      <c r="B2052" t="s">
        <v>5787</v>
      </c>
    </row>
    <row r="2053" spans="1:2" x14ac:dyDescent="0.25">
      <c r="A2053" t="s">
        <v>560</v>
      </c>
      <c r="B2053" t="s">
        <v>5706</v>
      </c>
    </row>
    <row r="2054" spans="1:2" x14ac:dyDescent="0.25">
      <c r="A2054" t="s">
        <v>3017</v>
      </c>
      <c r="B2054" t="s">
        <v>5842</v>
      </c>
    </row>
    <row r="2055" spans="1:2" x14ac:dyDescent="0.25">
      <c r="A2055" t="s">
        <v>4029</v>
      </c>
      <c r="B2055" t="s">
        <v>5788</v>
      </c>
    </row>
    <row r="2056" spans="1:2" x14ac:dyDescent="0.25">
      <c r="A2056" t="s">
        <v>2816</v>
      </c>
      <c r="B2056" t="s">
        <v>5787</v>
      </c>
    </row>
    <row r="2057" spans="1:2" x14ac:dyDescent="0.25">
      <c r="A2057" t="s">
        <v>3544</v>
      </c>
      <c r="B2057" t="s">
        <v>5704</v>
      </c>
    </row>
    <row r="2058" spans="1:2" x14ac:dyDescent="0.25">
      <c r="A2058" t="s">
        <v>4004</v>
      </c>
      <c r="B2058" t="s">
        <v>5774</v>
      </c>
    </row>
    <row r="2059" spans="1:2" x14ac:dyDescent="0.25">
      <c r="A2059" t="s">
        <v>2070</v>
      </c>
      <c r="B2059" t="s">
        <v>6271</v>
      </c>
    </row>
    <row r="2060" spans="1:2" x14ac:dyDescent="0.25">
      <c r="A2060" t="s">
        <v>311</v>
      </c>
    </row>
    <row r="2061" spans="1:2" x14ac:dyDescent="0.25">
      <c r="A2061" t="s">
        <v>1578</v>
      </c>
      <c r="B2061" t="s">
        <v>5787</v>
      </c>
    </row>
    <row r="2062" spans="1:2" x14ac:dyDescent="0.25">
      <c r="A2062" t="s">
        <v>5009</v>
      </c>
      <c r="B2062" t="s">
        <v>5787</v>
      </c>
    </row>
    <row r="2063" spans="1:2" x14ac:dyDescent="0.25">
      <c r="A2063" t="s">
        <v>976</v>
      </c>
      <c r="B2063" t="s">
        <v>5994</v>
      </c>
    </row>
    <row r="2064" spans="1:2" x14ac:dyDescent="0.25">
      <c r="A2064" t="s">
        <v>1495</v>
      </c>
      <c r="B2064" t="s">
        <v>6412</v>
      </c>
    </row>
    <row r="2065" spans="1:2" x14ac:dyDescent="0.25">
      <c r="A2065" t="s">
        <v>2784</v>
      </c>
      <c r="B2065" t="s">
        <v>6081</v>
      </c>
    </row>
    <row r="2066" spans="1:2" x14ac:dyDescent="0.25">
      <c r="A2066" t="s">
        <v>128</v>
      </c>
      <c r="B2066" t="s">
        <v>6047</v>
      </c>
    </row>
    <row r="2067" spans="1:2" x14ac:dyDescent="0.25">
      <c r="A2067" t="s">
        <v>4447</v>
      </c>
      <c r="B2067" t="s">
        <v>6020</v>
      </c>
    </row>
    <row r="2068" spans="1:2" x14ac:dyDescent="0.25">
      <c r="A2068" t="s">
        <v>2134</v>
      </c>
      <c r="B2068" t="s">
        <v>5787</v>
      </c>
    </row>
    <row r="2069" spans="1:2" x14ac:dyDescent="0.25">
      <c r="A2069" t="s">
        <v>178</v>
      </c>
      <c r="B2069" t="s">
        <v>5854</v>
      </c>
    </row>
    <row r="2070" spans="1:2" x14ac:dyDescent="0.25">
      <c r="A2070" t="s">
        <v>5536</v>
      </c>
      <c r="B2070" t="s">
        <v>5787</v>
      </c>
    </row>
    <row r="2071" spans="1:2" x14ac:dyDescent="0.25">
      <c r="A2071" t="s">
        <v>9093</v>
      </c>
      <c r="B2071" t="s">
        <v>6300</v>
      </c>
    </row>
    <row r="2072" spans="1:2" x14ac:dyDescent="0.25">
      <c r="A2072" t="s">
        <v>559</v>
      </c>
      <c r="B2072" t="s">
        <v>5812</v>
      </c>
    </row>
    <row r="2073" spans="1:2" x14ac:dyDescent="0.25">
      <c r="A2073" t="s">
        <v>2956</v>
      </c>
      <c r="B2073" t="s">
        <v>5808</v>
      </c>
    </row>
    <row r="2074" spans="1:2" x14ac:dyDescent="0.25">
      <c r="A2074" t="s">
        <v>5053</v>
      </c>
      <c r="B2074" t="s">
        <v>5945</v>
      </c>
    </row>
    <row r="2075" spans="1:2" x14ac:dyDescent="0.25">
      <c r="A2075" t="s">
        <v>4915</v>
      </c>
      <c r="B2075" t="s">
        <v>6045</v>
      </c>
    </row>
    <row r="2076" spans="1:2" x14ac:dyDescent="0.25">
      <c r="A2076" t="s">
        <v>1608</v>
      </c>
      <c r="B2076" t="s">
        <v>5840</v>
      </c>
    </row>
    <row r="2077" spans="1:2" x14ac:dyDescent="0.25">
      <c r="A2077" t="s">
        <v>4719</v>
      </c>
      <c r="B2077" t="s">
        <v>6017</v>
      </c>
    </row>
    <row r="2078" spans="1:2" x14ac:dyDescent="0.25">
      <c r="A2078" t="s">
        <v>5584</v>
      </c>
      <c r="B2078" t="s">
        <v>5787</v>
      </c>
    </row>
    <row r="2079" spans="1:2" x14ac:dyDescent="0.25">
      <c r="A2079" t="s">
        <v>703</v>
      </c>
      <c r="B2079" t="s">
        <v>5787</v>
      </c>
    </row>
    <row r="2080" spans="1:2" x14ac:dyDescent="0.25">
      <c r="A2080" t="s">
        <v>2749</v>
      </c>
      <c r="B2080" t="s">
        <v>6486</v>
      </c>
    </row>
    <row r="2081" spans="1:2" x14ac:dyDescent="0.25">
      <c r="A2081" t="s">
        <v>790</v>
      </c>
      <c r="B2081" t="s">
        <v>6502</v>
      </c>
    </row>
    <row r="2082" spans="1:2" x14ac:dyDescent="0.25">
      <c r="A2082" t="s">
        <v>4083</v>
      </c>
      <c r="B2082" t="s">
        <v>5902</v>
      </c>
    </row>
    <row r="2083" spans="1:2" x14ac:dyDescent="0.25">
      <c r="A2083" t="s">
        <v>5190</v>
      </c>
      <c r="B2083" t="s">
        <v>5950</v>
      </c>
    </row>
    <row r="2084" spans="1:2" x14ac:dyDescent="0.25">
      <c r="A2084" t="s">
        <v>351</v>
      </c>
      <c r="B2084" t="s">
        <v>5998</v>
      </c>
    </row>
    <row r="2085" spans="1:2" x14ac:dyDescent="0.25">
      <c r="A2085" t="s">
        <v>2808</v>
      </c>
      <c r="B2085" t="s">
        <v>5757</v>
      </c>
    </row>
    <row r="2086" spans="1:2" x14ac:dyDescent="0.25">
      <c r="A2086" t="s">
        <v>2074</v>
      </c>
      <c r="B2086" t="s">
        <v>5706</v>
      </c>
    </row>
    <row r="2087" spans="1:2" x14ac:dyDescent="0.25">
      <c r="A2087" t="s">
        <v>5482</v>
      </c>
      <c r="B2087" t="s">
        <v>6230</v>
      </c>
    </row>
    <row r="2088" spans="1:2" x14ac:dyDescent="0.25">
      <c r="A2088" t="s">
        <v>2704</v>
      </c>
      <c r="B2088" t="s">
        <v>5704</v>
      </c>
    </row>
    <row r="2089" spans="1:2" x14ac:dyDescent="0.25">
      <c r="A2089" t="s">
        <v>4020</v>
      </c>
      <c r="B2089" t="s">
        <v>5821</v>
      </c>
    </row>
    <row r="2090" spans="1:2" x14ac:dyDescent="0.25">
      <c r="A2090" t="s">
        <v>909</v>
      </c>
      <c r="B2090" t="s">
        <v>5794</v>
      </c>
    </row>
    <row r="2091" spans="1:2" x14ac:dyDescent="0.25">
      <c r="A2091" t="s">
        <v>5257</v>
      </c>
      <c r="B2091" t="s">
        <v>6610</v>
      </c>
    </row>
    <row r="2092" spans="1:2" x14ac:dyDescent="0.25">
      <c r="A2092" t="s">
        <v>5362</v>
      </c>
      <c r="B2092">
        <v>0</v>
      </c>
    </row>
    <row r="2093" spans="1:2" x14ac:dyDescent="0.25">
      <c r="A2093" t="s">
        <v>3671</v>
      </c>
      <c r="B2093" t="s">
        <v>5754</v>
      </c>
    </row>
    <row r="2094" spans="1:2" x14ac:dyDescent="0.25">
      <c r="A2094" t="s">
        <v>9122</v>
      </c>
      <c r="B2094" t="s">
        <v>5812</v>
      </c>
    </row>
    <row r="2095" spans="1:2" x14ac:dyDescent="0.25">
      <c r="A2095" t="s">
        <v>3289</v>
      </c>
      <c r="B2095" t="s">
        <v>5708</v>
      </c>
    </row>
    <row r="2096" spans="1:2" x14ac:dyDescent="0.25">
      <c r="A2096" t="s">
        <v>4922</v>
      </c>
      <c r="B2096" t="s">
        <v>5787</v>
      </c>
    </row>
    <row r="2097" spans="1:2" x14ac:dyDescent="0.25">
      <c r="A2097" t="s">
        <v>4879</v>
      </c>
      <c r="B2097" t="s">
        <v>5821</v>
      </c>
    </row>
    <row r="2098" spans="1:2" x14ac:dyDescent="0.25">
      <c r="A2098" t="s">
        <v>1703</v>
      </c>
      <c r="B2098" t="s">
        <v>5978</v>
      </c>
    </row>
    <row r="2099" spans="1:2" x14ac:dyDescent="0.25">
      <c r="A2099" t="s">
        <v>172</v>
      </c>
      <c r="B2099" t="s">
        <v>5782</v>
      </c>
    </row>
    <row r="2100" spans="1:2" x14ac:dyDescent="0.25">
      <c r="A2100" t="s">
        <v>5475</v>
      </c>
      <c r="B2100" t="s">
        <v>5793</v>
      </c>
    </row>
    <row r="2101" spans="1:2" x14ac:dyDescent="0.25">
      <c r="A2101" t="s">
        <v>5660</v>
      </c>
      <c r="B2101" t="s">
        <v>5706</v>
      </c>
    </row>
    <row r="2102" spans="1:2" x14ac:dyDescent="0.25">
      <c r="A2102" t="s">
        <v>5634</v>
      </c>
      <c r="B2102" t="s">
        <v>6076</v>
      </c>
    </row>
    <row r="2103" spans="1:2" x14ac:dyDescent="0.25">
      <c r="A2103" t="s">
        <v>2221</v>
      </c>
      <c r="B2103" t="s">
        <v>6004</v>
      </c>
    </row>
    <row r="2104" spans="1:2" x14ac:dyDescent="0.25">
      <c r="A2104" t="s">
        <v>72</v>
      </c>
      <c r="B2104" t="s">
        <v>5804</v>
      </c>
    </row>
    <row r="2105" spans="1:2" x14ac:dyDescent="0.25">
      <c r="A2105" t="s">
        <v>860</v>
      </c>
      <c r="B2105" t="s">
        <v>6722</v>
      </c>
    </row>
    <row r="2106" spans="1:2" x14ac:dyDescent="0.25">
      <c r="A2106" t="s">
        <v>3503</v>
      </c>
      <c r="B2106" t="s">
        <v>5888</v>
      </c>
    </row>
    <row r="2107" spans="1:2" x14ac:dyDescent="0.25">
      <c r="A2107" t="s">
        <v>3828</v>
      </c>
      <c r="B2107" t="s">
        <v>5790</v>
      </c>
    </row>
    <row r="2108" spans="1:2" x14ac:dyDescent="0.25">
      <c r="A2108" t="s">
        <v>159</v>
      </c>
      <c r="B2108" t="s">
        <v>6004</v>
      </c>
    </row>
    <row r="2109" spans="1:2" x14ac:dyDescent="0.25">
      <c r="A2109" t="s">
        <v>4424</v>
      </c>
      <c r="B2109" t="s">
        <v>6552</v>
      </c>
    </row>
    <row r="2110" spans="1:2" x14ac:dyDescent="0.25">
      <c r="A2110" t="s">
        <v>3298</v>
      </c>
    </row>
    <row r="2111" spans="1:2" x14ac:dyDescent="0.25">
      <c r="A2111" t="s">
        <v>4618</v>
      </c>
      <c r="B2111" t="s">
        <v>5856</v>
      </c>
    </row>
    <row r="2112" spans="1:2" x14ac:dyDescent="0.25">
      <c r="A2112" t="s">
        <v>1480</v>
      </c>
      <c r="B2112" t="s">
        <v>5787</v>
      </c>
    </row>
    <row r="2113" spans="1:2" x14ac:dyDescent="0.25">
      <c r="A2113" t="s">
        <v>4042</v>
      </c>
      <c r="B2113" t="s">
        <v>6568</v>
      </c>
    </row>
    <row r="2114" spans="1:2" x14ac:dyDescent="0.25">
      <c r="A2114" t="s">
        <v>5552</v>
      </c>
      <c r="B2114" t="s">
        <v>6094</v>
      </c>
    </row>
    <row r="2115" spans="1:2" x14ac:dyDescent="0.25">
      <c r="A2115" t="s">
        <v>2062</v>
      </c>
      <c r="B2115" t="s">
        <v>5770</v>
      </c>
    </row>
    <row r="2116" spans="1:2" x14ac:dyDescent="0.25">
      <c r="A2116" t="s">
        <v>1840</v>
      </c>
      <c r="B2116" t="s">
        <v>6649</v>
      </c>
    </row>
    <row r="2117" spans="1:2" x14ac:dyDescent="0.25">
      <c r="A2117" t="s">
        <v>374</v>
      </c>
      <c r="B2117" t="s">
        <v>6235</v>
      </c>
    </row>
    <row r="2118" spans="1:2" x14ac:dyDescent="0.25">
      <c r="A2118" t="s">
        <v>2924</v>
      </c>
      <c r="B2118" t="s">
        <v>5834</v>
      </c>
    </row>
    <row r="2119" spans="1:2" x14ac:dyDescent="0.25">
      <c r="A2119" t="s">
        <v>3602</v>
      </c>
      <c r="B2119" t="s">
        <v>6131</v>
      </c>
    </row>
    <row r="2120" spans="1:2" x14ac:dyDescent="0.25">
      <c r="A2120" t="s">
        <v>4305</v>
      </c>
      <c r="B2120" t="s">
        <v>6082</v>
      </c>
    </row>
    <row r="2121" spans="1:2" x14ac:dyDescent="0.25">
      <c r="A2121" t="s">
        <v>3959</v>
      </c>
      <c r="B2121" t="s">
        <v>5713</v>
      </c>
    </row>
    <row r="2122" spans="1:2" x14ac:dyDescent="0.25">
      <c r="A2122" t="s">
        <v>4396</v>
      </c>
      <c r="B2122" t="s">
        <v>5719</v>
      </c>
    </row>
    <row r="2123" spans="1:2" x14ac:dyDescent="0.25">
      <c r="A2123" t="s">
        <v>3630</v>
      </c>
      <c r="B2123" t="s">
        <v>5737</v>
      </c>
    </row>
    <row r="2124" spans="1:2" x14ac:dyDescent="0.25">
      <c r="A2124" t="s">
        <v>962</v>
      </c>
      <c r="B2124" t="s">
        <v>6191</v>
      </c>
    </row>
    <row r="2125" spans="1:2" x14ac:dyDescent="0.25">
      <c r="A2125" t="s">
        <v>814</v>
      </c>
      <c r="B2125" t="s">
        <v>5815</v>
      </c>
    </row>
    <row r="2126" spans="1:2" x14ac:dyDescent="0.25">
      <c r="A2126" t="s">
        <v>3871</v>
      </c>
      <c r="B2126" t="s">
        <v>6243</v>
      </c>
    </row>
    <row r="2127" spans="1:2" x14ac:dyDescent="0.25">
      <c r="A2127" t="s">
        <v>4920</v>
      </c>
      <c r="B2127" t="s">
        <v>5829</v>
      </c>
    </row>
    <row r="2128" spans="1:2" x14ac:dyDescent="0.25">
      <c r="A2128" t="s">
        <v>5291</v>
      </c>
      <c r="B2128" t="s">
        <v>5792</v>
      </c>
    </row>
    <row r="2129" spans="1:2" x14ac:dyDescent="0.25">
      <c r="A2129" t="s">
        <v>5506</v>
      </c>
      <c r="B2129" t="s">
        <v>6784</v>
      </c>
    </row>
    <row r="2130" spans="1:2" x14ac:dyDescent="0.25">
      <c r="A2130" t="s">
        <v>2871</v>
      </c>
      <c r="B2130" t="s">
        <v>6062</v>
      </c>
    </row>
    <row r="2131" spans="1:2" x14ac:dyDescent="0.25">
      <c r="A2131" t="s">
        <v>2700</v>
      </c>
      <c r="B2131" t="s">
        <v>5885</v>
      </c>
    </row>
    <row r="2132" spans="1:2" x14ac:dyDescent="0.25">
      <c r="A2132" t="s">
        <v>1615</v>
      </c>
      <c r="B2132" t="s">
        <v>6186</v>
      </c>
    </row>
    <row r="2133" spans="1:2" x14ac:dyDescent="0.25">
      <c r="A2133" t="s">
        <v>4919</v>
      </c>
      <c r="B2133" t="s">
        <v>5864</v>
      </c>
    </row>
    <row r="2134" spans="1:2" x14ac:dyDescent="0.25">
      <c r="A2134" t="s">
        <v>1801</v>
      </c>
      <c r="B2134" t="s">
        <v>5808</v>
      </c>
    </row>
    <row r="2135" spans="1:2" x14ac:dyDescent="0.25">
      <c r="A2135" t="s">
        <v>5347</v>
      </c>
      <c r="B2135" t="s">
        <v>5787</v>
      </c>
    </row>
    <row r="2136" spans="1:2" x14ac:dyDescent="0.25">
      <c r="A2136" t="s">
        <v>3815</v>
      </c>
      <c r="B2136" t="s">
        <v>5785</v>
      </c>
    </row>
    <row r="2137" spans="1:2" x14ac:dyDescent="0.25">
      <c r="A2137" t="s">
        <v>2841</v>
      </c>
      <c r="B2137" t="s">
        <v>6372</v>
      </c>
    </row>
    <row r="2138" spans="1:2" x14ac:dyDescent="0.25">
      <c r="A2138" t="s">
        <v>990</v>
      </c>
      <c r="B2138" t="s">
        <v>5850</v>
      </c>
    </row>
    <row r="2139" spans="1:2" x14ac:dyDescent="0.25">
      <c r="A2139" t="s">
        <v>5203</v>
      </c>
      <c r="B2139" t="s">
        <v>5787</v>
      </c>
    </row>
    <row r="2140" spans="1:2" x14ac:dyDescent="0.25">
      <c r="A2140" t="s">
        <v>1792</v>
      </c>
      <c r="B2140" t="s">
        <v>6441</v>
      </c>
    </row>
    <row r="2141" spans="1:2" x14ac:dyDescent="0.25">
      <c r="A2141" t="s">
        <v>838</v>
      </c>
      <c r="B2141" t="s">
        <v>5785</v>
      </c>
    </row>
    <row r="2142" spans="1:2" x14ac:dyDescent="0.25">
      <c r="A2142" t="s">
        <v>2507</v>
      </c>
    </row>
    <row r="2143" spans="1:2" x14ac:dyDescent="0.25">
      <c r="A2143" t="s">
        <v>1656</v>
      </c>
      <c r="B2143" t="s">
        <v>5821</v>
      </c>
    </row>
    <row r="2144" spans="1:2" x14ac:dyDescent="0.25">
      <c r="A2144" t="s">
        <v>2891</v>
      </c>
      <c r="B2144" t="s">
        <v>5787</v>
      </c>
    </row>
    <row r="2145" spans="1:2" x14ac:dyDescent="0.25">
      <c r="A2145" t="s">
        <v>1903</v>
      </c>
      <c r="B2145" t="s">
        <v>6663</v>
      </c>
    </row>
    <row r="2146" spans="1:2" x14ac:dyDescent="0.25">
      <c r="A2146" t="s">
        <v>3805</v>
      </c>
      <c r="B2146" t="s">
        <v>5804</v>
      </c>
    </row>
    <row r="2147" spans="1:2" x14ac:dyDescent="0.25">
      <c r="A2147" t="s">
        <v>438</v>
      </c>
      <c r="B2147" t="s">
        <v>5716</v>
      </c>
    </row>
    <row r="2148" spans="1:2" x14ac:dyDescent="0.25">
      <c r="A2148" t="s">
        <v>464</v>
      </c>
      <c r="B2148" t="s">
        <v>5852</v>
      </c>
    </row>
    <row r="2149" spans="1:2" x14ac:dyDescent="0.25">
      <c r="A2149" t="s">
        <v>2620</v>
      </c>
      <c r="B2149" t="s">
        <v>5820</v>
      </c>
    </row>
    <row r="2150" spans="1:2" x14ac:dyDescent="0.25">
      <c r="A2150" t="s">
        <v>2034</v>
      </c>
      <c r="B2150" t="s">
        <v>5979</v>
      </c>
    </row>
    <row r="2151" spans="1:2" x14ac:dyDescent="0.25">
      <c r="A2151" t="s">
        <v>2992</v>
      </c>
      <c r="B2151" t="s">
        <v>5954</v>
      </c>
    </row>
    <row r="2152" spans="1:2" x14ac:dyDescent="0.25">
      <c r="A2152" t="s">
        <v>988</v>
      </c>
      <c r="B2152">
        <v>0</v>
      </c>
    </row>
    <row r="2153" spans="1:2" x14ac:dyDescent="0.25">
      <c r="A2153" t="s">
        <v>5472</v>
      </c>
      <c r="B2153" t="s">
        <v>5953</v>
      </c>
    </row>
    <row r="2154" spans="1:2" x14ac:dyDescent="0.25">
      <c r="A2154" t="s">
        <v>4797</v>
      </c>
      <c r="B2154" t="s">
        <v>5734</v>
      </c>
    </row>
    <row r="2155" spans="1:2" x14ac:dyDescent="0.25">
      <c r="A2155" t="s">
        <v>2415</v>
      </c>
      <c r="B2155" t="s">
        <v>5819</v>
      </c>
    </row>
    <row r="2156" spans="1:2" x14ac:dyDescent="0.25">
      <c r="A2156" t="s">
        <v>2323</v>
      </c>
      <c r="B2156" t="s">
        <v>5916</v>
      </c>
    </row>
    <row r="2157" spans="1:2" x14ac:dyDescent="0.25">
      <c r="A2157" t="s">
        <v>4691</v>
      </c>
      <c r="B2157" t="s">
        <v>6246</v>
      </c>
    </row>
    <row r="2158" spans="1:2" x14ac:dyDescent="0.25">
      <c r="A2158" t="s">
        <v>2574</v>
      </c>
      <c r="B2158" t="s">
        <v>5787</v>
      </c>
    </row>
    <row r="2159" spans="1:2" x14ac:dyDescent="0.25">
      <c r="A2159" t="s">
        <v>1168</v>
      </c>
      <c r="B2159" t="s">
        <v>5801</v>
      </c>
    </row>
    <row r="2160" spans="1:2" x14ac:dyDescent="0.25">
      <c r="A2160" t="s">
        <v>1773</v>
      </c>
      <c r="B2160" t="s">
        <v>5860</v>
      </c>
    </row>
    <row r="2161" spans="1:2" x14ac:dyDescent="0.25">
      <c r="A2161" t="s">
        <v>5577</v>
      </c>
      <c r="B2161" t="s">
        <v>5787</v>
      </c>
    </row>
    <row r="2162" spans="1:2" x14ac:dyDescent="0.25">
      <c r="A2162" t="s">
        <v>180</v>
      </c>
      <c r="B2162" t="s">
        <v>6049</v>
      </c>
    </row>
    <row r="2163" spans="1:2" x14ac:dyDescent="0.25">
      <c r="A2163" t="s">
        <v>3320</v>
      </c>
      <c r="B2163" t="s">
        <v>6354</v>
      </c>
    </row>
    <row r="2164" spans="1:2" x14ac:dyDescent="0.25">
      <c r="A2164" t="s">
        <v>4324</v>
      </c>
      <c r="B2164" t="s">
        <v>6029</v>
      </c>
    </row>
    <row r="2165" spans="1:2" x14ac:dyDescent="0.25">
      <c r="A2165" t="s">
        <v>674</v>
      </c>
      <c r="B2165" t="s">
        <v>6123</v>
      </c>
    </row>
    <row r="2166" spans="1:2" x14ac:dyDescent="0.25">
      <c r="A2166" t="s">
        <v>2636</v>
      </c>
      <c r="B2166" t="s">
        <v>5787</v>
      </c>
    </row>
    <row r="2167" spans="1:2" x14ac:dyDescent="0.25">
      <c r="A2167" t="s">
        <v>4794</v>
      </c>
      <c r="B2167" t="s">
        <v>6113</v>
      </c>
    </row>
    <row r="2168" spans="1:2" x14ac:dyDescent="0.25">
      <c r="A2168" t="s">
        <v>4442</v>
      </c>
      <c r="B2168" t="s">
        <v>5819</v>
      </c>
    </row>
    <row r="2169" spans="1:2" x14ac:dyDescent="0.25">
      <c r="A2169" t="s">
        <v>1159</v>
      </c>
      <c r="B2169" t="s">
        <v>6777</v>
      </c>
    </row>
    <row r="2170" spans="1:2" x14ac:dyDescent="0.25">
      <c r="A2170" t="s">
        <v>883</v>
      </c>
      <c r="B2170" t="s">
        <v>5787</v>
      </c>
    </row>
    <row r="2171" spans="1:2" x14ac:dyDescent="0.25">
      <c r="A2171" t="s">
        <v>1888</v>
      </c>
      <c r="B2171" t="s">
        <v>6106</v>
      </c>
    </row>
    <row r="2172" spans="1:2" x14ac:dyDescent="0.25">
      <c r="A2172" t="s">
        <v>618</v>
      </c>
      <c r="B2172" t="s">
        <v>5847</v>
      </c>
    </row>
    <row r="2173" spans="1:2" x14ac:dyDescent="0.25">
      <c r="A2173" t="s">
        <v>2294</v>
      </c>
      <c r="B2173" t="s">
        <v>6691</v>
      </c>
    </row>
    <row r="2174" spans="1:2" x14ac:dyDescent="0.25">
      <c r="A2174" t="s">
        <v>1426</v>
      </c>
      <c r="B2174" t="s">
        <v>5708</v>
      </c>
    </row>
    <row r="2175" spans="1:2" x14ac:dyDescent="0.25">
      <c r="A2175" t="s">
        <v>403</v>
      </c>
      <c r="B2175" t="s">
        <v>5787</v>
      </c>
    </row>
    <row r="2176" spans="1:2" x14ac:dyDescent="0.25">
      <c r="A2176" t="s">
        <v>3920</v>
      </c>
      <c r="B2176" t="s">
        <v>5787</v>
      </c>
    </row>
    <row r="2177" spans="1:2" x14ac:dyDescent="0.25">
      <c r="A2177" t="s">
        <v>1983</v>
      </c>
      <c r="B2177" t="s">
        <v>6168</v>
      </c>
    </row>
    <row r="2178" spans="1:2" x14ac:dyDescent="0.25">
      <c r="A2178" t="s">
        <v>4875</v>
      </c>
      <c r="B2178" t="s">
        <v>5809</v>
      </c>
    </row>
    <row r="2179" spans="1:2" x14ac:dyDescent="0.25">
      <c r="A2179" t="s">
        <v>2317</v>
      </c>
      <c r="B2179" t="s">
        <v>5865</v>
      </c>
    </row>
    <row r="2180" spans="1:2" x14ac:dyDescent="0.25">
      <c r="A2180" t="s">
        <v>5438</v>
      </c>
      <c r="B2180" t="s">
        <v>5838</v>
      </c>
    </row>
    <row r="2181" spans="1:2" x14ac:dyDescent="0.25">
      <c r="A2181" t="s">
        <v>3308</v>
      </c>
      <c r="B2181" t="s">
        <v>6260</v>
      </c>
    </row>
    <row r="2182" spans="1:2" x14ac:dyDescent="0.25">
      <c r="A2182" t="s">
        <v>3247</v>
      </c>
      <c r="B2182" t="s">
        <v>5785</v>
      </c>
    </row>
    <row r="2183" spans="1:2" x14ac:dyDescent="0.25">
      <c r="A2183" t="s">
        <v>4959</v>
      </c>
      <c r="B2183" t="s">
        <v>6019</v>
      </c>
    </row>
    <row r="2184" spans="1:2" x14ac:dyDescent="0.25">
      <c r="A2184" t="s">
        <v>4400</v>
      </c>
      <c r="B2184" t="s">
        <v>5768</v>
      </c>
    </row>
    <row r="2185" spans="1:2" x14ac:dyDescent="0.25">
      <c r="A2185" t="s">
        <v>3798</v>
      </c>
      <c r="B2185" t="s">
        <v>6095</v>
      </c>
    </row>
    <row r="2186" spans="1:2" x14ac:dyDescent="0.25">
      <c r="A2186" t="s">
        <v>2366</v>
      </c>
      <c r="B2186" t="s">
        <v>6136</v>
      </c>
    </row>
    <row r="2187" spans="1:2" x14ac:dyDescent="0.25">
      <c r="A2187" t="s">
        <v>5114</v>
      </c>
      <c r="B2187" t="s">
        <v>5942</v>
      </c>
    </row>
    <row r="2188" spans="1:2" x14ac:dyDescent="0.25">
      <c r="A2188" t="s">
        <v>2373</v>
      </c>
      <c r="B2188" t="s">
        <v>5867</v>
      </c>
    </row>
    <row r="2189" spans="1:2" x14ac:dyDescent="0.25">
      <c r="A2189" t="s">
        <v>929</v>
      </c>
      <c r="B2189" t="s">
        <v>5798</v>
      </c>
    </row>
    <row r="2190" spans="1:2" x14ac:dyDescent="0.25">
      <c r="A2190" t="s">
        <v>755</v>
      </c>
      <c r="B2190" t="s">
        <v>5788</v>
      </c>
    </row>
    <row r="2191" spans="1:2" x14ac:dyDescent="0.25">
      <c r="A2191" t="s">
        <v>2459</v>
      </c>
      <c r="B2191" t="s">
        <v>5787</v>
      </c>
    </row>
    <row r="2192" spans="1:2" x14ac:dyDescent="0.25">
      <c r="A2192" t="s">
        <v>1561</v>
      </c>
      <c r="B2192" t="s">
        <v>6760</v>
      </c>
    </row>
    <row r="2193" spans="1:2" x14ac:dyDescent="0.25">
      <c r="A2193" t="s">
        <v>4961</v>
      </c>
      <c r="B2193" t="s">
        <v>5790</v>
      </c>
    </row>
    <row r="2194" spans="1:2" x14ac:dyDescent="0.25">
      <c r="A2194" t="s">
        <v>4734</v>
      </c>
      <c r="B2194" t="s">
        <v>5863</v>
      </c>
    </row>
    <row r="2195" spans="1:2" x14ac:dyDescent="0.25">
      <c r="A2195" t="s">
        <v>1455</v>
      </c>
      <c r="B2195" t="s">
        <v>6583</v>
      </c>
    </row>
    <row r="2196" spans="1:2" x14ac:dyDescent="0.25">
      <c r="A2196" t="s">
        <v>2564</v>
      </c>
      <c r="B2196" t="s">
        <v>5790</v>
      </c>
    </row>
    <row r="2197" spans="1:2" x14ac:dyDescent="0.25">
      <c r="A2197" t="s">
        <v>2264</v>
      </c>
      <c r="B2197" t="s">
        <v>5787</v>
      </c>
    </row>
    <row r="2198" spans="1:2" x14ac:dyDescent="0.25">
      <c r="A2198" t="s">
        <v>5329</v>
      </c>
      <c r="B2198" t="s">
        <v>5789</v>
      </c>
    </row>
    <row r="2199" spans="1:2" x14ac:dyDescent="0.25">
      <c r="A2199" t="s">
        <v>1099</v>
      </c>
      <c r="B2199" t="s">
        <v>5789</v>
      </c>
    </row>
    <row r="2200" spans="1:2" x14ac:dyDescent="0.25">
      <c r="A2200" t="s">
        <v>2049</v>
      </c>
      <c r="B2200" t="s">
        <v>5719</v>
      </c>
    </row>
    <row r="2201" spans="1:2" x14ac:dyDescent="0.25">
      <c r="A2201" t="s">
        <v>1765</v>
      </c>
      <c r="B2201" t="s">
        <v>6129</v>
      </c>
    </row>
    <row r="2202" spans="1:2" x14ac:dyDescent="0.25">
      <c r="A2202" t="s">
        <v>3525</v>
      </c>
      <c r="B2202" t="s">
        <v>5787</v>
      </c>
    </row>
    <row r="2203" spans="1:2" x14ac:dyDescent="0.25">
      <c r="A2203" t="s">
        <v>845</v>
      </c>
      <c r="B2203" t="s">
        <v>5750</v>
      </c>
    </row>
    <row r="2204" spans="1:2" x14ac:dyDescent="0.25">
      <c r="A2204" t="s">
        <v>1808</v>
      </c>
      <c r="B2204" t="s">
        <v>5832</v>
      </c>
    </row>
    <row r="2205" spans="1:2" x14ac:dyDescent="0.25">
      <c r="A2205" t="s">
        <v>5268</v>
      </c>
      <c r="B2205" t="s">
        <v>5728</v>
      </c>
    </row>
    <row r="2206" spans="1:2" x14ac:dyDescent="0.25">
      <c r="A2206" t="s">
        <v>4560</v>
      </c>
      <c r="B2206" t="s">
        <v>5830</v>
      </c>
    </row>
    <row r="2207" spans="1:2" x14ac:dyDescent="0.25">
      <c r="A2207" t="s">
        <v>4884</v>
      </c>
      <c r="B2207" t="s">
        <v>5787</v>
      </c>
    </row>
    <row r="2208" spans="1:2" x14ac:dyDescent="0.25">
      <c r="A2208" t="s">
        <v>1158</v>
      </c>
      <c r="B2208">
        <v>0</v>
      </c>
    </row>
    <row r="2209" spans="1:2" x14ac:dyDescent="0.25">
      <c r="A2209" t="s">
        <v>1695</v>
      </c>
      <c r="B2209" t="s">
        <v>5788</v>
      </c>
    </row>
    <row r="2210" spans="1:2" x14ac:dyDescent="0.25">
      <c r="A2210" t="s">
        <v>4164</v>
      </c>
      <c r="B2210" t="s">
        <v>6556</v>
      </c>
    </row>
    <row r="2211" spans="1:2" x14ac:dyDescent="0.25">
      <c r="A2211" t="s">
        <v>1880</v>
      </c>
      <c r="B2211" t="s">
        <v>6535</v>
      </c>
    </row>
    <row r="2212" spans="1:2" x14ac:dyDescent="0.25">
      <c r="A2212" t="s">
        <v>2119</v>
      </c>
      <c r="B2212" t="s">
        <v>5810</v>
      </c>
    </row>
    <row r="2213" spans="1:2" x14ac:dyDescent="0.25">
      <c r="A2213" t="s">
        <v>943</v>
      </c>
      <c r="B2213" t="s">
        <v>6048</v>
      </c>
    </row>
    <row r="2214" spans="1:2" x14ac:dyDescent="0.25">
      <c r="A2214" t="s">
        <v>5216</v>
      </c>
      <c r="B2214" t="s">
        <v>5787</v>
      </c>
    </row>
    <row r="2215" spans="1:2" x14ac:dyDescent="0.25">
      <c r="A2215" t="s">
        <v>2475</v>
      </c>
      <c r="B2215" t="s">
        <v>5730</v>
      </c>
    </row>
    <row r="2216" spans="1:2" x14ac:dyDescent="0.25">
      <c r="A2216" t="s">
        <v>527</v>
      </c>
      <c r="B2216" t="s">
        <v>5713</v>
      </c>
    </row>
    <row r="2217" spans="1:2" x14ac:dyDescent="0.25">
      <c r="A2217" t="s">
        <v>2534</v>
      </c>
      <c r="B2217" t="s">
        <v>6350</v>
      </c>
    </row>
    <row r="2218" spans="1:2" x14ac:dyDescent="0.25">
      <c r="A2218" t="s">
        <v>2952</v>
      </c>
      <c r="B2218" t="s">
        <v>5787</v>
      </c>
    </row>
    <row r="2219" spans="1:2" x14ac:dyDescent="0.25">
      <c r="A2219" t="s">
        <v>3901</v>
      </c>
      <c r="B2219" t="s">
        <v>6758</v>
      </c>
    </row>
    <row r="2220" spans="1:2" x14ac:dyDescent="0.25">
      <c r="A2220" t="s">
        <v>4540</v>
      </c>
      <c r="B2220" t="s">
        <v>6029</v>
      </c>
    </row>
    <row r="2221" spans="1:2" x14ac:dyDescent="0.25">
      <c r="A2221" t="s">
        <v>4723</v>
      </c>
      <c r="B2221" t="s">
        <v>5708</v>
      </c>
    </row>
    <row r="2222" spans="1:2" x14ac:dyDescent="0.25">
      <c r="A2222" t="s">
        <v>4096</v>
      </c>
      <c r="B2222" t="s">
        <v>6107</v>
      </c>
    </row>
    <row r="2223" spans="1:2" x14ac:dyDescent="0.25">
      <c r="A2223" t="s">
        <v>3167</v>
      </c>
      <c r="B2223" t="s">
        <v>5799</v>
      </c>
    </row>
    <row r="2224" spans="1:2" x14ac:dyDescent="0.25">
      <c r="A2224" t="s">
        <v>596</v>
      </c>
      <c r="B2224" t="s">
        <v>6010</v>
      </c>
    </row>
    <row r="2225" spans="1:2" x14ac:dyDescent="0.25">
      <c r="A2225" t="s">
        <v>2689</v>
      </c>
      <c r="B2225" t="s">
        <v>6196</v>
      </c>
    </row>
    <row r="2226" spans="1:2" x14ac:dyDescent="0.25">
      <c r="A2226" t="s">
        <v>2365</v>
      </c>
      <c r="B2226" t="s">
        <v>5897</v>
      </c>
    </row>
    <row r="2227" spans="1:2" x14ac:dyDescent="0.25">
      <c r="A2227" t="s">
        <v>94</v>
      </c>
      <c r="B2227" t="s">
        <v>5706</v>
      </c>
    </row>
    <row r="2228" spans="1:2" x14ac:dyDescent="0.25">
      <c r="A2228" t="s">
        <v>441</v>
      </c>
      <c r="B2228" t="s">
        <v>5706</v>
      </c>
    </row>
    <row r="2229" spans="1:2" x14ac:dyDescent="0.25">
      <c r="A2229" t="s">
        <v>1678</v>
      </c>
      <c r="B2229" t="s">
        <v>5788</v>
      </c>
    </row>
    <row r="2230" spans="1:2" x14ac:dyDescent="0.25">
      <c r="A2230" t="s">
        <v>4285</v>
      </c>
      <c r="B2230" t="s">
        <v>5772</v>
      </c>
    </row>
    <row r="2231" spans="1:2" x14ac:dyDescent="0.25">
      <c r="A2231" t="s">
        <v>758</v>
      </c>
      <c r="B2231" t="s">
        <v>6057</v>
      </c>
    </row>
    <row r="2232" spans="1:2" x14ac:dyDescent="0.25">
      <c r="A2232" t="s">
        <v>3473</v>
      </c>
      <c r="B2232" t="s">
        <v>5706</v>
      </c>
    </row>
    <row r="2233" spans="1:2" x14ac:dyDescent="0.25">
      <c r="A2233" t="s">
        <v>488</v>
      </c>
      <c r="B2233" t="s">
        <v>5711</v>
      </c>
    </row>
    <row r="2234" spans="1:2" x14ac:dyDescent="0.25">
      <c r="A2234" t="s">
        <v>4446</v>
      </c>
      <c r="B2234" t="s">
        <v>5905</v>
      </c>
    </row>
    <row r="2235" spans="1:2" x14ac:dyDescent="0.25">
      <c r="A2235" t="s">
        <v>3285</v>
      </c>
      <c r="B2235" t="s">
        <v>5787</v>
      </c>
    </row>
    <row r="2236" spans="1:2" x14ac:dyDescent="0.25">
      <c r="A2236" t="s">
        <v>1187</v>
      </c>
      <c r="B2236" t="s">
        <v>5913</v>
      </c>
    </row>
    <row r="2237" spans="1:2" x14ac:dyDescent="0.25">
      <c r="A2237" t="s">
        <v>3080</v>
      </c>
      <c r="B2237" t="s">
        <v>5787</v>
      </c>
    </row>
    <row r="2238" spans="1:2" x14ac:dyDescent="0.25">
      <c r="A2238" t="s">
        <v>1990</v>
      </c>
      <c r="B2238" t="s">
        <v>6087</v>
      </c>
    </row>
    <row r="2239" spans="1:2" x14ac:dyDescent="0.25">
      <c r="A2239" t="s">
        <v>3620</v>
      </c>
      <c r="B2239" t="s">
        <v>6209</v>
      </c>
    </row>
    <row r="2240" spans="1:2" x14ac:dyDescent="0.25">
      <c r="A2240" t="s">
        <v>4468</v>
      </c>
      <c r="B2240" t="s">
        <v>5759</v>
      </c>
    </row>
    <row r="2241" spans="1:2" x14ac:dyDescent="0.25">
      <c r="A2241" t="s">
        <v>2483</v>
      </c>
      <c r="B2241" t="s">
        <v>5713</v>
      </c>
    </row>
    <row r="2242" spans="1:2" x14ac:dyDescent="0.25">
      <c r="A2242" t="s">
        <v>3980</v>
      </c>
      <c r="B2242" t="s">
        <v>5711</v>
      </c>
    </row>
    <row r="2243" spans="1:2" x14ac:dyDescent="0.25">
      <c r="A2243" t="s">
        <v>1764</v>
      </c>
      <c r="B2243" t="s">
        <v>6670</v>
      </c>
    </row>
    <row r="2244" spans="1:2" x14ac:dyDescent="0.25">
      <c r="A2244" t="s">
        <v>3487</v>
      </c>
      <c r="B2244" t="s">
        <v>5820</v>
      </c>
    </row>
    <row r="2245" spans="1:2" x14ac:dyDescent="0.25">
      <c r="A2245" t="s">
        <v>5254</v>
      </c>
      <c r="B2245" t="s">
        <v>5850</v>
      </c>
    </row>
    <row r="2246" spans="1:2" x14ac:dyDescent="0.25">
      <c r="A2246" t="s">
        <v>1081</v>
      </c>
      <c r="B2246" t="s">
        <v>5787</v>
      </c>
    </row>
    <row r="2247" spans="1:2" x14ac:dyDescent="0.25">
      <c r="A2247" t="s">
        <v>3773</v>
      </c>
      <c r="B2247">
        <v>0</v>
      </c>
    </row>
    <row r="2248" spans="1:2" x14ac:dyDescent="0.25">
      <c r="A2248" t="s">
        <v>3963</v>
      </c>
      <c r="B2248" t="s">
        <v>5772</v>
      </c>
    </row>
    <row r="2249" spans="1:2" x14ac:dyDescent="0.25">
      <c r="A2249" t="s">
        <v>4107</v>
      </c>
      <c r="B2249" t="s">
        <v>5821</v>
      </c>
    </row>
    <row r="2250" spans="1:2" x14ac:dyDescent="0.25">
      <c r="A2250" t="s">
        <v>4900</v>
      </c>
      <c r="B2250" t="s">
        <v>6070</v>
      </c>
    </row>
    <row r="2251" spans="1:2" x14ac:dyDescent="0.25">
      <c r="A2251" t="s">
        <v>2195</v>
      </c>
      <c r="B2251" t="s">
        <v>5787</v>
      </c>
    </row>
    <row r="2252" spans="1:2" x14ac:dyDescent="0.25">
      <c r="A2252" t="s">
        <v>2397</v>
      </c>
      <c r="B2252" t="s">
        <v>6028</v>
      </c>
    </row>
    <row r="2253" spans="1:2" x14ac:dyDescent="0.25">
      <c r="A2253" t="s">
        <v>5255</v>
      </c>
      <c r="B2253" t="s">
        <v>6016</v>
      </c>
    </row>
    <row r="2254" spans="1:2" x14ac:dyDescent="0.25">
      <c r="A2254" t="s">
        <v>5112</v>
      </c>
      <c r="B2254" t="s">
        <v>5785</v>
      </c>
    </row>
    <row r="2255" spans="1:2" x14ac:dyDescent="0.25">
      <c r="A2255" t="s">
        <v>2008</v>
      </c>
      <c r="B2255" t="s">
        <v>5835</v>
      </c>
    </row>
    <row r="2256" spans="1:2" x14ac:dyDescent="0.25">
      <c r="A2256" t="s">
        <v>4659</v>
      </c>
      <c r="B2256" t="s">
        <v>5785</v>
      </c>
    </row>
    <row r="2257" spans="1:2" x14ac:dyDescent="0.25">
      <c r="A2257" t="s">
        <v>5646</v>
      </c>
      <c r="B2257" t="s">
        <v>5796</v>
      </c>
    </row>
    <row r="2258" spans="1:2" x14ac:dyDescent="0.25">
      <c r="A2258" t="s">
        <v>4801</v>
      </c>
      <c r="B2258" t="s">
        <v>5844</v>
      </c>
    </row>
    <row r="2259" spans="1:2" x14ac:dyDescent="0.25">
      <c r="A2259" t="s">
        <v>3259</v>
      </c>
      <c r="B2259" t="s">
        <v>5706</v>
      </c>
    </row>
    <row r="2260" spans="1:2" x14ac:dyDescent="0.25">
      <c r="A2260" t="s">
        <v>2430</v>
      </c>
      <c r="B2260" t="s">
        <v>5752</v>
      </c>
    </row>
    <row r="2261" spans="1:2" x14ac:dyDescent="0.25">
      <c r="A2261" t="s">
        <v>3387</v>
      </c>
      <c r="B2261" t="s">
        <v>5719</v>
      </c>
    </row>
    <row r="2262" spans="1:2" x14ac:dyDescent="0.25">
      <c r="A2262" t="s">
        <v>4408</v>
      </c>
      <c r="B2262" t="s">
        <v>6143</v>
      </c>
    </row>
    <row r="2263" spans="1:2" x14ac:dyDescent="0.25">
      <c r="A2263" t="s">
        <v>2110</v>
      </c>
      <c r="B2263" t="s">
        <v>5787</v>
      </c>
    </row>
    <row r="2264" spans="1:2" x14ac:dyDescent="0.25">
      <c r="A2264" t="s">
        <v>3679</v>
      </c>
      <c r="B2264" t="s">
        <v>5811</v>
      </c>
    </row>
    <row r="2265" spans="1:2" x14ac:dyDescent="0.25">
      <c r="A2265" t="s">
        <v>4251</v>
      </c>
      <c r="B2265" t="s">
        <v>6067</v>
      </c>
    </row>
    <row r="2266" spans="1:2" x14ac:dyDescent="0.25">
      <c r="A2266" t="s">
        <v>5072</v>
      </c>
      <c r="B2266" t="s">
        <v>5721</v>
      </c>
    </row>
    <row r="2267" spans="1:2" x14ac:dyDescent="0.25">
      <c r="A2267" t="s">
        <v>4609</v>
      </c>
      <c r="B2267" t="s">
        <v>5787</v>
      </c>
    </row>
    <row r="2268" spans="1:2" x14ac:dyDescent="0.25">
      <c r="A2268" t="s">
        <v>3074</v>
      </c>
      <c r="B2268" t="s">
        <v>6030</v>
      </c>
    </row>
    <row r="2269" spans="1:2" x14ac:dyDescent="0.25">
      <c r="A2269" t="s">
        <v>4006</v>
      </c>
      <c r="B2269" t="s">
        <v>6382</v>
      </c>
    </row>
    <row r="2270" spans="1:2" x14ac:dyDescent="0.25">
      <c r="A2270" t="s">
        <v>4268</v>
      </c>
      <c r="B2270" t="s">
        <v>5787</v>
      </c>
    </row>
    <row r="2271" spans="1:2" x14ac:dyDescent="0.25">
      <c r="A2271" t="s">
        <v>2800</v>
      </c>
      <c r="B2271" t="s">
        <v>5822</v>
      </c>
    </row>
    <row r="2272" spans="1:2" x14ac:dyDescent="0.25">
      <c r="A2272" t="s">
        <v>1329</v>
      </c>
      <c r="B2272" t="s">
        <v>6460</v>
      </c>
    </row>
    <row r="2273" spans="1:2" x14ac:dyDescent="0.25">
      <c r="A2273" t="s">
        <v>1797</v>
      </c>
      <c r="B2273" t="s">
        <v>5787</v>
      </c>
    </row>
    <row r="2274" spans="1:2" x14ac:dyDescent="0.25">
      <c r="A2274" t="s">
        <v>96</v>
      </c>
      <c r="B2274" t="s">
        <v>5807</v>
      </c>
    </row>
    <row r="2275" spans="1:2" x14ac:dyDescent="0.25">
      <c r="A2275" t="s">
        <v>4777</v>
      </c>
      <c r="B2275" t="s">
        <v>5708</v>
      </c>
    </row>
    <row r="2276" spans="1:2" x14ac:dyDescent="0.25">
      <c r="A2276" t="s">
        <v>996</v>
      </c>
      <c r="B2276" t="s">
        <v>5787</v>
      </c>
    </row>
    <row r="2277" spans="1:2" x14ac:dyDescent="0.25">
      <c r="A2277" t="s">
        <v>3469</v>
      </c>
      <c r="B2277" t="s">
        <v>6213</v>
      </c>
    </row>
    <row r="2278" spans="1:2" x14ac:dyDescent="0.25">
      <c r="A2278" t="s">
        <v>2690</v>
      </c>
      <c r="B2278" t="s">
        <v>6292</v>
      </c>
    </row>
    <row r="2279" spans="1:2" x14ac:dyDescent="0.25">
      <c r="A2279" t="s">
        <v>1567</v>
      </c>
      <c r="B2279" t="s">
        <v>5846</v>
      </c>
    </row>
    <row r="2280" spans="1:2" x14ac:dyDescent="0.25">
      <c r="A2280" t="s">
        <v>1255</v>
      </c>
      <c r="B2280" t="s">
        <v>5836</v>
      </c>
    </row>
    <row r="2281" spans="1:2" x14ac:dyDescent="0.25">
      <c r="A2281" t="s">
        <v>4548</v>
      </c>
      <c r="B2281" t="s">
        <v>5787</v>
      </c>
    </row>
    <row r="2282" spans="1:2" x14ac:dyDescent="0.25">
      <c r="A2282" t="s">
        <v>4419</v>
      </c>
      <c r="B2282" t="s">
        <v>5787</v>
      </c>
    </row>
    <row r="2283" spans="1:2" x14ac:dyDescent="0.25">
      <c r="A2283" t="s">
        <v>2976</v>
      </c>
      <c r="B2283" t="s">
        <v>6117</v>
      </c>
    </row>
    <row r="2284" spans="1:2" x14ac:dyDescent="0.25">
      <c r="A2284" t="s">
        <v>738</v>
      </c>
      <c r="B2284" t="s">
        <v>5787</v>
      </c>
    </row>
    <row r="2285" spans="1:2" x14ac:dyDescent="0.25">
      <c r="A2285" t="s">
        <v>1586</v>
      </c>
      <c r="B2285" t="s">
        <v>5810</v>
      </c>
    </row>
    <row r="2286" spans="1:2" x14ac:dyDescent="0.25">
      <c r="A2286" t="s">
        <v>5088</v>
      </c>
      <c r="B2286" t="s">
        <v>6230</v>
      </c>
    </row>
    <row r="2287" spans="1:2" x14ac:dyDescent="0.25">
      <c r="A2287" t="s">
        <v>4359</v>
      </c>
      <c r="B2287" t="s">
        <v>6310</v>
      </c>
    </row>
    <row r="2288" spans="1:2" x14ac:dyDescent="0.25">
      <c r="A2288" t="s">
        <v>2199</v>
      </c>
      <c r="B2288" t="s">
        <v>6187</v>
      </c>
    </row>
    <row r="2289" spans="1:2" x14ac:dyDescent="0.25">
      <c r="A2289" t="s">
        <v>2606</v>
      </c>
      <c r="B2289" t="s">
        <v>5868</v>
      </c>
    </row>
    <row r="2290" spans="1:2" x14ac:dyDescent="0.25">
      <c r="A2290" t="s">
        <v>3784</v>
      </c>
      <c r="B2290" t="s">
        <v>6342</v>
      </c>
    </row>
    <row r="2291" spans="1:2" x14ac:dyDescent="0.25">
      <c r="A2291" t="s">
        <v>2991</v>
      </c>
      <c r="B2291" t="s">
        <v>5752</v>
      </c>
    </row>
    <row r="2292" spans="1:2" x14ac:dyDescent="0.25">
      <c r="A2292" t="s">
        <v>5041</v>
      </c>
      <c r="B2292" t="s">
        <v>6098</v>
      </c>
    </row>
    <row r="2293" spans="1:2" x14ac:dyDescent="0.25">
      <c r="A2293" t="s">
        <v>2405</v>
      </c>
      <c r="B2293" t="s">
        <v>5930</v>
      </c>
    </row>
    <row r="2294" spans="1:2" x14ac:dyDescent="0.25">
      <c r="A2294" t="s">
        <v>936</v>
      </c>
      <c r="B2294" t="s">
        <v>5972</v>
      </c>
    </row>
    <row r="2295" spans="1:2" x14ac:dyDescent="0.25">
      <c r="A2295" t="s">
        <v>816</v>
      </c>
      <c r="B2295" t="s">
        <v>5787</v>
      </c>
    </row>
    <row r="2296" spans="1:2" x14ac:dyDescent="0.25">
      <c r="A2296" t="s">
        <v>3997</v>
      </c>
      <c r="B2296" t="s">
        <v>5796</v>
      </c>
    </row>
    <row r="2297" spans="1:2" x14ac:dyDescent="0.25">
      <c r="A2297" t="s">
        <v>1386</v>
      </c>
      <c r="B2297" t="s">
        <v>5812</v>
      </c>
    </row>
    <row r="2298" spans="1:2" x14ac:dyDescent="0.25">
      <c r="A2298" t="s">
        <v>439</v>
      </c>
      <c r="B2298" t="s">
        <v>5704</v>
      </c>
    </row>
    <row r="2299" spans="1:2" x14ac:dyDescent="0.25">
      <c r="A2299" t="s">
        <v>1071</v>
      </c>
      <c r="B2299" t="s">
        <v>5813</v>
      </c>
    </row>
    <row r="2300" spans="1:2" x14ac:dyDescent="0.25">
      <c r="A2300" t="s">
        <v>1611</v>
      </c>
      <c r="B2300" t="s">
        <v>5787</v>
      </c>
    </row>
    <row r="2301" spans="1:2" x14ac:dyDescent="0.25">
      <c r="A2301" t="s">
        <v>3383</v>
      </c>
      <c r="B2301" t="s">
        <v>5706</v>
      </c>
    </row>
    <row r="2302" spans="1:2" x14ac:dyDescent="0.25">
      <c r="A2302" t="s">
        <v>9345</v>
      </c>
      <c r="B2302" t="s">
        <v>5949</v>
      </c>
    </row>
    <row r="2303" spans="1:2" x14ac:dyDescent="0.25">
      <c r="A2303" t="s">
        <v>720</v>
      </c>
      <c r="B2303" t="s">
        <v>5737</v>
      </c>
    </row>
    <row r="2304" spans="1:2" x14ac:dyDescent="0.25">
      <c r="A2304" t="s">
        <v>4926</v>
      </c>
      <c r="B2304" t="s">
        <v>5890</v>
      </c>
    </row>
    <row r="2305" spans="1:2" x14ac:dyDescent="0.25">
      <c r="A2305" t="s">
        <v>164</v>
      </c>
      <c r="B2305" t="s">
        <v>5711</v>
      </c>
    </row>
    <row r="2306" spans="1:2" x14ac:dyDescent="0.25">
      <c r="A2306" t="s">
        <v>2379</v>
      </c>
      <c r="B2306" t="s">
        <v>5796</v>
      </c>
    </row>
    <row r="2307" spans="1:2" x14ac:dyDescent="0.25">
      <c r="A2307" t="s">
        <v>4903</v>
      </c>
      <c r="B2307" t="s">
        <v>5704</v>
      </c>
    </row>
    <row r="2308" spans="1:2" x14ac:dyDescent="0.25">
      <c r="A2308" t="s">
        <v>1729</v>
      </c>
      <c r="B2308" t="s">
        <v>5768</v>
      </c>
    </row>
    <row r="2309" spans="1:2" x14ac:dyDescent="0.25">
      <c r="A2309" t="s">
        <v>1657</v>
      </c>
      <c r="B2309" t="s">
        <v>5787</v>
      </c>
    </row>
    <row r="2310" spans="1:2" x14ac:dyDescent="0.25">
      <c r="A2310" t="s">
        <v>2987</v>
      </c>
      <c r="B2310" t="s">
        <v>5914</v>
      </c>
    </row>
    <row r="2311" spans="1:2" x14ac:dyDescent="0.25">
      <c r="A2311" t="s">
        <v>2499</v>
      </c>
      <c r="B2311" t="s">
        <v>5827</v>
      </c>
    </row>
    <row r="2312" spans="1:2" x14ac:dyDescent="0.25">
      <c r="A2312" t="s">
        <v>926</v>
      </c>
      <c r="B2312" t="s">
        <v>5926</v>
      </c>
    </row>
    <row r="2313" spans="1:2" x14ac:dyDescent="0.25">
      <c r="A2313" t="s">
        <v>5529</v>
      </c>
      <c r="B2313" t="s">
        <v>5844</v>
      </c>
    </row>
    <row r="2314" spans="1:2" x14ac:dyDescent="0.25">
      <c r="A2314" t="s">
        <v>1683</v>
      </c>
      <c r="B2314" t="s">
        <v>5844</v>
      </c>
    </row>
    <row r="2315" spans="1:2" x14ac:dyDescent="0.25">
      <c r="A2315" t="s">
        <v>141</v>
      </c>
      <c r="B2315" t="s">
        <v>6713</v>
      </c>
    </row>
    <row r="2316" spans="1:2" x14ac:dyDescent="0.25">
      <c r="A2316" t="s">
        <v>4896</v>
      </c>
      <c r="B2316" t="s">
        <v>5778</v>
      </c>
    </row>
    <row r="2317" spans="1:2" x14ac:dyDescent="0.25">
      <c r="A2317" t="s">
        <v>4752</v>
      </c>
      <c r="B2317" t="s">
        <v>5970</v>
      </c>
    </row>
    <row r="2318" spans="1:2" x14ac:dyDescent="0.25">
      <c r="A2318" t="s">
        <v>3957</v>
      </c>
      <c r="B2318" t="s">
        <v>5744</v>
      </c>
    </row>
    <row r="2319" spans="1:2" x14ac:dyDescent="0.25">
      <c r="A2319" t="s">
        <v>1882</v>
      </c>
      <c r="B2319" t="s">
        <v>5750</v>
      </c>
    </row>
    <row r="2320" spans="1:2" x14ac:dyDescent="0.25">
      <c r="A2320" t="s">
        <v>3884</v>
      </c>
      <c r="B2320" t="s">
        <v>5806</v>
      </c>
    </row>
    <row r="2321" spans="1:2" x14ac:dyDescent="0.25">
      <c r="A2321" t="s">
        <v>268</v>
      </c>
      <c r="B2321" t="s">
        <v>5814</v>
      </c>
    </row>
    <row r="2322" spans="1:2" x14ac:dyDescent="0.25">
      <c r="A2322" t="s">
        <v>78</v>
      </c>
      <c r="B2322" t="s">
        <v>5744</v>
      </c>
    </row>
    <row r="2323" spans="1:2" x14ac:dyDescent="0.25">
      <c r="A2323" t="s">
        <v>1782</v>
      </c>
      <c r="B2323" t="s">
        <v>5721</v>
      </c>
    </row>
    <row r="2324" spans="1:2" x14ac:dyDescent="0.25">
      <c r="A2324" t="s">
        <v>5328</v>
      </c>
      <c r="B2324" t="s">
        <v>5787</v>
      </c>
    </row>
    <row r="2325" spans="1:2" x14ac:dyDescent="0.25">
      <c r="A2325" t="s">
        <v>3498</v>
      </c>
      <c r="B2325" t="s">
        <v>6697</v>
      </c>
    </row>
    <row r="2326" spans="1:2" x14ac:dyDescent="0.25">
      <c r="A2326" t="s">
        <v>5288</v>
      </c>
      <c r="B2326" t="s">
        <v>5886</v>
      </c>
    </row>
    <row r="2327" spans="1:2" x14ac:dyDescent="0.25">
      <c r="A2327" t="s">
        <v>1820</v>
      </c>
      <c r="B2327" t="s">
        <v>5951</v>
      </c>
    </row>
    <row r="2328" spans="1:2" x14ac:dyDescent="0.25">
      <c r="A2328" t="s">
        <v>1416</v>
      </c>
      <c r="B2328" t="s">
        <v>5719</v>
      </c>
    </row>
    <row r="2329" spans="1:2" x14ac:dyDescent="0.25">
      <c r="A2329" t="s">
        <v>2542</v>
      </c>
      <c r="B2329" t="s">
        <v>5754</v>
      </c>
    </row>
    <row r="2330" spans="1:2" x14ac:dyDescent="0.25">
      <c r="A2330" t="s">
        <v>373</v>
      </c>
      <c r="B2330" t="s">
        <v>5884</v>
      </c>
    </row>
    <row r="2331" spans="1:2" x14ac:dyDescent="0.25">
      <c r="A2331" t="s">
        <v>4945</v>
      </c>
      <c r="B2331" t="s">
        <v>5962</v>
      </c>
    </row>
    <row r="2332" spans="1:2" x14ac:dyDescent="0.25">
      <c r="A2332" t="s">
        <v>3975</v>
      </c>
      <c r="B2332" t="s">
        <v>6107</v>
      </c>
    </row>
    <row r="2333" spans="1:2" x14ac:dyDescent="0.25">
      <c r="A2333" t="s">
        <v>1101</v>
      </c>
      <c r="B2333" t="s">
        <v>5787</v>
      </c>
    </row>
    <row r="2334" spans="1:2" x14ac:dyDescent="0.25">
      <c r="A2334" t="s">
        <v>103</v>
      </c>
      <c r="B2334" t="s">
        <v>5787</v>
      </c>
    </row>
    <row r="2335" spans="1:2" x14ac:dyDescent="0.25">
      <c r="A2335" t="s">
        <v>64</v>
      </c>
      <c r="B2335" t="s">
        <v>5787</v>
      </c>
    </row>
    <row r="2336" spans="1:2" x14ac:dyDescent="0.25">
      <c r="A2336" t="s">
        <v>154</v>
      </c>
      <c r="B2336" t="s">
        <v>6044</v>
      </c>
    </row>
    <row r="2337" spans="1:2" x14ac:dyDescent="0.25">
      <c r="A2337" t="s">
        <v>30</v>
      </c>
      <c r="B2337" t="s">
        <v>5787</v>
      </c>
    </row>
    <row r="2338" spans="1:2" x14ac:dyDescent="0.25">
      <c r="A2338" t="s">
        <v>9377</v>
      </c>
      <c r="B2338" t="s">
        <v>5894</v>
      </c>
    </row>
    <row r="2339" spans="1:2" x14ac:dyDescent="0.25">
      <c r="A2339" t="s">
        <v>1051</v>
      </c>
      <c r="B2339" t="s">
        <v>6218</v>
      </c>
    </row>
    <row r="2340" spans="1:2" x14ac:dyDescent="0.25">
      <c r="A2340" t="s">
        <v>616</v>
      </c>
      <c r="B2340" t="s">
        <v>5988</v>
      </c>
    </row>
    <row r="2341" spans="1:2" x14ac:dyDescent="0.25">
      <c r="A2341" t="s">
        <v>3148</v>
      </c>
      <c r="B2341" t="s">
        <v>5788</v>
      </c>
    </row>
    <row r="2342" spans="1:2" x14ac:dyDescent="0.25">
      <c r="A2342" t="s">
        <v>4555</v>
      </c>
      <c r="B2342" t="s">
        <v>6176</v>
      </c>
    </row>
    <row r="2343" spans="1:2" x14ac:dyDescent="0.25">
      <c r="A2343" t="s">
        <v>4388</v>
      </c>
      <c r="B2343" t="s">
        <v>5928</v>
      </c>
    </row>
    <row r="2344" spans="1:2" x14ac:dyDescent="0.25">
      <c r="A2344" t="s">
        <v>45</v>
      </c>
      <c r="B2344" t="s">
        <v>5868</v>
      </c>
    </row>
    <row r="2345" spans="1:2" x14ac:dyDescent="0.25">
      <c r="A2345" t="s">
        <v>5563</v>
      </c>
      <c r="B2345" t="s">
        <v>5854</v>
      </c>
    </row>
    <row r="2346" spans="1:2" x14ac:dyDescent="0.25">
      <c r="A2346" t="s">
        <v>2357</v>
      </c>
      <c r="B2346" t="s">
        <v>5859</v>
      </c>
    </row>
    <row r="2347" spans="1:2" x14ac:dyDescent="0.25">
      <c r="A2347" t="s">
        <v>807</v>
      </c>
      <c r="B2347">
        <v>0</v>
      </c>
    </row>
    <row r="2348" spans="1:2" x14ac:dyDescent="0.25">
      <c r="A2348" t="s">
        <v>1505</v>
      </c>
      <c r="B2348" t="s">
        <v>6203</v>
      </c>
    </row>
    <row r="2349" spans="1:2" x14ac:dyDescent="0.25">
      <c r="A2349" t="s">
        <v>4749</v>
      </c>
      <c r="B2349" t="s">
        <v>5789</v>
      </c>
    </row>
    <row r="2350" spans="1:2" x14ac:dyDescent="0.25">
      <c r="A2350" t="s">
        <v>2000</v>
      </c>
      <c r="B2350" t="s">
        <v>5865</v>
      </c>
    </row>
    <row r="2351" spans="1:2" x14ac:dyDescent="0.25">
      <c r="A2351" t="s">
        <v>3315</v>
      </c>
      <c r="B2351" t="s">
        <v>5704</v>
      </c>
    </row>
    <row r="2352" spans="1:2" x14ac:dyDescent="0.25">
      <c r="A2352" t="s">
        <v>1217</v>
      </c>
      <c r="B2352" t="s">
        <v>5879</v>
      </c>
    </row>
    <row r="2353" spans="1:2" x14ac:dyDescent="0.25">
      <c r="A2353" t="s">
        <v>124</v>
      </c>
      <c r="B2353" t="s">
        <v>5757</v>
      </c>
    </row>
    <row r="2354" spans="1:2" x14ac:dyDescent="0.25">
      <c r="A2354" t="s">
        <v>4180</v>
      </c>
      <c r="B2354" t="s">
        <v>6131</v>
      </c>
    </row>
    <row r="2355" spans="1:2" x14ac:dyDescent="0.25">
      <c r="A2355" t="s">
        <v>1679</v>
      </c>
      <c r="B2355" t="s">
        <v>6268</v>
      </c>
    </row>
    <row r="2356" spans="1:2" x14ac:dyDescent="0.25">
      <c r="A2356" t="s">
        <v>3474</v>
      </c>
      <c r="B2356" t="s">
        <v>5787</v>
      </c>
    </row>
    <row r="2357" spans="1:2" x14ac:dyDescent="0.25">
      <c r="A2357" t="s">
        <v>1170</v>
      </c>
      <c r="B2357" t="s">
        <v>5920</v>
      </c>
    </row>
    <row r="2358" spans="1:2" x14ac:dyDescent="0.25">
      <c r="A2358" t="s">
        <v>4244</v>
      </c>
      <c r="B2358" t="s">
        <v>5862</v>
      </c>
    </row>
    <row r="2359" spans="1:2" x14ac:dyDescent="0.25">
      <c r="A2359" t="s">
        <v>3002</v>
      </c>
      <c r="B2359" t="s">
        <v>5787</v>
      </c>
    </row>
    <row r="2360" spans="1:2" x14ac:dyDescent="0.25">
      <c r="A2360" t="s">
        <v>2198</v>
      </c>
      <c r="B2360" t="s">
        <v>5787</v>
      </c>
    </row>
    <row r="2361" spans="1:2" x14ac:dyDescent="0.25">
      <c r="A2361" t="s">
        <v>4395</v>
      </c>
      <c r="B2361" t="s">
        <v>5800</v>
      </c>
    </row>
    <row r="2362" spans="1:2" x14ac:dyDescent="0.25">
      <c r="A2362" t="s">
        <v>2</v>
      </c>
      <c r="B2362" t="s">
        <v>5787</v>
      </c>
    </row>
    <row r="2363" spans="1:2" x14ac:dyDescent="0.25">
      <c r="A2363" t="s">
        <v>3280</v>
      </c>
      <c r="B2363" t="s">
        <v>5787</v>
      </c>
    </row>
    <row r="2364" spans="1:2" x14ac:dyDescent="0.25">
      <c r="A2364" t="s">
        <v>4317</v>
      </c>
      <c r="B2364" t="s">
        <v>5831</v>
      </c>
    </row>
    <row r="2365" spans="1:2" x14ac:dyDescent="0.25">
      <c r="A2365" t="s">
        <v>5008</v>
      </c>
      <c r="B2365" t="s">
        <v>5875</v>
      </c>
    </row>
    <row r="2366" spans="1:2" x14ac:dyDescent="0.25">
      <c r="A2366" t="s">
        <v>5036</v>
      </c>
      <c r="B2366" t="s">
        <v>5787</v>
      </c>
    </row>
    <row r="2367" spans="1:2" x14ac:dyDescent="0.25">
      <c r="A2367" t="s">
        <v>472</v>
      </c>
      <c r="B2367" t="s">
        <v>5788</v>
      </c>
    </row>
    <row r="2368" spans="1:2" x14ac:dyDescent="0.25">
      <c r="A2368" t="s">
        <v>4800</v>
      </c>
      <c r="B2368" t="s">
        <v>6138</v>
      </c>
    </row>
    <row r="2369" spans="1:2" x14ac:dyDescent="0.25">
      <c r="A2369" t="s">
        <v>4025</v>
      </c>
      <c r="B2369" t="s">
        <v>5814</v>
      </c>
    </row>
    <row r="2370" spans="1:2" x14ac:dyDescent="0.25">
      <c r="A2370" t="s">
        <v>1769</v>
      </c>
      <c r="B2370" t="s">
        <v>5811</v>
      </c>
    </row>
    <row r="2371" spans="1:2" x14ac:dyDescent="0.25">
      <c r="A2371" t="s">
        <v>1076</v>
      </c>
      <c r="B2371" t="s">
        <v>5788</v>
      </c>
    </row>
    <row r="2372" spans="1:2" x14ac:dyDescent="0.25">
      <c r="A2372" t="s">
        <v>638</v>
      </c>
      <c r="B2372" t="s">
        <v>6070</v>
      </c>
    </row>
    <row r="2373" spans="1:2" x14ac:dyDescent="0.25">
      <c r="A2373" t="s">
        <v>931</v>
      </c>
      <c r="B2373" t="s">
        <v>5832</v>
      </c>
    </row>
    <row r="2374" spans="1:2" x14ac:dyDescent="0.25">
      <c r="A2374" t="s">
        <v>2168</v>
      </c>
      <c r="B2374" t="s">
        <v>6699</v>
      </c>
    </row>
    <row r="2375" spans="1:2" x14ac:dyDescent="0.25">
      <c r="A2375" t="s">
        <v>1618</v>
      </c>
      <c r="B2375" t="s">
        <v>5907</v>
      </c>
    </row>
    <row r="2376" spans="1:2" x14ac:dyDescent="0.25">
      <c r="A2376" t="s">
        <v>65</v>
      </c>
      <c r="B2376" t="s">
        <v>6248</v>
      </c>
    </row>
    <row r="2377" spans="1:2" x14ac:dyDescent="0.25">
      <c r="A2377" t="s">
        <v>2676</v>
      </c>
      <c r="B2377" t="s">
        <v>5819</v>
      </c>
    </row>
    <row r="2378" spans="1:2" x14ac:dyDescent="0.25">
      <c r="A2378" t="s">
        <v>5608</v>
      </c>
      <c r="B2378" t="s">
        <v>6080</v>
      </c>
    </row>
    <row r="2379" spans="1:2" x14ac:dyDescent="0.25">
      <c r="A2379" t="s">
        <v>4040</v>
      </c>
      <c r="B2379" t="s">
        <v>5789</v>
      </c>
    </row>
    <row r="2380" spans="1:2" x14ac:dyDescent="0.25">
      <c r="A2380" t="s">
        <v>4255</v>
      </c>
      <c r="B2380" t="s">
        <v>6199</v>
      </c>
    </row>
    <row r="2381" spans="1:2" x14ac:dyDescent="0.25">
      <c r="A2381" t="s">
        <v>1050</v>
      </c>
      <c r="B2381" t="s">
        <v>5852</v>
      </c>
    </row>
    <row r="2382" spans="1:2" x14ac:dyDescent="0.25">
      <c r="A2382" t="s">
        <v>1355</v>
      </c>
      <c r="B2382" t="s">
        <v>5934</v>
      </c>
    </row>
    <row r="2383" spans="1:2" x14ac:dyDescent="0.25">
      <c r="A2383" t="s">
        <v>1534</v>
      </c>
      <c r="B2383" t="s">
        <v>5716</v>
      </c>
    </row>
    <row r="2384" spans="1:2" x14ac:dyDescent="0.25">
      <c r="A2384" t="s">
        <v>1222</v>
      </c>
      <c r="B2384" t="s">
        <v>5772</v>
      </c>
    </row>
    <row r="2385" spans="1:2" x14ac:dyDescent="0.25">
      <c r="A2385" t="s">
        <v>3949</v>
      </c>
      <c r="B2385" t="s">
        <v>6262</v>
      </c>
    </row>
    <row r="2386" spans="1:2" x14ac:dyDescent="0.25">
      <c r="A2386" t="s">
        <v>9444</v>
      </c>
      <c r="B2386" t="s">
        <v>6359</v>
      </c>
    </row>
    <row r="2387" spans="1:2" x14ac:dyDescent="0.25">
      <c r="A2387" t="s">
        <v>2598</v>
      </c>
      <c r="B2387" t="s">
        <v>5833</v>
      </c>
    </row>
    <row r="2388" spans="1:2" x14ac:dyDescent="0.25">
      <c r="A2388" t="s">
        <v>31746</v>
      </c>
      <c r="B2388" t="s">
        <v>5787</v>
      </c>
    </row>
    <row r="2389" spans="1:2" x14ac:dyDescent="0.25">
      <c r="A2389" t="s">
        <v>4788</v>
      </c>
      <c r="B2389" t="s">
        <v>5787</v>
      </c>
    </row>
    <row r="2390" spans="1:2" x14ac:dyDescent="0.25">
      <c r="A2390" t="s">
        <v>4783</v>
      </c>
      <c r="B2390" t="s">
        <v>5931</v>
      </c>
    </row>
    <row r="2391" spans="1:2" x14ac:dyDescent="0.25">
      <c r="A2391" t="s">
        <v>1906</v>
      </c>
      <c r="B2391" t="s">
        <v>6081</v>
      </c>
    </row>
    <row r="2392" spans="1:2" x14ac:dyDescent="0.25">
      <c r="A2392" t="s">
        <v>1270</v>
      </c>
      <c r="B2392" t="s">
        <v>5752</v>
      </c>
    </row>
    <row r="2393" spans="1:2" x14ac:dyDescent="0.25">
      <c r="A2393" t="s">
        <v>2120</v>
      </c>
      <c r="B2393" t="s">
        <v>6790</v>
      </c>
    </row>
    <row r="2394" spans="1:2" x14ac:dyDescent="0.25">
      <c r="A2394" t="s">
        <v>670</v>
      </c>
      <c r="B2394" t="s">
        <v>5821</v>
      </c>
    </row>
    <row r="2395" spans="1:2" x14ac:dyDescent="0.25">
      <c r="A2395" t="s">
        <v>2950</v>
      </c>
      <c r="B2395" t="s">
        <v>6466</v>
      </c>
    </row>
    <row r="2396" spans="1:2" x14ac:dyDescent="0.25">
      <c r="A2396" t="s">
        <v>9</v>
      </c>
      <c r="B2396" t="s">
        <v>5770</v>
      </c>
    </row>
    <row r="2397" spans="1:2" x14ac:dyDescent="0.25">
      <c r="A2397" t="s">
        <v>4904</v>
      </c>
      <c r="B2397" t="s">
        <v>5827</v>
      </c>
    </row>
    <row r="2398" spans="1:2" x14ac:dyDescent="0.25">
      <c r="A2398" t="s">
        <v>1545</v>
      </c>
      <c r="B2398" t="s">
        <v>5787</v>
      </c>
    </row>
    <row r="2399" spans="1:2" x14ac:dyDescent="0.25">
      <c r="A2399" t="s">
        <v>607</v>
      </c>
      <c r="B2399" t="s">
        <v>6315</v>
      </c>
    </row>
    <row r="2400" spans="1:2" x14ac:dyDescent="0.25">
      <c r="A2400" t="s">
        <v>5087</v>
      </c>
      <c r="B2400" t="s">
        <v>6064</v>
      </c>
    </row>
    <row r="2401" spans="1:2" x14ac:dyDescent="0.25">
      <c r="A2401" t="s">
        <v>5004</v>
      </c>
      <c r="B2401" t="s">
        <v>5794</v>
      </c>
    </row>
    <row r="2402" spans="1:2" x14ac:dyDescent="0.25">
      <c r="A2402" t="s">
        <v>3379</v>
      </c>
      <c r="B2402" t="s">
        <v>5794</v>
      </c>
    </row>
    <row r="2403" spans="1:2" x14ac:dyDescent="0.25">
      <c r="A2403" t="s">
        <v>157</v>
      </c>
      <c r="B2403" t="s">
        <v>6762</v>
      </c>
    </row>
    <row r="2404" spans="1:2" x14ac:dyDescent="0.25">
      <c r="A2404" t="s">
        <v>4017</v>
      </c>
      <c r="B2404" t="s">
        <v>6742</v>
      </c>
    </row>
    <row r="2405" spans="1:2" x14ac:dyDescent="0.25">
      <c r="A2405" t="s">
        <v>2467</v>
      </c>
      <c r="B2405" t="s">
        <v>5928</v>
      </c>
    </row>
    <row r="2406" spans="1:2" x14ac:dyDescent="0.25">
      <c r="A2406" t="s">
        <v>1852</v>
      </c>
      <c r="B2406" t="s">
        <v>5711</v>
      </c>
    </row>
    <row r="2407" spans="1:2" x14ac:dyDescent="0.25">
      <c r="A2407" t="s">
        <v>4542</v>
      </c>
      <c r="B2407" t="s">
        <v>6318</v>
      </c>
    </row>
    <row r="2408" spans="1:2" x14ac:dyDescent="0.25">
      <c r="A2408" t="s">
        <v>887</v>
      </c>
      <c r="B2408" t="s">
        <v>5787</v>
      </c>
    </row>
    <row r="2409" spans="1:2" x14ac:dyDescent="0.25">
      <c r="A2409" t="s">
        <v>3879</v>
      </c>
      <c r="B2409" t="s">
        <v>5770</v>
      </c>
    </row>
    <row r="2410" spans="1:2" x14ac:dyDescent="0.25">
      <c r="A2410" t="s">
        <v>406</v>
      </c>
      <c r="B2410">
        <v>0</v>
      </c>
    </row>
    <row r="2411" spans="1:2" x14ac:dyDescent="0.25">
      <c r="A2411" t="s">
        <v>515</v>
      </c>
      <c r="B2411" t="s">
        <v>5787</v>
      </c>
    </row>
    <row r="2412" spans="1:2" x14ac:dyDescent="0.25">
      <c r="A2412" t="s">
        <v>286</v>
      </c>
      <c r="B2412" t="s">
        <v>5716</v>
      </c>
    </row>
    <row r="2413" spans="1:2" x14ac:dyDescent="0.25">
      <c r="A2413" t="s">
        <v>2521</v>
      </c>
      <c r="B2413" t="s">
        <v>5787</v>
      </c>
    </row>
    <row r="2414" spans="1:2" x14ac:dyDescent="0.25">
      <c r="A2414" t="s">
        <v>2145</v>
      </c>
      <c r="B2414" t="s">
        <v>5910</v>
      </c>
    </row>
    <row r="2415" spans="1:2" x14ac:dyDescent="0.25">
      <c r="A2415" t="s">
        <v>3468</v>
      </c>
      <c r="B2415" t="s">
        <v>6484</v>
      </c>
    </row>
    <row r="2416" spans="1:2" x14ac:dyDescent="0.25">
      <c r="A2416" t="s">
        <v>32</v>
      </c>
      <c r="B2416" t="s">
        <v>5766</v>
      </c>
    </row>
    <row r="2417" spans="1:2" x14ac:dyDescent="0.25">
      <c r="A2417" t="s">
        <v>1463</v>
      </c>
      <c r="B2417" t="s">
        <v>5721</v>
      </c>
    </row>
    <row r="2418" spans="1:2" x14ac:dyDescent="0.25">
      <c r="A2418" t="s">
        <v>2190</v>
      </c>
      <c r="B2418" t="s">
        <v>6096</v>
      </c>
    </row>
    <row r="2419" spans="1:2" x14ac:dyDescent="0.25">
      <c r="A2419" t="s">
        <v>945</v>
      </c>
      <c r="B2419" t="s">
        <v>5792</v>
      </c>
    </row>
    <row r="2420" spans="1:2" x14ac:dyDescent="0.25">
      <c r="A2420" t="s">
        <v>2381</v>
      </c>
      <c r="B2420" t="s">
        <v>5747</v>
      </c>
    </row>
    <row r="2421" spans="1:2" x14ac:dyDescent="0.25">
      <c r="A2421" t="s">
        <v>2102</v>
      </c>
      <c r="B2421" t="s">
        <v>5713</v>
      </c>
    </row>
    <row r="2422" spans="1:2" x14ac:dyDescent="0.25">
      <c r="A2422" t="s">
        <v>315</v>
      </c>
      <c r="B2422" t="s">
        <v>5787</v>
      </c>
    </row>
    <row r="2423" spans="1:2" x14ac:dyDescent="0.25">
      <c r="A2423" t="s">
        <v>2735</v>
      </c>
      <c r="B2423" t="s">
        <v>5787</v>
      </c>
    </row>
    <row r="2424" spans="1:2" x14ac:dyDescent="0.25">
      <c r="A2424" t="s">
        <v>2015</v>
      </c>
      <c r="B2424" t="s">
        <v>6353</v>
      </c>
    </row>
    <row r="2425" spans="1:2" x14ac:dyDescent="0.25">
      <c r="A2425" t="s">
        <v>5145</v>
      </c>
      <c r="B2425" t="s">
        <v>5787</v>
      </c>
    </row>
    <row r="2426" spans="1:2" x14ac:dyDescent="0.25">
      <c r="A2426" t="s">
        <v>2077</v>
      </c>
      <c r="B2426" t="s">
        <v>5848</v>
      </c>
    </row>
    <row r="2427" spans="1:2" x14ac:dyDescent="0.25">
      <c r="A2427" t="s">
        <v>1269</v>
      </c>
      <c r="B2427" t="s">
        <v>6089</v>
      </c>
    </row>
    <row r="2428" spans="1:2" x14ac:dyDescent="0.25">
      <c r="A2428" t="s">
        <v>3831</v>
      </c>
      <c r="B2428" t="s">
        <v>5734</v>
      </c>
    </row>
    <row r="2429" spans="1:2" x14ac:dyDescent="0.25">
      <c r="A2429" t="s">
        <v>2050</v>
      </c>
      <c r="B2429" t="s">
        <v>5808</v>
      </c>
    </row>
    <row r="2430" spans="1:2" x14ac:dyDescent="0.25">
      <c r="A2430" t="s">
        <v>5531</v>
      </c>
      <c r="B2430" t="s">
        <v>5770</v>
      </c>
    </row>
    <row r="2431" spans="1:2" x14ac:dyDescent="0.25">
      <c r="A2431" t="s">
        <v>2495</v>
      </c>
      <c r="B2431" t="s">
        <v>5724</v>
      </c>
    </row>
    <row r="2432" spans="1:2" x14ac:dyDescent="0.25">
      <c r="A2432" t="s">
        <v>1814</v>
      </c>
      <c r="B2432" t="s">
        <v>5842</v>
      </c>
    </row>
    <row r="2433" spans="1:2" x14ac:dyDescent="0.25">
      <c r="A2433" t="s">
        <v>329</v>
      </c>
      <c r="B2433" t="s">
        <v>5922</v>
      </c>
    </row>
    <row r="2434" spans="1:2" x14ac:dyDescent="0.25">
      <c r="A2434" t="s">
        <v>42</v>
      </c>
      <c r="B2434" t="s">
        <v>5787</v>
      </c>
    </row>
    <row r="2435" spans="1:2" x14ac:dyDescent="0.25">
      <c r="A2435" t="s">
        <v>5658</v>
      </c>
      <c r="B2435" t="s">
        <v>5891</v>
      </c>
    </row>
    <row r="2436" spans="1:2" x14ac:dyDescent="0.25">
      <c r="A2436" t="s">
        <v>3911</v>
      </c>
      <c r="B2436" t="s">
        <v>6176</v>
      </c>
    </row>
    <row r="2437" spans="1:2" x14ac:dyDescent="0.25">
      <c r="A2437" t="s">
        <v>4252</v>
      </c>
      <c r="B2437" t="s">
        <v>5752</v>
      </c>
    </row>
    <row r="2438" spans="1:2" x14ac:dyDescent="0.25">
      <c r="A2438" t="s">
        <v>1713</v>
      </c>
      <c r="B2438" t="s">
        <v>5787</v>
      </c>
    </row>
    <row r="2439" spans="1:2" x14ac:dyDescent="0.25">
      <c r="A2439" t="s">
        <v>5379</v>
      </c>
      <c r="B2439" t="s">
        <v>5787</v>
      </c>
    </row>
    <row r="2440" spans="1:2" x14ac:dyDescent="0.25">
      <c r="A2440" t="s">
        <v>919</v>
      </c>
      <c r="B2440" t="s">
        <v>5852</v>
      </c>
    </row>
    <row r="2441" spans="1:2" x14ac:dyDescent="0.25">
      <c r="A2441" t="s">
        <v>1466</v>
      </c>
      <c r="B2441" t="s">
        <v>6719</v>
      </c>
    </row>
    <row r="2442" spans="1:2" x14ac:dyDescent="0.25">
      <c r="A2442" t="s">
        <v>2064</v>
      </c>
      <c r="B2442" t="s">
        <v>5740</v>
      </c>
    </row>
    <row r="2443" spans="1:2" x14ac:dyDescent="0.25">
      <c r="A2443" t="s">
        <v>5626</v>
      </c>
      <c r="B2443" t="s">
        <v>5787</v>
      </c>
    </row>
    <row r="2444" spans="1:2" x14ac:dyDescent="0.25">
      <c r="A2444" t="s">
        <v>683</v>
      </c>
      <c r="B2444" t="s">
        <v>5838</v>
      </c>
    </row>
    <row r="2445" spans="1:2" x14ac:dyDescent="0.25">
      <c r="A2445" t="s">
        <v>3154</v>
      </c>
      <c r="B2445" t="s">
        <v>6201</v>
      </c>
    </row>
    <row r="2446" spans="1:2" x14ac:dyDescent="0.25">
      <c r="A2446" t="s">
        <v>1437</v>
      </c>
      <c r="B2446" t="s">
        <v>6305</v>
      </c>
    </row>
    <row r="2447" spans="1:2" x14ac:dyDescent="0.25">
      <c r="A2447" t="s">
        <v>3623</v>
      </c>
      <c r="B2447" t="s">
        <v>5757</v>
      </c>
    </row>
    <row r="2448" spans="1:2" x14ac:dyDescent="0.25">
      <c r="A2448" t="s">
        <v>4738</v>
      </c>
      <c r="B2448" t="s">
        <v>5825</v>
      </c>
    </row>
    <row r="2449" spans="1:2" x14ac:dyDescent="0.25">
      <c r="A2449" t="s">
        <v>811</v>
      </c>
      <c r="B2449" t="s">
        <v>6580</v>
      </c>
    </row>
    <row r="2450" spans="1:2" x14ac:dyDescent="0.25">
      <c r="A2450" t="s">
        <v>3877</v>
      </c>
      <c r="B2450" t="s">
        <v>6192</v>
      </c>
    </row>
    <row r="2451" spans="1:2" x14ac:dyDescent="0.25">
      <c r="A2451" t="s">
        <v>2203</v>
      </c>
      <c r="B2451" t="s">
        <v>5795</v>
      </c>
    </row>
    <row r="2452" spans="1:2" x14ac:dyDescent="0.25">
      <c r="A2452" t="s">
        <v>2706</v>
      </c>
      <c r="B2452" t="s">
        <v>5880</v>
      </c>
    </row>
    <row r="2453" spans="1:2" x14ac:dyDescent="0.25">
      <c r="A2453" t="s">
        <v>5155</v>
      </c>
      <c r="B2453" t="s">
        <v>6540</v>
      </c>
    </row>
    <row r="2454" spans="1:2" x14ac:dyDescent="0.25">
      <c r="A2454" t="s">
        <v>3562</v>
      </c>
      <c r="B2454" t="s">
        <v>6766</v>
      </c>
    </row>
    <row r="2455" spans="1:2" x14ac:dyDescent="0.25">
      <c r="A2455" t="s">
        <v>3052</v>
      </c>
      <c r="B2455" t="s">
        <v>5747</v>
      </c>
    </row>
    <row r="2456" spans="1:2" x14ac:dyDescent="0.25">
      <c r="A2456" t="s">
        <v>3979</v>
      </c>
      <c r="B2456" t="s">
        <v>6094</v>
      </c>
    </row>
    <row r="2457" spans="1:2" x14ac:dyDescent="0.25">
      <c r="A2457" t="s">
        <v>5314</v>
      </c>
      <c r="B2457" t="s">
        <v>5826</v>
      </c>
    </row>
    <row r="2458" spans="1:2" x14ac:dyDescent="0.25">
      <c r="A2458" t="s">
        <v>3128</v>
      </c>
      <c r="B2458" t="s">
        <v>5805</v>
      </c>
    </row>
    <row r="2459" spans="1:2" x14ac:dyDescent="0.25">
      <c r="A2459" t="s">
        <v>501</v>
      </c>
      <c r="B2459">
        <v>0</v>
      </c>
    </row>
    <row r="2460" spans="1:2" x14ac:dyDescent="0.25">
      <c r="A2460" t="s">
        <v>3716</v>
      </c>
      <c r="B2460" t="s">
        <v>5787</v>
      </c>
    </row>
    <row r="2461" spans="1:2" x14ac:dyDescent="0.25">
      <c r="A2461" t="s">
        <v>4052</v>
      </c>
      <c r="B2461" t="s">
        <v>5996</v>
      </c>
    </row>
    <row r="2462" spans="1:2" x14ac:dyDescent="0.25">
      <c r="A2462" t="s">
        <v>539</v>
      </c>
      <c r="B2462" t="s">
        <v>5787</v>
      </c>
    </row>
    <row r="2463" spans="1:2" x14ac:dyDescent="0.25">
      <c r="A2463" t="s">
        <v>3505</v>
      </c>
      <c r="B2463" t="s">
        <v>5713</v>
      </c>
    </row>
    <row r="2464" spans="1:2" x14ac:dyDescent="0.25">
      <c r="A2464" t="s">
        <v>1212</v>
      </c>
      <c r="B2464" t="s">
        <v>5795</v>
      </c>
    </row>
    <row r="2465" spans="1:2" x14ac:dyDescent="0.25">
      <c r="A2465" t="s">
        <v>3827</v>
      </c>
      <c r="B2465" t="s">
        <v>5841</v>
      </c>
    </row>
    <row r="2466" spans="1:2" x14ac:dyDescent="0.25">
      <c r="A2466" t="s">
        <v>3361</v>
      </c>
      <c r="B2466" t="s">
        <v>5848</v>
      </c>
    </row>
    <row r="2467" spans="1:2" x14ac:dyDescent="0.25">
      <c r="A2467" t="s">
        <v>2568</v>
      </c>
      <c r="B2467" t="s">
        <v>6118</v>
      </c>
    </row>
    <row r="2468" spans="1:2" x14ac:dyDescent="0.25">
      <c r="A2468" t="s">
        <v>2044</v>
      </c>
      <c r="B2468" t="s">
        <v>5713</v>
      </c>
    </row>
    <row r="2469" spans="1:2" x14ac:dyDescent="0.25">
      <c r="A2469" t="s">
        <v>1395</v>
      </c>
      <c r="B2469" t="s">
        <v>5711</v>
      </c>
    </row>
    <row r="2470" spans="1:2" x14ac:dyDescent="0.25">
      <c r="A2470" t="s">
        <v>2966</v>
      </c>
      <c r="B2470" t="s">
        <v>5706</v>
      </c>
    </row>
    <row r="2471" spans="1:2" x14ac:dyDescent="0.25">
      <c r="A2471" t="s">
        <v>2218</v>
      </c>
      <c r="B2471" t="s">
        <v>5713</v>
      </c>
    </row>
    <row r="2472" spans="1:2" x14ac:dyDescent="0.25">
      <c r="A2472" t="s">
        <v>717</v>
      </c>
      <c r="B2472" t="s">
        <v>5794</v>
      </c>
    </row>
    <row r="2473" spans="1:2" x14ac:dyDescent="0.25">
      <c r="A2473" t="s">
        <v>1685</v>
      </c>
      <c r="B2473" t="s">
        <v>5856</v>
      </c>
    </row>
    <row r="2474" spans="1:2" x14ac:dyDescent="0.25">
      <c r="A2474" t="s">
        <v>1369</v>
      </c>
      <c r="B2474" t="s">
        <v>5787</v>
      </c>
    </row>
    <row r="2475" spans="1:2" x14ac:dyDescent="0.25">
      <c r="A2475" t="s">
        <v>4273</v>
      </c>
      <c r="B2475" t="s">
        <v>5787</v>
      </c>
    </row>
    <row r="2476" spans="1:2" x14ac:dyDescent="0.25">
      <c r="A2476" t="s">
        <v>5018</v>
      </c>
      <c r="B2476" t="s">
        <v>5911</v>
      </c>
    </row>
    <row r="2477" spans="1:2" x14ac:dyDescent="0.25">
      <c r="A2477" t="s">
        <v>1113</v>
      </c>
      <c r="B2477" t="s">
        <v>5787</v>
      </c>
    </row>
    <row r="2478" spans="1:2" x14ac:dyDescent="0.25">
      <c r="A2478" t="s">
        <v>4155</v>
      </c>
      <c r="B2478" t="s">
        <v>6094</v>
      </c>
    </row>
    <row r="2479" spans="1:2" x14ac:dyDescent="0.25">
      <c r="A2479" t="s">
        <v>2997</v>
      </c>
      <c r="B2479" t="s">
        <v>5835</v>
      </c>
    </row>
    <row r="2480" spans="1:2" x14ac:dyDescent="0.25">
      <c r="A2480" t="s">
        <v>4225</v>
      </c>
      <c r="B2480" t="s">
        <v>5787</v>
      </c>
    </row>
    <row r="2481" spans="1:2" x14ac:dyDescent="0.25">
      <c r="A2481" t="s">
        <v>2968</v>
      </c>
      <c r="B2481" t="s">
        <v>5788</v>
      </c>
    </row>
    <row r="2482" spans="1:2" x14ac:dyDescent="0.25">
      <c r="A2482" t="s">
        <v>3682</v>
      </c>
      <c r="B2482" t="s">
        <v>5787</v>
      </c>
    </row>
    <row r="2483" spans="1:2" x14ac:dyDescent="0.25">
      <c r="A2483" t="s">
        <v>147</v>
      </c>
      <c r="B2483" t="s">
        <v>5719</v>
      </c>
    </row>
    <row r="2484" spans="1:2" x14ac:dyDescent="0.25">
      <c r="A2484" t="s">
        <v>2066</v>
      </c>
      <c r="B2484" t="s">
        <v>6432</v>
      </c>
    </row>
    <row r="2485" spans="1:2" x14ac:dyDescent="0.25">
      <c r="A2485" t="s">
        <v>1904</v>
      </c>
      <c r="B2485" t="s">
        <v>5942</v>
      </c>
    </row>
    <row r="2486" spans="1:2" x14ac:dyDescent="0.25">
      <c r="A2486" t="s">
        <v>5568</v>
      </c>
      <c r="B2486" t="s">
        <v>6676</v>
      </c>
    </row>
    <row r="2487" spans="1:2" x14ac:dyDescent="0.25">
      <c r="A2487" t="s">
        <v>3638</v>
      </c>
      <c r="B2487" t="s">
        <v>5813</v>
      </c>
    </row>
    <row r="2488" spans="1:2" x14ac:dyDescent="0.25">
      <c r="A2488" t="s">
        <v>2670</v>
      </c>
      <c r="B2488" t="s">
        <v>5926</v>
      </c>
    </row>
    <row r="2489" spans="1:2" x14ac:dyDescent="0.25">
      <c r="A2489" t="s">
        <v>1442</v>
      </c>
      <c r="B2489" t="s">
        <v>5793</v>
      </c>
    </row>
    <row r="2490" spans="1:2" x14ac:dyDescent="0.25">
      <c r="A2490" t="s">
        <v>5121</v>
      </c>
      <c r="B2490" t="s">
        <v>6136</v>
      </c>
    </row>
    <row r="2491" spans="1:2" x14ac:dyDescent="0.25">
      <c r="A2491" t="s">
        <v>4953</v>
      </c>
      <c r="B2491" t="s">
        <v>5708</v>
      </c>
    </row>
    <row r="2492" spans="1:2" x14ac:dyDescent="0.25">
      <c r="A2492" t="s">
        <v>314</v>
      </c>
      <c r="B2492" t="s">
        <v>5721</v>
      </c>
    </row>
    <row r="2493" spans="1:2" x14ac:dyDescent="0.25">
      <c r="A2493" t="s">
        <v>5783</v>
      </c>
      <c r="B2493" t="s">
        <v>5782</v>
      </c>
    </row>
    <row r="2494" spans="1:2" x14ac:dyDescent="0.25">
      <c r="A2494" t="s">
        <v>4074</v>
      </c>
      <c r="B2494" t="s">
        <v>6575</v>
      </c>
    </row>
    <row r="2495" spans="1:2" x14ac:dyDescent="0.25">
      <c r="A2495" t="s">
        <v>1291</v>
      </c>
      <c r="B2495" t="s">
        <v>5792</v>
      </c>
    </row>
    <row r="2496" spans="1:2" x14ac:dyDescent="0.25">
      <c r="A2496" t="s">
        <v>2153</v>
      </c>
      <c r="B2496" t="s">
        <v>5787</v>
      </c>
    </row>
    <row r="2497" spans="1:2" x14ac:dyDescent="0.25">
      <c r="A2497" t="s">
        <v>1927</v>
      </c>
      <c r="B2497" t="s">
        <v>6104</v>
      </c>
    </row>
    <row r="2498" spans="1:2" x14ac:dyDescent="0.25">
      <c r="A2498" t="s">
        <v>5666</v>
      </c>
      <c r="B2498" t="s">
        <v>5787</v>
      </c>
    </row>
    <row r="2499" spans="1:2" x14ac:dyDescent="0.25">
      <c r="A2499" t="s">
        <v>3787</v>
      </c>
      <c r="B2499" t="s">
        <v>5810</v>
      </c>
    </row>
    <row r="2500" spans="1:2" x14ac:dyDescent="0.25">
      <c r="A2500" t="s">
        <v>1325</v>
      </c>
      <c r="B2500" t="s">
        <v>5986</v>
      </c>
    </row>
    <row r="2501" spans="1:2" x14ac:dyDescent="0.25">
      <c r="A2501" t="s">
        <v>2934</v>
      </c>
      <c r="B2501" t="s">
        <v>5809</v>
      </c>
    </row>
    <row r="2502" spans="1:2" x14ac:dyDescent="0.25">
      <c r="A2502" t="s">
        <v>2914</v>
      </c>
      <c r="B2502" t="s">
        <v>5788</v>
      </c>
    </row>
    <row r="2503" spans="1:2" x14ac:dyDescent="0.25">
      <c r="A2503" t="s">
        <v>1599</v>
      </c>
      <c r="B2503" t="s">
        <v>5724</v>
      </c>
    </row>
    <row r="2504" spans="1:2" x14ac:dyDescent="0.25">
      <c r="A2504" t="s">
        <v>1589</v>
      </c>
      <c r="B2504" t="s">
        <v>6261</v>
      </c>
    </row>
    <row r="2505" spans="1:2" x14ac:dyDescent="0.25">
      <c r="A2505" t="s">
        <v>1178</v>
      </c>
      <c r="B2505" t="s">
        <v>6183</v>
      </c>
    </row>
    <row r="2506" spans="1:2" x14ac:dyDescent="0.25">
      <c r="A2506" t="s">
        <v>4032</v>
      </c>
      <c r="B2506" t="s">
        <v>5794</v>
      </c>
    </row>
    <row r="2507" spans="1:2" x14ac:dyDescent="0.25">
      <c r="A2507" t="s">
        <v>2927</v>
      </c>
      <c r="B2507" t="s">
        <v>6219</v>
      </c>
    </row>
    <row r="2508" spans="1:2" x14ac:dyDescent="0.25">
      <c r="A2508" t="s">
        <v>3615</v>
      </c>
      <c r="B2508" t="s">
        <v>5915</v>
      </c>
    </row>
    <row r="2509" spans="1:2" x14ac:dyDescent="0.25">
      <c r="A2509" t="s">
        <v>2045</v>
      </c>
      <c r="B2509" t="s">
        <v>5800</v>
      </c>
    </row>
    <row r="2510" spans="1:2" x14ac:dyDescent="0.25">
      <c r="A2510" t="s">
        <v>2449</v>
      </c>
      <c r="B2510" t="s">
        <v>5706</v>
      </c>
    </row>
    <row r="2511" spans="1:2" x14ac:dyDescent="0.25">
      <c r="A2511" t="s">
        <v>2362</v>
      </c>
      <c r="B2511" t="s">
        <v>5966</v>
      </c>
    </row>
    <row r="2512" spans="1:2" x14ac:dyDescent="0.25">
      <c r="A2512" t="s">
        <v>5380</v>
      </c>
      <c r="B2512" t="s">
        <v>5912</v>
      </c>
    </row>
    <row r="2513" spans="1:2" x14ac:dyDescent="0.25">
      <c r="A2513" t="s">
        <v>1799</v>
      </c>
      <c r="B2513" t="s">
        <v>5782</v>
      </c>
    </row>
    <row r="2514" spans="1:2" x14ac:dyDescent="0.25">
      <c r="A2514" t="s">
        <v>1508</v>
      </c>
      <c r="B2514" t="s">
        <v>5706</v>
      </c>
    </row>
    <row r="2515" spans="1:2" x14ac:dyDescent="0.25">
      <c r="A2515" t="s">
        <v>2879</v>
      </c>
      <c r="B2515" t="s">
        <v>5840</v>
      </c>
    </row>
    <row r="2516" spans="1:2" x14ac:dyDescent="0.25">
      <c r="A2516" t="s">
        <v>1632</v>
      </c>
      <c r="B2516" t="s">
        <v>5788</v>
      </c>
    </row>
    <row r="2517" spans="1:2" x14ac:dyDescent="0.25">
      <c r="A2517" t="s">
        <v>1518</v>
      </c>
      <c r="B2517" t="s">
        <v>5915</v>
      </c>
    </row>
    <row r="2518" spans="1:2" x14ac:dyDescent="0.25">
      <c r="A2518" t="s">
        <v>1243</v>
      </c>
      <c r="B2518" t="s">
        <v>6304</v>
      </c>
    </row>
    <row r="2519" spans="1:2" x14ac:dyDescent="0.25">
      <c r="A2519" t="s">
        <v>3436</v>
      </c>
      <c r="B2519" t="s">
        <v>6544</v>
      </c>
    </row>
    <row r="2520" spans="1:2" x14ac:dyDescent="0.25">
      <c r="A2520" t="s">
        <v>1959</v>
      </c>
      <c r="B2520" t="s">
        <v>5862</v>
      </c>
    </row>
    <row r="2521" spans="1:2" x14ac:dyDescent="0.25">
      <c r="A2521" t="s">
        <v>1625</v>
      </c>
      <c r="B2521" t="s">
        <v>6590</v>
      </c>
    </row>
    <row r="2522" spans="1:2" x14ac:dyDescent="0.25">
      <c r="A2522" t="s">
        <v>2252</v>
      </c>
      <c r="B2522" t="s">
        <v>5888</v>
      </c>
    </row>
    <row r="2523" spans="1:2" x14ac:dyDescent="0.25">
      <c r="A2523" t="s">
        <v>2612</v>
      </c>
      <c r="B2523" t="s">
        <v>6747</v>
      </c>
    </row>
    <row r="2524" spans="1:2" x14ac:dyDescent="0.25">
      <c r="A2524" t="s">
        <v>675</v>
      </c>
      <c r="B2524" t="s">
        <v>6297</v>
      </c>
    </row>
    <row r="2525" spans="1:2" x14ac:dyDescent="0.25">
      <c r="A2525" t="s">
        <v>2592</v>
      </c>
      <c r="B2525" t="s">
        <v>5716</v>
      </c>
    </row>
    <row r="2526" spans="1:2" x14ac:dyDescent="0.25">
      <c r="A2526" t="s">
        <v>1311</v>
      </c>
      <c r="B2526" t="s">
        <v>5787</v>
      </c>
    </row>
    <row r="2527" spans="1:2" x14ac:dyDescent="0.25">
      <c r="A2527" t="s">
        <v>158</v>
      </c>
      <c r="B2527" t="s">
        <v>6105</v>
      </c>
    </row>
    <row r="2528" spans="1:2" x14ac:dyDescent="0.25">
      <c r="A2528" t="s">
        <v>3522</v>
      </c>
      <c r="B2528" t="s">
        <v>5889</v>
      </c>
    </row>
    <row r="2529" spans="1:2" x14ac:dyDescent="0.25">
      <c r="A2529" t="s">
        <v>1905</v>
      </c>
      <c r="B2529" t="s">
        <v>5787</v>
      </c>
    </row>
    <row r="2530" spans="1:2" x14ac:dyDescent="0.25">
      <c r="A2530" t="s">
        <v>3182</v>
      </c>
      <c r="B2530" t="s">
        <v>5900</v>
      </c>
    </row>
    <row r="2531" spans="1:2" x14ac:dyDescent="0.25">
      <c r="A2531" t="s">
        <v>1528</v>
      </c>
      <c r="B2531" t="s">
        <v>5943</v>
      </c>
    </row>
    <row r="2532" spans="1:2" x14ac:dyDescent="0.25">
      <c r="A2532" t="s">
        <v>647</v>
      </c>
      <c r="B2532" t="s">
        <v>5805</v>
      </c>
    </row>
    <row r="2533" spans="1:2" x14ac:dyDescent="0.25">
      <c r="A2533" t="s">
        <v>79</v>
      </c>
      <c r="B2533" t="s">
        <v>6126</v>
      </c>
    </row>
    <row r="2534" spans="1:2" x14ac:dyDescent="0.25">
      <c r="A2534" t="s">
        <v>3119</v>
      </c>
      <c r="B2534" t="s">
        <v>5807</v>
      </c>
    </row>
    <row r="2535" spans="1:2" x14ac:dyDescent="0.25">
      <c r="A2535" t="s">
        <v>3499</v>
      </c>
      <c r="B2535" t="s">
        <v>6284</v>
      </c>
    </row>
    <row r="2536" spans="1:2" x14ac:dyDescent="0.25">
      <c r="A2536" t="s">
        <v>4712</v>
      </c>
      <c r="B2536" t="s">
        <v>5789</v>
      </c>
    </row>
    <row r="2537" spans="1:2" x14ac:dyDescent="0.25">
      <c r="A2537" t="s">
        <v>3551</v>
      </c>
      <c r="B2537" t="s">
        <v>5787</v>
      </c>
    </row>
    <row r="2538" spans="1:2" x14ac:dyDescent="0.25">
      <c r="A2538" t="s">
        <v>542</v>
      </c>
      <c r="B2538" t="s">
        <v>5787</v>
      </c>
    </row>
    <row r="2539" spans="1:2" x14ac:dyDescent="0.25">
      <c r="A2539" t="s">
        <v>2244</v>
      </c>
      <c r="B2539" t="s">
        <v>6147</v>
      </c>
    </row>
    <row r="2540" spans="1:2" x14ac:dyDescent="0.25">
      <c r="A2540" t="s">
        <v>4474</v>
      </c>
      <c r="B2540" t="s">
        <v>5708</v>
      </c>
    </row>
    <row r="2541" spans="1:2" x14ac:dyDescent="0.25">
      <c r="A2541" t="s">
        <v>3702</v>
      </c>
      <c r="B2541">
        <v>0</v>
      </c>
    </row>
    <row r="2542" spans="1:2" x14ac:dyDescent="0.25">
      <c r="A2542" t="s">
        <v>5445</v>
      </c>
      <c r="B2542" t="s">
        <v>6485</v>
      </c>
    </row>
    <row r="2543" spans="1:2" x14ac:dyDescent="0.25">
      <c r="A2543" t="s">
        <v>5509</v>
      </c>
      <c r="B2543" t="s">
        <v>5719</v>
      </c>
    </row>
    <row r="2544" spans="1:2" x14ac:dyDescent="0.25">
      <c r="A2544" t="s">
        <v>3688</v>
      </c>
      <c r="B2544" t="s">
        <v>5890</v>
      </c>
    </row>
    <row r="2545" spans="1:2" x14ac:dyDescent="0.25">
      <c r="A2545" t="s">
        <v>3233</v>
      </c>
      <c r="B2545" t="s">
        <v>5711</v>
      </c>
    </row>
    <row r="2546" spans="1:2" x14ac:dyDescent="0.25">
      <c r="A2546" t="s">
        <v>1234</v>
      </c>
      <c r="B2546" t="s">
        <v>5804</v>
      </c>
    </row>
    <row r="2547" spans="1:2" x14ac:dyDescent="0.25">
      <c r="A2547" t="s">
        <v>2204</v>
      </c>
      <c r="B2547" t="s">
        <v>5713</v>
      </c>
    </row>
    <row r="2548" spans="1:2" x14ac:dyDescent="0.25">
      <c r="A2548" t="s">
        <v>5382</v>
      </c>
      <c r="B2548" t="s">
        <v>5762</v>
      </c>
    </row>
    <row r="2549" spans="1:2" x14ac:dyDescent="0.25">
      <c r="A2549" t="s">
        <v>185</v>
      </c>
      <c r="B2549" t="s">
        <v>5713</v>
      </c>
    </row>
    <row r="2550" spans="1:2" x14ac:dyDescent="0.25">
      <c r="A2550" t="s">
        <v>1328</v>
      </c>
      <c r="B2550" t="s">
        <v>5704</v>
      </c>
    </row>
    <row r="2551" spans="1:2" x14ac:dyDescent="0.25">
      <c r="A2551" t="s">
        <v>3397</v>
      </c>
      <c r="B2551" t="s">
        <v>6532</v>
      </c>
    </row>
    <row r="2552" spans="1:2" x14ac:dyDescent="0.25">
      <c r="A2552" t="s">
        <v>2261</v>
      </c>
      <c r="B2552" t="s">
        <v>5757</v>
      </c>
    </row>
    <row r="2553" spans="1:2" x14ac:dyDescent="0.25">
      <c r="A2553" t="s">
        <v>4507</v>
      </c>
      <c r="B2553" t="s">
        <v>5815</v>
      </c>
    </row>
    <row r="2554" spans="1:2" x14ac:dyDescent="0.25">
      <c r="A2554" t="s">
        <v>2929</v>
      </c>
      <c r="B2554" t="s">
        <v>5772</v>
      </c>
    </row>
    <row r="2555" spans="1:2" x14ac:dyDescent="0.25">
      <c r="A2555" t="s">
        <v>4899</v>
      </c>
      <c r="B2555" t="s">
        <v>5774</v>
      </c>
    </row>
    <row r="2556" spans="1:2" x14ac:dyDescent="0.25">
      <c r="A2556" t="s">
        <v>1853</v>
      </c>
      <c r="B2556" t="s">
        <v>5937</v>
      </c>
    </row>
    <row r="2557" spans="1:2" x14ac:dyDescent="0.25">
      <c r="A2557" t="s">
        <v>1157</v>
      </c>
      <c r="B2557" t="s">
        <v>5787</v>
      </c>
    </row>
    <row r="2558" spans="1:2" x14ac:dyDescent="0.25">
      <c r="A2558" t="s">
        <v>3745</v>
      </c>
      <c r="B2558" t="s">
        <v>5832</v>
      </c>
    </row>
    <row r="2559" spans="1:2" x14ac:dyDescent="0.25">
      <c r="A2559" t="s">
        <v>4352</v>
      </c>
      <c r="B2559" t="s">
        <v>5787</v>
      </c>
    </row>
    <row r="2560" spans="1:2" x14ac:dyDescent="0.25">
      <c r="A2560" t="s">
        <v>4469</v>
      </c>
      <c r="B2560" t="s">
        <v>5704</v>
      </c>
    </row>
    <row r="2561" spans="1:2" x14ac:dyDescent="0.25">
      <c r="A2561" t="s">
        <v>2634</v>
      </c>
      <c r="B2561" t="s">
        <v>6068</v>
      </c>
    </row>
    <row r="2562" spans="1:2" x14ac:dyDescent="0.25">
      <c r="A2562" t="s">
        <v>3197</v>
      </c>
      <c r="B2562" t="s">
        <v>5879</v>
      </c>
    </row>
    <row r="2563" spans="1:2" x14ac:dyDescent="0.25">
      <c r="A2563" t="s">
        <v>4415</v>
      </c>
      <c r="B2563" t="s">
        <v>5728</v>
      </c>
    </row>
    <row r="2564" spans="1:2" x14ac:dyDescent="0.25">
      <c r="A2564" t="s">
        <v>4064</v>
      </c>
      <c r="B2564" t="s">
        <v>6573</v>
      </c>
    </row>
    <row r="2565" spans="1:2" x14ac:dyDescent="0.25">
      <c r="A2565" t="s">
        <v>2067</v>
      </c>
      <c r="B2565" t="s">
        <v>6180</v>
      </c>
    </row>
    <row r="2566" spans="1:2" x14ac:dyDescent="0.25">
      <c r="A2566" t="s">
        <v>4090</v>
      </c>
      <c r="B2566" t="s">
        <v>5989</v>
      </c>
    </row>
    <row r="2567" spans="1:2" x14ac:dyDescent="0.25">
      <c r="A2567" t="s">
        <v>2892</v>
      </c>
      <c r="B2567" t="s">
        <v>6277</v>
      </c>
    </row>
    <row r="2568" spans="1:2" x14ac:dyDescent="0.25">
      <c r="A2568" t="s">
        <v>4193</v>
      </c>
      <c r="B2568" t="s">
        <v>5856</v>
      </c>
    </row>
    <row r="2569" spans="1:2" x14ac:dyDescent="0.25">
      <c r="A2569" t="s">
        <v>3541</v>
      </c>
      <c r="B2569" t="s">
        <v>5787</v>
      </c>
    </row>
    <row r="2570" spans="1:2" x14ac:dyDescent="0.25">
      <c r="A2570" t="s">
        <v>4126</v>
      </c>
      <c r="B2570" t="s">
        <v>5785</v>
      </c>
    </row>
    <row r="2571" spans="1:2" x14ac:dyDescent="0.25">
      <c r="A2571" t="s">
        <v>1037</v>
      </c>
      <c r="B2571" t="s">
        <v>5788</v>
      </c>
    </row>
    <row r="2572" spans="1:2" x14ac:dyDescent="0.25">
      <c r="A2572" t="s">
        <v>4081</v>
      </c>
      <c r="B2572" t="s">
        <v>6012</v>
      </c>
    </row>
    <row r="2573" spans="1:2" x14ac:dyDescent="0.25">
      <c r="A2573" t="s">
        <v>88</v>
      </c>
      <c r="B2573" t="s">
        <v>5788</v>
      </c>
    </row>
    <row r="2574" spans="1:2" x14ac:dyDescent="0.25">
      <c r="A2574" t="s">
        <v>689</v>
      </c>
      <c r="B2574" t="s">
        <v>5789</v>
      </c>
    </row>
    <row r="2575" spans="1:2" x14ac:dyDescent="0.25">
      <c r="A2575" t="s">
        <v>3170</v>
      </c>
      <c r="B2575" t="s">
        <v>5788</v>
      </c>
    </row>
    <row r="2576" spans="1:2" x14ac:dyDescent="0.25">
      <c r="A2576" t="s">
        <v>5286</v>
      </c>
      <c r="B2576" t="s">
        <v>5849</v>
      </c>
    </row>
    <row r="2577" spans="1:2" x14ac:dyDescent="0.25">
      <c r="A2577" t="s">
        <v>3099</v>
      </c>
      <c r="B2577" t="s">
        <v>5787</v>
      </c>
    </row>
    <row r="2578" spans="1:2" x14ac:dyDescent="0.25">
      <c r="A2578" t="s">
        <v>1753</v>
      </c>
      <c r="B2578" t="s">
        <v>5716</v>
      </c>
    </row>
    <row r="2579" spans="1:2" x14ac:dyDescent="0.25">
      <c r="A2579" t="s">
        <v>2041</v>
      </c>
      <c r="B2579" t="s">
        <v>5787</v>
      </c>
    </row>
    <row r="2580" spans="1:2" x14ac:dyDescent="0.25">
      <c r="A2580" t="s">
        <v>4940</v>
      </c>
      <c r="B2580">
        <v>0</v>
      </c>
    </row>
    <row r="2581" spans="1:2" x14ac:dyDescent="0.25">
      <c r="A2581" t="s">
        <v>3184</v>
      </c>
      <c r="B2581" t="s">
        <v>5991</v>
      </c>
    </row>
    <row r="2582" spans="1:2" x14ac:dyDescent="0.25">
      <c r="A2582" t="s">
        <v>5496</v>
      </c>
      <c r="B2582" t="s">
        <v>5998</v>
      </c>
    </row>
    <row r="2583" spans="1:2" x14ac:dyDescent="0.25">
      <c r="A2583" t="s">
        <v>2385</v>
      </c>
      <c r="B2583" t="s">
        <v>5806</v>
      </c>
    </row>
    <row r="2584" spans="1:2" x14ac:dyDescent="0.25">
      <c r="A2584" t="s">
        <v>841</v>
      </c>
      <c r="B2584" t="s">
        <v>5937</v>
      </c>
    </row>
    <row r="2585" spans="1:2" x14ac:dyDescent="0.25">
      <c r="A2585" t="s">
        <v>108</v>
      </c>
      <c r="B2585" t="s">
        <v>5788</v>
      </c>
    </row>
    <row r="2586" spans="1:2" x14ac:dyDescent="0.25">
      <c r="A2586" t="s">
        <v>2279</v>
      </c>
      <c r="B2586" t="s">
        <v>6236</v>
      </c>
    </row>
    <row r="2587" spans="1:2" x14ac:dyDescent="0.25">
      <c r="A2587" t="s">
        <v>29</v>
      </c>
      <c r="B2587" t="s">
        <v>5787</v>
      </c>
    </row>
    <row r="2588" spans="1:2" x14ac:dyDescent="0.25">
      <c r="A2588" t="s">
        <v>4851</v>
      </c>
      <c r="B2588">
        <v>0</v>
      </c>
    </row>
    <row r="2589" spans="1:2" x14ac:dyDescent="0.25">
      <c r="A2589" t="s">
        <v>100</v>
      </c>
      <c r="B2589" t="s">
        <v>5713</v>
      </c>
    </row>
    <row r="2590" spans="1:2" x14ac:dyDescent="0.25">
      <c r="A2590" t="s">
        <v>5650</v>
      </c>
      <c r="B2590" t="s">
        <v>6662</v>
      </c>
    </row>
    <row r="2591" spans="1:2" x14ac:dyDescent="0.25">
      <c r="A2591" t="s">
        <v>3094</v>
      </c>
      <c r="B2591" t="s">
        <v>6120</v>
      </c>
    </row>
    <row r="2592" spans="1:2" x14ac:dyDescent="0.25">
      <c r="A2592" t="s">
        <v>2290</v>
      </c>
      <c r="B2592" t="s">
        <v>6040</v>
      </c>
    </row>
    <row r="2593" spans="1:2" x14ac:dyDescent="0.25">
      <c r="A2593" t="s">
        <v>2738</v>
      </c>
      <c r="B2593" t="s">
        <v>6088</v>
      </c>
    </row>
    <row r="2594" spans="1:2" x14ac:dyDescent="0.25">
      <c r="A2594" t="s">
        <v>1211</v>
      </c>
      <c r="B2594" t="s">
        <v>6157</v>
      </c>
    </row>
    <row r="2595" spans="1:2" x14ac:dyDescent="0.25">
      <c r="A2595" t="s">
        <v>1817</v>
      </c>
      <c r="B2595" t="s">
        <v>5849</v>
      </c>
    </row>
    <row r="2596" spans="1:2" x14ac:dyDescent="0.25">
      <c r="A2596" t="s">
        <v>3445</v>
      </c>
      <c r="B2596" t="s">
        <v>5787</v>
      </c>
    </row>
    <row r="2597" spans="1:2" x14ac:dyDescent="0.25">
      <c r="A2597" t="s">
        <v>137</v>
      </c>
      <c r="B2597" t="s">
        <v>5787</v>
      </c>
    </row>
    <row r="2598" spans="1:2" x14ac:dyDescent="0.25">
      <c r="A2598" t="s">
        <v>2701</v>
      </c>
      <c r="B2598" t="s">
        <v>5789</v>
      </c>
    </row>
    <row r="2599" spans="1:2" x14ac:dyDescent="0.25">
      <c r="A2599" t="s">
        <v>218</v>
      </c>
      <c r="B2599" t="s">
        <v>5716</v>
      </c>
    </row>
    <row r="2600" spans="1:2" x14ac:dyDescent="0.25">
      <c r="A2600" t="s">
        <v>1447</v>
      </c>
      <c r="B2600" t="s">
        <v>5927</v>
      </c>
    </row>
    <row r="2601" spans="1:2" x14ac:dyDescent="0.25">
      <c r="A2601" t="s">
        <v>4877</v>
      </c>
      <c r="B2601" t="s">
        <v>6389</v>
      </c>
    </row>
    <row r="2602" spans="1:2" x14ac:dyDescent="0.25">
      <c r="A2602" t="s">
        <v>3390</v>
      </c>
      <c r="B2602" t="s">
        <v>5843</v>
      </c>
    </row>
    <row r="2603" spans="1:2" x14ac:dyDescent="0.25">
      <c r="A2603" t="s">
        <v>3393</v>
      </c>
      <c r="B2603" t="s">
        <v>5877</v>
      </c>
    </row>
    <row r="2604" spans="1:2" x14ac:dyDescent="0.25">
      <c r="A2604" t="s">
        <v>5448</v>
      </c>
      <c r="B2604" t="s">
        <v>5838</v>
      </c>
    </row>
    <row r="2605" spans="1:2" x14ac:dyDescent="0.25">
      <c r="A2605" t="s">
        <v>4166</v>
      </c>
      <c r="B2605" t="s">
        <v>5711</v>
      </c>
    </row>
    <row r="2606" spans="1:2" x14ac:dyDescent="0.25">
      <c r="A2606" t="s">
        <v>4526</v>
      </c>
      <c r="B2606" t="s">
        <v>6526</v>
      </c>
    </row>
    <row r="2607" spans="1:2" x14ac:dyDescent="0.25">
      <c r="A2607" t="s">
        <v>2458</v>
      </c>
      <c r="B2607" t="s">
        <v>5829</v>
      </c>
    </row>
    <row r="2608" spans="1:2" x14ac:dyDescent="0.25">
      <c r="A2608" t="s">
        <v>5447</v>
      </c>
      <c r="B2608" t="s">
        <v>6527</v>
      </c>
    </row>
    <row r="2609" spans="1:2" x14ac:dyDescent="0.25">
      <c r="A2609" t="s">
        <v>1487</v>
      </c>
      <c r="B2609" t="s">
        <v>5740</v>
      </c>
    </row>
    <row r="2610" spans="1:2" x14ac:dyDescent="0.25">
      <c r="A2610" t="s">
        <v>2406</v>
      </c>
      <c r="B2610" t="s">
        <v>5787</v>
      </c>
    </row>
    <row r="2611" spans="1:2" x14ac:dyDescent="0.25">
      <c r="A2611" t="s">
        <v>1191</v>
      </c>
      <c r="B2611" t="s">
        <v>5787</v>
      </c>
    </row>
    <row r="2612" spans="1:2" x14ac:dyDescent="0.25">
      <c r="A2612" t="s">
        <v>3284</v>
      </c>
      <c r="B2612" t="s">
        <v>5926</v>
      </c>
    </row>
    <row r="2613" spans="1:2" x14ac:dyDescent="0.25">
      <c r="A2613" t="s">
        <v>3378</v>
      </c>
      <c r="B2613" t="s">
        <v>5839</v>
      </c>
    </row>
    <row r="2614" spans="1:2" x14ac:dyDescent="0.25">
      <c r="A2614" t="s">
        <v>5166</v>
      </c>
      <c r="B2614" t="s">
        <v>5994</v>
      </c>
    </row>
    <row r="2615" spans="1:2" x14ac:dyDescent="0.25">
      <c r="A2615" t="s">
        <v>4912</v>
      </c>
      <c r="B2615" t="s">
        <v>5782</v>
      </c>
    </row>
    <row r="2616" spans="1:2" x14ac:dyDescent="0.25">
      <c r="A2616" t="s">
        <v>3810</v>
      </c>
      <c r="B2616" t="s">
        <v>6060</v>
      </c>
    </row>
    <row r="2617" spans="1:2" x14ac:dyDescent="0.25">
      <c r="A2617" t="s">
        <v>4832</v>
      </c>
      <c r="B2617" t="s">
        <v>5789</v>
      </c>
    </row>
    <row r="2618" spans="1:2" x14ac:dyDescent="0.25">
      <c r="A2618" t="s">
        <v>4169</v>
      </c>
      <c r="B2618" t="s">
        <v>5804</v>
      </c>
    </row>
    <row r="2619" spans="1:2" x14ac:dyDescent="0.25">
      <c r="A2619" t="s">
        <v>2945</v>
      </c>
      <c r="B2619" t="s">
        <v>6209</v>
      </c>
    </row>
    <row r="2620" spans="1:2" x14ac:dyDescent="0.25">
      <c r="A2620" t="s">
        <v>4230</v>
      </c>
      <c r="B2620" t="s">
        <v>6044</v>
      </c>
    </row>
    <row r="2621" spans="1:2" x14ac:dyDescent="0.25">
      <c r="A2621" t="s">
        <v>2258</v>
      </c>
      <c r="B2621" t="s">
        <v>5812</v>
      </c>
    </row>
    <row r="2622" spans="1:2" x14ac:dyDescent="0.25">
      <c r="A2622" t="s">
        <v>110</v>
      </c>
      <c r="B2622" t="s">
        <v>5864</v>
      </c>
    </row>
    <row r="2623" spans="1:2" x14ac:dyDescent="0.25">
      <c r="A2623" t="s">
        <v>4638</v>
      </c>
      <c r="B2623" t="s">
        <v>6461</v>
      </c>
    </row>
    <row r="2624" spans="1:2" x14ac:dyDescent="0.25">
      <c r="A2624" t="s">
        <v>2621</v>
      </c>
      <c r="B2624" t="s">
        <v>5787</v>
      </c>
    </row>
    <row r="2625" spans="1:2" x14ac:dyDescent="0.25">
      <c r="A2625" t="s">
        <v>4651</v>
      </c>
      <c r="B2625" t="s">
        <v>5772</v>
      </c>
    </row>
    <row r="2626" spans="1:2" x14ac:dyDescent="0.25">
      <c r="A2626" t="s">
        <v>896</v>
      </c>
      <c r="B2626" t="s">
        <v>5787</v>
      </c>
    </row>
    <row r="2627" spans="1:2" x14ac:dyDescent="0.25">
      <c r="A2627" t="s">
        <v>4721</v>
      </c>
      <c r="B2627" t="s">
        <v>5734</v>
      </c>
    </row>
    <row r="2628" spans="1:2" x14ac:dyDescent="0.25">
      <c r="A2628" t="s">
        <v>2820</v>
      </c>
      <c r="B2628" t="s">
        <v>5787</v>
      </c>
    </row>
    <row r="2629" spans="1:2" x14ac:dyDescent="0.25">
      <c r="A2629" t="s">
        <v>2214</v>
      </c>
      <c r="B2629" t="s">
        <v>6303</v>
      </c>
    </row>
    <row r="2630" spans="1:2" x14ac:dyDescent="0.25">
      <c r="A2630" t="s">
        <v>433</v>
      </c>
      <c r="B2630" t="s">
        <v>5974</v>
      </c>
    </row>
    <row r="2631" spans="1:2" x14ac:dyDescent="0.25">
      <c r="A2631" t="s">
        <v>4480</v>
      </c>
      <c r="B2631" t="s">
        <v>5721</v>
      </c>
    </row>
    <row r="2632" spans="1:2" x14ac:dyDescent="0.25">
      <c r="A2632" t="s">
        <v>5450</v>
      </c>
      <c r="B2632" t="s">
        <v>5704</v>
      </c>
    </row>
    <row r="2633" spans="1:2" x14ac:dyDescent="0.25">
      <c r="A2633" t="s">
        <v>2326</v>
      </c>
      <c r="B2633" t="s">
        <v>5787</v>
      </c>
    </row>
    <row r="2634" spans="1:2" x14ac:dyDescent="0.25">
      <c r="A2634" t="s">
        <v>1984</v>
      </c>
      <c r="B2634" t="s">
        <v>5798</v>
      </c>
    </row>
    <row r="2635" spans="1:2" x14ac:dyDescent="0.25">
      <c r="A2635" t="s">
        <v>899</v>
      </c>
      <c r="B2635" t="s">
        <v>5724</v>
      </c>
    </row>
    <row r="2636" spans="1:2" x14ac:dyDescent="0.25">
      <c r="A2636" t="s">
        <v>4221</v>
      </c>
      <c r="B2636" t="s">
        <v>5768</v>
      </c>
    </row>
    <row r="2637" spans="1:2" x14ac:dyDescent="0.25">
      <c r="A2637" t="s">
        <v>5597</v>
      </c>
      <c r="B2637" t="s">
        <v>5803</v>
      </c>
    </row>
    <row r="2638" spans="1:2" x14ac:dyDescent="0.25">
      <c r="A2638" t="s">
        <v>236</v>
      </c>
      <c r="B2638" t="s">
        <v>5924</v>
      </c>
    </row>
    <row r="2639" spans="1:2" x14ac:dyDescent="0.25">
      <c r="A2639" t="s">
        <v>1189</v>
      </c>
      <c r="B2639" t="s">
        <v>5734</v>
      </c>
    </row>
    <row r="2640" spans="1:2" x14ac:dyDescent="0.25">
      <c r="A2640" t="s">
        <v>3786</v>
      </c>
      <c r="B2640" t="s">
        <v>5872</v>
      </c>
    </row>
    <row r="2641" spans="1:2" x14ac:dyDescent="0.25">
      <c r="A2641" t="s">
        <v>167</v>
      </c>
      <c r="B2641" t="s">
        <v>5787</v>
      </c>
    </row>
    <row r="2642" spans="1:2" x14ac:dyDescent="0.25">
      <c r="A2642" t="s">
        <v>1450</v>
      </c>
      <c r="B2642" t="s">
        <v>5797</v>
      </c>
    </row>
    <row r="2643" spans="1:2" x14ac:dyDescent="0.25">
      <c r="A2643" t="s">
        <v>2669</v>
      </c>
      <c r="B2643" t="s">
        <v>5780</v>
      </c>
    </row>
    <row r="2644" spans="1:2" x14ac:dyDescent="0.25">
      <c r="A2644" t="s">
        <v>2807</v>
      </c>
      <c r="B2644" t="s">
        <v>5836</v>
      </c>
    </row>
    <row r="2645" spans="1:2" x14ac:dyDescent="0.25">
      <c r="A2645" t="s">
        <v>3881</v>
      </c>
      <c r="B2645" t="s">
        <v>6752</v>
      </c>
    </row>
    <row r="2646" spans="1:2" x14ac:dyDescent="0.25">
      <c r="A2646" t="s">
        <v>499</v>
      </c>
      <c r="B2646" t="s">
        <v>6545</v>
      </c>
    </row>
    <row r="2647" spans="1:2" x14ac:dyDescent="0.25">
      <c r="A2647" t="s">
        <v>449</v>
      </c>
      <c r="B2647" t="s">
        <v>5922</v>
      </c>
    </row>
    <row r="2648" spans="1:2" x14ac:dyDescent="0.25">
      <c r="A2648" t="s">
        <v>283</v>
      </c>
      <c r="B2648" t="s">
        <v>5787</v>
      </c>
    </row>
    <row r="2649" spans="1:2" x14ac:dyDescent="0.25">
      <c r="A2649" t="s">
        <v>3988</v>
      </c>
      <c r="B2649" t="s">
        <v>5750</v>
      </c>
    </row>
    <row r="2650" spans="1:2" x14ac:dyDescent="0.25">
      <c r="A2650" t="s">
        <v>547</v>
      </c>
      <c r="B2650" t="s">
        <v>6727</v>
      </c>
    </row>
    <row r="2651" spans="1:2" x14ac:dyDescent="0.25">
      <c r="A2651" t="s">
        <v>788</v>
      </c>
      <c r="B2651" t="s">
        <v>5750</v>
      </c>
    </row>
    <row r="2652" spans="1:2" x14ac:dyDescent="0.25">
      <c r="A2652" t="s">
        <v>3537</v>
      </c>
      <c r="B2652" t="s">
        <v>5757</v>
      </c>
    </row>
    <row r="2653" spans="1:2" x14ac:dyDescent="0.25">
      <c r="A2653" t="s">
        <v>22</v>
      </c>
      <c r="B2653" t="s">
        <v>5986</v>
      </c>
    </row>
    <row r="2654" spans="1:2" x14ac:dyDescent="0.25">
      <c r="A2654" t="s">
        <v>624</v>
      </c>
      <c r="B2654" t="s">
        <v>5859</v>
      </c>
    </row>
    <row r="2655" spans="1:2" x14ac:dyDescent="0.25">
      <c r="A2655" t="s">
        <v>2716</v>
      </c>
      <c r="B2655" t="s">
        <v>6636</v>
      </c>
    </row>
    <row r="2656" spans="1:2" x14ac:dyDescent="0.25">
      <c r="A2656" t="s">
        <v>3419</v>
      </c>
      <c r="B2656" t="s">
        <v>5721</v>
      </c>
    </row>
    <row r="2657" spans="1:2" x14ac:dyDescent="0.25">
      <c r="A2657" t="s">
        <v>1134</v>
      </c>
      <c r="B2657" t="s">
        <v>6137</v>
      </c>
    </row>
    <row r="2658" spans="1:2" x14ac:dyDescent="0.25">
      <c r="A2658" t="s">
        <v>1675</v>
      </c>
      <c r="B2658" t="s">
        <v>6426</v>
      </c>
    </row>
    <row r="2659" spans="1:2" x14ac:dyDescent="0.25">
      <c r="A2659" t="s">
        <v>3016</v>
      </c>
      <c r="B2659" t="s">
        <v>6250</v>
      </c>
    </row>
    <row r="2660" spans="1:2" x14ac:dyDescent="0.25">
      <c r="A2660" t="s">
        <v>1819</v>
      </c>
      <c r="B2660" t="s">
        <v>6296</v>
      </c>
    </row>
    <row r="2661" spans="1:2" x14ac:dyDescent="0.25">
      <c r="A2661" t="s">
        <v>4113</v>
      </c>
      <c r="B2661" t="s">
        <v>5831</v>
      </c>
    </row>
    <row r="2662" spans="1:2" x14ac:dyDescent="0.25">
      <c r="A2662" t="s">
        <v>1035</v>
      </c>
      <c r="B2662" t="s">
        <v>5787</v>
      </c>
    </row>
    <row r="2663" spans="1:2" x14ac:dyDescent="0.25">
      <c r="A2663" t="s">
        <v>2957</v>
      </c>
      <c r="B2663" t="s">
        <v>5800</v>
      </c>
    </row>
    <row r="2664" spans="1:2" x14ac:dyDescent="0.25">
      <c r="A2664" t="s">
        <v>3723</v>
      </c>
      <c r="B2664" t="s">
        <v>5770</v>
      </c>
    </row>
    <row r="2665" spans="1:2" x14ac:dyDescent="0.25">
      <c r="A2665" t="s">
        <v>4819</v>
      </c>
      <c r="B2665" t="s">
        <v>6387</v>
      </c>
    </row>
    <row r="2666" spans="1:2" x14ac:dyDescent="0.25">
      <c r="A2666" t="s">
        <v>2802</v>
      </c>
      <c r="B2666" t="s">
        <v>5787</v>
      </c>
    </row>
    <row r="2667" spans="1:2" x14ac:dyDescent="0.25">
      <c r="A2667" t="s">
        <v>3674</v>
      </c>
      <c r="B2667" t="s">
        <v>6514</v>
      </c>
    </row>
    <row r="2668" spans="1:2" x14ac:dyDescent="0.25">
      <c r="A2668" t="s">
        <v>2202</v>
      </c>
      <c r="B2668" t="s">
        <v>6675</v>
      </c>
    </row>
    <row r="2669" spans="1:2" x14ac:dyDescent="0.25">
      <c r="A2669" t="s">
        <v>2377</v>
      </c>
      <c r="B2669" t="s">
        <v>5787</v>
      </c>
    </row>
    <row r="2670" spans="1:2" x14ac:dyDescent="0.25">
      <c r="A2670" t="s">
        <v>3549</v>
      </c>
      <c r="B2670" t="s">
        <v>6377</v>
      </c>
    </row>
    <row r="2671" spans="1:2" x14ac:dyDescent="0.25">
      <c r="A2671" t="s">
        <v>4941</v>
      </c>
      <c r="B2671" t="s">
        <v>5800</v>
      </c>
    </row>
    <row r="2672" spans="1:2" x14ac:dyDescent="0.25">
      <c r="A2672" t="s">
        <v>4099</v>
      </c>
      <c r="B2672" t="s">
        <v>5902</v>
      </c>
    </row>
    <row r="2673" spans="1:2" x14ac:dyDescent="0.25">
      <c r="A2673" t="s">
        <v>2586</v>
      </c>
      <c r="B2673" t="s">
        <v>6179</v>
      </c>
    </row>
    <row r="2674" spans="1:2" x14ac:dyDescent="0.25">
      <c r="A2674" t="s">
        <v>2743</v>
      </c>
      <c r="B2674" t="s">
        <v>6043</v>
      </c>
    </row>
    <row r="2675" spans="1:2" x14ac:dyDescent="0.25">
      <c r="A2675" t="s">
        <v>5397</v>
      </c>
      <c r="B2675" t="s">
        <v>5834</v>
      </c>
    </row>
    <row r="2676" spans="1:2" x14ac:dyDescent="0.25">
      <c r="A2676" t="s">
        <v>1744</v>
      </c>
      <c r="B2676" t="s">
        <v>5798</v>
      </c>
    </row>
    <row r="2677" spans="1:2" x14ac:dyDescent="0.25">
      <c r="A2677" t="s">
        <v>1638</v>
      </c>
      <c r="B2677" t="s">
        <v>5787</v>
      </c>
    </row>
    <row r="2678" spans="1:2" x14ac:dyDescent="0.25">
      <c r="A2678" t="s">
        <v>1626</v>
      </c>
      <c r="B2678" t="s">
        <v>5793</v>
      </c>
    </row>
    <row r="2679" spans="1:2" x14ac:dyDescent="0.25">
      <c r="A2679" t="s">
        <v>4377</v>
      </c>
      <c r="B2679" t="s">
        <v>5922</v>
      </c>
    </row>
    <row r="2680" spans="1:2" x14ac:dyDescent="0.25">
      <c r="A2680" t="s">
        <v>5055</v>
      </c>
      <c r="B2680" t="s">
        <v>5947</v>
      </c>
    </row>
    <row r="2681" spans="1:2" x14ac:dyDescent="0.25">
      <c r="A2681" t="s">
        <v>114</v>
      </c>
      <c r="B2681" t="s">
        <v>6275</v>
      </c>
    </row>
    <row r="2682" spans="1:2" x14ac:dyDescent="0.25">
      <c r="A2682" t="s">
        <v>3004</v>
      </c>
      <c r="B2682" t="s">
        <v>6264</v>
      </c>
    </row>
    <row r="2683" spans="1:2" x14ac:dyDescent="0.25">
      <c r="A2683" t="s">
        <v>2519</v>
      </c>
      <c r="B2683" t="s">
        <v>5818</v>
      </c>
    </row>
    <row r="2684" spans="1:2" x14ac:dyDescent="0.25">
      <c r="A2684" t="s">
        <v>5230</v>
      </c>
      <c r="B2684" t="s">
        <v>5870</v>
      </c>
    </row>
    <row r="2685" spans="1:2" x14ac:dyDescent="0.25">
      <c r="A2685" t="s">
        <v>471</v>
      </c>
      <c r="B2685" t="s">
        <v>5867</v>
      </c>
    </row>
    <row r="2686" spans="1:2" x14ac:dyDescent="0.25">
      <c r="A2686" t="s">
        <v>3374</v>
      </c>
      <c r="B2686" t="s">
        <v>6101</v>
      </c>
    </row>
    <row r="2687" spans="1:2" x14ac:dyDescent="0.25">
      <c r="A2687" t="s">
        <v>3729</v>
      </c>
      <c r="B2687" t="s">
        <v>5839</v>
      </c>
    </row>
    <row r="2688" spans="1:2" x14ac:dyDescent="0.25">
      <c r="A2688" t="s">
        <v>4750</v>
      </c>
      <c r="B2688" t="s">
        <v>5770</v>
      </c>
    </row>
    <row r="2689" spans="1:2" x14ac:dyDescent="0.25">
      <c r="A2689" t="s">
        <v>3631</v>
      </c>
      <c r="B2689" t="s">
        <v>6008</v>
      </c>
    </row>
    <row r="2690" spans="1:2" x14ac:dyDescent="0.25">
      <c r="A2690" t="s">
        <v>5043</v>
      </c>
      <c r="B2690" t="s">
        <v>5795</v>
      </c>
    </row>
    <row r="2691" spans="1:2" x14ac:dyDescent="0.25">
      <c r="A2691" t="s">
        <v>4212</v>
      </c>
      <c r="B2691" t="s">
        <v>5802</v>
      </c>
    </row>
    <row r="2692" spans="1:2" x14ac:dyDescent="0.25">
      <c r="A2692" t="s">
        <v>680</v>
      </c>
      <c r="B2692" t="s">
        <v>5787</v>
      </c>
    </row>
    <row r="2693" spans="1:2" x14ac:dyDescent="0.25">
      <c r="A2693" t="s">
        <v>4371</v>
      </c>
      <c r="B2693" t="s">
        <v>5770</v>
      </c>
    </row>
    <row r="2694" spans="1:2" x14ac:dyDescent="0.25">
      <c r="A2694" t="s">
        <v>5307</v>
      </c>
      <c r="B2694" t="s">
        <v>6263</v>
      </c>
    </row>
    <row r="2695" spans="1:2" x14ac:dyDescent="0.25">
      <c r="A2695" t="s">
        <v>3123</v>
      </c>
      <c r="B2695" t="s">
        <v>6111</v>
      </c>
    </row>
    <row r="2696" spans="1:2" x14ac:dyDescent="0.25">
      <c r="A2696" t="s">
        <v>219</v>
      </c>
      <c r="B2696" t="s">
        <v>5728</v>
      </c>
    </row>
    <row r="2697" spans="1:2" x14ac:dyDescent="0.25">
      <c r="A2697" t="s">
        <v>5100</v>
      </c>
      <c r="B2697" t="s">
        <v>5826</v>
      </c>
    </row>
    <row r="2698" spans="1:2" x14ac:dyDescent="0.25">
      <c r="A2698" t="s">
        <v>4972</v>
      </c>
      <c r="B2698" t="s">
        <v>5884</v>
      </c>
    </row>
    <row r="2699" spans="1:2" x14ac:dyDescent="0.25">
      <c r="A2699" t="s">
        <v>4137</v>
      </c>
      <c r="B2699" t="s">
        <v>6021</v>
      </c>
    </row>
    <row r="2700" spans="1:2" x14ac:dyDescent="0.25">
      <c r="A2700" t="s">
        <v>2941</v>
      </c>
      <c r="B2700" t="s">
        <v>5789</v>
      </c>
    </row>
    <row r="2701" spans="1:2" x14ac:dyDescent="0.25">
      <c r="A2701" t="s">
        <v>1500</v>
      </c>
      <c r="B2701" t="s">
        <v>5750</v>
      </c>
    </row>
    <row r="2702" spans="1:2" x14ac:dyDescent="0.25">
      <c r="A2702" t="s">
        <v>622</v>
      </c>
      <c r="B2702" t="s">
        <v>6300</v>
      </c>
    </row>
    <row r="2703" spans="1:2" x14ac:dyDescent="0.25">
      <c r="A2703" t="s">
        <v>1633</v>
      </c>
      <c r="B2703" t="s">
        <v>6119</v>
      </c>
    </row>
    <row r="2704" spans="1:2" x14ac:dyDescent="0.25">
      <c r="A2704" t="s">
        <v>2508</v>
      </c>
      <c r="B2704" t="s">
        <v>5884</v>
      </c>
    </row>
    <row r="2705" spans="1:2" x14ac:dyDescent="0.25">
      <c r="A2705" t="s">
        <v>1093</v>
      </c>
      <c r="B2705" t="s">
        <v>5766</v>
      </c>
    </row>
    <row r="2706" spans="1:2" x14ac:dyDescent="0.25">
      <c r="A2706" t="s">
        <v>5605</v>
      </c>
      <c r="B2706" t="s">
        <v>5789</v>
      </c>
    </row>
    <row r="2707" spans="1:2" x14ac:dyDescent="0.25">
      <c r="A2707" t="s">
        <v>3567</v>
      </c>
      <c r="B2707" t="s">
        <v>5896</v>
      </c>
    </row>
    <row r="2708" spans="1:2" x14ac:dyDescent="0.25">
      <c r="A2708" t="s">
        <v>2984</v>
      </c>
      <c r="B2708" t="s">
        <v>5728</v>
      </c>
    </row>
    <row r="2709" spans="1:2" x14ac:dyDescent="0.25">
      <c r="A2709" t="s">
        <v>4436</v>
      </c>
      <c r="B2709" t="s">
        <v>5810</v>
      </c>
    </row>
    <row r="2710" spans="1:2" x14ac:dyDescent="0.25">
      <c r="A2710" t="s">
        <v>3741</v>
      </c>
      <c r="B2710" t="s">
        <v>5762</v>
      </c>
    </row>
    <row r="2711" spans="1:2" x14ac:dyDescent="0.25">
      <c r="A2711" t="s">
        <v>3730</v>
      </c>
      <c r="B2711" t="s">
        <v>5790</v>
      </c>
    </row>
    <row r="2712" spans="1:2" x14ac:dyDescent="0.25">
      <c r="A2712" t="s">
        <v>9784</v>
      </c>
      <c r="B2712" t="s">
        <v>5788</v>
      </c>
    </row>
    <row r="2713" spans="1:2" x14ac:dyDescent="0.25">
      <c r="A2713" t="s">
        <v>4097</v>
      </c>
      <c r="B2713" t="s">
        <v>5721</v>
      </c>
    </row>
    <row r="2714" spans="1:2" x14ac:dyDescent="0.25">
      <c r="A2714" t="s">
        <v>4998</v>
      </c>
      <c r="B2714" t="s">
        <v>5849</v>
      </c>
    </row>
    <row r="2715" spans="1:2" x14ac:dyDescent="0.25">
      <c r="A2715" t="s">
        <v>3962</v>
      </c>
      <c r="B2715" t="s">
        <v>5858</v>
      </c>
    </row>
    <row r="2716" spans="1:2" x14ac:dyDescent="0.25">
      <c r="A2716" t="s">
        <v>3891</v>
      </c>
    </row>
    <row r="2717" spans="1:2" x14ac:dyDescent="0.25">
      <c r="A2717" t="s">
        <v>3556</v>
      </c>
      <c r="B2717" t="s">
        <v>6737</v>
      </c>
    </row>
    <row r="2718" spans="1:2" x14ac:dyDescent="0.25">
      <c r="A2718" t="s">
        <v>4231</v>
      </c>
      <c r="B2718" t="s">
        <v>5942</v>
      </c>
    </row>
    <row r="2719" spans="1:2" x14ac:dyDescent="0.25">
      <c r="A2719" t="s">
        <v>4281</v>
      </c>
      <c r="B2719" t="s">
        <v>6577</v>
      </c>
    </row>
    <row r="2720" spans="1:2" x14ac:dyDescent="0.25">
      <c r="A2720" t="s">
        <v>4481</v>
      </c>
      <c r="B2720" t="s">
        <v>5820</v>
      </c>
    </row>
    <row r="2721" spans="1:2" x14ac:dyDescent="0.25">
      <c r="A2721" t="s">
        <v>1825</v>
      </c>
      <c r="B2721" t="s">
        <v>5719</v>
      </c>
    </row>
    <row r="2722" spans="1:2" x14ac:dyDescent="0.25">
      <c r="A2722" t="s">
        <v>1563</v>
      </c>
      <c r="B2722" t="s">
        <v>5841</v>
      </c>
    </row>
    <row r="2723" spans="1:2" x14ac:dyDescent="0.25">
      <c r="A2723" t="s">
        <v>1177</v>
      </c>
      <c r="B2723" t="s">
        <v>5750</v>
      </c>
    </row>
    <row r="2724" spans="1:2" x14ac:dyDescent="0.25">
      <c r="A2724" t="s">
        <v>1576</v>
      </c>
      <c r="B2724" t="s">
        <v>5778</v>
      </c>
    </row>
    <row r="2725" spans="1:2" x14ac:dyDescent="0.25">
      <c r="A2725" t="s">
        <v>5180</v>
      </c>
      <c r="B2725" t="s">
        <v>5833</v>
      </c>
    </row>
    <row r="2726" spans="1:2" x14ac:dyDescent="0.25">
      <c r="A2726" t="s">
        <v>3673</v>
      </c>
      <c r="B2726" t="s">
        <v>5820</v>
      </c>
    </row>
    <row r="2727" spans="1:2" x14ac:dyDescent="0.25">
      <c r="A2727" t="s">
        <v>904</v>
      </c>
      <c r="B2727" t="s">
        <v>5787</v>
      </c>
    </row>
    <row r="2728" spans="1:2" x14ac:dyDescent="0.25">
      <c r="A2728" t="s">
        <v>1542</v>
      </c>
      <c r="B2728" t="s">
        <v>5858</v>
      </c>
    </row>
    <row r="2729" spans="1:2" x14ac:dyDescent="0.25">
      <c r="A2729" t="s">
        <v>2275</v>
      </c>
      <c r="B2729" t="s">
        <v>6051</v>
      </c>
    </row>
    <row r="2730" spans="1:2" x14ac:dyDescent="0.25">
      <c r="A2730" t="s">
        <v>3806</v>
      </c>
      <c r="B2730" t="s">
        <v>5862</v>
      </c>
    </row>
    <row r="2731" spans="1:2" x14ac:dyDescent="0.25">
      <c r="A2731" t="s">
        <v>4417</v>
      </c>
      <c r="B2731" t="s">
        <v>5706</v>
      </c>
    </row>
    <row r="2732" spans="1:2" x14ac:dyDescent="0.25">
      <c r="A2732" t="s">
        <v>443</v>
      </c>
      <c r="B2732" t="s">
        <v>6015</v>
      </c>
    </row>
    <row r="2733" spans="1:2" x14ac:dyDescent="0.25">
      <c r="A2733" t="s">
        <v>2974</v>
      </c>
      <c r="B2733" t="s">
        <v>5789</v>
      </c>
    </row>
    <row r="2734" spans="1:2" x14ac:dyDescent="0.25">
      <c r="A2734" t="s">
        <v>4288</v>
      </c>
      <c r="B2734" t="s">
        <v>5728</v>
      </c>
    </row>
    <row r="2735" spans="1:2" x14ac:dyDescent="0.25">
      <c r="A2735" t="s">
        <v>4559</v>
      </c>
      <c r="B2735" t="s">
        <v>6469</v>
      </c>
    </row>
    <row r="2736" spans="1:2" x14ac:dyDescent="0.25">
      <c r="A2736" t="s">
        <v>2888</v>
      </c>
      <c r="B2736" t="s">
        <v>5841</v>
      </c>
    </row>
    <row r="2737" spans="1:2" x14ac:dyDescent="0.25">
      <c r="A2737" t="s">
        <v>5261</v>
      </c>
      <c r="B2737" t="s">
        <v>5921</v>
      </c>
    </row>
    <row r="2738" spans="1:2" x14ac:dyDescent="0.25">
      <c r="A2738" t="s">
        <v>4645</v>
      </c>
      <c r="B2738" t="s">
        <v>5787</v>
      </c>
    </row>
    <row r="2739" spans="1:2" x14ac:dyDescent="0.25">
      <c r="A2739" t="s">
        <v>3865</v>
      </c>
      <c r="B2739" t="s">
        <v>5818</v>
      </c>
    </row>
    <row r="2740" spans="1:2" x14ac:dyDescent="0.25">
      <c r="A2740" t="s">
        <v>3977</v>
      </c>
      <c r="B2740" t="s">
        <v>5754</v>
      </c>
    </row>
    <row r="2741" spans="1:2" x14ac:dyDescent="0.25">
      <c r="A2741" t="s">
        <v>400</v>
      </c>
      <c r="B2741" t="s">
        <v>6204</v>
      </c>
    </row>
    <row r="2742" spans="1:2" x14ac:dyDescent="0.25">
      <c r="A2742" t="s">
        <v>4079</v>
      </c>
      <c r="B2742" t="s">
        <v>5904</v>
      </c>
    </row>
    <row r="2743" spans="1:2" x14ac:dyDescent="0.25">
      <c r="A2743" t="s">
        <v>4332</v>
      </c>
      <c r="B2743" t="s">
        <v>5901</v>
      </c>
    </row>
    <row r="2744" spans="1:2" x14ac:dyDescent="0.25">
      <c r="A2744" t="s">
        <v>5011</v>
      </c>
      <c r="B2744" t="s">
        <v>5813</v>
      </c>
    </row>
    <row r="2745" spans="1:2" x14ac:dyDescent="0.25">
      <c r="A2745" t="s">
        <v>415</v>
      </c>
      <c r="B2745" t="s">
        <v>5940</v>
      </c>
    </row>
    <row r="2746" spans="1:2" x14ac:dyDescent="0.25">
      <c r="A2746" t="s">
        <v>4918</v>
      </c>
      <c r="B2746" t="s">
        <v>6073</v>
      </c>
    </row>
    <row r="2747" spans="1:2" x14ac:dyDescent="0.25">
      <c r="A2747" t="s">
        <v>4435</v>
      </c>
      <c r="B2747" t="s">
        <v>5716</v>
      </c>
    </row>
    <row r="2748" spans="1:2" x14ac:dyDescent="0.25">
      <c r="A2748" t="s">
        <v>911</v>
      </c>
      <c r="B2748" t="s">
        <v>5826</v>
      </c>
    </row>
    <row r="2749" spans="1:2" x14ac:dyDescent="0.25">
      <c r="A2749" t="s">
        <v>736</v>
      </c>
      <c r="B2749" t="s">
        <v>5719</v>
      </c>
    </row>
    <row r="2750" spans="1:2" x14ac:dyDescent="0.25">
      <c r="A2750" t="s">
        <v>156</v>
      </c>
      <c r="B2750" t="s">
        <v>5724</v>
      </c>
    </row>
    <row r="2751" spans="1:2" x14ac:dyDescent="0.25">
      <c r="A2751" t="s">
        <v>409</v>
      </c>
      <c r="B2751" t="s">
        <v>5780</v>
      </c>
    </row>
    <row r="2752" spans="1:2" x14ac:dyDescent="0.25">
      <c r="A2752" t="s">
        <v>39</v>
      </c>
      <c r="B2752" t="s">
        <v>5790</v>
      </c>
    </row>
    <row r="2753" spans="1:2" x14ac:dyDescent="0.25">
      <c r="A2753" t="s">
        <v>872</v>
      </c>
      <c r="B2753" t="s">
        <v>5724</v>
      </c>
    </row>
    <row r="2754" spans="1:2" x14ac:dyDescent="0.25">
      <c r="A2754" t="s">
        <v>5537</v>
      </c>
      <c r="B2754" t="s">
        <v>6038</v>
      </c>
    </row>
    <row r="2755" spans="1:2" x14ac:dyDescent="0.25">
      <c r="A2755" t="s">
        <v>4804</v>
      </c>
      <c r="B2755" t="s">
        <v>6749</v>
      </c>
    </row>
    <row r="2756" spans="1:2" x14ac:dyDescent="0.25">
      <c r="A2756" t="s">
        <v>1671</v>
      </c>
      <c r="B2756" t="s">
        <v>6546</v>
      </c>
    </row>
    <row r="2757" spans="1:2" x14ac:dyDescent="0.25">
      <c r="A2757" t="s">
        <v>1021</v>
      </c>
      <c r="B2757" t="s">
        <v>6130</v>
      </c>
    </row>
    <row r="2758" spans="1:2" x14ac:dyDescent="0.25">
      <c r="A2758" t="s">
        <v>2209</v>
      </c>
      <c r="B2758" t="s">
        <v>5859</v>
      </c>
    </row>
    <row r="2759" spans="1:2" x14ac:dyDescent="0.25">
      <c r="A2759" t="s">
        <v>473</v>
      </c>
      <c r="B2759" t="s">
        <v>5984</v>
      </c>
    </row>
    <row r="2760" spans="1:2" x14ac:dyDescent="0.25">
      <c r="A2760" t="s">
        <v>4380</v>
      </c>
      <c r="B2760" t="s">
        <v>5721</v>
      </c>
    </row>
    <row r="2761" spans="1:2" x14ac:dyDescent="0.25">
      <c r="A2761" t="s">
        <v>4867</v>
      </c>
      <c r="B2761" t="s">
        <v>5772</v>
      </c>
    </row>
    <row r="2762" spans="1:2" x14ac:dyDescent="0.25">
      <c r="A2762" t="s">
        <v>4465</v>
      </c>
      <c r="B2762" t="s">
        <v>5734</v>
      </c>
    </row>
    <row r="2763" spans="1:2" x14ac:dyDescent="0.25">
      <c r="A2763" t="s">
        <v>4056</v>
      </c>
      <c r="B2763" t="s">
        <v>5713</v>
      </c>
    </row>
    <row r="2764" spans="1:2" x14ac:dyDescent="0.25">
      <c r="A2764" t="s">
        <v>5691</v>
      </c>
      <c r="B2764" t="s">
        <v>5744</v>
      </c>
    </row>
    <row r="2765" spans="1:2" x14ac:dyDescent="0.25">
      <c r="A2765" t="s">
        <v>2451</v>
      </c>
      <c r="B2765" t="s">
        <v>5768</v>
      </c>
    </row>
    <row r="2766" spans="1:2" x14ac:dyDescent="0.25">
      <c r="A2766" t="s">
        <v>2536</v>
      </c>
      <c r="B2766" t="s">
        <v>5795</v>
      </c>
    </row>
    <row r="2767" spans="1:2" x14ac:dyDescent="0.25">
      <c r="A2767" t="s">
        <v>1220</v>
      </c>
      <c r="B2767" t="s">
        <v>5878</v>
      </c>
    </row>
    <row r="2768" spans="1:2" x14ac:dyDescent="0.25">
      <c r="A2768" t="s">
        <v>2551</v>
      </c>
      <c r="B2768" t="s">
        <v>5831</v>
      </c>
    </row>
    <row r="2769" spans="1:2" x14ac:dyDescent="0.25">
      <c r="A2769" t="s">
        <v>4709</v>
      </c>
      <c r="B2769" t="s">
        <v>5780</v>
      </c>
    </row>
    <row r="2770" spans="1:2" x14ac:dyDescent="0.25">
      <c r="A2770" t="s">
        <v>3400</v>
      </c>
      <c r="B2770" t="s">
        <v>6067</v>
      </c>
    </row>
    <row r="2771" spans="1:2" x14ac:dyDescent="0.25">
      <c r="A2771" t="s">
        <v>4358</v>
      </c>
      <c r="B2771" t="s">
        <v>5884</v>
      </c>
    </row>
    <row r="2772" spans="1:2" x14ac:dyDescent="0.25">
      <c r="A2772" t="s">
        <v>171</v>
      </c>
      <c r="B2772" t="s">
        <v>5797</v>
      </c>
    </row>
    <row r="2773" spans="1:2" x14ac:dyDescent="0.25">
      <c r="A2773" t="s">
        <v>2018</v>
      </c>
      <c r="B2773" t="s">
        <v>6048</v>
      </c>
    </row>
    <row r="2774" spans="1:2" x14ac:dyDescent="0.25">
      <c r="A2774" t="s">
        <v>2949</v>
      </c>
      <c r="B2774" t="s">
        <v>5923</v>
      </c>
    </row>
    <row r="2775" spans="1:2" x14ac:dyDescent="0.25">
      <c r="A2775" t="s">
        <v>4880</v>
      </c>
      <c r="B2775" t="s">
        <v>5724</v>
      </c>
    </row>
    <row r="2776" spans="1:2" x14ac:dyDescent="0.25">
      <c r="A2776" t="s">
        <v>3924</v>
      </c>
      <c r="B2776" t="s">
        <v>5833</v>
      </c>
    </row>
    <row r="2777" spans="1:2" x14ac:dyDescent="0.25">
      <c r="A2777" t="s">
        <v>1743</v>
      </c>
      <c r="B2777" t="s">
        <v>5904</v>
      </c>
    </row>
    <row r="2778" spans="1:2" x14ac:dyDescent="0.25">
      <c r="A2778" t="s">
        <v>354</v>
      </c>
      <c r="B2778" t="s">
        <v>6519</v>
      </c>
    </row>
    <row r="2779" spans="1:2" x14ac:dyDescent="0.25">
      <c r="A2779" t="s">
        <v>824</v>
      </c>
      <c r="B2779" t="s">
        <v>5869</v>
      </c>
    </row>
    <row r="2780" spans="1:2" x14ac:dyDescent="0.25">
      <c r="A2780" t="s">
        <v>3243</v>
      </c>
      <c r="B2780" t="s">
        <v>5719</v>
      </c>
    </row>
    <row r="2781" spans="1:2" x14ac:dyDescent="0.25">
      <c r="A2781" t="s">
        <v>678</v>
      </c>
      <c r="B2781" t="s">
        <v>5787</v>
      </c>
    </row>
    <row r="2782" spans="1:2" x14ac:dyDescent="0.25">
      <c r="A2782" t="s">
        <v>5589</v>
      </c>
      <c r="B2782" t="s">
        <v>5740</v>
      </c>
    </row>
    <row r="2783" spans="1:2" x14ac:dyDescent="0.25">
      <c r="A2783" t="s">
        <v>2333</v>
      </c>
      <c r="B2783" t="s">
        <v>5821</v>
      </c>
    </row>
    <row r="2784" spans="1:2" x14ac:dyDescent="0.25">
      <c r="A2784" t="s">
        <v>4454</v>
      </c>
      <c r="B2784" t="s">
        <v>5788</v>
      </c>
    </row>
    <row r="2785" spans="1:2" x14ac:dyDescent="0.25">
      <c r="A2785" t="s">
        <v>188</v>
      </c>
      <c r="B2785" t="s">
        <v>5713</v>
      </c>
    </row>
    <row r="2786" spans="1:2" x14ac:dyDescent="0.25">
      <c r="A2786" t="s">
        <v>1851</v>
      </c>
      <c r="B2786" t="s">
        <v>6306</v>
      </c>
    </row>
    <row r="2787" spans="1:2" x14ac:dyDescent="0.25">
      <c r="A2787" t="s">
        <v>5149</v>
      </c>
      <c r="B2787" t="s">
        <v>5960</v>
      </c>
    </row>
    <row r="2788" spans="1:2" x14ac:dyDescent="0.25">
      <c r="A2788" t="s">
        <v>4381</v>
      </c>
      <c r="B2788" t="s">
        <v>5728</v>
      </c>
    </row>
    <row r="2789" spans="1:2" x14ac:dyDescent="0.25">
      <c r="A2789" t="s">
        <v>2463</v>
      </c>
      <c r="B2789" t="s">
        <v>5787</v>
      </c>
    </row>
    <row r="2790" spans="1:2" x14ac:dyDescent="0.25">
      <c r="A2790" t="s">
        <v>4831</v>
      </c>
      <c r="B2790" t="s">
        <v>5721</v>
      </c>
    </row>
    <row r="2791" spans="1:2" x14ac:dyDescent="0.25">
      <c r="A2791" t="s">
        <v>4014</v>
      </c>
      <c r="B2791" t="s">
        <v>5855</v>
      </c>
    </row>
    <row r="2792" spans="1:2" x14ac:dyDescent="0.25">
      <c r="A2792" t="s">
        <v>1165</v>
      </c>
      <c r="B2792" t="s">
        <v>6037</v>
      </c>
    </row>
    <row r="2793" spans="1:2" x14ac:dyDescent="0.25">
      <c r="A2793" t="s">
        <v>1471</v>
      </c>
      <c r="B2793" t="s">
        <v>5872</v>
      </c>
    </row>
    <row r="2794" spans="1:2" x14ac:dyDescent="0.25">
      <c r="A2794" t="s">
        <v>3214</v>
      </c>
      <c r="B2794" t="s">
        <v>5865</v>
      </c>
    </row>
    <row r="2795" spans="1:2" x14ac:dyDescent="0.25">
      <c r="A2795" t="s">
        <v>2474</v>
      </c>
      <c r="B2795" t="s">
        <v>5754</v>
      </c>
    </row>
    <row r="2796" spans="1:2" x14ac:dyDescent="0.25">
      <c r="A2796" t="s">
        <v>459</v>
      </c>
      <c r="B2796" t="s">
        <v>5855</v>
      </c>
    </row>
    <row r="2797" spans="1:2" x14ac:dyDescent="0.25">
      <c r="A2797" t="s">
        <v>3794</v>
      </c>
      <c r="B2797" t="s">
        <v>5841</v>
      </c>
    </row>
    <row r="2798" spans="1:2" x14ac:dyDescent="0.25">
      <c r="A2798" t="s">
        <v>779</v>
      </c>
      <c r="B2798" t="s">
        <v>5787</v>
      </c>
    </row>
    <row r="2799" spans="1:2" x14ac:dyDescent="0.25">
      <c r="A2799" t="s">
        <v>645</v>
      </c>
      <c r="B2799" t="s">
        <v>5934</v>
      </c>
    </row>
    <row r="2800" spans="1:2" x14ac:dyDescent="0.25">
      <c r="A2800" t="s">
        <v>3322</v>
      </c>
      <c r="B2800" t="s">
        <v>5903</v>
      </c>
    </row>
    <row r="2801" spans="1:2" x14ac:dyDescent="0.25">
      <c r="A2801" t="s">
        <v>3118</v>
      </c>
      <c r="B2801" t="s">
        <v>5854</v>
      </c>
    </row>
    <row r="2802" spans="1:2" x14ac:dyDescent="0.25">
      <c r="A2802" t="s">
        <v>3455</v>
      </c>
      <c r="B2802" t="s">
        <v>5903</v>
      </c>
    </row>
    <row r="2803" spans="1:2" x14ac:dyDescent="0.25">
      <c r="A2803" t="s">
        <v>4309</v>
      </c>
      <c r="B2803" t="s">
        <v>6066</v>
      </c>
    </row>
    <row r="2804" spans="1:2" x14ac:dyDescent="0.25">
      <c r="A2804" t="s">
        <v>1552</v>
      </c>
      <c r="B2804" t="s">
        <v>5787</v>
      </c>
    </row>
    <row r="2805" spans="1:2" x14ac:dyDescent="0.25">
      <c r="A2805" t="s">
        <v>2868</v>
      </c>
      <c r="B2805" t="s">
        <v>5790</v>
      </c>
    </row>
    <row r="2806" spans="1:2" x14ac:dyDescent="0.25">
      <c r="A2806" t="s">
        <v>5393</v>
      </c>
      <c r="B2806" t="s">
        <v>5852</v>
      </c>
    </row>
    <row r="2807" spans="1:2" x14ac:dyDescent="0.25">
      <c r="A2807" t="s">
        <v>3751</v>
      </c>
      <c r="B2807" t="s">
        <v>5987</v>
      </c>
    </row>
    <row r="2808" spans="1:2" x14ac:dyDescent="0.25">
      <c r="A2808" t="s">
        <v>982</v>
      </c>
      <c r="B2808" t="s">
        <v>5787</v>
      </c>
    </row>
    <row r="2809" spans="1:2" x14ac:dyDescent="0.25">
      <c r="A2809" t="s">
        <v>5698</v>
      </c>
      <c r="B2809" t="s">
        <v>5809</v>
      </c>
    </row>
    <row r="2810" spans="1:2" x14ac:dyDescent="0.25">
      <c r="A2810" t="s">
        <v>3705</v>
      </c>
      <c r="B2810" t="s">
        <v>6493</v>
      </c>
    </row>
    <row r="2811" spans="1:2" x14ac:dyDescent="0.25">
      <c r="A2811" t="s">
        <v>199</v>
      </c>
      <c r="B2811" t="s">
        <v>5794</v>
      </c>
    </row>
    <row r="2812" spans="1:2" x14ac:dyDescent="0.25">
      <c r="A2812" t="s">
        <v>826</v>
      </c>
      <c r="B2812" t="s">
        <v>5787</v>
      </c>
    </row>
    <row r="2813" spans="1:2" x14ac:dyDescent="0.25">
      <c r="A2813" t="s">
        <v>2635</v>
      </c>
      <c r="B2813" t="s">
        <v>6077</v>
      </c>
    </row>
    <row r="2814" spans="1:2" x14ac:dyDescent="0.25">
      <c r="A2814" t="s">
        <v>1161</v>
      </c>
      <c r="B2814" t="s">
        <v>5787</v>
      </c>
    </row>
    <row r="2815" spans="1:2" x14ac:dyDescent="0.25">
      <c r="A2815" t="s">
        <v>9889</v>
      </c>
      <c r="B2815" t="s">
        <v>5830</v>
      </c>
    </row>
    <row r="2816" spans="1:2" x14ac:dyDescent="0.25">
      <c r="A2816" t="s">
        <v>1289</v>
      </c>
      <c r="B2816" t="s">
        <v>6437</v>
      </c>
    </row>
    <row r="2817" spans="1:2" x14ac:dyDescent="0.25">
      <c r="A2817" t="s">
        <v>649</v>
      </c>
      <c r="B2817" t="s">
        <v>5840</v>
      </c>
    </row>
    <row r="2818" spans="1:2" x14ac:dyDescent="0.25">
      <c r="A2818" t="s">
        <v>4566</v>
      </c>
      <c r="B2818" t="s">
        <v>6034</v>
      </c>
    </row>
    <row r="2819" spans="1:2" x14ac:dyDescent="0.25">
      <c r="A2819" t="s">
        <v>4838</v>
      </c>
      <c r="B2819" t="s">
        <v>6144</v>
      </c>
    </row>
    <row r="2820" spans="1:2" x14ac:dyDescent="0.25">
      <c r="A2820" t="s">
        <v>1124</v>
      </c>
      <c r="B2820" t="s">
        <v>5706</v>
      </c>
    </row>
    <row r="2821" spans="1:2" x14ac:dyDescent="0.25">
      <c r="A2821" t="s">
        <v>706</v>
      </c>
      <c r="B2821" t="s">
        <v>6065</v>
      </c>
    </row>
    <row r="2822" spans="1:2" x14ac:dyDescent="0.25">
      <c r="A2822" t="s">
        <v>1088</v>
      </c>
      <c r="B2822" t="s">
        <v>5785</v>
      </c>
    </row>
    <row r="2823" spans="1:2" x14ac:dyDescent="0.25">
      <c r="A2823" t="s">
        <v>873</v>
      </c>
      <c r="B2823" t="s">
        <v>5974</v>
      </c>
    </row>
    <row r="2824" spans="1:2" x14ac:dyDescent="0.25">
      <c r="A2824" t="s">
        <v>968</v>
      </c>
      <c r="B2824" t="s">
        <v>5825</v>
      </c>
    </row>
    <row r="2825" spans="1:2" x14ac:dyDescent="0.25">
      <c r="A2825" t="s">
        <v>224</v>
      </c>
      <c r="B2825" t="s">
        <v>5788</v>
      </c>
    </row>
    <row r="2826" spans="1:2" x14ac:dyDescent="0.25">
      <c r="A2826" t="s">
        <v>2247</v>
      </c>
      <c r="B2826" t="s">
        <v>5754</v>
      </c>
    </row>
    <row r="2827" spans="1:2" x14ac:dyDescent="0.25">
      <c r="A2827" t="s">
        <v>4204</v>
      </c>
      <c r="B2827" t="s">
        <v>5788</v>
      </c>
    </row>
    <row r="2828" spans="1:2" x14ac:dyDescent="0.25">
      <c r="A2828" t="s">
        <v>3132</v>
      </c>
      <c r="B2828" t="s">
        <v>5902</v>
      </c>
    </row>
    <row r="2829" spans="1:2" x14ac:dyDescent="0.25">
      <c r="A2829" t="s">
        <v>5091</v>
      </c>
      <c r="B2829" t="s">
        <v>5787</v>
      </c>
    </row>
    <row r="2830" spans="1:2" x14ac:dyDescent="0.25">
      <c r="A2830" t="s">
        <v>1441</v>
      </c>
      <c r="B2830" t="s">
        <v>6045</v>
      </c>
    </row>
    <row r="2831" spans="1:2" x14ac:dyDescent="0.25">
      <c r="A2831" t="s">
        <v>4091</v>
      </c>
      <c r="B2831" t="s">
        <v>6379</v>
      </c>
    </row>
    <row r="2832" spans="1:2" x14ac:dyDescent="0.25">
      <c r="A2832" t="s">
        <v>1569</v>
      </c>
      <c r="B2832" t="s">
        <v>6169</v>
      </c>
    </row>
    <row r="2833" spans="1:2" x14ac:dyDescent="0.25">
      <c r="A2833" t="s">
        <v>2556</v>
      </c>
      <c r="B2833" t="s">
        <v>6114</v>
      </c>
    </row>
    <row r="2834" spans="1:2" x14ac:dyDescent="0.25">
      <c r="A2834" t="s">
        <v>4818</v>
      </c>
      <c r="B2834" t="s">
        <v>5787</v>
      </c>
    </row>
    <row r="2835" spans="1:2" x14ac:dyDescent="0.25">
      <c r="A2835" t="s">
        <v>4693</v>
      </c>
      <c r="B2835" t="s">
        <v>6164</v>
      </c>
    </row>
    <row r="2836" spans="1:2" x14ac:dyDescent="0.25">
      <c r="A2836" t="s">
        <v>561</v>
      </c>
      <c r="B2836" t="s">
        <v>6260</v>
      </c>
    </row>
    <row r="2837" spans="1:2" x14ac:dyDescent="0.25">
      <c r="A2837" t="s">
        <v>3029</v>
      </c>
      <c r="B2837" t="s">
        <v>5806</v>
      </c>
    </row>
    <row r="2838" spans="1:2" x14ac:dyDescent="0.25">
      <c r="A2838" t="s">
        <v>5390</v>
      </c>
      <c r="B2838" t="s">
        <v>6222</v>
      </c>
    </row>
    <row r="2839" spans="1:2" x14ac:dyDescent="0.25">
      <c r="A2839" t="s">
        <v>557</v>
      </c>
      <c r="B2839" t="s">
        <v>5724</v>
      </c>
    </row>
    <row r="2840" spans="1:2" x14ac:dyDescent="0.25">
      <c r="A2840" t="s">
        <v>446</v>
      </c>
      <c r="B2840" t="s">
        <v>5706</v>
      </c>
    </row>
    <row r="2841" spans="1:2" x14ac:dyDescent="0.25">
      <c r="A2841" t="s">
        <v>864</v>
      </c>
      <c r="B2841" t="s">
        <v>6069</v>
      </c>
    </row>
    <row r="2842" spans="1:2" x14ac:dyDescent="0.25">
      <c r="A2842" t="s">
        <v>3309</v>
      </c>
      <c r="B2842" t="s">
        <v>6783</v>
      </c>
    </row>
    <row r="2843" spans="1:2" x14ac:dyDescent="0.25">
      <c r="A2843" t="s">
        <v>4533</v>
      </c>
      <c r="B2843" t="s">
        <v>6273</v>
      </c>
    </row>
    <row r="2844" spans="1:2" x14ac:dyDescent="0.25">
      <c r="A2844" t="s">
        <v>1027</v>
      </c>
      <c r="B2844" t="s">
        <v>5909</v>
      </c>
    </row>
    <row r="2845" spans="1:2" x14ac:dyDescent="0.25">
      <c r="A2845" t="s">
        <v>1350</v>
      </c>
      <c r="B2845" t="s">
        <v>5823</v>
      </c>
    </row>
    <row r="2846" spans="1:2" x14ac:dyDescent="0.25">
      <c r="A2846" t="s">
        <v>4808</v>
      </c>
      <c r="B2846" t="s">
        <v>5754</v>
      </c>
    </row>
    <row r="2847" spans="1:2" x14ac:dyDescent="0.25">
      <c r="A2847" t="s">
        <v>2594</v>
      </c>
      <c r="B2847" t="s">
        <v>5829</v>
      </c>
    </row>
    <row r="2848" spans="1:2" x14ac:dyDescent="0.25">
      <c r="A2848" t="s">
        <v>5090</v>
      </c>
      <c r="B2848" t="s">
        <v>5768</v>
      </c>
    </row>
    <row r="2849" spans="1:2" x14ac:dyDescent="0.25">
      <c r="A2849" t="s">
        <v>3577</v>
      </c>
      <c r="B2849" t="s">
        <v>5884</v>
      </c>
    </row>
    <row r="2850" spans="1:2" x14ac:dyDescent="0.25">
      <c r="A2850" t="s">
        <v>3255</v>
      </c>
      <c r="B2850" t="s">
        <v>5917</v>
      </c>
    </row>
    <row r="2851" spans="1:2" x14ac:dyDescent="0.25">
      <c r="A2851" t="s">
        <v>376</v>
      </c>
      <c r="B2851" t="s">
        <v>5912</v>
      </c>
    </row>
    <row r="2852" spans="1:2" x14ac:dyDescent="0.25">
      <c r="A2852" t="s">
        <v>2705</v>
      </c>
      <c r="B2852" t="s">
        <v>6129</v>
      </c>
    </row>
    <row r="2853" spans="1:2" x14ac:dyDescent="0.25">
      <c r="A2853" t="s">
        <v>47</v>
      </c>
      <c r="B2853" t="s">
        <v>5806</v>
      </c>
    </row>
    <row r="2854" spans="1:2" x14ac:dyDescent="0.25">
      <c r="A2854" t="s">
        <v>4001</v>
      </c>
      <c r="B2854" t="s">
        <v>5796</v>
      </c>
    </row>
    <row r="2855" spans="1:2" x14ac:dyDescent="0.25">
      <c r="A2855" t="s">
        <v>4153</v>
      </c>
      <c r="B2855" t="s">
        <v>5787</v>
      </c>
    </row>
    <row r="2856" spans="1:2" x14ac:dyDescent="0.25">
      <c r="A2856" t="s">
        <v>719</v>
      </c>
      <c r="B2856" t="s">
        <v>6282</v>
      </c>
    </row>
    <row r="2857" spans="1:2" x14ac:dyDescent="0.25">
      <c r="A2857" t="s">
        <v>2918</v>
      </c>
      <c r="B2857" t="s">
        <v>6371</v>
      </c>
    </row>
    <row r="2858" spans="1:2" x14ac:dyDescent="0.25">
      <c r="A2858" t="s">
        <v>181</v>
      </c>
      <c r="B2858" t="s">
        <v>5787</v>
      </c>
    </row>
    <row r="2859" spans="1:2" x14ac:dyDescent="0.25">
      <c r="A2859" t="s">
        <v>4035</v>
      </c>
      <c r="B2859" t="s">
        <v>5711</v>
      </c>
    </row>
    <row r="2860" spans="1:2" x14ac:dyDescent="0.25">
      <c r="A2860" t="s">
        <v>2799</v>
      </c>
      <c r="B2860" t="s">
        <v>6100</v>
      </c>
    </row>
    <row r="2861" spans="1:2" x14ac:dyDescent="0.25">
      <c r="A2861" t="s">
        <v>756</v>
      </c>
      <c r="B2861" t="s">
        <v>6667</v>
      </c>
    </row>
    <row r="2862" spans="1:2" x14ac:dyDescent="0.25">
      <c r="A2862" t="s">
        <v>5539</v>
      </c>
      <c r="B2862" t="s">
        <v>6646</v>
      </c>
    </row>
    <row r="2863" spans="1:2" x14ac:dyDescent="0.25">
      <c r="A2863" t="s">
        <v>5493</v>
      </c>
      <c r="B2863" t="s">
        <v>5845</v>
      </c>
    </row>
    <row r="2864" spans="1:2" x14ac:dyDescent="0.25">
      <c r="A2864" t="s">
        <v>3986</v>
      </c>
      <c r="B2864" t="s">
        <v>5762</v>
      </c>
    </row>
    <row r="2865" spans="1:2" x14ac:dyDescent="0.25">
      <c r="A2865" t="s">
        <v>4982</v>
      </c>
      <c r="B2865" t="s">
        <v>5787</v>
      </c>
    </row>
    <row r="2866" spans="1:2" x14ac:dyDescent="0.25">
      <c r="A2866" t="s">
        <v>3534</v>
      </c>
      <c r="B2866" t="s">
        <v>6267</v>
      </c>
    </row>
    <row r="2867" spans="1:2" x14ac:dyDescent="0.25">
      <c r="A2867" t="s">
        <v>3404</v>
      </c>
      <c r="B2867" t="s">
        <v>5991</v>
      </c>
    </row>
    <row r="2868" spans="1:2" x14ac:dyDescent="0.25">
      <c r="A2868" t="s">
        <v>1396</v>
      </c>
      <c r="B2868" t="s">
        <v>5861</v>
      </c>
    </row>
    <row r="2869" spans="1:2" x14ac:dyDescent="0.25">
      <c r="A2869" t="s">
        <v>3185</v>
      </c>
      <c r="B2869" t="s">
        <v>6002</v>
      </c>
    </row>
    <row r="2870" spans="1:2" x14ac:dyDescent="0.25">
      <c r="A2870" t="s">
        <v>138</v>
      </c>
      <c r="B2870" t="s">
        <v>5844</v>
      </c>
    </row>
    <row r="2871" spans="1:2" x14ac:dyDescent="0.25">
      <c r="A2871" t="s">
        <v>3748</v>
      </c>
      <c r="B2871" t="s">
        <v>6002</v>
      </c>
    </row>
    <row r="2872" spans="1:2" x14ac:dyDescent="0.25">
      <c r="A2872" t="s">
        <v>1557</v>
      </c>
      <c r="B2872" t="s">
        <v>5879</v>
      </c>
    </row>
    <row r="2873" spans="1:2" x14ac:dyDescent="0.25">
      <c r="A2873" t="s">
        <v>4478</v>
      </c>
      <c r="B2873" t="s">
        <v>5957</v>
      </c>
    </row>
    <row r="2874" spans="1:2" x14ac:dyDescent="0.25">
      <c r="A2874" t="s">
        <v>2827</v>
      </c>
      <c r="B2874" t="s">
        <v>5778</v>
      </c>
    </row>
    <row r="2875" spans="1:2" x14ac:dyDescent="0.25">
      <c r="A2875" t="s">
        <v>4829</v>
      </c>
      <c r="B2875" t="s">
        <v>5802</v>
      </c>
    </row>
    <row r="2876" spans="1:2" x14ac:dyDescent="0.25">
      <c r="A2876" t="s">
        <v>5471</v>
      </c>
      <c r="B2876" t="s">
        <v>6159</v>
      </c>
    </row>
    <row r="2877" spans="1:2" x14ac:dyDescent="0.25">
      <c r="A2877" t="s">
        <v>1207</v>
      </c>
      <c r="B2877" t="s">
        <v>5904</v>
      </c>
    </row>
    <row r="2878" spans="1:2" x14ac:dyDescent="0.25">
      <c r="A2878" t="s">
        <v>4303</v>
      </c>
      <c r="B2878" t="s">
        <v>6301</v>
      </c>
    </row>
    <row r="2879" spans="1:2" x14ac:dyDescent="0.25">
      <c r="A2879" t="s">
        <v>2147</v>
      </c>
      <c r="B2879" t="s">
        <v>6023</v>
      </c>
    </row>
    <row r="2880" spans="1:2" x14ac:dyDescent="0.25">
      <c r="A2880" t="s">
        <v>2116</v>
      </c>
      <c r="B2880" t="s">
        <v>5899</v>
      </c>
    </row>
    <row r="2881" spans="1:2" x14ac:dyDescent="0.25">
      <c r="A2881" t="s">
        <v>3265</v>
      </c>
      <c r="B2881" t="s">
        <v>5800</v>
      </c>
    </row>
    <row r="2882" spans="1:2" x14ac:dyDescent="0.25">
      <c r="A2882" t="s">
        <v>3699</v>
      </c>
      <c r="B2882" t="s">
        <v>5704</v>
      </c>
    </row>
    <row r="2883" spans="1:2" x14ac:dyDescent="0.25">
      <c r="A2883" t="s">
        <v>2559</v>
      </c>
      <c r="B2883" t="s">
        <v>5759</v>
      </c>
    </row>
    <row r="2884" spans="1:2" x14ac:dyDescent="0.25">
      <c r="A2884" t="s">
        <v>2152</v>
      </c>
      <c r="B2884" t="s">
        <v>5704</v>
      </c>
    </row>
    <row r="2885" spans="1:2" x14ac:dyDescent="0.25">
      <c r="A2885" t="s">
        <v>3015</v>
      </c>
      <c r="B2885" t="s">
        <v>5832</v>
      </c>
    </row>
    <row r="2886" spans="1:2" x14ac:dyDescent="0.25">
      <c r="A2886" t="s">
        <v>1870</v>
      </c>
      <c r="B2886" t="s">
        <v>5750</v>
      </c>
    </row>
    <row r="2887" spans="1:2" x14ac:dyDescent="0.25">
      <c r="A2887" t="s">
        <v>655</v>
      </c>
      <c r="B2887" t="s">
        <v>5772</v>
      </c>
    </row>
    <row r="2888" spans="1:2" x14ac:dyDescent="0.25">
      <c r="A2888" t="s">
        <v>661</v>
      </c>
      <c r="B2888" t="s">
        <v>5941</v>
      </c>
    </row>
    <row r="2889" spans="1:2" x14ac:dyDescent="0.25">
      <c r="A2889" t="s">
        <v>1412</v>
      </c>
      <c r="B2889" t="s">
        <v>5986</v>
      </c>
    </row>
    <row r="2890" spans="1:2" x14ac:dyDescent="0.25">
      <c r="A2890" t="s">
        <v>4240</v>
      </c>
      <c r="B2890" t="s">
        <v>5826</v>
      </c>
    </row>
    <row r="2891" spans="1:2" x14ac:dyDescent="0.25">
      <c r="A2891" t="s">
        <v>3010</v>
      </c>
      <c r="B2891" t="s">
        <v>5944</v>
      </c>
    </row>
    <row r="2892" spans="1:2" x14ac:dyDescent="0.25">
      <c r="A2892" t="s">
        <v>4864</v>
      </c>
      <c r="B2892" t="s">
        <v>6331</v>
      </c>
    </row>
    <row r="2893" spans="1:2" x14ac:dyDescent="0.25">
      <c r="A2893" t="s">
        <v>151</v>
      </c>
      <c r="B2893" t="s">
        <v>6072</v>
      </c>
    </row>
    <row r="2894" spans="1:2" x14ac:dyDescent="0.25">
      <c r="A2894" t="s">
        <v>3710</v>
      </c>
      <c r="B2894" t="s">
        <v>6072</v>
      </c>
    </row>
    <row r="2895" spans="1:2" x14ac:dyDescent="0.25">
      <c r="A2895" t="s">
        <v>1391</v>
      </c>
      <c r="B2895" t="s">
        <v>5825</v>
      </c>
    </row>
    <row r="2896" spans="1:2" x14ac:dyDescent="0.25">
      <c r="A2896" t="s">
        <v>1407</v>
      </c>
      <c r="B2896" t="s">
        <v>6744</v>
      </c>
    </row>
    <row r="2897" spans="1:2" x14ac:dyDescent="0.25">
      <c r="A2897" t="s">
        <v>2525</v>
      </c>
      <c r="B2897" t="s">
        <v>5987</v>
      </c>
    </row>
    <row r="2898" spans="1:2" x14ac:dyDescent="0.25">
      <c r="A2898" t="s">
        <v>3199</v>
      </c>
      <c r="B2898" t="s">
        <v>6353</v>
      </c>
    </row>
    <row r="2899" spans="1:2" x14ac:dyDescent="0.25">
      <c r="A2899" t="s">
        <v>2560</v>
      </c>
    </row>
    <row r="2900" spans="1:2" x14ac:dyDescent="0.25">
      <c r="A2900" t="s">
        <v>5578</v>
      </c>
      <c r="B2900" t="s">
        <v>5704</v>
      </c>
    </row>
    <row r="2901" spans="1:2" x14ac:dyDescent="0.25">
      <c r="A2901" t="s">
        <v>3302</v>
      </c>
      <c r="B2901">
        <v>0</v>
      </c>
    </row>
    <row r="2902" spans="1:2" x14ac:dyDescent="0.25">
      <c r="A2902" t="s">
        <v>898</v>
      </c>
      <c r="B2902" t="s">
        <v>5787</v>
      </c>
    </row>
    <row r="2903" spans="1:2" x14ac:dyDescent="0.25">
      <c r="A2903" t="s">
        <v>5542</v>
      </c>
      <c r="B2903" t="s">
        <v>5754</v>
      </c>
    </row>
    <row r="2904" spans="1:2" x14ac:dyDescent="0.25">
      <c r="A2904" t="s">
        <v>1223</v>
      </c>
      <c r="B2904" t="s">
        <v>5787</v>
      </c>
    </row>
    <row r="2905" spans="1:2" x14ac:dyDescent="0.25">
      <c r="A2905" t="s">
        <v>3687</v>
      </c>
      <c r="B2905" t="s">
        <v>5788</v>
      </c>
    </row>
    <row r="2906" spans="1:2" x14ac:dyDescent="0.25">
      <c r="A2906" t="s">
        <v>2161</v>
      </c>
      <c r="B2906" t="s">
        <v>6168</v>
      </c>
    </row>
    <row r="2907" spans="1:2" x14ac:dyDescent="0.25">
      <c r="A2907" t="s">
        <v>2342</v>
      </c>
      <c r="B2907" t="s">
        <v>5787</v>
      </c>
    </row>
    <row r="2908" spans="1:2" x14ac:dyDescent="0.25">
      <c r="A2908" t="s">
        <v>1214</v>
      </c>
      <c r="B2908" t="s">
        <v>5963</v>
      </c>
    </row>
    <row r="2909" spans="1:2" x14ac:dyDescent="0.25">
      <c r="A2909" t="s">
        <v>2774</v>
      </c>
      <c r="B2909" t="s">
        <v>5850</v>
      </c>
    </row>
    <row r="2910" spans="1:2" x14ac:dyDescent="0.25">
      <c r="A2910" t="s">
        <v>1912</v>
      </c>
      <c r="B2910" t="s">
        <v>5871</v>
      </c>
    </row>
    <row r="2911" spans="1:2" x14ac:dyDescent="0.25">
      <c r="A2911" t="s">
        <v>3863</v>
      </c>
      <c r="B2911" t="s">
        <v>5789</v>
      </c>
    </row>
    <row r="2912" spans="1:2" x14ac:dyDescent="0.25">
      <c r="A2912" t="s">
        <v>31743</v>
      </c>
      <c r="B2912" t="s">
        <v>5787</v>
      </c>
    </row>
    <row r="2913" spans="1:2" x14ac:dyDescent="0.25">
      <c r="A2913" t="s">
        <v>3069</v>
      </c>
      <c r="B2913">
        <v>0</v>
      </c>
    </row>
    <row r="2914" spans="1:2" x14ac:dyDescent="0.25">
      <c r="A2914" t="s">
        <v>2752</v>
      </c>
      <c r="B2914" t="s">
        <v>5787</v>
      </c>
    </row>
    <row r="2915" spans="1:2" x14ac:dyDescent="0.25">
      <c r="A2915" t="s">
        <v>425</v>
      </c>
      <c r="B2915" t="s">
        <v>5787</v>
      </c>
    </row>
    <row r="2916" spans="1:2" x14ac:dyDescent="0.25">
      <c r="A2916" t="s">
        <v>1581</v>
      </c>
      <c r="B2916" t="s">
        <v>5788</v>
      </c>
    </row>
    <row r="2917" spans="1:2" x14ac:dyDescent="0.25">
      <c r="A2917" t="s">
        <v>5312</v>
      </c>
      <c r="B2917" t="s">
        <v>6114</v>
      </c>
    </row>
    <row r="2918" spans="1:2" x14ac:dyDescent="0.25">
      <c r="A2918" t="s">
        <v>5745</v>
      </c>
      <c r="B2918" t="s">
        <v>5744</v>
      </c>
    </row>
    <row r="2919" spans="1:2" x14ac:dyDescent="0.25">
      <c r="A2919" t="s">
        <v>594</v>
      </c>
      <c r="B2919" t="s">
        <v>5716</v>
      </c>
    </row>
    <row r="2920" spans="1:2" x14ac:dyDescent="0.25">
      <c r="A2920" t="s">
        <v>15</v>
      </c>
      <c r="B2920" t="s">
        <v>5787</v>
      </c>
    </row>
    <row r="2921" spans="1:2" x14ac:dyDescent="0.25">
      <c r="A2921" t="s">
        <v>434</v>
      </c>
      <c r="B2921" t="s">
        <v>6213</v>
      </c>
    </row>
    <row r="2922" spans="1:2" x14ac:dyDescent="0.25">
      <c r="A2922" t="s">
        <v>4411</v>
      </c>
      <c r="B2922" t="s">
        <v>6689</v>
      </c>
    </row>
    <row r="2923" spans="1:2" x14ac:dyDescent="0.25">
      <c r="A2923" t="s">
        <v>1356</v>
      </c>
      <c r="B2923" t="s">
        <v>5818</v>
      </c>
    </row>
    <row r="2924" spans="1:2" x14ac:dyDescent="0.25">
      <c r="A2924" t="s">
        <v>2423</v>
      </c>
      <c r="B2924" t="s">
        <v>6424</v>
      </c>
    </row>
    <row r="2925" spans="1:2" x14ac:dyDescent="0.25">
      <c r="A2925" t="s">
        <v>2685</v>
      </c>
      <c r="B2925" t="s">
        <v>5728</v>
      </c>
    </row>
    <row r="2926" spans="1:2" x14ac:dyDescent="0.25">
      <c r="A2926" t="s">
        <v>4708</v>
      </c>
      <c r="B2926" t="s">
        <v>5737</v>
      </c>
    </row>
    <row r="2927" spans="1:2" x14ac:dyDescent="0.25">
      <c r="A2927" t="s">
        <v>3542</v>
      </c>
      <c r="B2927" t="s">
        <v>6381</v>
      </c>
    </row>
    <row r="2928" spans="1:2" x14ac:dyDescent="0.25">
      <c r="A2928" t="s">
        <v>3655</v>
      </c>
      <c r="B2928" t="s">
        <v>5706</v>
      </c>
    </row>
    <row r="2929" spans="1:2" x14ac:dyDescent="0.25">
      <c r="A2929" t="s">
        <v>2058</v>
      </c>
      <c r="B2929" t="s">
        <v>6027</v>
      </c>
    </row>
    <row r="2930" spans="1:2" x14ac:dyDescent="0.25">
      <c r="A2930" t="s">
        <v>3028</v>
      </c>
      <c r="B2930" t="s">
        <v>6534</v>
      </c>
    </row>
    <row r="2931" spans="1:2" x14ac:dyDescent="0.25">
      <c r="A2931" t="s">
        <v>142</v>
      </c>
      <c r="B2931" t="s">
        <v>5787</v>
      </c>
    </row>
    <row r="2932" spans="1:2" x14ac:dyDescent="0.25">
      <c r="A2932" t="s">
        <v>1374</v>
      </c>
      <c r="B2932" t="s">
        <v>6017</v>
      </c>
    </row>
    <row r="2933" spans="1:2" x14ac:dyDescent="0.25">
      <c r="A2933" t="s">
        <v>1922</v>
      </c>
      <c r="B2933" t="s">
        <v>5792</v>
      </c>
    </row>
    <row r="2934" spans="1:2" x14ac:dyDescent="0.25">
      <c r="A2934" t="s">
        <v>3478</v>
      </c>
      <c r="B2934" t="s">
        <v>5902</v>
      </c>
    </row>
    <row r="2935" spans="1:2" x14ac:dyDescent="0.25">
      <c r="A2935" t="s">
        <v>4451</v>
      </c>
      <c r="B2935" t="s">
        <v>6148</v>
      </c>
    </row>
    <row r="2936" spans="1:2" x14ac:dyDescent="0.25">
      <c r="A2936" t="s">
        <v>3395</v>
      </c>
      <c r="B2936" t="s">
        <v>5747</v>
      </c>
    </row>
    <row r="2937" spans="1:2" x14ac:dyDescent="0.25">
      <c r="A2937" t="s">
        <v>4271</v>
      </c>
      <c r="B2937" t="s">
        <v>5744</v>
      </c>
    </row>
    <row r="2938" spans="1:2" x14ac:dyDescent="0.25">
      <c r="A2938" t="s">
        <v>2566</v>
      </c>
      <c r="B2938" t="s">
        <v>6554</v>
      </c>
    </row>
    <row r="2939" spans="1:2" x14ac:dyDescent="0.25">
      <c r="A2939" t="s">
        <v>2877</v>
      </c>
      <c r="B2939" t="s">
        <v>5787</v>
      </c>
    </row>
    <row r="2940" spans="1:2" x14ac:dyDescent="0.25">
      <c r="A2940" t="s">
        <v>5642</v>
      </c>
      <c r="B2940" t="s">
        <v>5833</v>
      </c>
    </row>
    <row r="2941" spans="1:2" x14ac:dyDescent="0.25">
      <c r="A2941" t="s">
        <v>2358</v>
      </c>
      <c r="B2941" t="s">
        <v>5787</v>
      </c>
    </row>
    <row r="2942" spans="1:2" x14ac:dyDescent="0.25">
      <c r="A2942" t="s">
        <v>2413</v>
      </c>
      <c r="B2942" t="s">
        <v>5904</v>
      </c>
    </row>
    <row r="2943" spans="1:2" x14ac:dyDescent="0.25">
      <c r="A2943" t="s">
        <v>190</v>
      </c>
      <c r="B2943" t="s">
        <v>5724</v>
      </c>
    </row>
    <row r="2944" spans="1:2" x14ac:dyDescent="0.25">
      <c r="A2944" t="s">
        <v>3763</v>
      </c>
      <c r="B2944" t="s">
        <v>6288</v>
      </c>
    </row>
    <row r="2945" spans="1:2" x14ac:dyDescent="0.25">
      <c r="A2945" t="s">
        <v>4051</v>
      </c>
      <c r="B2945" t="s">
        <v>5809</v>
      </c>
    </row>
    <row r="2946" spans="1:2" x14ac:dyDescent="0.25">
      <c r="A2946" t="s">
        <v>5260</v>
      </c>
      <c r="B2946" t="s">
        <v>5873</v>
      </c>
    </row>
    <row r="2947" spans="1:2" x14ac:dyDescent="0.25">
      <c r="A2947" t="s">
        <v>728</v>
      </c>
      <c r="B2947" t="s">
        <v>6337</v>
      </c>
    </row>
    <row r="2948" spans="1:2" x14ac:dyDescent="0.25">
      <c r="A2948" t="s">
        <v>5076</v>
      </c>
      <c r="B2948" t="s">
        <v>5787</v>
      </c>
    </row>
    <row r="2949" spans="1:2" x14ac:dyDescent="0.25">
      <c r="A2949" t="s">
        <v>3789</v>
      </c>
      <c r="B2949" t="s">
        <v>6204</v>
      </c>
    </row>
    <row r="2950" spans="1:2" x14ac:dyDescent="0.25">
      <c r="A2950" t="s">
        <v>4501</v>
      </c>
      <c r="B2950" t="s">
        <v>5788</v>
      </c>
    </row>
    <row r="2951" spans="1:2" x14ac:dyDescent="0.25">
      <c r="A2951" t="s">
        <v>1478</v>
      </c>
      <c r="B2951" t="s">
        <v>6097</v>
      </c>
    </row>
    <row r="2952" spans="1:2" x14ac:dyDescent="0.25">
      <c r="A2952" t="s">
        <v>2170</v>
      </c>
      <c r="B2952" t="s">
        <v>5895</v>
      </c>
    </row>
    <row r="2953" spans="1:2" x14ac:dyDescent="0.25">
      <c r="A2953" t="s">
        <v>4955</v>
      </c>
      <c r="B2953">
        <v>0</v>
      </c>
    </row>
    <row r="2954" spans="1:2" x14ac:dyDescent="0.25">
      <c r="A2954" t="s">
        <v>830</v>
      </c>
      <c r="B2954" t="s">
        <v>6375</v>
      </c>
    </row>
    <row r="2955" spans="1:2" x14ac:dyDescent="0.25">
      <c r="A2955" t="s">
        <v>55</v>
      </c>
      <c r="B2955" t="s">
        <v>5724</v>
      </c>
    </row>
    <row r="2956" spans="1:2" x14ac:dyDescent="0.25">
      <c r="A2956" t="s">
        <v>3768</v>
      </c>
      <c r="B2956" t="s">
        <v>5858</v>
      </c>
    </row>
    <row r="2957" spans="1:2" x14ac:dyDescent="0.25">
      <c r="A2957" t="s">
        <v>621</v>
      </c>
      <c r="B2957" t="s">
        <v>5787</v>
      </c>
    </row>
    <row r="2958" spans="1:2" x14ac:dyDescent="0.25">
      <c r="A2958" t="s">
        <v>602</v>
      </c>
      <c r="B2958" t="s">
        <v>6285</v>
      </c>
    </row>
    <row r="2959" spans="1:2" x14ac:dyDescent="0.25">
      <c r="A2959" t="s">
        <v>1575</v>
      </c>
      <c r="B2959" t="s">
        <v>5824</v>
      </c>
    </row>
    <row r="2960" spans="1:2" x14ac:dyDescent="0.25">
      <c r="A2960" t="s">
        <v>628</v>
      </c>
      <c r="B2960" t="s">
        <v>6474</v>
      </c>
    </row>
    <row r="2961" spans="1:2" x14ac:dyDescent="0.25">
      <c r="A2961" t="s">
        <v>1472</v>
      </c>
      <c r="B2961" t="s">
        <v>5853</v>
      </c>
    </row>
    <row r="2962" spans="1:2" x14ac:dyDescent="0.25">
      <c r="A2962" t="s">
        <v>4928</v>
      </c>
      <c r="B2962" t="s">
        <v>5704</v>
      </c>
    </row>
    <row r="2963" spans="1:2" x14ac:dyDescent="0.25">
      <c r="A2963" t="s">
        <v>4109</v>
      </c>
      <c r="B2963" t="s">
        <v>6020</v>
      </c>
    </row>
    <row r="2964" spans="1:2" x14ac:dyDescent="0.25">
      <c r="A2964" t="s">
        <v>5673</v>
      </c>
      <c r="B2964" t="s">
        <v>5787</v>
      </c>
    </row>
    <row r="2965" spans="1:2" x14ac:dyDescent="0.25">
      <c r="A2965" t="s">
        <v>1405</v>
      </c>
      <c r="B2965" t="s">
        <v>5789</v>
      </c>
    </row>
    <row r="2966" spans="1:2" x14ac:dyDescent="0.25">
      <c r="A2966" t="s">
        <v>1621</v>
      </c>
      <c r="B2966" t="s">
        <v>6629</v>
      </c>
    </row>
    <row r="2967" spans="1:2" x14ac:dyDescent="0.25">
      <c r="A2967" t="s">
        <v>4675</v>
      </c>
      <c r="B2967" t="s">
        <v>5787</v>
      </c>
    </row>
    <row r="2968" spans="1:2" x14ac:dyDescent="0.25">
      <c r="A2968" t="s">
        <v>5580</v>
      </c>
      <c r="B2968" t="s">
        <v>5919</v>
      </c>
    </row>
    <row r="2969" spans="1:2" x14ac:dyDescent="0.25">
      <c r="A2969" t="s">
        <v>494</v>
      </c>
      <c r="B2969" t="s">
        <v>5787</v>
      </c>
    </row>
    <row r="2970" spans="1:2" x14ac:dyDescent="0.25">
      <c r="A2970" t="s">
        <v>4577</v>
      </c>
      <c r="B2970" t="s">
        <v>5787</v>
      </c>
    </row>
    <row r="2971" spans="1:2" x14ac:dyDescent="0.25">
      <c r="A2971" t="s">
        <v>1128</v>
      </c>
      <c r="B2971" t="s">
        <v>5780</v>
      </c>
    </row>
    <row r="2972" spans="1:2" x14ac:dyDescent="0.25">
      <c r="A2972" t="s">
        <v>3994</v>
      </c>
      <c r="B2972" t="s">
        <v>6051</v>
      </c>
    </row>
    <row r="2973" spans="1:2" x14ac:dyDescent="0.25">
      <c r="A2973" t="s">
        <v>4321</v>
      </c>
      <c r="B2973" t="s">
        <v>6113</v>
      </c>
    </row>
    <row r="2974" spans="1:2" x14ac:dyDescent="0.25">
      <c r="A2974" t="s">
        <v>3672</v>
      </c>
      <c r="B2974" t="s">
        <v>5947</v>
      </c>
    </row>
    <row r="2975" spans="1:2" x14ac:dyDescent="0.25">
      <c r="A2975" t="s">
        <v>3509</v>
      </c>
      <c r="B2975" t="s">
        <v>5893</v>
      </c>
    </row>
    <row r="2976" spans="1:2" x14ac:dyDescent="0.25">
      <c r="A2976" t="s">
        <v>264</v>
      </c>
      <c r="B2976" t="s">
        <v>6173</v>
      </c>
    </row>
    <row r="2977" spans="1:2" x14ac:dyDescent="0.25">
      <c r="A2977" t="s">
        <v>3022</v>
      </c>
      <c r="B2977" t="s">
        <v>6193</v>
      </c>
    </row>
    <row r="2978" spans="1:2" x14ac:dyDescent="0.25">
      <c r="A2978" t="s">
        <v>3051</v>
      </c>
      <c r="B2978" t="s">
        <v>6108</v>
      </c>
    </row>
    <row r="2979" spans="1:2" x14ac:dyDescent="0.25">
      <c r="A2979" t="s">
        <v>4323</v>
      </c>
      <c r="B2979" t="s">
        <v>5724</v>
      </c>
    </row>
    <row r="2980" spans="1:2" x14ac:dyDescent="0.25">
      <c r="A2980" t="s">
        <v>2174</v>
      </c>
      <c r="B2980" t="s">
        <v>5837</v>
      </c>
    </row>
    <row r="2981" spans="1:2" x14ac:dyDescent="0.25">
      <c r="A2981" t="s">
        <v>752</v>
      </c>
      <c r="B2981" t="s">
        <v>5787</v>
      </c>
    </row>
    <row r="2982" spans="1:2" x14ac:dyDescent="0.25">
      <c r="A2982" t="s">
        <v>964</v>
      </c>
      <c r="B2982" t="s">
        <v>5766</v>
      </c>
    </row>
    <row r="2983" spans="1:2" x14ac:dyDescent="0.25">
      <c r="A2983" t="s">
        <v>5081</v>
      </c>
      <c r="B2983" t="s">
        <v>5750</v>
      </c>
    </row>
    <row r="2984" spans="1:2" x14ac:dyDescent="0.25">
      <c r="A2984" t="s">
        <v>4426</v>
      </c>
      <c r="B2984" t="s">
        <v>5708</v>
      </c>
    </row>
    <row r="2985" spans="1:2" x14ac:dyDescent="0.25">
      <c r="A2985" t="s">
        <v>3845</v>
      </c>
      <c r="B2985" t="s">
        <v>5719</v>
      </c>
    </row>
    <row r="2986" spans="1:2" x14ac:dyDescent="0.25">
      <c r="A2986" t="s">
        <v>272</v>
      </c>
      <c r="B2986" t="s">
        <v>5704</v>
      </c>
    </row>
    <row r="2987" spans="1:2" x14ac:dyDescent="0.25">
      <c r="A2987" t="s">
        <v>285</v>
      </c>
      <c r="B2987" t="s">
        <v>5788</v>
      </c>
    </row>
    <row r="2988" spans="1:2" x14ac:dyDescent="0.25">
      <c r="A2988" t="s">
        <v>709</v>
      </c>
      <c r="B2988" t="s">
        <v>5815</v>
      </c>
    </row>
    <row r="2989" spans="1:2" x14ac:dyDescent="0.25">
      <c r="A2989" t="s">
        <v>1858</v>
      </c>
      <c r="B2989" t="s">
        <v>6661</v>
      </c>
    </row>
    <row r="2990" spans="1:2" x14ac:dyDescent="0.25">
      <c r="A2990" t="s">
        <v>4341</v>
      </c>
      <c r="B2990" t="s">
        <v>5787</v>
      </c>
    </row>
    <row r="2991" spans="1:2" x14ac:dyDescent="0.25">
      <c r="A2991" t="s">
        <v>5413</v>
      </c>
      <c r="B2991" t="s">
        <v>5903</v>
      </c>
    </row>
    <row r="2992" spans="1:2" x14ac:dyDescent="0.25">
      <c r="A2992" t="s">
        <v>1951</v>
      </c>
      <c r="B2992" t="s">
        <v>6395</v>
      </c>
    </row>
    <row r="2993" spans="1:2" x14ac:dyDescent="0.25">
      <c r="A2993" t="s">
        <v>2628</v>
      </c>
      <c r="B2993" t="s">
        <v>6543</v>
      </c>
    </row>
    <row r="2994" spans="1:2" x14ac:dyDescent="0.25">
      <c r="A2994" t="s">
        <v>125</v>
      </c>
      <c r="B2994" t="s">
        <v>5757</v>
      </c>
    </row>
    <row r="2995" spans="1:2" x14ac:dyDescent="0.25">
      <c r="A2995" t="s">
        <v>2254</v>
      </c>
      <c r="B2995" t="s">
        <v>5811</v>
      </c>
    </row>
    <row r="2996" spans="1:2" x14ac:dyDescent="0.25">
      <c r="A2996" t="s">
        <v>2007</v>
      </c>
      <c r="B2996" t="s">
        <v>5787</v>
      </c>
    </row>
    <row r="2997" spans="1:2" x14ac:dyDescent="0.25">
      <c r="A2997" t="s">
        <v>5523</v>
      </c>
    </row>
    <row r="2998" spans="1:2" x14ac:dyDescent="0.25">
      <c r="A2998" t="s">
        <v>2401</v>
      </c>
      <c r="B2998" t="s">
        <v>5787</v>
      </c>
    </row>
    <row r="2999" spans="1:2" x14ac:dyDescent="0.25">
      <c r="A2999" t="s">
        <v>3370</v>
      </c>
      <c r="B2999" t="s">
        <v>5787</v>
      </c>
    </row>
    <row r="3000" spans="1:2" x14ac:dyDescent="0.25">
      <c r="A3000" t="s">
        <v>5028</v>
      </c>
      <c r="B3000" t="s">
        <v>5787</v>
      </c>
    </row>
    <row r="3001" spans="1:2" x14ac:dyDescent="0.25">
      <c r="A3001" t="s">
        <v>5678</v>
      </c>
      <c r="B3001" t="s">
        <v>5787</v>
      </c>
    </row>
    <row r="3002" spans="1:2" x14ac:dyDescent="0.25">
      <c r="A3002" t="s">
        <v>4363</v>
      </c>
      <c r="B3002" t="s">
        <v>5704</v>
      </c>
    </row>
    <row r="3003" spans="1:2" x14ac:dyDescent="0.25">
      <c r="A3003" t="s">
        <v>4142</v>
      </c>
      <c r="B3003" t="s">
        <v>6560</v>
      </c>
    </row>
    <row r="3004" spans="1:2" x14ac:dyDescent="0.25">
      <c r="A3004" t="s">
        <v>3588</v>
      </c>
      <c r="B3004" t="s">
        <v>6215</v>
      </c>
    </row>
    <row r="3005" spans="1:2" x14ac:dyDescent="0.25">
      <c r="A3005" t="s">
        <v>2428</v>
      </c>
      <c r="B3005" t="s">
        <v>6409</v>
      </c>
    </row>
    <row r="3006" spans="1:2" x14ac:dyDescent="0.25">
      <c r="A3006" t="s">
        <v>2098</v>
      </c>
      <c r="B3006" t="s">
        <v>6055</v>
      </c>
    </row>
    <row r="3007" spans="1:2" x14ac:dyDescent="0.25">
      <c r="A3007" t="s">
        <v>3560</v>
      </c>
      <c r="B3007" t="s">
        <v>6124</v>
      </c>
    </row>
    <row r="3008" spans="1:2" x14ac:dyDescent="0.25">
      <c r="A3008" t="s">
        <v>5065</v>
      </c>
      <c r="B3008" t="s">
        <v>6046</v>
      </c>
    </row>
    <row r="3009" spans="1:2" x14ac:dyDescent="0.25">
      <c r="A3009" t="s">
        <v>390</v>
      </c>
      <c r="B3009">
        <v>0</v>
      </c>
    </row>
    <row r="3010" spans="1:2" x14ac:dyDescent="0.25">
      <c r="A3010" t="s">
        <v>4937</v>
      </c>
      <c r="B3010" t="s">
        <v>5787</v>
      </c>
    </row>
    <row r="3011" spans="1:2" x14ac:dyDescent="0.25">
      <c r="A3011" t="s">
        <v>4747</v>
      </c>
      <c r="B3011">
        <v>0</v>
      </c>
    </row>
    <row r="3012" spans="1:2" x14ac:dyDescent="0.25">
      <c r="A3012" t="s">
        <v>5535</v>
      </c>
      <c r="B3012" t="s">
        <v>5876</v>
      </c>
    </row>
    <row r="3013" spans="1:2" x14ac:dyDescent="0.25">
      <c r="A3013" t="s">
        <v>3018</v>
      </c>
      <c r="B3013" t="s">
        <v>5963</v>
      </c>
    </row>
    <row r="3014" spans="1:2" x14ac:dyDescent="0.25">
      <c r="A3014" t="s">
        <v>1052</v>
      </c>
      <c r="B3014" t="s">
        <v>6090</v>
      </c>
    </row>
    <row r="3015" spans="1:2" x14ac:dyDescent="0.25">
      <c r="A3015" t="s">
        <v>2573</v>
      </c>
      <c r="B3015" t="s">
        <v>5818</v>
      </c>
    </row>
    <row r="3016" spans="1:2" x14ac:dyDescent="0.25">
      <c r="A3016" t="s">
        <v>3087</v>
      </c>
      <c r="B3016" t="s">
        <v>5975</v>
      </c>
    </row>
    <row r="3017" spans="1:2" x14ac:dyDescent="0.25">
      <c r="A3017" t="s">
        <v>1727</v>
      </c>
      <c r="B3017" t="s">
        <v>6677</v>
      </c>
    </row>
    <row r="3018" spans="1:2" x14ac:dyDescent="0.25">
      <c r="A3018" t="s">
        <v>5031</v>
      </c>
      <c r="B3018" t="s">
        <v>5947</v>
      </c>
    </row>
    <row r="3019" spans="1:2" x14ac:dyDescent="0.25">
      <c r="A3019" t="s">
        <v>5049</v>
      </c>
      <c r="B3019" t="s">
        <v>6517</v>
      </c>
    </row>
    <row r="3020" spans="1:2" x14ac:dyDescent="0.25">
      <c r="A3020" t="s">
        <v>4787</v>
      </c>
      <c r="B3020" t="s">
        <v>6614</v>
      </c>
    </row>
    <row r="3021" spans="1:2" x14ac:dyDescent="0.25">
      <c r="A3021" t="s">
        <v>1499</v>
      </c>
      <c r="B3021" t="s">
        <v>6518</v>
      </c>
    </row>
    <row r="3022" spans="1:2" x14ac:dyDescent="0.25">
      <c r="A3022" t="s">
        <v>1643</v>
      </c>
      <c r="B3022" t="s">
        <v>5801</v>
      </c>
    </row>
    <row r="3023" spans="1:2" x14ac:dyDescent="0.25">
      <c r="A3023" t="s">
        <v>1379</v>
      </c>
      <c r="B3023" t="s">
        <v>5966</v>
      </c>
    </row>
    <row r="3024" spans="1:2" x14ac:dyDescent="0.25">
      <c r="A3024" t="s">
        <v>3417</v>
      </c>
      <c r="B3024" t="s">
        <v>6090</v>
      </c>
    </row>
    <row r="3025" spans="1:2" x14ac:dyDescent="0.25">
      <c r="A3025" t="s">
        <v>295</v>
      </c>
      <c r="B3025" t="s">
        <v>5965</v>
      </c>
    </row>
    <row r="3026" spans="1:2" x14ac:dyDescent="0.25">
      <c r="A3026" t="s">
        <v>593</v>
      </c>
      <c r="B3026" t="s">
        <v>5891</v>
      </c>
    </row>
    <row r="3027" spans="1:2" x14ac:dyDescent="0.25">
      <c r="A3027" t="s">
        <v>3843</v>
      </c>
      <c r="B3027" t="s">
        <v>5785</v>
      </c>
    </row>
    <row r="3028" spans="1:2" x14ac:dyDescent="0.25">
      <c r="A3028" t="s">
        <v>2407</v>
      </c>
      <c r="B3028" t="s">
        <v>5785</v>
      </c>
    </row>
    <row r="3029" spans="1:2" x14ac:dyDescent="0.25">
      <c r="A3029" t="s">
        <v>3294</v>
      </c>
      <c r="B3029" t="s">
        <v>5810</v>
      </c>
    </row>
    <row r="3030" spans="1:2" x14ac:dyDescent="0.25">
      <c r="A3030" t="s">
        <v>1739</v>
      </c>
      <c r="B3030" t="s">
        <v>5984</v>
      </c>
    </row>
    <row r="3031" spans="1:2" x14ac:dyDescent="0.25">
      <c r="A3031" t="s">
        <v>104</v>
      </c>
      <c r="B3031" t="s">
        <v>5787</v>
      </c>
    </row>
    <row r="3032" spans="1:2" x14ac:dyDescent="0.25">
      <c r="A3032" t="s">
        <v>4694</v>
      </c>
      <c r="B3032" t="s">
        <v>6070</v>
      </c>
    </row>
    <row r="3033" spans="1:2" x14ac:dyDescent="0.25">
      <c r="A3033" t="s">
        <v>2372</v>
      </c>
      <c r="B3033" t="s">
        <v>5839</v>
      </c>
    </row>
    <row r="3034" spans="1:2" x14ac:dyDescent="0.25">
      <c r="A3034" t="s">
        <v>2442</v>
      </c>
      <c r="B3034" t="s">
        <v>5787</v>
      </c>
    </row>
    <row r="3035" spans="1:2" x14ac:dyDescent="0.25">
      <c r="A3035" t="s">
        <v>3753</v>
      </c>
      <c r="B3035" t="s">
        <v>5787</v>
      </c>
    </row>
    <row r="3036" spans="1:2" x14ac:dyDescent="0.25">
      <c r="A3036" t="s">
        <v>2422</v>
      </c>
      <c r="B3036" t="s">
        <v>5795</v>
      </c>
    </row>
    <row r="3037" spans="1:2" x14ac:dyDescent="0.25">
      <c r="A3037" t="s">
        <v>2874</v>
      </c>
      <c r="B3037" t="s">
        <v>5814</v>
      </c>
    </row>
    <row r="3038" spans="1:2" x14ac:dyDescent="0.25">
      <c r="A3038" t="s">
        <v>3569</v>
      </c>
      <c r="B3038" t="s">
        <v>5824</v>
      </c>
    </row>
    <row r="3039" spans="1:2" x14ac:dyDescent="0.25">
      <c r="A3039" t="s">
        <v>5365</v>
      </c>
      <c r="B3039" t="s">
        <v>5844</v>
      </c>
    </row>
    <row r="3040" spans="1:2" x14ac:dyDescent="0.25">
      <c r="A3040" t="s">
        <v>1066</v>
      </c>
      <c r="B3040" t="s">
        <v>6337</v>
      </c>
    </row>
    <row r="3041" spans="1:2" x14ac:dyDescent="0.25">
      <c r="A3041" t="s">
        <v>4627</v>
      </c>
      <c r="B3041" t="s">
        <v>5877</v>
      </c>
    </row>
    <row r="3042" spans="1:2" x14ac:dyDescent="0.25">
      <c r="A3042" t="s">
        <v>4071</v>
      </c>
      <c r="B3042" t="s">
        <v>5752</v>
      </c>
    </row>
    <row r="3043" spans="1:2" x14ac:dyDescent="0.25">
      <c r="A3043" t="s">
        <v>4684</v>
      </c>
      <c r="B3043" t="s">
        <v>5704</v>
      </c>
    </row>
    <row r="3044" spans="1:2" x14ac:dyDescent="0.25">
      <c r="A3044" t="s">
        <v>985</v>
      </c>
      <c r="B3044" t="s">
        <v>5810</v>
      </c>
    </row>
    <row r="3045" spans="1:2" x14ac:dyDescent="0.25">
      <c r="A3045" t="s">
        <v>2653</v>
      </c>
      <c r="B3045" t="s">
        <v>5730</v>
      </c>
    </row>
    <row r="3046" spans="1:2" x14ac:dyDescent="0.25">
      <c r="A3046" t="s">
        <v>4301</v>
      </c>
      <c r="B3046" t="s">
        <v>5790</v>
      </c>
    </row>
    <row r="3047" spans="1:2" x14ac:dyDescent="0.25">
      <c r="A3047" t="s">
        <v>3125</v>
      </c>
      <c r="B3047" t="s">
        <v>5906</v>
      </c>
    </row>
    <row r="3048" spans="1:2" x14ac:dyDescent="0.25">
      <c r="A3048" t="s">
        <v>558</v>
      </c>
      <c r="B3048" t="s">
        <v>5806</v>
      </c>
    </row>
    <row r="3049" spans="1:2" x14ac:dyDescent="0.25">
      <c r="A3049" t="s">
        <v>4932</v>
      </c>
      <c r="B3049" t="s">
        <v>6357</v>
      </c>
    </row>
    <row r="3050" spans="1:2" x14ac:dyDescent="0.25">
      <c r="A3050" t="s">
        <v>5050</v>
      </c>
      <c r="B3050" t="s">
        <v>5728</v>
      </c>
    </row>
    <row r="3051" spans="1:2" x14ac:dyDescent="0.25">
      <c r="A3051" t="s">
        <v>4589</v>
      </c>
      <c r="B3051" t="s">
        <v>5787</v>
      </c>
    </row>
    <row r="3052" spans="1:2" x14ac:dyDescent="0.25">
      <c r="A3052" t="s">
        <v>18</v>
      </c>
      <c r="B3052" t="s">
        <v>5787</v>
      </c>
    </row>
    <row r="3053" spans="1:2" x14ac:dyDescent="0.25">
      <c r="A3053" t="s">
        <v>2027</v>
      </c>
      <c r="B3053" t="s">
        <v>5876</v>
      </c>
    </row>
    <row r="3054" spans="1:2" x14ac:dyDescent="0.25">
      <c r="A3054" t="s">
        <v>3935</v>
      </c>
      <c r="B3054">
        <v>0</v>
      </c>
    </row>
    <row r="3055" spans="1:2" x14ac:dyDescent="0.25">
      <c r="A3055" t="s">
        <v>2801</v>
      </c>
      <c r="B3055" t="s">
        <v>5877</v>
      </c>
    </row>
    <row r="3056" spans="1:2" x14ac:dyDescent="0.25">
      <c r="A3056" t="s">
        <v>2208</v>
      </c>
      <c r="B3056" t="s">
        <v>6040</v>
      </c>
    </row>
    <row r="3057" spans="1:2" x14ac:dyDescent="0.25">
      <c r="A3057" t="s">
        <v>1436</v>
      </c>
      <c r="B3057" t="s">
        <v>6053</v>
      </c>
    </row>
    <row r="3058" spans="1:2" x14ac:dyDescent="0.25">
      <c r="A3058" t="s">
        <v>3910</v>
      </c>
      <c r="B3058" t="s">
        <v>6140</v>
      </c>
    </row>
    <row r="3059" spans="1:2" x14ac:dyDescent="0.25">
      <c r="A3059" t="s">
        <v>1899</v>
      </c>
      <c r="B3059" t="s">
        <v>6453</v>
      </c>
    </row>
    <row r="3060" spans="1:2" x14ac:dyDescent="0.25">
      <c r="A3060" t="s">
        <v>5299</v>
      </c>
      <c r="B3060" t="s">
        <v>5740</v>
      </c>
    </row>
    <row r="3061" spans="1:2" x14ac:dyDescent="0.25">
      <c r="A3061" t="s">
        <v>2505</v>
      </c>
      <c r="B3061" t="s">
        <v>5721</v>
      </c>
    </row>
    <row r="3062" spans="1:2" x14ac:dyDescent="0.25">
      <c r="A3062" t="s">
        <v>653</v>
      </c>
      <c r="B3062" t="s">
        <v>6298</v>
      </c>
    </row>
    <row r="3063" spans="1:2" x14ac:dyDescent="0.25">
      <c r="A3063" t="s">
        <v>3528</v>
      </c>
      <c r="B3063" t="s">
        <v>5787</v>
      </c>
    </row>
    <row r="3064" spans="1:2" x14ac:dyDescent="0.25">
      <c r="A3064" t="s">
        <v>2593</v>
      </c>
      <c r="B3064" t="s">
        <v>5879</v>
      </c>
    </row>
    <row r="3065" spans="1:2" x14ac:dyDescent="0.25">
      <c r="A3065" t="s">
        <v>3040</v>
      </c>
      <c r="B3065" t="s">
        <v>5787</v>
      </c>
    </row>
    <row r="3066" spans="1:2" x14ac:dyDescent="0.25">
      <c r="A3066" t="s">
        <v>363</v>
      </c>
      <c r="B3066" t="s">
        <v>5787</v>
      </c>
    </row>
    <row r="3067" spans="1:2" x14ac:dyDescent="0.25">
      <c r="A3067" t="s">
        <v>482</v>
      </c>
      <c r="B3067" t="s">
        <v>5787</v>
      </c>
    </row>
    <row r="3068" spans="1:2" x14ac:dyDescent="0.25">
      <c r="A3068" t="s">
        <v>4220</v>
      </c>
      <c r="B3068" t="s">
        <v>6343</v>
      </c>
    </row>
    <row r="3069" spans="1:2" x14ac:dyDescent="0.25">
      <c r="A3069" t="s">
        <v>748</v>
      </c>
      <c r="B3069" t="s">
        <v>6616</v>
      </c>
    </row>
    <row r="3070" spans="1:2" x14ac:dyDescent="0.25">
      <c r="A3070" t="s">
        <v>5546</v>
      </c>
      <c r="B3070" t="s">
        <v>5956</v>
      </c>
    </row>
    <row r="3071" spans="1:2" x14ac:dyDescent="0.25">
      <c r="A3071" t="s">
        <v>3591</v>
      </c>
      <c r="B3071" t="s">
        <v>5787</v>
      </c>
    </row>
    <row r="3072" spans="1:2" x14ac:dyDescent="0.25">
      <c r="A3072" t="s">
        <v>4699</v>
      </c>
      <c r="B3072" t="s">
        <v>5787</v>
      </c>
    </row>
    <row r="3073" spans="1:2" x14ac:dyDescent="0.25">
      <c r="A3073" t="s">
        <v>4629</v>
      </c>
      <c r="B3073">
        <v>0</v>
      </c>
    </row>
    <row r="3074" spans="1:2" x14ac:dyDescent="0.25">
      <c r="A3074" t="s">
        <v>1651</v>
      </c>
      <c r="B3074" t="s">
        <v>5787</v>
      </c>
    </row>
    <row r="3075" spans="1:2" x14ac:dyDescent="0.25">
      <c r="A3075" t="s">
        <v>2512</v>
      </c>
      <c r="B3075" t="s">
        <v>6525</v>
      </c>
    </row>
    <row r="3076" spans="1:2" x14ac:dyDescent="0.25">
      <c r="A3076" t="s">
        <v>3354</v>
      </c>
      <c r="B3076" t="s">
        <v>5787</v>
      </c>
    </row>
    <row r="3077" spans="1:2" x14ac:dyDescent="0.25">
      <c r="A3077" t="s">
        <v>2502</v>
      </c>
      <c r="B3077" t="s">
        <v>5787</v>
      </c>
    </row>
    <row r="3078" spans="1:2" x14ac:dyDescent="0.25">
      <c r="A3078" t="s">
        <v>5612</v>
      </c>
      <c r="B3078" t="s">
        <v>6092</v>
      </c>
    </row>
    <row r="3079" spans="1:2" x14ac:dyDescent="0.25">
      <c r="A3079" t="s">
        <v>2789</v>
      </c>
      <c r="B3079" t="s">
        <v>6780</v>
      </c>
    </row>
    <row r="3080" spans="1:2" x14ac:dyDescent="0.25">
      <c r="A3080" t="s">
        <v>5256</v>
      </c>
      <c r="B3080" t="s">
        <v>6095</v>
      </c>
    </row>
    <row r="3081" spans="1:2" x14ac:dyDescent="0.25">
      <c r="A3081" t="s">
        <v>1551</v>
      </c>
      <c r="B3081" t="s">
        <v>5787</v>
      </c>
    </row>
    <row r="3082" spans="1:2" x14ac:dyDescent="0.25">
      <c r="A3082" t="s">
        <v>4089</v>
      </c>
      <c r="B3082" t="s">
        <v>5787</v>
      </c>
    </row>
    <row r="3083" spans="1:2" x14ac:dyDescent="0.25">
      <c r="A3083" t="s">
        <v>4464</v>
      </c>
      <c r="B3083" t="s">
        <v>5740</v>
      </c>
    </row>
    <row r="3084" spans="1:2" x14ac:dyDescent="0.25">
      <c r="A3084" t="s">
        <v>1024</v>
      </c>
      <c r="B3084" t="s">
        <v>5828</v>
      </c>
    </row>
    <row r="3085" spans="1:2" x14ac:dyDescent="0.25">
      <c r="A3085" t="s">
        <v>1371</v>
      </c>
      <c r="B3085" t="s">
        <v>5794</v>
      </c>
    </row>
    <row r="3086" spans="1:2" x14ac:dyDescent="0.25">
      <c r="A3086" t="s">
        <v>1622</v>
      </c>
      <c r="B3086" t="s">
        <v>5812</v>
      </c>
    </row>
    <row r="3087" spans="1:2" x14ac:dyDescent="0.25">
      <c r="A3087" t="s">
        <v>3097</v>
      </c>
      <c r="B3087" t="s">
        <v>6012</v>
      </c>
    </row>
    <row r="3088" spans="1:2" x14ac:dyDescent="0.25">
      <c r="A3088" t="s">
        <v>978</v>
      </c>
      <c r="B3088" t="s">
        <v>6212</v>
      </c>
    </row>
    <row r="3089" spans="1:2" x14ac:dyDescent="0.25">
      <c r="A3089" t="s">
        <v>2647</v>
      </c>
      <c r="B3089" t="s">
        <v>5737</v>
      </c>
    </row>
    <row r="3090" spans="1:2" x14ac:dyDescent="0.25">
      <c r="A3090" t="s">
        <v>3573</v>
      </c>
      <c r="B3090" t="s">
        <v>5713</v>
      </c>
    </row>
    <row r="3091" spans="1:2" x14ac:dyDescent="0.25">
      <c r="A3091" t="s">
        <v>1028</v>
      </c>
      <c r="B3091" t="s">
        <v>5713</v>
      </c>
    </row>
    <row r="3092" spans="1:2" x14ac:dyDescent="0.25">
      <c r="A3092" t="s">
        <v>424</v>
      </c>
      <c r="B3092" t="s">
        <v>5737</v>
      </c>
    </row>
    <row r="3093" spans="1:2" x14ac:dyDescent="0.25">
      <c r="A3093" t="s">
        <v>1173</v>
      </c>
      <c r="B3093" t="s">
        <v>6307</v>
      </c>
    </row>
    <row r="3094" spans="1:2" x14ac:dyDescent="0.25">
      <c r="A3094" t="s">
        <v>809</v>
      </c>
      <c r="B3094" t="s">
        <v>5721</v>
      </c>
    </row>
    <row r="3095" spans="1:2" x14ac:dyDescent="0.25">
      <c r="A3095" t="s">
        <v>4207</v>
      </c>
      <c r="B3095" t="s">
        <v>5730</v>
      </c>
    </row>
    <row r="3096" spans="1:2" x14ac:dyDescent="0.25">
      <c r="A3096" t="s">
        <v>2554</v>
      </c>
      <c r="B3096" t="s">
        <v>5801</v>
      </c>
    </row>
    <row r="3097" spans="1:2" x14ac:dyDescent="0.25">
      <c r="A3097" t="s">
        <v>3849</v>
      </c>
      <c r="B3097" t="s">
        <v>6247</v>
      </c>
    </row>
    <row r="3098" spans="1:2" x14ac:dyDescent="0.25">
      <c r="A3098" t="s">
        <v>4203</v>
      </c>
      <c r="B3098" t="s">
        <v>5787</v>
      </c>
    </row>
    <row r="3099" spans="1:2" x14ac:dyDescent="0.25">
      <c r="A3099" t="s">
        <v>741</v>
      </c>
      <c r="B3099" t="s">
        <v>5713</v>
      </c>
    </row>
    <row r="3100" spans="1:2" x14ac:dyDescent="0.25">
      <c r="A3100" t="s">
        <v>5406</v>
      </c>
      <c r="B3100" t="s">
        <v>5750</v>
      </c>
    </row>
    <row r="3101" spans="1:2" x14ac:dyDescent="0.25">
      <c r="A3101" t="s">
        <v>4718</v>
      </c>
      <c r="B3101" t="s">
        <v>5993</v>
      </c>
    </row>
    <row r="3102" spans="1:2" x14ac:dyDescent="0.25">
      <c r="A3102" t="s">
        <v>1102</v>
      </c>
      <c r="B3102" t="s">
        <v>5787</v>
      </c>
    </row>
    <row r="3103" spans="1:2" x14ac:dyDescent="0.25">
      <c r="A3103" t="s">
        <v>5443</v>
      </c>
      <c r="B3103" t="s">
        <v>5766</v>
      </c>
    </row>
    <row r="3104" spans="1:2" x14ac:dyDescent="0.25">
      <c r="A3104" t="s">
        <v>1490</v>
      </c>
      <c r="B3104" t="s">
        <v>5906</v>
      </c>
    </row>
    <row r="3105" spans="1:2" x14ac:dyDescent="0.25">
      <c r="A3105" t="s">
        <v>2561</v>
      </c>
      <c r="B3105" t="s">
        <v>6191</v>
      </c>
    </row>
    <row r="3106" spans="1:2" x14ac:dyDescent="0.25">
      <c r="A3106" t="s">
        <v>291</v>
      </c>
      <c r="B3106" t="s">
        <v>5794</v>
      </c>
    </row>
    <row r="3107" spans="1:2" x14ac:dyDescent="0.25">
      <c r="A3107" t="s">
        <v>232</v>
      </c>
      <c r="B3107" t="s">
        <v>6008</v>
      </c>
    </row>
    <row r="3108" spans="1:2" x14ac:dyDescent="0.25">
      <c r="A3108" t="s">
        <v>2580</v>
      </c>
      <c r="B3108" t="s">
        <v>5814</v>
      </c>
    </row>
    <row r="3109" spans="1:2" x14ac:dyDescent="0.25">
      <c r="A3109" t="s">
        <v>4094</v>
      </c>
      <c r="B3109" t="s">
        <v>5787</v>
      </c>
    </row>
    <row r="3110" spans="1:2" x14ac:dyDescent="0.25">
      <c r="A3110" t="s">
        <v>4373</v>
      </c>
      <c r="B3110" t="s">
        <v>5809</v>
      </c>
    </row>
    <row r="3111" spans="1:2" x14ac:dyDescent="0.25">
      <c r="A3111" t="s">
        <v>3862</v>
      </c>
      <c r="B3111" t="s">
        <v>5787</v>
      </c>
    </row>
    <row r="3112" spans="1:2" x14ac:dyDescent="0.25">
      <c r="A3112" t="s">
        <v>4392</v>
      </c>
      <c r="B3112" t="s">
        <v>5706</v>
      </c>
    </row>
    <row r="3113" spans="1:2" x14ac:dyDescent="0.25">
      <c r="A3113" t="s">
        <v>3612</v>
      </c>
      <c r="B3113" t="s">
        <v>5785</v>
      </c>
    </row>
    <row r="3114" spans="1:2" x14ac:dyDescent="0.25">
      <c r="A3114" t="s">
        <v>2193</v>
      </c>
      <c r="B3114" t="s">
        <v>5898</v>
      </c>
    </row>
    <row r="3115" spans="1:2" x14ac:dyDescent="0.25">
      <c r="A3115" t="s">
        <v>496</v>
      </c>
      <c r="B3115" t="s">
        <v>6683</v>
      </c>
    </row>
    <row r="3116" spans="1:2" x14ac:dyDescent="0.25">
      <c r="A3116" t="s">
        <v>1901</v>
      </c>
      <c r="B3116" t="s">
        <v>6595</v>
      </c>
    </row>
    <row r="3117" spans="1:2" x14ac:dyDescent="0.25">
      <c r="A3117" t="s">
        <v>5414</v>
      </c>
      <c r="B3117" t="s">
        <v>6317</v>
      </c>
    </row>
    <row r="3118" spans="1:2" x14ac:dyDescent="0.25">
      <c r="A3118" t="s">
        <v>3793</v>
      </c>
      <c r="B3118" t="s">
        <v>5882</v>
      </c>
    </row>
    <row r="3119" spans="1:2" x14ac:dyDescent="0.25">
      <c r="A3119" t="s">
        <v>837</v>
      </c>
      <c r="B3119" t="s">
        <v>5819</v>
      </c>
    </row>
    <row r="3120" spans="1:2" x14ac:dyDescent="0.25">
      <c r="A3120" t="s">
        <v>2380</v>
      </c>
      <c r="B3120" t="s">
        <v>5824</v>
      </c>
    </row>
    <row r="3121" spans="1:2" x14ac:dyDescent="0.25">
      <c r="A3121" t="s">
        <v>5159</v>
      </c>
      <c r="B3121" t="s">
        <v>5854</v>
      </c>
    </row>
    <row r="3122" spans="1:2" x14ac:dyDescent="0.25">
      <c r="A3122" t="s">
        <v>1635</v>
      </c>
      <c r="B3122" t="s">
        <v>5724</v>
      </c>
    </row>
    <row r="3123" spans="1:2" x14ac:dyDescent="0.25">
      <c r="A3123" t="s">
        <v>4246</v>
      </c>
      <c r="B3123" t="s">
        <v>5787</v>
      </c>
    </row>
    <row r="3124" spans="1:2" x14ac:dyDescent="0.25">
      <c r="A3124" t="s">
        <v>1842</v>
      </c>
      <c r="B3124" t="s">
        <v>5851</v>
      </c>
    </row>
    <row r="3125" spans="1:2" x14ac:dyDescent="0.25">
      <c r="A3125" t="s">
        <v>1532</v>
      </c>
      <c r="B3125">
        <v>0</v>
      </c>
    </row>
    <row r="3126" spans="1:2" x14ac:dyDescent="0.25">
      <c r="A3126" t="s">
        <v>3689</v>
      </c>
      <c r="B3126" t="s">
        <v>6181</v>
      </c>
    </row>
    <row r="3127" spans="1:2" x14ac:dyDescent="0.25">
      <c r="A3127" t="s">
        <v>5181</v>
      </c>
      <c r="B3127" t="s">
        <v>5788</v>
      </c>
    </row>
    <row r="3128" spans="1:2" x14ac:dyDescent="0.25">
      <c r="A3128" t="s">
        <v>4757</v>
      </c>
      <c r="B3128" t="s">
        <v>5936</v>
      </c>
    </row>
    <row r="3129" spans="1:2" x14ac:dyDescent="0.25">
      <c r="A3129" t="s">
        <v>1865</v>
      </c>
      <c r="B3129" t="s">
        <v>5970</v>
      </c>
    </row>
    <row r="3130" spans="1:2" x14ac:dyDescent="0.25">
      <c r="A3130" t="s">
        <v>1260</v>
      </c>
      <c r="B3130" t="s">
        <v>6125</v>
      </c>
    </row>
    <row r="3131" spans="1:2" x14ac:dyDescent="0.25">
      <c r="A3131" t="s">
        <v>2994</v>
      </c>
      <c r="B3131" t="s">
        <v>5906</v>
      </c>
    </row>
    <row r="3132" spans="1:2" x14ac:dyDescent="0.25">
      <c r="A3132" t="s">
        <v>1950</v>
      </c>
      <c r="B3132" t="s">
        <v>6283</v>
      </c>
    </row>
    <row r="3133" spans="1:2" x14ac:dyDescent="0.25">
      <c r="A3133" t="s">
        <v>240</v>
      </c>
      <c r="B3133" t="s">
        <v>5787</v>
      </c>
    </row>
    <row r="3134" spans="1:2" x14ac:dyDescent="0.25">
      <c r="A3134" t="s">
        <v>1947</v>
      </c>
      <c r="B3134" t="s">
        <v>6091</v>
      </c>
    </row>
    <row r="3135" spans="1:2" x14ac:dyDescent="0.25">
      <c r="A3135" t="s">
        <v>2236</v>
      </c>
      <c r="B3135" t="s">
        <v>5917</v>
      </c>
    </row>
    <row r="3136" spans="1:2" x14ac:dyDescent="0.25">
      <c r="A3136" t="s">
        <v>1861</v>
      </c>
      <c r="B3136" t="s">
        <v>5740</v>
      </c>
    </row>
    <row r="3137" spans="1:2" x14ac:dyDescent="0.25">
      <c r="A3137" t="s">
        <v>1778</v>
      </c>
      <c r="B3137" t="s">
        <v>5708</v>
      </c>
    </row>
    <row r="3138" spans="1:2" x14ac:dyDescent="0.25">
      <c r="A3138" t="s">
        <v>5755</v>
      </c>
      <c r="B3138" t="s">
        <v>5754</v>
      </c>
    </row>
    <row r="3139" spans="1:2" x14ac:dyDescent="0.25">
      <c r="A3139" t="s">
        <v>3825</v>
      </c>
      <c r="B3139" t="s">
        <v>5787</v>
      </c>
    </row>
    <row r="3140" spans="1:2" x14ac:dyDescent="0.25">
      <c r="A3140" t="s">
        <v>2937</v>
      </c>
      <c r="B3140" t="s">
        <v>5788</v>
      </c>
    </row>
    <row r="3141" spans="1:2" x14ac:dyDescent="0.25">
      <c r="A3141" t="s">
        <v>3848</v>
      </c>
      <c r="B3141" t="s">
        <v>5766</v>
      </c>
    </row>
    <row r="3142" spans="1:2" x14ac:dyDescent="0.25">
      <c r="A3142" t="s">
        <v>4929</v>
      </c>
      <c r="B3142" t="s">
        <v>5991</v>
      </c>
    </row>
    <row r="3143" spans="1:2" x14ac:dyDescent="0.25">
      <c r="A3143" t="s">
        <v>38</v>
      </c>
      <c r="B3143" t="s">
        <v>5901</v>
      </c>
    </row>
    <row r="3144" spans="1:2" x14ac:dyDescent="0.25">
      <c r="A3144" t="s">
        <v>3731</v>
      </c>
      <c r="B3144" t="s">
        <v>5915</v>
      </c>
    </row>
    <row r="3145" spans="1:2" x14ac:dyDescent="0.25">
      <c r="A3145" t="s">
        <v>1640</v>
      </c>
      <c r="B3145" t="s">
        <v>5704</v>
      </c>
    </row>
    <row r="3146" spans="1:2" x14ac:dyDescent="0.25">
      <c r="A3146" t="s">
        <v>1152</v>
      </c>
      <c r="B3146" t="s">
        <v>5782</v>
      </c>
    </row>
    <row r="3147" spans="1:2" x14ac:dyDescent="0.25">
      <c r="A3147" t="s">
        <v>4429</v>
      </c>
      <c r="B3147" t="s">
        <v>5790</v>
      </c>
    </row>
    <row r="3148" spans="1:2" x14ac:dyDescent="0.25">
      <c r="A3148" t="s">
        <v>5119</v>
      </c>
      <c r="B3148" t="s">
        <v>5800</v>
      </c>
    </row>
    <row r="3149" spans="1:2" x14ac:dyDescent="0.25">
      <c r="A3149" t="s">
        <v>3925</v>
      </c>
      <c r="B3149" t="s">
        <v>5788</v>
      </c>
    </row>
    <row r="3150" spans="1:2" x14ac:dyDescent="0.25">
      <c r="A3150" t="s">
        <v>2280</v>
      </c>
      <c r="B3150" t="s">
        <v>5883</v>
      </c>
    </row>
    <row r="3151" spans="1:2" x14ac:dyDescent="0.25">
      <c r="A3151" t="s">
        <v>5680</v>
      </c>
      <c r="B3151" t="s">
        <v>5833</v>
      </c>
    </row>
    <row r="3152" spans="1:2" x14ac:dyDescent="0.25">
      <c r="A3152" t="s">
        <v>5115</v>
      </c>
      <c r="B3152" t="s">
        <v>5902</v>
      </c>
    </row>
    <row r="3153" spans="1:2" x14ac:dyDescent="0.25">
      <c r="A3153" t="s">
        <v>1337</v>
      </c>
      <c r="B3153" t="s">
        <v>6594</v>
      </c>
    </row>
    <row r="3154" spans="1:2" x14ac:dyDescent="0.25">
      <c r="A3154" t="s">
        <v>1931</v>
      </c>
      <c r="B3154" t="s">
        <v>6197</v>
      </c>
    </row>
    <row r="3155" spans="1:2" x14ac:dyDescent="0.25">
      <c r="A3155" t="s">
        <v>3254</v>
      </c>
      <c r="B3155" t="s">
        <v>6761</v>
      </c>
    </row>
    <row r="3156" spans="1:2" x14ac:dyDescent="0.25">
      <c r="A3156" t="s">
        <v>3290</v>
      </c>
      <c r="B3156" t="s">
        <v>5721</v>
      </c>
    </row>
    <row r="3157" spans="1:2" x14ac:dyDescent="0.25">
      <c r="A3157" t="s">
        <v>4482</v>
      </c>
      <c r="B3157" t="s">
        <v>5842</v>
      </c>
    </row>
    <row r="3158" spans="1:2" x14ac:dyDescent="0.25">
      <c r="A3158" t="s">
        <v>3034</v>
      </c>
      <c r="B3158" t="s">
        <v>5713</v>
      </c>
    </row>
    <row r="3159" spans="1:2" x14ac:dyDescent="0.25">
      <c r="A3159" t="s">
        <v>715</v>
      </c>
      <c r="B3159" t="s">
        <v>5792</v>
      </c>
    </row>
    <row r="3160" spans="1:2" x14ac:dyDescent="0.25">
      <c r="A3160" t="s">
        <v>1043</v>
      </c>
      <c r="B3160" t="s">
        <v>6000</v>
      </c>
    </row>
    <row r="3161" spans="1:2" x14ac:dyDescent="0.25">
      <c r="A3161" t="s">
        <v>1318</v>
      </c>
      <c r="B3161" t="s">
        <v>5857</v>
      </c>
    </row>
    <row r="3162" spans="1:2" x14ac:dyDescent="0.25">
      <c r="A3162" t="s">
        <v>3572</v>
      </c>
      <c r="B3162" t="s">
        <v>5932</v>
      </c>
    </row>
    <row r="3163" spans="1:2" x14ac:dyDescent="0.25">
      <c r="A3163" t="s">
        <v>3088</v>
      </c>
      <c r="B3163" t="s">
        <v>5734</v>
      </c>
    </row>
    <row r="3164" spans="1:2" x14ac:dyDescent="0.25">
      <c r="A3164" t="s">
        <v>1302</v>
      </c>
      <c r="B3164" t="s">
        <v>6119</v>
      </c>
    </row>
    <row r="3165" spans="1:2" x14ac:dyDescent="0.25">
      <c r="A3165" t="s">
        <v>5628</v>
      </c>
      <c r="B3165" t="s">
        <v>6074</v>
      </c>
    </row>
    <row r="3166" spans="1:2" x14ac:dyDescent="0.25">
      <c r="A3166" t="s">
        <v>2964</v>
      </c>
      <c r="B3166" t="s">
        <v>5711</v>
      </c>
    </row>
    <row r="3167" spans="1:2" x14ac:dyDescent="0.25">
      <c r="A3167" t="s">
        <v>562</v>
      </c>
      <c r="B3167" t="s">
        <v>6055</v>
      </c>
    </row>
    <row r="3168" spans="1:2" x14ac:dyDescent="0.25">
      <c r="A3168" t="s">
        <v>5426</v>
      </c>
      <c r="B3168" t="s">
        <v>5787</v>
      </c>
    </row>
    <row r="3169" spans="1:2" x14ac:dyDescent="0.25">
      <c r="A3169" t="s">
        <v>4616</v>
      </c>
      <c r="B3169" t="s">
        <v>5802</v>
      </c>
    </row>
    <row r="3170" spans="1:2" x14ac:dyDescent="0.25">
      <c r="A3170" t="s">
        <v>2245</v>
      </c>
      <c r="B3170" t="s">
        <v>6352</v>
      </c>
    </row>
    <row r="3171" spans="1:2" x14ac:dyDescent="0.25">
      <c r="A3171" t="s">
        <v>2753</v>
      </c>
      <c r="B3171" t="s">
        <v>5788</v>
      </c>
    </row>
    <row r="3172" spans="1:2" x14ac:dyDescent="0.25">
      <c r="A3172" t="s">
        <v>5245</v>
      </c>
      <c r="B3172" t="s">
        <v>6135</v>
      </c>
    </row>
    <row r="3173" spans="1:2" x14ac:dyDescent="0.25">
      <c r="A3173" t="s">
        <v>5492</v>
      </c>
      <c r="B3173" t="s">
        <v>5953</v>
      </c>
    </row>
    <row r="3174" spans="1:2" x14ac:dyDescent="0.25">
      <c r="A3174" t="s">
        <v>2201</v>
      </c>
      <c r="B3174" t="s">
        <v>5974</v>
      </c>
    </row>
    <row r="3175" spans="1:2" x14ac:dyDescent="0.25">
      <c r="A3175" t="s">
        <v>5117</v>
      </c>
      <c r="B3175" t="s">
        <v>5706</v>
      </c>
    </row>
    <row r="3176" spans="1:2" x14ac:dyDescent="0.25">
      <c r="A3176" t="s">
        <v>595</v>
      </c>
      <c r="B3176" t="s">
        <v>6108</v>
      </c>
    </row>
    <row r="3177" spans="1:2" x14ac:dyDescent="0.25">
      <c r="A3177" t="s">
        <v>10289</v>
      </c>
      <c r="B3177" t="s">
        <v>5896</v>
      </c>
    </row>
    <row r="3178" spans="1:2" x14ac:dyDescent="0.25">
      <c r="A3178" t="s">
        <v>1090</v>
      </c>
      <c r="B3178" t="s">
        <v>5778</v>
      </c>
    </row>
    <row r="3179" spans="1:2" x14ac:dyDescent="0.25">
      <c r="A3179" t="s">
        <v>769</v>
      </c>
      <c r="B3179" t="s">
        <v>6574</v>
      </c>
    </row>
    <row r="3180" spans="1:2" x14ac:dyDescent="0.25">
      <c r="A3180" t="s">
        <v>432</v>
      </c>
      <c r="B3180" t="s">
        <v>5713</v>
      </c>
    </row>
    <row r="3181" spans="1:2" x14ac:dyDescent="0.25">
      <c r="A3181" t="s">
        <v>950</v>
      </c>
      <c r="B3181" t="s">
        <v>5766</v>
      </c>
    </row>
    <row r="3182" spans="1:2" x14ac:dyDescent="0.25">
      <c r="A3182" t="s">
        <v>1204</v>
      </c>
      <c r="B3182" t="s">
        <v>5716</v>
      </c>
    </row>
    <row r="3183" spans="1:2" x14ac:dyDescent="0.25">
      <c r="A3183" t="s">
        <v>5310</v>
      </c>
      <c r="B3183" t="s">
        <v>5734</v>
      </c>
    </row>
    <row r="3184" spans="1:2" x14ac:dyDescent="0.25">
      <c r="A3184" t="s">
        <v>5330</v>
      </c>
      <c r="B3184" t="s">
        <v>6451</v>
      </c>
    </row>
    <row r="3185" spans="1:2" x14ac:dyDescent="0.25">
      <c r="A3185" t="s">
        <v>4508</v>
      </c>
      <c r="B3185" t="s">
        <v>5704</v>
      </c>
    </row>
    <row r="3186" spans="1:2" x14ac:dyDescent="0.25">
      <c r="A3186" t="s">
        <v>5617</v>
      </c>
      <c r="B3186" t="s">
        <v>5924</v>
      </c>
    </row>
    <row r="3187" spans="1:2" x14ac:dyDescent="0.25">
      <c r="A3187" t="s">
        <v>3461</v>
      </c>
      <c r="B3187" t="s">
        <v>5878</v>
      </c>
    </row>
    <row r="3188" spans="1:2" x14ac:dyDescent="0.25">
      <c r="A3188" t="s">
        <v>1059</v>
      </c>
      <c r="B3188" t="s">
        <v>6252</v>
      </c>
    </row>
    <row r="3189" spans="1:2" x14ac:dyDescent="0.25">
      <c r="A3189" t="s">
        <v>2691</v>
      </c>
      <c r="B3189" t="s">
        <v>5863</v>
      </c>
    </row>
    <row r="3190" spans="1:2" x14ac:dyDescent="0.25">
      <c r="A3190" t="s">
        <v>1032</v>
      </c>
      <c r="B3190" t="s">
        <v>5787</v>
      </c>
    </row>
    <row r="3191" spans="1:2" x14ac:dyDescent="0.25">
      <c r="A3191" t="s">
        <v>665</v>
      </c>
      <c r="B3191" t="s">
        <v>5834</v>
      </c>
    </row>
    <row r="3192" spans="1:2" x14ac:dyDescent="0.25">
      <c r="A3192" t="s">
        <v>4687</v>
      </c>
      <c r="B3192" t="s">
        <v>5774</v>
      </c>
    </row>
    <row r="3193" spans="1:2" x14ac:dyDescent="0.25">
      <c r="A3193" t="s">
        <v>1285</v>
      </c>
      <c r="B3193" t="s">
        <v>6741</v>
      </c>
    </row>
    <row r="3194" spans="1:2" x14ac:dyDescent="0.25">
      <c r="A3194" t="s">
        <v>2386</v>
      </c>
      <c r="B3194" t="s">
        <v>5816</v>
      </c>
    </row>
    <row r="3195" spans="1:2" x14ac:dyDescent="0.25">
      <c r="A3195" t="s">
        <v>601</v>
      </c>
      <c r="B3195" t="s">
        <v>5982</v>
      </c>
    </row>
    <row r="3196" spans="1:2" x14ac:dyDescent="0.25">
      <c r="A3196" t="s">
        <v>2881</v>
      </c>
      <c r="B3196" t="s">
        <v>6031</v>
      </c>
    </row>
    <row r="3197" spans="1:2" x14ac:dyDescent="0.25">
      <c r="A3197" t="s">
        <v>5246</v>
      </c>
      <c r="B3197" t="s">
        <v>5964</v>
      </c>
    </row>
    <row r="3198" spans="1:2" x14ac:dyDescent="0.25">
      <c r="A3198" t="s">
        <v>3533</v>
      </c>
      <c r="B3198" t="s">
        <v>5860</v>
      </c>
    </row>
    <row r="3199" spans="1:2" x14ac:dyDescent="0.25">
      <c r="A3199" t="s">
        <v>3829</v>
      </c>
      <c r="B3199" t="s">
        <v>5927</v>
      </c>
    </row>
    <row r="3200" spans="1:2" x14ac:dyDescent="0.25">
      <c r="A3200" t="s">
        <v>3958</v>
      </c>
      <c r="B3200" t="s">
        <v>5874</v>
      </c>
    </row>
    <row r="3201" spans="1:2" x14ac:dyDescent="0.25">
      <c r="A3201" t="s">
        <v>3111</v>
      </c>
      <c r="B3201" t="s">
        <v>5754</v>
      </c>
    </row>
    <row r="3202" spans="1:2" x14ac:dyDescent="0.25">
      <c r="A3202" t="s">
        <v>3144</v>
      </c>
      <c r="B3202" t="s">
        <v>6408</v>
      </c>
    </row>
    <row r="3203" spans="1:2" x14ac:dyDescent="0.25">
      <c r="A3203" t="s">
        <v>3163</v>
      </c>
      <c r="B3203" t="s">
        <v>5708</v>
      </c>
    </row>
    <row r="3204" spans="1:2" x14ac:dyDescent="0.25">
      <c r="A3204" t="s">
        <v>4487</v>
      </c>
      <c r="B3204" t="s">
        <v>6477</v>
      </c>
    </row>
    <row r="3205" spans="1:2" x14ac:dyDescent="0.25">
      <c r="A3205" t="s">
        <v>3193</v>
      </c>
      <c r="B3205" t="s">
        <v>6229</v>
      </c>
    </row>
    <row r="3206" spans="1:2" x14ac:dyDescent="0.25">
      <c r="A3206" t="s">
        <v>3188</v>
      </c>
      <c r="B3206" t="s">
        <v>5772</v>
      </c>
    </row>
    <row r="3207" spans="1:2" x14ac:dyDescent="0.25">
      <c r="A3207" t="s">
        <v>2400</v>
      </c>
      <c r="B3207" t="s">
        <v>5787</v>
      </c>
    </row>
    <row r="3208" spans="1:2" x14ac:dyDescent="0.25">
      <c r="A3208" t="s">
        <v>4292</v>
      </c>
      <c r="B3208" t="s">
        <v>5800</v>
      </c>
    </row>
    <row r="3209" spans="1:2" x14ac:dyDescent="0.25">
      <c r="A3209" t="s">
        <v>4702</v>
      </c>
      <c r="B3209" t="s">
        <v>6755</v>
      </c>
    </row>
    <row r="3210" spans="1:2" x14ac:dyDescent="0.25">
      <c r="A3210" t="s">
        <v>4401</v>
      </c>
      <c r="B3210" t="s">
        <v>5704</v>
      </c>
    </row>
    <row r="3211" spans="1:2" x14ac:dyDescent="0.25">
      <c r="A3211" t="s">
        <v>1317</v>
      </c>
      <c r="B3211" t="s">
        <v>5706</v>
      </c>
    </row>
    <row r="3212" spans="1:2" x14ac:dyDescent="0.25">
      <c r="A3212" t="s">
        <v>1465</v>
      </c>
      <c r="B3212" t="s">
        <v>5840</v>
      </c>
    </row>
    <row r="3213" spans="1:2" x14ac:dyDescent="0.25">
      <c r="A3213" t="s">
        <v>1579</v>
      </c>
      <c r="B3213" t="s">
        <v>5973</v>
      </c>
    </row>
    <row r="3214" spans="1:2" x14ac:dyDescent="0.25">
      <c r="A3214" t="s">
        <v>2321</v>
      </c>
      <c r="B3214" t="s">
        <v>5788</v>
      </c>
    </row>
    <row r="3215" spans="1:2" x14ac:dyDescent="0.25">
      <c r="A3215" t="s">
        <v>5490</v>
      </c>
      <c r="B3215" t="s">
        <v>6687</v>
      </c>
    </row>
    <row r="3216" spans="1:2" x14ac:dyDescent="0.25">
      <c r="A3216" t="s">
        <v>4360</v>
      </c>
      <c r="B3216" t="s">
        <v>5836</v>
      </c>
    </row>
    <row r="3217" spans="1:2" x14ac:dyDescent="0.25">
      <c r="A3217" t="s">
        <v>5525</v>
      </c>
      <c r="B3217" t="s">
        <v>6128</v>
      </c>
    </row>
    <row r="3218" spans="1:2" x14ac:dyDescent="0.25">
      <c r="A3218" t="s">
        <v>1215</v>
      </c>
      <c r="B3218" t="s">
        <v>6626</v>
      </c>
    </row>
    <row r="3219" spans="1:2" x14ac:dyDescent="0.25">
      <c r="A3219" t="s">
        <v>4131</v>
      </c>
      <c r="B3219" t="s">
        <v>6047</v>
      </c>
    </row>
    <row r="3220" spans="1:2" x14ac:dyDescent="0.25">
      <c r="A3220" t="s">
        <v>5616</v>
      </c>
      <c r="B3220" t="s">
        <v>6370</v>
      </c>
    </row>
    <row r="3221" spans="1:2" x14ac:dyDescent="0.25">
      <c r="A3221" t="s">
        <v>3868</v>
      </c>
      <c r="B3221" t="s">
        <v>6360</v>
      </c>
    </row>
    <row r="3222" spans="1:2" x14ac:dyDescent="0.25">
      <c r="A3222" t="s">
        <v>5402</v>
      </c>
      <c r="B3222" t="s">
        <v>5713</v>
      </c>
    </row>
    <row r="3223" spans="1:2" x14ac:dyDescent="0.25">
      <c r="A3223" t="s">
        <v>4633</v>
      </c>
      <c r="B3223" t="s">
        <v>5913</v>
      </c>
    </row>
    <row r="3224" spans="1:2" x14ac:dyDescent="0.25">
      <c r="A3224" t="s">
        <v>5410</v>
      </c>
      <c r="B3224" t="s">
        <v>6159</v>
      </c>
    </row>
    <row r="3225" spans="1:2" x14ac:dyDescent="0.25">
      <c r="A3225" t="s">
        <v>2930</v>
      </c>
      <c r="B3225" t="s">
        <v>5772</v>
      </c>
    </row>
    <row r="3226" spans="1:2" x14ac:dyDescent="0.25">
      <c r="A3226" t="s">
        <v>637</v>
      </c>
      <c r="B3226" t="s">
        <v>5795</v>
      </c>
    </row>
    <row r="3227" spans="1:2" x14ac:dyDescent="0.25">
      <c r="A3227" t="s">
        <v>2805</v>
      </c>
      <c r="B3227" t="s">
        <v>5711</v>
      </c>
    </row>
    <row r="3228" spans="1:2" x14ac:dyDescent="0.25">
      <c r="A3228" t="s">
        <v>2461</v>
      </c>
      <c r="B3228" t="s">
        <v>5790</v>
      </c>
    </row>
    <row r="3229" spans="1:2" x14ac:dyDescent="0.25">
      <c r="A3229" t="s">
        <v>31748</v>
      </c>
      <c r="B3229" t="s">
        <v>5787</v>
      </c>
    </row>
    <row r="3230" spans="1:2" x14ac:dyDescent="0.25">
      <c r="A3230" t="s">
        <v>2607</v>
      </c>
      <c r="B3230" t="s">
        <v>5787</v>
      </c>
    </row>
    <row r="3231" spans="1:2" x14ac:dyDescent="0.25">
      <c r="A3231" t="s">
        <v>1180</v>
      </c>
      <c r="B3231" t="s">
        <v>5721</v>
      </c>
    </row>
    <row r="3232" spans="1:2" x14ac:dyDescent="0.25">
      <c r="A3232" t="s">
        <v>4366</v>
      </c>
      <c r="B3232" t="s">
        <v>5787</v>
      </c>
    </row>
    <row r="3233" spans="1:2" x14ac:dyDescent="0.25">
      <c r="A3233" t="s">
        <v>916</v>
      </c>
      <c r="B3233" t="s">
        <v>5728</v>
      </c>
    </row>
    <row r="3234" spans="1:2" x14ac:dyDescent="0.25">
      <c r="A3234" t="s">
        <v>2215</v>
      </c>
      <c r="B3234" t="s">
        <v>5787</v>
      </c>
    </row>
    <row r="3235" spans="1:2" x14ac:dyDescent="0.25">
      <c r="A3235" t="s">
        <v>4259</v>
      </c>
      <c r="B3235">
        <v>0</v>
      </c>
    </row>
    <row r="3236" spans="1:2" x14ac:dyDescent="0.25">
      <c r="A3236" t="s">
        <v>4486</v>
      </c>
      <c r="B3236" t="s">
        <v>5768</v>
      </c>
    </row>
    <row r="3237" spans="1:2" x14ac:dyDescent="0.25">
      <c r="A3237" t="s">
        <v>4132</v>
      </c>
      <c r="B3237" t="s">
        <v>5891</v>
      </c>
    </row>
    <row r="3238" spans="1:2" x14ac:dyDescent="0.25">
      <c r="A3238" t="s">
        <v>4158</v>
      </c>
      <c r="B3238" t="s">
        <v>5793</v>
      </c>
    </row>
    <row r="3239" spans="1:2" x14ac:dyDescent="0.25">
      <c r="A3239" t="s">
        <v>657</v>
      </c>
      <c r="B3239" t="s">
        <v>6450</v>
      </c>
    </row>
    <row r="3240" spans="1:2" x14ac:dyDescent="0.25">
      <c r="A3240" t="s">
        <v>4704</v>
      </c>
      <c r="B3240" t="s">
        <v>5912</v>
      </c>
    </row>
    <row r="3241" spans="1:2" x14ac:dyDescent="0.25">
      <c r="A3241" t="s">
        <v>1812</v>
      </c>
      <c r="B3241">
        <v>0</v>
      </c>
    </row>
    <row r="3242" spans="1:2" x14ac:dyDescent="0.25">
      <c r="A3242" t="s">
        <v>2436</v>
      </c>
      <c r="B3242" t="s">
        <v>6355</v>
      </c>
    </row>
    <row r="3243" spans="1:2" x14ac:dyDescent="0.25">
      <c r="A3243" t="s">
        <v>1398</v>
      </c>
      <c r="B3243" t="s">
        <v>5778</v>
      </c>
    </row>
    <row r="3244" spans="1:2" x14ac:dyDescent="0.25">
      <c r="A3244" t="s">
        <v>910</v>
      </c>
      <c r="B3244" t="s">
        <v>5816</v>
      </c>
    </row>
    <row r="3245" spans="1:2" x14ac:dyDescent="0.25">
      <c r="A3245" t="s">
        <v>5709</v>
      </c>
      <c r="B3245" t="s">
        <v>5708</v>
      </c>
    </row>
    <row r="3246" spans="1:2" x14ac:dyDescent="0.25">
      <c r="A3246" t="s">
        <v>418</v>
      </c>
      <c r="B3246" t="s">
        <v>6299</v>
      </c>
    </row>
    <row r="3247" spans="1:2" x14ac:dyDescent="0.25">
      <c r="A3247" t="s">
        <v>1866</v>
      </c>
      <c r="B3247" t="s">
        <v>5790</v>
      </c>
    </row>
    <row r="3248" spans="1:2" x14ac:dyDescent="0.25">
      <c r="A3248" t="s">
        <v>4625</v>
      </c>
      <c r="B3248" t="s">
        <v>5787</v>
      </c>
    </row>
    <row r="3249" spans="1:2" x14ac:dyDescent="0.25">
      <c r="A3249" t="s">
        <v>3936</v>
      </c>
      <c r="B3249" t="s">
        <v>6623</v>
      </c>
    </row>
    <row r="3250" spans="1:2" x14ac:dyDescent="0.25">
      <c r="A3250" t="s">
        <v>1982</v>
      </c>
      <c r="B3250">
        <v>0</v>
      </c>
    </row>
    <row r="3251" spans="1:2" x14ac:dyDescent="0.25">
      <c r="A3251" t="s">
        <v>4612</v>
      </c>
      <c r="B3251" t="s">
        <v>5787</v>
      </c>
    </row>
    <row r="3252" spans="1:2" x14ac:dyDescent="0.25">
      <c r="A3252" t="s">
        <v>1054</v>
      </c>
      <c r="B3252" t="s">
        <v>5857</v>
      </c>
    </row>
    <row r="3253" spans="1:2" x14ac:dyDescent="0.25">
      <c r="A3253" t="s">
        <v>4992</v>
      </c>
      <c r="B3253" t="s">
        <v>6298</v>
      </c>
    </row>
    <row r="3254" spans="1:2" x14ac:dyDescent="0.25">
      <c r="A3254" t="s">
        <v>914</v>
      </c>
      <c r="B3254" t="s">
        <v>6158</v>
      </c>
    </row>
    <row r="3255" spans="1:2" x14ac:dyDescent="0.25">
      <c r="A3255" t="s">
        <v>3579</v>
      </c>
      <c r="B3255" t="s">
        <v>6750</v>
      </c>
    </row>
    <row r="3256" spans="1:2" x14ac:dyDescent="0.25">
      <c r="A3256" t="s">
        <v>3951</v>
      </c>
      <c r="B3256" t="s">
        <v>5787</v>
      </c>
    </row>
    <row r="3257" spans="1:2" x14ac:dyDescent="0.25">
      <c r="A3257" t="s">
        <v>3941</v>
      </c>
      <c r="B3257" t="s">
        <v>6068</v>
      </c>
    </row>
    <row r="3258" spans="1:2" x14ac:dyDescent="0.25">
      <c r="A3258" t="s">
        <v>2737</v>
      </c>
      <c r="B3258" t="s">
        <v>5787</v>
      </c>
    </row>
    <row r="3259" spans="1:2" x14ac:dyDescent="0.25">
      <c r="A3259" t="s">
        <v>5293</v>
      </c>
      <c r="B3259" t="s">
        <v>5787</v>
      </c>
    </row>
    <row r="3260" spans="1:2" x14ac:dyDescent="0.25">
      <c r="A3260" t="s">
        <v>3321</v>
      </c>
      <c r="B3260" t="s">
        <v>5858</v>
      </c>
    </row>
    <row r="3261" spans="1:2" x14ac:dyDescent="0.25">
      <c r="A3261" t="s">
        <v>3811</v>
      </c>
      <c r="B3261" t="s">
        <v>5801</v>
      </c>
    </row>
    <row r="3262" spans="1:2" x14ac:dyDescent="0.25">
      <c r="A3262" t="s">
        <v>3960</v>
      </c>
      <c r="B3262" t="s">
        <v>5730</v>
      </c>
    </row>
    <row r="3263" spans="1:2" x14ac:dyDescent="0.25">
      <c r="A3263" t="s">
        <v>1142</v>
      </c>
      <c r="B3263" t="s">
        <v>5942</v>
      </c>
    </row>
    <row r="3264" spans="1:2" x14ac:dyDescent="0.25">
      <c r="A3264" t="s">
        <v>5595</v>
      </c>
      <c r="B3264" t="s">
        <v>5724</v>
      </c>
    </row>
    <row r="3265" spans="1:2" x14ac:dyDescent="0.25">
      <c r="A3265" t="s">
        <v>1393</v>
      </c>
      <c r="B3265" t="s">
        <v>5879</v>
      </c>
    </row>
    <row r="3266" spans="1:2" x14ac:dyDescent="0.25">
      <c r="A3266" t="s">
        <v>2370</v>
      </c>
      <c r="B3266" t="s">
        <v>6258</v>
      </c>
    </row>
    <row r="3267" spans="1:2" x14ac:dyDescent="0.25">
      <c r="A3267" t="s">
        <v>1686</v>
      </c>
      <c r="B3267" t="s">
        <v>5724</v>
      </c>
    </row>
    <row r="3268" spans="1:2" x14ac:dyDescent="0.25">
      <c r="A3268" t="s">
        <v>4567</v>
      </c>
      <c r="B3268" t="s">
        <v>5936</v>
      </c>
    </row>
    <row r="3269" spans="1:2" x14ac:dyDescent="0.25">
      <c r="A3269" t="s">
        <v>2915</v>
      </c>
      <c r="B3269" t="s">
        <v>6447</v>
      </c>
    </row>
    <row r="3270" spans="1:2" x14ac:dyDescent="0.25">
      <c r="A3270" t="s">
        <v>1011</v>
      </c>
      <c r="B3270" t="s">
        <v>5788</v>
      </c>
    </row>
    <row r="3271" spans="1:2" x14ac:dyDescent="0.25">
      <c r="A3271" t="s">
        <v>5689</v>
      </c>
      <c r="B3271" t="s">
        <v>5827</v>
      </c>
    </row>
    <row r="3272" spans="1:2" x14ac:dyDescent="0.25">
      <c r="A3272" t="s">
        <v>1649</v>
      </c>
      <c r="B3272">
        <v>0</v>
      </c>
    </row>
    <row r="3273" spans="1:2" x14ac:dyDescent="0.25">
      <c r="A3273" t="s">
        <v>1430</v>
      </c>
      <c r="B3273" t="s">
        <v>5797</v>
      </c>
    </row>
    <row r="3274" spans="1:2" x14ac:dyDescent="0.25">
      <c r="A3274" t="s">
        <v>3559</v>
      </c>
      <c r="B3274" t="s">
        <v>6147</v>
      </c>
    </row>
    <row r="3275" spans="1:2" x14ac:dyDescent="0.25">
      <c r="A3275" t="s">
        <v>948</v>
      </c>
      <c r="B3275" t="s">
        <v>5772</v>
      </c>
    </row>
    <row r="3276" spans="1:2" x14ac:dyDescent="0.25">
      <c r="A3276" t="s">
        <v>2389</v>
      </c>
      <c r="B3276" t="s">
        <v>5790</v>
      </c>
    </row>
    <row r="3277" spans="1:2" x14ac:dyDescent="0.25">
      <c r="A3277" t="s">
        <v>34</v>
      </c>
      <c r="B3277" t="s">
        <v>5780</v>
      </c>
    </row>
    <row r="3278" spans="1:2" x14ac:dyDescent="0.25">
      <c r="A3278" t="s">
        <v>509</v>
      </c>
      <c r="B3278" t="s">
        <v>6167</v>
      </c>
    </row>
    <row r="3279" spans="1:2" x14ac:dyDescent="0.25">
      <c r="A3279" t="s">
        <v>2904</v>
      </c>
      <c r="B3279" t="s">
        <v>5908</v>
      </c>
    </row>
    <row r="3280" spans="1:2" x14ac:dyDescent="0.25">
      <c r="A3280" t="s">
        <v>4672</v>
      </c>
      <c r="B3280" t="s">
        <v>5821</v>
      </c>
    </row>
    <row r="3281" spans="1:2" x14ac:dyDescent="0.25">
      <c r="A3281" t="s">
        <v>309</v>
      </c>
      <c r="B3281" t="s">
        <v>6356</v>
      </c>
    </row>
    <row r="3282" spans="1:2" x14ac:dyDescent="0.25">
      <c r="A3282" t="s">
        <v>3044</v>
      </c>
      <c r="B3282" t="s">
        <v>5963</v>
      </c>
    </row>
    <row r="3283" spans="1:2" x14ac:dyDescent="0.25">
      <c r="A3283" t="s">
        <v>2609</v>
      </c>
      <c r="B3283">
        <v>0</v>
      </c>
    </row>
    <row r="3284" spans="1:2" x14ac:dyDescent="0.25">
      <c r="A3284" t="s">
        <v>4190</v>
      </c>
      <c r="B3284" t="s">
        <v>5790</v>
      </c>
    </row>
    <row r="3285" spans="1:2" x14ac:dyDescent="0.25">
      <c r="A3285" t="s">
        <v>1225</v>
      </c>
      <c r="B3285" t="s">
        <v>5883</v>
      </c>
    </row>
    <row r="3286" spans="1:2" x14ac:dyDescent="0.25">
      <c r="A3286" t="s">
        <v>401</v>
      </c>
      <c r="B3286" t="s">
        <v>6688</v>
      </c>
    </row>
    <row r="3287" spans="1:2" x14ac:dyDescent="0.25">
      <c r="A3287" t="s">
        <v>5096</v>
      </c>
      <c r="B3287" t="s">
        <v>6491</v>
      </c>
    </row>
    <row r="3288" spans="1:2" x14ac:dyDescent="0.25">
      <c r="A3288" t="s">
        <v>4986</v>
      </c>
      <c r="B3288" t="s">
        <v>5955</v>
      </c>
    </row>
    <row r="3289" spans="1:2" x14ac:dyDescent="0.25">
      <c r="A3289" t="s">
        <v>4063</v>
      </c>
      <c r="B3289" t="s">
        <v>6410</v>
      </c>
    </row>
    <row r="3290" spans="1:2" x14ac:dyDescent="0.25">
      <c r="A3290" t="s">
        <v>3093</v>
      </c>
      <c r="B3290" t="s">
        <v>5817</v>
      </c>
    </row>
    <row r="3291" spans="1:2" x14ac:dyDescent="0.25">
      <c r="A3291" t="s">
        <v>2330</v>
      </c>
      <c r="B3291" t="s">
        <v>5790</v>
      </c>
    </row>
    <row r="3292" spans="1:2" x14ac:dyDescent="0.25">
      <c r="A3292" t="s">
        <v>192</v>
      </c>
      <c r="B3292" t="s">
        <v>6788</v>
      </c>
    </row>
    <row r="3293" spans="1:2" x14ac:dyDescent="0.25">
      <c r="A3293" t="s">
        <v>878</v>
      </c>
      <c r="B3293" t="s">
        <v>6452</v>
      </c>
    </row>
    <row r="3294" spans="1:2" x14ac:dyDescent="0.25">
      <c r="A3294" t="s">
        <v>2368</v>
      </c>
      <c r="B3294" t="s">
        <v>6599</v>
      </c>
    </row>
    <row r="3295" spans="1:2" x14ac:dyDescent="0.25">
      <c r="A3295" t="s">
        <v>1363</v>
      </c>
      <c r="B3295" t="s">
        <v>5724</v>
      </c>
    </row>
    <row r="3296" spans="1:2" x14ac:dyDescent="0.25">
      <c r="A3296" t="s">
        <v>2567</v>
      </c>
      <c r="B3296" t="s">
        <v>6097</v>
      </c>
    </row>
    <row r="3297" spans="1:2" x14ac:dyDescent="0.25">
      <c r="A3297" t="s">
        <v>3895</v>
      </c>
      <c r="B3297" t="s">
        <v>5813</v>
      </c>
    </row>
    <row r="3298" spans="1:2" x14ac:dyDescent="0.25">
      <c r="A3298" t="s">
        <v>4058</v>
      </c>
      <c r="B3298" t="s">
        <v>6232</v>
      </c>
    </row>
    <row r="3299" spans="1:2" x14ac:dyDescent="0.25">
      <c r="A3299" t="s">
        <v>2907</v>
      </c>
      <c r="B3299" t="s">
        <v>5822</v>
      </c>
    </row>
    <row r="3300" spans="1:2" x14ac:dyDescent="0.25">
      <c r="A3300" t="s">
        <v>1218</v>
      </c>
      <c r="B3300" t="s">
        <v>6165</v>
      </c>
    </row>
    <row r="3301" spans="1:2" x14ac:dyDescent="0.25">
      <c r="A3301" t="s">
        <v>3472</v>
      </c>
      <c r="B3301" t="s">
        <v>5908</v>
      </c>
    </row>
    <row r="3302" spans="1:2" x14ac:dyDescent="0.25">
      <c r="A3302" t="s">
        <v>5234</v>
      </c>
      <c r="B3302" t="s">
        <v>5711</v>
      </c>
    </row>
    <row r="3303" spans="1:2" x14ac:dyDescent="0.25">
      <c r="A3303" t="s">
        <v>37</v>
      </c>
      <c r="B3303" t="s">
        <v>5870</v>
      </c>
    </row>
    <row r="3304" spans="1:2" x14ac:dyDescent="0.25">
      <c r="A3304" t="s">
        <v>940</v>
      </c>
      <c r="B3304" t="s">
        <v>5787</v>
      </c>
    </row>
    <row r="3305" spans="1:2" x14ac:dyDescent="0.25">
      <c r="A3305" t="s">
        <v>5513</v>
      </c>
      <c r="B3305" t="s">
        <v>6418</v>
      </c>
    </row>
    <row r="3306" spans="1:2" x14ac:dyDescent="0.25">
      <c r="A3306" t="s">
        <v>627</v>
      </c>
      <c r="B3306" t="s">
        <v>6681</v>
      </c>
    </row>
    <row r="3307" spans="1:2" x14ac:dyDescent="0.25">
      <c r="A3307" t="s">
        <v>1381</v>
      </c>
      <c r="B3307" t="s">
        <v>5787</v>
      </c>
    </row>
    <row r="3308" spans="1:2" x14ac:dyDescent="0.25">
      <c r="A3308" t="s">
        <v>5338</v>
      </c>
      <c r="B3308" t="s">
        <v>5919</v>
      </c>
    </row>
    <row r="3309" spans="1:2" x14ac:dyDescent="0.25">
      <c r="A3309" t="s">
        <v>5505</v>
      </c>
      <c r="B3309" t="s">
        <v>6312</v>
      </c>
    </row>
    <row r="3310" spans="1:2" x14ac:dyDescent="0.25">
      <c r="A3310" t="s">
        <v>2578</v>
      </c>
      <c r="B3310" t="s">
        <v>5787</v>
      </c>
    </row>
    <row r="3311" spans="1:2" x14ac:dyDescent="0.25">
      <c r="A3311" t="s">
        <v>510</v>
      </c>
      <c r="B3311" t="s">
        <v>5787</v>
      </c>
    </row>
    <row r="3312" spans="1:2" x14ac:dyDescent="0.25">
      <c r="A3312" t="s">
        <v>4229</v>
      </c>
      <c r="B3312" t="s">
        <v>5980</v>
      </c>
    </row>
    <row r="3313" spans="1:2" x14ac:dyDescent="0.25">
      <c r="A3313" t="s">
        <v>2141</v>
      </c>
      <c r="B3313" t="s">
        <v>6672</v>
      </c>
    </row>
    <row r="3314" spans="1:2" x14ac:dyDescent="0.25">
      <c r="A3314" t="s">
        <v>5086</v>
      </c>
      <c r="B3314" t="s">
        <v>5706</v>
      </c>
    </row>
    <row r="3315" spans="1:2" x14ac:dyDescent="0.25">
      <c r="A3315" t="s">
        <v>4948</v>
      </c>
      <c r="B3315" t="s">
        <v>5855</v>
      </c>
    </row>
    <row r="3316" spans="1:2" x14ac:dyDescent="0.25">
      <c r="A3316" t="s">
        <v>2748</v>
      </c>
      <c r="B3316" t="s">
        <v>6104</v>
      </c>
    </row>
    <row r="3317" spans="1:2" x14ac:dyDescent="0.25">
      <c r="A3317" t="s">
        <v>321</v>
      </c>
      <c r="B3317" t="s">
        <v>6049</v>
      </c>
    </row>
    <row r="3318" spans="1:2" x14ac:dyDescent="0.25">
      <c r="A3318" t="s">
        <v>3770</v>
      </c>
      <c r="B3318" t="s">
        <v>6158</v>
      </c>
    </row>
    <row r="3319" spans="1:2" x14ac:dyDescent="0.25">
      <c r="A3319" t="s">
        <v>3564</v>
      </c>
      <c r="B3319" t="s">
        <v>5925</v>
      </c>
    </row>
    <row r="3320" spans="1:2" x14ac:dyDescent="0.25">
      <c r="A3320" t="s">
        <v>5250</v>
      </c>
      <c r="B3320" t="s">
        <v>5787</v>
      </c>
    </row>
    <row r="3321" spans="1:2" x14ac:dyDescent="0.25">
      <c r="A3321" t="s">
        <v>2590</v>
      </c>
      <c r="B3321" t="s">
        <v>6043</v>
      </c>
    </row>
    <row r="3322" spans="1:2" x14ac:dyDescent="0.25">
      <c r="A3322" t="s">
        <v>1275</v>
      </c>
      <c r="B3322" t="s">
        <v>5822</v>
      </c>
    </row>
    <row r="3323" spans="1:2" x14ac:dyDescent="0.25">
      <c r="A3323" t="s">
        <v>2061</v>
      </c>
      <c r="B3323" t="s">
        <v>5787</v>
      </c>
    </row>
    <row r="3324" spans="1:2" x14ac:dyDescent="0.25">
      <c r="A3324" t="s">
        <v>3376</v>
      </c>
      <c r="B3324" t="s">
        <v>5711</v>
      </c>
    </row>
    <row r="3325" spans="1:2" x14ac:dyDescent="0.25">
      <c r="A3325" t="s">
        <v>1974</v>
      </c>
      <c r="B3325" t="s">
        <v>5916</v>
      </c>
    </row>
    <row r="3326" spans="1:2" x14ac:dyDescent="0.25">
      <c r="A3326" t="s">
        <v>5296</v>
      </c>
      <c r="B3326" t="s">
        <v>5946</v>
      </c>
    </row>
    <row r="3327" spans="1:2" x14ac:dyDescent="0.25">
      <c r="A3327" t="s">
        <v>3550</v>
      </c>
      <c r="B3327" t="s">
        <v>5843</v>
      </c>
    </row>
    <row r="3328" spans="1:2" x14ac:dyDescent="0.25">
      <c r="A3328" t="s">
        <v>4485</v>
      </c>
      <c r="B3328" t="s">
        <v>5719</v>
      </c>
    </row>
    <row r="3329" spans="1:2" x14ac:dyDescent="0.25">
      <c r="A3329" t="s">
        <v>260</v>
      </c>
      <c r="B3329" t="s">
        <v>5787</v>
      </c>
    </row>
    <row r="3330" spans="1:2" x14ac:dyDescent="0.25">
      <c r="A3330" t="s">
        <v>2105</v>
      </c>
      <c r="B3330" t="s">
        <v>6139</v>
      </c>
    </row>
    <row r="3331" spans="1:2" x14ac:dyDescent="0.25">
      <c r="A3331" t="s">
        <v>5315</v>
      </c>
      <c r="B3331" t="s">
        <v>6584</v>
      </c>
    </row>
    <row r="3332" spans="1:2" x14ac:dyDescent="0.25">
      <c r="A3332" t="s">
        <v>995</v>
      </c>
      <c r="B3332" t="s">
        <v>5813</v>
      </c>
    </row>
    <row r="3333" spans="1:2" x14ac:dyDescent="0.25">
      <c r="A3333" t="s">
        <v>801</v>
      </c>
      <c r="B3333" t="s">
        <v>5789</v>
      </c>
    </row>
    <row r="3334" spans="1:2" x14ac:dyDescent="0.25">
      <c r="A3334" t="s">
        <v>5503</v>
      </c>
      <c r="B3334" t="s">
        <v>5787</v>
      </c>
    </row>
    <row r="3335" spans="1:2" x14ac:dyDescent="0.25">
      <c r="A3335" t="s">
        <v>5764</v>
      </c>
      <c r="B3335" t="s">
        <v>5762</v>
      </c>
    </row>
    <row r="3336" spans="1:2" x14ac:dyDescent="0.25">
      <c r="A3336" t="s">
        <v>20</v>
      </c>
      <c r="B3336" t="s">
        <v>5716</v>
      </c>
    </row>
    <row r="3337" spans="1:2" x14ac:dyDescent="0.25">
      <c r="A3337" t="s">
        <v>5419</v>
      </c>
      <c r="B3337" t="s">
        <v>6482</v>
      </c>
    </row>
    <row r="3338" spans="1:2" x14ac:dyDescent="0.25">
      <c r="A3338" t="s">
        <v>2948</v>
      </c>
      <c r="B3338" t="s">
        <v>5809</v>
      </c>
    </row>
    <row r="3339" spans="1:2" x14ac:dyDescent="0.25">
      <c r="A3339" t="s">
        <v>1245</v>
      </c>
      <c r="B3339" t="s">
        <v>5787</v>
      </c>
    </row>
    <row r="3340" spans="1:2" x14ac:dyDescent="0.25">
      <c r="A3340" t="s">
        <v>921</v>
      </c>
      <c r="B3340" t="s">
        <v>5968</v>
      </c>
    </row>
    <row r="3341" spans="1:2" x14ac:dyDescent="0.25">
      <c r="A3341" t="s">
        <v>437</v>
      </c>
      <c r="B3341" t="s">
        <v>5787</v>
      </c>
    </row>
    <row r="3342" spans="1:2" x14ac:dyDescent="0.25">
      <c r="A3342" t="s">
        <v>3814</v>
      </c>
      <c r="B3342" t="s">
        <v>5789</v>
      </c>
    </row>
    <row r="3343" spans="1:2" x14ac:dyDescent="0.25">
      <c r="A3343" t="s">
        <v>3892</v>
      </c>
      <c r="B3343" t="s">
        <v>6798</v>
      </c>
    </row>
    <row r="3344" spans="1:2" x14ac:dyDescent="0.25">
      <c r="A3344" t="s">
        <v>2237</v>
      </c>
      <c r="B3344" t="s">
        <v>5919</v>
      </c>
    </row>
    <row r="3345" spans="1:2" x14ac:dyDescent="0.25">
      <c r="A3345" t="s">
        <v>5266</v>
      </c>
      <c r="B3345" t="s">
        <v>5838</v>
      </c>
    </row>
    <row r="3346" spans="1:2" x14ac:dyDescent="0.25">
      <c r="A3346" t="s">
        <v>5763</v>
      </c>
      <c r="B3346" t="s">
        <v>5762</v>
      </c>
    </row>
    <row r="3347" spans="1:2" x14ac:dyDescent="0.25">
      <c r="A3347" t="s">
        <v>3212</v>
      </c>
      <c r="B3347" t="s">
        <v>6019</v>
      </c>
    </row>
    <row r="3348" spans="1:2" x14ac:dyDescent="0.25">
      <c r="A3348" t="s">
        <v>3457</v>
      </c>
      <c r="B3348" t="s">
        <v>6171</v>
      </c>
    </row>
    <row r="3349" spans="1:2" x14ac:dyDescent="0.25">
      <c r="A3349" t="s">
        <v>2982</v>
      </c>
      <c r="B3349" t="s">
        <v>6072</v>
      </c>
    </row>
    <row r="3350" spans="1:2" x14ac:dyDescent="0.25">
      <c r="A3350" t="s">
        <v>4270</v>
      </c>
      <c r="B3350" t="s">
        <v>6350</v>
      </c>
    </row>
    <row r="3351" spans="1:2" x14ac:dyDescent="0.25">
      <c r="A3351" t="s">
        <v>3173</v>
      </c>
      <c r="B3351" t="s">
        <v>6225</v>
      </c>
    </row>
    <row r="3352" spans="1:2" x14ac:dyDescent="0.25">
      <c r="A3352" t="s">
        <v>4257</v>
      </c>
      <c r="B3352" t="s">
        <v>6390</v>
      </c>
    </row>
    <row r="3353" spans="1:2" x14ac:dyDescent="0.25">
      <c r="A3353" t="s">
        <v>394</v>
      </c>
      <c r="B3353" t="s">
        <v>5836</v>
      </c>
    </row>
    <row r="3354" spans="1:2" x14ac:dyDescent="0.25">
      <c r="A3354" t="s">
        <v>5201</v>
      </c>
      <c r="B3354" t="s">
        <v>5951</v>
      </c>
    </row>
    <row r="3355" spans="1:2" x14ac:dyDescent="0.25">
      <c r="A3355" t="s">
        <v>61</v>
      </c>
      <c r="B3355" t="s">
        <v>6086</v>
      </c>
    </row>
    <row r="3356" spans="1:2" x14ac:dyDescent="0.25">
      <c r="A3356" t="s">
        <v>3678</v>
      </c>
      <c r="B3356" t="s">
        <v>6393</v>
      </c>
    </row>
    <row r="3357" spans="1:2" x14ac:dyDescent="0.25">
      <c r="A3357" t="s">
        <v>5280</v>
      </c>
      <c r="B3357" t="s">
        <v>6458</v>
      </c>
    </row>
    <row r="3358" spans="1:2" x14ac:dyDescent="0.25">
      <c r="A3358" t="s">
        <v>3649</v>
      </c>
      <c r="B3358" t="s">
        <v>5790</v>
      </c>
    </row>
    <row r="3359" spans="1:2" x14ac:dyDescent="0.25">
      <c r="A3359" t="s">
        <v>3175</v>
      </c>
      <c r="B3359" t="s">
        <v>6528</v>
      </c>
    </row>
    <row r="3360" spans="1:2" x14ac:dyDescent="0.25">
      <c r="A3360" t="s">
        <v>997</v>
      </c>
      <c r="B3360" t="s">
        <v>5852</v>
      </c>
    </row>
    <row r="3361" spans="1:2" x14ac:dyDescent="0.25">
      <c r="A3361" t="s">
        <v>3715</v>
      </c>
      <c r="B3361" t="s">
        <v>5820</v>
      </c>
    </row>
    <row r="3362" spans="1:2" x14ac:dyDescent="0.25">
      <c r="A3362" t="s">
        <v>2473</v>
      </c>
      <c r="B3362" t="s">
        <v>5889</v>
      </c>
    </row>
    <row r="3363" spans="1:2" x14ac:dyDescent="0.25">
      <c r="A3363" t="s">
        <v>604</v>
      </c>
      <c r="B3363" t="s">
        <v>5804</v>
      </c>
    </row>
    <row r="3364" spans="1:2" x14ac:dyDescent="0.25">
      <c r="A3364" t="s">
        <v>5210</v>
      </c>
      <c r="B3364" t="s">
        <v>6187</v>
      </c>
    </row>
    <row r="3365" spans="1:2" x14ac:dyDescent="0.25">
      <c r="A3365" t="s">
        <v>1911</v>
      </c>
      <c r="B3365" t="s">
        <v>5988</v>
      </c>
    </row>
    <row r="3366" spans="1:2" x14ac:dyDescent="0.25">
      <c r="A3366" t="s">
        <v>1664</v>
      </c>
      <c r="B3366" t="s">
        <v>5818</v>
      </c>
    </row>
    <row r="3367" spans="1:2" x14ac:dyDescent="0.25">
      <c r="A3367" t="s">
        <v>1981</v>
      </c>
      <c r="B3367" t="s">
        <v>5949</v>
      </c>
    </row>
    <row r="3368" spans="1:2" x14ac:dyDescent="0.25">
      <c r="A3368" t="s">
        <v>2638</v>
      </c>
      <c r="B3368" t="s">
        <v>5774</v>
      </c>
    </row>
    <row r="3369" spans="1:2" x14ac:dyDescent="0.25">
      <c r="A3369" t="s">
        <v>5480</v>
      </c>
      <c r="B3369" t="s">
        <v>5774</v>
      </c>
    </row>
    <row r="3370" spans="1:2" x14ac:dyDescent="0.25">
      <c r="A3370" t="s">
        <v>4065</v>
      </c>
      <c r="B3370" t="s">
        <v>5770</v>
      </c>
    </row>
    <row r="3371" spans="1:2" x14ac:dyDescent="0.25">
      <c r="A3371" t="s">
        <v>1184</v>
      </c>
      <c r="B3371" t="s">
        <v>6261</v>
      </c>
    </row>
    <row r="3372" spans="1:2" x14ac:dyDescent="0.25">
      <c r="A3372" t="s">
        <v>625</v>
      </c>
      <c r="B3372" t="s">
        <v>5805</v>
      </c>
    </row>
    <row r="3373" spans="1:2" x14ac:dyDescent="0.25">
      <c r="A3373" t="s">
        <v>4361</v>
      </c>
      <c r="B3373" t="s">
        <v>5721</v>
      </c>
    </row>
    <row r="3374" spans="1:2" x14ac:dyDescent="0.25">
      <c r="A3374" t="s">
        <v>5366</v>
      </c>
      <c r="B3374" t="s">
        <v>5879</v>
      </c>
    </row>
    <row r="3375" spans="1:2" x14ac:dyDescent="0.25">
      <c r="A3375" t="s">
        <v>3993</v>
      </c>
      <c r="B3375" t="s">
        <v>5843</v>
      </c>
    </row>
    <row r="3376" spans="1:2" x14ac:dyDescent="0.25">
      <c r="A3376" t="s">
        <v>3724</v>
      </c>
      <c r="B3376" t="s">
        <v>5922</v>
      </c>
    </row>
    <row r="3377" spans="1:2" x14ac:dyDescent="0.25">
      <c r="A3377" t="s">
        <v>2896</v>
      </c>
      <c r="B3377" t="s">
        <v>5737</v>
      </c>
    </row>
    <row r="3378" spans="1:2" x14ac:dyDescent="0.25">
      <c r="A3378" t="s">
        <v>4696</v>
      </c>
      <c r="B3378" t="s">
        <v>5772</v>
      </c>
    </row>
    <row r="3379" spans="1:2" x14ac:dyDescent="0.25">
      <c r="A3379" t="s">
        <v>4656</v>
      </c>
      <c r="B3379" t="s">
        <v>5708</v>
      </c>
    </row>
    <row r="3380" spans="1:2" x14ac:dyDescent="0.25">
      <c r="A3380" t="s">
        <v>3518</v>
      </c>
      <c r="B3380" t="s">
        <v>6069</v>
      </c>
    </row>
    <row r="3381" spans="1:2" x14ac:dyDescent="0.25">
      <c r="A3381" t="s">
        <v>2496</v>
      </c>
      <c r="B3381" t="s">
        <v>6110</v>
      </c>
    </row>
    <row r="3382" spans="1:2" x14ac:dyDescent="0.25">
      <c r="A3382" t="s">
        <v>3736</v>
      </c>
      <c r="B3382" t="s">
        <v>5899</v>
      </c>
    </row>
    <row r="3383" spans="1:2" x14ac:dyDescent="0.25">
      <c r="A3383" t="s">
        <v>5056</v>
      </c>
      <c r="B3383" t="s">
        <v>5711</v>
      </c>
    </row>
    <row r="3384" spans="1:2" x14ac:dyDescent="0.25">
      <c r="A3384" t="s">
        <v>3279</v>
      </c>
      <c r="B3384" t="s">
        <v>5789</v>
      </c>
    </row>
    <row r="3385" spans="1:2" x14ac:dyDescent="0.25">
      <c r="A3385" t="s">
        <v>1767</v>
      </c>
      <c r="B3385" t="s">
        <v>5862</v>
      </c>
    </row>
    <row r="3386" spans="1:2" x14ac:dyDescent="0.25">
      <c r="A3386" t="s">
        <v>5179</v>
      </c>
      <c r="B3386" t="s">
        <v>5796</v>
      </c>
    </row>
    <row r="3387" spans="1:2" x14ac:dyDescent="0.25">
      <c r="A3387" t="s">
        <v>2471</v>
      </c>
      <c r="B3387" t="s">
        <v>5787</v>
      </c>
    </row>
    <row r="3388" spans="1:2" x14ac:dyDescent="0.25">
      <c r="A3388" t="s">
        <v>881</v>
      </c>
      <c r="B3388" t="s">
        <v>5780</v>
      </c>
    </row>
    <row r="3389" spans="1:2" x14ac:dyDescent="0.25">
      <c r="A3389" t="s">
        <v>10515</v>
      </c>
      <c r="B3389" t="s">
        <v>6167</v>
      </c>
    </row>
    <row r="3390" spans="1:2" x14ac:dyDescent="0.25">
      <c r="A3390" t="s">
        <v>3245</v>
      </c>
      <c r="B3390" t="s">
        <v>5899</v>
      </c>
    </row>
    <row r="3391" spans="1:2" x14ac:dyDescent="0.25">
      <c r="A3391" t="s">
        <v>5409</v>
      </c>
      <c r="B3391" t="s">
        <v>5968</v>
      </c>
    </row>
    <row r="3392" spans="1:2" x14ac:dyDescent="0.25">
      <c r="A3392" t="s">
        <v>2299</v>
      </c>
      <c r="B3392" t="s">
        <v>5704</v>
      </c>
    </row>
    <row r="3393" spans="1:2" x14ac:dyDescent="0.25">
      <c r="A3393" t="s">
        <v>5215</v>
      </c>
      <c r="B3393" t="s">
        <v>5955</v>
      </c>
    </row>
    <row r="3394" spans="1:2" x14ac:dyDescent="0.25">
      <c r="A3394" t="s">
        <v>3399</v>
      </c>
      <c r="B3394" t="s">
        <v>6654</v>
      </c>
    </row>
    <row r="3395" spans="1:2" x14ac:dyDescent="0.25">
      <c r="A3395" t="s">
        <v>589</v>
      </c>
      <c r="B3395" t="s">
        <v>5806</v>
      </c>
    </row>
    <row r="3396" spans="1:2" x14ac:dyDescent="0.25">
      <c r="A3396" t="s">
        <v>2619</v>
      </c>
      <c r="B3396" t="s">
        <v>6036</v>
      </c>
    </row>
    <row r="3397" spans="1:2" x14ac:dyDescent="0.25">
      <c r="A3397" t="s">
        <v>307</v>
      </c>
      <c r="B3397" t="s">
        <v>6245</v>
      </c>
    </row>
    <row r="3398" spans="1:2" x14ac:dyDescent="0.25">
      <c r="A3398" t="s">
        <v>3937</v>
      </c>
      <c r="B3398" t="s">
        <v>5787</v>
      </c>
    </row>
    <row r="3399" spans="1:2" x14ac:dyDescent="0.25">
      <c r="A3399" t="s">
        <v>1299</v>
      </c>
      <c r="B3399" t="s">
        <v>5929</v>
      </c>
    </row>
    <row r="3400" spans="1:2" x14ac:dyDescent="0.25">
      <c r="A3400" t="s">
        <v>2450</v>
      </c>
      <c r="B3400" t="s">
        <v>5787</v>
      </c>
    </row>
    <row r="3401" spans="1:2" x14ac:dyDescent="0.25">
      <c r="A3401" t="s">
        <v>5631</v>
      </c>
      <c r="B3401" t="s">
        <v>5787</v>
      </c>
    </row>
    <row r="3402" spans="1:2" x14ac:dyDescent="0.25">
      <c r="A3402" t="s">
        <v>345</v>
      </c>
      <c r="B3402" t="s">
        <v>6200</v>
      </c>
    </row>
    <row r="3403" spans="1:2" x14ac:dyDescent="0.25">
      <c r="A3403" t="s">
        <v>1346</v>
      </c>
      <c r="B3403" t="s">
        <v>6434</v>
      </c>
    </row>
    <row r="3404" spans="1:2" x14ac:dyDescent="0.25">
      <c r="A3404" t="s">
        <v>5165</v>
      </c>
      <c r="B3404" t="s">
        <v>5841</v>
      </c>
    </row>
    <row r="3405" spans="1:2" x14ac:dyDescent="0.25">
      <c r="A3405" t="s">
        <v>2243</v>
      </c>
      <c r="B3405" t="s">
        <v>5951</v>
      </c>
    </row>
    <row r="3406" spans="1:2" x14ac:dyDescent="0.25">
      <c r="A3406" t="s">
        <v>2207</v>
      </c>
      <c r="B3406" t="s">
        <v>5885</v>
      </c>
    </row>
    <row r="3407" spans="1:2" x14ac:dyDescent="0.25">
      <c r="A3407" t="s">
        <v>3292</v>
      </c>
      <c r="B3407" t="s">
        <v>5716</v>
      </c>
    </row>
    <row r="3408" spans="1:2" x14ac:dyDescent="0.25">
      <c r="A3408" t="s">
        <v>10540</v>
      </c>
      <c r="B3408" t="s">
        <v>5905</v>
      </c>
    </row>
    <row r="3409" spans="1:2" x14ac:dyDescent="0.25">
      <c r="A3409" t="s">
        <v>4639</v>
      </c>
      <c r="B3409" t="s">
        <v>5770</v>
      </c>
    </row>
    <row r="3410" spans="1:2" x14ac:dyDescent="0.25">
      <c r="A3410" t="s">
        <v>5157</v>
      </c>
      <c r="B3410" t="s">
        <v>5837</v>
      </c>
    </row>
    <row r="3411" spans="1:2" x14ac:dyDescent="0.25">
      <c r="A3411" t="s">
        <v>2993</v>
      </c>
      <c r="B3411" t="s">
        <v>6058</v>
      </c>
    </row>
    <row r="3412" spans="1:2" x14ac:dyDescent="0.25">
      <c r="A3412" t="s">
        <v>5085</v>
      </c>
      <c r="B3412" t="s">
        <v>5788</v>
      </c>
    </row>
    <row r="3413" spans="1:2" x14ac:dyDescent="0.25">
      <c r="A3413" t="s">
        <v>1777</v>
      </c>
      <c r="B3413" t="s">
        <v>5787</v>
      </c>
    </row>
    <row r="3414" spans="1:2" x14ac:dyDescent="0.25">
      <c r="A3414" t="s">
        <v>3607</v>
      </c>
      <c r="B3414" t="s">
        <v>6103</v>
      </c>
    </row>
    <row r="3415" spans="1:2" x14ac:dyDescent="0.25">
      <c r="A3415" t="s">
        <v>3063</v>
      </c>
      <c r="B3415" t="s">
        <v>6385</v>
      </c>
    </row>
    <row r="3416" spans="1:2" x14ac:dyDescent="0.25">
      <c r="A3416" t="s">
        <v>4863</v>
      </c>
      <c r="B3416" t="s">
        <v>6024</v>
      </c>
    </row>
    <row r="3417" spans="1:2" x14ac:dyDescent="0.25">
      <c r="A3417" t="s">
        <v>1701</v>
      </c>
      <c r="B3417" t="s">
        <v>6024</v>
      </c>
    </row>
    <row r="3418" spans="1:2" x14ac:dyDescent="0.25">
      <c r="A3418" t="s">
        <v>819</v>
      </c>
      <c r="B3418" t="s">
        <v>5713</v>
      </c>
    </row>
    <row r="3419" spans="1:2" x14ac:dyDescent="0.25">
      <c r="A3419" t="s">
        <v>777</v>
      </c>
      <c r="B3419" t="s">
        <v>5803</v>
      </c>
    </row>
    <row r="3420" spans="1:2" x14ac:dyDescent="0.25">
      <c r="A3420" t="s">
        <v>3082</v>
      </c>
      <c r="B3420" t="s">
        <v>5762</v>
      </c>
    </row>
    <row r="3421" spans="1:2" x14ac:dyDescent="0.25">
      <c r="A3421" t="s">
        <v>3299</v>
      </c>
      <c r="B3421" t="s">
        <v>5886</v>
      </c>
    </row>
    <row r="3422" spans="1:2" x14ac:dyDescent="0.25">
      <c r="A3422" t="s">
        <v>1957</v>
      </c>
      <c r="B3422" t="s">
        <v>6067</v>
      </c>
    </row>
    <row r="3423" spans="1:2" x14ac:dyDescent="0.25">
      <c r="A3423" t="s">
        <v>2985</v>
      </c>
      <c r="B3423" t="s">
        <v>5861</v>
      </c>
    </row>
    <row r="3424" spans="1:2" x14ac:dyDescent="0.25">
      <c r="A3424" t="s">
        <v>4835</v>
      </c>
      <c r="B3424" t="s">
        <v>5708</v>
      </c>
    </row>
    <row r="3425" spans="1:2" x14ac:dyDescent="0.25">
      <c r="A3425" t="s">
        <v>70</v>
      </c>
      <c r="B3425" t="s">
        <v>5787</v>
      </c>
    </row>
    <row r="3426" spans="1:2" x14ac:dyDescent="0.25">
      <c r="A3426" t="s">
        <v>5544</v>
      </c>
      <c r="B3426" t="s">
        <v>6715</v>
      </c>
    </row>
    <row r="3427" spans="1:2" x14ac:dyDescent="0.25">
      <c r="A3427" t="s">
        <v>1171</v>
      </c>
      <c r="B3427" t="s">
        <v>5789</v>
      </c>
    </row>
    <row r="3428" spans="1:2" x14ac:dyDescent="0.25">
      <c r="A3428" t="s">
        <v>1008</v>
      </c>
      <c r="B3428">
        <v>0</v>
      </c>
    </row>
    <row r="3429" spans="1:2" x14ac:dyDescent="0.25">
      <c r="A3429" t="s">
        <v>3747</v>
      </c>
      <c r="B3429" t="s">
        <v>5897</v>
      </c>
    </row>
    <row r="3430" spans="1:2" x14ac:dyDescent="0.25">
      <c r="A3430" t="s">
        <v>2535</v>
      </c>
      <c r="B3430" t="s">
        <v>6228</v>
      </c>
    </row>
    <row r="3431" spans="1:2" x14ac:dyDescent="0.25">
      <c r="A3431" t="s">
        <v>3866</v>
      </c>
      <c r="B3431" t="s">
        <v>5757</v>
      </c>
    </row>
    <row r="3432" spans="1:2" x14ac:dyDescent="0.25">
      <c r="A3432" t="s">
        <v>4033</v>
      </c>
      <c r="B3432" t="s">
        <v>5706</v>
      </c>
    </row>
    <row r="3433" spans="1:2" x14ac:dyDescent="0.25">
      <c r="A3433" t="s">
        <v>2558</v>
      </c>
      <c r="B3433" t="s">
        <v>5787</v>
      </c>
    </row>
    <row r="3434" spans="1:2" x14ac:dyDescent="0.25">
      <c r="A3434" t="s">
        <v>163</v>
      </c>
      <c r="B3434" t="s">
        <v>5706</v>
      </c>
    </row>
    <row r="3435" spans="1:2" x14ac:dyDescent="0.25">
      <c r="A3435" t="s">
        <v>3449</v>
      </c>
      <c r="B3435" t="s">
        <v>5812</v>
      </c>
    </row>
    <row r="3436" spans="1:2" x14ac:dyDescent="0.25">
      <c r="A3436" t="s">
        <v>2613</v>
      </c>
      <c r="B3436" t="s">
        <v>5788</v>
      </c>
    </row>
    <row r="3437" spans="1:2" x14ac:dyDescent="0.25">
      <c r="A3437" t="s">
        <v>4315</v>
      </c>
      <c r="B3437" t="s">
        <v>6684</v>
      </c>
    </row>
    <row r="3438" spans="1:2" x14ac:dyDescent="0.25">
      <c r="A3438" t="s">
        <v>2273</v>
      </c>
      <c r="B3438" t="s">
        <v>6378</v>
      </c>
    </row>
    <row r="3439" spans="1:2" x14ac:dyDescent="0.25">
      <c r="A3439" t="s">
        <v>2002</v>
      </c>
      <c r="B3439" t="s">
        <v>5750</v>
      </c>
    </row>
    <row r="3440" spans="1:2" x14ac:dyDescent="0.25">
      <c r="A3440" t="s">
        <v>4760</v>
      </c>
      <c r="B3440" t="s">
        <v>6179</v>
      </c>
    </row>
    <row r="3441" spans="1:2" x14ac:dyDescent="0.25">
      <c r="A3441" t="s">
        <v>5270</v>
      </c>
      <c r="B3441" t="s">
        <v>6266</v>
      </c>
    </row>
    <row r="3442" spans="1:2" x14ac:dyDescent="0.25">
      <c r="A3442" t="s">
        <v>3540</v>
      </c>
      <c r="B3442" t="s">
        <v>5981</v>
      </c>
    </row>
    <row r="3443" spans="1:2" x14ac:dyDescent="0.25">
      <c r="A3443" t="s">
        <v>2760</v>
      </c>
      <c r="B3443" t="s">
        <v>6043</v>
      </c>
    </row>
    <row r="3444" spans="1:2" x14ac:dyDescent="0.25">
      <c r="A3444" t="s">
        <v>1760</v>
      </c>
      <c r="B3444" t="s">
        <v>6122</v>
      </c>
    </row>
    <row r="3445" spans="1:2" x14ac:dyDescent="0.25">
      <c r="A3445" t="s">
        <v>5541</v>
      </c>
      <c r="B3445" t="s">
        <v>5737</v>
      </c>
    </row>
    <row r="3446" spans="1:2" x14ac:dyDescent="0.25">
      <c r="A3446" t="s">
        <v>5420</v>
      </c>
      <c r="B3446" t="s">
        <v>5797</v>
      </c>
    </row>
    <row r="3447" spans="1:2" x14ac:dyDescent="0.25">
      <c r="A3447" t="s">
        <v>3727</v>
      </c>
      <c r="B3447">
        <v>0</v>
      </c>
    </row>
    <row r="3448" spans="1:2" x14ac:dyDescent="0.25">
      <c r="A3448" t="s">
        <v>3067</v>
      </c>
      <c r="B3448" t="s">
        <v>5759</v>
      </c>
    </row>
    <row r="3449" spans="1:2" x14ac:dyDescent="0.25">
      <c r="A3449" t="s">
        <v>659</v>
      </c>
    </row>
    <row r="3450" spans="1:2" x14ac:dyDescent="0.25">
      <c r="A3450" t="s">
        <v>3140</v>
      </c>
      <c r="B3450" t="s">
        <v>5803</v>
      </c>
    </row>
    <row r="3451" spans="1:2" x14ac:dyDescent="0.25">
      <c r="A3451" t="s">
        <v>384</v>
      </c>
      <c r="B3451" t="s">
        <v>6585</v>
      </c>
    </row>
    <row r="3452" spans="1:2" x14ac:dyDescent="0.25">
      <c r="A3452" t="s">
        <v>1913</v>
      </c>
      <c r="B3452" t="s">
        <v>6175</v>
      </c>
    </row>
    <row r="3453" spans="1:2" x14ac:dyDescent="0.25">
      <c r="A3453" t="s">
        <v>92</v>
      </c>
      <c r="B3453" t="s">
        <v>6308</v>
      </c>
    </row>
    <row r="3454" spans="1:2" x14ac:dyDescent="0.25">
      <c r="A3454" t="s">
        <v>598</v>
      </c>
      <c r="B3454" t="s">
        <v>5787</v>
      </c>
    </row>
    <row r="3455" spans="1:2" x14ac:dyDescent="0.25">
      <c r="A3455" t="s">
        <v>4748</v>
      </c>
      <c r="B3455" t="s">
        <v>5914</v>
      </c>
    </row>
    <row r="3456" spans="1:2" x14ac:dyDescent="0.25">
      <c r="A3456" t="s">
        <v>4289</v>
      </c>
      <c r="B3456" t="s">
        <v>5787</v>
      </c>
    </row>
    <row r="3457" spans="1:2" x14ac:dyDescent="0.25">
      <c r="A3457" t="s">
        <v>4971</v>
      </c>
      <c r="B3457" t="s">
        <v>6206</v>
      </c>
    </row>
    <row r="3458" spans="1:2" x14ac:dyDescent="0.25">
      <c r="A3458" t="s">
        <v>3595</v>
      </c>
      <c r="B3458" t="s">
        <v>5711</v>
      </c>
    </row>
    <row r="3459" spans="1:2" x14ac:dyDescent="0.25">
      <c r="A3459" t="s">
        <v>935</v>
      </c>
      <c r="B3459" t="s">
        <v>5799</v>
      </c>
    </row>
    <row r="3460" spans="1:2" x14ac:dyDescent="0.25">
      <c r="A3460" t="s">
        <v>3382</v>
      </c>
      <c r="B3460" t="s">
        <v>6039</v>
      </c>
    </row>
    <row r="3461" spans="1:2" x14ac:dyDescent="0.25">
      <c r="A3461" t="s">
        <v>338</v>
      </c>
      <c r="B3461" t="s">
        <v>5744</v>
      </c>
    </row>
    <row r="3462" spans="1:2" x14ac:dyDescent="0.25">
      <c r="A3462" t="s">
        <v>2900</v>
      </c>
      <c r="B3462" t="s">
        <v>5766</v>
      </c>
    </row>
    <row r="3463" spans="1:2" x14ac:dyDescent="0.25">
      <c r="A3463" t="s">
        <v>4402</v>
      </c>
      <c r="B3463" t="s">
        <v>5787</v>
      </c>
    </row>
    <row r="3464" spans="1:2" x14ac:dyDescent="0.25">
      <c r="A3464" t="s">
        <v>1357</v>
      </c>
      <c r="B3464" t="s">
        <v>5708</v>
      </c>
    </row>
    <row r="3465" spans="1:2" x14ac:dyDescent="0.25">
      <c r="A3465" t="s">
        <v>2056</v>
      </c>
      <c r="B3465" t="s">
        <v>5740</v>
      </c>
    </row>
    <row r="3466" spans="1:2" x14ac:dyDescent="0.25">
      <c r="A3466" t="s">
        <v>1169</v>
      </c>
      <c r="B3466" t="s">
        <v>5787</v>
      </c>
    </row>
    <row r="3467" spans="1:2" x14ac:dyDescent="0.25">
      <c r="A3467" t="s">
        <v>2644</v>
      </c>
      <c r="B3467" t="s">
        <v>5788</v>
      </c>
    </row>
    <row r="3468" spans="1:2" x14ac:dyDescent="0.25">
      <c r="A3468" t="s">
        <v>3268</v>
      </c>
      <c r="B3468" t="s">
        <v>6210</v>
      </c>
    </row>
    <row r="3469" spans="1:2" x14ac:dyDescent="0.25">
      <c r="A3469" t="s">
        <v>4393</v>
      </c>
      <c r="B3469" t="s">
        <v>6165</v>
      </c>
    </row>
    <row r="3470" spans="1:2" x14ac:dyDescent="0.25">
      <c r="A3470" t="s">
        <v>393</v>
      </c>
      <c r="B3470" t="s">
        <v>6257</v>
      </c>
    </row>
    <row r="3471" spans="1:2" x14ac:dyDescent="0.25">
      <c r="A3471" t="s">
        <v>846</v>
      </c>
      <c r="B3471" t="s">
        <v>5778</v>
      </c>
    </row>
    <row r="3472" spans="1:2" x14ac:dyDescent="0.25">
      <c r="A3472" t="s">
        <v>879</v>
      </c>
      <c r="B3472" t="s">
        <v>5787</v>
      </c>
    </row>
    <row r="3473" spans="1:2" x14ac:dyDescent="0.25">
      <c r="A3473" t="s">
        <v>1114</v>
      </c>
      <c r="B3473" t="s">
        <v>5787</v>
      </c>
    </row>
    <row r="3474" spans="1:2" x14ac:dyDescent="0.25">
      <c r="A3474" t="s">
        <v>2909</v>
      </c>
      <c r="B3474" t="s">
        <v>6185</v>
      </c>
    </row>
    <row r="3475" spans="1:2" x14ac:dyDescent="0.25">
      <c r="A3475" t="s">
        <v>853</v>
      </c>
      <c r="B3475" t="s">
        <v>5805</v>
      </c>
    </row>
    <row r="3476" spans="1:2" x14ac:dyDescent="0.25">
      <c r="A3476" t="s">
        <v>3178</v>
      </c>
      <c r="B3476" t="s">
        <v>5704</v>
      </c>
    </row>
    <row r="3477" spans="1:2" x14ac:dyDescent="0.25">
      <c r="A3477" t="s">
        <v>381</v>
      </c>
      <c r="B3477" t="s">
        <v>5793</v>
      </c>
    </row>
    <row r="3478" spans="1:2" x14ac:dyDescent="0.25">
      <c r="A3478" t="s">
        <v>4150</v>
      </c>
      <c r="B3478" t="s">
        <v>5997</v>
      </c>
    </row>
    <row r="3479" spans="1:2" x14ac:dyDescent="0.25">
      <c r="A3479" t="s">
        <v>2022</v>
      </c>
      <c r="B3479" t="s">
        <v>5793</v>
      </c>
    </row>
    <row r="3480" spans="1:2" x14ac:dyDescent="0.25">
      <c r="A3480" t="s">
        <v>2121</v>
      </c>
      <c r="B3480" t="s">
        <v>6326</v>
      </c>
    </row>
    <row r="3481" spans="1:2" x14ac:dyDescent="0.25">
      <c r="A3481" t="s">
        <v>165</v>
      </c>
      <c r="B3481" t="s">
        <v>5789</v>
      </c>
    </row>
    <row r="3482" spans="1:2" x14ac:dyDescent="0.25">
      <c r="A3482" t="s">
        <v>1522</v>
      </c>
      <c r="B3482" t="s">
        <v>5918</v>
      </c>
    </row>
    <row r="3483" spans="1:2" x14ac:dyDescent="0.25">
      <c r="A3483" t="s">
        <v>1774</v>
      </c>
      <c r="B3483" t="s">
        <v>5790</v>
      </c>
    </row>
    <row r="3484" spans="1:2" x14ac:dyDescent="0.25">
      <c r="A3484" t="s">
        <v>2697</v>
      </c>
      <c r="B3484" t="s">
        <v>5788</v>
      </c>
    </row>
    <row r="3485" spans="1:2" x14ac:dyDescent="0.25">
      <c r="A3485" t="s">
        <v>99</v>
      </c>
      <c r="B3485" t="s">
        <v>5817</v>
      </c>
    </row>
    <row r="3486" spans="1:2" x14ac:dyDescent="0.25">
      <c r="A3486" t="s">
        <v>234</v>
      </c>
      <c r="B3486" t="s">
        <v>5966</v>
      </c>
    </row>
    <row r="3487" spans="1:2" x14ac:dyDescent="0.25">
      <c r="A3487" t="s">
        <v>3105</v>
      </c>
      <c r="B3487" t="s">
        <v>5800</v>
      </c>
    </row>
    <row r="3488" spans="1:2" x14ac:dyDescent="0.25">
      <c r="A3488" t="s">
        <v>3442</v>
      </c>
      <c r="B3488" t="s">
        <v>5713</v>
      </c>
    </row>
    <row r="3489" spans="1:2" x14ac:dyDescent="0.25">
      <c r="A3489" t="s">
        <v>4782</v>
      </c>
      <c r="B3489" t="s">
        <v>5802</v>
      </c>
    </row>
    <row r="3490" spans="1:2" x14ac:dyDescent="0.25">
      <c r="A3490" t="s">
        <v>3348</v>
      </c>
      <c r="B3490" t="s">
        <v>5787</v>
      </c>
    </row>
    <row r="3491" spans="1:2" x14ac:dyDescent="0.25">
      <c r="A3491" t="s">
        <v>2728</v>
      </c>
      <c r="B3491" t="s">
        <v>5734</v>
      </c>
    </row>
    <row r="3492" spans="1:2" x14ac:dyDescent="0.25">
      <c r="A3492" t="s">
        <v>3256</v>
      </c>
      <c r="B3492" t="s">
        <v>5747</v>
      </c>
    </row>
    <row r="3493" spans="1:2" x14ac:dyDescent="0.25">
      <c r="A3493" t="s">
        <v>1892</v>
      </c>
      <c r="B3493" t="s">
        <v>6457</v>
      </c>
    </row>
    <row r="3494" spans="1:2" x14ac:dyDescent="0.25">
      <c r="A3494" t="s">
        <v>4954</v>
      </c>
      <c r="B3494" t="s">
        <v>5810</v>
      </c>
    </row>
    <row r="3495" spans="1:2" x14ac:dyDescent="0.25">
      <c r="A3495" t="s">
        <v>5381</v>
      </c>
      <c r="B3495" t="s">
        <v>5881</v>
      </c>
    </row>
    <row r="3496" spans="1:2" x14ac:dyDescent="0.25">
      <c r="A3496" t="s">
        <v>5446</v>
      </c>
      <c r="B3496" t="s">
        <v>5858</v>
      </c>
    </row>
    <row r="3497" spans="1:2" x14ac:dyDescent="0.25">
      <c r="A3497" t="s">
        <v>1969</v>
      </c>
      <c r="B3497" t="s">
        <v>5740</v>
      </c>
    </row>
    <row r="3498" spans="1:2" x14ac:dyDescent="0.25">
      <c r="A3498" t="s">
        <v>2339</v>
      </c>
      <c r="B3498" t="s">
        <v>5803</v>
      </c>
    </row>
    <row r="3499" spans="1:2" x14ac:dyDescent="0.25">
      <c r="A3499" t="s">
        <v>928</v>
      </c>
      <c r="B3499" t="s">
        <v>5787</v>
      </c>
    </row>
    <row r="3500" spans="1:2" x14ac:dyDescent="0.25">
      <c r="A3500" t="s">
        <v>2552</v>
      </c>
      <c r="B3500" t="s">
        <v>5768</v>
      </c>
    </row>
    <row r="3501" spans="1:2" x14ac:dyDescent="0.25">
      <c r="A3501" t="s">
        <v>1934</v>
      </c>
      <c r="B3501" t="s">
        <v>5802</v>
      </c>
    </row>
    <row r="3502" spans="1:2" x14ac:dyDescent="0.25">
      <c r="A3502" t="s">
        <v>2526</v>
      </c>
      <c r="B3502" t="s">
        <v>5860</v>
      </c>
    </row>
    <row r="3503" spans="1:2" x14ac:dyDescent="0.25">
      <c r="A3503" t="s">
        <v>3116</v>
      </c>
      <c r="B3503" t="s">
        <v>5788</v>
      </c>
    </row>
    <row r="3504" spans="1:2" x14ac:dyDescent="0.25">
      <c r="A3504" t="s">
        <v>3072</v>
      </c>
      <c r="B3504" t="s">
        <v>5802</v>
      </c>
    </row>
    <row r="3505" spans="1:2" x14ac:dyDescent="0.25">
      <c r="A3505" t="s">
        <v>903</v>
      </c>
      <c r="B3505" t="s">
        <v>5790</v>
      </c>
    </row>
    <row r="3506" spans="1:2" x14ac:dyDescent="0.25">
      <c r="A3506" t="s">
        <v>1315</v>
      </c>
      <c r="B3506" t="s">
        <v>5711</v>
      </c>
    </row>
    <row r="3507" spans="1:2" x14ac:dyDescent="0.25">
      <c r="A3507" t="s">
        <v>3045</v>
      </c>
      <c r="B3507" t="s">
        <v>5828</v>
      </c>
    </row>
    <row r="3508" spans="1:2" x14ac:dyDescent="0.25">
      <c r="A3508" t="s">
        <v>1127</v>
      </c>
      <c r="B3508" t="s">
        <v>6149</v>
      </c>
    </row>
    <row r="3509" spans="1:2" x14ac:dyDescent="0.25">
      <c r="A3509" t="s">
        <v>2128</v>
      </c>
      <c r="B3509" t="s">
        <v>5840</v>
      </c>
    </row>
    <row r="3510" spans="1:2" x14ac:dyDescent="0.25">
      <c r="A3510" t="s">
        <v>4353</v>
      </c>
      <c r="B3510" t="s">
        <v>6653</v>
      </c>
    </row>
    <row r="3511" spans="1:2" x14ac:dyDescent="0.25">
      <c r="A3511" t="s">
        <v>4628</v>
      </c>
      <c r="B3511" t="s">
        <v>5708</v>
      </c>
    </row>
    <row r="3512" spans="1:2" x14ac:dyDescent="0.25">
      <c r="A3512" t="s">
        <v>2177</v>
      </c>
      <c r="B3512" t="s">
        <v>5787</v>
      </c>
    </row>
    <row r="3513" spans="1:2" x14ac:dyDescent="0.25">
      <c r="A3513" t="s">
        <v>1188</v>
      </c>
      <c r="B3513" t="s">
        <v>5795</v>
      </c>
    </row>
    <row r="3514" spans="1:2" x14ac:dyDescent="0.25">
      <c r="A3514" t="s">
        <v>1747</v>
      </c>
      <c r="B3514" t="s">
        <v>5972</v>
      </c>
    </row>
    <row r="3515" spans="1:2" x14ac:dyDescent="0.25">
      <c r="A3515" t="s">
        <v>679</v>
      </c>
      <c r="B3515" t="s">
        <v>5787</v>
      </c>
    </row>
    <row r="3516" spans="1:2" x14ac:dyDescent="0.25">
      <c r="A3516" t="s">
        <v>984</v>
      </c>
      <c r="B3516" t="s">
        <v>5788</v>
      </c>
    </row>
    <row r="3517" spans="1:2" x14ac:dyDescent="0.25">
      <c r="A3517" t="s">
        <v>2238</v>
      </c>
      <c r="B3517" t="s">
        <v>5811</v>
      </c>
    </row>
    <row r="3518" spans="1:2" x14ac:dyDescent="0.25">
      <c r="A3518" t="s">
        <v>1146</v>
      </c>
      <c r="B3518" t="s">
        <v>5721</v>
      </c>
    </row>
    <row r="3519" spans="1:2" x14ac:dyDescent="0.25">
      <c r="A3519" t="s">
        <v>2681</v>
      </c>
      <c r="B3519" t="s">
        <v>5721</v>
      </c>
    </row>
    <row r="3520" spans="1:2" x14ac:dyDescent="0.25">
      <c r="A3520" t="s">
        <v>5602</v>
      </c>
      <c r="B3520" t="s">
        <v>5789</v>
      </c>
    </row>
    <row r="3521" spans="1:2" x14ac:dyDescent="0.25">
      <c r="A3521" t="s">
        <v>1087</v>
      </c>
      <c r="B3521" t="s">
        <v>5796</v>
      </c>
    </row>
    <row r="3522" spans="1:2" x14ac:dyDescent="0.25">
      <c r="A3522" t="s">
        <v>4496</v>
      </c>
      <c r="B3522" t="s">
        <v>5788</v>
      </c>
    </row>
    <row r="3523" spans="1:2" x14ac:dyDescent="0.25">
      <c r="A3523" t="s">
        <v>1092</v>
      </c>
      <c r="B3523" t="s">
        <v>5817</v>
      </c>
    </row>
    <row r="3524" spans="1:2" x14ac:dyDescent="0.25">
      <c r="A3524" t="s">
        <v>2028</v>
      </c>
      <c r="B3524" t="s">
        <v>5920</v>
      </c>
    </row>
    <row r="3525" spans="1:2" x14ac:dyDescent="0.25">
      <c r="A3525" t="s">
        <v>1520</v>
      </c>
      <c r="B3525" t="s">
        <v>6342</v>
      </c>
    </row>
    <row r="3526" spans="1:2" x14ac:dyDescent="0.25">
      <c r="A3526" t="s">
        <v>2165</v>
      </c>
      <c r="B3526" t="s">
        <v>5895</v>
      </c>
    </row>
    <row r="3527" spans="1:2" x14ac:dyDescent="0.25">
      <c r="A3527" t="s">
        <v>2249</v>
      </c>
      <c r="B3527" t="s">
        <v>5873</v>
      </c>
    </row>
    <row r="3528" spans="1:2" x14ac:dyDescent="0.25">
      <c r="A3528" t="s">
        <v>5586</v>
      </c>
      <c r="B3528" t="s">
        <v>6088</v>
      </c>
    </row>
    <row r="3529" spans="1:2" x14ac:dyDescent="0.25">
      <c r="A3529" t="s">
        <v>2332</v>
      </c>
      <c r="B3529" t="s">
        <v>6282</v>
      </c>
    </row>
    <row r="3530" spans="1:2" x14ac:dyDescent="0.25">
      <c r="A3530" t="s">
        <v>2210</v>
      </c>
      <c r="B3530" t="s">
        <v>5750</v>
      </c>
    </row>
    <row r="3531" spans="1:2" x14ac:dyDescent="0.25">
      <c r="A3531" t="s">
        <v>2742</v>
      </c>
      <c r="B3531" t="s">
        <v>5970</v>
      </c>
    </row>
    <row r="3532" spans="1:2" x14ac:dyDescent="0.25">
      <c r="A3532" t="s">
        <v>4351</v>
      </c>
      <c r="B3532" t="s">
        <v>5787</v>
      </c>
    </row>
    <row r="3533" spans="1:2" x14ac:dyDescent="0.25">
      <c r="A3533" t="s">
        <v>3327</v>
      </c>
      <c r="B3533" t="s">
        <v>5795</v>
      </c>
    </row>
    <row r="3534" spans="1:2" x14ac:dyDescent="0.25">
      <c r="A3534" t="s">
        <v>1333</v>
      </c>
      <c r="B3534" t="s">
        <v>5983</v>
      </c>
    </row>
    <row r="3535" spans="1:2" x14ac:dyDescent="0.25">
      <c r="A3535" t="s">
        <v>3476</v>
      </c>
      <c r="B3535" t="s">
        <v>6564</v>
      </c>
    </row>
    <row r="3536" spans="1:2" x14ac:dyDescent="0.25">
      <c r="A3536" t="s">
        <v>2849</v>
      </c>
      <c r="B3536" t="s">
        <v>6712</v>
      </c>
    </row>
    <row r="3537" spans="1:2" x14ac:dyDescent="0.25">
      <c r="A3537" t="s">
        <v>831</v>
      </c>
      <c r="B3537" t="s">
        <v>5719</v>
      </c>
    </row>
    <row r="3538" spans="1:2" x14ac:dyDescent="0.25">
      <c r="A3538" t="s">
        <v>532</v>
      </c>
      <c r="B3538" t="s">
        <v>5787</v>
      </c>
    </row>
    <row r="3539" spans="1:2" x14ac:dyDescent="0.25">
      <c r="A3539" t="s">
        <v>5073</v>
      </c>
      <c r="B3539" t="s">
        <v>6052</v>
      </c>
    </row>
    <row r="3540" spans="1:2" x14ac:dyDescent="0.25">
      <c r="A3540" t="s">
        <v>944</v>
      </c>
      <c r="B3540" t="s">
        <v>5851</v>
      </c>
    </row>
    <row r="3541" spans="1:2" x14ac:dyDescent="0.25">
      <c r="A3541" t="s">
        <v>1241</v>
      </c>
      <c r="B3541" t="s">
        <v>5706</v>
      </c>
    </row>
    <row r="3542" spans="1:2" x14ac:dyDescent="0.25">
      <c r="A3542" t="s">
        <v>3955</v>
      </c>
      <c r="B3542" t="s">
        <v>5906</v>
      </c>
    </row>
    <row r="3543" spans="1:2" x14ac:dyDescent="0.25">
      <c r="A3543" t="s">
        <v>31752</v>
      </c>
      <c r="B3543" t="s">
        <v>5787</v>
      </c>
    </row>
    <row r="3544" spans="1:2" x14ac:dyDescent="0.25">
      <c r="A3544" t="s">
        <v>690</v>
      </c>
      <c r="B3544" t="s">
        <v>5787</v>
      </c>
    </row>
    <row r="3545" spans="1:2" x14ac:dyDescent="0.25">
      <c r="A3545" t="s">
        <v>386</v>
      </c>
      <c r="B3545" t="s">
        <v>5706</v>
      </c>
    </row>
    <row r="3546" spans="1:2" x14ac:dyDescent="0.25">
      <c r="A3546" t="s">
        <v>2101</v>
      </c>
      <c r="B3546" t="s">
        <v>5706</v>
      </c>
    </row>
    <row r="3547" spans="1:2" x14ac:dyDescent="0.25">
      <c r="A3547" t="s">
        <v>23</v>
      </c>
      <c r="B3547" t="s">
        <v>5787</v>
      </c>
    </row>
    <row r="3548" spans="1:2" x14ac:dyDescent="0.25">
      <c r="A3548" t="s">
        <v>7</v>
      </c>
      <c r="B3548" t="s">
        <v>5793</v>
      </c>
    </row>
    <row r="3549" spans="1:2" x14ac:dyDescent="0.25">
      <c r="A3549" t="s">
        <v>3380</v>
      </c>
      <c r="B3549" t="s">
        <v>6128</v>
      </c>
    </row>
    <row r="3550" spans="1:2" x14ac:dyDescent="0.25">
      <c r="A3550" t="s">
        <v>507</v>
      </c>
      <c r="B3550" t="s">
        <v>5787</v>
      </c>
    </row>
    <row r="3551" spans="1:2" x14ac:dyDescent="0.25">
      <c r="A3551" t="s">
        <v>5218</v>
      </c>
      <c r="B3551" t="s">
        <v>5724</v>
      </c>
    </row>
    <row r="3552" spans="1:2" x14ac:dyDescent="0.25">
      <c r="A3552" t="s">
        <v>4882</v>
      </c>
      <c r="B3552" t="s">
        <v>5789</v>
      </c>
    </row>
    <row r="3553" spans="1:2" x14ac:dyDescent="0.25">
      <c r="A3553" t="s">
        <v>1075</v>
      </c>
      <c r="B3553" t="s">
        <v>5730</v>
      </c>
    </row>
    <row r="3554" spans="1:2" x14ac:dyDescent="0.25">
      <c r="A3554" t="s">
        <v>241</v>
      </c>
      <c r="B3554" t="s">
        <v>5724</v>
      </c>
    </row>
    <row r="3555" spans="1:2" x14ac:dyDescent="0.25">
      <c r="A3555" t="s">
        <v>4504</v>
      </c>
      <c r="B3555" t="s">
        <v>5708</v>
      </c>
    </row>
    <row r="3556" spans="1:2" x14ac:dyDescent="0.25">
      <c r="A3556" t="s">
        <v>1335</v>
      </c>
      <c r="B3556" t="s">
        <v>5869</v>
      </c>
    </row>
    <row r="3557" spans="1:2" x14ac:dyDescent="0.25">
      <c r="A3557" t="s">
        <v>3416</v>
      </c>
      <c r="B3557" t="s">
        <v>5860</v>
      </c>
    </row>
    <row r="3558" spans="1:2" x14ac:dyDescent="0.25">
      <c r="A3558" t="s">
        <v>2085</v>
      </c>
      <c r="B3558" t="s">
        <v>6720</v>
      </c>
    </row>
    <row r="3559" spans="1:2" x14ac:dyDescent="0.25">
      <c r="A3559" t="s">
        <v>1058</v>
      </c>
      <c r="B3559" t="s">
        <v>6384</v>
      </c>
    </row>
    <row r="3560" spans="1:2" x14ac:dyDescent="0.25">
      <c r="A3560" t="s">
        <v>1546</v>
      </c>
      <c r="B3560" t="s">
        <v>5787</v>
      </c>
    </row>
    <row r="3561" spans="1:2" x14ac:dyDescent="0.25">
      <c r="A3561" t="s">
        <v>352</v>
      </c>
      <c r="B3561" t="s">
        <v>5838</v>
      </c>
    </row>
    <row r="3562" spans="1:2" x14ac:dyDescent="0.25">
      <c r="A3562" t="s">
        <v>3330</v>
      </c>
      <c r="B3562" t="s">
        <v>5867</v>
      </c>
    </row>
    <row r="3563" spans="1:2" x14ac:dyDescent="0.25">
      <c r="A3563" t="s">
        <v>5436</v>
      </c>
      <c r="B3563" t="s">
        <v>5894</v>
      </c>
    </row>
    <row r="3564" spans="1:2" x14ac:dyDescent="0.25">
      <c r="A3564" t="s">
        <v>2920</v>
      </c>
      <c r="B3564" t="s">
        <v>5711</v>
      </c>
    </row>
    <row r="3565" spans="1:2" x14ac:dyDescent="0.25">
      <c r="A3565" t="s">
        <v>498</v>
      </c>
      <c r="B3565" t="s">
        <v>5990</v>
      </c>
    </row>
    <row r="3566" spans="1:2" x14ac:dyDescent="0.25">
      <c r="A3566" t="s">
        <v>3470</v>
      </c>
      <c r="B3566" t="s">
        <v>5800</v>
      </c>
    </row>
    <row r="3567" spans="1:2" x14ac:dyDescent="0.25">
      <c r="A3567" t="s">
        <v>271</v>
      </c>
      <c r="B3567" t="s">
        <v>5787</v>
      </c>
    </row>
    <row r="3568" spans="1:2" x14ac:dyDescent="0.25">
      <c r="A3568" t="s">
        <v>5292</v>
      </c>
      <c r="B3568" t="s">
        <v>5787</v>
      </c>
    </row>
    <row r="3569" spans="1:2" x14ac:dyDescent="0.25">
      <c r="A3569" t="s">
        <v>2250</v>
      </c>
      <c r="B3569" t="s">
        <v>5878</v>
      </c>
    </row>
    <row r="3570" spans="1:2" x14ac:dyDescent="0.25">
      <c r="A3570" t="s">
        <v>1973</v>
      </c>
      <c r="B3570" t="s">
        <v>5814</v>
      </c>
    </row>
    <row r="3571" spans="1:2" x14ac:dyDescent="0.25">
      <c r="A3571" t="s">
        <v>2392</v>
      </c>
      <c r="B3571" t="s">
        <v>5891</v>
      </c>
    </row>
    <row r="3572" spans="1:2" x14ac:dyDescent="0.25">
      <c r="A3572" t="s">
        <v>5192</v>
      </c>
      <c r="B3572" t="s">
        <v>5831</v>
      </c>
    </row>
    <row r="3573" spans="1:2" x14ac:dyDescent="0.25">
      <c r="A3573" t="s">
        <v>5454</v>
      </c>
      <c r="B3573" t="s">
        <v>6178</v>
      </c>
    </row>
    <row r="3574" spans="1:2" x14ac:dyDescent="0.25">
      <c r="A3574" t="s">
        <v>5418</v>
      </c>
      <c r="B3574" t="s">
        <v>5750</v>
      </c>
    </row>
    <row r="3575" spans="1:2" x14ac:dyDescent="0.25">
      <c r="A3575" t="s">
        <v>4561</v>
      </c>
      <c r="B3575" t="s">
        <v>5724</v>
      </c>
    </row>
    <row r="3576" spans="1:2" x14ac:dyDescent="0.25">
      <c r="A3576" t="s">
        <v>2155</v>
      </c>
      <c r="B3576" t="s">
        <v>5792</v>
      </c>
    </row>
    <row r="3577" spans="1:2" x14ac:dyDescent="0.25">
      <c r="A3577" t="s">
        <v>2100</v>
      </c>
      <c r="B3577" t="s">
        <v>6083</v>
      </c>
    </row>
    <row r="3578" spans="1:2" x14ac:dyDescent="0.25">
      <c r="A3578" t="s">
        <v>4211</v>
      </c>
      <c r="B3578" t="s">
        <v>5770</v>
      </c>
    </row>
    <row r="3579" spans="1:2" x14ac:dyDescent="0.25">
      <c r="A3579" t="s">
        <v>1367</v>
      </c>
      <c r="B3579" t="s">
        <v>6768</v>
      </c>
    </row>
    <row r="3580" spans="1:2" x14ac:dyDescent="0.25">
      <c r="A3580" t="s">
        <v>3137</v>
      </c>
      <c r="B3580" t="s">
        <v>5803</v>
      </c>
    </row>
    <row r="3581" spans="1:2" x14ac:dyDescent="0.25">
      <c r="A3581" t="s">
        <v>1707</v>
      </c>
      <c r="B3581" t="s">
        <v>5790</v>
      </c>
    </row>
    <row r="3582" spans="1:2" x14ac:dyDescent="0.25">
      <c r="A3582" t="s">
        <v>323</v>
      </c>
      <c r="B3582" t="s">
        <v>5927</v>
      </c>
    </row>
    <row r="3583" spans="1:2" x14ac:dyDescent="0.25">
      <c r="A3583" t="s">
        <v>3506</v>
      </c>
      <c r="B3583" t="s">
        <v>5788</v>
      </c>
    </row>
    <row r="3584" spans="1:2" x14ac:dyDescent="0.25">
      <c r="A3584" t="s">
        <v>2880</v>
      </c>
      <c r="B3584" t="s">
        <v>5716</v>
      </c>
    </row>
    <row r="3585" spans="1:2" x14ac:dyDescent="0.25">
      <c r="A3585" t="s">
        <v>5717</v>
      </c>
      <c r="B3585" t="s">
        <v>5716</v>
      </c>
    </row>
    <row r="3586" spans="1:2" x14ac:dyDescent="0.25">
      <c r="A3586" t="s">
        <v>2618</v>
      </c>
      <c r="B3586" t="s">
        <v>5719</v>
      </c>
    </row>
    <row r="3587" spans="1:2" x14ac:dyDescent="0.25">
      <c r="A3587" t="s">
        <v>237</v>
      </c>
      <c r="B3587">
        <v>0</v>
      </c>
    </row>
    <row r="3588" spans="1:2" x14ac:dyDescent="0.25">
      <c r="A3588" t="s">
        <v>4661</v>
      </c>
      <c r="B3588" t="s">
        <v>5951</v>
      </c>
    </row>
    <row r="3589" spans="1:2" x14ac:dyDescent="0.25">
      <c r="A3589" t="s">
        <v>4016</v>
      </c>
      <c r="B3589" t="s">
        <v>5787</v>
      </c>
    </row>
    <row r="3590" spans="1:2" x14ac:dyDescent="0.25">
      <c r="A3590" t="s">
        <v>2421</v>
      </c>
      <c r="B3590" t="s">
        <v>5744</v>
      </c>
    </row>
    <row r="3591" spans="1:2" x14ac:dyDescent="0.25">
      <c r="A3591" t="s">
        <v>4502</v>
      </c>
      <c r="B3591" t="s">
        <v>5744</v>
      </c>
    </row>
    <row r="3592" spans="1:2" x14ac:dyDescent="0.25">
      <c r="A3592" t="s">
        <v>4770</v>
      </c>
      <c r="B3592" t="s">
        <v>5936</v>
      </c>
    </row>
    <row r="3593" spans="1:2" x14ac:dyDescent="0.25">
      <c r="A3593" t="s">
        <v>2894</v>
      </c>
      <c r="B3593" t="s">
        <v>5805</v>
      </c>
    </row>
    <row r="3594" spans="1:2" x14ac:dyDescent="0.25">
      <c r="A3594" t="s">
        <v>5694</v>
      </c>
    </row>
    <row r="3595" spans="1:2" x14ac:dyDescent="0.25">
      <c r="A3595" t="s">
        <v>3112</v>
      </c>
      <c r="B3595" t="s">
        <v>5778</v>
      </c>
    </row>
    <row r="3596" spans="1:2" x14ac:dyDescent="0.25">
      <c r="A3596" t="s">
        <v>4066</v>
      </c>
      <c r="B3596" t="s">
        <v>5706</v>
      </c>
    </row>
    <row r="3597" spans="1:2" x14ac:dyDescent="0.25">
      <c r="A3597" t="s">
        <v>4604</v>
      </c>
      <c r="B3597" t="s">
        <v>6096</v>
      </c>
    </row>
    <row r="3598" spans="1:2" x14ac:dyDescent="0.25">
      <c r="A3598" t="s">
        <v>4466</v>
      </c>
      <c r="B3598" t="s">
        <v>5839</v>
      </c>
    </row>
    <row r="3599" spans="1:2" x14ac:dyDescent="0.25">
      <c r="A3599" t="s">
        <v>3883</v>
      </c>
      <c r="B3599" t="s">
        <v>5938</v>
      </c>
    </row>
    <row r="3600" spans="1:2" x14ac:dyDescent="0.25">
      <c r="A3600" t="s">
        <v>983</v>
      </c>
      <c r="B3600" t="s">
        <v>5796</v>
      </c>
    </row>
    <row r="3601" spans="1:2" x14ac:dyDescent="0.25">
      <c r="A3601" t="s">
        <v>3790</v>
      </c>
      <c r="B3601" t="s">
        <v>5925</v>
      </c>
    </row>
    <row r="3602" spans="1:2" x14ac:dyDescent="0.25">
      <c r="A3602" t="s">
        <v>398</v>
      </c>
      <c r="B3602" t="s">
        <v>5787</v>
      </c>
    </row>
    <row r="3603" spans="1:2" x14ac:dyDescent="0.25">
      <c r="A3603" t="s">
        <v>4802</v>
      </c>
      <c r="B3603" t="s">
        <v>5940</v>
      </c>
    </row>
    <row r="3604" spans="1:2" x14ac:dyDescent="0.25">
      <c r="A3604" t="s">
        <v>5677</v>
      </c>
      <c r="B3604" t="s">
        <v>5789</v>
      </c>
    </row>
    <row r="3605" spans="1:2" x14ac:dyDescent="0.25">
      <c r="A3605" t="s">
        <v>10747</v>
      </c>
      <c r="B3605" t="s">
        <v>6769</v>
      </c>
    </row>
    <row r="3606" spans="1:2" x14ac:dyDescent="0.25">
      <c r="A3606" t="s">
        <v>3147</v>
      </c>
      <c r="B3606" t="s">
        <v>5794</v>
      </c>
    </row>
    <row r="3607" spans="1:2" x14ac:dyDescent="0.25">
      <c r="A3607" t="s">
        <v>1288</v>
      </c>
      <c r="B3607" t="s">
        <v>5787</v>
      </c>
    </row>
    <row r="3608" spans="1:2" x14ac:dyDescent="0.25">
      <c r="A3608" t="s">
        <v>4423</v>
      </c>
      <c r="B3608" t="s">
        <v>5787</v>
      </c>
    </row>
    <row r="3609" spans="1:2" x14ac:dyDescent="0.25">
      <c r="A3609" t="s">
        <v>11</v>
      </c>
      <c r="B3609" t="s">
        <v>5982</v>
      </c>
    </row>
    <row r="3610" spans="1:2" x14ac:dyDescent="0.25">
      <c r="A3610" t="s">
        <v>5300</v>
      </c>
      <c r="B3610" t="s">
        <v>5780</v>
      </c>
    </row>
    <row r="3611" spans="1:2" x14ac:dyDescent="0.25">
      <c r="A3611" t="s">
        <v>4280</v>
      </c>
      <c r="B3611" t="s">
        <v>5790</v>
      </c>
    </row>
    <row r="3612" spans="1:2" x14ac:dyDescent="0.25">
      <c r="A3612" t="s">
        <v>4136</v>
      </c>
      <c r="B3612" t="s">
        <v>6660</v>
      </c>
    </row>
    <row r="3613" spans="1:2" x14ac:dyDescent="0.25">
      <c r="A3613" t="s">
        <v>2029</v>
      </c>
      <c r="B3613" t="s">
        <v>5823</v>
      </c>
    </row>
    <row r="3614" spans="1:2" x14ac:dyDescent="0.25">
      <c r="A3614" t="s">
        <v>4249</v>
      </c>
      <c r="B3614" t="s">
        <v>5958</v>
      </c>
    </row>
    <row r="3615" spans="1:2" x14ac:dyDescent="0.25">
      <c r="A3615" t="s">
        <v>3907</v>
      </c>
      <c r="B3615" t="s">
        <v>5880</v>
      </c>
    </row>
    <row r="3616" spans="1:2" x14ac:dyDescent="0.25">
      <c r="A3616" t="s">
        <v>10762</v>
      </c>
      <c r="B3616" t="s">
        <v>5844</v>
      </c>
    </row>
    <row r="3617" spans="1:2" x14ac:dyDescent="0.25">
      <c r="A3617" t="s">
        <v>513</v>
      </c>
      <c r="B3617" t="s">
        <v>5724</v>
      </c>
    </row>
    <row r="3618" spans="1:2" x14ac:dyDescent="0.25">
      <c r="A3618" t="s">
        <v>2265</v>
      </c>
      <c r="B3618" t="s">
        <v>6505</v>
      </c>
    </row>
    <row r="3619" spans="1:2" x14ac:dyDescent="0.25">
      <c r="A3619" t="s">
        <v>4320</v>
      </c>
      <c r="B3619" t="s">
        <v>5728</v>
      </c>
    </row>
    <row r="3620" spans="1:2" x14ac:dyDescent="0.25">
      <c r="A3620" t="s">
        <v>1682</v>
      </c>
      <c r="B3620" t="s">
        <v>6066</v>
      </c>
    </row>
    <row r="3621" spans="1:2" x14ac:dyDescent="0.25">
      <c r="A3621" t="s">
        <v>3202</v>
      </c>
      <c r="B3621" t="s">
        <v>5855</v>
      </c>
    </row>
    <row r="3622" spans="1:2" x14ac:dyDescent="0.25">
      <c r="A3622" t="s">
        <v>4537</v>
      </c>
      <c r="B3622" t="s">
        <v>5821</v>
      </c>
    </row>
    <row r="3623" spans="1:2" x14ac:dyDescent="0.25">
      <c r="A3623" t="s">
        <v>4847</v>
      </c>
      <c r="B3623" t="s">
        <v>5854</v>
      </c>
    </row>
    <row r="3624" spans="1:2" x14ac:dyDescent="0.25">
      <c r="A3624" t="s">
        <v>815</v>
      </c>
      <c r="B3624" t="s">
        <v>5704</v>
      </c>
    </row>
    <row r="3625" spans="1:2" x14ac:dyDescent="0.25">
      <c r="A3625" t="s">
        <v>762</v>
      </c>
      <c r="B3625" t="s">
        <v>5854</v>
      </c>
    </row>
    <row r="3626" spans="1:2" x14ac:dyDescent="0.25">
      <c r="A3626" t="s">
        <v>294</v>
      </c>
      <c r="B3626" t="s">
        <v>5787</v>
      </c>
    </row>
    <row r="3627" spans="1:2" x14ac:dyDescent="0.25">
      <c r="A3627" t="s">
        <v>3904</v>
      </c>
      <c r="B3627" t="s">
        <v>5797</v>
      </c>
    </row>
    <row r="3628" spans="1:2" x14ac:dyDescent="0.25">
      <c r="A3628" t="s">
        <v>3244</v>
      </c>
      <c r="B3628" t="s">
        <v>6120</v>
      </c>
    </row>
    <row r="3629" spans="1:2" x14ac:dyDescent="0.25">
      <c r="A3629" t="s">
        <v>1233</v>
      </c>
      <c r="B3629" t="s">
        <v>5787</v>
      </c>
    </row>
    <row r="3630" spans="1:2" x14ac:dyDescent="0.25">
      <c r="A3630" t="s">
        <v>3637</v>
      </c>
      <c r="B3630" t="s">
        <v>5711</v>
      </c>
    </row>
    <row r="3631" spans="1:2" x14ac:dyDescent="0.25">
      <c r="A3631" t="s">
        <v>3610</v>
      </c>
      <c r="B3631" t="s">
        <v>5787</v>
      </c>
    </row>
    <row r="3632" spans="1:2" x14ac:dyDescent="0.25">
      <c r="A3632" t="s">
        <v>2164</v>
      </c>
      <c r="B3632" t="s">
        <v>5787</v>
      </c>
    </row>
    <row r="3633" spans="1:2" x14ac:dyDescent="0.25">
      <c r="A3633" t="s">
        <v>4138</v>
      </c>
      <c r="B3633" t="s">
        <v>6125</v>
      </c>
    </row>
    <row r="3634" spans="1:2" x14ac:dyDescent="0.25">
      <c r="A3634" t="s">
        <v>915</v>
      </c>
      <c r="B3634" t="s">
        <v>5862</v>
      </c>
    </row>
    <row r="3635" spans="1:2" x14ac:dyDescent="0.25">
      <c r="A3635" t="s">
        <v>3437</v>
      </c>
      <c r="B3635" t="s">
        <v>5721</v>
      </c>
    </row>
    <row r="3636" spans="1:2" x14ac:dyDescent="0.25">
      <c r="A3636" t="s">
        <v>5122</v>
      </c>
      <c r="B3636" t="s">
        <v>6023</v>
      </c>
    </row>
    <row r="3637" spans="1:2" x14ac:dyDescent="0.25">
      <c r="A3637" t="s">
        <v>3903</v>
      </c>
      <c r="B3637" t="s">
        <v>5721</v>
      </c>
    </row>
    <row r="3638" spans="1:2" x14ac:dyDescent="0.25">
      <c r="A3638" t="s">
        <v>722</v>
      </c>
      <c r="B3638" t="s">
        <v>5787</v>
      </c>
    </row>
    <row r="3639" spans="1:2" x14ac:dyDescent="0.25">
      <c r="A3639" t="s">
        <v>221</v>
      </c>
      <c r="B3639" t="s">
        <v>5787</v>
      </c>
    </row>
    <row r="3640" spans="1:2" x14ac:dyDescent="0.25">
      <c r="A3640" t="s">
        <v>2122</v>
      </c>
      <c r="B3640" t="s">
        <v>6220</v>
      </c>
    </row>
    <row r="3641" spans="1:2" x14ac:dyDescent="0.25">
      <c r="A3641" t="s">
        <v>1833</v>
      </c>
      <c r="B3641" t="s">
        <v>6208</v>
      </c>
    </row>
    <row r="3642" spans="1:2" x14ac:dyDescent="0.25">
      <c r="A3642" t="s">
        <v>1930</v>
      </c>
      <c r="B3642" t="s">
        <v>6313</v>
      </c>
    </row>
    <row r="3643" spans="1:2" x14ac:dyDescent="0.25">
      <c r="A3643" t="s">
        <v>3584</v>
      </c>
      <c r="B3643" t="s">
        <v>5812</v>
      </c>
    </row>
    <row r="3644" spans="1:2" x14ac:dyDescent="0.25">
      <c r="A3644" t="s">
        <v>298</v>
      </c>
      <c r="B3644" t="s">
        <v>5870</v>
      </c>
    </row>
    <row r="3645" spans="1:2" x14ac:dyDescent="0.25">
      <c r="A3645" t="s">
        <v>350</v>
      </c>
      <c r="B3645" t="s">
        <v>5787</v>
      </c>
    </row>
    <row r="3646" spans="1:2" x14ac:dyDescent="0.25">
      <c r="A3646" t="s">
        <v>688</v>
      </c>
      <c r="B3646" t="s">
        <v>5973</v>
      </c>
    </row>
    <row r="3647" spans="1:2" x14ac:dyDescent="0.25">
      <c r="A3647" t="s">
        <v>2733</v>
      </c>
      <c r="B3647" t="s">
        <v>6280</v>
      </c>
    </row>
    <row r="3648" spans="1:2" x14ac:dyDescent="0.25">
      <c r="A3648" t="s">
        <v>5633</v>
      </c>
      <c r="B3648" t="s">
        <v>5787</v>
      </c>
    </row>
    <row r="3649" spans="1:2" x14ac:dyDescent="0.25">
      <c r="A3649" t="s">
        <v>1414</v>
      </c>
      <c r="B3649" t="s">
        <v>6751</v>
      </c>
    </row>
    <row r="3650" spans="1:2" x14ac:dyDescent="0.25">
      <c r="A3650" t="s">
        <v>152</v>
      </c>
      <c r="B3650" t="s">
        <v>6049</v>
      </c>
    </row>
    <row r="3651" spans="1:2" x14ac:dyDescent="0.25">
      <c r="A3651" t="s">
        <v>1332</v>
      </c>
      <c r="B3651" t="s">
        <v>6150</v>
      </c>
    </row>
    <row r="3652" spans="1:2" x14ac:dyDescent="0.25">
      <c r="A3652" t="s">
        <v>5530</v>
      </c>
      <c r="B3652" t="s">
        <v>5787</v>
      </c>
    </row>
    <row r="3653" spans="1:2" x14ac:dyDescent="0.25">
      <c r="A3653" t="s">
        <v>1846</v>
      </c>
      <c r="B3653" t="s">
        <v>5787</v>
      </c>
    </row>
    <row r="3654" spans="1:2" x14ac:dyDescent="0.25">
      <c r="A3654" t="s">
        <v>3293</v>
      </c>
      <c r="B3654" t="s">
        <v>5827</v>
      </c>
    </row>
    <row r="3655" spans="1:2" x14ac:dyDescent="0.25">
      <c r="A3655" t="s">
        <v>5663</v>
      </c>
      <c r="B3655" t="s">
        <v>5838</v>
      </c>
    </row>
    <row r="3656" spans="1:2" x14ac:dyDescent="0.25">
      <c r="A3656" t="s">
        <v>1135</v>
      </c>
      <c r="B3656" t="s">
        <v>5787</v>
      </c>
    </row>
    <row r="3657" spans="1:2" x14ac:dyDescent="0.25">
      <c r="A3657" t="s">
        <v>1868</v>
      </c>
      <c r="B3657" t="s">
        <v>5768</v>
      </c>
    </row>
    <row r="3658" spans="1:2" x14ac:dyDescent="0.25">
      <c r="A3658" t="s">
        <v>2191</v>
      </c>
      <c r="B3658" t="s">
        <v>5961</v>
      </c>
    </row>
    <row r="3659" spans="1:2" x14ac:dyDescent="0.25">
      <c r="A3659" t="s">
        <v>2631</v>
      </c>
      <c r="B3659" t="s">
        <v>5876</v>
      </c>
    </row>
    <row r="3660" spans="1:2" x14ac:dyDescent="0.25">
      <c r="A3660" t="s">
        <v>4376</v>
      </c>
      <c r="B3660" t="s">
        <v>5798</v>
      </c>
    </row>
    <row r="3661" spans="1:2" x14ac:dyDescent="0.25">
      <c r="A3661" t="s">
        <v>4120</v>
      </c>
      <c r="B3661" t="s">
        <v>5796</v>
      </c>
    </row>
    <row r="3662" spans="1:2" x14ac:dyDescent="0.25">
      <c r="A3662" t="s">
        <v>4059</v>
      </c>
      <c r="B3662" t="s">
        <v>6606</v>
      </c>
    </row>
    <row r="3663" spans="1:2" x14ac:dyDescent="0.25">
      <c r="A3663" t="s">
        <v>1432</v>
      </c>
      <c r="B3663" t="s">
        <v>5934</v>
      </c>
    </row>
    <row r="3664" spans="1:2" x14ac:dyDescent="0.25">
      <c r="A3664" t="s">
        <v>3098</v>
      </c>
      <c r="B3664" t="s">
        <v>5787</v>
      </c>
    </row>
    <row r="3665" spans="1:2" x14ac:dyDescent="0.25">
      <c r="A3665" t="s">
        <v>4814</v>
      </c>
      <c r="B3665" t="s">
        <v>5719</v>
      </c>
    </row>
    <row r="3666" spans="1:2" x14ac:dyDescent="0.25">
      <c r="A3666" t="s">
        <v>541</v>
      </c>
      <c r="B3666" t="s">
        <v>5787</v>
      </c>
    </row>
    <row r="3667" spans="1:2" x14ac:dyDescent="0.25">
      <c r="A3667" t="s">
        <v>5014</v>
      </c>
      <c r="B3667" t="s">
        <v>6592</v>
      </c>
    </row>
    <row r="3668" spans="1:2" x14ac:dyDescent="0.25">
      <c r="A3668" t="s">
        <v>4514</v>
      </c>
      <c r="B3668" t="s">
        <v>6329</v>
      </c>
    </row>
    <row r="3669" spans="1:2" x14ac:dyDescent="0.25">
      <c r="A3669" t="s">
        <v>2772</v>
      </c>
      <c r="B3669" t="s">
        <v>5870</v>
      </c>
    </row>
    <row r="3670" spans="1:2" x14ac:dyDescent="0.25">
      <c r="A3670" t="s">
        <v>5528</v>
      </c>
      <c r="B3670">
        <v>0</v>
      </c>
    </row>
    <row r="3671" spans="1:2" x14ac:dyDescent="0.25">
      <c r="A3671" t="s">
        <v>1737</v>
      </c>
      <c r="B3671" t="s">
        <v>5762</v>
      </c>
    </row>
    <row r="3672" spans="1:2" x14ac:dyDescent="0.25">
      <c r="A3672" t="s">
        <v>3096</v>
      </c>
      <c r="B3672" t="s">
        <v>5762</v>
      </c>
    </row>
    <row r="3673" spans="1:2" x14ac:dyDescent="0.25">
      <c r="A3673" t="s">
        <v>10814</v>
      </c>
      <c r="B3673" t="s">
        <v>5789</v>
      </c>
    </row>
    <row r="3674" spans="1:2" x14ac:dyDescent="0.25">
      <c r="A3674" t="s">
        <v>284</v>
      </c>
      <c r="B3674">
        <v>0</v>
      </c>
    </row>
    <row r="3675" spans="1:2" x14ac:dyDescent="0.25">
      <c r="A3675" t="s">
        <v>3636</v>
      </c>
      <c r="B3675" t="s">
        <v>5759</v>
      </c>
    </row>
    <row r="3676" spans="1:2" x14ac:dyDescent="0.25">
      <c r="A3676" t="s">
        <v>4060</v>
      </c>
      <c r="B3676" t="s">
        <v>5787</v>
      </c>
    </row>
    <row r="3677" spans="1:2" x14ac:dyDescent="0.25">
      <c r="A3677" t="s">
        <v>2091</v>
      </c>
      <c r="B3677" t="s">
        <v>5787</v>
      </c>
    </row>
    <row r="3678" spans="1:2" x14ac:dyDescent="0.25">
      <c r="A3678" t="s">
        <v>5200</v>
      </c>
      <c r="B3678" t="s">
        <v>5787</v>
      </c>
    </row>
    <row r="3679" spans="1:2" x14ac:dyDescent="0.25">
      <c r="A3679" t="s">
        <v>5629</v>
      </c>
      <c r="B3679" t="s">
        <v>5787</v>
      </c>
    </row>
    <row r="3680" spans="1:2" x14ac:dyDescent="0.25">
      <c r="A3680" t="s">
        <v>5029</v>
      </c>
      <c r="B3680" t="s">
        <v>5766</v>
      </c>
    </row>
    <row r="3681" spans="1:2" x14ac:dyDescent="0.25">
      <c r="A3681" t="s">
        <v>1203</v>
      </c>
      <c r="B3681" t="s">
        <v>5704</v>
      </c>
    </row>
    <row r="3682" spans="1:2" x14ac:dyDescent="0.25">
      <c r="A3682" t="s">
        <v>5555</v>
      </c>
      <c r="B3682" t="s">
        <v>5959</v>
      </c>
    </row>
    <row r="3683" spans="1:2" x14ac:dyDescent="0.25">
      <c r="A3683" t="s">
        <v>2539</v>
      </c>
      <c r="B3683" t="s">
        <v>6620</v>
      </c>
    </row>
    <row r="3684" spans="1:2" x14ac:dyDescent="0.25">
      <c r="A3684" t="s">
        <v>4581</v>
      </c>
      <c r="B3684" t="s">
        <v>6195</v>
      </c>
    </row>
    <row r="3685" spans="1:2" x14ac:dyDescent="0.25">
      <c r="A3685" t="s">
        <v>349</v>
      </c>
      <c r="B3685" t="s">
        <v>5805</v>
      </c>
    </row>
    <row r="3686" spans="1:2" x14ac:dyDescent="0.25">
      <c r="A3686" t="s">
        <v>5615</v>
      </c>
      <c r="B3686" t="s">
        <v>6320</v>
      </c>
    </row>
    <row r="3687" spans="1:2" x14ac:dyDescent="0.25">
      <c r="A3687" t="s">
        <v>4674</v>
      </c>
      <c r="B3687" t="s">
        <v>5787</v>
      </c>
    </row>
    <row r="3688" spans="1:2" x14ac:dyDescent="0.25">
      <c r="A3688" t="s">
        <v>4441</v>
      </c>
      <c r="B3688" t="s">
        <v>5794</v>
      </c>
    </row>
    <row r="3689" spans="1:2" x14ac:dyDescent="0.25">
      <c r="A3689" t="s">
        <v>888</v>
      </c>
      <c r="B3689" t="s">
        <v>5787</v>
      </c>
    </row>
    <row r="3690" spans="1:2" x14ac:dyDescent="0.25">
      <c r="A3690" t="s">
        <v>1227</v>
      </c>
      <c r="B3690" t="s">
        <v>5799</v>
      </c>
    </row>
    <row r="3691" spans="1:2" x14ac:dyDescent="0.25">
      <c r="A3691" t="s">
        <v>4111</v>
      </c>
      <c r="B3691" t="s">
        <v>5828</v>
      </c>
    </row>
    <row r="3692" spans="1:2" x14ac:dyDescent="0.25">
      <c r="A3692" t="s">
        <v>3733</v>
      </c>
      <c r="B3692" t="s">
        <v>5852</v>
      </c>
    </row>
    <row r="3693" spans="1:2" x14ac:dyDescent="0.25">
      <c r="A3693" t="s">
        <v>823</v>
      </c>
      <c r="B3693" t="s">
        <v>5787</v>
      </c>
    </row>
    <row r="3694" spans="1:2" x14ac:dyDescent="0.25">
      <c r="A3694" t="s">
        <v>204</v>
      </c>
      <c r="B3694" t="s">
        <v>6242</v>
      </c>
    </row>
    <row r="3695" spans="1:2" x14ac:dyDescent="0.25">
      <c r="A3695" t="s">
        <v>5116</v>
      </c>
      <c r="B3695" t="s">
        <v>5952</v>
      </c>
    </row>
    <row r="3696" spans="1:2" x14ac:dyDescent="0.25">
      <c r="A3696" t="s">
        <v>4328</v>
      </c>
      <c r="B3696" t="s">
        <v>6439</v>
      </c>
    </row>
    <row r="3697" spans="1:2" x14ac:dyDescent="0.25">
      <c r="A3697" t="s">
        <v>4228</v>
      </c>
      <c r="B3697" t="s">
        <v>6012</v>
      </c>
    </row>
    <row r="3698" spans="1:2" x14ac:dyDescent="0.25">
      <c r="A3698" t="s">
        <v>3464</v>
      </c>
      <c r="B3698" t="s">
        <v>6160</v>
      </c>
    </row>
    <row r="3699" spans="1:2" x14ac:dyDescent="0.25">
      <c r="A3699" t="s">
        <v>2713</v>
      </c>
      <c r="B3699" t="s">
        <v>6297</v>
      </c>
    </row>
    <row r="3700" spans="1:2" x14ac:dyDescent="0.25">
      <c r="A3700" t="s">
        <v>248</v>
      </c>
      <c r="B3700" t="s">
        <v>6064</v>
      </c>
    </row>
    <row r="3701" spans="1:2" x14ac:dyDescent="0.25">
      <c r="A3701" t="s">
        <v>4979</v>
      </c>
      <c r="B3701" t="s">
        <v>5787</v>
      </c>
    </row>
    <row r="3702" spans="1:2" x14ac:dyDescent="0.25">
      <c r="A3702" t="s">
        <v>3136</v>
      </c>
      <c r="B3702" t="s">
        <v>5878</v>
      </c>
    </row>
    <row r="3703" spans="1:2" x14ac:dyDescent="0.25">
      <c r="A3703" t="s">
        <v>4119</v>
      </c>
      <c r="B3703" t="s">
        <v>6190</v>
      </c>
    </row>
    <row r="3704" spans="1:2" x14ac:dyDescent="0.25">
      <c r="A3704" t="s">
        <v>1676</v>
      </c>
      <c r="B3704" t="s">
        <v>5793</v>
      </c>
    </row>
    <row r="3705" spans="1:2" x14ac:dyDescent="0.25">
      <c r="A3705" t="s">
        <v>2482</v>
      </c>
      <c r="B3705" t="s">
        <v>5706</v>
      </c>
    </row>
    <row r="3706" spans="1:2" x14ac:dyDescent="0.25">
      <c r="A3706" t="s">
        <v>4595</v>
      </c>
      <c r="B3706" t="s">
        <v>5880</v>
      </c>
    </row>
    <row r="3707" spans="1:2" x14ac:dyDescent="0.25">
      <c r="A3707" t="s">
        <v>1067</v>
      </c>
      <c r="B3707" t="s">
        <v>5780</v>
      </c>
    </row>
    <row r="3708" spans="1:2" x14ac:dyDescent="0.25">
      <c r="A3708" t="s">
        <v>2296</v>
      </c>
      <c r="B3708" t="s">
        <v>5808</v>
      </c>
    </row>
    <row r="3709" spans="1:2" x14ac:dyDescent="0.25">
      <c r="A3709" t="s">
        <v>1670</v>
      </c>
      <c r="B3709" t="s">
        <v>5801</v>
      </c>
    </row>
    <row r="3710" spans="1:2" x14ac:dyDescent="0.25">
      <c r="A3710" t="s">
        <v>4830</v>
      </c>
      <c r="B3710" t="s">
        <v>5747</v>
      </c>
    </row>
    <row r="3711" spans="1:2" x14ac:dyDescent="0.25">
      <c r="A3711" t="s">
        <v>14</v>
      </c>
      <c r="B3711" t="s">
        <v>6509</v>
      </c>
    </row>
    <row r="3712" spans="1:2" x14ac:dyDescent="0.25">
      <c r="A3712" t="s">
        <v>1811</v>
      </c>
      <c r="B3712" t="s">
        <v>6133</v>
      </c>
    </row>
    <row r="3713" spans="1:2" x14ac:dyDescent="0.25">
      <c r="A3713" t="s">
        <v>934</v>
      </c>
      <c r="B3713" t="s">
        <v>5787</v>
      </c>
    </row>
    <row r="3714" spans="1:2" x14ac:dyDescent="0.25">
      <c r="A3714" t="s">
        <v>5375</v>
      </c>
      <c r="B3714" t="s">
        <v>5815</v>
      </c>
    </row>
    <row r="3715" spans="1:2" x14ac:dyDescent="0.25">
      <c r="A3715" t="s">
        <v>3003</v>
      </c>
      <c r="B3715" t="s">
        <v>5768</v>
      </c>
    </row>
    <row r="3716" spans="1:2" x14ac:dyDescent="0.25">
      <c r="A3716" t="s">
        <v>3800</v>
      </c>
      <c r="B3716" t="s">
        <v>5787</v>
      </c>
    </row>
    <row r="3717" spans="1:2" x14ac:dyDescent="0.25">
      <c r="A3717" t="s">
        <v>5511</v>
      </c>
      <c r="B3717" t="s">
        <v>5909</v>
      </c>
    </row>
    <row r="3718" spans="1:2" x14ac:dyDescent="0.25">
      <c r="A3718" t="s">
        <v>2637</v>
      </c>
      <c r="B3718" t="s">
        <v>5845</v>
      </c>
    </row>
    <row r="3719" spans="1:2" x14ac:dyDescent="0.25">
      <c r="A3719" t="s">
        <v>3654</v>
      </c>
      <c r="B3719" t="s">
        <v>5734</v>
      </c>
    </row>
    <row r="3720" spans="1:2" x14ac:dyDescent="0.25">
      <c r="A3720" t="s">
        <v>1429</v>
      </c>
      <c r="B3720" t="s">
        <v>6164</v>
      </c>
    </row>
    <row r="3721" spans="1:2" x14ac:dyDescent="0.25">
      <c r="A3721" t="s">
        <v>1879</v>
      </c>
      <c r="B3721" t="s">
        <v>5914</v>
      </c>
    </row>
    <row r="3722" spans="1:2" x14ac:dyDescent="0.25">
      <c r="A3722" t="s">
        <v>3676</v>
      </c>
      <c r="B3722" t="s">
        <v>6133</v>
      </c>
    </row>
    <row r="3723" spans="1:2" x14ac:dyDescent="0.25">
      <c r="A3723" t="s">
        <v>370</v>
      </c>
      <c r="B3723" t="s">
        <v>6682</v>
      </c>
    </row>
    <row r="3724" spans="1:2" x14ac:dyDescent="0.25">
      <c r="A3724" t="s">
        <v>102</v>
      </c>
      <c r="B3724" t="s">
        <v>5871</v>
      </c>
    </row>
    <row r="3725" spans="1:2" x14ac:dyDescent="0.25">
      <c r="A3725" t="s">
        <v>1841</v>
      </c>
      <c r="B3725" t="s">
        <v>6361</v>
      </c>
    </row>
    <row r="3726" spans="1:2" x14ac:dyDescent="0.25">
      <c r="A3726" t="s">
        <v>1150</v>
      </c>
      <c r="B3726" t="s">
        <v>5788</v>
      </c>
    </row>
    <row r="3727" spans="1:2" x14ac:dyDescent="0.25">
      <c r="A3727" t="s">
        <v>49</v>
      </c>
      <c r="B3727" t="s">
        <v>5778</v>
      </c>
    </row>
    <row r="3728" spans="1:2" x14ac:dyDescent="0.25">
      <c r="A3728" t="s">
        <v>4497</v>
      </c>
      <c r="B3728" t="s">
        <v>6589</v>
      </c>
    </row>
    <row r="3729" spans="1:2" x14ac:dyDescent="0.25">
      <c r="A3729" t="s">
        <v>330</v>
      </c>
      <c r="B3729" t="s">
        <v>5833</v>
      </c>
    </row>
    <row r="3730" spans="1:2" x14ac:dyDescent="0.25">
      <c r="A3730" t="s">
        <v>1891</v>
      </c>
      <c r="B3730" t="s">
        <v>6167</v>
      </c>
    </row>
    <row r="3731" spans="1:2" x14ac:dyDescent="0.25">
      <c r="A3731" t="s">
        <v>5461</v>
      </c>
      <c r="B3731" t="s">
        <v>5762</v>
      </c>
    </row>
    <row r="3732" spans="1:2" x14ac:dyDescent="0.25">
      <c r="A3732" t="s">
        <v>5649</v>
      </c>
      <c r="B3732" t="s">
        <v>5787</v>
      </c>
    </row>
    <row r="3733" spans="1:2" x14ac:dyDescent="0.25">
      <c r="A3733" t="s">
        <v>3485</v>
      </c>
      <c r="B3733" t="s">
        <v>6232</v>
      </c>
    </row>
    <row r="3734" spans="1:2" x14ac:dyDescent="0.25">
      <c r="A3734" t="s">
        <v>220</v>
      </c>
      <c r="B3734" t="s">
        <v>5785</v>
      </c>
    </row>
    <row r="3735" spans="1:2" x14ac:dyDescent="0.25">
      <c r="A3735" t="s">
        <v>372</v>
      </c>
      <c r="B3735" t="s">
        <v>6123</v>
      </c>
    </row>
    <row r="3736" spans="1:2" x14ac:dyDescent="0.25">
      <c r="A3736" t="s">
        <v>4304</v>
      </c>
      <c r="B3736" t="s">
        <v>5804</v>
      </c>
    </row>
    <row r="3737" spans="1:2" x14ac:dyDescent="0.25">
      <c r="A3737" t="s">
        <v>3218</v>
      </c>
      <c r="B3737" t="s">
        <v>6686</v>
      </c>
    </row>
    <row r="3738" spans="1:2" x14ac:dyDescent="0.25">
      <c r="A3738" t="s">
        <v>98</v>
      </c>
      <c r="B3738" t="s">
        <v>5706</v>
      </c>
    </row>
    <row r="3739" spans="1:2" x14ac:dyDescent="0.25">
      <c r="A3739" t="s">
        <v>1175</v>
      </c>
      <c r="B3739" t="s">
        <v>5787</v>
      </c>
    </row>
    <row r="3740" spans="1:2" x14ac:dyDescent="0.25">
      <c r="A3740" t="s">
        <v>754</v>
      </c>
      <c r="B3740" t="s">
        <v>5805</v>
      </c>
    </row>
    <row r="3741" spans="1:2" x14ac:dyDescent="0.25">
      <c r="A3741" t="s">
        <v>5554</v>
      </c>
      <c r="B3741" t="s">
        <v>6428</v>
      </c>
    </row>
    <row r="3742" spans="1:2" x14ac:dyDescent="0.25">
      <c r="A3742" t="s">
        <v>3213</v>
      </c>
      <c r="B3742" t="s">
        <v>5864</v>
      </c>
    </row>
    <row r="3743" spans="1:2" x14ac:dyDescent="0.25">
      <c r="A3743" t="s">
        <v>3725</v>
      </c>
      <c r="B3743" t="s">
        <v>5728</v>
      </c>
    </row>
    <row r="3744" spans="1:2" x14ac:dyDescent="0.25">
      <c r="A3744" t="s">
        <v>2550</v>
      </c>
      <c r="B3744" t="s">
        <v>6274</v>
      </c>
    </row>
    <row r="3745" spans="1:2" x14ac:dyDescent="0.25">
      <c r="A3745" t="s">
        <v>4075</v>
      </c>
      <c r="B3745" t="s">
        <v>5728</v>
      </c>
    </row>
    <row r="3746" spans="1:2" x14ac:dyDescent="0.25">
      <c r="A3746" t="s">
        <v>1607</v>
      </c>
      <c r="B3746" t="s">
        <v>5896</v>
      </c>
    </row>
    <row r="3747" spans="1:2" x14ac:dyDescent="0.25">
      <c r="A3747" t="s">
        <v>503</v>
      </c>
      <c r="B3747" t="s">
        <v>5734</v>
      </c>
    </row>
    <row r="3748" spans="1:2" x14ac:dyDescent="0.25">
      <c r="A3748" t="s">
        <v>1440</v>
      </c>
      <c r="B3748" t="s">
        <v>5950</v>
      </c>
    </row>
    <row r="3749" spans="1:2" x14ac:dyDescent="0.25">
      <c r="A3749" t="s">
        <v>1516</v>
      </c>
      <c r="B3749" t="s">
        <v>5787</v>
      </c>
    </row>
    <row r="3750" spans="1:2" x14ac:dyDescent="0.25">
      <c r="A3750" t="s">
        <v>2990</v>
      </c>
      <c r="B3750" t="s">
        <v>5868</v>
      </c>
    </row>
    <row r="3751" spans="1:2" x14ac:dyDescent="0.25">
      <c r="A3751" t="s">
        <v>5143</v>
      </c>
      <c r="B3751" t="s">
        <v>6237</v>
      </c>
    </row>
    <row r="3752" spans="1:2" x14ac:dyDescent="0.25">
      <c r="A3752" t="s">
        <v>2584</v>
      </c>
      <c r="B3752" t="s">
        <v>5812</v>
      </c>
    </row>
    <row r="3753" spans="1:2" x14ac:dyDescent="0.25">
      <c r="A3753" t="s">
        <v>4658</v>
      </c>
      <c r="B3753" t="s">
        <v>5807</v>
      </c>
    </row>
    <row r="3754" spans="1:2" x14ac:dyDescent="0.25">
      <c r="A3754" t="s">
        <v>2654</v>
      </c>
      <c r="B3754" t="s">
        <v>5849</v>
      </c>
    </row>
    <row r="3755" spans="1:2" x14ac:dyDescent="0.25">
      <c r="A3755" t="s">
        <v>4294</v>
      </c>
      <c r="B3755" t="s">
        <v>5740</v>
      </c>
    </row>
    <row r="3756" spans="1:2" x14ac:dyDescent="0.25">
      <c r="A3756" t="s">
        <v>1060</v>
      </c>
      <c r="B3756" t="s">
        <v>5917</v>
      </c>
    </row>
    <row r="3757" spans="1:2" x14ac:dyDescent="0.25">
      <c r="A3757" t="s">
        <v>591</v>
      </c>
      <c r="B3757" t="s">
        <v>6063</v>
      </c>
    </row>
    <row r="3758" spans="1:2" x14ac:dyDescent="0.25">
      <c r="A3758" t="s">
        <v>605</v>
      </c>
      <c r="B3758" t="s">
        <v>6510</v>
      </c>
    </row>
    <row r="3759" spans="1:2" x14ac:dyDescent="0.25">
      <c r="A3759" t="s">
        <v>543</v>
      </c>
      <c r="B3759" t="s">
        <v>5869</v>
      </c>
    </row>
    <row r="3760" spans="1:2" x14ac:dyDescent="0.25">
      <c r="A3760" t="s">
        <v>492</v>
      </c>
      <c r="B3760" t="s">
        <v>6244</v>
      </c>
    </row>
    <row r="3761" spans="1:2" x14ac:dyDescent="0.25">
      <c r="A3761" t="s">
        <v>643</v>
      </c>
      <c r="B3761" t="s">
        <v>6536</v>
      </c>
    </row>
    <row r="3762" spans="1:2" x14ac:dyDescent="0.25">
      <c r="A3762" t="s">
        <v>662</v>
      </c>
      <c r="B3762" t="s">
        <v>5872</v>
      </c>
    </row>
    <row r="3763" spans="1:2" x14ac:dyDescent="0.25">
      <c r="A3763" t="s">
        <v>4527</v>
      </c>
      <c r="B3763" t="s">
        <v>5752</v>
      </c>
    </row>
    <row r="3764" spans="1:2" x14ac:dyDescent="0.25">
      <c r="A3764" t="s">
        <v>4705</v>
      </c>
      <c r="B3764" t="s">
        <v>5724</v>
      </c>
    </row>
    <row r="3765" spans="1:2" x14ac:dyDescent="0.25">
      <c r="A3765" t="s">
        <v>652</v>
      </c>
      <c r="B3765" t="s">
        <v>5713</v>
      </c>
    </row>
    <row r="3766" spans="1:2" x14ac:dyDescent="0.25">
      <c r="A3766" t="s">
        <v>1823</v>
      </c>
      <c r="B3766" t="s">
        <v>5844</v>
      </c>
    </row>
    <row r="3767" spans="1:2" x14ac:dyDescent="0.25">
      <c r="A3767" t="s">
        <v>5248</v>
      </c>
      <c r="B3767" t="s">
        <v>5844</v>
      </c>
    </row>
    <row r="3768" spans="1:2" x14ac:dyDescent="0.25">
      <c r="A3768" t="s">
        <v>205</v>
      </c>
      <c r="B3768" t="s">
        <v>5711</v>
      </c>
    </row>
    <row r="3769" spans="1:2" x14ac:dyDescent="0.25">
      <c r="A3769" t="s">
        <v>1650</v>
      </c>
      <c r="B3769" t="s">
        <v>5913</v>
      </c>
    </row>
    <row r="3770" spans="1:2" x14ac:dyDescent="0.25">
      <c r="A3770" t="s">
        <v>1003</v>
      </c>
      <c r="B3770" t="s">
        <v>6178</v>
      </c>
    </row>
    <row r="3771" spans="1:2" x14ac:dyDescent="0.25">
      <c r="A3771" t="s">
        <v>958</v>
      </c>
      <c r="B3771" t="s">
        <v>5787</v>
      </c>
    </row>
    <row r="3772" spans="1:2" x14ac:dyDescent="0.25">
      <c r="A3772" t="s">
        <v>2395</v>
      </c>
      <c r="B3772" t="s">
        <v>5976</v>
      </c>
    </row>
    <row r="3773" spans="1:2" x14ac:dyDescent="0.25">
      <c r="A3773" t="s">
        <v>3486</v>
      </c>
      <c r="B3773" t="s">
        <v>5704</v>
      </c>
    </row>
    <row r="3774" spans="1:2" x14ac:dyDescent="0.25">
      <c r="A3774" t="s">
        <v>2322</v>
      </c>
      <c r="B3774" t="s">
        <v>5787</v>
      </c>
    </row>
    <row r="3775" spans="1:2" x14ac:dyDescent="0.25">
      <c r="A3775" t="s">
        <v>1666</v>
      </c>
      <c r="B3775" t="s">
        <v>5787</v>
      </c>
    </row>
    <row r="3776" spans="1:2" x14ac:dyDescent="0.25">
      <c r="A3776" t="s">
        <v>4184</v>
      </c>
      <c r="B3776" t="s">
        <v>5828</v>
      </c>
    </row>
    <row r="3777" spans="1:2" x14ac:dyDescent="0.25">
      <c r="A3777" t="s">
        <v>3083</v>
      </c>
      <c r="B3777" t="s">
        <v>5787</v>
      </c>
    </row>
    <row r="3778" spans="1:2" x14ac:dyDescent="0.25">
      <c r="A3778" t="s">
        <v>5598</v>
      </c>
      <c r="B3778" t="s">
        <v>5787</v>
      </c>
    </row>
    <row r="3779" spans="1:2" x14ac:dyDescent="0.25">
      <c r="A3779" t="s">
        <v>2135</v>
      </c>
      <c r="B3779" t="s">
        <v>5706</v>
      </c>
    </row>
    <row r="3780" spans="1:2" x14ac:dyDescent="0.25">
      <c r="A3780" t="s">
        <v>4261</v>
      </c>
      <c r="B3780" t="s">
        <v>5704</v>
      </c>
    </row>
    <row r="3781" spans="1:2" x14ac:dyDescent="0.25">
      <c r="A3781" t="s">
        <v>1963</v>
      </c>
      <c r="B3781" t="s">
        <v>6116</v>
      </c>
    </row>
    <row r="3782" spans="1:2" x14ac:dyDescent="0.25">
      <c r="A3782" t="s">
        <v>1796</v>
      </c>
      <c r="B3782" t="s">
        <v>5994</v>
      </c>
    </row>
    <row r="3783" spans="1:2" x14ac:dyDescent="0.25">
      <c r="A3783" t="s">
        <v>5655</v>
      </c>
      <c r="B3783" t="s">
        <v>5787</v>
      </c>
    </row>
    <row r="3784" spans="1:2" x14ac:dyDescent="0.25">
      <c r="A3784" t="s">
        <v>1908</v>
      </c>
      <c r="B3784" t="s">
        <v>5787</v>
      </c>
    </row>
    <row r="3785" spans="1:2" x14ac:dyDescent="0.25">
      <c r="A3785" t="s">
        <v>5556</v>
      </c>
      <c r="B3785" t="s">
        <v>6789</v>
      </c>
    </row>
    <row r="3786" spans="1:2" x14ac:dyDescent="0.25">
      <c r="A3786" t="s">
        <v>257</v>
      </c>
      <c r="B3786" t="s">
        <v>5789</v>
      </c>
    </row>
    <row r="3787" spans="1:2" x14ac:dyDescent="0.25">
      <c r="A3787" t="s">
        <v>2079</v>
      </c>
      <c r="B3787">
        <v>0</v>
      </c>
    </row>
    <row r="3788" spans="1:2" x14ac:dyDescent="0.25">
      <c r="A3788" t="s">
        <v>2821</v>
      </c>
      <c r="B3788" t="s">
        <v>6001</v>
      </c>
    </row>
    <row r="3789" spans="1:2" x14ac:dyDescent="0.25">
      <c r="A3789" t="s">
        <v>1476</v>
      </c>
      <c r="B3789" t="s">
        <v>5708</v>
      </c>
    </row>
    <row r="3790" spans="1:2" x14ac:dyDescent="0.25">
      <c r="A3790" t="s">
        <v>5277</v>
      </c>
      <c r="B3790" t="s">
        <v>5849</v>
      </c>
    </row>
    <row r="3791" spans="1:2" x14ac:dyDescent="0.25">
      <c r="A3791" t="s">
        <v>3201</v>
      </c>
      <c r="B3791" t="s">
        <v>5711</v>
      </c>
    </row>
    <row r="3792" spans="1:2" x14ac:dyDescent="0.25">
      <c r="A3792" t="s">
        <v>4154</v>
      </c>
      <c r="B3792" t="s">
        <v>5730</v>
      </c>
    </row>
    <row r="3793" spans="1:2" x14ac:dyDescent="0.25">
      <c r="A3793" t="s">
        <v>4241</v>
      </c>
      <c r="B3793" t="s">
        <v>6272</v>
      </c>
    </row>
    <row r="3794" spans="1:2" x14ac:dyDescent="0.25">
      <c r="A3794" t="s">
        <v>4891</v>
      </c>
      <c r="B3794" t="s">
        <v>5721</v>
      </c>
    </row>
    <row r="3795" spans="1:2" x14ac:dyDescent="0.25">
      <c r="A3795" t="s">
        <v>3345</v>
      </c>
      <c r="B3795" t="s">
        <v>5754</v>
      </c>
    </row>
    <row r="3796" spans="1:2" x14ac:dyDescent="0.25">
      <c r="A3796" t="s">
        <v>3150</v>
      </c>
      <c r="B3796" t="s">
        <v>5704</v>
      </c>
    </row>
    <row r="3797" spans="1:2" x14ac:dyDescent="0.25">
      <c r="A3797" t="s">
        <v>4019</v>
      </c>
      <c r="B3797" t="s">
        <v>6174</v>
      </c>
    </row>
    <row r="3798" spans="1:2" x14ac:dyDescent="0.25">
      <c r="A3798" t="s">
        <v>4073</v>
      </c>
      <c r="B3798" t="s">
        <v>6295</v>
      </c>
    </row>
    <row r="3799" spans="1:2" x14ac:dyDescent="0.25">
      <c r="A3799" t="s">
        <v>2410</v>
      </c>
      <c r="B3799" t="s">
        <v>6639</v>
      </c>
    </row>
    <row r="3800" spans="1:2" x14ac:dyDescent="0.25">
      <c r="A3800" t="s">
        <v>2464</v>
      </c>
      <c r="B3800" t="s">
        <v>5787</v>
      </c>
    </row>
    <row r="3801" spans="1:2" x14ac:dyDescent="0.25">
      <c r="A3801" t="s">
        <v>2004</v>
      </c>
      <c r="B3801" t="s">
        <v>5787</v>
      </c>
    </row>
    <row r="3802" spans="1:2" x14ac:dyDescent="0.25">
      <c r="A3802" t="s">
        <v>31750</v>
      </c>
      <c r="B3802" t="s">
        <v>5787</v>
      </c>
    </row>
    <row r="3803" spans="1:2" x14ac:dyDescent="0.25">
      <c r="A3803" t="s">
        <v>3107</v>
      </c>
      <c r="B3803" t="s">
        <v>5734</v>
      </c>
    </row>
    <row r="3804" spans="1:2" x14ac:dyDescent="0.25">
      <c r="A3804" t="s">
        <v>3250</v>
      </c>
      <c r="B3804" t="s">
        <v>6558</v>
      </c>
    </row>
    <row r="3805" spans="1:2" x14ac:dyDescent="0.25">
      <c r="A3805" t="s">
        <v>768</v>
      </c>
      <c r="B3805" t="s">
        <v>5977</v>
      </c>
    </row>
    <row r="3806" spans="1:2" x14ac:dyDescent="0.25">
      <c r="A3806" t="s">
        <v>1614</v>
      </c>
      <c r="B3806" t="s">
        <v>5788</v>
      </c>
    </row>
    <row r="3807" spans="1:2" x14ac:dyDescent="0.25">
      <c r="A3807" t="s">
        <v>2867</v>
      </c>
      <c r="B3807" t="s">
        <v>5788</v>
      </c>
    </row>
    <row r="3808" spans="1:2" x14ac:dyDescent="0.25">
      <c r="A3808" t="s">
        <v>3956</v>
      </c>
      <c r="B3808" t="s">
        <v>5886</v>
      </c>
    </row>
    <row r="3809" spans="1:2" x14ac:dyDescent="0.25">
      <c r="A3809" t="s">
        <v>3996</v>
      </c>
      <c r="B3809" t="s">
        <v>6786</v>
      </c>
    </row>
    <row r="3810" spans="1:2" x14ac:dyDescent="0.25">
      <c r="A3810" t="s">
        <v>3155</v>
      </c>
      <c r="B3810" t="s">
        <v>5787</v>
      </c>
    </row>
    <row r="3811" spans="1:2" x14ac:dyDescent="0.25">
      <c r="A3811" t="s">
        <v>3046</v>
      </c>
      <c r="B3811" t="s">
        <v>5787</v>
      </c>
    </row>
    <row r="3812" spans="1:2" x14ac:dyDescent="0.25">
      <c r="A3812" t="s">
        <v>4037</v>
      </c>
      <c r="B3812" t="s">
        <v>5787</v>
      </c>
    </row>
    <row r="3813" spans="1:2" x14ac:dyDescent="0.25">
      <c r="A3813" t="s">
        <v>4669</v>
      </c>
      <c r="B3813" t="s">
        <v>5782</v>
      </c>
    </row>
    <row r="3814" spans="1:2" x14ac:dyDescent="0.25">
      <c r="A3814" t="s">
        <v>4188</v>
      </c>
      <c r="B3814" t="s">
        <v>6014</v>
      </c>
    </row>
    <row r="3815" spans="1:2" x14ac:dyDescent="0.25">
      <c r="A3815" t="s">
        <v>3707</v>
      </c>
      <c r="B3815" t="s">
        <v>5704</v>
      </c>
    </row>
    <row r="3816" spans="1:2" x14ac:dyDescent="0.25">
      <c r="A3816" t="s">
        <v>5235</v>
      </c>
      <c r="B3816" t="s">
        <v>5932</v>
      </c>
    </row>
    <row r="3817" spans="1:2" x14ac:dyDescent="0.25">
      <c r="A3817" t="s">
        <v>565</v>
      </c>
      <c r="B3817" t="s">
        <v>5932</v>
      </c>
    </row>
    <row r="3818" spans="1:2" x14ac:dyDescent="0.25">
      <c r="A3818" t="s">
        <v>3661</v>
      </c>
      <c r="B3818" t="s">
        <v>5797</v>
      </c>
    </row>
    <row r="3819" spans="1:2" x14ac:dyDescent="0.25">
      <c r="A3819" t="s">
        <v>3627</v>
      </c>
      <c r="B3819" t="s">
        <v>5747</v>
      </c>
    </row>
    <row r="3820" spans="1:2" x14ac:dyDescent="0.25">
      <c r="A3820" t="s">
        <v>2710</v>
      </c>
      <c r="B3820" t="s">
        <v>5711</v>
      </c>
    </row>
    <row r="3821" spans="1:2" x14ac:dyDescent="0.25">
      <c r="A3821" t="s">
        <v>932</v>
      </c>
      <c r="B3821" t="s">
        <v>5950</v>
      </c>
    </row>
    <row r="3822" spans="1:2" x14ac:dyDescent="0.25">
      <c r="A3822" t="s">
        <v>2571</v>
      </c>
      <c r="B3822" t="s">
        <v>5855</v>
      </c>
    </row>
    <row r="3823" spans="1:2" x14ac:dyDescent="0.25">
      <c r="A3823" t="s">
        <v>3603</v>
      </c>
      <c r="B3823" t="s">
        <v>6288</v>
      </c>
    </row>
    <row r="3824" spans="1:2" x14ac:dyDescent="0.25">
      <c r="A3824" t="s">
        <v>5424</v>
      </c>
      <c r="B3824" t="s">
        <v>5754</v>
      </c>
    </row>
    <row r="3825" spans="1:2" x14ac:dyDescent="0.25">
      <c r="A3825" t="s">
        <v>3535</v>
      </c>
      <c r="B3825" t="s">
        <v>5716</v>
      </c>
    </row>
    <row r="3826" spans="1:2" x14ac:dyDescent="0.25">
      <c r="A3826" t="s">
        <v>1694</v>
      </c>
      <c r="B3826" t="s">
        <v>5893</v>
      </c>
    </row>
    <row r="3827" spans="1:2" x14ac:dyDescent="0.25">
      <c r="A3827" t="s">
        <v>5132</v>
      </c>
      <c r="B3827" t="s">
        <v>5706</v>
      </c>
    </row>
    <row r="3828" spans="1:2" x14ac:dyDescent="0.25">
      <c r="A3828" t="s">
        <v>3139</v>
      </c>
      <c r="B3828" t="s">
        <v>5788</v>
      </c>
    </row>
    <row r="3829" spans="1:2" x14ac:dyDescent="0.25">
      <c r="A3829" t="s">
        <v>2935</v>
      </c>
      <c r="B3829" t="s">
        <v>5978</v>
      </c>
    </row>
    <row r="3830" spans="1:2" x14ac:dyDescent="0.25">
      <c r="A3830" t="s">
        <v>2829</v>
      </c>
      <c r="B3830" t="s">
        <v>5884</v>
      </c>
    </row>
    <row r="3831" spans="1:2" x14ac:dyDescent="0.25">
      <c r="A3831" t="s">
        <v>3138</v>
      </c>
      <c r="B3831" t="s">
        <v>6608</v>
      </c>
    </row>
    <row r="3832" spans="1:2" x14ac:dyDescent="0.25">
      <c r="A3832" t="s">
        <v>3161</v>
      </c>
      <c r="B3832" t="s">
        <v>5842</v>
      </c>
    </row>
    <row r="3833" spans="1:2" x14ac:dyDescent="0.25">
      <c r="A3833" t="s">
        <v>5038</v>
      </c>
      <c r="B3833" t="s">
        <v>5905</v>
      </c>
    </row>
    <row r="3834" spans="1:2" x14ac:dyDescent="0.25">
      <c r="A3834" t="s">
        <v>2298</v>
      </c>
      <c r="B3834" t="s">
        <v>5965</v>
      </c>
    </row>
    <row r="3835" spans="1:2" x14ac:dyDescent="0.25">
      <c r="A3835" t="s">
        <v>3813</v>
      </c>
      <c r="B3835" t="s">
        <v>5787</v>
      </c>
    </row>
    <row r="3836" spans="1:2" x14ac:dyDescent="0.25">
      <c r="A3836" t="s">
        <v>3861</v>
      </c>
      <c r="B3836" t="s">
        <v>5924</v>
      </c>
    </row>
    <row r="3837" spans="1:2" x14ac:dyDescent="0.25">
      <c r="A3837" t="s">
        <v>4795</v>
      </c>
      <c r="B3837" t="s">
        <v>5973</v>
      </c>
    </row>
    <row r="3838" spans="1:2" x14ac:dyDescent="0.25">
      <c r="A3838" t="s">
        <v>5079</v>
      </c>
      <c r="B3838" t="s">
        <v>5706</v>
      </c>
    </row>
    <row r="3839" spans="1:2" x14ac:dyDescent="0.25">
      <c r="A3839" t="s">
        <v>2082</v>
      </c>
      <c r="B3839" t="s">
        <v>5939</v>
      </c>
    </row>
    <row r="3840" spans="1:2" x14ac:dyDescent="0.25">
      <c r="A3840" t="s">
        <v>2529</v>
      </c>
      <c r="B3840" t="s">
        <v>6413</v>
      </c>
    </row>
    <row r="3841" spans="1:2" x14ac:dyDescent="0.25">
      <c r="A3841" t="s">
        <v>5208</v>
      </c>
      <c r="B3841" t="s">
        <v>5918</v>
      </c>
    </row>
    <row r="3842" spans="1:2" x14ac:dyDescent="0.25">
      <c r="A3842" t="s">
        <v>1341</v>
      </c>
      <c r="B3842" t="s">
        <v>5830</v>
      </c>
    </row>
    <row r="3843" spans="1:2" x14ac:dyDescent="0.25">
      <c r="A3843" t="s">
        <v>2021</v>
      </c>
      <c r="B3843" t="s">
        <v>5901</v>
      </c>
    </row>
    <row r="3844" spans="1:2" x14ac:dyDescent="0.25">
      <c r="A3844" t="s">
        <v>4789</v>
      </c>
      <c r="B3844" t="s">
        <v>5787</v>
      </c>
    </row>
    <row r="3845" spans="1:2" x14ac:dyDescent="0.25">
      <c r="A3845" t="s">
        <v>2239</v>
      </c>
      <c r="B3845" t="s">
        <v>5787</v>
      </c>
    </row>
    <row r="3846" spans="1:2" x14ac:dyDescent="0.25">
      <c r="A3846" t="s">
        <v>2071</v>
      </c>
      <c r="B3846" t="s">
        <v>5787</v>
      </c>
    </row>
    <row r="3847" spans="1:2" x14ac:dyDescent="0.25">
      <c r="A3847" t="s">
        <v>1427</v>
      </c>
      <c r="B3847" t="s">
        <v>5706</v>
      </c>
    </row>
    <row r="3848" spans="1:2" x14ac:dyDescent="0.25">
      <c r="A3848" t="s">
        <v>1531</v>
      </c>
      <c r="B3848" t="s">
        <v>6198</v>
      </c>
    </row>
    <row r="3849" spans="1:2" x14ac:dyDescent="0.25">
      <c r="A3849" t="s">
        <v>989</v>
      </c>
      <c r="B3849" t="s">
        <v>5823</v>
      </c>
    </row>
    <row r="3850" spans="1:2" x14ac:dyDescent="0.25">
      <c r="A3850" t="s">
        <v>1415</v>
      </c>
      <c r="B3850" t="s">
        <v>5827</v>
      </c>
    </row>
    <row r="3851" spans="1:2" x14ac:dyDescent="0.25">
      <c r="A3851" t="s">
        <v>2500</v>
      </c>
    </row>
    <row r="3852" spans="1:2" x14ac:dyDescent="0.25">
      <c r="A3852" t="s">
        <v>2732</v>
      </c>
      <c r="B3852" t="s">
        <v>6711</v>
      </c>
    </row>
    <row r="3853" spans="1:2" x14ac:dyDescent="0.25">
      <c r="A3853" t="s">
        <v>317</v>
      </c>
      <c r="B3853" t="s">
        <v>5721</v>
      </c>
    </row>
    <row r="3854" spans="1:2" x14ac:dyDescent="0.25">
      <c r="A3854" t="s">
        <v>1244</v>
      </c>
      <c r="B3854" t="s">
        <v>5734</v>
      </c>
    </row>
    <row r="3855" spans="1:2" x14ac:dyDescent="0.25">
      <c r="A3855" t="s">
        <v>429</v>
      </c>
      <c r="B3855" t="s">
        <v>5818</v>
      </c>
    </row>
    <row r="3856" spans="1:2" x14ac:dyDescent="0.25">
      <c r="A3856" t="s">
        <v>3902</v>
      </c>
      <c r="B3856" t="s">
        <v>5787</v>
      </c>
    </row>
    <row r="3857" spans="1:2" x14ac:dyDescent="0.25">
      <c r="A3857" t="s">
        <v>5400</v>
      </c>
      <c r="B3857" t="s">
        <v>5918</v>
      </c>
    </row>
    <row r="3858" spans="1:2" x14ac:dyDescent="0.25">
      <c r="A3858" t="s">
        <v>3011</v>
      </c>
      <c r="B3858" t="s">
        <v>6036</v>
      </c>
    </row>
    <row r="3859" spans="1:2" x14ac:dyDescent="0.25">
      <c r="A3859" t="s">
        <v>4201</v>
      </c>
      <c r="B3859" t="s">
        <v>6043</v>
      </c>
    </row>
    <row r="3860" spans="1:2" x14ac:dyDescent="0.25">
      <c r="A3860" t="s">
        <v>1473</v>
      </c>
      <c r="B3860" t="s">
        <v>5795</v>
      </c>
    </row>
    <row r="3861" spans="1:2" x14ac:dyDescent="0.25">
      <c r="A3861" t="s">
        <v>857</v>
      </c>
      <c r="B3861" t="s">
        <v>5788</v>
      </c>
    </row>
    <row r="3862" spans="1:2" x14ac:dyDescent="0.25">
      <c r="A3862" t="s">
        <v>2228</v>
      </c>
      <c r="B3862" t="s">
        <v>5704</v>
      </c>
    </row>
    <row r="3863" spans="1:2" x14ac:dyDescent="0.25">
      <c r="A3863" t="s">
        <v>5440</v>
      </c>
      <c r="B3863" t="s">
        <v>5790</v>
      </c>
    </row>
    <row r="3864" spans="1:2" x14ac:dyDescent="0.25">
      <c r="A3864" t="s">
        <v>250</v>
      </c>
      <c r="B3864" t="s">
        <v>5708</v>
      </c>
    </row>
    <row r="3865" spans="1:2" x14ac:dyDescent="0.25">
      <c r="A3865" t="s">
        <v>4278</v>
      </c>
      <c r="B3865" t="s">
        <v>5876</v>
      </c>
    </row>
    <row r="3866" spans="1:2" x14ac:dyDescent="0.25">
      <c r="A3866" t="s">
        <v>21</v>
      </c>
      <c r="B3866" t="s">
        <v>5787</v>
      </c>
    </row>
    <row r="3867" spans="1:2" x14ac:dyDescent="0.25">
      <c r="A3867" t="s">
        <v>3465</v>
      </c>
      <c r="B3867" t="s">
        <v>5940</v>
      </c>
    </row>
    <row r="3868" spans="1:2" x14ac:dyDescent="0.25">
      <c r="A3868" t="s">
        <v>4453</v>
      </c>
      <c r="B3868" t="s">
        <v>5882</v>
      </c>
    </row>
    <row r="3869" spans="1:2" x14ac:dyDescent="0.25">
      <c r="A3869" t="s">
        <v>4541</v>
      </c>
      <c r="B3869" t="s">
        <v>5789</v>
      </c>
    </row>
    <row r="3870" spans="1:2" x14ac:dyDescent="0.25">
      <c r="A3870" t="s">
        <v>2645</v>
      </c>
      <c r="B3870" t="s">
        <v>5793</v>
      </c>
    </row>
    <row r="3871" spans="1:2" x14ac:dyDescent="0.25">
      <c r="A3871" t="s">
        <v>1669</v>
      </c>
      <c r="B3871" t="s">
        <v>5713</v>
      </c>
    </row>
    <row r="3872" spans="1:2" x14ac:dyDescent="0.25">
      <c r="A3872" t="s">
        <v>3822</v>
      </c>
      <c r="B3872" t="s">
        <v>6537</v>
      </c>
    </row>
    <row r="3873" spans="1:2" x14ac:dyDescent="0.25">
      <c r="A3873" t="s">
        <v>3043</v>
      </c>
      <c r="B3873" t="s">
        <v>6380</v>
      </c>
    </row>
    <row r="3874" spans="1:2" x14ac:dyDescent="0.25">
      <c r="A3874" t="s">
        <v>4557</v>
      </c>
      <c r="B3874" t="s">
        <v>5787</v>
      </c>
    </row>
    <row r="3875" spans="1:2" x14ac:dyDescent="0.25">
      <c r="A3875" t="s">
        <v>1627</v>
      </c>
      <c r="B3875" t="s">
        <v>5816</v>
      </c>
    </row>
    <row r="3876" spans="1:2" x14ac:dyDescent="0.25">
      <c r="A3876" t="s">
        <v>4990</v>
      </c>
      <c r="B3876" t="s">
        <v>5787</v>
      </c>
    </row>
    <row r="3877" spans="1:2" x14ac:dyDescent="0.25">
      <c r="A3877" t="s">
        <v>5582</v>
      </c>
      <c r="B3877" t="s">
        <v>6092</v>
      </c>
    </row>
    <row r="3878" spans="1:2" x14ac:dyDescent="0.25">
      <c r="A3878" t="s">
        <v>4397</v>
      </c>
      <c r="B3878" t="s">
        <v>5939</v>
      </c>
    </row>
    <row r="3879" spans="1:2" x14ac:dyDescent="0.25">
      <c r="A3879" t="s">
        <v>5526</v>
      </c>
      <c r="B3879">
        <v>0</v>
      </c>
    </row>
    <row r="3880" spans="1:2" x14ac:dyDescent="0.25">
      <c r="A3880" t="s">
        <v>4516</v>
      </c>
      <c r="B3880" t="s">
        <v>5787</v>
      </c>
    </row>
    <row r="3881" spans="1:2" x14ac:dyDescent="0.25">
      <c r="A3881" t="s">
        <v>877</v>
      </c>
      <c r="B3881" t="s">
        <v>5887</v>
      </c>
    </row>
    <row r="3882" spans="1:2" x14ac:dyDescent="0.25">
      <c r="A3882" t="s">
        <v>1343</v>
      </c>
      <c r="B3882" t="s">
        <v>5860</v>
      </c>
    </row>
    <row r="3883" spans="1:2" x14ac:dyDescent="0.25">
      <c r="A3883" t="s">
        <v>1086</v>
      </c>
      <c r="B3883" t="s">
        <v>5955</v>
      </c>
    </row>
    <row r="3884" spans="1:2" x14ac:dyDescent="0.25">
      <c r="A3884" t="s">
        <v>1667</v>
      </c>
      <c r="B3884" t="s">
        <v>5840</v>
      </c>
    </row>
    <row r="3885" spans="1:2" x14ac:dyDescent="0.25">
      <c r="A3885" t="s">
        <v>4647</v>
      </c>
      <c r="B3885" t="s">
        <v>5910</v>
      </c>
    </row>
    <row r="3886" spans="1:2" x14ac:dyDescent="0.25">
      <c r="A3886" t="s">
        <v>343</v>
      </c>
      <c r="B3886" t="s">
        <v>5708</v>
      </c>
    </row>
    <row r="3887" spans="1:2" x14ac:dyDescent="0.25">
      <c r="A3887" t="s">
        <v>626</v>
      </c>
      <c r="B3887" t="s">
        <v>6339</v>
      </c>
    </row>
    <row r="3888" spans="1:2" x14ac:dyDescent="0.25">
      <c r="A3888" t="s">
        <v>959</v>
      </c>
      <c r="B3888" t="s">
        <v>5891</v>
      </c>
    </row>
    <row r="3889" spans="1:2" x14ac:dyDescent="0.25">
      <c r="A3889" t="s">
        <v>1862</v>
      </c>
      <c r="B3889" t="s">
        <v>6237</v>
      </c>
    </row>
    <row r="3890" spans="1:2" x14ac:dyDescent="0.25">
      <c r="A3890" t="s">
        <v>1002</v>
      </c>
      <c r="B3890" t="s">
        <v>5788</v>
      </c>
    </row>
    <row r="3891" spans="1:2" x14ac:dyDescent="0.25">
      <c r="A3891" t="s">
        <v>4727</v>
      </c>
      <c r="B3891" t="s">
        <v>5744</v>
      </c>
    </row>
    <row r="3892" spans="1:2" x14ac:dyDescent="0.25">
      <c r="A3892" t="s">
        <v>11040</v>
      </c>
      <c r="B3892" t="s">
        <v>6221</v>
      </c>
    </row>
    <row r="3893" spans="1:2" x14ac:dyDescent="0.25">
      <c r="A3893" t="s">
        <v>2959</v>
      </c>
      <c r="B3893" t="s">
        <v>5721</v>
      </c>
    </row>
    <row r="3894" spans="1:2" x14ac:dyDescent="0.25">
      <c r="A3894" t="s">
        <v>2455</v>
      </c>
      <c r="B3894" t="s">
        <v>5814</v>
      </c>
    </row>
    <row r="3895" spans="1:2" x14ac:dyDescent="0.25">
      <c r="A3895" t="s">
        <v>4157</v>
      </c>
      <c r="B3895" t="s">
        <v>6060</v>
      </c>
    </row>
    <row r="3896" spans="1:2" x14ac:dyDescent="0.25">
      <c r="A3896" t="s">
        <v>806</v>
      </c>
      <c r="B3896" t="s">
        <v>5737</v>
      </c>
    </row>
    <row r="3897" spans="1:2" x14ac:dyDescent="0.25">
      <c r="A3897" t="s">
        <v>1439</v>
      </c>
      <c r="B3897" t="s">
        <v>5886</v>
      </c>
    </row>
    <row r="3898" spans="1:2" x14ac:dyDescent="0.25">
      <c r="A3898" t="s">
        <v>2873</v>
      </c>
      <c r="B3898" t="s">
        <v>5719</v>
      </c>
    </row>
    <row r="3899" spans="1:2" x14ac:dyDescent="0.25">
      <c r="A3899" t="s">
        <v>1368</v>
      </c>
      <c r="B3899" t="s">
        <v>6782</v>
      </c>
    </row>
    <row r="3900" spans="1:2" x14ac:dyDescent="0.25">
      <c r="A3900" t="s">
        <v>1960</v>
      </c>
      <c r="B3900" t="s">
        <v>6076</v>
      </c>
    </row>
    <row r="3901" spans="1:2" x14ac:dyDescent="0.25">
      <c r="A3901" t="s">
        <v>918</v>
      </c>
      <c r="B3901" t="s">
        <v>5782</v>
      </c>
    </row>
    <row r="3902" spans="1:2" x14ac:dyDescent="0.25">
      <c r="A3902" t="s">
        <v>5741</v>
      </c>
      <c r="B3902" t="s">
        <v>5740</v>
      </c>
    </row>
    <row r="3903" spans="1:2" x14ac:dyDescent="0.25">
      <c r="A3903" t="s">
        <v>31747</v>
      </c>
      <c r="B3903" t="s">
        <v>5787</v>
      </c>
    </row>
    <row r="3904" spans="1:2" x14ac:dyDescent="0.25">
      <c r="A3904" t="s">
        <v>1979</v>
      </c>
      <c r="B3904" t="s">
        <v>5820</v>
      </c>
    </row>
    <row r="3905" spans="1:2" x14ac:dyDescent="0.25">
      <c r="A3905" t="s">
        <v>2107</v>
      </c>
      <c r="B3905" t="s">
        <v>5787</v>
      </c>
    </row>
    <row r="3906" spans="1:2" x14ac:dyDescent="0.25">
      <c r="A3906" t="s">
        <v>2893</v>
      </c>
      <c r="B3906" t="s">
        <v>5919</v>
      </c>
    </row>
    <row r="3907" spans="1:2" x14ac:dyDescent="0.25">
      <c r="A3907" t="s">
        <v>850</v>
      </c>
      <c r="B3907" t="s">
        <v>6516</v>
      </c>
    </row>
    <row r="3908" spans="1:2" x14ac:dyDescent="0.25">
      <c r="A3908" t="s">
        <v>497</v>
      </c>
      <c r="B3908" t="s">
        <v>5804</v>
      </c>
    </row>
    <row r="3909" spans="1:2" x14ac:dyDescent="0.25">
      <c r="A3909" t="s">
        <v>5603</v>
      </c>
      <c r="B3909" t="s">
        <v>6374</v>
      </c>
    </row>
    <row r="3910" spans="1:2" x14ac:dyDescent="0.25">
      <c r="A3910" t="s">
        <v>761</v>
      </c>
      <c r="B3910" t="s">
        <v>6334</v>
      </c>
    </row>
    <row r="3911" spans="1:2" x14ac:dyDescent="0.25">
      <c r="A3911" t="s">
        <v>3776</v>
      </c>
      <c r="B3911" t="s">
        <v>5923</v>
      </c>
    </row>
    <row r="3912" spans="1:2" x14ac:dyDescent="0.25">
      <c r="A3912" t="s">
        <v>617</v>
      </c>
      <c r="B3912" t="s">
        <v>5762</v>
      </c>
    </row>
    <row r="3913" spans="1:2" x14ac:dyDescent="0.25">
      <c r="A3913" t="s">
        <v>897</v>
      </c>
      <c r="B3913" t="s">
        <v>5867</v>
      </c>
    </row>
    <row r="3914" spans="1:2" x14ac:dyDescent="0.25">
      <c r="A3914" t="s">
        <v>11062</v>
      </c>
      <c r="B3914" t="s">
        <v>6105</v>
      </c>
    </row>
    <row r="3915" spans="1:2" x14ac:dyDescent="0.25">
      <c r="A3915" t="s">
        <v>2544</v>
      </c>
      <c r="B3915" t="s">
        <v>5836</v>
      </c>
    </row>
    <row r="3916" spans="1:2" x14ac:dyDescent="0.25">
      <c r="A3916" t="s">
        <v>166</v>
      </c>
      <c r="B3916" t="s">
        <v>5787</v>
      </c>
    </row>
    <row r="3917" spans="1:2" x14ac:dyDescent="0.25">
      <c r="A3917" t="s">
        <v>2971</v>
      </c>
      <c r="B3917" t="s">
        <v>5788</v>
      </c>
    </row>
    <row r="3918" spans="1:2" x14ac:dyDescent="0.25">
      <c r="A3918" t="s">
        <v>1310</v>
      </c>
      <c r="B3918" t="s">
        <v>5796</v>
      </c>
    </row>
    <row r="3919" spans="1:2" x14ac:dyDescent="0.25">
      <c r="A3919" t="s">
        <v>2931</v>
      </c>
      <c r="B3919" t="s">
        <v>6027</v>
      </c>
    </row>
    <row r="3920" spans="1:2" x14ac:dyDescent="0.25">
      <c r="A3920" t="s">
        <v>5146</v>
      </c>
      <c r="B3920" t="s">
        <v>6080</v>
      </c>
    </row>
    <row r="3921" spans="1:2" x14ac:dyDescent="0.25">
      <c r="A3921" t="s">
        <v>603</v>
      </c>
      <c r="B3921" t="s">
        <v>5711</v>
      </c>
    </row>
    <row r="3922" spans="1:2" x14ac:dyDescent="0.25">
      <c r="A3922" t="s">
        <v>753</v>
      </c>
      <c r="B3922">
        <v>0</v>
      </c>
    </row>
    <row r="3923" spans="1:2" x14ac:dyDescent="0.25">
      <c r="A3923" t="s">
        <v>11071</v>
      </c>
      <c r="B3923" t="s">
        <v>6479</v>
      </c>
    </row>
    <row r="3924" spans="1:2" x14ac:dyDescent="0.25">
      <c r="A3924" t="s">
        <v>4545</v>
      </c>
      <c r="B3924" t="s">
        <v>6362</v>
      </c>
    </row>
    <row r="3925" spans="1:2" x14ac:dyDescent="0.25">
      <c r="A3925" t="s">
        <v>3538</v>
      </c>
      <c r="B3925" t="s">
        <v>6241</v>
      </c>
    </row>
    <row r="3926" spans="1:2" x14ac:dyDescent="0.25">
      <c r="A3926" t="s">
        <v>399</v>
      </c>
      <c r="B3926" t="s">
        <v>5780</v>
      </c>
    </row>
    <row r="3927" spans="1:2" x14ac:dyDescent="0.25">
      <c r="A3927" t="s">
        <v>5625</v>
      </c>
      <c r="B3927" t="s">
        <v>5804</v>
      </c>
    </row>
    <row r="3928" spans="1:2" x14ac:dyDescent="0.25">
      <c r="A3928" t="s">
        <v>3930</v>
      </c>
      <c r="B3928" t="s">
        <v>6021</v>
      </c>
    </row>
    <row r="3929" spans="1:2" x14ac:dyDescent="0.25">
      <c r="A3929" t="s">
        <v>1249</v>
      </c>
      <c r="B3929" t="s">
        <v>5815</v>
      </c>
    </row>
    <row r="3930" spans="1:2" x14ac:dyDescent="0.25">
      <c r="A3930" t="s">
        <v>2576</v>
      </c>
      <c r="B3930" t="s">
        <v>5788</v>
      </c>
    </row>
    <row r="3931" spans="1:2" x14ac:dyDescent="0.25">
      <c r="A3931" t="s">
        <v>3568</v>
      </c>
      <c r="B3931" t="s">
        <v>5724</v>
      </c>
    </row>
    <row r="3932" spans="1:2" x14ac:dyDescent="0.25">
      <c r="A3932" t="s">
        <v>1718</v>
      </c>
      <c r="B3932" t="s">
        <v>6740</v>
      </c>
    </row>
    <row r="3933" spans="1:2" x14ac:dyDescent="0.25">
      <c r="A3933" t="s">
        <v>920</v>
      </c>
      <c r="B3933" t="s">
        <v>6293</v>
      </c>
    </row>
    <row r="3934" spans="1:2" x14ac:dyDescent="0.25">
      <c r="A3934" t="s">
        <v>4698</v>
      </c>
      <c r="B3934" t="s">
        <v>5704</v>
      </c>
    </row>
    <row r="3935" spans="1:2" x14ac:dyDescent="0.25">
      <c r="A3935" t="s">
        <v>669</v>
      </c>
      <c r="B3935" t="s">
        <v>5952</v>
      </c>
    </row>
    <row r="3936" spans="1:2" x14ac:dyDescent="0.25">
      <c r="A3936" t="s">
        <v>3987</v>
      </c>
      <c r="B3936" t="s">
        <v>6652</v>
      </c>
    </row>
    <row r="3937" spans="1:2" x14ac:dyDescent="0.25">
      <c r="A3937" t="s">
        <v>4855</v>
      </c>
      <c r="B3937" t="s">
        <v>5796</v>
      </c>
    </row>
    <row r="3938" spans="1:2" x14ac:dyDescent="0.25">
      <c r="A3938" t="s">
        <v>2759</v>
      </c>
      <c r="B3938" t="s">
        <v>6026</v>
      </c>
    </row>
    <row r="3939" spans="1:2" x14ac:dyDescent="0.25">
      <c r="A3939" t="s">
        <v>1818</v>
      </c>
      <c r="B3939" t="s">
        <v>6028</v>
      </c>
    </row>
    <row r="3940" spans="1:2" x14ac:dyDescent="0.25">
      <c r="A3940" t="s">
        <v>3781</v>
      </c>
      <c r="B3940" t="s">
        <v>6253</v>
      </c>
    </row>
    <row r="3941" spans="1:2" x14ac:dyDescent="0.25">
      <c r="A3941" t="s">
        <v>764</v>
      </c>
      <c r="B3941" t="s">
        <v>5928</v>
      </c>
    </row>
    <row r="3942" spans="1:2" x14ac:dyDescent="0.25">
      <c r="A3942" t="s">
        <v>5464</v>
      </c>
      <c r="B3942" t="s">
        <v>5724</v>
      </c>
    </row>
    <row r="3943" spans="1:2" x14ac:dyDescent="0.25">
      <c r="A3943" t="s">
        <v>676</v>
      </c>
      <c r="B3943" t="s">
        <v>6201</v>
      </c>
    </row>
    <row r="3944" spans="1:2" x14ac:dyDescent="0.25">
      <c r="A3944" t="s">
        <v>2563</v>
      </c>
      <c r="B3944" t="s">
        <v>5921</v>
      </c>
    </row>
    <row r="3945" spans="1:2" x14ac:dyDescent="0.25">
      <c r="A3945" t="s">
        <v>83</v>
      </c>
      <c r="B3945" t="s">
        <v>5860</v>
      </c>
    </row>
    <row r="3946" spans="1:2" x14ac:dyDescent="0.25">
      <c r="A3946" t="s">
        <v>3012</v>
      </c>
      <c r="B3946" t="s">
        <v>6634</v>
      </c>
    </row>
    <row r="3947" spans="1:2" x14ac:dyDescent="0.25">
      <c r="A3947" t="s">
        <v>548</v>
      </c>
      <c r="B3947" t="s">
        <v>5846</v>
      </c>
    </row>
    <row r="3948" spans="1:2" x14ac:dyDescent="0.25">
      <c r="A3948" t="s">
        <v>2232</v>
      </c>
      <c r="B3948" t="s">
        <v>5912</v>
      </c>
    </row>
    <row r="3949" spans="1:2" x14ac:dyDescent="0.25">
      <c r="A3949" t="s">
        <v>402</v>
      </c>
      <c r="B3949" t="s">
        <v>5875</v>
      </c>
    </row>
    <row r="3950" spans="1:2" x14ac:dyDescent="0.25">
      <c r="A3950" t="s">
        <v>546</v>
      </c>
      <c r="B3950" t="s">
        <v>5969</v>
      </c>
    </row>
    <row r="3951" spans="1:2" x14ac:dyDescent="0.25">
      <c r="A3951" t="s">
        <v>3563</v>
      </c>
      <c r="B3951" t="s">
        <v>6705</v>
      </c>
    </row>
    <row r="3952" spans="1:2" x14ac:dyDescent="0.25">
      <c r="A3952" t="s">
        <v>2390</v>
      </c>
      <c r="B3952" t="s">
        <v>6051</v>
      </c>
    </row>
    <row r="3953" spans="1:2" x14ac:dyDescent="0.25">
      <c r="A3953" t="s">
        <v>2336</v>
      </c>
      <c r="B3953" t="s">
        <v>5787</v>
      </c>
    </row>
    <row r="3954" spans="1:2" x14ac:dyDescent="0.25">
      <c r="A3954" t="s">
        <v>2998</v>
      </c>
      <c r="B3954" t="s">
        <v>6085</v>
      </c>
    </row>
    <row r="3955" spans="1:2" x14ac:dyDescent="0.25">
      <c r="A3955" t="s">
        <v>333</v>
      </c>
      <c r="B3955" t="s">
        <v>5814</v>
      </c>
    </row>
    <row r="3956" spans="1:2" x14ac:dyDescent="0.25">
      <c r="A3956" t="s">
        <v>5120</v>
      </c>
      <c r="B3956" t="s">
        <v>5835</v>
      </c>
    </row>
    <row r="3957" spans="1:2" x14ac:dyDescent="0.25">
      <c r="A3957" t="s">
        <v>1462</v>
      </c>
      <c r="B3957" t="s">
        <v>6033</v>
      </c>
    </row>
    <row r="3958" spans="1:2" x14ac:dyDescent="0.25">
      <c r="A3958" t="s">
        <v>3381</v>
      </c>
      <c r="B3958" t="s">
        <v>5996</v>
      </c>
    </row>
    <row r="3959" spans="1:2" x14ac:dyDescent="0.25">
      <c r="A3959" t="s">
        <v>1033</v>
      </c>
      <c r="B3959" t="s">
        <v>5892</v>
      </c>
    </row>
    <row r="3960" spans="1:2" x14ac:dyDescent="0.25">
      <c r="A3960" t="s">
        <v>1519</v>
      </c>
      <c r="B3960" t="s">
        <v>6316</v>
      </c>
    </row>
    <row r="3961" spans="1:2" x14ac:dyDescent="0.25">
      <c r="A3961" t="s">
        <v>975</v>
      </c>
      <c r="B3961" t="s">
        <v>5817</v>
      </c>
    </row>
    <row r="3962" spans="1:2" x14ac:dyDescent="0.25">
      <c r="A3962" t="s">
        <v>5593</v>
      </c>
      <c r="B3962" t="s">
        <v>6062</v>
      </c>
    </row>
    <row r="3963" spans="1:2" x14ac:dyDescent="0.25">
      <c r="A3963" t="s">
        <v>1645</v>
      </c>
      <c r="B3963" t="s">
        <v>5766</v>
      </c>
    </row>
    <row r="3964" spans="1:2" x14ac:dyDescent="0.25">
      <c r="A3964" t="s">
        <v>3033</v>
      </c>
      <c r="B3964" t="s">
        <v>6551</v>
      </c>
    </row>
    <row r="3965" spans="1:2" x14ac:dyDescent="0.25">
      <c r="A3965" t="s">
        <v>1956</v>
      </c>
      <c r="B3965" t="s">
        <v>5897</v>
      </c>
    </row>
    <row r="3966" spans="1:2" x14ac:dyDescent="0.25">
      <c r="A3966" t="s">
        <v>4724</v>
      </c>
      <c r="B3966" t="s">
        <v>5992</v>
      </c>
    </row>
    <row r="3967" spans="1:2" x14ac:dyDescent="0.25">
      <c r="A3967" t="s">
        <v>4027</v>
      </c>
      <c r="B3967" t="s">
        <v>5789</v>
      </c>
    </row>
    <row r="3968" spans="1:2" x14ac:dyDescent="0.25">
      <c r="A3968" t="s">
        <v>3893</v>
      </c>
      <c r="B3968" t="s">
        <v>6200</v>
      </c>
    </row>
    <row r="3969" spans="1:2" x14ac:dyDescent="0.25">
      <c r="A3969" t="s">
        <v>3738</v>
      </c>
      <c r="B3969" t="s">
        <v>6358</v>
      </c>
    </row>
    <row r="3970" spans="1:2" x14ac:dyDescent="0.25">
      <c r="A3970" t="s">
        <v>2640</v>
      </c>
      <c r="B3970" t="s">
        <v>6100</v>
      </c>
    </row>
    <row r="3971" spans="1:2" x14ac:dyDescent="0.25">
      <c r="A3971" t="s">
        <v>4578</v>
      </c>
      <c r="B3971" t="s">
        <v>5730</v>
      </c>
    </row>
    <row r="3972" spans="1:2" x14ac:dyDescent="0.25">
      <c r="A3972" t="s">
        <v>3306</v>
      </c>
      <c r="B3972" t="s">
        <v>5818</v>
      </c>
    </row>
    <row r="3973" spans="1:2" x14ac:dyDescent="0.25">
      <c r="A3973" t="s">
        <v>3186</v>
      </c>
      <c r="B3973" t="s">
        <v>5986</v>
      </c>
    </row>
    <row r="3974" spans="1:2" x14ac:dyDescent="0.25">
      <c r="A3974" t="s">
        <v>31745</v>
      </c>
      <c r="B3974" t="s">
        <v>5787</v>
      </c>
    </row>
    <row r="3975" spans="1:2" x14ac:dyDescent="0.25">
      <c r="A3975" t="s">
        <v>2005</v>
      </c>
      <c r="B3975" t="s">
        <v>6157</v>
      </c>
    </row>
    <row r="3976" spans="1:2" x14ac:dyDescent="0.25">
      <c r="A3976" t="s">
        <v>1573</v>
      </c>
      <c r="B3976" t="s">
        <v>5704</v>
      </c>
    </row>
    <row r="3977" spans="1:2" x14ac:dyDescent="0.25">
      <c r="A3977" t="s">
        <v>4938</v>
      </c>
      <c r="B3977" t="s">
        <v>5955</v>
      </c>
    </row>
    <row r="3978" spans="1:2" x14ac:dyDescent="0.25">
      <c r="A3978" t="s">
        <v>1321</v>
      </c>
      <c r="B3978" t="s">
        <v>5834</v>
      </c>
    </row>
    <row r="3979" spans="1:2" x14ac:dyDescent="0.25">
      <c r="A3979" t="s">
        <v>4077</v>
      </c>
      <c r="B3979" t="s">
        <v>5834</v>
      </c>
    </row>
    <row r="3980" spans="1:2" x14ac:dyDescent="0.25">
      <c r="A3980" t="s">
        <v>3408</v>
      </c>
      <c r="B3980" t="s">
        <v>5708</v>
      </c>
    </row>
    <row r="3981" spans="1:2" x14ac:dyDescent="0.25">
      <c r="A3981" t="s">
        <v>3217</v>
      </c>
      <c r="B3981" t="s">
        <v>5787</v>
      </c>
    </row>
    <row r="3982" spans="1:2" x14ac:dyDescent="0.25">
      <c r="A3982" t="s">
        <v>4980</v>
      </c>
      <c r="B3982" t="s">
        <v>5737</v>
      </c>
    </row>
    <row r="3983" spans="1:2" x14ac:dyDescent="0.25">
      <c r="A3983" t="s">
        <v>4098</v>
      </c>
      <c r="B3983" t="s">
        <v>5843</v>
      </c>
    </row>
    <row r="3984" spans="1:2" x14ac:dyDescent="0.25">
      <c r="A3984" t="s">
        <v>249</v>
      </c>
      <c r="B3984" t="s">
        <v>5747</v>
      </c>
    </row>
    <row r="3985" spans="1:2" x14ac:dyDescent="0.25">
      <c r="A3985" t="s">
        <v>3888</v>
      </c>
      <c r="B3985" t="s">
        <v>5847</v>
      </c>
    </row>
    <row r="3986" spans="1:2" x14ac:dyDescent="0.25">
      <c r="A3986" t="s">
        <v>4776</v>
      </c>
      <c r="B3986" t="s">
        <v>5795</v>
      </c>
    </row>
    <row r="3987" spans="1:2" x14ac:dyDescent="0.25">
      <c r="A3987" t="s">
        <v>4159</v>
      </c>
      <c r="B3987" t="s">
        <v>5918</v>
      </c>
    </row>
    <row r="3988" spans="1:2" x14ac:dyDescent="0.25">
      <c r="A3988" t="s">
        <v>4483</v>
      </c>
      <c r="B3988" t="s">
        <v>5754</v>
      </c>
    </row>
    <row r="3989" spans="1:2" x14ac:dyDescent="0.25">
      <c r="A3989" t="s">
        <v>5058</v>
      </c>
      <c r="B3989" t="s">
        <v>5831</v>
      </c>
    </row>
    <row r="3990" spans="1:2" x14ac:dyDescent="0.25">
      <c r="A3990" t="s">
        <v>4233</v>
      </c>
      <c r="B3990" t="s">
        <v>5920</v>
      </c>
    </row>
    <row r="3991" spans="1:2" x14ac:dyDescent="0.25">
      <c r="A3991" t="s">
        <v>1972</v>
      </c>
      <c r="B3991" t="s">
        <v>6155</v>
      </c>
    </row>
    <row r="3992" spans="1:2" x14ac:dyDescent="0.25">
      <c r="A3992" t="s">
        <v>3946</v>
      </c>
      <c r="B3992" t="s">
        <v>6279</v>
      </c>
    </row>
    <row r="3993" spans="1:2" x14ac:dyDescent="0.25">
      <c r="A3993" t="s">
        <v>4247</v>
      </c>
      <c r="B3993" t="s">
        <v>5785</v>
      </c>
    </row>
    <row r="3994" spans="1:2" x14ac:dyDescent="0.25">
      <c r="A3994" t="s">
        <v>4145</v>
      </c>
      <c r="B3994" t="s">
        <v>5734</v>
      </c>
    </row>
    <row r="3995" spans="1:2" x14ac:dyDescent="0.25">
      <c r="A3995" t="s">
        <v>5012</v>
      </c>
      <c r="B3995" t="s">
        <v>6591</v>
      </c>
    </row>
    <row r="3996" spans="1:2" x14ac:dyDescent="0.25">
      <c r="A3996" t="s">
        <v>4766</v>
      </c>
      <c r="B3996" t="s">
        <v>6178</v>
      </c>
    </row>
    <row r="3997" spans="1:2" x14ac:dyDescent="0.25">
      <c r="A3997" t="s">
        <v>4108</v>
      </c>
      <c r="B3997" t="s">
        <v>5977</v>
      </c>
    </row>
    <row r="3998" spans="1:2" x14ac:dyDescent="0.25">
      <c r="A3998" t="s">
        <v>5685</v>
      </c>
    </row>
    <row r="3999" spans="1:2" x14ac:dyDescent="0.25">
      <c r="A3999" t="s">
        <v>2780</v>
      </c>
      <c r="B3999" t="s">
        <v>5920</v>
      </c>
    </row>
    <row r="4000" spans="1:2" x14ac:dyDescent="0.25">
      <c r="A4000" t="s">
        <v>3553</v>
      </c>
      <c r="B4000" t="s">
        <v>5787</v>
      </c>
    </row>
    <row r="4001" spans="1:2" x14ac:dyDescent="0.25">
      <c r="A4001" t="s">
        <v>1591</v>
      </c>
      <c r="B4001" t="s">
        <v>5835</v>
      </c>
    </row>
    <row r="4002" spans="1:2" x14ac:dyDescent="0.25">
      <c r="A4002" t="s">
        <v>4590</v>
      </c>
      <c r="B4002" t="s">
        <v>5859</v>
      </c>
    </row>
    <row r="4003" spans="1:2" x14ac:dyDescent="0.25">
      <c r="A4003" t="s">
        <v>2031</v>
      </c>
      <c r="B4003" t="s">
        <v>5750</v>
      </c>
    </row>
    <row r="4004" spans="1:2" x14ac:dyDescent="0.25">
      <c r="A4004" t="s">
        <v>5500</v>
      </c>
      <c r="B4004" t="s">
        <v>5770</v>
      </c>
    </row>
    <row r="4005" spans="1:2" x14ac:dyDescent="0.25">
      <c r="A4005" t="s">
        <v>3853</v>
      </c>
      <c r="B4005" t="s">
        <v>5787</v>
      </c>
    </row>
    <row r="4006" spans="1:2" x14ac:dyDescent="0.25">
      <c r="A4006" t="s">
        <v>2595</v>
      </c>
      <c r="B4006" t="s">
        <v>5981</v>
      </c>
    </row>
    <row r="4007" spans="1:2" x14ac:dyDescent="0.25">
      <c r="A4007" t="s">
        <v>789</v>
      </c>
      <c r="B4007" t="s">
        <v>5806</v>
      </c>
    </row>
    <row r="4008" spans="1:2" x14ac:dyDescent="0.25">
      <c r="A4008" t="s">
        <v>2345</v>
      </c>
      <c r="B4008" t="s">
        <v>5787</v>
      </c>
    </row>
    <row r="4009" spans="1:2" x14ac:dyDescent="0.25">
      <c r="A4009" t="s">
        <v>3337</v>
      </c>
      <c r="B4009" t="s">
        <v>5910</v>
      </c>
    </row>
    <row r="4010" spans="1:2" x14ac:dyDescent="0.25">
      <c r="A4010" t="s">
        <v>3084</v>
      </c>
      <c r="B4010" t="s">
        <v>5787</v>
      </c>
    </row>
    <row r="4011" spans="1:2" x14ac:dyDescent="0.25">
      <c r="A4011" t="s">
        <v>2225</v>
      </c>
      <c r="B4011" t="s">
        <v>5930</v>
      </c>
    </row>
    <row r="4012" spans="1:2" x14ac:dyDescent="0.25">
      <c r="A4012" t="s">
        <v>5024</v>
      </c>
      <c r="B4012" t="s">
        <v>5787</v>
      </c>
    </row>
    <row r="4013" spans="1:2" x14ac:dyDescent="0.25">
      <c r="A4013" t="s">
        <v>5309</v>
      </c>
      <c r="B4013" t="s">
        <v>6073</v>
      </c>
    </row>
    <row r="4014" spans="1:2" x14ac:dyDescent="0.25">
      <c r="A4014" t="s">
        <v>280</v>
      </c>
      <c r="B4014" t="s">
        <v>5719</v>
      </c>
    </row>
    <row r="4015" spans="1:2" x14ac:dyDescent="0.25">
      <c r="A4015" t="s">
        <v>1251</v>
      </c>
      <c r="B4015" t="s">
        <v>6073</v>
      </c>
    </row>
    <row r="4016" spans="1:2" x14ac:dyDescent="0.25">
      <c r="A4016" t="s">
        <v>1895</v>
      </c>
      <c r="B4016" t="s">
        <v>5938</v>
      </c>
    </row>
    <row r="4017" spans="1:2" x14ac:dyDescent="0.25">
      <c r="A4017" t="s">
        <v>1525</v>
      </c>
      <c r="B4017" t="s">
        <v>5837</v>
      </c>
    </row>
    <row r="4018" spans="1:2" x14ac:dyDescent="0.25">
      <c r="A4018" t="s">
        <v>4885</v>
      </c>
      <c r="B4018" t="s">
        <v>6224</v>
      </c>
    </row>
    <row r="4019" spans="1:2" x14ac:dyDescent="0.25">
      <c r="A4019" t="s">
        <v>3336</v>
      </c>
      <c r="B4019" t="s">
        <v>5814</v>
      </c>
    </row>
    <row r="4020" spans="1:2" x14ac:dyDescent="0.25">
      <c r="A4020" t="s">
        <v>2744</v>
      </c>
      <c r="B4020" t="s">
        <v>5811</v>
      </c>
    </row>
    <row r="4021" spans="1:2" x14ac:dyDescent="0.25">
      <c r="A4021" t="s">
        <v>5466</v>
      </c>
      <c r="B4021" t="s">
        <v>6159</v>
      </c>
    </row>
    <row r="4022" spans="1:2" x14ac:dyDescent="0.25">
      <c r="A4022" t="s">
        <v>173</v>
      </c>
      <c r="B4022" t="s">
        <v>5716</v>
      </c>
    </row>
    <row r="4023" spans="1:2" x14ac:dyDescent="0.25">
      <c r="A4023" t="s">
        <v>4365</v>
      </c>
      <c r="B4023" t="s">
        <v>5787</v>
      </c>
    </row>
    <row r="4024" spans="1:2" x14ac:dyDescent="0.25">
      <c r="A4024" t="s">
        <v>3521</v>
      </c>
      <c r="B4024" t="s">
        <v>5787</v>
      </c>
    </row>
    <row r="4025" spans="1:2" x14ac:dyDescent="0.25">
      <c r="A4025" t="s">
        <v>414</v>
      </c>
      <c r="B4025" t="s">
        <v>5737</v>
      </c>
    </row>
    <row r="4026" spans="1:2" x14ac:dyDescent="0.25">
      <c r="A4026" t="s">
        <v>5196</v>
      </c>
      <c r="B4026" t="s">
        <v>5817</v>
      </c>
    </row>
    <row r="4027" spans="1:2" x14ac:dyDescent="0.25">
      <c r="A4027" t="s">
        <v>4144</v>
      </c>
      <c r="B4027" t="s">
        <v>6129</v>
      </c>
    </row>
    <row r="4028" spans="1:2" x14ac:dyDescent="0.25">
      <c r="A4028" t="s">
        <v>4758</v>
      </c>
      <c r="B4028" t="s">
        <v>6210</v>
      </c>
    </row>
    <row r="4029" spans="1:2" x14ac:dyDescent="0.25">
      <c r="A4029" t="s">
        <v>5512</v>
      </c>
      <c r="B4029" t="s">
        <v>5706</v>
      </c>
    </row>
    <row r="4030" spans="1:2" x14ac:dyDescent="0.25">
      <c r="A4030" t="s">
        <v>191</v>
      </c>
      <c r="B4030" t="s">
        <v>6270</v>
      </c>
    </row>
    <row r="4031" spans="1:2" x14ac:dyDescent="0.25">
      <c r="A4031" t="s">
        <v>11198</v>
      </c>
      <c r="B4031" t="s">
        <v>6732</v>
      </c>
    </row>
    <row r="4032" spans="1:2" x14ac:dyDescent="0.25">
      <c r="A4032" t="s">
        <v>4666</v>
      </c>
      <c r="B4032" t="s">
        <v>5861</v>
      </c>
    </row>
    <row r="4033" spans="1:2" x14ac:dyDescent="0.25">
      <c r="A4033" t="s">
        <v>4799</v>
      </c>
      <c r="B4033" t="s">
        <v>5801</v>
      </c>
    </row>
    <row r="4034" spans="1:2" x14ac:dyDescent="0.25">
      <c r="A4034" t="s">
        <v>574</v>
      </c>
      <c r="B4034" t="s">
        <v>5823</v>
      </c>
    </row>
    <row r="4035" spans="1:2" x14ac:dyDescent="0.25">
      <c r="A4035" t="s">
        <v>3531</v>
      </c>
      <c r="B4035" t="s">
        <v>5819</v>
      </c>
    </row>
    <row r="4036" spans="1:2" x14ac:dyDescent="0.25">
      <c r="A4036" t="s">
        <v>4585</v>
      </c>
      <c r="B4036" t="s">
        <v>5704</v>
      </c>
    </row>
    <row r="4037" spans="1:2" x14ac:dyDescent="0.25">
      <c r="A4037" t="s">
        <v>3055</v>
      </c>
      <c r="B4037" t="s">
        <v>5805</v>
      </c>
    </row>
    <row r="4038" spans="1:2" x14ac:dyDescent="0.25">
      <c r="A4038" t="s">
        <v>1421</v>
      </c>
      <c r="B4038" t="s">
        <v>5734</v>
      </c>
    </row>
    <row r="4039" spans="1:2" x14ac:dyDescent="0.25">
      <c r="A4039" t="s">
        <v>1131</v>
      </c>
      <c r="B4039" t="s">
        <v>5787</v>
      </c>
    </row>
    <row r="4040" spans="1:2" x14ac:dyDescent="0.25">
      <c r="A4040" t="s">
        <v>4564</v>
      </c>
      <c r="B4040" t="s">
        <v>6753</v>
      </c>
    </row>
    <row r="4041" spans="1:2" x14ac:dyDescent="0.25">
      <c r="A4041" t="s">
        <v>5045</v>
      </c>
      <c r="B4041" t="s">
        <v>5754</v>
      </c>
    </row>
    <row r="4042" spans="1:2" x14ac:dyDescent="0.25">
      <c r="A4042" t="s">
        <v>3328</v>
      </c>
      <c r="B4042" t="s">
        <v>5744</v>
      </c>
    </row>
    <row r="4043" spans="1:2" x14ac:dyDescent="0.25">
      <c r="A4043" t="s">
        <v>2958</v>
      </c>
      <c r="B4043" t="s">
        <v>5713</v>
      </c>
    </row>
    <row r="4044" spans="1:2" x14ac:dyDescent="0.25">
      <c r="A4044" t="s">
        <v>2117</v>
      </c>
      <c r="B4044" t="s">
        <v>5711</v>
      </c>
    </row>
    <row r="4045" spans="1:2" x14ac:dyDescent="0.25">
      <c r="A4045" t="s">
        <v>1022</v>
      </c>
      <c r="B4045" t="s">
        <v>5914</v>
      </c>
    </row>
    <row r="4046" spans="1:2" x14ac:dyDescent="0.25">
      <c r="A4046" t="s">
        <v>1016</v>
      </c>
      <c r="B4046" t="s">
        <v>5931</v>
      </c>
    </row>
    <row r="4047" spans="1:2" x14ac:dyDescent="0.25">
      <c r="A4047" t="s">
        <v>2615</v>
      </c>
      <c r="B4047" t="s">
        <v>5806</v>
      </c>
    </row>
    <row r="4048" spans="1:2" x14ac:dyDescent="0.25">
      <c r="A4048" t="s">
        <v>979</v>
      </c>
      <c r="B4048" t="s">
        <v>6177</v>
      </c>
    </row>
    <row r="4049" spans="1:2" x14ac:dyDescent="0.25">
      <c r="A4049" t="s">
        <v>3409</v>
      </c>
      <c r="B4049" t="s">
        <v>5803</v>
      </c>
    </row>
    <row r="4050" spans="1:2" x14ac:dyDescent="0.25">
      <c r="A4050" t="s">
        <v>2538</v>
      </c>
      <c r="B4050" t="s">
        <v>6189</v>
      </c>
    </row>
    <row r="4051" spans="1:2" x14ac:dyDescent="0.25">
      <c r="A4051" t="s">
        <v>1423</v>
      </c>
      <c r="B4051" t="s">
        <v>6601</v>
      </c>
    </row>
    <row r="4052" spans="1:2" x14ac:dyDescent="0.25">
      <c r="A4052" t="s">
        <v>3230</v>
      </c>
      <c r="B4052" t="s">
        <v>6048</v>
      </c>
    </row>
    <row r="4053" spans="1:2" x14ac:dyDescent="0.25">
      <c r="A4053" t="s">
        <v>1705</v>
      </c>
      <c r="B4053" t="s">
        <v>6127</v>
      </c>
    </row>
    <row r="4054" spans="1:2" x14ac:dyDescent="0.25">
      <c r="A4054" t="s">
        <v>5151</v>
      </c>
      <c r="B4054" t="s">
        <v>6061</v>
      </c>
    </row>
    <row r="4055" spans="1:2" x14ac:dyDescent="0.25">
      <c r="A4055" t="s">
        <v>5575</v>
      </c>
      <c r="B4055" t="s">
        <v>5833</v>
      </c>
    </row>
    <row r="4056" spans="1:2" x14ac:dyDescent="0.25">
      <c r="A4056" t="s">
        <v>4741</v>
      </c>
      <c r="B4056" t="s">
        <v>5845</v>
      </c>
    </row>
    <row r="4057" spans="1:2" x14ac:dyDescent="0.25">
      <c r="A4057" t="s">
        <v>3434</v>
      </c>
      <c r="B4057" t="s">
        <v>5809</v>
      </c>
    </row>
    <row r="4058" spans="1:2" x14ac:dyDescent="0.25">
      <c r="A4058" t="s">
        <v>431</v>
      </c>
      <c r="B4058" t="s">
        <v>5949</v>
      </c>
    </row>
    <row r="4059" spans="1:2" x14ac:dyDescent="0.25">
      <c r="A4059" t="s">
        <v>1754</v>
      </c>
      <c r="B4059" t="s">
        <v>5799</v>
      </c>
    </row>
    <row r="4060" spans="1:2" x14ac:dyDescent="0.25">
      <c r="A4060" t="s">
        <v>1287</v>
      </c>
      <c r="B4060" t="s">
        <v>5787</v>
      </c>
    </row>
    <row r="4061" spans="1:2" x14ac:dyDescent="0.25">
      <c r="A4061" t="s">
        <v>3599</v>
      </c>
      <c r="B4061" t="s">
        <v>6363</v>
      </c>
    </row>
    <row r="4062" spans="1:2" x14ac:dyDescent="0.25">
      <c r="A4062" t="s">
        <v>4432</v>
      </c>
      <c r="B4062" t="s">
        <v>5768</v>
      </c>
    </row>
    <row r="4063" spans="1:2" x14ac:dyDescent="0.25">
      <c r="A4063" t="s">
        <v>2230</v>
      </c>
      <c r="B4063" t="s">
        <v>6366</v>
      </c>
    </row>
    <row r="4064" spans="1:2" x14ac:dyDescent="0.25">
      <c r="A4064" t="s">
        <v>4621</v>
      </c>
      <c r="B4064" t="s">
        <v>5960</v>
      </c>
    </row>
    <row r="4065" spans="1:2" x14ac:dyDescent="0.25">
      <c r="A4065" t="s">
        <v>11242</v>
      </c>
      <c r="B4065" t="s">
        <v>6456</v>
      </c>
    </row>
    <row r="4066" spans="1:2" x14ac:dyDescent="0.25">
      <c r="A4066" t="s">
        <v>3873</v>
      </c>
      <c r="B4066" t="s">
        <v>5704</v>
      </c>
    </row>
    <row r="4067" spans="1:2" x14ac:dyDescent="0.25">
      <c r="A4067" t="s">
        <v>5622</v>
      </c>
      <c r="B4067" t="s">
        <v>6707</v>
      </c>
    </row>
    <row r="4068" spans="1:2" x14ac:dyDescent="0.25">
      <c r="A4068" t="s">
        <v>3077</v>
      </c>
      <c r="B4068" t="s">
        <v>5921</v>
      </c>
    </row>
    <row r="4069" spans="1:2" x14ac:dyDescent="0.25">
      <c r="A4069" t="s">
        <v>2761</v>
      </c>
      <c r="B4069" t="s">
        <v>6571</v>
      </c>
    </row>
    <row r="4070" spans="1:2" x14ac:dyDescent="0.25">
      <c r="A4070" t="s">
        <v>3981</v>
      </c>
      <c r="B4070" t="s">
        <v>6014</v>
      </c>
    </row>
    <row r="4071" spans="1:2" x14ac:dyDescent="0.25">
      <c r="A4071" t="s">
        <v>1768</v>
      </c>
      <c r="B4071" t="s">
        <v>5939</v>
      </c>
    </row>
    <row r="4072" spans="1:2" x14ac:dyDescent="0.25">
      <c r="A4072" t="s">
        <v>1770</v>
      </c>
      <c r="B4072" t="s">
        <v>5972</v>
      </c>
    </row>
    <row r="4073" spans="1:2" x14ac:dyDescent="0.25">
      <c r="A4073" t="s">
        <v>600</v>
      </c>
      <c r="B4073" t="s">
        <v>5831</v>
      </c>
    </row>
    <row r="4074" spans="1:2" x14ac:dyDescent="0.25">
      <c r="A4074" t="s">
        <v>3628</v>
      </c>
      <c r="B4074" t="s">
        <v>6349</v>
      </c>
    </row>
    <row r="4075" spans="1:2" x14ac:dyDescent="0.25">
      <c r="A4075" t="s">
        <v>5459</v>
      </c>
      <c r="B4075">
        <v>0</v>
      </c>
    </row>
    <row r="4076" spans="1:2" x14ac:dyDescent="0.25">
      <c r="A4076" t="s">
        <v>4022</v>
      </c>
      <c r="B4076" t="s">
        <v>6000</v>
      </c>
    </row>
    <row r="4077" spans="1:2" x14ac:dyDescent="0.25">
      <c r="A4077" t="s">
        <v>3314</v>
      </c>
      <c r="B4077" t="s">
        <v>5809</v>
      </c>
    </row>
    <row r="4078" spans="1:2" x14ac:dyDescent="0.25">
      <c r="A4078" t="s">
        <v>2485</v>
      </c>
      <c r="B4078" t="s">
        <v>6256</v>
      </c>
    </row>
    <row r="4079" spans="1:2" x14ac:dyDescent="0.25">
      <c r="A4079" t="s">
        <v>1827</v>
      </c>
      <c r="B4079" t="s">
        <v>6032</v>
      </c>
    </row>
    <row r="4080" spans="1:2" x14ac:dyDescent="0.25">
      <c r="A4080" t="s">
        <v>1995</v>
      </c>
      <c r="B4080" t="s">
        <v>5787</v>
      </c>
    </row>
    <row r="4081" spans="1:2" x14ac:dyDescent="0.25">
      <c r="A4081" t="s">
        <v>1732</v>
      </c>
      <c r="B4081" t="s">
        <v>5716</v>
      </c>
    </row>
    <row r="4082" spans="1:2" x14ac:dyDescent="0.25">
      <c r="A4082" t="s">
        <v>5316</v>
      </c>
      <c r="B4082" t="s">
        <v>6170</v>
      </c>
    </row>
    <row r="4083" spans="1:2" x14ac:dyDescent="0.25">
      <c r="A4083" t="s">
        <v>1438</v>
      </c>
      <c r="B4083" t="s">
        <v>6163</v>
      </c>
    </row>
    <row r="4084" spans="1:2" x14ac:dyDescent="0.25">
      <c r="A4084" t="s">
        <v>1616</v>
      </c>
      <c r="B4084" t="s">
        <v>6480</v>
      </c>
    </row>
    <row r="4085" spans="1:2" x14ac:dyDescent="0.25">
      <c r="A4085" t="s">
        <v>1172</v>
      </c>
      <c r="B4085">
        <v>0</v>
      </c>
    </row>
    <row r="4086" spans="1:2" x14ac:dyDescent="0.25">
      <c r="A4086" t="s">
        <v>3759</v>
      </c>
      <c r="B4086" t="s">
        <v>5724</v>
      </c>
    </row>
    <row r="4087" spans="1:2" x14ac:dyDescent="0.25">
      <c r="A4087" t="s">
        <v>4425</v>
      </c>
      <c r="B4087" t="s">
        <v>5860</v>
      </c>
    </row>
    <row r="4088" spans="1:2" x14ac:dyDescent="0.25">
      <c r="A4088" t="s">
        <v>4871</v>
      </c>
      <c r="B4088" t="s">
        <v>5952</v>
      </c>
    </row>
    <row r="4089" spans="1:2" x14ac:dyDescent="0.25">
      <c r="A4089" t="s">
        <v>5129</v>
      </c>
      <c r="B4089" t="s">
        <v>6635</v>
      </c>
    </row>
    <row r="4090" spans="1:2" x14ac:dyDescent="0.25">
      <c r="A4090" t="s">
        <v>1256</v>
      </c>
      <c r="B4090" t="s">
        <v>6362</v>
      </c>
    </row>
    <row r="4091" spans="1:2" x14ac:dyDescent="0.25">
      <c r="A4091" t="s">
        <v>572</v>
      </c>
      <c r="B4091" t="s">
        <v>5770</v>
      </c>
    </row>
    <row r="4092" spans="1:2" x14ac:dyDescent="0.25">
      <c r="A4092" t="s">
        <v>3945</v>
      </c>
      <c r="B4092" t="s">
        <v>6388</v>
      </c>
    </row>
    <row r="4093" spans="1:2" x14ac:dyDescent="0.25">
      <c r="A4093" t="s">
        <v>1202</v>
      </c>
      <c r="B4093" t="s">
        <v>5808</v>
      </c>
    </row>
    <row r="4094" spans="1:2" x14ac:dyDescent="0.25">
      <c r="A4094" t="s">
        <v>1316</v>
      </c>
      <c r="B4094" t="s">
        <v>5737</v>
      </c>
    </row>
    <row r="4095" spans="1:2" x14ac:dyDescent="0.25">
      <c r="A4095" t="s">
        <v>3771</v>
      </c>
      <c r="B4095" t="s">
        <v>5788</v>
      </c>
    </row>
    <row r="4096" spans="1:2" x14ac:dyDescent="0.25">
      <c r="A4096" t="s">
        <v>3510</v>
      </c>
      <c r="B4096" t="s">
        <v>5740</v>
      </c>
    </row>
    <row r="4097" spans="1:2" x14ac:dyDescent="0.25">
      <c r="A4097" t="s">
        <v>4462</v>
      </c>
      <c r="B4097" t="s">
        <v>5704</v>
      </c>
    </row>
    <row r="4098" spans="1:2" x14ac:dyDescent="0.25">
      <c r="A4098" t="s">
        <v>456</v>
      </c>
      <c r="B4098" t="s">
        <v>5704</v>
      </c>
    </row>
    <row r="4099" spans="1:2" x14ac:dyDescent="0.25">
      <c r="A4099" t="s">
        <v>1083</v>
      </c>
      <c r="B4099" t="s">
        <v>5787</v>
      </c>
    </row>
    <row r="4100" spans="1:2" x14ac:dyDescent="0.25">
      <c r="A4100" t="s">
        <v>1031</v>
      </c>
      <c r="B4100" t="s">
        <v>5807</v>
      </c>
    </row>
    <row r="4101" spans="1:2" x14ac:dyDescent="0.25">
      <c r="A4101" t="s">
        <v>3452</v>
      </c>
      <c r="B4101" t="s">
        <v>6321</v>
      </c>
    </row>
    <row r="4102" spans="1:2" x14ac:dyDescent="0.25">
      <c r="A4102" t="s">
        <v>2253</v>
      </c>
      <c r="B4102" t="s">
        <v>5829</v>
      </c>
    </row>
    <row r="4103" spans="1:2" x14ac:dyDescent="0.25">
      <c r="A4103" t="s">
        <v>2479</v>
      </c>
      <c r="B4103" t="s">
        <v>5925</v>
      </c>
    </row>
    <row r="4104" spans="1:2" x14ac:dyDescent="0.25">
      <c r="A4104" t="s">
        <v>5214</v>
      </c>
      <c r="B4104" t="s">
        <v>5724</v>
      </c>
    </row>
    <row r="4105" spans="1:2" x14ac:dyDescent="0.25">
      <c r="A4105" t="s">
        <v>5153</v>
      </c>
      <c r="B4105">
        <v>0</v>
      </c>
    </row>
    <row r="4106" spans="1:2" x14ac:dyDescent="0.25">
      <c r="A4106" t="s">
        <v>3263</v>
      </c>
      <c r="B4106" t="s">
        <v>5885</v>
      </c>
    </row>
    <row r="4107" spans="1:2" x14ac:dyDescent="0.25">
      <c r="A4107" t="s">
        <v>1810</v>
      </c>
      <c r="B4107" t="s">
        <v>5704</v>
      </c>
    </row>
    <row r="4108" spans="1:2" x14ac:dyDescent="0.25">
      <c r="A4108" t="s">
        <v>4620</v>
      </c>
      <c r="B4108" t="s">
        <v>5762</v>
      </c>
    </row>
    <row r="4109" spans="1:2" x14ac:dyDescent="0.25">
      <c r="A4109" t="s">
        <v>2103</v>
      </c>
      <c r="B4109" t="s">
        <v>5799</v>
      </c>
    </row>
    <row r="4110" spans="1:2" x14ac:dyDescent="0.25">
      <c r="A4110" t="s">
        <v>3410</v>
      </c>
      <c r="B4110" t="s">
        <v>6057</v>
      </c>
    </row>
    <row r="4111" spans="1:2" x14ac:dyDescent="0.25">
      <c r="A4111" t="s">
        <v>1807</v>
      </c>
      <c r="B4111" t="s">
        <v>5946</v>
      </c>
    </row>
    <row r="4112" spans="1:2" x14ac:dyDescent="0.25">
      <c r="A4112" t="s">
        <v>1330</v>
      </c>
      <c r="B4112" t="s">
        <v>6182</v>
      </c>
    </row>
    <row r="4113" spans="1:2" x14ac:dyDescent="0.25">
      <c r="A4113" t="s">
        <v>4655</v>
      </c>
      <c r="B4113" t="s">
        <v>5859</v>
      </c>
    </row>
    <row r="4114" spans="1:2" x14ac:dyDescent="0.25">
      <c r="A4114" t="s">
        <v>5686</v>
      </c>
      <c r="B4114" t="s">
        <v>6041</v>
      </c>
    </row>
    <row r="4115" spans="1:2" x14ac:dyDescent="0.25">
      <c r="A4115" t="s">
        <v>4779</v>
      </c>
      <c r="B4115" t="s">
        <v>6032</v>
      </c>
    </row>
    <row r="4116" spans="1:2" x14ac:dyDescent="0.25">
      <c r="A4116" t="s">
        <v>2857</v>
      </c>
      <c r="B4116" t="s">
        <v>6339</v>
      </c>
    </row>
    <row r="4117" spans="1:2" x14ac:dyDescent="0.25">
      <c r="A4117" t="s">
        <v>4872</v>
      </c>
      <c r="B4117" t="s">
        <v>5706</v>
      </c>
    </row>
    <row r="4118" spans="1:2" x14ac:dyDescent="0.25">
      <c r="A4118" t="s">
        <v>2216</v>
      </c>
      <c r="B4118" t="s">
        <v>5772</v>
      </c>
    </row>
    <row r="4119" spans="1:2" x14ac:dyDescent="0.25">
      <c r="A4119" t="s">
        <v>2255</v>
      </c>
      <c r="B4119" t="s">
        <v>6429</v>
      </c>
    </row>
    <row r="4120" spans="1:2" x14ac:dyDescent="0.25">
      <c r="A4120" t="s">
        <v>3187</v>
      </c>
      <c r="B4120" t="s">
        <v>5792</v>
      </c>
    </row>
    <row r="4121" spans="1:2" x14ac:dyDescent="0.25">
      <c r="A4121" t="s">
        <v>2032</v>
      </c>
      <c r="B4121" t="s">
        <v>5947</v>
      </c>
    </row>
    <row r="4122" spans="1:2" x14ac:dyDescent="0.25">
      <c r="A4122" t="s">
        <v>2375</v>
      </c>
      <c r="B4122" t="s">
        <v>5852</v>
      </c>
    </row>
    <row r="4123" spans="1:2" x14ac:dyDescent="0.25">
      <c r="A4123" t="s">
        <v>1319</v>
      </c>
      <c r="B4123" t="s">
        <v>6148</v>
      </c>
    </row>
    <row r="4124" spans="1:2" x14ac:dyDescent="0.25">
      <c r="A4124" t="s">
        <v>1832</v>
      </c>
      <c r="B4124" t="s">
        <v>5782</v>
      </c>
    </row>
    <row r="4125" spans="1:2" x14ac:dyDescent="0.25">
      <c r="A4125" t="s">
        <v>1556</v>
      </c>
      <c r="B4125" t="s">
        <v>5965</v>
      </c>
    </row>
    <row r="4126" spans="1:2" x14ac:dyDescent="0.25">
      <c r="A4126" t="s">
        <v>3742</v>
      </c>
      <c r="B4126" t="s">
        <v>6021</v>
      </c>
    </row>
    <row r="4127" spans="1:2" x14ac:dyDescent="0.25">
      <c r="A4127" t="s">
        <v>3156</v>
      </c>
      <c r="B4127" t="s">
        <v>5917</v>
      </c>
    </row>
    <row r="4128" spans="1:2" x14ac:dyDescent="0.25">
      <c r="A4128" t="s">
        <v>4187</v>
      </c>
      <c r="B4128" t="s">
        <v>5787</v>
      </c>
    </row>
    <row r="4129" spans="1:2" x14ac:dyDescent="0.25">
      <c r="A4129" t="s">
        <v>2565</v>
      </c>
      <c r="B4129" t="s">
        <v>6184</v>
      </c>
    </row>
    <row r="4130" spans="1:2" x14ac:dyDescent="0.25">
      <c r="A4130" t="s">
        <v>4213</v>
      </c>
      <c r="B4130" t="s">
        <v>5820</v>
      </c>
    </row>
    <row r="4131" spans="1:2" x14ac:dyDescent="0.25">
      <c r="A4131" t="s">
        <v>1864</v>
      </c>
      <c r="B4131" t="s">
        <v>5752</v>
      </c>
    </row>
    <row r="4132" spans="1:2" x14ac:dyDescent="0.25">
      <c r="A4132" t="s">
        <v>2781</v>
      </c>
      <c r="B4132" t="s">
        <v>6100</v>
      </c>
    </row>
    <row r="4133" spans="1:2" x14ac:dyDescent="0.25">
      <c r="A4133" t="s">
        <v>1460</v>
      </c>
      <c r="B4133" t="s">
        <v>5708</v>
      </c>
    </row>
    <row r="4134" spans="1:2" x14ac:dyDescent="0.25">
      <c r="A4134" t="s">
        <v>2184</v>
      </c>
      <c r="B4134" t="s">
        <v>5708</v>
      </c>
    </row>
    <row r="4135" spans="1:2" x14ac:dyDescent="0.25">
      <c r="A4135" t="s">
        <v>5623</v>
      </c>
      <c r="B4135" t="s">
        <v>5956</v>
      </c>
    </row>
    <row r="4136" spans="1:2" x14ac:dyDescent="0.25">
      <c r="A4136" t="s">
        <v>3332</v>
      </c>
      <c r="B4136" t="s">
        <v>5824</v>
      </c>
    </row>
    <row r="4137" spans="1:2" x14ac:dyDescent="0.25">
      <c r="A4137" t="s">
        <v>5369</v>
      </c>
      <c r="B4137" t="s">
        <v>5787</v>
      </c>
    </row>
    <row r="4138" spans="1:2" x14ac:dyDescent="0.25">
      <c r="A4138" t="s">
        <v>3456</v>
      </c>
      <c r="B4138" t="s">
        <v>5787</v>
      </c>
    </row>
    <row r="4139" spans="1:2" x14ac:dyDescent="0.25">
      <c r="A4139" t="s">
        <v>2492</v>
      </c>
      <c r="B4139" t="s">
        <v>5787</v>
      </c>
    </row>
    <row r="4140" spans="1:2" x14ac:dyDescent="0.25">
      <c r="A4140" t="s">
        <v>5452</v>
      </c>
      <c r="B4140" t="s">
        <v>5987</v>
      </c>
    </row>
    <row r="4141" spans="1:2" x14ac:dyDescent="0.25">
      <c r="A4141" t="s">
        <v>5403</v>
      </c>
      <c r="B4141" t="s">
        <v>5956</v>
      </c>
    </row>
    <row r="4142" spans="1:2" x14ac:dyDescent="0.25">
      <c r="A4142" t="s">
        <v>4290</v>
      </c>
      <c r="B4142" t="s">
        <v>5873</v>
      </c>
    </row>
    <row r="4143" spans="1:2" x14ac:dyDescent="0.25">
      <c r="A4143" t="s">
        <v>5001</v>
      </c>
      <c r="B4143" t="s">
        <v>5721</v>
      </c>
    </row>
    <row r="4144" spans="1:2" x14ac:dyDescent="0.25">
      <c r="A4144" t="s">
        <v>4837</v>
      </c>
      <c r="B4144" t="s">
        <v>5734</v>
      </c>
    </row>
    <row r="4145" spans="1:2" x14ac:dyDescent="0.25">
      <c r="A4145" t="s">
        <v>3271</v>
      </c>
      <c r="B4145" t="s">
        <v>5802</v>
      </c>
    </row>
    <row r="4146" spans="1:2" x14ac:dyDescent="0.25">
      <c r="A4146" t="s">
        <v>5408</v>
      </c>
      <c r="B4146" t="s">
        <v>5772</v>
      </c>
    </row>
    <row r="4147" spans="1:2" x14ac:dyDescent="0.25">
      <c r="A4147" t="s">
        <v>5032</v>
      </c>
      <c r="B4147" t="s">
        <v>6161</v>
      </c>
    </row>
    <row r="4148" spans="1:2" x14ac:dyDescent="0.25">
      <c r="A4148" t="s">
        <v>544</v>
      </c>
      <c r="B4148" t="s">
        <v>5730</v>
      </c>
    </row>
    <row r="4149" spans="1:2" x14ac:dyDescent="0.25">
      <c r="A4149" t="s">
        <v>2912</v>
      </c>
      <c r="B4149" t="s">
        <v>5787</v>
      </c>
    </row>
    <row r="4150" spans="1:2" x14ac:dyDescent="0.25">
      <c r="A4150" t="s">
        <v>355</v>
      </c>
      <c r="B4150" t="s">
        <v>6044</v>
      </c>
    </row>
    <row r="4151" spans="1:2" x14ac:dyDescent="0.25">
      <c r="A4151" t="s">
        <v>3650</v>
      </c>
      <c r="B4151" t="s">
        <v>6690</v>
      </c>
    </row>
    <row r="4152" spans="1:2" x14ac:dyDescent="0.25">
      <c r="A4152" t="s">
        <v>3394</v>
      </c>
      <c r="B4152" t="s">
        <v>5719</v>
      </c>
    </row>
    <row r="4153" spans="1:2" x14ac:dyDescent="0.25">
      <c r="A4153" t="s">
        <v>2388</v>
      </c>
      <c r="B4153" t="s">
        <v>6728</v>
      </c>
    </row>
    <row r="4154" spans="1:2" x14ac:dyDescent="0.25">
      <c r="A4154" t="s">
        <v>3529</v>
      </c>
      <c r="B4154" t="s">
        <v>5923</v>
      </c>
    </row>
    <row r="4155" spans="1:2" x14ac:dyDescent="0.25">
      <c r="A4155" t="s">
        <v>861</v>
      </c>
      <c r="B4155" t="s">
        <v>5812</v>
      </c>
    </row>
    <row r="4156" spans="1:2" x14ac:dyDescent="0.25">
      <c r="A4156" t="s">
        <v>2341</v>
      </c>
      <c r="B4156" t="s">
        <v>5787</v>
      </c>
    </row>
    <row r="4157" spans="1:2" x14ac:dyDescent="0.25">
      <c r="A4157" t="s">
        <v>3504</v>
      </c>
      <c r="B4157" t="s">
        <v>5790</v>
      </c>
    </row>
    <row r="4158" spans="1:2" x14ac:dyDescent="0.25">
      <c r="A4158" t="s">
        <v>3365</v>
      </c>
      <c r="B4158" t="s">
        <v>5882</v>
      </c>
    </row>
    <row r="4159" spans="1:2" x14ac:dyDescent="0.25">
      <c r="A4159" t="s">
        <v>4598</v>
      </c>
      <c r="B4159" t="s">
        <v>5716</v>
      </c>
    </row>
    <row r="4160" spans="1:2" x14ac:dyDescent="0.25">
      <c r="A4160" t="s">
        <v>3304</v>
      </c>
      <c r="B4160" t="s">
        <v>5787</v>
      </c>
    </row>
    <row r="4161" spans="1:2" x14ac:dyDescent="0.25">
      <c r="A4161" t="s">
        <v>3038</v>
      </c>
      <c r="B4161" t="s">
        <v>5806</v>
      </c>
    </row>
    <row r="4162" spans="1:2" x14ac:dyDescent="0.25">
      <c r="A4162" t="s">
        <v>2414</v>
      </c>
    </row>
    <row r="4163" spans="1:2" x14ac:dyDescent="0.25">
      <c r="A4163" t="s">
        <v>4524</v>
      </c>
      <c r="B4163" t="s">
        <v>5759</v>
      </c>
    </row>
    <row r="4164" spans="1:2" x14ac:dyDescent="0.25">
      <c r="A4164" t="s">
        <v>4579</v>
      </c>
      <c r="B4164" t="s">
        <v>5828</v>
      </c>
    </row>
    <row r="4165" spans="1:2" x14ac:dyDescent="0.25">
      <c r="A4165" t="s">
        <v>2711</v>
      </c>
      <c r="B4165" t="s">
        <v>5834</v>
      </c>
    </row>
    <row r="4166" spans="1:2" x14ac:dyDescent="0.25">
      <c r="A4166" t="s">
        <v>3967</v>
      </c>
      <c r="B4166" t="s">
        <v>5872</v>
      </c>
    </row>
    <row r="4167" spans="1:2" x14ac:dyDescent="0.25">
      <c r="A4167" t="s">
        <v>2233</v>
      </c>
      <c r="B4167" t="s">
        <v>5853</v>
      </c>
    </row>
    <row r="4168" spans="1:2" x14ac:dyDescent="0.25">
      <c r="A4168" t="s">
        <v>4512</v>
      </c>
      <c r="B4168" t="s">
        <v>5740</v>
      </c>
    </row>
    <row r="4169" spans="1:2" x14ac:dyDescent="0.25">
      <c r="A4169" t="s">
        <v>2962</v>
      </c>
      <c r="B4169" t="s">
        <v>6028</v>
      </c>
    </row>
    <row r="4170" spans="1:2" x14ac:dyDescent="0.25">
      <c r="A4170" t="s">
        <v>528</v>
      </c>
      <c r="B4170">
        <v>0</v>
      </c>
    </row>
    <row r="4171" spans="1:2" x14ac:dyDescent="0.25">
      <c r="A4171" t="s">
        <v>196</v>
      </c>
      <c r="B4171" t="s">
        <v>5787</v>
      </c>
    </row>
    <row r="4172" spans="1:2" x14ac:dyDescent="0.25">
      <c r="A4172" t="s">
        <v>86</v>
      </c>
      <c r="B4172" t="s">
        <v>5787</v>
      </c>
    </row>
    <row r="4173" spans="1:2" x14ac:dyDescent="0.25">
      <c r="A4173" t="s">
        <v>162</v>
      </c>
      <c r="B4173" t="s">
        <v>5787</v>
      </c>
    </row>
    <row r="4174" spans="1:2" x14ac:dyDescent="0.25">
      <c r="A4174" t="s">
        <v>117</v>
      </c>
      <c r="B4174" t="s">
        <v>5787</v>
      </c>
    </row>
    <row r="4175" spans="1:2" x14ac:dyDescent="0.25">
      <c r="A4175" t="s">
        <v>4236</v>
      </c>
      <c r="B4175" t="s">
        <v>5891</v>
      </c>
    </row>
    <row r="4176" spans="1:2" x14ac:dyDescent="0.25">
      <c r="A4176" t="s">
        <v>4003</v>
      </c>
      <c r="B4176" t="s">
        <v>6152</v>
      </c>
    </row>
    <row r="4177" spans="1:2" x14ac:dyDescent="0.25">
      <c r="A4177" t="s">
        <v>1297</v>
      </c>
      <c r="B4177" t="s">
        <v>5788</v>
      </c>
    </row>
    <row r="4178" spans="1:2" x14ac:dyDescent="0.25">
      <c r="A4178" t="s">
        <v>3677</v>
      </c>
      <c r="B4178" t="s">
        <v>6627</v>
      </c>
    </row>
    <row r="4179" spans="1:2" x14ac:dyDescent="0.25">
      <c r="A4179" t="s">
        <v>739</v>
      </c>
      <c r="B4179" t="s">
        <v>5706</v>
      </c>
    </row>
    <row r="4180" spans="1:2" x14ac:dyDescent="0.25">
      <c r="A4180" t="s">
        <v>4498</v>
      </c>
      <c r="B4180" t="s">
        <v>5829</v>
      </c>
    </row>
    <row r="4181" spans="1:2" x14ac:dyDescent="0.25">
      <c r="A4181" t="s">
        <v>2175</v>
      </c>
      <c r="B4181" t="s">
        <v>5803</v>
      </c>
    </row>
    <row r="4182" spans="1:2" x14ac:dyDescent="0.25">
      <c r="A4182" t="s">
        <v>4456</v>
      </c>
      <c r="B4182" t="s">
        <v>6023</v>
      </c>
    </row>
    <row r="4183" spans="1:2" x14ac:dyDescent="0.25">
      <c r="A4183" t="s">
        <v>2703</v>
      </c>
      <c r="B4183" t="s">
        <v>6724</v>
      </c>
    </row>
    <row r="4184" spans="1:2" x14ac:dyDescent="0.25">
      <c r="A4184" t="s">
        <v>2227</v>
      </c>
      <c r="B4184" t="s">
        <v>5787</v>
      </c>
    </row>
    <row r="4185" spans="1:2" x14ac:dyDescent="0.25">
      <c r="A4185" t="s">
        <v>316</v>
      </c>
      <c r="B4185" t="s">
        <v>5787</v>
      </c>
    </row>
    <row r="4186" spans="1:2" x14ac:dyDescent="0.25">
      <c r="A4186" t="s">
        <v>579</v>
      </c>
      <c r="B4186" t="s">
        <v>6001</v>
      </c>
    </row>
    <row r="4187" spans="1:2" x14ac:dyDescent="0.25">
      <c r="A4187" t="s">
        <v>1351</v>
      </c>
      <c r="B4187" t="s">
        <v>5933</v>
      </c>
    </row>
    <row r="4188" spans="1:2" x14ac:dyDescent="0.25">
      <c r="A4188" t="s">
        <v>447</v>
      </c>
      <c r="B4188" t="s">
        <v>5903</v>
      </c>
    </row>
    <row r="4189" spans="1:2" x14ac:dyDescent="0.25">
      <c r="A4189" t="s">
        <v>1593</v>
      </c>
      <c r="B4189" t="s">
        <v>5788</v>
      </c>
    </row>
    <row r="4190" spans="1:2" x14ac:dyDescent="0.25">
      <c r="A4190" t="s">
        <v>245</v>
      </c>
      <c r="B4190" t="s">
        <v>5711</v>
      </c>
    </row>
    <row r="4191" spans="1:2" x14ac:dyDescent="0.25">
      <c r="A4191" t="s">
        <v>11380</v>
      </c>
      <c r="B4191" t="s">
        <v>6194</v>
      </c>
    </row>
    <row r="4192" spans="1:2" x14ac:dyDescent="0.25">
      <c r="A4192" t="s">
        <v>552</v>
      </c>
      <c r="B4192" t="s">
        <v>5728</v>
      </c>
    </row>
    <row r="4193" spans="1:2" x14ac:dyDescent="0.25">
      <c r="A4193" t="s">
        <v>5692</v>
      </c>
      <c r="B4193" t="s">
        <v>5787</v>
      </c>
    </row>
    <row r="4194" spans="1:2" x14ac:dyDescent="0.25">
      <c r="A4194" t="s">
        <v>3864</v>
      </c>
      <c r="B4194" t="s">
        <v>5807</v>
      </c>
    </row>
    <row r="4195" spans="1:2" x14ac:dyDescent="0.25">
      <c r="A4195" t="s">
        <v>1070</v>
      </c>
      <c r="B4195" t="s">
        <v>5890</v>
      </c>
    </row>
    <row r="4196" spans="1:2" x14ac:dyDescent="0.25">
      <c r="A4196" t="s">
        <v>5109</v>
      </c>
      <c r="B4196" t="s">
        <v>5780</v>
      </c>
    </row>
    <row r="4197" spans="1:2" x14ac:dyDescent="0.25">
      <c r="A4197" t="s">
        <v>444</v>
      </c>
      <c r="B4197" t="s">
        <v>5762</v>
      </c>
    </row>
    <row r="4198" spans="1:2" x14ac:dyDescent="0.25">
      <c r="A4198" t="s">
        <v>648</v>
      </c>
      <c r="B4198" t="s">
        <v>6121</v>
      </c>
    </row>
    <row r="4199" spans="1:2" x14ac:dyDescent="0.25">
      <c r="A4199" t="s">
        <v>4682</v>
      </c>
      <c r="B4199" t="s">
        <v>5788</v>
      </c>
    </row>
    <row r="4200" spans="1:2" x14ac:dyDescent="0.25">
      <c r="A4200" t="s">
        <v>3928</v>
      </c>
      <c r="B4200" t="s">
        <v>5961</v>
      </c>
    </row>
    <row r="4201" spans="1:2" x14ac:dyDescent="0.25">
      <c r="A4201" t="s">
        <v>4588</v>
      </c>
      <c r="B4201" t="s">
        <v>5803</v>
      </c>
    </row>
    <row r="4202" spans="1:2" x14ac:dyDescent="0.25">
      <c r="A4202" t="s">
        <v>3708</v>
      </c>
      <c r="B4202" t="s">
        <v>5869</v>
      </c>
    </row>
    <row r="4203" spans="1:2" x14ac:dyDescent="0.25">
      <c r="A4203" t="s">
        <v>3507</v>
      </c>
      <c r="B4203" t="s">
        <v>5790</v>
      </c>
    </row>
    <row r="4204" spans="1:2" x14ac:dyDescent="0.25">
      <c r="A4204" t="s">
        <v>765</v>
      </c>
      <c r="B4204" t="s">
        <v>5787</v>
      </c>
    </row>
    <row r="4205" spans="1:2" x14ac:dyDescent="0.25">
      <c r="A4205" t="s">
        <v>5596</v>
      </c>
      <c r="B4205" t="s">
        <v>5787</v>
      </c>
    </row>
    <row r="4206" spans="1:2" x14ac:dyDescent="0.25">
      <c r="A4206" t="s">
        <v>2946</v>
      </c>
      <c r="B4206" t="s">
        <v>6463</v>
      </c>
    </row>
    <row r="4207" spans="1:2" x14ac:dyDescent="0.25">
      <c r="A4207" t="s">
        <v>1160</v>
      </c>
      <c r="B4207" t="s">
        <v>5789</v>
      </c>
    </row>
    <row r="4208" spans="1:2" x14ac:dyDescent="0.25">
      <c r="A4208" t="s">
        <v>1402</v>
      </c>
      <c r="B4208" t="s">
        <v>6156</v>
      </c>
    </row>
    <row r="4209" spans="1:2" x14ac:dyDescent="0.25">
      <c r="A4209" t="s">
        <v>13</v>
      </c>
      <c r="B4209" t="s">
        <v>5787</v>
      </c>
    </row>
    <row r="4210" spans="1:2" x14ac:dyDescent="0.25">
      <c r="A4210" t="s">
        <v>5647</v>
      </c>
      <c r="B4210" t="s">
        <v>5724</v>
      </c>
    </row>
    <row r="4211" spans="1:2" x14ac:dyDescent="0.25">
      <c r="A4211" t="s">
        <v>3694</v>
      </c>
      <c r="B4211" t="s">
        <v>5796</v>
      </c>
    </row>
    <row r="4212" spans="1:2" x14ac:dyDescent="0.25">
      <c r="A4212" t="s">
        <v>5569</v>
      </c>
      <c r="B4212" t="s">
        <v>5711</v>
      </c>
    </row>
    <row r="4213" spans="1:2" x14ac:dyDescent="0.25">
      <c r="A4213" t="s">
        <v>2376</v>
      </c>
      <c r="B4213" t="s">
        <v>5790</v>
      </c>
    </row>
    <row r="4214" spans="1:2" x14ac:dyDescent="0.25">
      <c r="A4214" t="s">
        <v>1185</v>
      </c>
      <c r="B4214" t="s">
        <v>5788</v>
      </c>
    </row>
    <row r="4215" spans="1:2" x14ac:dyDescent="0.25">
      <c r="A4215" t="s">
        <v>1100</v>
      </c>
      <c r="B4215" t="s">
        <v>5787</v>
      </c>
    </row>
    <row r="4216" spans="1:2" x14ac:dyDescent="0.25">
      <c r="A4216" t="s">
        <v>533</v>
      </c>
      <c r="B4216">
        <v>0</v>
      </c>
    </row>
    <row r="4217" spans="1:2" x14ac:dyDescent="0.25">
      <c r="A4217" t="s">
        <v>2181</v>
      </c>
      <c r="B4217" t="s">
        <v>5914</v>
      </c>
    </row>
    <row r="4218" spans="1:2" x14ac:dyDescent="0.25">
      <c r="A4218" t="s">
        <v>4643</v>
      </c>
      <c r="B4218" t="s">
        <v>5901</v>
      </c>
    </row>
    <row r="4219" spans="1:2" x14ac:dyDescent="0.25">
      <c r="A4219" t="s">
        <v>75</v>
      </c>
      <c r="B4219" t="s">
        <v>5821</v>
      </c>
    </row>
    <row r="4220" spans="1:2" x14ac:dyDescent="0.25">
      <c r="A4220" t="s">
        <v>2427</v>
      </c>
      <c r="B4220" t="s">
        <v>5945</v>
      </c>
    </row>
    <row r="4221" spans="1:2" x14ac:dyDescent="0.25">
      <c r="A4221" t="s">
        <v>5263</v>
      </c>
      <c r="B4221" t="s">
        <v>5907</v>
      </c>
    </row>
    <row r="4222" spans="1:2" x14ac:dyDescent="0.25">
      <c r="A4222" t="s">
        <v>4916</v>
      </c>
      <c r="B4222" t="s">
        <v>5790</v>
      </c>
    </row>
    <row r="4223" spans="1:2" x14ac:dyDescent="0.25">
      <c r="A4223" t="s">
        <v>4865</v>
      </c>
      <c r="B4223" t="s">
        <v>5787</v>
      </c>
    </row>
    <row r="4224" spans="1:2" x14ac:dyDescent="0.25">
      <c r="A4224" t="s">
        <v>267</v>
      </c>
      <c r="B4224" t="s">
        <v>5960</v>
      </c>
    </row>
    <row r="4225" spans="1:2" x14ac:dyDescent="0.25">
      <c r="A4225" t="s">
        <v>1517</v>
      </c>
      <c r="B4225" t="s">
        <v>6696</v>
      </c>
    </row>
    <row r="4226" spans="1:2" x14ac:dyDescent="0.25">
      <c r="A4226" t="s">
        <v>5327</v>
      </c>
      <c r="B4226" t="s">
        <v>6088</v>
      </c>
    </row>
    <row r="4227" spans="1:2" x14ac:dyDescent="0.25">
      <c r="A4227" t="s">
        <v>303</v>
      </c>
      <c r="B4227" t="s">
        <v>6709</v>
      </c>
    </row>
    <row r="4228" spans="1:2" x14ac:dyDescent="0.25">
      <c r="A4228" t="s">
        <v>5442</v>
      </c>
      <c r="B4228" t="s">
        <v>6398</v>
      </c>
    </row>
    <row r="4229" spans="1:2" x14ac:dyDescent="0.25">
      <c r="A4229" t="s">
        <v>5571</v>
      </c>
      <c r="B4229" t="s">
        <v>6150</v>
      </c>
    </row>
    <row r="4230" spans="1:2" x14ac:dyDescent="0.25">
      <c r="A4230" t="s">
        <v>1548</v>
      </c>
      <c r="B4230" t="s">
        <v>6025</v>
      </c>
    </row>
    <row r="4231" spans="1:2" x14ac:dyDescent="0.25">
      <c r="A4231" t="s">
        <v>5301</v>
      </c>
      <c r="B4231" t="s">
        <v>5959</v>
      </c>
    </row>
    <row r="4232" spans="1:2" x14ac:dyDescent="0.25">
      <c r="A4232" t="s">
        <v>2683</v>
      </c>
      <c r="B4232" t="s">
        <v>5704</v>
      </c>
    </row>
    <row r="4233" spans="1:2" x14ac:dyDescent="0.25">
      <c r="A4233" t="s">
        <v>5247</v>
      </c>
      <c r="B4233" t="s">
        <v>5868</v>
      </c>
    </row>
    <row r="4234" spans="1:2" x14ac:dyDescent="0.25">
      <c r="A4234" t="s">
        <v>1693</v>
      </c>
      <c r="B4234" t="s">
        <v>5789</v>
      </c>
    </row>
    <row r="4235" spans="1:2" x14ac:dyDescent="0.25">
      <c r="A4235" t="s">
        <v>4050</v>
      </c>
      <c r="B4235" t="s">
        <v>5890</v>
      </c>
    </row>
    <row r="4236" spans="1:2" x14ac:dyDescent="0.25">
      <c r="A4236" t="s">
        <v>290</v>
      </c>
      <c r="B4236" t="s">
        <v>5728</v>
      </c>
    </row>
    <row r="4237" spans="1:2" x14ac:dyDescent="0.25">
      <c r="A4237" t="s">
        <v>1860</v>
      </c>
      <c r="B4237" t="s">
        <v>5772</v>
      </c>
    </row>
    <row r="4238" spans="1:2" x14ac:dyDescent="0.25">
      <c r="A4238" t="s">
        <v>3440</v>
      </c>
      <c r="B4238" t="s">
        <v>6738</v>
      </c>
    </row>
    <row r="4239" spans="1:2" x14ac:dyDescent="0.25">
      <c r="A4239" t="s">
        <v>4299</v>
      </c>
      <c r="B4239" t="s">
        <v>5912</v>
      </c>
    </row>
    <row r="4240" spans="1:2" x14ac:dyDescent="0.25">
      <c r="A4240" t="s">
        <v>2095</v>
      </c>
      <c r="B4240" t="s">
        <v>6609</v>
      </c>
    </row>
    <row r="4241" spans="1:2" x14ac:dyDescent="0.25">
      <c r="A4241" t="s">
        <v>770</v>
      </c>
      <c r="B4241" t="s">
        <v>6257</v>
      </c>
    </row>
    <row r="4242" spans="1:2" x14ac:dyDescent="0.25">
      <c r="A4242" t="s">
        <v>987</v>
      </c>
      <c r="B4242" t="s">
        <v>5737</v>
      </c>
    </row>
    <row r="4243" spans="1:2" x14ac:dyDescent="0.25">
      <c r="A4243" t="s">
        <v>5082</v>
      </c>
      <c r="B4243" t="s">
        <v>5737</v>
      </c>
    </row>
    <row r="4244" spans="1:2" x14ac:dyDescent="0.25">
      <c r="A4244" t="s">
        <v>867</v>
      </c>
      <c r="B4244" t="s">
        <v>5719</v>
      </c>
    </row>
    <row r="4245" spans="1:2" x14ac:dyDescent="0.25">
      <c r="A4245" t="s">
        <v>3761</v>
      </c>
      <c r="B4245" t="s">
        <v>5706</v>
      </c>
    </row>
    <row r="4246" spans="1:2" x14ac:dyDescent="0.25">
      <c r="A4246" t="s">
        <v>2755</v>
      </c>
      <c r="B4246" t="s">
        <v>6186</v>
      </c>
    </row>
    <row r="4247" spans="1:2" x14ac:dyDescent="0.25">
      <c r="A4247" t="s">
        <v>1795</v>
      </c>
      <c r="B4247" t="s">
        <v>6180</v>
      </c>
    </row>
    <row r="4248" spans="1:2" x14ac:dyDescent="0.25">
      <c r="A4248" t="s">
        <v>1708</v>
      </c>
      <c r="B4248" t="s">
        <v>5898</v>
      </c>
    </row>
    <row r="4249" spans="1:2" x14ac:dyDescent="0.25">
      <c r="A4249" t="s">
        <v>3632</v>
      </c>
      <c r="B4249" t="s">
        <v>5728</v>
      </c>
    </row>
    <row r="4250" spans="1:2" x14ac:dyDescent="0.25">
      <c r="A4250" t="s">
        <v>5325</v>
      </c>
      <c r="B4250" t="s">
        <v>5827</v>
      </c>
    </row>
    <row r="4251" spans="1:2" x14ac:dyDescent="0.25">
      <c r="A4251" t="s">
        <v>2692</v>
      </c>
      <c r="B4251" t="s">
        <v>5759</v>
      </c>
    </row>
    <row r="4252" spans="1:2" x14ac:dyDescent="0.25">
      <c r="A4252" t="s">
        <v>787</v>
      </c>
      <c r="B4252" t="s">
        <v>5861</v>
      </c>
    </row>
    <row r="4253" spans="1:2" x14ac:dyDescent="0.25">
      <c r="A4253" t="s">
        <v>876</v>
      </c>
      <c r="B4253" t="s">
        <v>5787</v>
      </c>
    </row>
    <row r="4254" spans="1:2" x14ac:dyDescent="0.25">
      <c r="A4254" t="s">
        <v>4219</v>
      </c>
      <c r="B4254" t="s">
        <v>6792</v>
      </c>
    </row>
    <row r="4255" spans="1:2" x14ac:dyDescent="0.25">
      <c r="A4255" t="s">
        <v>5494</v>
      </c>
      <c r="B4255" t="s">
        <v>6078</v>
      </c>
    </row>
    <row r="4256" spans="1:2" x14ac:dyDescent="0.25">
      <c r="A4256" t="s">
        <v>1195</v>
      </c>
      <c r="B4256" t="s">
        <v>5787</v>
      </c>
    </row>
    <row r="4257" spans="1:2" x14ac:dyDescent="0.25">
      <c r="A4257" t="s">
        <v>1596</v>
      </c>
      <c r="B4257" t="s">
        <v>6630</v>
      </c>
    </row>
    <row r="4258" spans="1:2" x14ac:dyDescent="0.25">
      <c r="A4258" t="s">
        <v>2545</v>
      </c>
      <c r="B4258" t="s">
        <v>5917</v>
      </c>
    </row>
    <row r="4259" spans="1:2" x14ac:dyDescent="0.25">
      <c r="A4259" t="s">
        <v>442</v>
      </c>
      <c r="B4259" t="s">
        <v>5787</v>
      </c>
    </row>
    <row r="4260" spans="1:2" x14ac:dyDescent="0.25">
      <c r="A4260" t="s">
        <v>4072</v>
      </c>
      <c r="B4260" t="s">
        <v>5837</v>
      </c>
    </row>
    <row r="4261" spans="1:2" x14ac:dyDescent="0.25">
      <c r="A4261" t="s">
        <v>512</v>
      </c>
      <c r="B4261" t="s">
        <v>5787</v>
      </c>
    </row>
    <row r="4262" spans="1:2" x14ac:dyDescent="0.25">
      <c r="A4262" t="s">
        <v>1216</v>
      </c>
      <c r="B4262" t="s">
        <v>5787</v>
      </c>
    </row>
    <row r="4263" spans="1:2" x14ac:dyDescent="0.25">
      <c r="A4263" t="s">
        <v>4134</v>
      </c>
      <c r="B4263" t="s">
        <v>6120</v>
      </c>
    </row>
    <row r="4264" spans="1:2" x14ac:dyDescent="0.25">
      <c r="A4264" t="s">
        <v>4165</v>
      </c>
      <c r="B4264" t="s">
        <v>5798</v>
      </c>
    </row>
    <row r="4265" spans="1:2" x14ac:dyDescent="0.25">
      <c r="A4265" t="s">
        <v>4792</v>
      </c>
      <c r="B4265" t="s">
        <v>6376</v>
      </c>
    </row>
    <row r="4266" spans="1:2" x14ac:dyDescent="0.25">
      <c r="A4266" t="s">
        <v>3422</v>
      </c>
      <c r="B4266" t="s">
        <v>5905</v>
      </c>
    </row>
    <row r="4267" spans="1:2" x14ac:dyDescent="0.25">
      <c r="A4267" t="s">
        <v>4069</v>
      </c>
      <c r="B4267" t="s">
        <v>6145</v>
      </c>
    </row>
    <row r="4268" spans="1:2" x14ac:dyDescent="0.25">
      <c r="A4268" t="s">
        <v>4189</v>
      </c>
      <c r="B4268" t="s">
        <v>5930</v>
      </c>
    </row>
    <row r="4269" spans="1:2" x14ac:dyDescent="0.25">
      <c r="A4269" t="s">
        <v>2810</v>
      </c>
      <c r="B4269" t="s">
        <v>6421</v>
      </c>
    </row>
    <row r="4270" spans="1:2" x14ac:dyDescent="0.25">
      <c r="A4270" t="s">
        <v>1313</v>
      </c>
      <c r="B4270" t="s">
        <v>6507</v>
      </c>
    </row>
    <row r="4271" spans="1:2" x14ac:dyDescent="0.25">
      <c r="A4271" t="s">
        <v>734</v>
      </c>
      <c r="B4271" t="s">
        <v>6674</v>
      </c>
    </row>
    <row r="4272" spans="1:2" x14ac:dyDescent="0.25">
      <c r="A4272" t="s">
        <v>1916</v>
      </c>
      <c r="B4272" t="s">
        <v>5816</v>
      </c>
    </row>
    <row r="4273" spans="1:2" x14ac:dyDescent="0.25">
      <c r="A4273" t="s">
        <v>4887</v>
      </c>
      <c r="B4273" t="s">
        <v>5793</v>
      </c>
    </row>
    <row r="4274" spans="1:2" x14ac:dyDescent="0.25">
      <c r="A4274" t="s">
        <v>825</v>
      </c>
      <c r="B4274" t="s">
        <v>5964</v>
      </c>
    </row>
    <row r="4275" spans="1:2" x14ac:dyDescent="0.25">
      <c r="A4275" t="s">
        <v>457</v>
      </c>
      <c r="B4275" t="s">
        <v>6735</v>
      </c>
    </row>
    <row r="4276" spans="1:2" x14ac:dyDescent="0.25">
      <c r="A4276" t="s">
        <v>5242</v>
      </c>
      <c r="B4276" t="s">
        <v>5846</v>
      </c>
    </row>
    <row r="4277" spans="1:2" x14ac:dyDescent="0.25">
      <c r="A4277" t="s">
        <v>4907</v>
      </c>
      <c r="B4277" t="s">
        <v>6205</v>
      </c>
    </row>
    <row r="4278" spans="1:2" x14ac:dyDescent="0.25">
      <c r="A4278" t="s">
        <v>4571</v>
      </c>
      <c r="B4278" t="s">
        <v>5911</v>
      </c>
    </row>
    <row r="4279" spans="1:2" x14ac:dyDescent="0.25">
      <c r="A4279" t="s">
        <v>56</v>
      </c>
      <c r="B4279" t="s">
        <v>6011</v>
      </c>
    </row>
    <row r="4280" spans="1:2" x14ac:dyDescent="0.25">
      <c r="A4280" t="s">
        <v>4635</v>
      </c>
      <c r="B4280" t="s">
        <v>5787</v>
      </c>
    </row>
    <row r="4281" spans="1:2" x14ac:dyDescent="0.25">
      <c r="A4281" t="s">
        <v>1224</v>
      </c>
      <c r="B4281" t="s">
        <v>5708</v>
      </c>
    </row>
    <row r="4282" spans="1:2" x14ac:dyDescent="0.25">
      <c r="A4282" t="s">
        <v>723</v>
      </c>
      <c r="B4282" t="s">
        <v>6332</v>
      </c>
    </row>
    <row r="4283" spans="1:2" x14ac:dyDescent="0.25">
      <c r="A4283" t="s">
        <v>5501</v>
      </c>
      <c r="B4283" t="s">
        <v>6231</v>
      </c>
    </row>
    <row r="4284" spans="1:2" x14ac:dyDescent="0.25">
      <c r="A4284" t="s">
        <v>3558</v>
      </c>
      <c r="B4284" t="s">
        <v>5787</v>
      </c>
    </row>
    <row r="4285" spans="1:2" x14ac:dyDescent="0.25">
      <c r="A4285" t="s">
        <v>1620</v>
      </c>
      <c r="B4285" t="s">
        <v>6611</v>
      </c>
    </row>
    <row r="4286" spans="1:2" x14ac:dyDescent="0.25">
      <c r="A4286" t="s">
        <v>810</v>
      </c>
      <c r="B4286" t="s">
        <v>6121</v>
      </c>
    </row>
    <row r="4287" spans="1:2" x14ac:dyDescent="0.25">
      <c r="A4287" t="s">
        <v>3885</v>
      </c>
      <c r="B4287" t="s">
        <v>5774</v>
      </c>
    </row>
    <row r="4288" spans="1:2" x14ac:dyDescent="0.25">
      <c r="A4288" t="s">
        <v>5661</v>
      </c>
      <c r="B4288" t="s">
        <v>5774</v>
      </c>
    </row>
    <row r="4289" spans="1:2" x14ac:dyDescent="0.25">
      <c r="A4289" t="s">
        <v>1418</v>
      </c>
      <c r="B4289" t="s">
        <v>6795</v>
      </c>
    </row>
    <row r="4290" spans="1:2" x14ac:dyDescent="0.25">
      <c r="A4290" t="s">
        <v>2575</v>
      </c>
      <c r="B4290" t="s">
        <v>5939</v>
      </c>
    </row>
    <row r="4291" spans="1:2" x14ac:dyDescent="0.25">
      <c r="A4291" t="s">
        <v>4673</v>
      </c>
      <c r="B4291" t="s">
        <v>5787</v>
      </c>
    </row>
    <row r="4292" spans="1:2" x14ac:dyDescent="0.25">
      <c r="A4292" t="s">
        <v>11500</v>
      </c>
      <c r="B4292" t="s">
        <v>5788</v>
      </c>
    </row>
    <row r="4293" spans="1:2" x14ac:dyDescent="0.25">
      <c r="A4293" t="s">
        <v>357</v>
      </c>
      <c r="B4293" t="s">
        <v>6572</v>
      </c>
    </row>
    <row r="4294" spans="1:2" x14ac:dyDescent="0.25">
      <c r="A4294" t="s">
        <v>4368</v>
      </c>
      <c r="B4294" t="s">
        <v>5787</v>
      </c>
    </row>
    <row r="4295" spans="1:2" x14ac:dyDescent="0.25">
      <c r="A4295" t="s">
        <v>2144</v>
      </c>
      <c r="B4295" t="s">
        <v>5788</v>
      </c>
    </row>
    <row r="4296" spans="1:2" x14ac:dyDescent="0.25">
      <c r="A4296" t="s">
        <v>3992</v>
      </c>
      <c r="B4296" t="s">
        <v>5843</v>
      </c>
    </row>
    <row r="4297" spans="1:2" x14ac:dyDescent="0.25">
      <c r="A4297" t="s">
        <v>3242</v>
      </c>
      <c r="B4297" t="s">
        <v>6272</v>
      </c>
    </row>
    <row r="4298" spans="1:2" x14ac:dyDescent="0.25">
      <c r="A4298" t="s">
        <v>783</v>
      </c>
      <c r="B4298" t="s">
        <v>5927</v>
      </c>
    </row>
    <row r="4299" spans="1:2" x14ac:dyDescent="0.25">
      <c r="A4299" t="s">
        <v>375</v>
      </c>
      <c r="B4299" t="s">
        <v>5716</v>
      </c>
    </row>
    <row r="4300" spans="1:2" x14ac:dyDescent="0.25">
      <c r="A4300" t="s">
        <v>5665</v>
      </c>
      <c r="B4300" t="s">
        <v>6061</v>
      </c>
    </row>
    <row r="4301" spans="1:2" x14ac:dyDescent="0.25">
      <c r="A4301" t="s">
        <v>2162</v>
      </c>
      <c r="B4301" t="s">
        <v>5939</v>
      </c>
    </row>
    <row r="4302" spans="1:2" x14ac:dyDescent="0.25">
      <c r="A4302" t="s">
        <v>3585</v>
      </c>
      <c r="B4302" t="s">
        <v>6130</v>
      </c>
    </row>
    <row r="4303" spans="1:2" x14ac:dyDescent="0.25">
      <c r="A4303" t="s">
        <v>2600</v>
      </c>
      <c r="B4303" t="s">
        <v>6182</v>
      </c>
    </row>
    <row r="4304" spans="1:2" x14ac:dyDescent="0.25">
      <c r="A4304" t="s">
        <v>3971</v>
      </c>
      <c r="B4304">
        <v>0</v>
      </c>
    </row>
    <row r="4305" spans="1:2" x14ac:dyDescent="0.25">
      <c r="A4305" t="s">
        <v>3041</v>
      </c>
      <c r="B4305" t="s">
        <v>6182</v>
      </c>
    </row>
    <row r="4306" spans="1:2" x14ac:dyDescent="0.25">
      <c r="A4306" t="s">
        <v>5150</v>
      </c>
      <c r="B4306" t="s">
        <v>5870</v>
      </c>
    </row>
    <row r="4307" spans="1:2" x14ac:dyDescent="0.25">
      <c r="A4307" t="s">
        <v>1162</v>
      </c>
      <c r="B4307" t="s">
        <v>6111</v>
      </c>
    </row>
    <row r="4308" spans="1:2" x14ac:dyDescent="0.25">
      <c r="A4308" t="s">
        <v>5335</v>
      </c>
      <c r="B4308" t="s">
        <v>5787</v>
      </c>
    </row>
    <row r="4309" spans="1:2" x14ac:dyDescent="0.25">
      <c r="A4309" t="s">
        <v>4093</v>
      </c>
      <c r="B4309" t="s">
        <v>5841</v>
      </c>
    </row>
    <row r="4310" spans="1:2" x14ac:dyDescent="0.25">
      <c r="A4310" t="s">
        <v>3310</v>
      </c>
      <c r="B4310" t="s">
        <v>5819</v>
      </c>
    </row>
    <row r="4311" spans="1:2" x14ac:dyDescent="0.25">
      <c r="A4311" t="s">
        <v>3307</v>
      </c>
      <c r="B4311" t="s">
        <v>5744</v>
      </c>
    </row>
    <row r="4312" spans="1:2" x14ac:dyDescent="0.25">
      <c r="A4312" t="s">
        <v>3714</v>
      </c>
      <c r="B4312" t="s">
        <v>5762</v>
      </c>
    </row>
    <row r="4313" spans="1:2" x14ac:dyDescent="0.25">
      <c r="A4313" t="s">
        <v>3342</v>
      </c>
      <c r="B4313" t="s">
        <v>5878</v>
      </c>
    </row>
    <row r="4314" spans="1:2" x14ac:dyDescent="0.25">
      <c r="A4314" t="s">
        <v>91</v>
      </c>
      <c r="B4314" t="s">
        <v>5713</v>
      </c>
    </row>
    <row r="4315" spans="1:2" x14ac:dyDescent="0.25">
      <c r="A4315" t="s">
        <v>1952</v>
      </c>
      <c r="B4315" t="s">
        <v>5789</v>
      </c>
    </row>
    <row r="4316" spans="1:2" x14ac:dyDescent="0.25">
      <c r="A4316" t="s">
        <v>640</v>
      </c>
      <c r="B4316" t="s">
        <v>5788</v>
      </c>
    </row>
    <row r="4317" spans="1:2" x14ac:dyDescent="0.25">
      <c r="A4317" t="s">
        <v>3991</v>
      </c>
      <c r="B4317" t="s">
        <v>5995</v>
      </c>
    </row>
    <row r="4318" spans="1:2" x14ac:dyDescent="0.25">
      <c r="A4318" t="s">
        <v>1454</v>
      </c>
      <c r="B4318" t="s">
        <v>5789</v>
      </c>
    </row>
    <row r="4319" spans="1:2" x14ac:dyDescent="0.25">
      <c r="A4319" t="s">
        <v>5363</v>
      </c>
      <c r="B4319" t="s">
        <v>5903</v>
      </c>
    </row>
    <row r="4320" spans="1:2" x14ac:dyDescent="0.25">
      <c r="A4320" t="s">
        <v>4840</v>
      </c>
      <c r="B4320" t="s">
        <v>5819</v>
      </c>
    </row>
    <row r="4321" spans="1:2" x14ac:dyDescent="0.25">
      <c r="A4321" t="s">
        <v>1141</v>
      </c>
      <c r="B4321" t="s">
        <v>6271</v>
      </c>
    </row>
    <row r="4322" spans="1:2" x14ac:dyDescent="0.25">
      <c r="A4322" t="s">
        <v>2073</v>
      </c>
      <c r="B4322" t="s">
        <v>5744</v>
      </c>
    </row>
    <row r="4323" spans="1:2" x14ac:dyDescent="0.25">
      <c r="A4323" t="s">
        <v>5281</v>
      </c>
      <c r="B4323" t="s">
        <v>6160</v>
      </c>
    </row>
    <row r="4324" spans="1:2" x14ac:dyDescent="0.25">
      <c r="A4324" t="s">
        <v>3023</v>
      </c>
      <c r="B4324" t="s">
        <v>6185</v>
      </c>
    </row>
    <row r="4325" spans="1:2" x14ac:dyDescent="0.25">
      <c r="A4325" t="s">
        <v>1074</v>
      </c>
      <c r="B4325" t="s">
        <v>6083</v>
      </c>
    </row>
    <row r="4326" spans="1:2" x14ac:dyDescent="0.25">
      <c r="A4326" t="s">
        <v>4443</v>
      </c>
      <c r="B4326" t="s">
        <v>5881</v>
      </c>
    </row>
    <row r="4327" spans="1:2" x14ac:dyDescent="0.25">
      <c r="A4327" t="s">
        <v>1937</v>
      </c>
      <c r="B4327" t="s">
        <v>5713</v>
      </c>
    </row>
    <row r="4328" spans="1:2" x14ac:dyDescent="0.25">
      <c r="A4328" t="s">
        <v>2277</v>
      </c>
      <c r="B4328" t="s">
        <v>5814</v>
      </c>
    </row>
    <row r="4329" spans="1:2" x14ac:dyDescent="0.25">
      <c r="A4329" t="s">
        <v>969</v>
      </c>
      <c r="B4329" t="s">
        <v>5787</v>
      </c>
    </row>
    <row r="4330" spans="1:2" x14ac:dyDescent="0.25">
      <c r="A4330" t="s">
        <v>4286</v>
      </c>
      <c r="B4330" t="s">
        <v>5747</v>
      </c>
    </row>
    <row r="4331" spans="1:2" x14ac:dyDescent="0.25">
      <c r="A4331" t="s">
        <v>3524</v>
      </c>
      <c r="B4331" t="s">
        <v>6381</v>
      </c>
    </row>
    <row r="4332" spans="1:2" x14ac:dyDescent="0.25">
      <c r="A4332" t="s">
        <v>5635</v>
      </c>
      <c r="B4332" t="s">
        <v>5789</v>
      </c>
    </row>
    <row r="4333" spans="1:2" x14ac:dyDescent="0.25">
      <c r="A4333" t="s">
        <v>5618</v>
      </c>
      <c r="B4333" t="s">
        <v>6494</v>
      </c>
    </row>
    <row r="4334" spans="1:2" x14ac:dyDescent="0.25">
      <c r="A4334" t="s">
        <v>2270</v>
      </c>
      <c r="B4334" t="s">
        <v>6561</v>
      </c>
    </row>
    <row r="4335" spans="1:2" x14ac:dyDescent="0.25">
      <c r="A4335" t="s">
        <v>4409</v>
      </c>
      <c r="B4335" t="s">
        <v>6071</v>
      </c>
    </row>
    <row r="4336" spans="1:2" x14ac:dyDescent="0.25">
      <c r="A4336" t="s">
        <v>2212</v>
      </c>
      <c r="B4336" t="s">
        <v>5737</v>
      </c>
    </row>
    <row r="4337" spans="1:2" x14ac:dyDescent="0.25">
      <c r="A4337" t="s">
        <v>3432</v>
      </c>
      <c r="B4337" t="s">
        <v>5768</v>
      </c>
    </row>
    <row r="4338" spans="1:2" x14ac:dyDescent="0.25">
      <c r="A4338" t="s">
        <v>1262</v>
      </c>
      <c r="B4338" t="s">
        <v>5790</v>
      </c>
    </row>
    <row r="4339" spans="1:2" x14ac:dyDescent="0.25">
      <c r="A4339" t="s">
        <v>4511</v>
      </c>
      <c r="B4339" t="s">
        <v>6124</v>
      </c>
    </row>
    <row r="4340" spans="1:2" x14ac:dyDescent="0.25">
      <c r="A4340" t="s">
        <v>252</v>
      </c>
      <c r="B4340" t="s">
        <v>5766</v>
      </c>
    </row>
    <row r="4341" spans="1:2" x14ac:dyDescent="0.25">
      <c r="A4341" t="s">
        <v>3127</v>
      </c>
      <c r="B4341" t="s">
        <v>6698</v>
      </c>
    </row>
    <row r="4342" spans="1:2" x14ac:dyDescent="0.25">
      <c r="A4342" t="s">
        <v>5377</v>
      </c>
      <c r="B4342" t="s">
        <v>5787</v>
      </c>
    </row>
    <row r="4343" spans="1:2" x14ac:dyDescent="0.25">
      <c r="A4343" t="s">
        <v>3264</v>
      </c>
      <c r="B4343" t="s">
        <v>5787</v>
      </c>
    </row>
    <row r="4344" spans="1:2" x14ac:dyDescent="0.25">
      <c r="A4344" t="s">
        <v>3489</v>
      </c>
      <c r="B4344" t="s">
        <v>6290</v>
      </c>
    </row>
    <row r="4345" spans="1:2" x14ac:dyDescent="0.25">
      <c r="A4345" t="s">
        <v>1800</v>
      </c>
      <c r="B4345" t="s">
        <v>5938</v>
      </c>
    </row>
    <row r="4346" spans="1:2" x14ac:dyDescent="0.25">
      <c r="A4346" t="s">
        <v>2712</v>
      </c>
      <c r="B4346" t="s">
        <v>5787</v>
      </c>
    </row>
    <row r="4347" spans="1:2" x14ac:dyDescent="0.25">
      <c r="A4347" t="s">
        <v>2035</v>
      </c>
      <c r="B4347" t="s">
        <v>5711</v>
      </c>
    </row>
    <row r="4348" spans="1:2" x14ac:dyDescent="0.25">
      <c r="A4348" t="s">
        <v>3947</v>
      </c>
      <c r="B4348" t="s">
        <v>5872</v>
      </c>
    </row>
    <row r="4349" spans="1:2" x14ac:dyDescent="0.25">
      <c r="A4349" t="s">
        <v>796</v>
      </c>
      <c r="B4349" t="s">
        <v>5817</v>
      </c>
    </row>
    <row r="4350" spans="1:2" x14ac:dyDescent="0.25">
      <c r="A4350" t="s">
        <v>1435</v>
      </c>
      <c r="B4350" t="s">
        <v>5787</v>
      </c>
    </row>
    <row r="4351" spans="1:2" x14ac:dyDescent="0.25">
      <c r="A4351" t="s">
        <v>1004</v>
      </c>
      <c r="B4351" t="s">
        <v>5787</v>
      </c>
    </row>
    <row r="4352" spans="1:2" x14ac:dyDescent="0.25">
      <c r="A4352" t="s">
        <v>2081</v>
      </c>
      <c r="B4352" t="s">
        <v>6047</v>
      </c>
    </row>
    <row r="4353" spans="1:2" x14ac:dyDescent="0.25">
      <c r="A4353" t="s">
        <v>358</v>
      </c>
      <c r="B4353" t="s">
        <v>5877</v>
      </c>
    </row>
    <row r="4354" spans="1:2" x14ac:dyDescent="0.25">
      <c r="A4354" t="s">
        <v>107</v>
      </c>
      <c r="B4354" t="s">
        <v>5799</v>
      </c>
    </row>
    <row r="4355" spans="1:2" x14ac:dyDescent="0.25">
      <c r="A4355" t="s">
        <v>5127</v>
      </c>
      <c r="B4355">
        <v>0</v>
      </c>
    </row>
    <row r="4356" spans="1:2" x14ac:dyDescent="0.25">
      <c r="A4356" t="s">
        <v>4296</v>
      </c>
      <c r="B4356" t="s">
        <v>5981</v>
      </c>
    </row>
    <row r="4357" spans="1:2" x14ac:dyDescent="0.25">
      <c r="A4357" t="s">
        <v>31744</v>
      </c>
      <c r="B4357" t="s">
        <v>5787</v>
      </c>
    </row>
    <row r="4358" spans="1:2" x14ac:dyDescent="0.25">
      <c r="A4358" t="s">
        <v>335</v>
      </c>
      <c r="B4358" t="s">
        <v>5787</v>
      </c>
    </row>
    <row r="4359" spans="1:2" x14ac:dyDescent="0.25">
      <c r="A4359" t="s">
        <v>2434</v>
      </c>
      <c r="B4359" t="s">
        <v>5772</v>
      </c>
    </row>
    <row r="4360" spans="1:2" x14ac:dyDescent="0.25">
      <c r="A4360" t="s">
        <v>2730</v>
      </c>
      <c r="B4360" t="s">
        <v>5788</v>
      </c>
    </row>
    <row r="4361" spans="1:2" x14ac:dyDescent="0.25">
      <c r="A4361" t="s">
        <v>3047</v>
      </c>
      <c r="B4361" t="s">
        <v>6117</v>
      </c>
    </row>
    <row r="4362" spans="1:2" x14ac:dyDescent="0.25">
      <c r="A4362" t="s">
        <v>3075</v>
      </c>
      <c r="B4362" t="s">
        <v>6032</v>
      </c>
    </row>
    <row r="4363" spans="1:2" x14ac:dyDescent="0.25">
      <c r="A4363" t="s">
        <v>5092</v>
      </c>
      <c r="B4363" t="s">
        <v>5772</v>
      </c>
    </row>
    <row r="4364" spans="1:2" x14ac:dyDescent="0.25">
      <c r="A4364" t="s">
        <v>3812</v>
      </c>
      <c r="B4364" t="s">
        <v>6134</v>
      </c>
    </row>
    <row r="4365" spans="1:2" x14ac:dyDescent="0.25">
      <c r="A4365" t="s">
        <v>4791</v>
      </c>
      <c r="B4365" t="s">
        <v>5790</v>
      </c>
    </row>
    <row r="4366" spans="1:2" x14ac:dyDescent="0.25">
      <c r="A4366" t="s">
        <v>470</v>
      </c>
      <c r="B4366" t="s">
        <v>5897</v>
      </c>
    </row>
    <row r="4367" spans="1:2" x14ac:dyDescent="0.25">
      <c r="A4367" t="s">
        <v>4815</v>
      </c>
      <c r="B4367" t="s">
        <v>5798</v>
      </c>
    </row>
    <row r="4368" spans="1:2" x14ac:dyDescent="0.25">
      <c r="A4368" t="s">
        <v>5457</v>
      </c>
      <c r="B4368" t="s">
        <v>5787</v>
      </c>
    </row>
    <row r="4369" spans="1:2" x14ac:dyDescent="0.25">
      <c r="A4369" t="s">
        <v>1267</v>
      </c>
      <c r="B4369" t="s">
        <v>5787</v>
      </c>
    </row>
    <row r="4370" spans="1:2" x14ac:dyDescent="0.25">
      <c r="A4370" t="s">
        <v>4610</v>
      </c>
      <c r="B4370" t="s">
        <v>5787</v>
      </c>
    </row>
    <row r="4371" spans="1:2" x14ac:dyDescent="0.25">
      <c r="A4371" t="s">
        <v>813</v>
      </c>
      <c r="B4371" t="s">
        <v>5744</v>
      </c>
    </row>
    <row r="4372" spans="1:2" x14ac:dyDescent="0.25">
      <c r="A4372" t="s">
        <v>1540</v>
      </c>
      <c r="B4372" t="s">
        <v>6731</v>
      </c>
    </row>
    <row r="4373" spans="1:2" x14ac:dyDescent="0.25">
      <c r="A4373" t="s">
        <v>4520</v>
      </c>
      <c r="B4373" t="s">
        <v>5848</v>
      </c>
    </row>
    <row r="4374" spans="1:2" x14ac:dyDescent="0.25">
      <c r="A4374" t="s">
        <v>844</v>
      </c>
      <c r="B4374" t="s">
        <v>5706</v>
      </c>
    </row>
    <row r="4375" spans="1:2" x14ac:dyDescent="0.25">
      <c r="A4375" t="s">
        <v>1182</v>
      </c>
      <c r="B4375" t="s">
        <v>5790</v>
      </c>
    </row>
    <row r="4376" spans="1:2" x14ac:dyDescent="0.25">
      <c r="A4376" t="s">
        <v>3720</v>
      </c>
      <c r="B4376" t="s">
        <v>5808</v>
      </c>
    </row>
    <row r="4377" spans="1:2" x14ac:dyDescent="0.25">
      <c r="A4377" t="s">
        <v>3071</v>
      </c>
      <c r="B4377" t="s">
        <v>5787</v>
      </c>
    </row>
    <row r="4378" spans="1:2" x14ac:dyDescent="0.25">
      <c r="A4378" t="s">
        <v>772</v>
      </c>
      <c r="B4378" t="s">
        <v>5853</v>
      </c>
    </row>
    <row r="4379" spans="1:2" x14ac:dyDescent="0.25">
      <c r="A4379" t="s">
        <v>177</v>
      </c>
      <c r="B4379" t="s">
        <v>5708</v>
      </c>
    </row>
    <row r="4380" spans="1:2" x14ac:dyDescent="0.25">
      <c r="A4380" t="s">
        <v>2172</v>
      </c>
      <c r="B4380" t="s">
        <v>6052</v>
      </c>
    </row>
    <row r="4381" spans="1:2" x14ac:dyDescent="0.25">
      <c r="A4381" t="s">
        <v>1915</v>
      </c>
      <c r="B4381" t="s">
        <v>5768</v>
      </c>
    </row>
    <row r="4382" spans="1:2" x14ac:dyDescent="0.25">
      <c r="A4382" t="s">
        <v>1036</v>
      </c>
      <c r="B4382" t="s">
        <v>6325</v>
      </c>
    </row>
    <row r="4383" spans="1:2" x14ac:dyDescent="0.25">
      <c r="A4383" t="s">
        <v>5434</v>
      </c>
      <c r="B4383" t="s">
        <v>5787</v>
      </c>
    </row>
    <row r="4384" spans="1:2" x14ac:dyDescent="0.25">
      <c r="A4384" t="s">
        <v>4082</v>
      </c>
      <c r="B4384" t="s">
        <v>5993</v>
      </c>
    </row>
    <row r="4385" spans="1:2" x14ac:dyDescent="0.25">
      <c r="A4385" t="s">
        <v>4314</v>
      </c>
      <c r="B4385" t="s">
        <v>5704</v>
      </c>
    </row>
    <row r="4386" spans="1:2" x14ac:dyDescent="0.25">
      <c r="A4386" t="s">
        <v>4715</v>
      </c>
      <c r="B4386" t="s">
        <v>5708</v>
      </c>
    </row>
    <row r="4387" spans="1:2" x14ac:dyDescent="0.25">
      <c r="A4387" t="s">
        <v>4649</v>
      </c>
      <c r="B4387" t="s">
        <v>5782</v>
      </c>
    </row>
    <row r="4388" spans="1:2" x14ac:dyDescent="0.25">
      <c r="A4388" t="s">
        <v>320</v>
      </c>
      <c r="B4388" t="s">
        <v>5974</v>
      </c>
    </row>
    <row r="4389" spans="1:2" x14ac:dyDescent="0.25">
      <c r="A4389" t="s">
        <v>1424</v>
      </c>
      <c r="B4389" t="s">
        <v>5787</v>
      </c>
    </row>
    <row r="4390" spans="1:2" x14ac:dyDescent="0.25">
      <c r="A4390" t="s">
        <v>5371</v>
      </c>
      <c r="B4390" t="s">
        <v>5953</v>
      </c>
    </row>
    <row r="4391" spans="1:2" x14ac:dyDescent="0.25">
      <c r="A4391" t="s">
        <v>5439</v>
      </c>
      <c r="B4391" t="s">
        <v>6140</v>
      </c>
    </row>
    <row r="4392" spans="1:2" x14ac:dyDescent="0.25">
      <c r="A4392" t="s">
        <v>3000</v>
      </c>
      <c r="B4392" t="s">
        <v>5856</v>
      </c>
    </row>
    <row r="4393" spans="1:2" x14ac:dyDescent="0.25">
      <c r="A4393" t="s">
        <v>3030</v>
      </c>
      <c r="B4393" t="s">
        <v>5780</v>
      </c>
    </row>
    <row r="4394" spans="1:2" x14ac:dyDescent="0.25">
      <c r="A4394" t="s">
        <v>2435</v>
      </c>
      <c r="B4394" t="s">
        <v>5787</v>
      </c>
    </row>
    <row r="4395" spans="1:2" x14ac:dyDescent="0.25">
      <c r="A4395" t="s">
        <v>3058</v>
      </c>
    </row>
    <row r="4396" spans="1:2" x14ac:dyDescent="0.25">
      <c r="A4396" t="s">
        <v>4892</v>
      </c>
      <c r="B4396" t="s">
        <v>5737</v>
      </c>
    </row>
    <row r="4397" spans="1:2" x14ac:dyDescent="0.25">
      <c r="A4397" t="s">
        <v>4103</v>
      </c>
      <c r="B4397" t="s">
        <v>6020</v>
      </c>
    </row>
    <row r="4398" spans="1:2" x14ac:dyDescent="0.25">
      <c r="A4398" t="s">
        <v>744</v>
      </c>
      <c r="B4398" t="s">
        <v>5716</v>
      </c>
    </row>
    <row r="4399" spans="1:2" x14ac:dyDescent="0.25">
      <c r="A4399" t="s">
        <v>5302</v>
      </c>
      <c r="B4399" t="s">
        <v>5789</v>
      </c>
    </row>
    <row r="4400" spans="1:2" x14ac:dyDescent="0.25">
      <c r="A4400" t="s">
        <v>3415</v>
      </c>
      <c r="B4400" t="s">
        <v>5734</v>
      </c>
    </row>
    <row r="4401" spans="1:2" x14ac:dyDescent="0.25">
      <c r="A4401" t="s">
        <v>5345</v>
      </c>
      <c r="B4401" t="s">
        <v>5985</v>
      </c>
    </row>
    <row r="4402" spans="1:2" x14ac:dyDescent="0.25">
      <c r="A4402" t="s">
        <v>4768</v>
      </c>
      <c r="B4402" t="s">
        <v>5844</v>
      </c>
    </row>
    <row r="4403" spans="1:2" x14ac:dyDescent="0.25">
      <c r="A4403" t="s">
        <v>1122</v>
      </c>
      <c r="B4403" t="s">
        <v>5713</v>
      </c>
    </row>
    <row r="4404" spans="1:2" x14ac:dyDescent="0.25">
      <c r="A4404" t="s">
        <v>3990</v>
      </c>
      <c r="B4404" t="s">
        <v>5768</v>
      </c>
    </row>
    <row r="4405" spans="1:2" x14ac:dyDescent="0.25">
      <c r="A4405" t="s">
        <v>1822</v>
      </c>
      <c r="B4405" t="s">
        <v>5788</v>
      </c>
    </row>
    <row r="4406" spans="1:2" x14ac:dyDescent="0.25">
      <c r="A4406" t="s">
        <v>775</v>
      </c>
    </row>
    <row r="4407" spans="1:2" x14ac:dyDescent="0.25">
      <c r="A4407" t="s">
        <v>475</v>
      </c>
      <c r="B4407" t="s">
        <v>5967</v>
      </c>
    </row>
    <row r="4408" spans="1:2" x14ac:dyDescent="0.25">
      <c r="A4408" t="s">
        <v>3126</v>
      </c>
      <c r="B4408" t="s">
        <v>6040</v>
      </c>
    </row>
    <row r="4409" spans="1:2" x14ac:dyDescent="0.25">
      <c r="A4409" t="s">
        <v>4827</v>
      </c>
      <c r="B4409" t="s">
        <v>5899</v>
      </c>
    </row>
    <row r="4410" spans="1:2" x14ac:dyDescent="0.25">
      <c r="A4410" t="s">
        <v>3664</v>
      </c>
      <c r="B4410" t="s">
        <v>5724</v>
      </c>
    </row>
    <row r="4411" spans="1:2" x14ac:dyDescent="0.25">
      <c r="A4411" t="s">
        <v>2698</v>
      </c>
      <c r="B4411" t="s">
        <v>5789</v>
      </c>
    </row>
    <row r="4412" spans="1:2" x14ac:dyDescent="0.25">
      <c r="A4412" t="s">
        <v>2858</v>
      </c>
      <c r="B4412" t="s">
        <v>5787</v>
      </c>
    </row>
    <row r="4413" spans="1:2" x14ac:dyDescent="0.25">
      <c r="A4413" t="s">
        <v>1966</v>
      </c>
      <c r="B4413" t="s">
        <v>5788</v>
      </c>
    </row>
    <row r="4414" spans="1:2" x14ac:dyDescent="0.25">
      <c r="A4414" t="s">
        <v>3447</v>
      </c>
      <c r="B4414" t="s">
        <v>6657</v>
      </c>
    </row>
    <row r="4415" spans="1:2" x14ac:dyDescent="0.25">
      <c r="A4415" t="s">
        <v>1597</v>
      </c>
      <c r="B4415" t="s">
        <v>6487</v>
      </c>
    </row>
    <row r="4416" spans="1:2" x14ac:dyDescent="0.25">
      <c r="A4416" t="s">
        <v>1308</v>
      </c>
      <c r="B4416" t="s">
        <v>5787</v>
      </c>
    </row>
    <row r="4417" spans="1:2" x14ac:dyDescent="0.25">
      <c r="A4417" t="s">
        <v>3717</v>
      </c>
      <c r="B4417" t="s">
        <v>5752</v>
      </c>
    </row>
    <row r="4418" spans="1:2" x14ac:dyDescent="0.25">
      <c r="A4418" t="s">
        <v>5594</v>
      </c>
      <c r="B4418" t="s">
        <v>6039</v>
      </c>
    </row>
    <row r="4419" spans="1:2" x14ac:dyDescent="0.25">
      <c r="A4419" t="s">
        <v>1601</v>
      </c>
      <c r="B4419" t="s">
        <v>5740</v>
      </c>
    </row>
    <row r="4420" spans="1:2" x14ac:dyDescent="0.25">
      <c r="A4420" t="s">
        <v>275</v>
      </c>
      <c r="B4420" t="s">
        <v>5848</v>
      </c>
    </row>
    <row r="4421" spans="1:2" x14ac:dyDescent="0.25">
      <c r="A4421" t="s">
        <v>16</v>
      </c>
      <c r="B4421" t="s">
        <v>5850</v>
      </c>
    </row>
    <row r="4422" spans="1:2" x14ac:dyDescent="0.25">
      <c r="A4422" t="s">
        <v>4356</v>
      </c>
      <c r="B4422" t="s">
        <v>5787</v>
      </c>
    </row>
    <row r="4423" spans="1:2" x14ac:dyDescent="0.25">
      <c r="A4423" t="s">
        <v>277</v>
      </c>
      <c r="B4423" t="s">
        <v>5792</v>
      </c>
    </row>
    <row r="4424" spans="1:2" x14ac:dyDescent="0.25">
      <c r="A4424" t="s">
        <v>146</v>
      </c>
      <c r="B4424" t="s">
        <v>5787</v>
      </c>
    </row>
    <row r="4425" spans="1:2" x14ac:dyDescent="0.25">
      <c r="A4425" t="s">
        <v>11632</v>
      </c>
      <c r="B4425" t="s">
        <v>5792</v>
      </c>
    </row>
    <row r="4426" spans="1:2" x14ac:dyDescent="0.25">
      <c r="A4426" t="s">
        <v>11634</v>
      </c>
      <c r="B4426" t="s">
        <v>6563</v>
      </c>
    </row>
    <row r="4427" spans="1:2" x14ac:dyDescent="0.25">
      <c r="A4427" t="s">
        <v>3606</v>
      </c>
      <c r="B4427" t="s">
        <v>6368</v>
      </c>
    </row>
    <row r="4428" spans="1:2" x14ac:dyDescent="0.25">
      <c r="A4428" t="s">
        <v>11638</v>
      </c>
      <c r="B4428" t="s">
        <v>5789</v>
      </c>
    </row>
    <row r="4429" spans="1:2" x14ac:dyDescent="0.25">
      <c r="A4429" t="s">
        <v>11640</v>
      </c>
      <c r="B4429" t="s">
        <v>6203</v>
      </c>
    </row>
    <row r="4430" spans="1:2" x14ac:dyDescent="0.25">
      <c r="A4430" t="s">
        <v>2699</v>
      </c>
      <c r="B4430" t="s">
        <v>6132</v>
      </c>
    </row>
    <row r="4431" spans="1:2" x14ac:dyDescent="0.25">
      <c r="A4431" t="s">
        <v>4890</v>
      </c>
      <c r="B4431" t="s">
        <v>5721</v>
      </c>
    </row>
    <row r="4432" spans="1:2" x14ac:dyDescent="0.25">
      <c r="A4432" t="s">
        <v>4775</v>
      </c>
      <c r="B4432" t="s">
        <v>5954</v>
      </c>
    </row>
    <row r="4433" spans="1:2" x14ac:dyDescent="0.25">
      <c r="A4433" t="s">
        <v>4771</v>
      </c>
      <c r="B4433" t="s">
        <v>5787</v>
      </c>
    </row>
    <row r="4434" spans="1:2" x14ac:dyDescent="0.25">
      <c r="A4434" t="s">
        <v>3496</v>
      </c>
      <c r="B4434" t="s">
        <v>5874</v>
      </c>
    </row>
    <row r="4435" spans="1:2" x14ac:dyDescent="0.25">
      <c r="A4435" t="s">
        <v>3183</v>
      </c>
      <c r="B4435" t="s">
        <v>5860</v>
      </c>
    </row>
    <row r="4436" spans="1:2" x14ac:dyDescent="0.25">
      <c r="A4436" t="s">
        <v>1745</v>
      </c>
      <c r="B4436" t="s">
        <v>6693</v>
      </c>
    </row>
    <row r="4437" spans="1:2" x14ac:dyDescent="0.25">
      <c r="A4437" t="s">
        <v>3758</v>
      </c>
      <c r="B4437" t="s">
        <v>5752</v>
      </c>
    </row>
    <row r="4438" spans="1:2" x14ac:dyDescent="0.25">
      <c r="A4438" t="s">
        <v>2219</v>
      </c>
      <c r="B4438" t="s">
        <v>6269</v>
      </c>
    </row>
    <row r="4439" spans="1:2" x14ac:dyDescent="0.25">
      <c r="A4439" t="s">
        <v>235</v>
      </c>
      <c r="B4439" t="s">
        <v>5814</v>
      </c>
    </row>
    <row r="4440" spans="1:2" x14ac:dyDescent="0.25">
      <c r="A4440" t="s">
        <v>3589</v>
      </c>
      <c r="B4440" t="s">
        <v>6578</v>
      </c>
    </row>
    <row r="4441" spans="1:2" x14ac:dyDescent="0.25">
      <c r="A4441" t="s">
        <v>2839</v>
      </c>
      <c r="B4441" t="s">
        <v>6171</v>
      </c>
    </row>
    <row r="4442" spans="1:2" x14ac:dyDescent="0.25">
      <c r="A4442" t="s">
        <v>5</v>
      </c>
      <c r="B4442" t="s">
        <v>5787</v>
      </c>
    </row>
    <row r="4443" spans="1:2" x14ac:dyDescent="0.25">
      <c r="A4443" t="s">
        <v>3367</v>
      </c>
      <c r="B4443" t="s">
        <v>5887</v>
      </c>
    </row>
    <row r="4444" spans="1:2" x14ac:dyDescent="0.25">
      <c r="A4444" t="s">
        <v>3130</v>
      </c>
      <c r="B4444" t="s">
        <v>5787</v>
      </c>
    </row>
    <row r="4445" spans="1:2" x14ac:dyDescent="0.25">
      <c r="A4445" t="s">
        <v>4591</v>
      </c>
      <c r="B4445" t="s">
        <v>5787</v>
      </c>
    </row>
    <row r="4446" spans="1:2" x14ac:dyDescent="0.25">
      <c r="A4446" t="s">
        <v>1352</v>
      </c>
      <c r="B4446" t="s">
        <v>5787</v>
      </c>
    </row>
    <row r="4447" spans="1:2" x14ac:dyDescent="0.25">
      <c r="A4447" t="s">
        <v>4238</v>
      </c>
      <c r="B4447" t="s">
        <v>5787</v>
      </c>
    </row>
    <row r="4448" spans="1:2" x14ac:dyDescent="0.25">
      <c r="A4448" t="s">
        <v>3795</v>
      </c>
      <c r="B4448" t="s">
        <v>6343</v>
      </c>
    </row>
    <row r="4449" spans="1:2" x14ac:dyDescent="0.25">
      <c r="A4449" t="s">
        <v>4583</v>
      </c>
      <c r="B4449" t="s">
        <v>5787</v>
      </c>
    </row>
    <row r="4450" spans="1:2" x14ac:dyDescent="0.25">
      <c r="A4450" t="s">
        <v>4767</v>
      </c>
      <c r="B4450" t="s">
        <v>5825</v>
      </c>
    </row>
    <row r="4451" spans="1:2" x14ac:dyDescent="0.25">
      <c r="A4451" t="s">
        <v>12</v>
      </c>
      <c r="B4451" t="s">
        <v>5787</v>
      </c>
    </row>
    <row r="4452" spans="1:2" x14ac:dyDescent="0.25">
      <c r="A4452" t="s">
        <v>724</v>
      </c>
      <c r="B4452" t="s">
        <v>5788</v>
      </c>
    </row>
    <row r="4453" spans="1:2" x14ac:dyDescent="0.25">
      <c r="A4453" t="s">
        <v>11662</v>
      </c>
      <c r="B4453" t="s">
        <v>5975</v>
      </c>
    </row>
    <row r="4454" spans="1:2" x14ac:dyDescent="0.25">
      <c r="A4454" t="s">
        <v>3141</v>
      </c>
      <c r="B4454" t="s">
        <v>5787</v>
      </c>
    </row>
    <row r="4455" spans="1:2" x14ac:dyDescent="0.25">
      <c r="A4455" t="s">
        <v>1221</v>
      </c>
      <c r="B4455" t="s">
        <v>6219</v>
      </c>
    </row>
    <row r="4456" spans="1:2" x14ac:dyDescent="0.25">
      <c r="A4456" t="s">
        <v>2129</v>
      </c>
      <c r="B4456" t="s">
        <v>5801</v>
      </c>
    </row>
    <row r="4457" spans="1:2" x14ac:dyDescent="0.25">
      <c r="A4457" t="s">
        <v>582</v>
      </c>
      <c r="B4457" t="s">
        <v>6181</v>
      </c>
    </row>
    <row r="4458" spans="1:2" x14ac:dyDescent="0.25">
      <c r="A4458" t="s">
        <v>3684</v>
      </c>
      <c r="B4458" t="s">
        <v>6156</v>
      </c>
    </row>
    <row r="4459" spans="1:2" x14ac:dyDescent="0.25">
      <c r="A4459" t="s">
        <v>3073</v>
      </c>
      <c r="B4459" t="s">
        <v>5759</v>
      </c>
    </row>
    <row r="4460" spans="1:2" x14ac:dyDescent="0.25">
      <c r="A4460" t="s">
        <v>59</v>
      </c>
      <c r="B4460" t="s">
        <v>5787</v>
      </c>
    </row>
    <row r="4461" spans="1:2" x14ac:dyDescent="0.25">
      <c r="A4461" t="s">
        <v>297</v>
      </c>
      <c r="B4461" t="s">
        <v>5787</v>
      </c>
    </row>
    <row r="4462" spans="1:2" x14ac:dyDescent="0.25">
      <c r="A4462" t="s">
        <v>3642</v>
      </c>
      <c r="B4462" t="s">
        <v>5790</v>
      </c>
    </row>
    <row r="4463" spans="1:2" x14ac:dyDescent="0.25">
      <c r="A4463" t="s">
        <v>1250</v>
      </c>
      <c r="B4463" t="s">
        <v>6489</v>
      </c>
    </row>
    <row r="4464" spans="1:2" x14ac:dyDescent="0.25">
      <c r="A4464" t="s">
        <v>5508</v>
      </c>
      <c r="B4464" t="s">
        <v>5787</v>
      </c>
    </row>
    <row r="4465" spans="1:2" x14ac:dyDescent="0.25">
      <c r="A4465" t="s">
        <v>2901</v>
      </c>
      <c r="B4465" t="s">
        <v>5997</v>
      </c>
    </row>
    <row r="4466" spans="1:2" x14ac:dyDescent="0.25">
      <c r="A4466" t="s">
        <v>937</v>
      </c>
      <c r="B4466" t="s">
        <v>5790</v>
      </c>
    </row>
    <row r="4467" spans="1:2" x14ac:dyDescent="0.25">
      <c r="A4467" t="s">
        <v>318</v>
      </c>
      <c r="B4467" t="s">
        <v>5787</v>
      </c>
    </row>
    <row r="4468" spans="1:2" x14ac:dyDescent="0.25">
      <c r="A4468" t="s">
        <v>5489</v>
      </c>
      <c r="B4468" t="s">
        <v>5706</v>
      </c>
    </row>
    <row r="4469" spans="1:2" x14ac:dyDescent="0.25">
      <c r="A4469" t="s">
        <v>3297</v>
      </c>
      <c r="B4469" t="s">
        <v>5787</v>
      </c>
    </row>
    <row r="4470" spans="1:2" x14ac:dyDescent="0.25">
      <c r="A4470" t="s">
        <v>469</v>
      </c>
      <c r="B4470" t="s">
        <v>5933</v>
      </c>
    </row>
    <row r="4471" spans="1:2" x14ac:dyDescent="0.25">
      <c r="A4471" t="s">
        <v>111</v>
      </c>
      <c r="B4471" t="s">
        <v>5747</v>
      </c>
    </row>
    <row r="4472" spans="1:2" x14ac:dyDescent="0.25">
      <c r="A4472" t="s">
        <v>5637</v>
      </c>
      <c r="B4472" t="s">
        <v>5825</v>
      </c>
    </row>
    <row r="4473" spans="1:2" x14ac:dyDescent="0.25">
      <c r="A4473" t="s">
        <v>451</v>
      </c>
      <c r="B4473" t="s">
        <v>6240</v>
      </c>
    </row>
    <row r="4474" spans="1:2" x14ac:dyDescent="0.25">
      <c r="A4474" t="s">
        <v>3477</v>
      </c>
      <c r="B4474" t="s">
        <v>5752</v>
      </c>
    </row>
    <row r="4475" spans="1:2" x14ac:dyDescent="0.25">
      <c r="A4475" t="s">
        <v>1527</v>
      </c>
      <c r="B4475" t="s">
        <v>5778</v>
      </c>
    </row>
    <row r="4476" spans="1:2" x14ac:dyDescent="0.25">
      <c r="A4476" t="s">
        <v>1577</v>
      </c>
      <c r="B4476" t="s">
        <v>5850</v>
      </c>
    </row>
    <row r="4477" spans="1:2" x14ac:dyDescent="0.25">
      <c r="A4477" t="s">
        <v>2097</v>
      </c>
      <c r="B4477" t="s">
        <v>5891</v>
      </c>
    </row>
    <row r="4478" spans="1:2" x14ac:dyDescent="0.25">
      <c r="A4478" t="s">
        <v>5558</v>
      </c>
      <c r="B4478" t="s">
        <v>5919</v>
      </c>
    </row>
    <row r="4479" spans="1:2" x14ac:dyDescent="0.25">
      <c r="A4479" t="s">
        <v>2876</v>
      </c>
      <c r="B4479" t="s">
        <v>5980</v>
      </c>
    </row>
    <row r="4480" spans="1:2" x14ac:dyDescent="0.25">
      <c r="A4480" t="s">
        <v>1417</v>
      </c>
      <c r="B4480" t="s">
        <v>6695</v>
      </c>
    </row>
    <row r="4481" spans="1:2" x14ac:dyDescent="0.25">
      <c r="A4481" t="s">
        <v>3414</v>
      </c>
      <c r="B4481" t="s">
        <v>5789</v>
      </c>
    </row>
    <row r="4482" spans="1:2" x14ac:dyDescent="0.25">
      <c r="A4482" t="s">
        <v>328</v>
      </c>
      <c r="B4482" t="s">
        <v>5790</v>
      </c>
    </row>
    <row r="4483" spans="1:2" x14ac:dyDescent="0.25">
      <c r="A4483" t="s">
        <v>1681</v>
      </c>
      <c r="B4483" t="s">
        <v>6665</v>
      </c>
    </row>
    <row r="4484" spans="1:2" x14ac:dyDescent="0.25">
      <c r="A4484" t="s">
        <v>1728</v>
      </c>
      <c r="B4484" t="s">
        <v>5831</v>
      </c>
    </row>
    <row r="4485" spans="1:2" x14ac:dyDescent="0.25">
      <c r="A4485" t="s">
        <v>4479</v>
      </c>
      <c r="B4485" t="s">
        <v>5750</v>
      </c>
    </row>
    <row r="4486" spans="1:2" x14ac:dyDescent="0.25">
      <c r="A4486" t="s">
        <v>4934</v>
      </c>
    </row>
    <row r="4487" spans="1:2" x14ac:dyDescent="0.25">
      <c r="A4487" t="s">
        <v>650</v>
      </c>
      <c r="B4487" t="s">
        <v>5857</v>
      </c>
    </row>
    <row r="4488" spans="1:2" x14ac:dyDescent="0.25">
      <c r="A4488" t="s">
        <v>2981</v>
      </c>
      <c r="B4488" t="s">
        <v>5788</v>
      </c>
    </row>
    <row r="4489" spans="1:2" x14ac:dyDescent="0.25">
      <c r="A4489" t="s">
        <v>5278</v>
      </c>
      <c r="B4489" t="s">
        <v>5787</v>
      </c>
    </row>
    <row r="4490" spans="1:2" x14ac:dyDescent="0.25">
      <c r="A4490" t="s">
        <v>3355</v>
      </c>
      <c r="B4490" t="s">
        <v>6254</v>
      </c>
    </row>
    <row r="4491" spans="1:2" x14ac:dyDescent="0.25">
      <c r="A4491" t="s">
        <v>3779</v>
      </c>
      <c r="B4491" t="s">
        <v>5711</v>
      </c>
    </row>
    <row r="4492" spans="1:2" x14ac:dyDescent="0.25">
      <c r="A4492" t="s">
        <v>2325</v>
      </c>
      <c r="B4492" t="s">
        <v>5882</v>
      </c>
    </row>
    <row r="4493" spans="1:2" x14ac:dyDescent="0.25">
      <c r="A4493" t="s">
        <v>4733</v>
      </c>
      <c r="B4493" t="s">
        <v>5916</v>
      </c>
    </row>
    <row r="4494" spans="1:2" x14ac:dyDescent="0.25">
      <c r="A4494" t="s">
        <v>3942</v>
      </c>
      <c r="B4494" t="s">
        <v>6259</v>
      </c>
    </row>
    <row r="4495" spans="1:2" x14ac:dyDescent="0.25">
      <c r="A4495" t="s">
        <v>4624</v>
      </c>
      <c r="B4495" t="s">
        <v>5787</v>
      </c>
    </row>
    <row r="4496" spans="1:2" x14ac:dyDescent="0.25">
      <c r="A4496" t="s">
        <v>3934</v>
      </c>
      <c r="B4496" t="s">
        <v>6542</v>
      </c>
    </row>
    <row r="4497" spans="1:2" x14ac:dyDescent="0.25">
      <c r="A4497" t="s">
        <v>3639</v>
      </c>
      <c r="B4497" t="s">
        <v>6119</v>
      </c>
    </row>
    <row r="4498" spans="1:2" x14ac:dyDescent="0.25">
      <c r="A4498" t="s">
        <v>170</v>
      </c>
      <c r="B4498" t="s">
        <v>6022</v>
      </c>
    </row>
    <row r="4499" spans="1:2" x14ac:dyDescent="0.25">
      <c r="A4499" t="s">
        <v>4987</v>
      </c>
      <c r="B4499" t="s">
        <v>6276</v>
      </c>
    </row>
    <row r="4500" spans="1:2" x14ac:dyDescent="0.25">
      <c r="A4500" t="s">
        <v>551</v>
      </c>
      <c r="B4500" t="s">
        <v>6273</v>
      </c>
    </row>
    <row r="4501" spans="1:2" x14ac:dyDescent="0.25">
      <c r="A4501" t="s">
        <v>4116</v>
      </c>
      <c r="B4501" t="s">
        <v>6135</v>
      </c>
    </row>
    <row r="4502" spans="1:2" x14ac:dyDescent="0.25">
      <c r="A4502" t="s">
        <v>3576</v>
      </c>
      <c r="B4502" t="s">
        <v>5721</v>
      </c>
    </row>
    <row r="4503" spans="1:2" x14ac:dyDescent="0.25">
      <c r="A4503" t="s">
        <v>243</v>
      </c>
      <c r="B4503" t="s">
        <v>5787</v>
      </c>
    </row>
    <row r="4504" spans="1:2" x14ac:dyDescent="0.25">
      <c r="A4504" t="s">
        <v>3912</v>
      </c>
      <c r="B4504" t="s">
        <v>5706</v>
      </c>
    </row>
    <row r="4505" spans="1:2" x14ac:dyDescent="0.25">
      <c r="A4505" t="s">
        <v>1072</v>
      </c>
      <c r="B4505" t="s">
        <v>5790</v>
      </c>
    </row>
    <row r="4506" spans="1:2" x14ac:dyDescent="0.25">
      <c r="A4506" t="s">
        <v>3467</v>
      </c>
      <c r="B4506" t="s">
        <v>5754</v>
      </c>
    </row>
    <row r="4507" spans="1:2" x14ac:dyDescent="0.25">
      <c r="A4507" t="s">
        <v>3287</v>
      </c>
      <c r="B4507" t="s">
        <v>5936</v>
      </c>
    </row>
    <row r="4508" spans="1:2" x14ac:dyDescent="0.25">
      <c r="A4508" t="s">
        <v>5144</v>
      </c>
      <c r="B4508" t="s">
        <v>5706</v>
      </c>
    </row>
    <row r="4509" spans="1:2" x14ac:dyDescent="0.25">
      <c r="A4509" t="s">
        <v>4730</v>
      </c>
      <c r="B4509" t="s">
        <v>6754</v>
      </c>
    </row>
    <row r="4510" spans="1:2" x14ac:dyDescent="0.25">
      <c r="A4510" t="s">
        <v>3816</v>
      </c>
      <c r="B4510" t="s">
        <v>5807</v>
      </c>
    </row>
    <row r="4511" spans="1:2" x14ac:dyDescent="0.25">
      <c r="A4511" t="s">
        <v>2351</v>
      </c>
      <c r="B4511" t="s">
        <v>5787</v>
      </c>
    </row>
    <row r="4512" spans="1:2" x14ac:dyDescent="0.25">
      <c r="A4512" t="s">
        <v>477</v>
      </c>
      <c r="B4512" t="s">
        <v>5787</v>
      </c>
    </row>
    <row r="4513" spans="1:2" x14ac:dyDescent="0.25">
      <c r="A4513" t="s">
        <v>5433</v>
      </c>
      <c r="B4513" t="s">
        <v>5839</v>
      </c>
    </row>
    <row r="4514" spans="1:2" x14ac:dyDescent="0.25">
      <c r="A4514" t="s">
        <v>5318</v>
      </c>
      <c r="B4514" t="s">
        <v>6016</v>
      </c>
    </row>
    <row r="4515" spans="1:2" x14ac:dyDescent="0.25">
      <c r="A4515" t="s">
        <v>74</v>
      </c>
      <c r="B4515" t="s">
        <v>5787</v>
      </c>
    </row>
    <row r="4516" spans="1:2" x14ac:dyDescent="0.25">
      <c r="A4516" t="s">
        <v>3145</v>
      </c>
      <c r="B4516" t="s">
        <v>6001</v>
      </c>
    </row>
    <row r="4517" spans="1:2" x14ac:dyDescent="0.25">
      <c r="A4517" t="s">
        <v>2815</v>
      </c>
      <c r="B4517" t="s">
        <v>5956</v>
      </c>
    </row>
    <row r="4518" spans="1:2" x14ac:dyDescent="0.25">
      <c r="A4518" t="s">
        <v>1883</v>
      </c>
      <c r="B4518" t="s">
        <v>6302</v>
      </c>
    </row>
    <row r="4519" spans="1:2" x14ac:dyDescent="0.25">
      <c r="A4519" t="s">
        <v>2905</v>
      </c>
      <c r="B4519" t="s">
        <v>6134</v>
      </c>
    </row>
    <row r="4520" spans="1:2" x14ac:dyDescent="0.25">
      <c r="A4520" t="s">
        <v>3068</v>
      </c>
      <c r="B4520">
        <v>0</v>
      </c>
    </row>
    <row r="4521" spans="1:2" x14ac:dyDescent="0.25">
      <c r="A4521" t="s">
        <v>3338</v>
      </c>
      <c r="B4521" t="s">
        <v>6234</v>
      </c>
    </row>
    <row r="4522" spans="1:2" x14ac:dyDescent="0.25">
      <c r="A4522" t="s">
        <v>2629</v>
      </c>
      <c r="B4522" t="s">
        <v>6042</v>
      </c>
    </row>
    <row r="4523" spans="1:2" x14ac:dyDescent="0.25">
      <c r="A4523" t="s">
        <v>5134</v>
      </c>
      <c r="B4523" t="s">
        <v>5708</v>
      </c>
    </row>
    <row r="4524" spans="1:2" x14ac:dyDescent="0.25">
      <c r="A4524" t="s">
        <v>1419</v>
      </c>
      <c r="B4524" t="s">
        <v>6383</v>
      </c>
    </row>
    <row r="4525" spans="1:2" x14ac:dyDescent="0.25">
      <c r="A4525" t="s">
        <v>1939</v>
      </c>
      <c r="B4525" t="s">
        <v>5728</v>
      </c>
    </row>
    <row r="4526" spans="1:2" x14ac:dyDescent="0.25">
      <c r="A4526" t="s">
        <v>3225</v>
      </c>
      <c r="B4526" t="s">
        <v>5774</v>
      </c>
    </row>
    <row r="4527" spans="1:2" x14ac:dyDescent="0.25">
      <c r="A4527" t="s">
        <v>5519</v>
      </c>
      <c r="B4527" t="s">
        <v>6319</v>
      </c>
    </row>
    <row r="4528" spans="1:2" x14ac:dyDescent="0.25">
      <c r="A4528" t="s">
        <v>992</v>
      </c>
      <c r="B4528" t="s">
        <v>6279</v>
      </c>
    </row>
    <row r="4529" spans="1:2" x14ac:dyDescent="0.25">
      <c r="A4529" t="s">
        <v>3360</v>
      </c>
      <c r="B4529" t="s">
        <v>6759</v>
      </c>
    </row>
    <row r="4530" spans="1:2" x14ac:dyDescent="0.25">
      <c r="A4530" t="s">
        <v>4626</v>
      </c>
      <c r="B4530" t="s">
        <v>6212</v>
      </c>
    </row>
    <row r="4531" spans="1:2" x14ac:dyDescent="0.25">
      <c r="A4531" t="s">
        <v>3999</v>
      </c>
      <c r="B4531" t="s">
        <v>5716</v>
      </c>
    </row>
    <row r="4532" spans="1:2" x14ac:dyDescent="0.25">
      <c r="A4532" t="s">
        <v>871</v>
      </c>
      <c r="B4532" t="s">
        <v>6533</v>
      </c>
    </row>
    <row r="4533" spans="1:2" x14ac:dyDescent="0.25">
      <c r="A4533" t="s">
        <v>5279</v>
      </c>
      <c r="B4533" t="s">
        <v>6251</v>
      </c>
    </row>
    <row r="4534" spans="1:2" x14ac:dyDescent="0.25">
      <c r="A4534" t="s">
        <v>2804</v>
      </c>
      <c r="B4534" t="s">
        <v>5752</v>
      </c>
    </row>
    <row r="4535" spans="1:2" x14ac:dyDescent="0.25">
      <c r="A4535" t="s">
        <v>176</v>
      </c>
      <c r="B4535" t="s">
        <v>5752</v>
      </c>
    </row>
    <row r="4536" spans="1:2" x14ac:dyDescent="0.25">
      <c r="A4536" t="s">
        <v>3326</v>
      </c>
      <c r="B4536" t="s">
        <v>5978</v>
      </c>
    </row>
    <row r="4537" spans="1:2" x14ac:dyDescent="0.25">
      <c r="A4537" t="s">
        <v>749</v>
      </c>
      <c r="B4537" t="s">
        <v>5787</v>
      </c>
    </row>
    <row r="4538" spans="1:2" x14ac:dyDescent="0.25">
      <c r="A4538" t="s">
        <v>538</v>
      </c>
      <c r="B4538" t="s">
        <v>5787</v>
      </c>
    </row>
    <row r="4539" spans="1:2" x14ac:dyDescent="0.25">
      <c r="A4539" t="s">
        <v>3735</v>
      </c>
      <c r="B4539" t="s">
        <v>5757</v>
      </c>
    </row>
    <row r="4540" spans="1:2" x14ac:dyDescent="0.25">
      <c r="A4540" t="s">
        <v>1647</v>
      </c>
      <c r="B4540" t="s">
        <v>6145</v>
      </c>
    </row>
    <row r="4541" spans="1:2" x14ac:dyDescent="0.25">
      <c r="A4541" t="s">
        <v>2627</v>
      </c>
      <c r="B4541" t="s">
        <v>6236</v>
      </c>
    </row>
    <row r="4542" spans="1:2" x14ac:dyDescent="0.25">
      <c r="A4542" t="s">
        <v>136</v>
      </c>
      <c r="B4542" t="s">
        <v>5772</v>
      </c>
    </row>
    <row r="4543" spans="1:2" x14ac:dyDescent="0.25">
      <c r="A4543" t="s">
        <v>3666</v>
      </c>
      <c r="B4543" t="s">
        <v>5820</v>
      </c>
    </row>
    <row r="4544" spans="1:2" x14ac:dyDescent="0.25">
      <c r="A4544" t="s">
        <v>1453</v>
      </c>
      <c r="B4544" t="s">
        <v>5908</v>
      </c>
    </row>
    <row r="4545" spans="1:2" x14ac:dyDescent="0.25">
      <c r="A4545" t="s">
        <v>5630</v>
      </c>
      <c r="B4545" t="s">
        <v>5787</v>
      </c>
    </row>
    <row r="4546" spans="1:2" x14ac:dyDescent="0.25">
      <c r="A4546" t="s">
        <v>4803</v>
      </c>
      <c r="B4546" t="s">
        <v>5970</v>
      </c>
    </row>
    <row r="4547" spans="1:2" x14ac:dyDescent="0.25">
      <c r="A4547" t="s">
        <v>4357</v>
      </c>
      <c r="B4547" t="s">
        <v>5770</v>
      </c>
    </row>
    <row r="4548" spans="1:2" x14ac:dyDescent="0.25">
      <c r="A4548" t="s">
        <v>2409</v>
      </c>
      <c r="B4548" t="s">
        <v>5787</v>
      </c>
    </row>
    <row r="4549" spans="1:2" x14ac:dyDescent="0.25">
      <c r="A4549" t="s">
        <v>5469</v>
      </c>
      <c r="B4549" t="s">
        <v>6314</v>
      </c>
    </row>
    <row r="4550" spans="1:2" x14ac:dyDescent="0.25">
      <c r="A4550" t="s">
        <v>3281</v>
      </c>
      <c r="B4550" t="s">
        <v>5713</v>
      </c>
    </row>
    <row r="4551" spans="1:2" x14ac:dyDescent="0.25">
      <c r="A4551" t="s">
        <v>4740</v>
      </c>
      <c r="B4551" t="s">
        <v>5774</v>
      </c>
    </row>
    <row r="4552" spans="1:2" x14ac:dyDescent="0.25">
      <c r="A4552" t="s">
        <v>4951</v>
      </c>
      <c r="B4552" t="s">
        <v>6127</v>
      </c>
    </row>
    <row r="4553" spans="1:2" x14ac:dyDescent="0.25">
      <c r="A4553" t="s">
        <v>340</v>
      </c>
      <c r="B4553" t="s">
        <v>5892</v>
      </c>
    </row>
    <row r="4554" spans="1:2" x14ac:dyDescent="0.25">
      <c r="A4554" t="s">
        <v>2399</v>
      </c>
      <c r="B4554" t="s">
        <v>5843</v>
      </c>
    </row>
    <row r="4555" spans="1:2" x14ac:dyDescent="0.25">
      <c r="A4555" t="s">
        <v>862</v>
      </c>
      <c r="B4555" t="s">
        <v>5962</v>
      </c>
    </row>
    <row r="4556" spans="1:2" x14ac:dyDescent="0.25">
      <c r="A4556" t="s">
        <v>2895</v>
      </c>
      <c r="B4556" t="s">
        <v>6669</v>
      </c>
    </row>
    <row r="4557" spans="1:2" x14ac:dyDescent="0.25">
      <c r="A4557" t="s">
        <v>2424</v>
      </c>
      <c r="B4557" t="s">
        <v>5864</v>
      </c>
    </row>
    <row r="4558" spans="1:2" x14ac:dyDescent="0.25">
      <c r="A4558" t="s">
        <v>3239</v>
      </c>
      <c r="B4558" t="s">
        <v>6326</v>
      </c>
    </row>
    <row r="4559" spans="1:2" x14ac:dyDescent="0.25">
      <c r="A4559" t="s">
        <v>2745</v>
      </c>
      <c r="B4559" t="s">
        <v>5847</v>
      </c>
    </row>
    <row r="4560" spans="1:2" x14ac:dyDescent="0.25">
      <c r="A4560" t="s">
        <v>3880</v>
      </c>
      <c r="B4560" t="s">
        <v>5892</v>
      </c>
    </row>
    <row r="4561" spans="1:2" x14ac:dyDescent="0.25">
      <c r="A4561" t="s">
        <v>5158</v>
      </c>
      <c r="B4561" t="s">
        <v>6376</v>
      </c>
    </row>
    <row r="4562" spans="1:2" x14ac:dyDescent="0.25">
      <c r="A4562" t="s">
        <v>1726</v>
      </c>
      <c r="B4562" t="s">
        <v>6787</v>
      </c>
    </row>
    <row r="4563" spans="1:2" x14ac:dyDescent="0.25">
      <c r="A4563" t="s">
        <v>3142</v>
      </c>
      <c r="B4563" t="s">
        <v>5793</v>
      </c>
    </row>
    <row r="4564" spans="1:2" x14ac:dyDescent="0.25">
      <c r="A4564" t="s">
        <v>5324</v>
      </c>
      <c r="B4564">
        <v>0</v>
      </c>
    </row>
    <row r="4565" spans="1:2" x14ac:dyDescent="0.25">
      <c r="A4565" t="s">
        <v>174</v>
      </c>
      <c r="B4565" t="s">
        <v>6061</v>
      </c>
    </row>
    <row r="4566" spans="1:2" x14ac:dyDescent="0.25">
      <c r="A4566" t="s">
        <v>3792</v>
      </c>
      <c r="B4566" t="s">
        <v>5788</v>
      </c>
    </row>
    <row r="4567" spans="1:2" x14ac:dyDescent="0.25">
      <c r="A4567" t="s">
        <v>2001</v>
      </c>
      <c r="B4567" t="s">
        <v>5788</v>
      </c>
    </row>
    <row r="4568" spans="1:2" x14ac:dyDescent="0.25">
      <c r="A4568" t="s">
        <v>2788</v>
      </c>
      <c r="B4568" t="s">
        <v>5816</v>
      </c>
    </row>
    <row r="4569" spans="1:2" x14ac:dyDescent="0.25">
      <c r="A4569" t="s">
        <v>3261</v>
      </c>
      <c r="B4569" t="s">
        <v>6155</v>
      </c>
    </row>
    <row r="4570" spans="1:2" x14ac:dyDescent="0.25">
      <c r="A4570" t="s">
        <v>4868</v>
      </c>
      <c r="B4570" t="s">
        <v>6628</v>
      </c>
    </row>
    <row r="4571" spans="1:2" x14ac:dyDescent="0.25">
      <c r="A4571" t="s">
        <v>2782</v>
      </c>
      <c r="B4571" t="s">
        <v>6336</v>
      </c>
    </row>
    <row r="4572" spans="1:2" x14ac:dyDescent="0.25">
      <c r="A4572" t="s">
        <v>4262</v>
      </c>
      <c r="B4572" t="s">
        <v>6396</v>
      </c>
    </row>
    <row r="4573" spans="1:2" x14ac:dyDescent="0.25">
      <c r="A4573" t="s">
        <v>5336</v>
      </c>
      <c r="B4573" t="s">
        <v>5872</v>
      </c>
    </row>
    <row r="4574" spans="1:2" x14ac:dyDescent="0.25">
      <c r="A4574" t="s">
        <v>1242</v>
      </c>
      <c r="B4574" t="s">
        <v>5797</v>
      </c>
    </row>
    <row r="4575" spans="1:2" x14ac:dyDescent="0.25">
      <c r="A4575" t="s">
        <v>2412</v>
      </c>
      <c r="B4575" t="s">
        <v>5945</v>
      </c>
    </row>
    <row r="4576" spans="1:2" x14ac:dyDescent="0.25">
      <c r="A4576" t="s">
        <v>3552</v>
      </c>
      <c r="B4576" t="s">
        <v>5934</v>
      </c>
    </row>
    <row r="4577" spans="1:2" x14ac:dyDescent="0.25">
      <c r="A4577" t="s">
        <v>1339</v>
      </c>
      <c r="B4577" t="s">
        <v>5814</v>
      </c>
    </row>
    <row r="4578" spans="1:2" x14ac:dyDescent="0.25">
      <c r="A4578" t="s">
        <v>1793</v>
      </c>
      <c r="B4578" t="s">
        <v>5827</v>
      </c>
    </row>
    <row r="4579" spans="1:2" x14ac:dyDescent="0.25">
      <c r="A4579" t="s">
        <v>3240</v>
      </c>
      <c r="B4579" t="s">
        <v>5787</v>
      </c>
    </row>
    <row r="4580" spans="1:2" x14ac:dyDescent="0.25">
      <c r="A4580" t="s">
        <v>2109</v>
      </c>
      <c r="B4580" t="s">
        <v>5787</v>
      </c>
    </row>
    <row r="4581" spans="1:2" x14ac:dyDescent="0.25">
      <c r="A4581" t="s">
        <v>2318</v>
      </c>
      <c r="B4581" t="s">
        <v>5980</v>
      </c>
    </row>
    <row r="4582" spans="1:2" x14ac:dyDescent="0.25">
      <c r="A4582" t="s">
        <v>1406</v>
      </c>
      <c r="B4582" t="s">
        <v>5787</v>
      </c>
    </row>
    <row r="4583" spans="1:2" x14ac:dyDescent="0.25">
      <c r="A4583" t="s">
        <v>5690</v>
      </c>
      <c r="B4583" t="s">
        <v>5875</v>
      </c>
    </row>
    <row r="4584" spans="1:2" x14ac:dyDescent="0.25">
      <c r="A4584" t="s">
        <v>3059</v>
      </c>
      <c r="B4584" t="s">
        <v>5768</v>
      </c>
    </row>
    <row r="4585" spans="1:2" x14ac:dyDescent="0.25">
      <c r="A4585" t="s">
        <v>2709</v>
      </c>
      <c r="B4585" t="s">
        <v>5744</v>
      </c>
    </row>
    <row r="4586" spans="1:2" x14ac:dyDescent="0.25">
      <c r="A4586" t="s">
        <v>5219</v>
      </c>
      <c r="B4586" t="s">
        <v>5905</v>
      </c>
    </row>
    <row r="4587" spans="1:2" x14ac:dyDescent="0.25">
      <c r="A4587" t="s">
        <v>3856</v>
      </c>
      <c r="B4587" t="s">
        <v>6278</v>
      </c>
    </row>
    <row r="4588" spans="1:2" x14ac:dyDescent="0.25">
      <c r="A4588" t="s">
        <v>5627</v>
      </c>
      <c r="B4588" t="s">
        <v>5922</v>
      </c>
    </row>
    <row r="4589" spans="1:2" x14ac:dyDescent="0.25">
      <c r="A4589" t="s">
        <v>5285</v>
      </c>
      <c r="B4589" t="s">
        <v>5787</v>
      </c>
    </row>
    <row r="4590" spans="1:2" x14ac:dyDescent="0.25">
      <c r="A4590" t="s">
        <v>4023</v>
      </c>
      <c r="B4590" t="s">
        <v>6050</v>
      </c>
    </row>
    <row r="4591" spans="1:2" x14ac:dyDescent="0.25">
      <c r="A4591" t="s">
        <v>4854</v>
      </c>
      <c r="B4591" t="s">
        <v>5747</v>
      </c>
    </row>
    <row r="4592" spans="1:2" x14ac:dyDescent="0.25">
      <c r="A4592" t="s">
        <v>3272</v>
      </c>
      <c r="B4592" t="s">
        <v>5787</v>
      </c>
    </row>
    <row r="4593" spans="1:2" x14ac:dyDescent="0.25">
      <c r="A4593" t="s">
        <v>5193</v>
      </c>
      <c r="B4593" t="s">
        <v>5770</v>
      </c>
    </row>
    <row r="4594" spans="1:2" x14ac:dyDescent="0.25">
      <c r="A4594" t="s">
        <v>71</v>
      </c>
      <c r="B4594" t="s">
        <v>5990</v>
      </c>
    </row>
    <row r="4595" spans="1:2" x14ac:dyDescent="0.25">
      <c r="A4595" t="s">
        <v>371</v>
      </c>
      <c r="B4595" t="s">
        <v>5990</v>
      </c>
    </row>
    <row r="4596" spans="1:2" x14ac:dyDescent="0.25">
      <c r="A4596" t="s">
        <v>11808</v>
      </c>
      <c r="B4596" t="s">
        <v>5838</v>
      </c>
    </row>
    <row r="4597" spans="1:2" x14ac:dyDescent="0.25">
      <c r="A4597" t="s">
        <v>4367</v>
      </c>
      <c r="B4597" t="s">
        <v>5787</v>
      </c>
    </row>
    <row r="4598" spans="1:2" x14ac:dyDescent="0.25">
      <c r="A4598" t="s">
        <v>5611</v>
      </c>
      <c r="B4598" t="s">
        <v>6076</v>
      </c>
    </row>
    <row r="4599" spans="1:2" x14ac:dyDescent="0.25">
      <c r="A4599" t="s">
        <v>4445</v>
      </c>
      <c r="B4599" t="s">
        <v>5815</v>
      </c>
    </row>
    <row r="4600" spans="1:2" x14ac:dyDescent="0.25">
      <c r="A4600" t="s">
        <v>118</v>
      </c>
      <c r="B4600" t="s">
        <v>5719</v>
      </c>
    </row>
    <row r="4601" spans="1:2" x14ac:dyDescent="0.25">
      <c r="A4601" t="s">
        <v>4637</v>
      </c>
      <c r="B4601" t="s">
        <v>5814</v>
      </c>
    </row>
    <row r="4602" spans="1:2" x14ac:dyDescent="0.25">
      <c r="A4602" t="s">
        <v>2986</v>
      </c>
      <c r="B4602" t="s">
        <v>6176</v>
      </c>
    </row>
    <row r="4603" spans="1:2" x14ac:dyDescent="0.25">
      <c r="A4603" t="s">
        <v>880</v>
      </c>
      <c r="B4603" t="s">
        <v>5787</v>
      </c>
    </row>
    <row r="4604" spans="1:2" x14ac:dyDescent="0.25">
      <c r="A4604" t="s">
        <v>3205</v>
      </c>
      <c r="B4604" t="s">
        <v>5848</v>
      </c>
    </row>
    <row r="4605" spans="1:2" x14ac:dyDescent="0.25">
      <c r="A4605" t="s">
        <v>5027</v>
      </c>
      <c r="B4605" t="s">
        <v>5740</v>
      </c>
    </row>
    <row r="4606" spans="1:2" x14ac:dyDescent="0.25">
      <c r="A4606" t="s">
        <v>2549</v>
      </c>
      <c r="B4606" t="s">
        <v>5789</v>
      </c>
    </row>
    <row r="4607" spans="1:2" x14ac:dyDescent="0.25">
      <c r="A4607" t="s">
        <v>2486</v>
      </c>
      <c r="B4607" t="s">
        <v>6145</v>
      </c>
    </row>
    <row r="4608" spans="1:2" x14ac:dyDescent="0.25">
      <c r="A4608" t="s">
        <v>4935</v>
      </c>
      <c r="B4608" t="s">
        <v>5730</v>
      </c>
    </row>
    <row r="4609" spans="1:2" x14ac:dyDescent="0.25">
      <c r="A4609" t="s">
        <v>4663</v>
      </c>
      <c r="B4609" t="s">
        <v>6226</v>
      </c>
    </row>
    <row r="4610" spans="1:2" x14ac:dyDescent="0.25">
      <c r="A4610" t="s">
        <v>5732</v>
      </c>
      <c r="B4610" t="s">
        <v>5730</v>
      </c>
    </row>
    <row r="4611" spans="1:2" x14ac:dyDescent="0.25">
      <c r="A4611" t="s">
        <v>465</v>
      </c>
      <c r="B4611" t="s">
        <v>5704</v>
      </c>
    </row>
    <row r="4612" spans="1:2" x14ac:dyDescent="0.25">
      <c r="A4612" t="s">
        <v>1731</v>
      </c>
      <c r="B4612" t="s">
        <v>5995</v>
      </c>
    </row>
    <row r="4613" spans="1:2" x14ac:dyDescent="0.25">
      <c r="A4613" t="s">
        <v>977</v>
      </c>
      <c r="B4613" t="s">
        <v>5713</v>
      </c>
    </row>
    <row r="4614" spans="1:2" x14ac:dyDescent="0.25">
      <c r="A4614" t="s">
        <v>5656</v>
      </c>
      <c r="B4614" t="s">
        <v>5998</v>
      </c>
    </row>
    <row r="4615" spans="1:2" x14ac:dyDescent="0.25">
      <c r="A4615" t="s">
        <v>322</v>
      </c>
      <c r="B4615" t="s">
        <v>5854</v>
      </c>
    </row>
    <row r="4616" spans="1:2" x14ac:dyDescent="0.25">
      <c r="A4616" t="s">
        <v>4307</v>
      </c>
      <c r="B4616" t="s">
        <v>6351</v>
      </c>
    </row>
    <row r="4617" spans="1:2" x14ac:dyDescent="0.25">
      <c r="A4617" t="s">
        <v>474</v>
      </c>
      <c r="B4617" t="s">
        <v>5704</v>
      </c>
    </row>
    <row r="4618" spans="1:2" x14ac:dyDescent="0.25">
      <c r="A4618" t="s">
        <v>3039</v>
      </c>
      <c r="B4618" t="s">
        <v>5787</v>
      </c>
    </row>
    <row r="4619" spans="1:2" x14ac:dyDescent="0.25">
      <c r="A4619" t="s">
        <v>2123</v>
      </c>
      <c r="B4619" t="s">
        <v>6074</v>
      </c>
    </row>
    <row r="4620" spans="1:2" x14ac:dyDescent="0.25">
      <c r="A4620" t="s">
        <v>3347</v>
      </c>
      <c r="B4620" t="s">
        <v>5787</v>
      </c>
    </row>
    <row r="4621" spans="1:2" x14ac:dyDescent="0.25">
      <c r="A4621" t="s">
        <v>1459</v>
      </c>
      <c r="B4621" t="s">
        <v>5947</v>
      </c>
    </row>
    <row r="4622" spans="1:2" x14ac:dyDescent="0.25">
      <c r="A4622" t="s">
        <v>540</v>
      </c>
      <c r="B4622" t="s">
        <v>5787</v>
      </c>
    </row>
    <row r="4623" spans="1:2" x14ac:dyDescent="0.25">
      <c r="A4623" t="s">
        <v>1758</v>
      </c>
      <c r="B4623" t="s">
        <v>5788</v>
      </c>
    </row>
    <row r="4624" spans="1:2" x14ac:dyDescent="0.25">
      <c r="A4624" t="s">
        <v>1026</v>
      </c>
      <c r="B4624" t="s">
        <v>6052</v>
      </c>
    </row>
    <row r="4625" spans="1:2" x14ac:dyDescent="0.25">
      <c r="A4625" t="s">
        <v>3371</v>
      </c>
      <c r="B4625" t="s">
        <v>5831</v>
      </c>
    </row>
    <row r="4626" spans="1:2" x14ac:dyDescent="0.25">
      <c r="A4626" t="s">
        <v>5344</v>
      </c>
      <c r="B4626" t="s">
        <v>5959</v>
      </c>
    </row>
    <row r="4627" spans="1:2" x14ac:dyDescent="0.25">
      <c r="A4627" t="s">
        <v>731</v>
      </c>
      <c r="B4627" t="s">
        <v>5978</v>
      </c>
    </row>
    <row r="4628" spans="1:2" x14ac:dyDescent="0.25">
      <c r="A4628" t="s">
        <v>4601</v>
      </c>
      <c r="B4628" t="s">
        <v>6035</v>
      </c>
    </row>
    <row r="4629" spans="1:2" x14ac:dyDescent="0.25">
      <c r="A4629" t="s">
        <v>5386</v>
      </c>
      <c r="B4629" t="s">
        <v>5787</v>
      </c>
    </row>
    <row r="4630" spans="1:2" x14ac:dyDescent="0.25">
      <c r="A4630" t="s">
        <v>2186</v>
      </c>
      <c r="B4630" t="s">
        <v>5713</v>
      </c>
    </row>
    <row r="4631" spans="1:2" x14ac:dyDescent="0.25">
      <c r="A4631" t="s">
        <v>3426</v>
      </c>
      <c r="B4631" t="s">
        <v>5846</v>
      </c>
    </row>
    <row r="4632" spans="1:2" x14ac:dyDescent="0.25">
      <c r="A4632" t="s">
        <v>1872</v>
      </c>
      <c r="B4632" t="s">
        <v>5925</v>
      </c>
    </row>
    <row r="4633" spans="1:2" x14ac:dyDescent="0.25">
      <c r="A4633" t="s">
        <v>2579</v>
      </c>
      <c r="B4633" t="s">
        <v>5867</v>
      </c>
    </row>
    <row r="4634" spans="1:2" x14ac:dyDescent="0.25">
      <c r="A4634" t="s">
        <v>1064</v>
      </c>
      <c r="B4634" t="s">
        <v>5757</v>
      </c>
    </row>
    <row r="4635" spans="1:2" x14ac:dyDescent="0.25">
      <c r="A4635" t="s">
        <v>1312</v>
      </c>
      <c r="B4635" t="s">
        <v>6116</v>
      </c>
    </row>
    <row r="4636" spans="1:2" x14ac:dyDescent="0.25">
      <c r="A4636" t="s">
        <v>4041</v>
      </c>
      <c r="B4636" t="s">
        <v>6242</v>
      </c>
    </row>
    <row r="4637" spans="1:2" x14ac:dyDescent="0.25">
      <c r="A4637" t="s">
        <v>4177</v>
      </c>
      <c r="B4637" t="s">
        <v>6320</v>
      </c>
    </row>
    <row r="4638" spans="1:2" x14ac:dyDescent="0.25">
      <c r="A4638" t="s">
        <v>4199</v>
      </c>
      <c r="B4638" t="s">
        <v>5787</v>
      </c>
    </row>
    <row r="4639" spans="1:2" x14ac:dyDescent="0.25">
      <c r="A4639" t="s">
        <v>4403</v>
      </c>
      <c r="B4639" t="s">
        <v>5792</v>
      </c>
    </row>
    <row r="4640" spans="1:2" x14ac:dyDescent="0.25">
      <c r="A4640" t="s">
        <v>2515</v>
      </c>
      <c r="B4640" t="s">
        <v>5866</v>
      </c>
    </row>
    <row r="4641" spans="1:2" x14ac:dyDescent="0.25">
      <c r="A4641" t="s">
        <v>4427</v>
      </c>
      <c r="B4641" t="s">
        <v>5708</v>
      </c>
    </row>
    <row r="4642" spans="1:2" x14ac:dyDescent="0.25">
      <c r="A4642" t="s">
        <v>3555</v>
      </c>
      <c r="B4642" t="s">
        <v>5795</v>
      </c>
    </row>
    <row r="4643" spans="1:2" x14ac:dyDescent="0.25">
      <c r="A4643" t="s">
        <v>892</v>
      </c>
      <c r="B4643" t="s">
        <v>5878</v>
      </c>
    </row>
    <row r="4644" spans="1:2" x14ac:dyDescent="0.25">
      <c r="A4644" t="s">
        <v>951</v>
      </c>
      <c r="B4644" t="s">
        <v>5787</v>
      </c>
    </row>
    <row r="4645" spans="1:2" x14ac:dyDescent="0.25">
      <c r="A4645" t="s">
        <v>3663</v>
      </c>
      <c r="B4645" t="s">
        <v>5787</v>
      </c>
    </row>
    <row r="4646" spans="1:2" x14ac:dyDescent="0.25">
      <c r="A4646" t="s">
        <v>1583</v>
      </c>
      <c r="B4646" t="s">
        <v>5787</v>
      </c>
    </row>
    <row r="4647" spans="1:2" x14ac:dyDescent="0.25">
      <c r="A4647" t="s">
        <v>2514</v>
      </c>
      <c r="B4647" t="s">
        <v>6529</v>
      </c>
    </row>
    <row r="4648" spans="1:2" x14ac:dyDescent="0.25">
      <c r="A4648" t="s">
        <v>4319</v>
      </c>
      <c r="B4648" t="s">
        <v>5837</v>
      </c>
    </row>
    <row r="4649" spans="1:2" x14ac:dyDescent="0.25">
      <c r="A4649" t="s">
        <v>1445</v>
      </c>
      <c r="B4649" t="s">
        <v>5730</v>
      </c>
    </row>
    <row r="4650" spans="1:2" x14ac:dyDescent="0.25">
      <c r="A4650" t="s">
        <v>4646</v>
      </c>
    </row>
    <row r="4651" spans="1:2" x14ac:dyDescent="0.25">
      <c r="A4651" t="s">
        <v>1118</v>
      </c>
      <c r="B4651" t="s">
        <v>5724</v>
      </c>
    </row>
    <row r="4652" spans="1:2" x14ac:dyDescent="0.25">
      <c r="A4652" t="s">
        <v>3122</v>
      </c>
      <c r="B4652" t="s">
        <v>5798</v>
      </c>
    </row>
    <row r="4653" spans="1:2" x14ac:dyDescent="0.25">
      <c r="A4653" t="s">
        <v>5199</v>
      </c>
      <c r="B4653" t="s">
        <v>6014</v>
      </c>
    </row>
    <row r="4654" spans="1:2" x14ac:dyDescent="0.25">
      <c r="A4654" t="s">
        <v>5204</v>
      </c>
      <c r="B4654" t="s">
        <v>5943</v>
      </c>
    </row>
    <row r="4655" spans="1:2" x14ac:dyDescent="0.25">
      <c r="A4655" t="s">
        <v>1013</v>
      </c>
      <c r="B4655" t="s">
        <v>5787</v>
      </c>
    </row>
    <row r="4656" spans="1:2" x14ac:dyDescent="0.25">
      <c r="A4656" t="s">
        <v>4106</v>
      </c>
      <c r="B4656" t="s">
        <v>5890</v>
      </c>
    </row>
    <row r="4657" spans="1:2" x14ac:dyDescent="0.25">
      <c r="A4657" t="s">
        <v>4413</v>
      </c>
      <c r="B4657" t="s">
        <v>6425</v>
      </c>
    </row>
    <row r="4658" spans="1:2" x14ac:dyDescent="0.25">
      <c r="A4658" t="s">
        <v>1789</v>
      </c>
      <c r="B4658" t="s">
        <v>6109</v>
      </c>
    </row>
    <row r="4659" spans="1:2" x14ac:dyDescent="0.25">
      <c r="A4659" t="s">
        <v>4215</v>
      </c>
      <c r="B4659" t="s">
        <v>5789</v>
      </c>
    </row>
    <row r="4660" spans="1:2" x14ac:dyDescent="0.25">
      <c r="A4660" t="s">
        <v>3368</v>
      </c>
      <c r="B4660" t="s">
        <v>5787</v>
      </c>
    </row>
    <row r="4661" spans="1:2" x14ac:dyDescent="0.25">
      <c r="A4661" t="s">
        <v>1555</v>
      </c>
      <c r="B4661">
        <v>0</v>
      </c>
    </row>
    <row r="4662" spans="1:2" x14ac:dyDescent="0.25">
      <c r="A4662" t="s">
        <v>155</v>
      </c>
      <c r="B4662" t="s">
        <v>6116</v>
      </c>
    </row>
    <row r="4663" spans="1:2" x14ac:dyDescent="0.25">
      <c r="A4663" t="s">
        <v>3219</v>
      </c>
      <c r="B4663" t="s">
        <v>5971</v>
      </c>
    </row>
    <row r="4664" spans="1:2" x14ac:dyDescent="0.25">
      <c r="A4664" t="s">
        <v>4744</v>
      </c>
      <c r="B4664" t="s">
        <v>6012</v>
      </c>
    </row>
    <row r="4665" spans="1:2" x14ac:dyDescent="0.25">
      <c r="A4665" t="s">
        <v>3405</v>
      </c>
      <c r="B4665" t="s">
        <v>5790</v>
      </c>
    </row>
    <row r="4666" spans="1:2" x14ac:dyDescent="0.25">
      <c r="A4666" t="s">
        <v>4736</v>
      </c>
      <c r="B4666" t="s">
        <v>6293</v>
      </c>
    </row>
    <row r="4667" spans="1:2" x14ac:dyDescent="0.25">
      <c r="A4667" t="s">
        <v>2853</v>
      </c>
      <c r="B4667" t="s">
        <v>6323</v>
      </c>
    </row>
    <row r="4668" spans="1:2" x14ac:dyDescent="0.25">
      <c r="A4668" t="s">
        <v>1976</v>
      </c>
      <c r="B4668" t="s">
        <v>5811</v>
      </c>
    </row>
    <row r="4669" spans="1:2" x14ac:dyDescent="0.25">
      <c r="A4669" t="s">
        <v>3065</v>
      </c>
      <c r="B4669" t="s">
        <v>5801</v>
      </c>
    </row>
    <row r="4670" spans="1:2" x14ac:dyDescent="0.25">
      <c r="A4670" t="s">
        <v>5497</v>
      </c>
      <c r="B4670" t="s">
        <v>6064</v>
      </c>
    </row>
    <row r="4671" spans="1:2" x14ac:dyDescent="0.25">
      <c r="A4671" t="s">
        <v>5323</v>
      </c>
      <c r="B4671" t="s">
        <v>6317</v>
      </c>
    </row>
    <row r="4672" spans="1:2" x14ac:dyDescent="0.25">
      <c r="A4672" t="s">
        <v>5376</v>
      </c>
      <c r="B4672" t="s">
        <v>6222</v>
      </c>
    </row>
    <row r="4673" spans="1:2" x14ac:dyDescent="0.25">
      <c r="A4673" t="s">
        <v>106</v>
      </c>
      <c r="B4673" t="s">
        <v>5885</v>
      </c>
    </row>
    <row r="4674" spans="1:2" x14ac:dyDescent="0.25">
      <c r="A4674" t="s">
        <v>3952</v>
      </c>
      <c r="B4674" t="s">
        <v>5787</v>
      </c>
    </row>
    <row r="4675" spans="1:2" x14ac:dyDescent="0.25">
      <c r="A4675" t="s">
        <v>5653</v>
      </c>
      <c r="B4675" t="s">
        <v>6170</v>
      </c>
    </row>
    <row r="4676" spans="1:2" x14ac:dyDescent="0.25">
      <c r="A4676" t="s">
        <v>407</v>
      </c>
      <c r="B4676" t="s">
        <v>5787</v>
      </c>
    </row>
    <row r="4677" spans="1:2" x14ac:dyDescent="0.25">
      <c r="A4677" t="s">
        <v>1935</v>
      </c>
      <c r="B4677" t="s">
        <v>5790</v>
      </c>
    </row>
    <row r="4678" spans="1:2" x14ac:dyDescent="0.25">
      <c r="A4678" t="s">
        <v>1560</v>
      </c>
      <c r="B4678" t="s">
        <v>5787</v>
      </c>
    </row>
    <row r="4679" spans="1:2" x14ac:dyDescent="0.25">
      <c r="A4679" t="s">
        <v>1248</v>
      </c>
      <c r="B4679" t="s">
        <v>5868</v>
      </c>
    </row>
    <row r="4680" spans="1:2" x14ac:dyDescent="0.25">
      <c r="A4680" t="s">
        <v>3466</v>
      </c>
      <c r="B4680" t="s">
        <v>6029</v>
      </c>
    </row>
    <row r="4681" spans="1:2" x14ac:dyDescent="0.25">
      <c r="A4681" t="s">
        <v>4444</v>
      </c>
      <c r="B4681" t="s">
        <v>5706</v>
      </c>
    </row>
    <row r="4682" spans="1:2" x14ac:dyDescent="0.25">
      <c r="A4682" t="s">
        <v>5140</v>
      </c>
      <c r="B4682" t="s">
        <v>6154</v>
      </c>
    </row>
    <row r="4683" spans="1:2" x14ac:dyDescent="0.25">
      <c r="A4683" t="s">
        <v>2226</v>
      </c>
      <c r="B4683" t="s">
        <v>5787</v>
      </c>
    </row>
    <row r="4684" spans="1:2" x14ac:dyDescent="0.25">
      <c r="A4684" t="s">
        <v>5504</v>
      </c>
      <c r="B4684" t="s">
        <v>6153</v>
      </c>
    </row>
    <row r="4685" spans="1:2" x14ac:dyDescent="0.25">
      <c r="A4685" t="s">
        <v>1610</v>
      </c>
      <c r="B4685" t="s">
        <v>5793</v>
      </c>
    </row>
    <row r="4686" spans="1:2" x14ac:dyDescent="0.25">
      <c r="A4686" t="s">
        <v>1662</v>
      </c>
      <c r="B4686" t="s">
        <v>5874</v>
      </c>
    </row>
    <row r="4687" spans="1:2" x14ac:dyDescent="0.25">
      <c r="A4687" t="s">
        <v>664</v>
      </c>
      <c r="B4687" t="s">
        <v>5787</v>
      </c>
    </row>
    <row r="4688" spans="1:2" x14ac:dyDescent="0.25">
      <c r="A4688" t="s">
        <v>5391</v>
      </c>
      <c r="B4688" t="s">
        <v>6706</v>
      </c>
    </row>
    <row r="4689" spans="1:2" x14ac:dyDescent="0.25">
      <c r="A4689" t="s">
        <v>2942</v>
      </c>
      <c r="B4689" t="s">
        <v>6305</v>
      </c>
    </row>
    <row r="4690" spans="1:2" x14ac:dyDescent="0.25">
      <c r="A4690" t="s">
        <v>2090</v>
      </c>
      <c r="B4690" t="s">
        <v>5997</v>
      </c>
    </row>
    <row r="4691" spans="1:2" x14ac:dyDescent="0.25">
      <c r="A4691" t="s">
        <v>4276</v>
      </c>
      <c r="B4691" t="s">
        <v>6587</v>
      </c>
    </row>
    <row r="4692" spans="1:2" x14ac:dyDescent="0.25">
      <c r="A4692" t="s">
        <v>4563</v>
      </c>
      <c r="B4692" t="s">
        <v>6340</v>
      </c>
    </row>
    <row r="4693" spans="1:2" x14ac:dyDescent="0.25">
      <c r="A4693" t="s">
        <v>677</v>
      </c>
      <c r="B4693" t="s">
        <v>6499</v>
      </c>
    </row>
    <row r="4694" spans="1:2" x14ac:dyDescent="0.25">
      <c r="A4694" t="s">
        <v>168</v>
      </c>
      <c r="B4694">
        <v>0</v>
      </c>
    </row>
    <row r="4695" spans="1:2" x14ac:dyDescent="0.25">
      <c r="A4695" t="s">
        <v>1085</v>
      </c>
      <c r="B4695" t="s">
        <v>5797</v>
      </c>
    </row>
    <row r="4696" spans="1:2" x14ac:dyDescent="0.25">
      <c r="A4696" t="s">
        <v>2731</v>
      </c>
      <c r="B4696" t="s">
        <v>5800</v>
      </c>
    </row>
    <row r="4697" spans="1:2" x14ac:dyDescent="0.25">
      <c r="A4697" t="s">
        <v>3133</v>
      </c>
      <c r="B4697" t="s">
        <v>5939</v>
      </c>
    </row>
    <row r="4698" spans="1:2" x14ac:dyDescent="0.25">
      <c r="A4698" t="s">
        <v>2659</v>
      </c>
      <c r="B4698" t="s">
        <v>6559</v>
      </c>
    </row>
    <row r="4699" spans="1:2" x14ac:dyDescent="0.25">
      <c r="A4699" t="s">
        <v>2723</v>
      </c>
    </row>
    <row r="4700" spans="1:2" x14ac:dyDescent="0.25">
      <c r="A4700" t="s">
        <v>1741</v>
      </c>
      <c r="B4700" t="s">
        <v>6037</v>
      </c>
    </row>
    <row r="4701" spans="1:2" x14ac:dyDescent="0.25">
      <c r="A4701" t="s">
        <v>1049</v>
      </c>
      <c r="B4701" t="s">
        <v>5796</v>
      </c>
    </row>
    <row r="4702" spans="1:2" x14ac:dyDescent="0.25">
      <c r="A4702" t="s">
        <v>4312</v>
      </c>
      <c r="B4702" t="s">
        <v>6581</v>
      </c>
    </row>
    <row r="4703" spans="1:2" x14ac:dyDescent="0.25">
      <c r="A4703" t="s">
        <v>5217</v>
      </c>
      <c r="B4703" t="s">
        <v>6767</v>
      </c>
    </row>
    <row r="4704" spans="1:2" x14ac:dyDescent="0.25">
      <c r="A4704" t="s">
        <v>3433</v>
      </c>
      <c r="B4704" t="s">
        <v>5842</v>
      </c>
    </row>
    <row r="4705" spans="1:2" x14ac:dyDescent="0.25">
      <c r="A4705" t="s">
        <v>116</v>
      </c>
      <c r="B4705">
        <v>0</v>
      </c>
    </row>
    <row r="4706" spans="1:2" x14ac:dyDescent="0.25">
      <c r="A4706" t="s">
        <v>3295</v>
      </c>
      <c r="B4706" t="s">
        <v>6285</v>
      </c>
    </row>
    <row r="4707" spans="1:2" x14ac:dyDescent="0.25">
      <c r="A4707" t="s">
        <v>3922</v>
      </c>
      <c r="B4707" t="s">
        <v>6498</v>
      </c>
    </row>
    <row r="4708" spans="1:2" x14ac:dyDescent="0.25">
      <c r="A4708" t="s">
        <v>2033</v>
      </c>
      <c r="B4708" t="s">
        <v>5770</v>
      </c>
    </row>
    <row r="4709" spans="1:2" x14ac:dyDescent="0.25">
      <c r="A4709" t="s">
        <v>1689</v>
      </c>
      <c r="B4709" t="s">
        <v>5912</v>
      </c>
    </row>
    <row r="4710" spans="1:2" x14ac:dyDescent="0.25">
      <c r="A4710" t="s">
        <v>1709</v>
      </c>
      <c r="B4710" t="s">
        <v>5711</v>
      </c>
    </row>
    <row r="4711" spans="1:2" x14ac:dyDescent="0.25">
      <c r="A4711" t="s">
        <v>2384</v>
      </c>
      <c r="B4711" t="s">
        <v>6021</v>
      </c>
    </row>
    <row r="4712" spans="1:2" x14ac:dyDescent="0.25">
      <c r="A4712" t="s">
        <v>3547</v>
      </c>
      <c r="B4712" t="s">
        <v>6165</v>
      </c>
    </row>
    <row r="4713" spans="1:2" x14ac:dyDescent="0.25">
      <c r="A4713" t="s">
        <v>4345</v>
      </c>
      <c r="B4713" t="s">
        <v>6126</v>
      </c>
    </row>
    <row r="4714" spans="1:2" x14ac:dyDescent="0.25">
      <c r="A4714" t="s">
        <v>1279</v>
      </c>
      <c r="B4714" t="s">
        <v>5787</v>
      </c>
    </row>
    <row r="4715" spans="1:2" x14ac:dyDescent="0.25">
      <c r="A4715" t="s">
        <v>1481</v>
      </c>
      <c r="B4715" t="s">
        <v>6678</v>
      </c>
    </row>
    <row r="4716" spans="1:2" x14ac:dyDescent="0.25">
      <c r="A4716" t="s">
        <v>2548</v>
      </c>
      <c r="B4716" t="s">
        <v>5872</v>
      </c>
    </row>
    <row r="4717" spans="1:2" x14ac:dyDescent="0.25">
      <c r="A4717" t="s">
        <v>2319</v>
      </c>
      <c r="B4717" t="s">
        <v>5900</v>
      </c>
    </row>
    <row r="4718" spans="1:2" x14ac:dyDescent="0.25">
      <c r="A4718" t="s">
        <v>2248</v>
      </c>
      <c r="B4718" t="s">
        <v>5999</v>
      </c>
    </row>
    <row r="4719" spans="1:2" x14ac:dyDescent="0.25">
      <c r="A4719" t="s">
        <v>5669</v>
      </c>
      <c r="B4719" t="s">
        <v>5790</v>
      </c>
    </row>
    <row r="4720" spans="1:2" x14ac:dyDescent="0.25">
      <c r="A4720" t="s">
        <v>2068</v>
      </c>
      <c r="B4720" t="s">
        <v>6070</v>
      </c>
    </row>
    <row r="4721" spans="1:2" x14ac:dyDescent="0.25">
      <c r="A4721" t="s">
        <v>3669</v>
      </c>
      <c r="B4721" t="s">
        <v>5832</v>
      </c>
    </row>
    <row r="4722" spans="1:2" x14ac:dyDescent="0.25">
      <c r="A4722" t="s">
        <v>3066</v>
      </c>
      <c r="B4722" t="s">
        <v>6541</v>
      </c>
    </row>
    <row r="4723" spans="1:2" x14ac:dyDescent="0.25">
      <c r="A4723" t="s">
        <v>4805</v>
      </c>
      <c r="B4723" t="s">
        <v>6364</v>
      </c>
    </row>
    <row r="4724" spans="1:2" x14ac:dyDescent="0.25">
      <c r="A4724" t="s">
        <v>4716</v>
      </c>
      <c r="B4724" t="s">
        <v>5788</v>
      </c>
    </row>
    <row r="4725" spans="1:2" x14ac:dyDescent="0.25">
      <c r="A4725" t="s">
        <v>1988</v>
      </c>
      <c r="B4725" t="s">
        <v>6255</v>
      </c>
    </row>
    <row r="4726" spans="1:2" x14ac:dyDescent="0.25">
      <c r="A4726" t="s">
        <v>1401</v>
      </c>
      <c r="B4726" t="s">
        <v>5922</v>
      </c>
    </row>
    <row r="4727" spans="1:2" x14ac:dyDescent="0.25">
      <c r="A4727" t="s">
        <v>5030</v>
      </c>
      <c r="B4727" t="s">
        <v>6188</v>
      </c>
    </row>
    <row r="4728" spans="1:2" x14ac:dyDescent="0.25">
      <c r="A4728" t="s">
        <v>2977</v>
      </c>
      <c r="B4728" t="s">
        <v>5778</v>
      </c>
    </row>
    <row r="4729" spans="1:2" x14ac:dyDescent="0.25">
      <c r="A4729" t="s">
        <v>5388</v>
      </c>
      <c r="B4729" t="s">
        <v>6170</v>
      </c>
    </row>
    <row r="4730" spans="1:2" x14ac:dyDescent="0.25">
      <c r="A4730" t="s">
        <v>1488</v>
      </c>
      <c r="B4730" t="s">
        <v>5848</v>
      </c>
    </row>
    <row r="4731" spans="1:2" x14ac:dyDescent="0.25">
      <c r="A4731" t="s">
        <v>1749</v>
      </c>
      <c r="B4731" t="s">
        <v>6377</v>
      </c>
    </row>
    <row r="4732" spans="1:2" x14ac:dyDescent="0.25">
      <c r="A4732" t="s">
        <v>1699</v>
      </c>
      <c r="B4732" t="s">
        <v>6725</v>
      </c>
    </row>
    <row r="4733" spans="1:2" x14ac:dyDescent="0.25">
      <c r="A4733" t="s">
        <v>693</v>
      </c>
      <c r="B4733" t="s">
        <v>5787</v>
      </c>
    </row>
    <row r="4734" spans="1:2" x14ac:dyDescent="0.25">
      <c r="A4734" t="s">
        <v>4394</v>
      </c>
      <c r="B4734" t="s">
        <v>5787</v>
      </c>
    </row>
    <row r="4735" spans="1:2" x14ac:dyDescent="0.25">
      <c r="A4735" t="s">
        <v>1515</v>
      </c>
      <c r="B4735" t="s">
        <v>6774</v>
      </c>
    </row>
    <row r="4736" spans="1:2" x14ac:dyDescent="0.25">
      <c r="A4736" t="s">
        <v>1106</v>
      </c>
      <c r="B4736" t="s">
        <v>5787</v>
      </c>
    </row>
    <row r="4737" spans="1:2" x14ac:dyDescent="0.25">
      <c r="A4737" t="s">
        <v>1094</v>
      </c>
      <c r="B4737" t="s">
        <v>5787</v>
      </c>
    </row>
    <row r="4738" spans="1:2" x14ac:dyDescent="0.25">
      <c r="A4738" t="s">
        <v>3181</v>
      </c>
      <c r="B4738" t="s">
        <v>5787</v>
      </c>
    </row>
    <row r="4739" spans="1:2" x14ac:dyDescent="0.25">
      <c r="A4739" t="s">
        <v>3644</v>
      </c>
      <c r="B4739" t="s">
        <v>6503</v>
      </c>
    </row>
    <row r="4740" spans="1:2" x14ac:dyDescent="0.25">
      <c r="A4740" t="s">
        <v>2132</v>
      </c>
      <c r="B4740" t="s">
        <v>6319</v>
      </c>
    </row>
    <row r="4741" spans="1:2" x14ac:dyDescent="0.25">
      <c r="A4741" t="s">
        <v>1479</v>
      </c>
      <c r="B4741" t="s">
        <v>5708</v>
      </c>
    </row>
    <row r="4742" spans="1:2" x14ac:dyDescent="0.25">
      <c r="A4742" t="s">
        <v>1354</v>
      </c>
      <c r="B4742" t="s">
        <v>5930</v>
      </c>
    </row>
    <row r="4743" spans="1:2" x14ac:dyDescent="0.25">
      <c r="A4743" t="s">
        <v>2630</v>
      </c>
      <c r="B4743" t="s">
        <v>6658</v>
      </c>
    </row>
    <row r="4744" spans="1:2" x14ac:dyDescent="0.25">
      <c r="A4744" t="s">
        <v>795</v>
      </c>
      <c r="B4744" t="s">
        <v>6044</v>
      </c>
    </row>
    <row r="4745" spans="1:2" x14ac:dyDescent="0.25">
      <c r="A4745" t="s">
        <v>3757</v>
      </c>
      <c r="B4745" t="s">
        <v>5787</v>
      </c>
    </row>
    <row r="4746" spans="1:2" x14ac:dyDescent="0.25">
      <c r="A4746" t="s">
        <v>3026</v>
      </c>
      <c r="B4746" t="s">
        <v>5804</v>
      </c>
    </row>
    <row r="4747" spans="1:2" x14ac:dyDescent="0.25">
      <c r="A4747" t="s">
        <v>4681</v>
      </c>
      <c r="B4747" t="s">
        <v>5880</v>
      </c>
    </row>
    <row r="4748" spans="1:2" x14ac:dyDescent="0.25">
      <c r="A4748" t="s">
        <v>5321</v>
      </c>
      <c r="B4748" t="s">
        <v>5923</v>
      </c>
    </row>
    <row r="4749" spans="1:2" x14ac:dyDescent="0.25">
      <c r="A4749" t="s">
        <v>2271</v>
      </c>
      <c r="B4749" t="s">
        <v>5787</v>
      </c>
    </row>
    <row r="4750" spans="1:2" x14ac:dyDescent="0.25">
      <c r="A4750" t="s">
        <v>2302</v>
      </c>
      <c r="B4750" t="s">
        <v>5728</v>
      </c>
    </row>
    <row r="4751" spans="1:2" x14ac:dyDescent="0.25">
      <c r="A4751" t="s">
        <v>859</v>
      </c>
      <c r="B4751" t="s">
        <v>5787</v>
      </c>
    </row>
    <row r="4752" spans="1:2" x14ac:dyDescent="0.25">
      <c r="A4752" t="s">
        <v>3783</v>
      </c>
      <c r="B4752" t="s">
        <v>6313</v>
      </c>
    </row>
    <row r="4753" spans="1:2" x14ac:dyDescent="0.25">
      <c r="A4753" t="s">
        <v>2127</v>
      </c>
      <c r="B4753" t="s">
        <v>5711</v>
      </c>
    </row>
    <row r="4754" spans="1:2" x14ac:dyDescent="0.25">
      <c r="A4754" t="s">
        <v>1274</v>
      </c>
      <c r="B4754" t="s">
        <v>5787</v>
      </c>
    </row>
    <row r="4755" spans="1:2" x14ac:dyDescent="0.25">
      <c r="A4755" t="s">
        <v>4967</v>
      </c>
      <c r="B4755" t="s">
        <v>5802</v>
      </c>
    </row>
    <row r="4756" spans="1:2" x14ac:dyDescent="0.25">
      <c r="A4756" t="s">
        <v>1109</v>
      </c>
      <c r="B4756" t="s">
        <v>5788</v>
      </c>
    </row>
    <row r="4757" spans="1:2" x14ac:dyDescent="0.25">
      <c r="A4757" t="s">
        <v>2391</v>
      </c>
      <c r="B4757" t="s">
        <v>6239</v>
      </c>
    </row>
    <row r="4758" spans="1:2" x14ac:dyDescent="0.25">
      <c r="A4758" t="s">
        <v>1044</v>
      </c>
      <c r="B4758" t="s">
        <v>5787</v>
      </c>
    </row>
    <row r="4759" spans="1:2" x14ac:dyDescent="0.25">
      <c r="A4759" t="s">
        <v>1698</v>
      </c>
      <c r="B4759" t="s">
        <v>5874</v>
      </c>
    </row>
    <row r="4760" spans="1:2" x14ac:dyDescent="0.25">
      <c r="A4760" t="s">
        <v>938</v>
      </c>
      <c r="B4760" t="s">
        <v>5847</v>
      </c>
    </row>
    <row r="4761" spans="1:2" x14ac:dyDescent="0.25">
      <c r="A4761" t="s">
        <v>2776</v>
      </c>
      <c r="B4761" t="s">
        <v>5788</v>
      </c>
    </row>
    <row r="4762" spans="1:2" x14ac:dyDescent="0.25">
      <c r="A4762" t="s">
        <v>209</v>
      </c>
      <c r="B4762" t="s">
        <v>5810</v>
      </c>
    </row>
    <row r="4763" spans="1:2" x14ac:dyDescent="0.25">
      <c r="A4763" t="s">
        <v>2673</v>
      </c>
      <c r="B4763" t="s">
        <v>6492</v>
      </c>
    </row>
    <row r="4764" spans="1:2" x14ac:dyDescent="0.25">
      <c r="A4764" t="s">
        <v>50</v>
      </c>
      <c r="B4764">
        <v>0</v>
      </c>
    </row>
    <row r="4765" spans="1:2" x14ac:dyDescent="0.25">
      <c r="A4765" t="s">
        <v>4722</v>
      </c>
      <c r="B4765" t="s">
        <v>6417</v>
      </c>
    </row>
    <row r="4766" spans="1:2" x14ac:dyDescent="0.25">
      <c r="A4766" t="s">
        <v>1568</v>
      </c>
      <c r="B4766" t="s">
        <v>5902</v>
      </c>
    </row>
    <row r="4767" spans="1:2" x14ac:dyDescent="0.25">
      <c r="A4767" t="s">
        <v>3778</v>
      </c>
      <c r="B4767" t="s">
        <v>6512</v>
      </c>
    </row>
    <row r="4768" spans="1:2" x14ac:dyDescent="0.25">
      <c r="A4768" t="s">
        <v>5601</v>
      </c>
      <c r="B4768" t="s">
        <v>5787</v>
      </c>
    </row>
    <row r="4769" spans="1:2" x14ac:dyDescent="0.25">
      <c r="A4769" t="s">
        <v>1261</v>
      </c>
      <c r="B4769" t="s">
        <v>5787</v>
      </c>
    </row>
    <row r="4770" spans="1:2" x14ac:dyDescent="0.25">
      <c r="A4770" t="s">
        <v>5128</v>
      </c>
      <c r="B4770" t="s">
        <v>5789</v>
      </c>
    </row>
    <row r="4771" spans="1:2" x14ac:dyDescent="0.25">
      <c r="A4771" t="s">
        <v>1411</v>
      </c>
      <c r="B4771" t="s">
        <v>5809</v>
      </c>
    </row>
    <row r="4772" spans="1:2" x14ac:dyDescent="0.25">
      <c r="A4772" t="s">
        <v>455</v>
      </c>
      <c r="B4772" t="s">
        <v>5839</v>
      </c>
    </row>
    <row r="4773" spans="1:2" x14ac:dyDescent="0.25">
      <c r="A4773" t="s">
        <v>4786</v>
      </c>
      <c r="B4773" t="s">
        <v>5787</v>
      </c>
    </row>
    <row r="4774" spans="1:2" x14ac:dyDescent="0.25">
      <c r="A4774" t="s">
        <v>1897</v>
      </c>
      <c r="B4774" t="s">
        <v>6106</v>
      </c>
    </row>
    <row r="4775" spans="1:2" x14ac:dyDescent="0.25">
      <c r="A4775" t="s">
        <v>12007</v>
      </c>
      <c r="B4775" t="s">
        <v>6555</v>
      </c>
    </row>
    <row r="4776" spans="1:2" x14ac:dyDescent="0.25">
      <c r="A4776" t="s">
        <v>423</v>
      </c>
      <c r="B4776" t="s">
        <v>5911</v>
      </c>
    </row>
    <row r="4777" spans="1:2" x14ac:dyDescent="0.25">
      <c r="A4777" t="s">
        <v>4183</v>
      </c>
      <c r="B4777" t="s">
        <v>6221</v>
      </c>
    </row>
    <row r="4778" spans="1:2" x14ac:dyDescent="0.25">
      <c r="A4778" t="s">
        <v>2398</v>
      </c>
      <c r="B4778" t="s">
        <v>6105</v>
      </c>
    </row>
    <row r="4779" spans="1:2" x14ac:dyDescent="0.25">
      <c r="A4779" t="s">
        <v>445</v>
      </c>
      <c r="B4779" t="s">
        <v>5827</v>
      </c>
    </row>
    <row r="4780" spans="1:2" x14ac:dyDescent="0.25">
      <c r="A4780" t="s">
        <v>3984</v>
      </c>
      <c r="B4780" t="s">
        <v>6190</v>
      </c>
    </row>
    <row r="4781" spans="1:2" x14ac:dyDescent="0.25">
      <c r="A4781" t="s">
        <v>97</v>
      </c>
      <c r="B4781" t="s">
        <v>5899</v>
      </c>
    </row>
    <row r="4782" spans="1:2" x14ac:dyDescent="0.25">
      <c r="A4782" t="s">
        <v>12019</v>
      </c>
      <c r="B4782" t="s">
        <v>5899</v>
      </c>
    </row>
    <row r="4783" spans="1:2" x14ac:dyDescent="0.25">
      <c r="A4783" t="s">
        <v>3346</v>
      </c>
      <c r="B4783" t="s">
        <v>5798</v>
      </c>
    </row>
    <row r="4784" spans="1:2" x14ac:dyDescent="0.25">
      <c r="A4784" t="s">
        <v>4623</v>
      </c>
      <c r="B4784" t="s">
        <v>5757</v>
      </c>
    </row>
    <row r="4785" spans="1:2" x14ac:dyDescent="0.25">
      <c r="A4785" t="s">
        <v>126</v>
      </c>
      <c r="B4785" t="s">
        <v>5757</v>
      </c>
    </row>
    <row r="4786" spans="1:2" x14ac:dyDescent="0.25">
      <c r="A4786" t="s">
        <v>242</v>
      </c>
      <c r="B4786" t="s">
        <v>5757</v>
      </c>
    </row>
    <row r="4787" spans="1:2" x14ac:dyDescent="0.25">
      <c r="A4787" t="s">
        <v>1547</v>
      </c>
      <c r="B4787" t="s">
        <v>5886</v>
      </c>
    </row>
    <row r="4788" spans="1:2" x14ac:dyDescent="0.25">
      <c r="A4788" t="s">
        <v>3617</v>
      </c>
      <c r="B4788" t="s">
        <v>5837</v>
      </c>
    </row>
    <row r="4789" spans="1:2" x14ac:dyDescent="0.25">
      <c r="A4789" t="s">
        <v>2038</v>
      </c>
      <c r="B4789" t="s">
        <v>5790</v>
      </c>
    </row>
    <row r="4790" spans="1:2" x14ac:dyDescent="0.25">
      <c r="A4790" t="s">
        <v>2439</v>
      </c>
      <c r="B4790" t="s">
        <v>5787</v>
      </c>
    </row>
    <row r="4791" spans="1:2" x14ac:dyDescent="0.25">
      <c r="A4791" t="s">
        <v>3441</v>
      </c>
      <c r="B4791" t="s">
        <v>5941</v>
      </c>
    </row>
    <row r="4792" spans="1:2" x14ac:dyDescent="0.25">
      <c r="A4792" t="s">
        <v>12026</v>
      </c>
      <c r="B4792" t="s">
        <v>6195</v>
      </c>
    </row>
    <row r="4793" spans="1:2" x14ac:dyDescent="0.25">
      <c r="A4793" t="s">
        <v>5078</v>
      </c>
      <c r="B4793" t="s">
        <v>5706</v>
      </c>
    </row>
    <row r="4794" spans="1:2" x14ac:dyDescent="0.25">
      <c r="A4794" t="s">
        <v>12028</v>
      </c>
      <c r="B4794" t="s">
        <v>5963</v>
      </c>
    </row>
    <row r="4795" spans="1:2" x14ac:dyDescent="0.25">
      <c r="A4795" t="s">
        <v>2072</v>
      </c>
      <c r="B4795" t="s">
        <v>5750</v>
      </c>
    </row>
    <row r="4796" spans="1:2" x14ac:dyDescent="0.25">
      <c r="A4796" t="s">
        <v>721</v>
      </c>
      <c r="B4796" t="s">
        <v>5794</v>
      </c>
    </row>
    <row r="4797" spans="1:2" x14ac:dyDescent="0.25">
      <c r="A4797" t="s">
        <v>4742</v>
      </c>
      <c r="B4797" t="s">
        <v>5821</v>
      </c>
    </row>
    <row r="4798" spans="1:2" x14ac:dyDescent="0.25">
      <c r="A4798" t="s">
        <v>5176</v>
      </c>
      <c r="B4798" t="s">
        <v>5799</v>
      </c>
    </row>
    <row r="4799" spans="1:2" x14ac:dyDescent="0.25">
      <c r="A4799" t="s">
        <v>5057</v>
      </c>
      <c r="B4799" t="s">
        <v>5856</v>
      </c>
    </row>
    <row r="4800" spans="1:2" x14ac:dyDescent="0.25">
      <c r="A4800" t="s">
        <v>5524</v>
      </c>
      <c r="B4800" t="s">
        <v>6472</v>
      </c>
    </row>
    <row r="4801" spans="1:2" x14ac:dyDescent="0.25">
      <c r="A4801" t="s">
        <v>1181</v>
      </c>
      <c r="B4801" t="s">
        <v>6169</v>
      </c>
    </row>
    <row r="4802" spans="1:2" x14ac:dyDescent="0.25">
      <c r="A4802" t="s">
        <v>5456</v>
      </c>
      <c r="B4802" t="s">
        <v>5789</v>
      </c>
    </row>
    <row r="4803" spans="1:2" x14ac:dyDescent="0.25">
      <c r="A4803" t="s">
        <v>3413</v>
      </c>
      <c r="B4803" t="s">
        <v>5808</v>
      </c>
    </row>
    <row r="4804" spans="1:2" x14ac:dyDescent="0.25">
      <c r="A4804" t="s">
        <v>1553</v>
      </c>
      <c r="B4804" t="s">
        <v>5790</v>
      </c>
    </row>
    <row r="4805" spans="1:2" x14ac:dyDescent="0.25">
      <c r="A4805" t="s">
        <v>4461</v>
      </c>
      <c r="B4805" t="s">
        <v>5719</v>
      </c>
    </row>
    <row r="4806" spans="1:2" x14ac:dyDescent="0.25">
      <c r="A4806" t="s">
        <v>2146</v>
      </c>
      <c r="B4806" t="s">
        <v>5835</v>
      </c>
    </row>
    <row r="4807" spans="1:2" x14ac:dyDescent="0.25">
      <c r="A4807" t="s">
        <v>1296</v>
      </c>
      <c r="B4807" t="s">
        <v>5974</v>
      </c>
    </row>
    <row r="4808" spans="1:2" x14ac:dyDescent="0.25">
      <c r="A4808" t="s">
        <v>1292</v>
      </c>
      <c r="B4808" t="s">
        <v>5719</v>
      </c>
    </row>
    <row r="4809" spans="1:2" x14ac:dyDescent="0.25">
      <c r="A4809" t="s">
        <v>1410</v>
      </c>
      <c r="B4809" t="s">
        <v>5778</v>
      </c>
    </row>
    <row r="4810" spans="1:2" x14ac:dyDescent="0.25">
      <c r="A4810" t="s">
        <v>2672</v>
      </c>
      <c r="B4810">
        <v>0</v>
      </c>
    </row>
    <row r="4811" spans="1:2" x14ac:dyDescent="0.25">
      <c r="A4811" t="s">
        <v>310</v>
      </c>
      <c r="B4811" t="s">
        <v>5747</v>
      </c>
    </row>
    <row r="4812" spans="1:2" x14ac:dyDescent="0.25">
      <c r="A4812" t="s">
        <v>4472</v>
      </c>
      <c r="B4812" t="s">
        <v>5744</v>
      </c>
    </row>
    <row r="4813" spans="1:2" x14ac:dyDescent="0.25">
      <c r="A4813" t="s">
        <v>704</v>
      </c>
      <c r="B4813" t="s">
        <v>5787</v>
      </c>
    </row>
    <row r="4814" spans="1:2" x14ac:dyDescent="0.25">
      <c r="A4814" t="s">
        <v>1999</v>
      </c>
      <c r="B4814" t="s">
        <v>6278</v>
      </c>
    </row>
    <row r="4815" spans="1:2" x14ac:dyDescent="0.25">
      <c r="A4815" t="s">
        <v>2926</v>
      </c>
      <c r="B4815" t="s">
        <v>5787</v>
      </c>
    </row>
    <row r="4816" spans="1:2" x14ac:dyDescent="0.25">
      <c r="A4816" t="s">
        <v>1771</v>
      </c>
      <c r="B4816" t="s">
        <v>6161</v>
      </c>
    </row>
    <row r="4817" spans="1:2" x14ac:dyDescent="0.25">
      <c r="A4817" t="s">
        <v>4146</v>
      </c>
      <c r="B4817" t="s">
        <v>5787</v>
      </c>
    </row>
    <row r="4818" spans="1:2" x14ac:dyDescent="0.25">
      <c r="A4818" t="s">
        <v>1544</v>
      </c>
      <c r="B4818" t="s">
        <v>5794</v>
      </c>
    </row>
    <row r="4819" spans="1:2" x14ac:dyDescent="0.25">
      <c r="A4819" t="s">
        <v>3830</v>
      </c>
      <c r="B4819" t="s">
        <v>5787</v>
      </c>
    </row>
    <row r="4820" spans="1:2" x14ac:dyDescent="0.25">
      <c r="A4820" t="s">
        <v>2951</v>
      </c>
      <c r="B4820" t="s">
        <v>5754</v>
      </c>
    </row>
    <row r="4821" spans="1:2" x14ac:dyDescent="0.25">
      <c r="A4821" t="s">
        <v>4115</v>
      </c>
      <c r="B4821" t="s">
        <v>5853</v>
      </c>
    </row>
    <row r="4822" spans="1:2" x14ac:dyDescent="0.25">
      <c r="A4822" t="s">
        <v>839</v>
      </c>
      <c r="B4822" t="s">
        <v>6655</v>
      </c>
    </row>
    <row r="4823" spans="1:2" x14ac:dyDescent="0.25">
      <c r="A4823" t="s">
        <v>1046</v>
      </c>
      <c r="B4823" t="s">
        <v>6064</v>
      </c>
    </row>
    <row r="4824" spans="1:2" x14ac:dyDescent="0.25">
      <c r="A4824" t="s">
        <v>5368</v>
      </c>
      <c r="B4824" t="s">
        <v>5959</v>
      </c>
    </row>
    <row r="4825" spans="1:2" x14ac:dyDescent="0.25">
      <c r="A4825" t="s">
        <v>684</v>
      </c>
      <c r="B4825" t="s">
        <v>6160</v>
      </c>
    </row>
    <row r="4826" spans="1:2" x14ac:dyDescent="0.25">
      <c r="A4826" t="s">
        <v>2180</v>
      </c>
      <c r="B4826" t="s">
        <v>5787</v>
      </c>
    </row>
    <row r="4827" spans="1:2" x14ac:dyDescent="0.25">
      <c r="A4827" t="s">
        <v>4534</v>
      </c>
      <c r="B4827" t="s">
        <v>5754</v>
      </c>
    </row>
    <row r="4828" spans="1:2" x14ac:dyDescent="0.25">
      <c r="A4828" t="s">
        <v>276</v>
      </c>
      <c r="B4828">
        <v>0</v>
      </c>
    </row>
    <row r="4829" spans="1:2" x14ac:dyDescent="0.25">
      <c r="A4829" t="s">
        <v>2307</v>
      </c>
      <c r="B4829" t="s">
        <v>5931</v>
      </c>
    </row>
    <row r="4830" spans="1:2" x14ac:dyDescent="0.25">
      <c r="A4830" t="s">
        <v>3944</v>
      </c>
      <c r="B4830" t="s">
        <v>5713</v>
      </c>
    </row>
    <row r="4831" spans="1:2" x14ac:dyDescent="0.25">
      <c r="A4831" t="s">
        <v>5361</v>
      </c>
      <c r="B4831" t="s">
        <v>6291</v>
      </c>
    </row>
    <row r="4832" spans="1:2" x14ac:dyDescent="0.25">
      <c r="A4832" t="s">
        <v>2206</v>
      </c>
      <c r="B4832" t="s">
        <v>5706</v>
      </c>
    </row>
    <row r="4833" spans="1:2" x14ac:dyDescent="0.25">
      <c r="A4833" t="s">
        <v>2611</v>
      </c>
      <c r="B4833" t="s">
        <v>5787</v>
      </c>
    </row>
    <row r="4834" spans="1:2" x14ac:dyDescent="0.25">
      <c r="A4834" t="s">
        <v>808</v>
      </c>
      <c r="B4834" t="s">
        <v>5869</v>
      </c>
    </row>
    <row r="4835" spans="1:2" x14ac:dyDescent="0.25">
      <c r="A4835" t="s">
        <v>5148</v>
      </c>
      <c r="B4835" t="s">
        <v>6604</v>
      </c>
    </row>
    <row r="4836" spans="1:2" x14ac:dyDescent="0.25">
      <c r="A4836" t="s">
        <v>660</v>
      </c>
      <c r="B4836" t="s">
        <v>5750</v>
      </c>
    </row>
    <row r="4837" spans="1:2" x14ac:dyDescent="0.25">
      <c r="A4837" t="s">
        <v>1264</v>
      </c>
      <c r="B4837" t="s">
        <v>5788</v>
      </c>
    </row>
    <row r="4838" spans="1:2" x14ac:dyDescent="0.25">
      <c r="A4838" t="s">
        <v>2843</v>
      </c>
      <c r="B4838" t="s">
        <v>5787</v>
      </c>
    </row>
    <row r="4839" spans="1:2" x14ac:dyDescent="0.25">
      <c r="A4839" t="s">
        <v>3712</v>
      </c>
      <c r="B4839" t="s">
        <v>5787</v>
      </c>
    </row>
    <row r="4840" spans="1:2" x14ac:dyDescent="0.25">
      <c r="A4840" t="s">
        <v>4386</v>
      </c>
      <c r="B4840" t="s">
        <v>5854</v>
      </c>
    </row>
    <row r="4841" spans="1:2" x14ac:dyDescent="0.25">
      <c r="A4841" t="s">
        <v>2557</v>
      </c>
      <c r="B4841" t="s">
        <v>6638</v>
      </c>
    </row>
    <row r="4842" spans="1:2" x14ac:dyDescent="0.25">
      <c r="A4842" t="s">
        <v>4337</v>
      </c>
      <c r="B4842" t="s">
        <v>5787</v>
      </c>
    </row>
    <row r="4843" spans="1:2" x14ac:dyDescent="0.25">
      <c r="A4843" t="s">
        <v>4622</v>
      </c>
      <c r="B4843" t="s">
        <v>5861</v>
      </c>
    </row>
    <row r="4844" spans="1:2" x14ac:dyDescent="0.25">
      <c r="A4844" t="s">
        <v>2859</v>
      </c>
      <c r="B4844" t="s">
        <v>5862</v>
      </c>
    </row>
    <row r="4845" spans="1:2" x14ac:dyDescent="0.25">
      <c r="A4845" t="s">
        <v>2272</v>
      </c>
      <c r="B4845" t="s">
        <v>5787</v>
      </c>
    </row>
    <row r="4846" spans="1:2" x14ac:dyDescent="0.25">
      <c r="A4846" t="s">
        <v>644</v>
      </c>
      <c r="B4846" t="s">
        <v>6338</v>
      </c>
    </row>
    <row r="4847" spans="1:2" x14ac:dyDescent="0.25">
      <c r="A4847" t="s">
        <v>1448</v>
      </c>
      <c r="B4847" t="s">
        <v>5832</v>
      </c>
    </row>
    <row r="4848" spans="1:2" x14ac:dyDescent="0.25">
      <c r="A4848" t="s">
        <v>1228</v>
      </c>
      <c r="B4848" t="s">
        <v>5803</v>
      </c>
    </row>
    <row r="4849" spans="1:2" x14ac:dyDescent="0.25">
      <c r="A4849" t="s">
        <v>2057</v>
      </c>
      <c r="B4849" t="s">
        <v>5809</v>
      </c>
    </row>
    <row r="4850" spans="1:2" x14ac:dyDescent="0.25">
      <c r="A4850" t="s">
        <v>3824</v>
      </c>
      <c r="B4850" t="s">
        <v>5897</v>
      </c>
    </row>
    <row r="4851" spans="1:2" x14ac:dyDescent="0.25">
      <c r="A4851" t="s">
        <v>2448</v>
      </c>
      <c r="B4851" t="s">
        <v>5737</v>
      </c>
    </row>
    <row r="4852" spans="1:2" x14ac:dyDescent="0.25">
      <c r="A4852" t="s">
        <v>3351</v>
      </c>
      <c r="B4852" t="s">
        <v>6163</v>
      </c>
    </row>
    <row r="4853" spans="1:2" x14ac:dyDescent="0.25">
      <c r="A4853" t="s">
        <v>3129</v>
      </c>
      <c r="B4853" t="s">
        <v>6197</v>
      </c>
    </row>
    <row r="4854" spans="1:2" x14ac:dyDescent="0.25">
      <c r="A4854" t="s">
        <v>697</v>
      </c>
      <c r="B4854" t="s">
        <v>5824</v>
      </c>
    </row>
    <row r="4855" spans="1:2" x14ac:dyDescent="0.25">
      <c r="A4855" t="s">
        <v>3049</v>
      </c>
      <c r="B4855" t="s">
        <v>5977</v>
      </c>
    </row>
    <row r="4856" spans="1:2" x14ac:dyDescent="0.25">
      <c r="A4856" t="s">
        <v>1434</v>
      </c>
      <c r="B4856" t="s">
        <v>5826</v>
      </c>
    </row>
    <row r="4857" spans="1:2" x14ac:dyDescent="0.25">
      <c r="A4857" t="s">
        <v>3697</v>
      </c>
      <c r="B4857" t="s">
        <v>6603</v>
      </c>
    </row>
    <row r="4858" spans="1:2" x14ac:dyDescent="0.25">
      <c r="A4858" t="s">
        <v>2813</v>
      </c>
      <c r="B4858" t="s">
        <v>5813</v>
      </c>
    </row>
    <row r="4859" spans="1:2" x14ac:dyDescent="0.25">
      <c r="A4859" t="s">
        <v>2382</v>
      </c>
      <c r="B4859" t="s">
        <v>5721</v>
      </c>
    </row>
    <row r="4860" spans="1:2" x14ac:dyDescent="0.25">
      <c r="A4860" t="s">
        <v>1443</v>
      </c>
      <c r="B4860" t="s">
        <v>5914</v>
      </c>
    </row>
    <row r="4861" spans="1:2" x14ac:dyDescent="0.25">
      <c r="A4861" t="s">
        <v>1232</v>
      </c>
      <c r="B4861" t="s">
        <v>5830</v>
      </c>
    </row>
    <row r="4862" spans="1:2" x14ac:dyDescent="0.25">
      <c r="A4862" t="s">
        <v>3896</v>
      </c>
      <c r="B4862" t="s">
        <v>6386</v>
      </c>
    </row>
    <row r="4863" spans="1:2" x14ac:dyDescent="0.25">
      <c r="A4863" t="s">
        <v>58</v>
      </c>
      <c r="B4863" t="s">
        <v>5988</v>
      </c>
    </row>
    <row r="4864" spans="1:2" x14ac:dyDescent="0.25">
      <c r="A4864" t="s">
        <v>3511</v>
      </c>
      <c r="B4864" t="s">
        <v>5787</v>
      </c>
    </row>
    <row r="4865" spans="1:2" x14ac:dyDescent="0.25">
      <c r="A4865" t="s">
        <v>4457</v>
      </c>
      <c r="B4865" t="s">
        <v>5814</v>
      </c>
    </row>
    <row r="4866" spans="1:2" x14ac:dyDescent="0.25">
      <c r="A4866" t="s">
        <v>917</v>
      </c>
      <c r="B4866">
        <v>0</v>
      </c>
    </row>
    <row r="4867" spans="1:2" x14ac:dyDescent="0.25">
      <c r="A4867" t="s">
        <v>5348</v>
      </c>
      <c r="B4867" t="s">
        <v>5787</v>
      </c>
    </row>
    <row r="4868" spans="1:2" x14ac:dyDescent="0.25">
      <c r="A4868" t="s">
        <v>1606</v>
      </c>
      <c r="B4868" t="s">
        <v>5822</v>
      </c>
    </row>
    <row r="4869" spans="1:2" x14ac:dyDescent="0.25">
      <c r="A4869" t="s">
        <v>4535</v>
      </c>
      <c r="B4869" t="s">
        <v>6018</v>
      </c>
    </row>
    <row r="4870" spans="1:2" x14ac:dyDescent="0.25">
      <c r="A4870" t="s">
        <v>2863</v>
      </c>
      <c r="B4870" t="s">
        <v>5711</v>
      </c>
    </row>
    <row r="4871" spans="1:2" x14ac:dyDescent="0.25">
      <c r="A4871" t="s">
        <v>793</v>
      </c>
      <c r="B4871" t="s">
        <v>5787</v>
      </c>
    </row>
    <row r="4872" spans="1:2" x14ac:dyDescent="0.25">
      <c r="A4872" t="s">
        <v>812</v>
      </c>
      <c r="B4872" t="s">
        <v>5787</v>
      </c>
    </row>
    <row r="4873" spans="1:2" x14ac:dyDescent="0.25">
      <c r="A4873" t="s">
        <v>3561</v>
      </c>
      <c r="B4873" t="s">
        <v>6001</v>
      </c>
    </row>
    <row r="4874" spans="1:2" x14ac:dyDescent="0.25">
      <c r="A4874" t="s">
        <v>4024</v>
      </c>
      <c r="B4874" t="s">
        <v>5930</v>
      </c>
    </row>
    <row r="4875" spans="1:2" x14ac:dyDescent="0.25">
      <c r="A4875" t="s">
        <v>656</v>
      </c>
      <c r="B4875" t="s">
        <v>6331</v>
      </c>
    </row>
    <row r="4876" spans="1:2" x14ac:dyDescent="0.25">
      <c r="A4876" t="s">
        <v>1918</v>
      </c>
      <c r="B4876" t="s">
        <v>5728</v>
      </c>
    </row>
    <row r="4877" spans="1:2" x14ac:dyDescent="0.25">
      <c r="A4877" t="s">
        <v>5561</v>
      </c>
      <c r="B4877" t="s">
        <v>5704</v>
      </c>
    </row>
    <row r="4878" spans="1:2" x14ac:dyDescent="0.25">
      <c r="A4878" t="s">
        <v>4010</v>
      </c>
      <c r="B4878" t="s">
        <v>5778</v>
      </c>
    </row>
    <row r="4879" spans="1:2" x14ac:dyDescent="0.25">
      <c r="A4879" t="s">
        <v>265</v>
      </c>
      <c r="B4879" t="s">
        <v>6004</v>
      </c>
    </row>
    <row r="4880" spans="1:2" x14ac:dyDescent="0.25">
      <c r="A4880" t="s">
        <v>3701</v>
      </c>
      <c r="B4880" t="s">
        <v>6011</v>
      </c>
    </row>
    <row r="4881" spans="1:2" x14ac:dyDescent="0.25">
      <c r="A4881" t="s">
        <v>319</v>
      </c>
      <c r="B4881" t="s">
        <v>5787</v>
      </c>
    </row>
    <row r="4882" spans="1:2" x14ac:dyDescent="0.25">
      <c r="A4882" t="s">
        <v>2658</v>
      </c>
      <c r="B4882" t="s">
        <v>5797</v>
      </c>
    </row>
    <row r="4883" spans="1:2" x14ac:dyDescent="0.25">
      <c r="A4883" t="s">
        <v>1655</v>
      </c>
      <c r="B4883" t="s">
        <v>5906</v>
      </c>
    </row>
    <row r="4884" spans="1:2" x14ac:dyDescent="0.25">
      <c r="A4884" t="s">
        <v>1197</v>
      </c>
      <c r="B4884" t="s">
        <v>5734</v>
      </c>
    </row>
    <row r="4885" spans="1:2" x14ac:dyDescent="0.25">
      <c r="A4885" t="s">
        <v>2885</v>
      </c>
      <c r="B4885" t="s">
        <v>5706</v>
      </c>
    </row>
    <row r="4886" spans="1:2" x14ac:dyDescent="0.25">
      <c r="A4886" t="s">
        <v>5477</v>
      </c>
      <c r="B4886" t="s">
        <v>6745</v>
      </c>
    </row>
    <row r="4887" spans="1:2" x14ac:dyDescent="0.25">
      <c r="A4887" t="s">
        <v>519</v>
      </c>
      <c r="B4887" t="s">
        <v>5787</v>
      </c>
    </row>
    <row r="4888" spans="1:2" x14ac:dyDescent="0.25">
      <c r="A4888" t="s">
        <v>953</v>
      </c>
      <c r="B4888" t="s">
        <v>5787</v>
      </c>
    </row>
    <row r="4889" spans="1:2" x14ac:dyDescent="0.25">
      <c r="A4889" t="s">
        <v>3062</v>
      </c>
      <c r="B4889" t="s">
        <v>5708</v>
      </c>
    </row>
    <row r="4890" spans="1:2" x14ac:dyDescent="0.25">
      <c r="A4890" t="s">
        <v>105</v>
      </c>
      <c r="B4890" t="s">
        <v>5801</v>
      </c>
    </row>
    <row r="4891" spans="1:2" x14ac:dyDescent="0.25">
      <c r="A4891" t="s">
        <v>2046</v>
      </c>
      <c r="B4891" t="s">
        <v>5788</v>
      </c>
    </row>
    <row r="4892" spans="1:2" x14ac:dyDescent="0.25">
      <c r="A4892" t="s">
        <v>631</v>
      </c>
      <c r="B4892" t="s">
        <v>5788</v>
      </c>
    </row>
    <row r="4893" spans="1:2" x14ac:dyDescent="0.25">
      <c r="A4893" t="s">
        <v>1958</v>
      </c>
      <c r="B4893" t="s">
        <v>5728</v>
      </c>
    </row>
    <row r="4894" spans="1:2" x14ac:dyDescent="0.25">
      <c r="A4894" t="s">
        <v>3257</v>
      </c>
      <c r="B4894" t="s">
        <v>5706</v>
      </c>
    </row>
    <row r="4895" spans="1:2" x14ac:dyDescent="0.25">
      <c r="A4895" t="s">
        <v>508</v>
      </c>
      <c r="B4895" t="s">
        <v>5789</v>
      </c>
    </row>
    <row r="4896" spans="1:2" x14ac:dyDescent="0.25">
      <c r="A4896" t="s">
        <v>255</v>
      </c>
      <c r="B4896" t="s">
        <v>5782</v>
      </c>
    </row>
    <row r="4897" spans="1:2" x14ac:dyDescent="0.25">
      <c r="A4897" t="s">
        <v>5383</v>
      </c>
      <c r="B4897" t="s">
        <v>6198</v>
      </c>
    </row>
    <row r="4898" spans="1:2" x14ac:dyDescent="0.25">
      <c r="A4898" t="s">
        <v>2010</v>
      </c>
      <c r="B4898" t="s">
        <v>6151</v>
      </c>
    </row>
    <row r="4899" spans="1:2" x14ac:dyDescent="0.25">
      <c r="A4899" t="s">
        <v>89</v>
      </c>
      <c r="B4899" t="s">
        <v>5834</v>
      </c>
    </row>
    <row r="4900" spans="1:2" x14ac:dyDescent="0.25">
      <c r="A4900" t="s">
        <v>1073</v>
      </c>
      <c r="B4900" t="s">
        <v>5958</v>
      </c>
    </row>
    <row r="4901" spans="1:2" x14ac:dyDescent="0.25">
      <c r="A4901" t="s">
        <v>2093</v>
      </c>
      <c r="B4901" t="s">
        <v>5752</v>
      </c>
    </row>
    <row r="4902" spans="1:2" x14ac:dyDescent="0.25">
      <c r="A4902" t="s">
        <v>4936</v>
      </c>
      <c r="B4902" t="s">
        <v>5770</v>
      </c>
    </row>
    <row r="4903" spans="1:2" x14ac:dyDescent="0.25">
      <c r="A4903" t="s">
        <v>3192</v>
      </c>
      <c r="B4903" t="s">
        <v>5708</v>
      </c>
    </row>
    <row r="4904" spans="1:2" x14ac:dyDescent="0.25">
      <c r="A4904" t="s">
        <v>4375</v>
      </c>
      <c r="B4904" t="s">
        <v>5840</v>
      </c>
    </row>
    <row r="4905" spans="1:2" x14ac:dyDescent="0.25">
      <c r="A4905" t="s">
        <v>1091</v>
      </c>
      <c r="B4905" t="s">
        <v>6089</v>
      </c>
    </row>
    <row r="4906" spans="1:2" x14ac:dyDescent="0.25">
      <c r="A4906" t="s">
        <v>3234</v>
      </c>
      <c r="B4906" t="s">
        <v>6181</v>
      </c>
    </row>
    <row r="4907" spans="1:2" x14ac:dyDescent="0.25">
      <c r="A4907" t="s">
        <v>1305</v>
      </c>
      <c r="B4907" t="s">
        <v>5704</v>
      </c>
    </row>
    <row r="4908" spans="1:2" x14ac:dyDescent="0.25">
      <c r="A4908" t="s">
        <v>2585</v>
      </c>
      <c r="B4908" t="s">
        <v>5906</v>
      </c>
    </row>
    <row r="4909" spans="1:2" x14ac:dyDescent="0.25">
      <c r="A4909" t="s">
        <v>980</v>
      </c>
      <c r="B4909" t="s">
        <v>5759</v>
      </c>
    </row>
    <row r="4910" spans="1:2" x14ac:dyDescent="0.25">
      <c r="A4910" t="s">
        <v>1909</v>
      </c>
      <c r="B4910" t="s">
        <v>5842</v>
      </c>
    </row>
    <row r="4911" spans="1:2" x14ac:dyDescent="0.25">
      <c r="A4911" t="s">
        <v>797</v>
      </c>
      <c r="B4911" t="s">
        <v>6613</v>
      </c>
    </row>
    <row r="4912" spans="1:2" x14ac:dyDescent="0.25">
      <c r="A4912" t="s">
        <v>3647</v>
      </c>
      <c r="B4912" t="s">
        <v>5711</v>
      </c>
    </row>
    <row r="4913" spans="1:2" x14ac:dyDescent="0.25">
      <c r="A4913" t="s">
        <v>773</v>
      </c>
      <c r="B4913" t="s">
        <v>5706</v>
      </c>
    </row>
    <row r="4914" spans="1:2" x14ac:dyDescent="0.25">
      <c r="A4914" t="s">
        <v>1192</v>
      </c>
      <c r="B4914" t="s">
        <v>5875</v>
      </c>
    </row>
    <row r="4915" spans="1:2" x14ac:dyDescent="0.25">
      <c r="A4915" t="s">
        <v>57</v>
      </c>
      <c r="B4915" t="s">
        <v>6030</v>
      </c>
    </row>
    <row r="4916" spans="1:2" x14ac:dyDescent="0.25">
      <c r="A4916" t="s">
        <v>3826</v>
      </c>
    </row>
    <row r="4917" spans="1:2" x14ac:dyDescent="0.25">
      <c r="A4917" t="s">
        <v>1397</v>
      </c>
      <c r="B4917" t="s">
        <v>5789</v>
      </c>
    </row>
    <row r="4918" spans="1:2" x14ac:dyDescent="0.25">
      <c r="A4918" t="s">
        <v>1210</v>
      </c>
      <c r="B4918" t="s">
        <v>6304</v>
      </c>
    </row>
    <row r="4919" spans="1:2" x14ac:dyDescent="0.25">
      <c r="A4919" t="s">
        <v>198</v>
      </c>
      <c r="B4919" t="s">
        <v>6037</v>
      </c>
    </row>
    <row r="4920" spans="1:2" x14ac:dyDescent="0.25">
      <c r="A4920" t="s">
        <v>1491</v>
      </c>
      <c r="B4920" t="s">
        <v>5811</v>
      </c>
    </row>
    <row r="4921" spans="1:2" x14ac:dyDescent="0.25">
      <c r="A4921" t="s">
        <v>1079</v>
      </c>
      <c r="B4921" t="s">
        <v>5788</v>
      </c>
    </row>
    <row r="4922" spans="1:2" x14ac:dyDescent="0.25">
      <c r="A4922" t="s">
        <v>389</v>
      </c>
      <c r="B4922" t="s">
        <v>6249</v>
      </c>
    </row>
    <row r="4923" spans="1:2" x14ac:dyDescent="0.25">
      <c r="A4923" t="s">
        <v>3546</v>
      </c>
    </row>
    <row r="4924" spans="1:2" x14ac:dyDescent="0.25">
      <c r="A4924" t="s">
        <v>1084</v>
      </c>
      <c r="B4924" t="s">
        <v>6641</v>
      </c>
    </row>
    <row r="4925" spans="1:2" x14ac:dyDescent="0.25">
      <c r="A4925" t="s">
        <v>3953</v>
      </c>
      <c r="B4925" t="s">
        <v>5799</v>
      </c>
    </row>
    <row r="4926" spans="1:2" x14ac:dyDescent="0.25">
      <c r="A4926" t="s">
        <v>993</v>
      </c>
      <c r="B4926" t="s">
        <v>5787</v>
      </c>
    </row>
    <row r="4927" spans="1:2" x14ac:dyDescent="0.25">
      <c r="A4927" t="s">
        <v>1595</v>
      </c>
      <c r="B4927" t="s">
        <v>5730</v>
      </c>
    </row>
    <row r="4928" spans="1:2" x14ac:dyDescent="0.25">
      <c r="A4928" t="s">
        <v>663</v>
      </c>
      <c r="B4928" t="s">
        <v>5706</v>
      </c>
    </row>
    <row r="4929" spans="1:2" x14ac:dyDescent="0.25">
      <c r="A4929" t="s">
        <v>4484</v>
      </c>
      <c r="B4929" t="s">
        <v>5841</v>
      </c>
    </row>
    <row r="4930" spans="1:2" x14ac:dyDescent="0.25">
      <c r="A4930" t="s">
        <v>3334</v>
      </c>
      <c r="B4930" t="s">
        <v>5719</v>
      </c>
    </row>
    <row r="4931" spans="1:2" x14ac:dyDescent="0.25">
      <c r="A4931" t="s">
        <v>5491</v>
      </c>
      <c r="B4931" t="s">
        <v>5744</v>
      </c>
    </row>
    <row r="4932" spans="1:2" x14ac:dyDescent="0.25">
      <c r="A4932" t="s">
        <v>2739</v>
      </c>
      <c r="B4932" t="s">
        <v>6057</v>
      </c>
    </row>
    <row r="4933" spans="1:2" x14ac:dyDescent="0.25">
      <c r="A4933" t="s">
        <v>254</v>
      </c>
      <c r="B4933">
        <v>0</v>
      </c>
    </row>
    <row r="4934" spans="1:2" x14ac:dyDescent="0.25">
      <c r="A4934" t="s">
        <v>17</v>
      </c>
      <c r="B4934" t="s">
        <v>5857</v>
      </c>
    </row>
    <row r="4935" spans="1:2" x14ac:dyDescent="0.25">
      <c r="A4935" t="s">
        <v>1077</v>
      </c>
      <c r="B4935" t="s">
        <v>5823</v>
      </c>
    </row>
    <row r="4936" spans="1:2" x14ac:dyDescent="0.25">
      <c r="A4936" t="s">
        <v>3769</v>
      </c>
      <c r="B4936" t="s">
        <v>5823</v>
      </c>
    </row>
    <row r="4937" spans="1:2" x14ac:dyDescent="0.25">
      <c r="A4937" t="s">
        <v>5010</v>
      </c>
      <c r="B4937" t="s">
        <v>6014</v>
      </c>
    </row>
    <row r="4938" spans="1:2" x14ac:dyDescent="0.25">
      <c r="A4938" t="s">
        <v>4232</v>
      </c>
      <c r="B4938" t="s">
        <v>5965</v>
      </c>
    </row>
    <row r="4939" spans="1:2" x14ac:dyDescent="0.25">
      <c r="A4939" t="s">
        <v>4080</v>
      </c>
      <c r="B4939" t="s">
        <v>5719</v>
      </c>
    </row>
    <row r="4940" spans="1:2" x14ac:dyDescent="0.25">
      <c r="A4940" t="s">
        <v>3604</v>
      </c>
      <c r="B4940" t="s">
        <v>5774</v>
      </c>
    </row>
    <row r="4941" spans="1:2" x14ac:dyDescent="0.25">
      <c r="A4941" t="s">
        <v>4378</v>
      </c>
      <c r="B4941" t="s">
        <v>6054</v>
      </c>
    </row>
    <row r="4942" spans="1:2" x14ac:dyDescent="0.25">
      <c r="A4942" t="s">
        <v>3923</v>
      </c>
      <c r="B4942" t="s">
        <v>6622</v>
      </c>
    </row>
    <row r="4943" spans="1:2" x14ac:dyDescent="0.25">
      <c r="A4943" t="s">
        <v>1208</v>
      </c>
      <c r="B4943" t="s">
        <v>5870</v>
      </c>
    </row>
    <row r="4944" spans="1:2" x14ac:dyDescent="0.25">
      <c r="A4944" t="s">
        <v>5638</v>
      </c>
      <c r="B4944" t="s">
        <v>5704</v>
      </c>
    </row>
    <row r="4945" spans="1:2" x14ac:dyDescent="0.25">
      <c r="A4945" t="s">
        <v>4765</v>
      </c>
      <c r="B4945" t="s">
        <v>5704</v>
      </c>
    </row>
    <row r="4946" spans="1:2" x14ac:dyDescent="0.25">
      <c r="A4946" t="s">
        <v>3596</v>
      </c>
      <c r="B4946">
        <v>0</v>
      </c>
    </row>
    <row r="4947" spans="1:2" x14ac:dyDescent="0.25">
      <c r="A4947" t="s">
        <v>4648</v>
      </c>
      <c r="B4947" t="s">
        <v>5797</v>
      </c>
    </row>
    <row r="4948" spans="1:2" x14ac:dyDescent="0.25">
      <c r="A4948" t="s">
        <v>5422</v>
      </c>
      <c r="B4948" t="s">
        <v>5787</v>
      </c>
    </row>
    <row r="4949" spans="1:2" x14ac:dyDescent="0.25">
      <c r="A4949" t="s">
        <v>10</v>
      </c>
      <c r="B4949" t="s">
        <v>5790</v>
      </c>
    </row>
    <row r="4950" spans="1:2" x14ac:dyDescent="0.25">
      <c r="A4950" t="s">
        <v>460</v>
      </c>
      <c r="B4950" t="s">
        <v>5787</v>
      </c>
    </row>
    <row r="4951" spans="1:2" x14ac:dyDescent="0.25">
      <c r="A4951" t="s">
        <v>1340</v>
      </c>
      <c r="B4951" t="s">
        <v>5807</v>
      </c>
    </row>
    <row r="4952" spans="1:2" x14ac:dyDescent="0.25">
      <c r="A4952" t="s">
        <v>5521</v>
      </c>
      <c r="B4952" t="s">
        <v>5795</v>
      </c>
    </row>
    <row r="4953" spans="1:2" x14ac:dyDescent="0.25">
      <c r="A4953" t="s">
        <v>1010</v>
      </c>
      <c r="B4953" t="s">
        <v>5754</v>
      </c>
    </row>
    <row r="4954" spans="1:2" x14ac:dyDescent="0.25">
      <c r="A4954" t="s">
        <v>339</v>
      </c>
      <c r="B4954" t="s">
        <v>5964</v>
      </c>
    </row>
    <row r="4955" spans="1:2" x14ac:dyDescent="0.25">
      <c r="A4955" t="s">
        <v>1863</v>
      </c>
      <c r="B4955" t="s">
        <v>6483</v>
      </c>
    </row>
    <row r="4956" spans="1:2" x14ac:dyDescent="0.25">
      <c r="A4956" t="s">
        <v>2886</v>
      </c>
      <c r="B4956" t="s">
        <v>5832</v>
      </c>
    </row>
    <row r="4957" spans="1:2" x14ac:dyDescent="0.25">
      <c r="A4957" t="s">
        <v>2510</v>
      </c>
      <c r="B4957" t="s">
        <v>6701</v>
      </c>
    </row>
    <row r="4958" spans="1:2" x14ac:dyDescent="0.25">
      <c r="A4958" t="s">
        <v>2675</v>
      </c>
      <c r="B4958" t="s">
        <v>5787</v>
      </c>
    </row>
    <row r="4959" spans="1:2" x14ac:dyDescent="0.25">
      <c r="A4959" t="s">
        <v>3706</v>
      </c>
      <c r="B4959" t="s">
        <v>6323</v>
      </c>
    </row>
    <row r="4960" spans="1:2" x14ac:dyDescent="0.25">
      <c r="A4960" t="s">
        <v>2013</v>
      </c>
      <c r="B4960" t="s">
        <v>6341</v>
      </c>
    </row>
    <row r="4961" spans="1:2" x14ac:dyDescent="0.25">
      <c r="A4961" t="s">
        <v>5006</v>
      </c>
      <c r="B4961" t="s">
        <v>5766</v>
      </c>
    </row>
    <row r="4962" spans="1:2" x14ac:dyDescent="0.25">
      <c r="A4962" t="s">
        <v>2359</v>
      </c>
      <c r="B4962" t="s">
        <v>6118</v>
      </c>
    </row>
    <row r="4963" spans="1:2" x14ac:dyDescent="0.25">
      <c r="A4963" t="s">
        <v>1276</v>
      </c>
      <c r="B4963" t="s">
        <v>5832</v>
      </c>
    </row>
    <row r="4964" spans="1:2" x14ac:dyDescent="0.25">
      <c r="A4964" t="s">
        <v>1042</v>
      </c>
      <c r="B4964" t="s">
        <v>5823</v>
      </c>
    </row>
    <row r="4965" spans="1:2" x14ac:dyDescent="0.25">
      <c r="A4965" t="s">
        <v>5273</v>
      </c>
      <c r="B4965" t="s">
        <v>6347</v>
      </c>
    </row>
    <row r="4966" spans="1:2" x14ac:dyDescent="0.25">
      <c r="A4966" t="s">
        <v>732</v>
      </c>
      <c r="B4966" t="s">
        <v>6248</v>
      </c>
    </row>
    <row r="4967" spans="1:2" x14ac:dyDescent="0.25">
      <c r="A4967" t="s">
        <v>3032</v>
      </c>
      <c r="B4967" t="s">
        <v>5995</v>
      </c>
    </row>
    <row r="4968" spans="1:2" x14ac:dyDescent="0.25">
      <c r="A4968" t="s">
        <v>412</v>
      </c>
      <c r="B4968" t="s">
        <v>5863</v>
      </c>
    </row>
    <row r="4969" spans="1:2" x14ac:dyDescent="0.25">
      <c r="A4969" t="s">
        <v>5731</v>
      </c>
      <c r="B4969" t="s">
        <v>5730</v>
      </c>
    </row>
    <row r="4970" spans="1:2" x14ac:dyDescent="0.25">
      <c r="A4970" t="s">
        <v>5395</v>
      </c>
      <c r="B4970" t="s">
        <v>6227</v>
      </c>
    </row>
    <row r="4971" spans="1:2" x14ac:dyDescent="0.25">
      <c r="A4971" t="s">
        <v>3523</v>
      </c>
      <c r="B4971" t="s">
        <v>5787</v>
      </c>
    </row>
    <row r="4972" spans="1:2" x14ac:dyDescent="0.25">
      <c r="A4972" t="s">
        <v>2555</v>
      </c>
      <c r="B4972" t="s">
        <v>6026</v>
      </c>
    </row>
    <row r="4973" spans="1:2" x14ac:dyDescent="0.25">
      <c r="A4973" t="s">
        <v>1924</v>
      </c>
      <c r="B4973" t="s">
        <v>5894</v>
      </c>
    </row>
    <row r="4974" spans="1:2" x14ac:dyDescent="0.25">
      <c r="A4974" t="s">
        <v>2501</v>
      </c>
      <c r="B4974" t="s">
        <v>5972</v>
      </c>
    </row>
    <row r="4975" spans="1:2" x14ac:dyDescent="0.25">
      <c r="A4975" t="s">
        <v>2327</v>
      </c>
      <c r="B4975" t="s">
        <v>5787</v>
      </c>
    </row>
    <row r="4976" spans="1:2" x14ac:dyDescent="0.25">
      <c r="A4976" t="s">
        <v>2537</v>
      </c>
      <c r="B4976" t="s">
        <v>5730</v>
      </c>
    </row>
    <row r="4977" spans="1:2" x14ac:dyDescent="0.25">
      <c r="A4977" t="s">
        <v>3009</v>
      </c>
      <c r="B4977" t="s">
        <v>5706</v>
      </c>
    </row>
    <row r="4978" spans="1:2" x14ac:dyDescent="0.25">
      <c r="A4978" t="s">
        <v>1717</v>
      </c>
      <c r="B4978" t="s">
        <v>5850</v>
      </c>
    </row>
    <row r="4979" spans="1:2" x14ac:dyDescent="0.25">
      <c r="A4979" t="s">
        <v>2452</v>
      </c>
      <c r="B4979" t="s">
        <v>6058</v>
      </c>
    </row>
    <row r="4980" spans="1:2" x14ac:dyDescent="0.25">
      <c r="A4980" t="s">
        <v>2961</v>
      </c>
      <c r="B4980" t="s">
        <v>5809</v>
      </c>
    </row>
    <row r="4981" spans="1:2" x14ac:dyDescent="0.25">
      <c r="A4981" t="s">
        <v>2080</v>
      </c>
      <c r="B4981" t="s">
        <v>6276</v>
      </c>
    </row>
    <row r="4982" spans="1:2" x14ac:dyDescent="0.25">
      <c r="A4982" t="s">
        <v>1721</v>
      </c>
      <c r="B4982" t="s">
        <v>5808</v>
      </c>
    </row>
    <row r="4983" spans="1:2" x14ac:dyDescent="0.25">
      <c r="A4983" t="s">
        <v>646</v>
      </c>
      <c r="B4983" t="s">
        <v>5839</v>
      </c>
    </row>
    <row r="4984" spans="1:2" x14ac:dyDescent="0.25">
      <c r="A4984" t="s">
        <v>4944</v>
      </c>
      <c r="B4984" t="s">
        <v>6154</v>
      </c>
    </row>
    <row r="4985" spans="1:2" x14ac:dyDescent="0.25">
      <c r="A4985" t="s">
        <v>2770</v>
      </c>
      <c r="B4985" t="s">
        <v>5778</v>
      </c>
    </row>
    <row r="4986" spans="1:2" x14ac:dyDescent="0.25">
      <c r="A4986" t="s">
        <v>1226</v>
      </c>
      <c r="B4986" t="s">
        <v>5752</v>
      </c>
    </row>
    <row r="4987" spans="1:2" x14ac:dyDescent="0.25">
      <c r="A4987" t="s">
        <v>1716</v>
      </c>
      <c r="B4987" t="s">
        <v>6368</v>
      </c>
    </row>
    <row r="4988" spans="1:2" x14ac:dyDescent="0.25">
      <c r="A4988" t="s">
        <v>379</v>
      </c>
      <c r="B4988" t="s">
        <v>5991</v>
      </c>
    </row>
    <row r="4989" spans="1:2" x14ac:dyDescent="0.25">
      <c r="A4989" t="s">
        <v>2740</v>
      </c>
      <c r="B4989">
        <v>0</v>
      </c>
    </row>
    <row r="4990" spans="1:2" x14ac:dyDescent="0.25">
      <c r="A4990" t="s">
        <v>3209</v>
      </c>
      <c r="B4990" t="s">
        <v>5762</v>
      </c>
    </row>
    <row r="4991" spans="1:2" x14ac:dyDescent="0.25">
      <c r="A4991" t="s">
        <v>5205</v>
      </c>
      <c r="B4991" t="s">
        <v>5787</v>
      </c>
    </row>
    <row r="4992" spans="1:2" x14ac:dyDescent="0.25">
      <c r="A4992" t="s">
        <v>4362</v>
      </c>
      <c r="B4992" t="s">
        <v>5788</v>
      </c>
    </row>
    <row r="4993" spans="1:2" x14ac:dyDescent="0.25">
      <c r="A4993" t="s">
        <v>4287</v>
      </c>
      <c r="B4993" t="s">
        <v>5787</v>
      </c>
    </row>
    <row r="4994" spans="1:2" x14ac:dyDescent="0.25">
      <c r="A4994" t="s">
        <v>2283</v>
      </c>
      <c r="B4994" t="s">
        <v>5787</v>
      </c>
    </row>
    <row r="4995" spans="1:2" x14ac:dyDescent="0.25">
      <c r="A4995" t="s">
        <v>3278</v>
      </c>
      <c r="B4995" t="s">
        <v>6523</v>
      </c>
    </row>
    <row r="4996" spans="1:2" x14ac:dyDescent="0.25">
      <c r="A4996" t="s">
        <v>3755</v>
      </c>
      <c r="B4996" t="s">
        <v>5813</v>
      </c>
    </row>
    <row r="4997" spans="1:2" x14ac:dyDescent="0.25">
      <c r="A4997" t="s">
        <v>1306</v>
      </c>
      <c r="B4997" t="s">
        <v>5813</v>
      </c>
    </row>
    <row r="4998" spans="1:2" x14ac:dyDescent="0.25">
      <c r="A4998" t="s">
        <v>727</v>
      </c>
      <c r="B4998" t="s">
        <v>6205</v>
      </c>
    </row>
    <row r="4999" spans="1:2" x14ac:dyDescent="0.25">
      <c r="A4999" t="s">
        <v>5013</v>
      </c>
      <c r="B4999" t="s">
        <v>5789</v>
      </c>
    </row>
    <row r="5000" spans="1:2" x14ac:dyDescent="0.25">
      <c r="A5000" t="s">
        <v>2969</v>
      </c>
      <c r="B5000" t="s">
        <v>5719</v>
      </c>
    </row>
    <row r="5001" spans="1:2" x14ac:dyDescent="0.25">
      <c r="A5001" t="s">
        <v>1845</v>
      </c>
      <c r="B5001" t="s">
        <v>6779</v>
      </c>
    </row>
    <row r="5002" spans="1:2" x14ac:dyDescent="0.25">
      <c r="A5002" t="s">
        <v>4530</v>
      </c>
      <c r="B5002" t="s">
        <v>6077</v>
      </c>
    </row>
    <row r="5003" spans="1:2" x14ac:dyDescent="0.25">
      <c r="A5003" t="s">
        <v>569</v>
      </c>
      <c r="B5003" t="s">
        <v>5910</v>
      </c>
    </row>
    <row r="5004" spans="1:2" x14ac:dyDescent="0.25">
      <c r="A5004" t="s">
        <v>1263</v>
      </c>
      <c r="B5004" t="s">
        <v>5924</v>
      </c>
    </row>
    <row r="5005" spans="1:2" x14ac:dyDescent="0.25">
      <c r="A5005" t="s">
        <v>2656</v>
      </c>
      <c r="B5005" t="s">
        <v>5787</v>
      </c>
    </row>
    <row r="5006" spans="1:2" x14ac:dyDescent="0.25">
      <c r="A5006" t="s">
        <v>3343</v>
      </c>
      <c r="B5006" t="s">
        <v>5737</v>
      </c>
    </row>
    <row r="5007" spans="1:2" x14ac:dyDescent="0.25">
      <c r="A5007" t="s">
        <v>3429</v>
      </c>
      <c r="B5007" t="s">
        <v>5737</v>
      </c>
    </row>
    <row r="5008" spans="1:2" x14ac:dyDescent="0.25">
      <c r="A5008" t="s">
        <v>2806</v>
      </c>
      <c r="B5008" t="s">
        <v>5909</v>
      </c>
    </row>
    <row r="5009" spans="1:2" x14ac:dyDescent="0.25">
      <c r="A5009" t="s">
        <v>3517</v>
      </c>
      <c r="B5009" t="s">
        <v>5803</v>
      </c>
    </row>
    <row r="5010" spans="1:2" x14ac:dyDescent="0.25">
      <c r="A5010" t="s">
        <v>12249</v>
      </c>
      <c r="B5010" t="s">
        <v>6168</v>
      </c>
    </row>
    <row r="5011" spans="1:2" x14ac:dyDescent="0.25">
      <c r="A5011" t="s">
        <v>4085</v>
      </c>
      <c r="B5011" t="s">
        <v>5787</v>
      </c>
    </row>
    <row r="5012" spans="1:2" x14ac:dyDescent="0.25">
      <c r="A5012" t="s">
        <v>658</v>
      </c>
      <c r="B5012" t="s">
        <v>6258</v>
      </c>
    </row>
    <row r="5013" spans="1:2" x14ac:dyDescent="0.25">
      <c r="A5013" t="s">
        <v>2655</v>
      </c>
      <c r="B5013" t="s">
        <v>5817</v>
      </c>
    </row>
    <row r="5014" spans="1:2" x14ac:dyDescent="0.25">
      <c r="A5014" t="s">
        <v>927</v>
      </c>
      <c r="B5014" t="s">
        <v>5787</v>
      </c>
    </row>
    <row r="5015" spans="1:2" x14ac:dyDescent="0.25">
      <c r="A5015" t="s">
        <v>1975</v>
      </c>
      <c r="B5015" t="s">
        <v>5935</v>
      </c>
    </row>
    <row r="5016" spans="1:2" x14ac:dyDescent="0.25">
      <c r="A5016" t="s">
        <v>5002</v>
      </c>
      <c r="B5016" t="s">
        <v>5787</v>
      </c>
    </row>
    <row r="5017" spans="1:2" x14ac:dyDescent="0.25">
      <c r="A5017" t="s">
        <v>238</v>
      </c>
      <c r="B5017" t="s">
        <v>5787</v>
      </c>
    </row>
    <row r="5018" spans="1:2" x14ac:dyDescent="0.25">
      <c r="A5018" t="s">
        <v>2775</v>
      </c>
      <c r="B5018" t="s">
        <v>5794</v>
      </c>
    </row>
    <row r="5019" spans="1:2" x14ac:dyDescent="0.25">
      <c r="A5019" t="s">
        <v>308</v>
      </c>
      <c r="B5019" t="s">
        <v>5759</v>
      </c>
    </row>
    <row r="5020" spans="1:2" x14ac:dyDescent="0.25">
      <c r="A5020" t="s">
        <v>127</v>
      </c>
      <c r="B5020" t="s">
        <v>5759</v>
      </c>
    </row>
    <row r="5021" spans="1:2" x14ac:dyDescent="0.25">
      <c r="A5021" t="s">
        <v>226</v>
      </c>
      <c r="B5021" t="s">
        <v>5706</v>
      </c>
    </row>
    <row r="5022" spans="1:2" x14ac:dyDescent="0.25">
      <c r="A5022" t="s">
        <v>1392</v>
      </c>
      <c r="B5022" t="s">
        <v>5808</v>
      </c>
    </row>
    <row r="5023" spans="1:2" x14ac:dyDescent="0.25">
      <c r="A5023" t="s">
        <v>3614</v>
      </c>
      <c r="B5023" t="s">
        <v>5925</v>
      </c>
    </row>
    <row r="5024" spans="1:2" x14ac:dyDescent="0.25">
      <c r="A5024" t="s">
        <v>1408</v>
      </c>
      <c r="B5024" t="s">
        <v>6736</v>
      </c>
    </row>
    <row r="5025" spans="1:2" x14ac:dyDescent="0.25">
      <c r="A5025" t="s">
        <v>3788</v>
      </c>
      <c r="B5025" t="s">
        <v>5708</v>
      </c>
    </row>
    <row r="5026" spans="1:2" x14ac:dyDescent="0.25">
      <c r="A5026" t="s">
        <v>1116</v>
      </c>
      <c r="B5026" t="s">
        <v>6726</v>
      </c>
    </row>
    <row r="5027" spans="1:2" x14ac:dyDescent="0.25">
      <c r="A5027" t="s">
        <v>4576</v>
      </c>
      <c r="B5027" t="s">
        <v>6365</v>
      </c>
    </row>
    <row r="5028" spans="1:2" x14ac:dyDescent="0.25">
      <c r="A5028" t="s">
        <v>87</v>
      </c>
      <c r="B5028" t="s">
        <v>5757</v>
      </c>
    </row>
    <row r="5029" spans="1:2" x14ac:dyDescent="0.25">
      <c r="A5029" t="s">
        <v>4452</v>
      </c>
      <c r="B5029" t="s">
        <v>6229</v>
      </c>
    </row>
    <row r="5030" spans="1:2" x14ac:dyDescent="0.25">
      <c r="A5030" t="s">
        <v>5374</v>
      </c>
      <c r="B5030" t="s">
        <v>5898</v>
      </c>
    </row>
    <row r="5031" spans="1:2" x14ac:dyDescent="0.25">
      <c r="A5031" t="s">
        <v>2205</v>
      </c>
      <c r="B5031" t="s">
        <v>5865</v>
      </c>
    </row>
    <row r="5032" spans="1:2" x14ac:dyDescent="0.25">
      <c r="A5032" t="s">
        <v>4327</v>
      </c>
      <c r="B5032" t="s">
        <v>5808</v>
      </c>
    </row>
    <row r="5033" spans="1:2" x14ac:dyDescent="0.25">
      <c r="A5033" t="s">
        <v>5169</v>
      </c>
      <c r="B5033" t="s">
        <v>5740</v>
      </c>
    </row>
    <row r="5034" spans="1:2" x14ac:dyDescent="0.25">
      <c r="A5034" t="s">
        <v>516</v>
      </c>
      <c r="B5034" t="s">
        <v>6445</v>
      </c>
    </row>
    <row r="5035" spans="1:2" x14ac:dyDescent="0.25">
      <c r="A5035" t="s">
        <v>5162</v>
      </c>
      <c r="B5035" t="s">
        <v>5787</v>
      </c>
    </row>
    <row r="5036" spans="1:2" x14ac:dyDescent="0.25">
      <c r="A5036" t="s">
        <v>4678</v>
      </c>
      <c r="B5036" t="s">
        <v>5724</v>
      </c>
    </row>
    <row r="5037" spans="1:2" x14ac:dyDescent="0.25">
      <c r="A5037" t="s">
        <v>955</v>
      </c>
      <c r="B5037" t="s">
        <v>5789</v>
      </c>
    </row>
    <row r="5038" spans="1:2" x14ac:dyDescent="0.25">
      <c r="A5038" t="s">
        <v>3804</v>
      </c>
      <c r="B5038" t="s">
        <v>6371</v>
      </c>
    </row>
    <row r="5039" spans="1:2" x14ac:dyDescent="0.25">
      <c r="A5039" t="s">
        <v>2176</v>
      </c>
      <c r="B5039" t="s">
        <v>5706</v>
      </c>
    </row>
    <row r="5040" spans="1:2" x14ac:dyDescent="0.25">
      <c r="A5040" t="s">
        <v>1874</v>
      </c>
      <c r="B5040" t="s">
        <v>5910</v>
      </c>
    </row>
    <row r="5041" spans="1:2" x14ac:dyDescent="0.25">
      <c r="A5041" t="s">
        <v>5423</v>
      </c>
      <c r="B5041" t="s">
        <v>5976</v>
      </c>
    </row>
    <row r="5042" spans="1:2" x14ac:dyDescent="0.25">
      <c r="A5042" t="s">
        <v>2970</v>
      </c>
      <c r="B5042" t="s">
        <v>5973</v>
      </c>
    </row>
    <row r="5043" spans="1:2" x14ac:dyDescent="0.25">
      <c r="A5043" t="s">
        <v>1844</v>
      </c>
      <c r="B5043" t="s">
        <v>5926</v>
      </c>
    </row>
    <row r="5044" spans="1:2" x14ac:dyDescent="0.25">
      <c r="A5044" t="s">
        <v>3680</v>
      </c>
      <c r="B5044" t="s">
        <v>5787</v>
      </c>
    </row>
    <row r="5045" spans="1:2" x14ac:dyDescent="0.25">
      <c r="A5045" t="s">
        <v>5659</v>
      </c>
      <c r="B5045" t="s">
        <v>6033</v>
      </c>
    </row>
    <row r="5046" spans="1:2" x14ac:dyDescent="0.25">
      <c r="A5046" t="s">
        <v>869</v>
      </c>
      <c r="B5046" t="s">
        <v>5787</v>
      </c>
    </row>
    <row r="5047" spans="1:2" x14ac:dyDescent="0.25">
      <c r="A5047" t="s">
        <v>2344</v>
      </c>
      <c r="B5047" t="s">
        <v>6214</v>
      </c>
    </row>
    <row r="5048" spans="1:2" x14ac:dyDescent="0.25">
      <c r="A5048" t="s">
        <v>4243</v>
      </c>
      <c r="B5048" t="s">
        <v>5728</v>
      </c>
    </row>
    <row r="5049" spans="1:2" x14ac:dyDescent="0.25">
      <c r="A5049" t="s">
        <v>3646</v>
      </c>
      <c r="B5049" t="s">
        <v>5802</v>
      </c>
    </row>
    <row r="5050" spans="1:2" x14ac:dyDescent="0.25">
      <c r="A5050" t="s">
        <v>3734</v>
      </c>
      <c r="B5050" t="s">
        <v>5704</v>
      </c>
    </row>
    <row r="5051" spans="1:2" x14ac:dyDescent="0.25">
      <c r="A5051" t="s">
        <v>5068</v>
      </c>
      <c r="B5051" t="s">
        <v>5830</v>
      </c>
    </row>
    <row r="5052" spans="1:2" x14ac:dyDescent="0.25">
      <c r="A5052" t="s">
        <v>3384</v>
      </c>
      <c r="B5052" t="s">
        <v>5787</v>
      </c>
    </row>
    <row r="5053" spans="1:2" x14ac:dyDescent="0.25">
      <c r="A5053" t="s">
        <v>2241</v>
      </c>
      <c r="B5053" t="s">
        <v>6032</v>
      </c>
    </row>
    <row r="5054" spans="1:2" x14ac:dyDescent="0.25">
      <c r="A5054" t="s">
        <v>2522</v>
      </c>
      <c r="B5054" t="s">
        <v>5740</v>
      </c>
    </row>
    <row r="5055" spans="1:2" x14ac:dyDescent="0.25">
      <c r="A5055" t="s">
        <v>391</v>
      </c>
      <c r="B5055" t="s">
        <v>5787</v>
      </c>
    </row>
    <row r="5056" spans="1:2" x14ac:dyDescent="0.25">
      <c r="A5056" t="s">
        <v>2872</v>
      </c>
      <c r="B5056" t="s">
        <v>5938</v>
      </c>
    </row>
    <row r="5057" spans="1:2" x14ac:dyDescent="0.25">
      <c r="A5057" t="s">
        <v>2099</v>
      </c>
      <c r="B5057" t="s">
        <v>6588</v>
      </c>
    </row>
    <row r="5058" spans="1:2" x14ac:dyDescent="0.25">
      <c r="A5058" t="s">
        <v>3931</v>
      </c>
      <c r="B5058" t="s">
        <v>5824</v>
      </c>
    </row>
    <row r="5059" spans="1:2" x14ac:dyDescent="0.25">
      <c r="A5059" t="s">
        <v>1266</v>
      </c>
      <c r="B5059" t="s">
        <v>5897</v>
      </c>
    </row>
    <row r="5060" spans="1:2" x14ac:dyDescent="0.25">
      <c r="A5060" t="s">
        <v>1123</v>
      </c>
      <c r="B5060" t="s">
        <v>5787</v>
      </c>
    </row>
    <row r="5061" spans="1:2" x14ac:dyDescent="0.25">
      <c r="A5061" t="s">
        <v>1831</v>
      </c>
      <c r="B5061" t="s">
        <v>5887</v>
      </c>
    </row>
    <row r="5062" spans="1:2" x14ac:dyDescent="0.25">
      <c r="A5062" t="s">
        <v>468</v>
      </c>
      <c r="B5062" t="s">
        <v>6049</v>
      </c>
    </row>
    <row r="5063" spans="1:2" x14ac:dyDescent="0.25">
      <c r="A5063" t="s">
        <v>2906</v>
      </c>
      <c r="B5063" t="s">
        <v>6034</v>
      </c>
    </row>
    <row r="5064" spans="1:2" x14ac:dyDescent="0.25">
      <c r="A5064" t="s">
        <v>5064</v>
      </c>
      <c r="B5064" t="s">
        <v>5704</v>
      </c>
    </row>
    <row r="5065" spans="1:2" x14ac:dyDescent="0.25">
      <c r="A5065" t="s">
        <v>4551</v>
      </c>
      <c r="B5065" t="s">
        <v>5787</v>
      </c>
    </row>
    <row r="5066" spans="1:2" x14ac:dyDescent="0.25">
      <c r="A5066" t="s">
        <v>1129</v>
      </c>
      <c r="B5066" t="s">
        <v>5713</v>
      </c>
    </row>
    <row r="5067" spans="1:2" x14ac:dyDescent="0.25">
      <c r="A5067" t="s">
        <v>5101</v>
      </c>
      <c r="B5067" t="s">
        <v>5957</v>
      </c>
    </row>
    <row r="5068" spans="1:2" x14ac:dyDescent="0.25">
      <c r="A5068" t="s">
        <v>3634</v>
      </c>
      <c r="B5068" t="s">
        <v>5835</v>
      </c>
    </row>
    <row r="5069" spans="1:2" x14ac:dyDescent="0.25">
      <c r="A5069" t="s">
        <v>193</v>
      </c>
      <c r="B5069" t="s">
        <v>5886</v>
      </c>
    </row>
    <row r="5070" spans="1:2" x14ac:dyDescent="0.25">
      <c r="A5070" t="s">
        <v>4379</v>
      </c>
      <c r="B5070" t="s">
        <v>5787</v>
      </c>
    </row>
    <row r="5071" spans="1:2" x14ac:dyDescent="0.25">
      <c r="A5071" t="s">
        <v>2530</v>
      </c>
      <c r="B5071" t="s">
        <v>5800</v>
      </c>
    </row>
    <row r="5072" spans="1:2" x14ac:dyDescent="0.25">
      <c r="A5072" t="s">
        <v>212</v>
      </c>
      <c r="B5072" t="s">
        <v>5737</v>
      </c>
    </row>
    <row r="5073" spans="1:2" x14ac:dyDescent="0.25">
      <c r="A5073" t="s">
        <v>215</v>
      </c>
      <c r="B5073" t="s">
        <v>5737</v>
      </c>
    </row>
    <row r="5074" spans="1:2" x14ac:dyDescent="0.25">
      <c r="A5074" t="s">
        <v>201</v>
      </c>
      <c r="B5074" t="s">
        <v>5937</v>
      </c>
    </row>
    <row r="5075" spans="1:2" x14ac:dyDescent="0.25">
      <c r="A5075" t="s">
        <v>4763</v>
      </c>
      <c r="B5075" t="s">
        <v>5960</v>
      </c>
    </row>
    <row r="5076" spans="1:2" x14ac:dyDescent="0.25">
      <c r="A5076" t="s">
        <v>3711</v>
      </c>
      <c r="B5076" t="s">
        <v>6042</v>
      </c>
    </row>
    <row r="5077" spans="1:2" x14ac:dyDescent="0.25">
      <c r="A5077" t="s">
        <v>1761</v>
      </c>
      <c r="B5077" t="s">
        <v>5794</v>
      </c>
    </row>
    <row r="5078" spans="1:2" x14ac:dyDescent="0.25">
      <c r="A5078" t="s">
        <v>4477</v>
      </c>
      <c r="B5078" t="s">
        <v>5815</v>
      </c>
    </row>
    <row r="5079" spans="1:2" x14ac:dyDescent="0.25">
      <c r="A5079" t="s">
        <v>1361</v>
      </c>
      <c r="B5079" t="s">
        <v>6729</v>
      </c>
    </row>
    <row r="5080" spans="1:2" x14ac:dyDescent="0.25">
      <c r="A5080" t="s">
        <v>4950</v>
      </c>
      <c r="B5080" t="s">
        <v>6214</v>
      </c>
    </row>
    <row r="5081" spans="1:2" x14ac:dyDescent="0.25">
      <c r="A5081" t="s">
        <v>4384</v>
      </c>
      <c r="B5081" t="s">
        <v>5835</v>
      </c>
    </row>
    <row r="5082" spans="1:2" x14ac:dyDescent="0.25">
      <c r="A5082" t="s">
        <v>1139</v>
      </c>
      <c r="B5082" t="s">
        <v>6028</v>
      </c>
    </row>
    <row r="5083" spans="1:2" x14ac:dyDescent="0.25">
      <c r="A5083" t="s">
        <v>1045</v>
      </c>
      <c r="B5083" t="s">
        <v>5787</v>
      </c>
    </row>
    <row r="5084" spans="1:2" x14ac:dyDescent="0.25">
      <c r="A5084" t="s">
        <v>4701</v>
      </c>
      <c r="B5084" t="s">
        <v>5787</v>
      </c>
    </row>
    <row r="5085" spans="1:2" x14ac:dyDescent="0.25">
      <c r="A5085" t="s">
        <v>1145</v>
      </c>
      <c r="B5085" t="s">
        <v>5845</v>
      </c>
    </row>
    <row r="5086" spans="1:2" x14ac:dyDescent="0.25">
      <c r="A5086" t="s">
        <v>5431</v>
      </c>
      <c r="B5086" t="s">
        <v>5894</v>
      </c>
    </row>
    <row r="5087" spans="1:2" x14ac:dyDescent="0.25">
      <c r="A5087" t="s">
        <v>2231</v>
      </c>
      <c r="B5087" t="s">
        <v>6520</v>
      </c>
    </row>
    <row r="5088" spans="1:2" x14ac:dyDescent="0.25">
      <c r="A5088" t="s">
        <v>396</v>
      </c>
      <c r="B5088" t="s">
        <v>5867</v>
      </c>
    </row>
    <row r="5089" spans="1:2" x14ac:dyDescent="0.25">
      <c r="A5089" t="s">
        <v>1373</v>
      </c>
      <c r="B5089" t="s">
        <v>5787</v>
      </c>
    </row>
    <row r="5090" spans="1:2" x14ac:dyDescent="0.25">
      <c r="A5090" t="s">
        <v>2747</v>
      </c>
      <c r="B5090" t="s">
        <v>6476</v>
      </c>
    </row>
    <row r="5091" spans="1:2" x14ac:dyDescent="0.25">
      <c r="A5091" t="s">
        <v>4614</v>
      </c>
      <c r="B5091" t="s">
        <v>6310</v>
      </c>
    </row>
    <row r="5092" spans="1:2" x14ac:dyDescent="0.25">
      <c r="A5092" t="s">
        <v>1331</v>
      </c>
      <c r="B5092" t="s">
        <v>6275</v>
      </c>
    </row>
    <row r="5093" spans="1:2" x14ac:dyDescent="0.25">
      <c r="A5093" t="s">
        <v>2309</v>
      </c>
      <c r="B5093" t="s">
        <v>6743</v>
      </c>
    </row>
    <row r="5094" spans="1:2" x14ac:dyDescent="0.25">
      <c r="A5094" t="s">
        <v>5675</v>
      </c>
      <c r="B5094" t="s">
        <v>6245</v>
      </c>
    </row>
    <row r="5095" spans="1:2" x14ac:dyDescent="0.25">
      <c r="A5095" t="s">
        <v>5430</v>
      </c>
      <c r="B5095" t="s">
        <v>5740</v>
      </c>
    </row>
    <row r="5096" spans="1:2" x14ac:dyDescent="0.25">
      <c r="A5096" t="s">
        <v>3194</v>
      </c>
      <c r="B5096" t="s">
        <v>6010</v>
      </c>
    </row>
    <row r="5097" spans="1:2" x14ac:dyDescent="0.25">
      <c r="A5097" t="s">
        <v>31749</v>
      </c>
      <c r="B5097" t="s">
        <v>5787</v>
      </c>
    </row>
    <row r="5098" spans="1:2" x14ac:dyDescent="0.25">
      <c r="A5098" t="s">
        <v>3643</v>
      </c>
      <c r="B5098" t="s">
        <v>6345</v>
      </c>
    </row>
    <row r="5099" spans="1:2" x14ac:dyDescent="0.25">
      <c r="A5099" t="s">
        <v>986</v>
      </c>
      <c r="B5099" t="s">
        <v>5787</v>
      </c>
    </row>
    <row r="5100" spans="1:2" x14ac:dyDescent="0.25">
      <c r="A5100" t="s">
        <v>479</v>
      </c>
      <c r="B5100" t="s">
        <v>5787</v>
      </c>
    </row>
    <row r="5101" spans="1:2" x14ac:dyDescent="0.25">
      <c r="A5101" t="s">
        <v>5183</v>
      </c>
      <c r="B5101" t="s">
        <v>5787</v>
      </c>
    </row>
    <row r="5102" spans="1:2" x14ac:dyDescent="0.25">
      <c r="A5102" t="s">
        <v>2481</v>
      </c>
      <c r="B5102" t="s">
        <v>5787</v>
      </c>
    </row>
    <row r="5103" spans="1:2" x14ac:dyDescent="0.25">
      <c r="A5103" t="s">
        <v>2048</v>
      </c>
      <c r="B5103" t="s">
        <v>5711</v>
      </c>
    </row>
    <row r="5104" spans="1:2" x14ac:dyDescent="0.25">
      <c r="A5104" t="s">
        <v>5034</v>
      </c>
      <c r="B5104" t="s">
        <v>5730</v>
      </c>
    </row>
    <row r="5105" spans="1:2" x14ac:dyDescent="0.25">
      <c r="A5105" t="s">
        <v>1458</v>
      </c>
      <c r="B5105" t="s">
        <v>6022</v>
      </c>
    </row>
    <row r="5106" spans="1:2" x14ac:dyDescent="0.25">
      <c r="A5106" t="s">
        <v>5197</v>
      </c>
      <c r="B5106" t="s">
        <v>5787</v>
      </c>
    </row>
    <row r="5107" spans="1:2" x14ac:dyDescent="0.25">
      <c r="A5107" t="s">
        <v>1962</v>
      </c>
      <c r="B5107" t="s">
        <v>6403</v>
      </c>
    </row>
    <row r="5108" spans="1:2" x14ac:dyDescent="0.25">
      <c r="A5108" t="s">
        <v>1483</v>
      </c>
      <c r="B5108" t="s">
        <v>6127</v>
      </c>
    </row>
    <row r="5109" spans="1:2" x14ac:dyDescent="0.25">
      <c r="A5109" t="s">
        <v>4383</v>
      </c>
      <c r="B5109" t="s">
        <v>5787</v>
      </c>
    </row>
    <row r="5110" spans="1:2" x14ac:dyDescent="0.25">
      <c r="A5110" t="s">
        <v>3823</v>
      </c>
      <c r="B5110" t="s">
        <v>6138</v>
      </c>
    </row>
    <row r="5111" spans="1:2" x14ac:dyDescent="0.25">
      <c r="A5111" t="s">
        <v>763</v>
      </c>
      <c r="B5111" t="s">
        <v>5787</v>
      </c>
    </row>
    <row r="5112" spans="1:2" x14ac:dyDescent="0.25">
      <c r="A5112" t="s">
        <v>3497</v>
      </c>
      <c r="B5112" t="s">
        <v>6600</v>
      </c>
    </row>
    <row r="5113" spans="1:2" x14ac:dyDescent="0.25">
      <c r="A5113" t="s">
        <v>4902</v>
      </c>
      <c r="B5113" t="s">
        <v>6253</v>
      </c>
    </row>
    <row r="5114" spans="1:2" x14ac:dyDescent="0.25">
      <c r="A5114" t="s">
        <v>3593</v>
      </c>
      <c r="B5114" t="s">
        <v>5889</v>
      </c>
    </row>
    <row r="5115" spans="1:2" x14ac:dyDescent="0.25">
      <c r="A5115" t="s">
        <v>4665</v>
      </c>
      <c r="B5115" t="s">
        <v>5792</v>
      </c>
    </row>
    <row r="5116" spans="1:2" x14ac:dyDescent="0.25">
      <c r="A5116" t="s">
        <v>1653</v>
      </c>
      <c r="B5116" t="s">
        <v>6018</v>
      </c>
    </row>
    <row r="5117" spans="1:2" x14ac:dyDescent="0.25">
      <c r="A5117" t="s">
        <v>5171</v>
      </c>
      <c r="B5117" t="s">
        <v>6367</v>
      </c>
    </row>
    <row r="5118" spans="1:2" x14ac:dyDescent="0.25">
      <c r="A5118" t="s">
        <v>4966</v>
      </c>
      <c r="B5118" t="s">
        <v>5787</v>
      </c>
    </row>
    <row r="5119" spans="1:2" x14ac:dyDescent="0.25">
      <c r="A5119" t="s">
        <v>3283</v>
      </c>
      <c r="B5119" t="s">
        <v>5788</v>
      </c>
    </row>
    <row r="5120" spans="1:2" x14ac:dyDescent="0.25">
      <c r="A5120" t="s">
        <v>3719</v>
      </c>
      <c r="B5120" t="s">
        <v>5787</v>
      </c>
    </row>
    <row r="5121" spans="1:2" x14ac:dyDescent="0.25">
      <c r="A5121" t="s">
        <v>5687</v>
      </c>
      <c r="B5121" t="s">
        <v>5787</v>
      </c>
    </row>
    <row r="5122" spans="1:2" x14ac:dyDescent="0.25">
      <c r="A5122" t="s">
        <v>4962</v>
      </c>
      <c r="B5122" t="s">
        <v>6147</v>
      </c>
    </row>
    <row r="5123" spans="1:2" x14ac:dyDescent="0.25">
      <c r="A5123" t="s">
        <v>1719</v>
      </c>
      <c r="B5123" t="s">
        <v>6019</v>
      </c>
    </row>
    <row r="5124" spans="1:2" x14ac:dyDescent="0.25">
      <c r="A5124" t="s">
        <v>2622</v>
      </c>
      <c r="B5124" t="s">
        <v>6656</v>
      </c>
    </row>
    <row r="5125" spans="1:2" x14ac:dyDescent="0.25">
      <c r="A5125" t="s">
        <v>840</v>
      </c>
      <c r="B5125" t="s">
        <v>5785</v>
      </c>
    </row>
    <row r="5126" spans="1:2" x14ac:dyDescent="0.25">
      <c r="A5126" t="s">
        <v>5071</v>
      </c>
      <c r="B5126" t="s">
        <v>5721</v>
      </c>
    </row>
    <row r="5127" spans="1:2" x14ac:dyDescent="0.25">
      <c r="A5127" t="s">
        <v>1147</v>
      </c>
      <c r="B5127" t="s">
        <v>5721</v>
      </c>
    </row>
    <row r="5128" spans="1:2" x14ac:dyDescent="0.25">
      <c r="A5128" t="s">
        <v>194</v>
      </c>
      <c r="B5128" t="s">
        <v>5868</v>
      </c>
    </row>
    <row r="5129" spans="1:2" x14ac:dyDescent="0.25">
      <c r="A5129" t="s">
        <v>4293</v>
      </c>
      <c r="B5129" t="s">
        <v>5795</v>
      </c>
    </row>
    <row r="5130" spans="1:2" x14ac:dyDescent="0.25">
      <c r="A5130" t="s">
        <v>5061</v>
      </c>
      <c r="B5130" t="s">
        <v>6225</v>
      </c>
    </row>
    <row r="5131" spans="1:2" x14ac:dyDescent="0.25">
      <c r="A5131" t="s">
        <v>2979</v>
      </c>
      <c r="B5131" t="s">
        <v>5787</v>
      </c>
    </row>
    <row r="5132" spans="1:2" x14ac:dyDescent="0.25">
      <c r="A5132" t="s">
        <v>4338</v>
      </c>
      <c r="B5132" t="s">
        <v>5787</v>
      </c>
    </row>
    <row r="5133" spans="1:2" x14ac:dyDescent="0.25">
      <c r="A5133" t="s">
        <v>4774</v>
      </c>
      <c r="B5133" t="s">
        <v>6380</v>
      </c>
    </row>
    <row r="5134" spans="1:2" x14ac:dyDescent="0.25">
      <c r="A5134" t="s">
        <v>3179</v>
      </c>
      <c r="B5134" t="s">
        <v>5787</v>
      </c>
    </row>
    <row r="5135" spans="1:2" x14ac:dyDescent="0.25">
      <c r="A5135" t="s">
        <v>5484</v>
      </c>
      <c r="B5135" t="s">
        <v>5797</v>
      </c>
    </row>
    <row r="5136" spans="1:2" x14ac:dyDescent="0.25">
      <c r="A5136" t="s">
        <v>518</v>
      </c>
      <c r="B5136" t="s">
        <v>5864</v>
      </c>
    </row>
    <row r="5137" spans="1:2" x14ac:dyDescent="0.25">
      <c r="A5137" t="s">
        <v>1469</v>
      </c>
      <c r="B5137" t="s">
        <v>5896</v>
      </c>
    </row>
    <row r="5138" spans="1:2" x14ac:dyDescent="0.25">
      <c r="A5138" t="s">
        <v>902</v>
      </c>
      <c r="B5138" t="s">
        <v>5851</v>
      </c>
    </row>
    <row r="5139" spans="1:2" x14ac:dyDescent="0.25">
      <c r="A5139" t="s">
        <v>5516</v>
      </c>
      <c r="B5139" t="s">
        <v>5790</v>
      </c>
    </row>
    <row r="5140" spans="1:2" x14ac:dyDescent="0.25">
      <c r="A5140" t="s">
        <v>348</v>
      </c>
      <c r="B5140" t="s">
        <v>5711</v>
      </c>
    </row>
    <row r="5141" spans="1:2" x14ac:dyDescent="0.25">
      <c r="A5141" t="s">
        <v>331</v>
      </c>
      <c r="B5141" t="s">
        <v>5797</v>
      </c>
    </row>
    <row r="5142" spans="1:2" x14ac:dyDescent="0.25">
      <c r="A5142" t="s">
        <v>5684</v>
      </c>
    </row>
    <row r="5143" spans="1:2" x14ac:dyDescent="0.25">
      <c r="A5143" t="s">
        <v>4282</v>
      </c>
      <c r="B5143" t="s">
        <v>6401</v>
      </c>
    </row>
    <row r="5144" spans="1:2" x14ac:dyDescent="0.25">
      <c r="A5144" t="s">
        <v>3807</v>
      </c>
      <c r="B5144" t="s">
        <v>6139</v>
      </c>
    </row>
    <row r="5145" spans="1:2" x14ac:dyDescent="0.25">
      <c r="A5145" t="s">
        <v>5654</v>
      </c>
      <c r="B5145" t="s">
        <v>5787</v>
      </c>
    </row>
    <row r="5146" spans="1:2" x14ac:dyDescent="0.25">
      <c r="A5146" t="s">
        <v>4242</v>
      </c>
      <c r="B5146" t="s">
        <v>5787</v>
      </c>
    </row>
    <row r="5147" spans="1:2" x14ac:dyDescent="0.25">
      <c r="A5147" t="s">
        <v>2862</v>
      </c>
    </row>
    <row r="5148" spans="1:2" x14ac:dyDescent="0.25">
      <c r="A5148" t="s">
        <v>829</v>
      </c>
      <c r="B5148" t="s">
        <v>5730</v>
      </c>
    </row>
    <row r="5149" spans="1:2" x14ac:dyDescent="0.25">
      <c r="A5149" t="s">
        <v>3291</v>
      </c>
      <c r="B5149" t="s">
        <v>5889</v>
      </c>
    </row>
    <row r="5150" spans="1:2" x14ac:dyDescent="0.25">
      <c r="A5150" t="s">
        <v>3950</v>
      </c>
      <c r="B5150" t="s">
        <v>5788</v>
      </c>
    </row>
    <row r="5151" spans="1:2" x14ac:dyDescent="0.25">
      <c r="A5151" t="s">
        <v>210</v>
      </c>
      <c r="B5151" t="s">
        <v>5813</v>
      </c>
    </row>
    <row r="5152" spans="1:2" x14ac:dyDescent="0.25">
      <c r="A5152" t="s">
        <v>4602</v>
      </c>
      <c r="B5152" t="s">
        <v>5787</v>
      </c>
    </row>
    <row r="5153" spans="1:2" x14ac:dyDescent="0.25">
      <c r="A5153" t="s">
        <v>3237</v>
      </c>
      <c r="B5153" t="s">
        <v>6016</v>
      </c>
    </row>
    <row r="5154" spans="1:2" x14ac:dyDescent="0.25">
      <c r="A5154" t="s">
        <v>2378</v>
      </c>
      <c r="B5154" t="s">
        <v>5713</v>
      </c>
    </row>
    <row r="5155" spans="1:2" x14ac:dyDescent="0.25">
      <c r="A5155" t="s">
        <v>1584</v>
      </c>
      <c r="B5155" t="s">
        <v>5843</v>
      </c>
    </row>
    <row r="5156" spans="1:2" x14ac:dyDescent="0.25">
      <c r="A5156" t="s">
        <v>362</v>
      </c>
      <c r="B5156" t="s">
        <v>5787</v>
      </c>
    </row>
    <row r="5157" spans="1:2" x14ac:dyDescent="0.25">
      <c r="A5157" t="s">
        <v>1403</v>
      </c>
      <c r="B5157" t="s">
        <v>5787</v>
      </c>
    </row>
    <row r="5158" spans="1:2" x14ac:dyDescent="0.25">
      <c r="A5158" t="s">
        <v>1751</v>
      </c>
      <c r="B5158" t="s">
        <v>5802</v>
      </c>
    </row>
    <row r="5159" spans="1:2" x14ac:dyDescent="0.25">
      <c r="A5159" t="s">
        <v>4640</v>
      </c>
      <c r="B5159" t="s">
        <v>5822</v>
      </c>
    </row>
    <row r="5160" spans="1:2" x14ac:dyDescent="0.25">
      <c r="A5160" t="s">
        <v>2604</v>
      </c>
      <c r="B5160" t="s">
        <v>5787</v>
      </c>
    </row>
    <row r="5161" spans="1:2" x14ac:dyDescent="0.25">
      <c r="A5161" t="s">
        <v>4087</v>
      </c>
      <c r="B5161" t="s">
        <v>5787</v>
      </c>
    </row>
    <row r="5162" spans="1:2" x14ac:dyDescent="0.25">
      <c r="A5162" t="s">
        <v>3479</v>
      </c>
      <c r="B5162" t="s">
        <v>5787</v>
      </c>
    </row>
    <row r="5163" spans="1:2" x14ac:dyDescent="0.25">
      <c r="A5163" t="s">
        <v>5308</v>
      </c>
      <c r="B5163" t="s">
        <v>5938</v>
      </c>
    </row>
    <row r="5164" spans="1:2" x14ac:dyDescent="0.25">
      <c r="A5164" t="s">
        <v>2490</v>
      </c>
      <c r="B5164" t="s">
        <v>6078</v>
      </c>
    </row>
    <row r="5165" spans="1:2" x14ac:dyDescent="0.25">
      <c r="A5165" t="s">
        <v>3721</v>
      </c>
      <c r="B5165" t="s">
        <v>5989</v>
      </c>
    </row>
    <row r="5166" spans="1:2" x14ac:dyDescent="0.25">
      <c r="A5166" t="s">
        <v>3134</v>
      </c>
      <c r="B5166" t="s">
        <v>5898</v>
      </c>
    </row>
    <row r="5167" spans="1:2" x14ac:dyDescent="0.25">
      <c r="A5167" t="s">
        <v>2588</v>
      </c>
      <c r="B5167" t="s">
        <v>6163</v>
      </c>
    </row>
    <row r="5168" spans="1:2" x14ac:dyDescent="0.25">
      <c r="A5168" t="s">
        <v>5636</v>
      </c>
      <c r="B5168" t="s">
        <v>6141</v>
      </c>
    </row>
    <row r="5169" spans="1:2" x14ac:dyDescent="0.25">
      <c r="A5169" t="s">
        <v>3940</v>
      </c>
      <c r="B5169" t="s">
        <v>5871</v>
      </c>
    </row>
    <row r="5170" spans="1:2" x14ac:dyDescent="0.25">
      <c r="A5170" t="s">
        <v>5089</v>
      </c>
      <c r="B5170" t="s">
        <v>5744</v>
      </c>
    </row>
    <row r="5171" spans="1:2" x14ac:dyDescent="0.25">
      <c r="A5171" t="s">
        <v>5672</v>
      </c>
      <c r="B5171" t="s">
        <v>6289</v>
      </c>
    </row>
    <row r="5172" spans="1:2" x14ac:dyDescent="0.25">
      <c r="A5172" t="s">
        <v>3221</v>
      </c>
      <c r="B5172" t="s">
        <v>5782</v>
      </c>
    </row>
    <row r="5173" spans="1:2" x14ac:dyDescent="0.25">
      <c r="A5173" t="s">
        <v>4045</v>
      </c>
      <c r="B5173" t="s">
        <v>5704</v>
      </c>
    </row>
    <row r="5174" spans="1:2" x14ac:dyDescent="0.25">
      <c r="A5174" t="s">
        <v>849</v>
      </c>
      <c r="B5174" t="s">
        <v>5787</v>
      </c>
    </row>
    <row r="5175" spans="1:2" x14ac:dyDescent="0.25">
      <c r="A5175" t="s">
        <v>1582</v>
      </c>
      <c r="B5175" t="s">
        <v>5788</v>
      </c>
    </row>
    <row r="5176" spans="1:2" x14ac:dyDescent="0.25">
      <c r="A5176" t="s">
        <v>63</v>
      </c>
      <c r="B5176" t="s">
        <v>6175</v>
      </c>
    </row>
    <row r="5177" spans="1:2" x14ac:dyDescent="0.25">
      <c r="A5177" t="s">
        <v>685</v>
      </c>
      <c r="B5177" t="s">
        <v>5787</v>
      </c>
    </row>
    <row r="5178" spans="1:2" x14ac:dyDescent="0.25">
      <c r="A5178" t="s">
        <v>344</v>
      </c>
      <c r="B5178" t="s">
        <v>5792</v>
      </c>
    </row>
    <row r="5179" spans="1:2" x14ac:dyDescent="0.25">
      <c r="A5179" t="s">
        <v>1936</v>
      </c>
      <c r="B5179" t="s">
        <v>5806</v>
      </c>
    </row>
    <row r="5180" spans="1:2" x14ac:dyDescent="0.25">
      <c r="A5180" t="s">
        <v>483</v>
      </c>
      <c r="B5180" t="s">
        <v>5704</v>
      </c>
    </row>
    <row r="5181" spans="1:2" x14ac:dyDescent="0.25">
      <c r="A5181" t="s">
        <v>3124</v>
      </c>
      <c r="B5181" t="s">
        <v>5883</v>
      </c>
    </row>
    <row r="5182" spans="1:2" x14ac:dyDescent="0.25">
      <c r="A5182" t="s">
        <v>2960</v>
      </c>
      <c r="B5182" t="s">
        <v>5787</v>
      </c>
    </row>
    <row r="5183" spans="1:2" x14ac:dyDescent="0.25">
      <c r="A5183" t="s">
        <v>1659</v>
      </c>
      <c r="B5183" t="s">
        <v>6042</v>
      </c>
    </row>
    <row r="5184" spans="1:2" x14ac:dyDescent="0.25">
      <c r="A5184" t="s">
        <v>281</v>
      </c>
      <c r="B5184" t="s">
        <v>5869</v>
      </c>
    </row>
    <row r="5185" spans="1:2" x14ac:dyDescent="0.25">
      <c r="A5185" t="s">
        <v>2626</v>
      </c>
      <c r="B5185" t="s">
        <v>6062</v>
      </c>
    </row>
    <row r="5186" spans="1:2" x14ac:dyDescent="0.25">
      <c r="A5186" t="s">
        <v>2520</v>
      </c>
      <c r="B5186" t="s">
        <v>5931</v>
      </c>
    </row>
    <row r="5187" spans="1:2" x14ac:dyDescent="0.25">
      <c r="A5187" t="s">
        <v>426</v>
      </c>
      <c r="B5187" t="s">
        <v>5734</v>
      </c>
    </row>
    <row r="5188" spans="1:2" x14ac:dyDescent="0.25">
      <c r="A5188" t="s">
        <v>1388</v>
      </c>
    </row>
    <row r="5189" spans="1:2" x14ac:dyDescent="0.25">
      <c r="A5189" t="s">
        <v>702</v>
      </c>
      <c r="B5189" t="s">
        <v>6072</v>
      </c>
    </row>
    <row r="5190" spans="1:2" x14ac:dyDescent="0.25">
      <c r="A5190" t="s">
        <v>380</v>
      </c>
      <c r="B5190" t="s">
        <v>5813</v>
      </c>
    </row>
    <row r="5191" spans="1:2" x14ac:dyDescent="0.25">
      <c r="A5191" t="s">
        <v>3890</v>
      </c>
      <c r="B5191" t="s">
        <v>6659</v>
      </c>
    </row>
    <row r="5192" spans="1:2" x14ac:dyDescent="0.25">
      <c r="A5192" t="s">
        <v>1389</v>
      </c>
      <c r="B5192" t="s">
        <v>6006</v>
      </c>
    </row>
    <row r="5193" spans="1:2" x14ac:dyDescent="0.25">
      <c r="A5193" t="s">
        <v>5538</v>
      </c>
      <c r="B5193" t="s">
        <v>5825</v>
      </c>
    </row>
    <row r="5194" spans="1:2" x14ac:dyDescent="0.25">
      <c r="A5194" t="s">
        <v>2235</v>
      </c>
      <c r="B5194" t="s">
        <v>6128</v>
      </c>
    </row>
    <row r="5195" spans="1:2" x14ac:dyDescent="0.25">
      <c r="A5195" t="s">
        <v>4049</v>
      </c>
      <c r="B5195" t="s">
        <v>5787</v>
      </c>
    </row>
    <row r="5196" spans="1:2" x14ac:dyDescent="0.25">
      <c r="A5196" t="s">
        <v>590</v>
      </c>
      <c r="B5196" t="s">
        <v>5794</v>
      </c>
    </row>
    <row r="5197" spans="1:2" x14ac:dyDescent="0.25">
      <c r="A5197" t="s">
        <v>1295</v>
      </c>
      <c r="B5197" t="s">
        <v>5841</v>
      </c>
    </row>
    <row r="5198" spans="1:2" x14ac:dyDescent="0.25">
      <c r="A5198" t="s">
        <v>4455</v>
      </c>
      <c r="B5198" t="s">
        <v>5850</v>
      </c>
    </row>
    <row r="5199" spans="1:2" x14ac:dyDescent="0.25">
      <c r="A5199" t="s">
        <v>4054</v>
      </c>
      <c r="B5199" t="s">
        <v>5787</v>
      </c>
    </row>
    <row r="5200" spans="1:2" x14ac:dyDescent="0.25">
      <c r="A5200" t="s">
        <v>3835</v>
      </c>
      <c r="B5200" t="s">
        <v>5797</v>
      </c>
    </row>
    <row r="5201" spans="1:2" x14ac:dyDescent="0.25">
      <c r="A5201" t="s">
        <v>2320</v>
      </c>
      <c r="B5201" t="s">
        <v>5792</v>
      </c>
    </row>
    <row r="5202" spans="1:2" x14ac:dyDescent="0.25">
      <c r="A5202" t="s">
        <v>712</v>
      </c>
      <c r="B5202" t="s">
        <v>5766</v>
      </c>
    </row>
    <row r="5203" spans="1:2" x14ac:dyDescent="0.25">
      <c r="A5203" t="s">
        <v>3269</v>
      </c>
      <c r="B5203" t="s">
        <v>5802</v>
      </c>
    </row>
    <row r="5204" spans="1:2" x14ac:dyDescent="0.25">
      <c r="A5204" t="s">
        <v>1503</v>
      </c>
      <c r="B5204" t="s">
        <v>5829</v>
      </c>
    </row>
    <row r="5205" spans="1:2" x14ac:dyDescent="0.25">
      <c r="A5205" t="s">
        <v>822</v>
      </c>
      <c r="B5205" t="s">
        <v>6037</v>
      </c>
    </row>
    <row r="5206" spans="1:2" x14ac:dyDescent="0.25">
      <c r="A5206" t="s">
        <v>3444</v>
      </c>
      <c r="B5206" t="s">
        <v>6291</v>
      </c>
    </row>
    <row r="5207" spans="1:2" x14ac:dyDescent="0.25">
      <c r="A5207" t="s">
        <v>2477</v>
      </c>
      <c r="B5207" t="s">
        <v>5826</v>
      </c>
    </row>
    <row r="5208" spans="1:2" x14ac:dyDescent="0.25">
      <c r="A5208" t="s">
        <v>4121</v>
      </c>
      <c r="B5208" t="s">
        <v>5768</v>
      </c>
    </row>
    <row r="5209" spans="1:2" x14ac:dyDescent="0.25">
      <c r="A5209" t="s">
        <v>2352</v>
      </c>
      <c r="B5209" t="s">
        <v>6216</v>
      </c>
    </row>
    <row r="5210" spans="1:2" x14ac:dyDescent="0.25">
      <c r="A5210" t="s">
        <v>2938</v>
      </c>
      <c r="B5210" t="s">
        <v>5706</v>
      </c>
    </row>
    <row r="5211" spans="1:2" x14ac:dyDescent="0.25">
      <c r="A5211" t="s">
        <v>5407</v>
      </c>
      <c r="B5211" t="s">
        <v>6576</v>
      </c>
    </row>
    <row r="5212" spans="1:2" x14ac:dyDescent="0.25">
      <c r="A5212" t="s">
        <v>279</v>
      </c>
      <c r="B5212" t="s">
        <v>5719</v>
      </c>
    </row>
    <row r="5213" spans="1:2" x14ac:dyDescent="0.25">
      <c r="A5213" t="s">
        <v>672</v>
      </c>
      <c r="B5213" t="s">
        <v>5999</v>
      </c>
    </row>
    <row r="5214" spans="1:2" x14ac:dyDescent="0.25">
      <c r="A5214" t="s">
        <v>5021</v>
      </c>
      <c r="B5214" t="s">
        <v>6270</v>
      </c>
    </row>
    <row r="5215" spans="1:2" x14ac:dyDescent="0.25">
      <c r="A5215" t="s">
        <v>3765</v>
      </c>
      <c r="B5215" t="s">
        <v>5708</v>
      </c>
    </row>
    <row r="5216" spans="1:2" x14ac:dyDescent="0.25">
      <c r="A5216" t="s">
        <v>2131</v>
      </c>
      <c r="B5216" t="s">
        <v>5807</v>
      </c>
    </row>
    <row r="5217" spans="1:2" x14ac:dyDescent="0.25">
      <c r="A5217" t="s">
        <v>5520</v>
      </c>
      <c r="B5217" t="s">
        <v>6235</v>
      </c>
    </row>
    <row r="5218" spans="1:2" x14ac:dyDescent="0.25">
      <c r="A5218" t="s">
        <v>113</v>
      </c>
      <c r="B5218" t="s">
        <v>5825</v>
      </c>
    </row>
    <row r="5219" spans="1:2" x14ac:dyDescent="0.25">
      <c r="A5219" t="s">
        <v>1877</v>
      </c>
      <c r="B5219" t="s">
        <v>6069</v>
      </c>
    </row>
    <row r="5220" spans="1:2" x14ac:dyDescent="0.25">
      <c r="A5220" t="s">
        <v>4878</v>
      </c>
      <c r="B5220" t="s">
        <v>5883</v>
      </c>
    </row>
    <row r="5221" spans="1:2" x14ac:dyDescent="0.25">
      <c r="A5221" t="s">
        <v>4174</v>
      </c>
      <c r="B5221" t="s">
        <v>6109</v>
      </c>
    </row>
    <row r="5222" spans="1:2" x14ac:dyDescent="0.25">
      <c r="A5222" t="s">
        <v>3746</v>
      </c>
      <c r="B5222" t="s">
        <v>5807</v>
      </c>
    </row>
    <row r="5223" spans="1:2" x14ac:dyDescent="0.25">
      <c r="A5223" t="s">
        <v>3801</v>
      </c>
      <c r="B5223" t="s">
        <v>5706</v>
      </c>
    </row>
    <row r="5224" spans="1:2" x14ac:dyDescent="0.25">
      <c r="A5224" t="s">
        <v>3847</v>
      </c>
      <c r="B5224" t="s">
        <v>5721</v>
      </c>
    </row>
    <row r="5225" spans="1:2" x14ac:dyDescent="0.25">
      <c r="A5225" t="s">
        <v>454</v>
      </c>
      <c r="B5225" t="s">
        <v>5787</v>
      </c>
    </row>
    <row r="5226" spans="1:2" x14ac:dyDescent="0.25">
      <c r="A5226" t="s">
        <v>2999</v>
      </c>
      <c r="B5226" t="s">
        <v>5790</v>
      </c>
    </row>
    <row r="5227" spans="1:2" x14ac:dyDescent="0.25">
      <c r="A5227" t="s">
        <v>2083</v>
      </c>
      <c r="B5227" t="s">
        <v>5785</v>
      </c>
    </row>
    <row r="5228" spans="1:2" x14ac:dyDescent="0.25">
      <c r="A5228" t="s">
        <v>5333</v>
      </c>
      <c r="B5228" t="s">
        <v>5787</v>
      </c>
    </row>
    <row r="5229" spans="1:2" x14ac:dyDescent="0.25">
      <c r="A5229" t="s">
        <v>760</v>
      </c>
      <c r="B5229" t="s">
        <v>5787</v>
      </c>
    </row>
    <row r="5230" spans="1:2" x14ac:dyDescent="0.25">
      <c r="A5230" t="s">
        <v>395</v>
      </c>
      <c r="B5230" t="s">
        <v>5734</v>
      </c>
    </row>
    <row r="5231" spans="1:2" x14ac:dyDescent="0.25">
      <c r="A5231" t="s">
        <v>4167</v>
      </c>
      <c r="B5231" t="s">
        <v>6231</v>
      </c>
    </row>
    <row r="5232" spans="1:2" x14ac:dyDescent="0.25">
      <c r="A5232" t="s">
        <v>93</v>
      </c>
      <c r="B5232" t="s">
        <v>5782</v>
      </c>
    </row>
    <row r="5233" spans="1:2" x14ac:dyDescent="0.25">
      <c r="A5233" t="s">
        <v>3276</v>
      </c>
      <c r="B5233" t="s">
        <v>5987</v>
      </c>
    </row>
    <row r="5234" spans="1:2" x14ac:dyDescent="0.25">
      <c r="A5234" t="s">
        <v>1725</v>
      </c>
      <c r="B5234" t="s">
        <v>5730</v>
      </c>
    </row>
    <row r="5235" spans="1:2" x14ac:dyDescent="0.25">
      <c r="A5235" t="s">
        <v>2187</v>
      </c>
      <c r="B5235" t="s">
        <v>5824</v>
      </c>
    </row>
    <row r="5236" spans="1:2" x14ac:dyDescent="0.25">
      <c r="A5236" t="s">
        <v>4697</v>
      </c>
      <c r="B5236" t="s">
        <v>6373</v>
      </c>
    </row>
    <row r="5237" spans="1:2" x14ac:dyDescent="0.25">
      <c r="A5237" t="s">
        <v>3656</v>
      </c>
      <c r="B5237" t="s">
        <v>5719</v>
      </c>
    </row>
    <row r="5238" spans="1:2" x14ac:dyDescent="0.25">
      <c r="A5238" t="s">
        <v>2803</v>
      </c>
      <c r="B5238" t="s">
        <v>5912</v>
      </c>
    </row>
    <row r="5239" spans="1:2" x14ac:dyDescent="0.25">
      <c r="A5239" t="s">
        <v>139</v>
      </c>
      <c r="B5239" t="s">
        <v>6013</v>
      </c>
    </row>
    <row r="5240" spans="1:2" x14ac:dyDescent="0.25">
      <c r="A5240" t="s">
        <v>3203</v>
      </c>
      <c r="B5240" t="s">
        <v>6363</v>
      </c>
    </row>
    <row r="5241" spans="1:2" x14ac:dyDescent="0.25">
      <c r="A5241" t="s">
        <v>4873</v>
      </c>
      <c r="B5241" t="s">
        <v>6048</v>
      </c>
    </row>
    <row r="5242" spans="1:2" x14ac:dyDescent="0.25">
      <c r="A5242" t="s">
        <v>189</v>
      </c>
      <c r="B5242" t="s">
        <v>5716</v>
      </c>
    </row>
    <row r="5243" spans="1:2" x14ac:dyDescent="0.25">
      <c r="A5243" t="s">
        <v>2360</v>
      </c>
      <c r="B5243" t="s">
        <v>5880</v>
      </c>
    </row>
    <row r="5244" spans="1:2" x14ac:dyDescent="0.25">
      <c r="A5244" t="s">
        <v>3513</v>
      </c>
      <c r="B5244" t="s">
        <v>5945</v>
      </c>
    </row>
    <row r="5245" spans="1:2" x14ac:dyDescent="0.25">
      <c r="A5245" t="s">
        <v>1190</v>
      </c>
      <c r="B5245" t="s">
        <v>5800</v>
      </c>
    </row>
    <row r="5246" spans="1:2" x14ac:dyDescent="0.25">
      <c r="A5246" t="s">
        <v>3968</v>
      </c>
      <c r="B5246" t="s">
        <v>6146</v>
      </c>
    </row>
    <row r="5247" spans="1:2" x14ac:dyDescent="0.25">
      <c r="A5247" t="s">
        <v>5222</v>
      </c>
      <c r="B5247" t="s">
        <v>5790</v>
      </c>
    </row>
    <row r="5248" spans="1:2" x14ac:dyDescent="0.25">
      <c r="A5248" t="s">
        <v>5177</v>
      </c>
      <c r="B5248" t="s">
        <v>5787</v>
      </c>
    </row>
    <row r="5249" spans="1:2" x14ac:dyDescent="0.25">
      <c r="A5249" t="s">
        <v>4141</v>
      </c>
      <c r="B5249" t="s">
        <v>5796</v>
      </c>
    </row>
    <row r="5250" spans="1:2" x14ac:dyDescent="0.25">
      <c r="A5250" t="s">
        <v>3050</v>
      </c>
      <c r="B5250" t="s">
        <v>5706</v>
      </c>
    </row>
    <row r="5251" spans="1:2" x14ac:dyDescent="0.25">
      <c r="A5251" t="s">
        <v>4611</v>
      </c>
      <c r="B5251" t="s">
        <v>6154</v>
      </c>
    </row>
    <row r="5252" spans="1:2" x14ac:dyDescent="0.25">
      <c r="A5252" t="s">
        <v>5051</v>
      </c>
      <c r="B5252" t="s">
        <v>5787</v>
      </c>
    </row>
    <row r="5253" spans="1:2" x14ac:dyDescent="0.25">
      <c r="A5253" t="s">
        <v>5355</v>
      </c>
      <c r="B5253" t="s">
        <v>6075</v>
      </c>
    </row>
    <row r="5254" spans="1:2" x14ac:dyDescent="0.25">
      <c r="A5254" t="s">
        <v>2363</v>
      </c>
      <c r="B5254" t="s">
        <v>5716</v>
      </c>
    </row>
    <row r="5255" spans="1:2" x14ac:dyDescent="0.25">
      <c r="A5255" t="s">
        <v>2856</v>
      </c>
      <c r="B5255" t="s">
        <v>5870</v>
      </c>
    </row>
    <row r="5256" spans="1:2" x14ac:dyDescent="0.25">
      <c r="A5256" t="s">
        <v>1604</v>
      </c>
      <c r="B5256" t="s">
        <v>5888</v>
      </c>
    </row>
    <row r="5257" spans="1:2" x14ac:dyDescent="0.25">
      <c r="A5257" t="s">
        <v>5352</v>
      </c>
      <c r="B5257" t="s">
        <v>6346</v>
      </c>
    </row>
    <row r="5258" spans="1:2" x14ac:dyDescent="0.25">
      <c r="A5258" t="s">
        <v>109</v>
      </c>
      <c r="B5258" t="s">
        <v>6372</v>
      </c>
    </row>
    <row r="5259" spans="1:2" x14ac:dyDescent="0.25">
      <c r="A5259" t="s">
        <v>4160</v>
      </c>
      <c r="B5259" t="s">
        <v>5967</v>
      </c>
    </row>
    <row r="5260" spans="1:2" x14ac:dyDescent="0.25">
      <c r="A5260" t="s">
        <v>5142</v>
      </c>
      <c r="B5260" t="s">
        <v>6324</v>
      </c>
    </row>
    <row r="5261" spans="1:2" x14ac:dyDescent="0.25">
      <c r="A5261" t="s">
        <v>4330</v>
      </c>
      <c r="B5261" t="s">
        <v>5788</v>
      </c>
    </row>
    <row r="5262" spans="1:2" x14ac:dyDescent="0.25">
      <c r="A5262" t="s">
        <v>3252</v>
      </c>
      <c r="B5262" t="s">
        <v>5828</v>
      </c>
    </row>
    <row r="5263" spans="1:2" x14ac:dyDescent="0.25">
      <c r="A5263" t="s">
        <v>278</v>
      </c>
      <c r="B5263" t="s">
        <v>5813</v>
      </c>
    </row>
    <row r="5264" spans="1:2" x14ac:dyDescent="0.25">
      <c r="A5264" t="s">
        <v>2734</v>
      </c>
      <c r="B5264" t="s">
        <v>6066</v>
      </c>
    </row>
    <row r="5265" spans="1:2" x14ac:dyDescent="0.25">
      <c r="A5265" t="s">
        <v>5026</v>
      </c>
      <c r="B5265" t="s">
        <v>5787</v>
      </c>
    </row>
    <row r="5266" spans="1:2" x14ac:dyDescent="0.25">
      <c r="A5266" t="s">
        <v>2509</v>
      </c>
      <c r="B5266" t="s">
        <v>5983</v>
      </c>
    </row>
    <row r="5267" spans="1:2" x14ac:dyDescent="0.25">
      <c r="A5267" t="s">
        <v>5017</v>
      </c>
      <c r="B5267" t="s">
        <v>6734</v>
      </c>
    </row>
    <row r="5268" spans="1:2" x14ac:dyDescent="0.25">
      <c r="A5268" t="s">
        <v>44</v>
      </c>
      <c r="B5268" t="s">
        <v>5716</v>
      </c>
    </row>
    <row r="5269" spans="1:2" x14ac:dyDescent="0.25">
      <c r="A5269" t="s">
        <v>1815</v>
      </c>
      <c r="B5269" t="s">
        <v>6112</v>
      </c>
    </row>
    <row r="5270" spans="1:2" x14ac:dyDescent="0.25">
      <c r="A5270" t="s">
        <v>1566</v>
      </c>
      <c r="B5270" t="s">
        <v>6112</v>
      </c>
    </row>
    <row r="5271" spans="1:2" x14ac:dyDescent="0.25">
      <c r="A5271" t="s">
        <v>4889</v>
      </c>
      <c r="B5271" t="s">
        <v>5892</v>
      </c>
    </row>
    <row r="5272" spans="1:2" x14ac:dyDescent="0.25">
      <c r="A5272" t="s">
        <v>1456</v>
      </c>
      <c r="B5272" t="s">
        <v>5757</v>
      </c>
    </row>
    <row r="5273" spans="1:2" x14ac:dyDescent="0.25">
      <c r="A5273" t="s">
        <v>651</v>
      </c>
      <c r="B5273" t="s">
        <v>5921</v>
      </c>
    </row>
    <row r="5274" spans="1:2" x14ac:dyDescent="0.25">
      <c r="A5274" t="s">
        <v>4185</v>
      </c>
      <c r="B5274" t="s">
        <v>5822</v>
      </c>
    </row>
    <row r="5275" spans="1:2" x14ac:dyDescent="0.25">
      <c r="A5275" t="s">
        <v>3916</v>
      </c>
      <c r="B5275" t="s">
        <v>5704</v>
      </c>
    </row>
    <row r="5276" spans="1:2" x14ac:dyDescent="0.25">
      <c r="A5276" t="s">
        <v>1619</v>
      </c>
      <c r="B5276" t="s">
        <v>6284</v>
      </c>
    </row>
    <row r="5277" spans="1:2" x14ac:dyDescent="0.25">
      <c r="A5277" t="s">
        <v>2855</v>
      </c>
      <c r="B5277" t="s">
        <v>5787</v>
      </c>
    </row>
    <row r="5278" spans="1:2" x14ac:dyDescent="0.25">
      <c r="A5278" t="s">
        <v>3488</v>
      </c>
      <c r="B5278" t="s">
        <v>6215</v>
      </c>
    </row>
    <row r="5279" spans="1:2" x14ac:dyDescent="0.25">
      <c r="A5279" t="s">
        <v>4125</v>
      </c>
      <c r="B5279" t="s">
        <v>5752</v>
      </c>
    </row>
    <row r="5280" spans="1:2" x14ac:dyDescent="0.25">
      <c r="A5280" t="s">
        <v>2192</v>
      </c>
      <c r="B5280" t="s">
        <v>5719</v>
      </c>
    </row>
    <row r="5281" spans="1:2" x14ac:dyDescent="0.25">
      <c r="A5281" t="s">
        <v>556</v>
      </c>
      <c r="B5281" t="s">
        <v>5708</v>
      </c>
    </row>
    <row r="5282" spans="1:2" x14ac:dyDescent="0.25">
      <c r="A5282" t="s">
        <v>2516</v>
      </c>
      <c r="B5282" t="s">
        <v>5806</v>
      </c>
    </row>
    <row r="5283" spans="1:2" x14ac:dyDescent="0.25">
      <c r="A5283" t="s">
        <v>195</v>
      </c>
      <c r="B5283" t="s">
        <v>5787</v>
      </c>
    </row>
    <row r="5284" spans="1:2" x14ac:dyDescent="0.25">
      <c r="A5284" t="s">
        <v>1183</v>
      </c>
      <c r="B5284" t="s">
        <v>5706</v>
      </c>
    </row>
    <row r="5285" spans="1:2" x14ac:dyDescent="0.25">
      <c r="A5285" t="s">
        <v>747</v>
      </c>
      <c r="B5285" t="s">
        <v>6778</v>
      </c>
    </row>
    <row r="5286" spans="1:2" x14ac:dyDescent="0.25">
      <c r="A5286" t="s">
        <v>68</v>
      </c>
      <c r="B5286" t="s">
        <v>5787</v>
      </c>
    </row>
    <row r="5287" spans="1:2" x14ac:dyDescent="0.25">
      <c r="A5287" t="s">
        <v>5220</v>
      </c>
      <c r="B5287">
        <v>0</v>
      </c>
    </row>
    <row r="5288" spans="1:2" x14ac:dyDescent="0.25">
      <c r="A5288" t="s">
        <v>1826</v>
      </c>
      <c r="B5288" t="s">
        <v>5932</v>
      </c>
    </row>
    <row r="5289" spans="1:2" x14ac:dyDescent="0.25">
      <c r="A5289" t="s">
        <v>3165</v>
      </c>
      <c r="B5289" t="s">
        <v>5799</v>
      </c>
    </row>
    <row r="5290" spans="1:2" x14ac:dyDescent="0.25">
      <c r="A5290" t="s">
        <v>1053</v>
      </c>
      <c r="B5290" t="s">
        <v>6045</v>
      </c>
    </row>
    <row r="5291" spans="1:2" x14ac:dyDescent="0.25">
      <c r="A5291" t="s">
        <v>3500</v>
      </c>
      <c r="B5291" t="s">
        <v>5787</v>
      </c>
    </row>
    <row r="5292" spans="1:2" x14ac:dyDescent="0.25">
      <c r="A5292" t="s">
        <v>4311</v>
      </c>
      <c r="B5292" t="s">
        <v>5716</v>
      </c>
    </row>
    <row r="5293" spans="1:2" x14ac:dyDescent="0.25">
      <c r="A5293" t="s">
        <v>4521</v>
      </c>
      <c r="B5293" t="s">
        <v>5873</v>
      </c>
    </row>
    <row r="5294" spans="1:2" x14ac:dyDescent="0.25">
      <c r="A5294" t="s">
        <v>3216</v>
      </c>
      <c r="B5294" t="s">
        <v>5877</v>
      </c>
    </row>
    <row r="5295" spans="1:2" x14ac:dyDescent="0.25">
      <c r="A5295" t="s">
        <v>1658</v>
      </c>
      <c r="B5295" t="s">
        <v>6185</v>
      </c>
    </row>
    <row r="5296" spans="1:2" x14ac:dyDescent="0.25">
      <c r="A5296" t="s">
        <v>4860</v>
      </c>
      <c r="B5296" t="s">
        <v>5734</v>
      </c>
    </row>
    <row r="5297" spans="1:2" x14ac:dyDescent="0.25">
      <c r="A5297" t="s">
        <v>3267</v>
      </c>
      <c r="B5297" t="s">
        <v>5721</v>
      </c>
    </row>
    <row r="5298" spans="1:2" x14ac:dyDescent="0.25">
      <c r="A5298" t="s">
        <v>493</v>
      </c>
      <c r="B5298" t="s">
        <v>6281</v>
      </c>
    </row>
    <row r="5299" spans="1:2" x14ac:dyDescent="0.25">
      <c r="A5299" t="s">
        <v>5478</v>
      </c>
      <c r="B5299" t="s">
        <v>6142</v>
      </c>
    </row>
    <row r="5300" spans="1:2" x14ac:dyDescent="0.25">
      <c r="A5300" t="s">
        <v>408</v>
      </c>
      <c r="B5300" t="s">
        <v>5706</v>
      </c>
    </row>
    <row r="5301" spans="1:2" x14ac:dyDescent="0.25">
      <c r="A5301" t="s">
        <v>1574</v>
      </c>
      <c r="B5301" t="s">
        <v>5980</v>
      </c>
    </row>
    <row r="5302" spans="1:2" x14ac:dyDescent="0.25">
      <c r="A5302" t="s">
        <v>1307</v>
      </c>
      <c r="B5302" t="s">
        <v>5716</v>
      </c>
    </row>
    <row r="5303" spans="1:2" x14ac:dyDescent="0.25">
      <c r="A5303" t="s">
        <v>1917</v>
      </c>
      <c r="B5303" t="s">
        <v>5851</v>
      </c>
    </row>
    <row r="5304" spans="1:2" x14ac:dyDescent="0.25">
      <c r="A5304" t="s">
        <v>5481</v>
      </c>
      <c r="B5304" t="s">
        <v>5855</v>
      </c>
    </row>
    <row r="5305" spans="1:2" x14ac:dyDescent="0.25">
      <c r="A5305" t="s">
        <v>2301</v>
      </c>
      <c r="B5305" t="s">
        <v>5911</v>
      </c>
    </row>
    <row r="5306" spans="1:2" x14ac:dyDescent="0.25">
      <c r="A5306" t="s">
        <v>12562</v>
      </c>
      <c r="B5306" t="s">
        <v>5811</v>
      </c>
    </row>
    <row r="5307" spans="1:2" x14ac:dyDescent="0.25">
      <c r="A5307" t="s">
        <v>12565</v>
      </c>
      <c r="B5307" t="s">
        <v>6035</v>
      </c>
    </row>
    <row r="5308" spans="1:2" x14ac:dyDescent="0.25">
      <c r="A5308" t="s">
        <v>5322</v>
      </c>
      <c r="B5308" t="s">
        <v>6504</v>
      </c>
    </row>
    <row r="5309" spans="1:2" x14ac:dyDescent="0.25">
      <c r="A5309" t="s">
        <v>3894</v>
      </c>
      <c r="B5309" t="s">
        <v>5809</v>
      </c>
    </row>
    <row r="5310" spans="1:2" x14ac:dyDescent="0.25">
      <c r="A5310" t="s">
        <v>467</v>
      </c>
      <c r="B5310" t="s">
        <v>5847</v>
      </c>
    </row>
    <row r="5311" spans="1:2" x14ac:dyDescent="0.25">
      <c r="A5311" t="s">
        <v>1894</v>
      </c>
      <c r="B5311" t="s">
        <v>6773</v>
      </c>
    </row>
    <row r="5312" spans="1:2" x14ac:dyDescent="0.25">
      <c r="A5312" t="s">
        <v>134</v>
      </c>
      <c r="B5312" t="s">
        <v>5787</v>
      </c>
    </row>
    <row r="5313" spans="1:2" x14ac:dyDescent="0.25">
      <c r="A5313" t="s">
        <v>5194</v>
      </c>
      <c r="B5313">
        <v>0</v>
      </c>
    </row>
    <row r="5314" spans="1:2" x14ac:dyDescent="0.25">
      <c r="A5314" t="s">
        <v>3914</v>
      </c>
      <c r="B5314" t="s">
        <v>5873</v>
      </c>
    </row>
    <row r="5315" spans="1:2" x14ac:dyDescent="0.25">
      <c r="A5315" t="s">
        <v>1687</v>
      </c>
      <c r="B5315" t="s">
        <v>5880</v>
      </c>
    </row>
    <row r="5316" spans="1:2" x14ac:dyDescent="0.25">
      <c r="A5316" t="s">
        <v>4316</v>
      </c>
      <c r="B5316" t="s">
        <v>5787</v>
      </c>
    </row>
    <row r="5317" spans="1:2" x14ac:dyDescent="0.25">
      <c r="A5317" t="s">
        <v>4927</v>
      </c>
      <c r="B5317" t="s">
        <v>5872</v>
      </c>
    </row>
    <row r="5318" spans="1:2" x14ac:dyDescent="0.25">
      <c r="A5318" t="s">
        <v>1327</v>
      </c>
      <c r="B5318" t="s">
        <v>6598</v>
      </c>
    </row>
    <row r="5319" spans="1:2" x14ac:dyDescent="0.25">
      <c r="A5319" t="s">
        <v>735</v>
      </c>
      <c r="B5319" t="s">
        <v>5728</v>
      </c>
    </row>
    <row r="5320" spans="1:2" x14ac:dyDescent="0.25">
      <c r="A5320" t="s">
        <v>5207</v>
      </c>
      <c r="B5320" t="s">
        <v>5787</v>
      </c>
    </row>
    <row r="5321" spans="1:2" x14ac:dyDescent="0.25">
      <c r="A5321" t="s">
        <v>256</v>
      </c>
      <c r="B5321" t="s">
        <v>5787</v>
      </c>
    </row>
    <row r="5322" spans="1:2" x14ac:dyDescent="0.25">
      <c r="A5322" t="s">
        <v>2695</v>
      </c>
      <c r="B5322" t="s">
        <v>5730</v>
      </c>
    </row>
    <row r="5323" spans="1:2" x14ac:dyDescent="0.25">
      <c r="A5323" t="s">
        <v>4110</v>
      </c>
      <c r="B5323" t="s">
        <v>5975</v>
      </c>
    </row>
    <row r="5324" spans="1:2" x14ac:dyDescent="0.25">
      <c r="A5324" t="s">
        <v>922</v>
      </c>
      <c r="B5324" t="s">
        <v>5884</v>
      </c>
    </row>
    <row r="5325" spans="1:2" x14ac:dyDescent="0.25">
      <c r="A5325" t="s">
        <v>377</v>
      </c>
      <c r="B5325" t="s">
        <v>6281</v>
      </c>
    </row>
    <row r="5326" spans="1:2" x14ac:dyDescent="0.25">
      <c r="A5326" t="s">
        <v>416</v>
      </c>
      <c r="B5326" t="s">
        <v>5704</v>
      </c>
    </row>
    <row r="5327" spans="1:2" x14ac:dyDescent="0.25">
      <c r="A5327" t="s">
        <v>1543</v>
      </c>
      <c r="B5327" t="s">
        <v>5790</v>
      </c>
    </row>
    <row r="5328" spans="1:2" x14ac:dyDescent="0.25">
      <c r="A5328" t="s">
        <v>4853</v>
      </c>
      <c r="B5328" t="s">
        <v>5708</v>
      </c>
    </row>
    <row r="5329" spans="1:2" x14ac:dyDescent="0.25">
      <c r="A5329" t="s">
        <v>5062</v>
      </c>
      <c r="B5329" t="s">
        <v>6633</v>
      </c>
    </row>
    <row r="5330" spans="1:2" x14ac:dyDescent="0.25">
      <c r="A5330" t="s">
        <v>4127</v>
      </c>
      <c r="B5330" t="s">
        <v>6549</v>
      </c>
    </row>
    <row r="5331" spans="1:2" x14ac:dyDescent="0.25">
      <c r="A5331" t="s">
        <v>2393</v>
      </c>
      <c r="B5331" t="s">
        <v>6500</v>
      </c>
    </row>
    <row r="5332" spans="1:2" x14ac:dyDescent="0.25">
      <c r="A5332" t="s">
        <v>1385</v>
      </c>
      <c r="B5332" t="s">
        <v>5800</v>
      </c>
    </row>
    <row r="5333" spans="1:2" x14ac:dyDescent="0.25">
      <c r="A5333" t="s">
        <v>5198</v>
      </c>
      <c r="B5333" t="s">
        <v>5894</v>
      </c>
    </row>
    <row r="5334" spans="1:2" x14ac:dyDescent="0.25">
      <c r="A5334" t="s">
        <v>5572</v>
      </c>
      <c r="B5334" t="s">
        <v>5716</v>
      </c>
    </row>
    <row r="5335" spans="1:2" x14ac:dyDescent="0.25">
      <c r="A5335" t="s">
        <v>5543</v>
      </c>
      <c r="B5335" t="s">
        <v>6716</v>
      </c>
    </row>
    <row r="5336" spans="1:2" x14ac:dyDescent="0.25">
      <c r="A5336" t="s">
        <v>3446</v>
      </c>
      <c r="B5336" t="s">
        <v>6307</v>
      </c>
    </row>
    <row r="5337" spans="1:2" x14ac:dyDescent="0.25">
      <c r="A5337" t="s">
        <v>5579</v>
      </c>
      <c r="B5337" t="s">
        <v>5982</v>
      </c>
    </row>
    <row r="5338" spans="1:2" x14ac:dyDescent="0.25">
      <c r="A5338" t="s">
        <v>3838</v>
      </c>
      <c r="B5338" t="s">
        <v>6025</v>
      </c>
    </row>
    <row r="5339" spans="1:2" x14ac:dyDescent="0.25">
      <c r="A5339" t="s">
        <v>1654</v>
      </c>
      <c r="B5339" t="s">
        <v>5759</v>
      </c>
    </row>
    <row r="5340" spans="1:2" x14ac:dyDescent="0.25">
      <c r="A5340" t="s">
        <v>1537</v>
      </c>
      <c r="B5340" t="s">
        <v>5724</v>
      </c>
    </row>
    <row r="5341" spans="1:2" x14ac:dyDescent="0.25">
      <c r="A5341" t="s">
        <v>230</v>
      </c>
      <c r="B5341" t="s">
        <v>5874</v>
      </c>
    </row>
    <row r="5342" spans="1:2" x14ac:dyDescent="0.25">
      <c r="A5342" t="s">
        <v>1336</v>
      </c>
      <c r="B5342" t="s">
        <v>6011</v>
      </c>
    </row>
    <row r="5343" spans="1:2" x14ac:dyDescent="0.25">
      <c r="A5343" t="s">
        <v>3491</v>
      </c>
      <c r="B5343" t="s">
        <v>5948</v>
      </c>
    </row>
    <row r="5344" spans="1:2" x14ac:dyDescent="0.25">
      <c r="A5344" t="s">
        <v>4558</v>
      </c>
      <c r="B5344" t="s">
        <v>5801</v>
      </c>
    </row>
    <row r="5345" spans="1:2" x14ac:dyDescent="0.25">
      <c r="A5345" t="s">
        <v>3115</v>
      </c>
      <c r="B5345" t="s">
        <v>5807</v>
      </c>
    </row>
    <row r="5346" spans="1:2" x14ac:dyDescent="0.25">
      <c r="A5346" t="s">
        <v>2666</v>
      </c>
      <c r="B5346" t="s">
        <v>5836</v>
      </c>
    </row>
    <row r="5347" spans="1:2" x14ac:dyDescent="0.25">
      <c r="A5347" t="s">
        <v>388</v>
      </c>
      <c r="B5347" t="s">
        <v>6002</v>
      </c>
    </row>
    <row r="5348" spans="1:2" x14ac:dyDescent="0.25">
      <c r="A5348" t="s">
        <v>2679</v>
      </c>
      <c r="B5348" t="s">
        <v>5888</v>
      </c>
    </row>
    <row r="5349" spans="1:2" x14ac:dyDescent="0.25">
      <c r="A5349" t="s">
        <v>1149</v>
      </c>
      <c r="B5349">
        <v>0</v>
      </c>
    </row>
    <row r="5350" spans="1:2" x14ac:dyDescent="0.25">
      <c r="A5350" t="s">
        <v>2286</v>
      </c>
      <c r="B5350" t="s">
        <v>6190</v>
      </c>
    </row>
    <row r="5351" spans="1:2" x14ac:dyDescent="0.25">
      <c r="A5351" t="s">
        <v>5416</v>
      </c>
      <c r="B5351">
        <v>0</v>
      </c>
    </row>
    <row r="5352" spans="1:2" x14ac:dyDescent="0.25">
      <c r="A5352" t="s">
        <v>4866</v>
      </c>
      <c r="B5352" t="s">
        <v>5808</v>
      </c>
    </row>
    <row r="5353" spans="1:2" x14ac:dyDescent="0.25">
      <c r="A5353" t="s">
        <v>4977</v>
      </c>
      <c r="B5353" t="s">
        <v>5759</v>
      </c>
    </row>
    <row r="5354" spans="1:2" x14ac:dyDescent="0.25">
      <c r="A5354" t="s">
        <v>4707</v>
      </c>
      <c r="B5354" t="s">
        <v>5759</v>
      </c>
    </row>
    <row r="5355" spans="1:2" x14ac:dyDescent="0.25">
      <c r="A5355" t="s">
        <v>5118</v>
      </c>
      <c r="B5355" t="s">
        <v>5811</v>
      </c>
    </row>
    <row r="5356" spans="1:2" x14ac:dyDescent="0.25">
      <c r="A5356" t="s">
        <v>2493</v>
      </c>
      <c r="B5356" t="s">
        <v>6045</v>
      </c>
    </row>
    <row r="5357" spans="1:2" x14ac:dyDescent="0.25">
      <c r="A5357" t="s">
        <v>3774</v>
      </c>
      <c r="B5357" t="s">
        <v>5906</v>
      </c>
    </row>
    <row r="5358" spans="1:2" x14ac:dyDescent="0.25">
      <c r="A5358" t="s">
        <v>1219</v>
      </c>
      <c r="B5358" t="s">
        <v>5787</v>
      </c>
    </row>
    <row r="5359" spans="1:2" x14ac:dyDescent="0.25">
      <c r="A5359" t="s">
        <v>2462</v>
      </c>
      <c r="B5359" t="s">
        <v>5893</v>
      </c>
    </row>
    <row r="5360" spans="1:2" x14ac:dyDescent="0.25">
      <c r="A5360" t="s">
        <v>4991</v>
      </c>
      <c r="B5360" t="s">
        <v>6373</v>
      </c>
    </row>
    <row r="5361" spans="1:2" x14ac:dyDescent="0.25">
      <c r="A5361" t="s">
        <v>1929</v>
      </c>
      <c r="B5361" t="s">
        <v>5788</v>
      </c>
    </row>
    <row r="5362" spans="1:2" x14ac:dyDescent="0.25">
      <c r="A5362" t="s">
        <v>133</v>
      </c>
      <c r="B5362" t="s">
        <v>6095</v>
      </c>
    </row>
    <row r="5363" spans="1:2" x14ac:dyDescent="0.25">
      <c r="A5363" t="s">
        <v>4522</v>
      </c>
      <c r="B5363" t="s">
        <v>5787</v>
      </c>
    </row>
    <row r="5364" spans="1:2" x14ac:dyDescent="0.25">
      <c r="A5364" t="s">
        <v>2989</v>
      </c>
      <c r="B5364" t="s">
        <v>6107</v>
      </c>
    </row>
    <row r="5365" spans="1:2" x14ac:dyDescent="0.25">
      <c r="A5365" t="s">
        <v>4973</v>
      </c>
      <c r="B5365">
        <v>0</v>
      </c>
    </row>
    <row r="5366" spans="1:2" x14ac:dyDescent="0.25">
      <c r="A5366" t="s">
        <v>4584</v>
      </c>
      <c r="B5366" t="s">
        <v>5839</v>
      </c>
    </row>
    <row r="5367" spans="1:2" x14ac:dyDescent="0.25">
      <c r="A5367" t="s">
        <v>5351</v>
      </c>
      <c r="B5367" t="s">
        <v>5787</v>
      </c>
    </row>
    <row r="5368" spans="1:2" x14ac:dyDescent="0.25">
      <c r="A5368" t="s">
        <v>2402</v>
      </c>
      <c r="B5368" t="s">
        <v>5798</v>
      </c>
    </row>
    <row r="5369" spans="1:2" x14ac:dyDescent="0.25">
      <c r="A5369" t="s">
        <v>5098</v>
      </c>
      <c r="B5369" t="s">
        <v>5721</v>
      </c>
    </row>
    <row r="5370" spans="1:2" x14ac:dyDescent="0.25">
      <c r="A5370" t="s">
        <v>5182</v>
      </c>
      <c r="B5370" t="s">
        <v>5708</v>
      </c>
    </row>
    <row r="5371" spans="1:2" x14ac:dyDescent="0.25">
      <c r="A5371" t="s">
        <v>606</v>
      </c>
      <c r="B5371" t="s">
        <v>5813</v>
      </c>
    </row>
    <row r="5372" spans="1:2" x14ac:dyDescent="0.25">
      <c r="A5372" t="s">
        <v>3514</v>
      </c>
      <c r="B5372" t="s">
        <v>5737</v>
      </c>
    </row>
    <row r="5373" spans="1:2" x14ac:dyDescent="0.25">
      <c r="A5373" t="s">
        <v>5360</v>
      </c>
      <c r="B5373" t="s">
        <v>6139</v>
      </c>
    </row>
    <row r="5374" spans="1:2" x14ac:dyDescent="0.25">
      <c r="A5374" t="s">
        <v>4026</v>
      </c>
      <c r="B5374" t="s">
        <v>6714</v>
      </c>
    </row>
    <row r="5375" spans="1:2" x14ac:dyDescent="0.25">
      <c r="A5375" t="s">
        <v>4731</v>
      </c>
      <c r="B5375" t="s">
        <v>5981</v>
      </c>
    </row>
    <row r="5376" spans="1:2" x14ac:dyDescent="0.25">
      <c r="A5376" t="s">
        <v>4632</v>
      </c>
      <c r="B5376" t="s">
        <v>5747</v>
      </c>
    </row>
    <row r="5377" spans="1:2" x14ac:dyDescent="0.25">
      <c r="A5377" t="s">
        <v>5211</v>
      </c>
      <c r="B5377" t="s">
        <v>5935</v>
      </c>
    </row>
    <row r="5378" spans="1:2" x14ac:dyDescent="0.25">
      <c r="A5378" t="s">
        <v>5334</v>
      </c>
      <c r="B5378" t="s">
        <v>5968</v>
      </c>
    </row>
    <row r="5379" spans="1:2" x14ac:dyDescent="0.25">
      <c r="A5379" t="s">
        <v>745</v>
      </c>
      <c r="B5379" t="s">
        <v>5778</v>
      </c>
    </row>
    <row r="5380" spans="1:2" x14ac:dyDescent="0.25">
      <c r="A5380" t="s">
        <v>3939</v>
      </c>
      <c r="B5380" t="s">
        <v>5719</v>
      </c>
    </row>
    <row r="5381" spans="1:2" x14ac:dyDescent="0.25">
      <c r="A5381" t="s">
        <v>2834</v>
      </c>
      <c r="B5381" t="s">
        <v>6067</v>
      </c>
    </row>
    <row r="5382" spans="1:2" x14ac:dyDescent="0.25">
      <c r="A5382" t="s">
        <v>4596</v>
      </c>
      <c r="B5382" t="s">
        <v>5724</v>
      </c>
    </row>
    <row r="5383" spans="1:2" x14ac:dyDescent="0.25">
      <c r="A5383" t="s">
        <v>1965</v>
      </c>
      <c r="B5383" t="s">
        <v>5825</v>
      </c>
    </row>
    <row r="5384" spans="1:2" x14ac:dyDescent="0.25">
      <c r="A5384" t="s">
        <v>3858</v>
      </c>
      <c r="B5384" t="s">
        <v>5737</v>
      </c>
    </row>
    <row r="5385" spans="1:2" x14ac:dyDescent="0.25">
      <c r="A5385" t="s">
        <v>4960</v>
      </c>
      <c r="B5385" t="s">
        <v>5787</v>
      </c>
    </row>
    <row r="5386" spans="1:2" x14ac:dyDescent="0.25">
      <c r="A5386" t="s">
        <v>4068</v>
      </c>
      <c r="B5386" t="s">
        <v>5711</v>
      </c>
    </row>
    <row r="5387" spans="1:2" x14ac:dyDescent="0.25">
      <c r="A5387" t="s">
        <v>1928</v>
      </c>
      <c r="B5387" t="s">
        <v>6136</v>
      </c>
    </row>
    <row r="5388" spans="1:2" x14ac:dyDescent="0.25">
      <c r="A5388" t="s">
        <v>1464</v>
      </c>
      <c r="B5388" t="s">
        <v>5788</v>
      </c>
    </row>
    <row r="5389" spans="1:2" x14ac:dyDescent="0.25">
      <c r="A5389" t="s">
        <v>4334</v>
      </c>
      <c r="B5389" t="s">
        <v>5787</v>
      </c>
    </row>
    <row r="5390" spans="1:2" x14ac:dyDescent="0.25">
      <c r="A5390" t="s">
        <v>1571</v>
      </c>
      <c r="B5390" t="s">
        <v>6005</v>
      </c>
    </row>
    <row r="5391" spans="1:2" x14ac:dyDescent="0.25">
      <c r="A5391" t="s">
        <v>2078</v>
      </c>
      <c r="B5391" t="s">
        <v>6671</v>
      </c>
    </row>
    <row r="5392" spans="1:2" x14ac:dyDescent="0.25">
      <c r="A5392" t="s">
        <v>3608</v>
      </c>
      <c r="B5392" t="s">
        <v>6027</v>
      </c>
    </row>
    <row r="5393" spans="1:2" x14ac:dyDescent="0.25">
      <c r="A5393" t="s">
        <v>4130</v>
      </c>
      <c r="B5393" t="s">
        <v>5706</v>
      </c>
    </row>
    <row r="5394" spans="1:2" x14ac:dyDescent="0.25">
      <c r="A5394" t="s">
        <v>2009</v>
      </c>
      <c r="B5394" t="s">
        <v>5932</v>
      </c>
    </row>
    <row r="5395" spans="1:2" x14ac:dyDescent="0.25">
      <c r="A5395" t="s">
        <v>1565</v>
      </c>
      <c r="B5395" t="s">
        <v>6435</v>
      </c>
    </row>
    <row r="5396" spans="1:2" x14ac:dyDescent="0.25">
      <c r="A5396" t="s">
        <v>4175</v>
      </c>
      <c r="B5396" t="s">
        <v>6093</v>
      </c>
    </row>
    <row r="5397" spans="1:2" x14ac:dyDescent="0.25">
      <c r="A5397" t="s">
        <v>5147</v>
      </c>
      <c r="B5397" t="s">
        <v>5816</v>
      </c>
    </row>
    <row r="5398" spans="1:2" x14ac:dyDescent="0.25">
      <c r="A5398" t="s">
        <v>1715</v>
      </c>
      <c r="B5398" t="s">
        <v>5778</v>
      </c>
    </row>
    <row r="5399" spans="1:2" x14ac:dyDescent="0.25">
      <c r="A5399" t="s">
        <v>2222</v>
      </c>
      <c r="B5399" t="s">
        <v>5787</v>
      </c>
    </row>
    <row r="5400" spans="1:2" x14ac:dyDescent="0.25">
      <c r="A5400" t="s">
        <v>5557</v>
      </c>
      <c r="B5400" t="s">
        <v>5787</v>
      </c>
    </row>
    <row r="5401" spans="1:2" x14ac:dyDescent="0.25">
      <c r="A5401" t="s">
        <v>1005</v>
      </c>
      <c r="B5401" t="s">
        <v>5835</v>
      </c>
    </row>
    <row r="5402" spans="1:2" x14ac:dyDescent="0.25">
      <c r="A5402" t="s">
        <v>4471</v>
      </c>
      <c r="B5402" t="s">
        <v>6035</v>
      </c>
    </row>
    <row r="5403" spans="1:2" x14ac:dyDescent="0.25">
      <c r="A5403" t="s">
        <v>4888</v>
      </c>
      <c r="B5403" t="s">
        <v>5819</v>
      </c>
    </row>
    <row r="5404" spans="1:2" x14ac:dyDescent="0.25">
      <c r="A5404" t="s">
        <v>2054</v>
      </c>
      <c r="B5404" t="s">
        <v>5752</v>
      </c>
    </row>
    <row r="5405" spans="1:2" x14ac:dyDescent="0.25">
      <c r="A5405" t="s">
        <v>2830</v>
      </c>
      <c r="B5405" t="s">
        <v>5747</v>
      </c>
    </row>
    <row r="5406" spans="1:2" x14ac:dyDescent="0.25">
      <c r="A5406" t="s">
        <v>4909</v>
      </c>
      <c r="B5406" t="s">
        <v>6748</v>
      </c>
    </row>
    <row r="5407" spans="1:2" x14ac:dyDescent="0.25">
      <c r="A5407" t="s">
        <v>5000</v>
      </c>
      <c r="B5407" t="s">
        <v>5787</v>
      </c>
    </row>
    <row r="5408" spans="1:2" x14ac:dyDescent="0.25">
      <c r="A5408" t="s">
        <v>4547</v>
      </c>
      <c r="B5408" t="s">
        <v>6799</v>
      </c>
    </row>
    <row r="5409" spans="1:2" x14ac:dyDescent="0.25">
      <c r="A5409" t="s">
        <v>2440</v>
      </c>
      <c r="B5409" t="s">
        <v>5734</v>
      </c>
    </row>
    <row r="5410" spans="1:2" x14ac:dyDescent="0.25">
      <c r="A5410" t="s">
        <v>4617</v>
      </c>
      <c r="B5410" t="s">
        <v>5704</v>
      </c>
    </row>
    <row r="5411" spans="1:2" x14ac:dyDescent="0.25">
      <c r="A5411" t="s">
        <v>3106</v>
      </c>
      <c r="B5411" t="s">
        <v>5787</v>
      </c>
    </row>
    <row r="5412" spans="1:2" x14ac:dyDescent="0.25">
      <c r="A5412" t="s">
        <v>4210</v>
      </c>
      <c r="B5412" t="s">
        <v>6347</v>
      </c>
    </row>
    <row r="5413" spans="1:2" x14ac:dyDescent="0.25">
      <c r="A5413" t="s">
        <v>5189</v>
      </c>
      <c r="B5413" t="s">
        <v>5793</v>
      </c>
    </row>
    <row r="5414" spans="1:2" x14ac:dyDescent="0.25">
      <c r="A5414" t="s">
        <v>2769</v>
      </c>
      <c r="B5414" t="s">
        <v>5728</v>
      </c>
    </row>
    <row r="5415" spans="1:2" x14ac:dyDescent="0.25">
      <c r="A5415" t="s">
        <v>5700</v>
      </c>
      <c r="B5415" t="s">
        <v>5780</v>
      </c>
    </row>
    <row r="5416" spans="1:2" x14ac:dyDescent="0.25">
      <c r="A5416" t="s">
        <v>2453</v>
      </c>
      <c r="B5416" t="s">
        <v>5704</v>
      </c>
    </row>
    <row r="5417" spans="1:2" x14ac:dyDescent="0.25">
      <c r="A5417" t="s">
        <v>4239</v>
      </c>
      <c r="B5417" t="s">
        <v>6183</v>
      </c>
    </row>
    <row r="5418" spans="1:2" x14ac:dyDescent="0.25">
      <c r="A5418" t="s">
        <v>2094</v>
      </c>
      <c r="B5418" t="s">
        <v>5787</v>
      </c>
    </row>
    <row r="5419" spans="1:2" x14ac:dyDescent="0.25">
      <c r="A5419" t="s">
        <v>1349</v>
      </c>
      <c r="B5419" t="s">
        <v>5789</v>
      </c>
    </row>
    <row r="5420" spans="1:2" x14ac:dyDescent="0.25">
      <c r="A5420" t="s">
        <v>4963</v>
      </c>
      <c r="B5420" t="s">
        <v>5787</v>
      </c>
    </row>
    <row r="5421" spans="1:2" x14ac:dyDescent="0.25">
      <c r="A5421" t="s">
        <v>2314</v>
      </c>
      <c r="B5421" t="s">
        <v>5787</v>
      </c>
    </row>
    <row r="5422" spans="1:2" x14ac:dyDescent="0.25">
      <c r="A5422" t="s">
        <v>4528</v>
      </c>
      <c r="B5422" t="s">
        <v>5993</v>
      </c>
    </row>
    <row r="5423" spans="1:2" x14ac:dyDescent="0.25">
      <c r="A5423" t="s">
        <v>5599</v>
      </c>
      <c r="B5423" t="s">
        <v>5787</v>
      </c>
    </row>
    <row r="5424" spans="1:2" x14ac:dyDescent="0.25">
      <c r="A5424" t="s">
        <v>5356</v>
      </c>
      <c r="B5424" t="s">
        <v>6171</v>
      </c>
    </row>
  </sheetData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Roman,Regular"&amp;12&amp;Kffffff&amp;A</oddHeader>
    <oddFooter>&amp;C&amp;"Times New Roman,Regular"&amp;12&amp;KffffffPage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53"/>
  <sheetViews>
    <sheetView topLeftCell="A32" zoomScaleNormal="100" workbookViewId="0">
      <selection activeCell="A4" sqref="A4"/>
    </sheetView>
  </sheetViews>
  <sheetFormatPr defaultColWidth="8.42578125" defaultRowHeight="15" x14ac:dyDescent="0.25"/>
  <cols>
    <col min="1" max="1" width="46.5703125" customWidth="1"/>
    <col min="2" max="2" width="10" customWidth="1"/>
  </cols>
  <sheetData>
    <row r="1" spans="1:2" x14ac:dyDescent="0.25">
      <c r="A1" s="2" t="s">
        <v>5710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4068</v>
      </c>
      <c r="B4" t="s">
        <v>5711</v>
      </c>
    </row>
    <row r="5" spans="1:2" x14ac:dyDescent="0.25">
      <c r="A5" t="s">
        <v>348</v>
      </c>
      <c r="B5" t="s">
        <v>5711</v>
      </c>
    </row>
    <row r="6" spans="1:2" x14ac:dyDescent="0.25">
      <c r="A6" t="s">
        <v>2048</v>
      </c>
      <c r="B6" t="s">
        <v>5711</v>
      </c>
    </row>
    <row r="7" spans="1:2" x14ac:dyDescent="0.25">
      <c r="A7" t="s">
        <v>3647</v>
      </c>
      <c r="B7" t="s">
        <v>5711</v>
      </c>
    </row>
    <row r="8" spans="1:2" x14ac:dyDescent="0.25">
      <c r="A8" t="s">
        <v>2863</v>
      </c>
      <c r="B8" t="s">
        <v>5711</v>
      </c>
    </row>
    <row r="9" spans="1:2" x14ac:dyDescent="0.25">
      <c r="A9" t="s">
        <v>2127</v>
      </c>
      <c r="B9" t="s">
        <v>5711</v>
      </c>
    </row>
    <row r="10" spans="1:2" x14ac:dyDescent="0.25">
      <c r="A10" t="s">
        <v>1709</v>
      </c>
      <c r="B10" t="s">
        <v>5711</v>
      </c>
    </row>
    <row r="11" spans="1:2" x14ac:dyDescent="0.25">
      <c r="A11" t="s">
        <v>3779</v>
      </c>
      <c r="B11" t="s">
        <v>5711</v>
      </c>
    </row>
    <row r="12" spans="1:2" x14ac:dyDescent="0.25">
      <c r="A12" t="s">
        <v>2035</v>
      </c>
      <c r="B12" t="s">
        <v>5711</v>
      </c>
    </row>
    <row r="13" spans="1:2" x14ac:dyDescent="0.25">
      <c r="A13" t="s">
        <v>5569</v>
      </c>
      <c r="B13" t="s">
        <v>5711</v>
      </c>
    </row>
    <row r="14" spans="1:2" x14ac:dyDescent="0.25">
      <c r="A14" t="s">
        <v>245</v>
      </c>
      <c r="B14" t="s">
        <v>5711</v>
      </c>
    </row>
    <row r="15" spans="1:2" x14ac:dyDescent="0.25">
      <c r="A15" t="s">
        <v>2117</v>
      </c>
      <c r="B15" t="s">
        <v>5711</v>
      </c>
    </row>
    <row r="16" spans="1:2" x14ac:dyDescent="0.25">
      <c r="A16" t="s">
        <v>603</v>
      </c>
      <c r="B16" t="s">
        <v>5711</v>
      </c>
    </row>
    <row r="17" spans="1:2" x14ac:dyDescent="0.25">
      <c r="A17" t="s">
        <v>2710</v>
      </c>
      <c r="B17" t="s">
        <v>5711</v>
      </c>
    </row>
    <row r="18" spans="1:2" x14ac:dyDescent="0.25">
      <c r="A18" t="s">
        <v>3201</v>
      </c>
      <c r="B18" t="s">
        <v>5711</v>
      </c>
    </row>
    <row r="19" spans="1:2" x14ac:dyDescent="0.25">
      <c r="A19" t="s">
        <v>205</v>
      </c>
      <c r="B19" t="s">
        <v>5711</v>
      </c>
    </row>
    <row r="20" spans="1:2" x14ac:dyDescent="0.25">
      <c r="A20" t="s">
        <v>3637</v>
      </c>
      <c r="B20" t="s">
        <v>5711</v>
      </c>
    </row>
    <row r="21" spans="1:2" x14ac:dyDescent="0.25">
      <c r="A21" t="s">
        <v>2920</v>
      </c>
      <c r="B21" t="s">
        <v>5711</v>
      </c>
    </row>
    <row r="22" spans="1:2" x14ac:dyDescent="0.25">
      <c r="A22" t="s">
        <v>1315</v>
      </c>
      <c r="B22" t="s">
        <v>5711</v>
      </c>
    </row>
    <row r="23" spans="1:2" x14ac:dyDescent="0.25">
      <c r="A23" t="s">
        <v>3595</v>
      </c>
      <c r="B23" t="s">
        <v>5711</v>
      </c>
    </row>
    <row r="24" spans="1:2" x14ac:dyDescent="0.25">
      <c r="A24" t="s">
        <v>5056</v>
      </c>
      <c r="B24" t="s">
        <v>5711</v>
      </c>
    </row>
    <row r="25" spans="1:2" x14ac:dyDescent="0.25">
      <c r="A25" t="s">
        <v>3376</v>
      </c>
      <c r="B25" t="s">
        <v>5711</v>
      </c>
    </row>
    <row r="26" spans="1:2" x14ac:dyDescent="0.25">
      <c r="A26" t="s">
        <v>5234</v>
      </c>
      <c r="B26" t="s">
        <v>5711</v>
      </c>
    </row>
    <row r="27" spans="1:2" x14ac:dyDescent="0.25">
      <c r="A27" t="s">
        <v>2805</v>
      </c>
      <c r="B27" t="s">
        <v>5711</v>
      </c>
    </row>
    <row r="28" spans="1:2" x14ac:dyDescent="0.25">
      <c r="A28" t="s">
        <v>2964</v>
      </c>
      <c r="B28" t="s">
        <v>5711</v>
      </c>
    </row>
    <row r="29" spans="1:2" x14ac:dyDescent="0.25">
      <c r="A29" t="s">
        <v>4035</v>
      </c>
      <c r="B29" t="s">
        <v>5711</v>
      </c>
    </row>
    <row r="30" spans="1:2" x14ac:dyDescent="0.25">
      <c r="A30" t="s">
        <v>4166</v>
      </c>
      <c r="B30" t="s">
        <v>5711</v>
      </c>
    </row>
    <row r="31" spans="1:2" x14ac:dyDescent="0.25">
      <c r="A31" t="s">
        <v>3233</v>
      </c>
      <c r="B31" t="s">
        <v>5711</v>
      </c>
    </row>
    <row r="32" spans="1:2" x14ac:dyDescent="0.25">
      <c r="A32" t="s">
        <v>1395</v>
      </c>
      <c r="B32" t="s">
        <v>5711</v>
      </c>
    </row>
    <row r="33" spans="1:2" x14ac:dyDescent="0.25">
      <c r="A33" t="s">
        <v>1852</v>
      </c>
      <c r="B33" t="s">
        <v>5711</v>
      </c>
    </row>
    <row r="34" spans="1:2" x14ac:dyDescent="0.25">
      <c r="A34" t="s">
        <v>164</v>
      </c>
      <c r="B34" t="s">
        <v>5711</v>
      </c>
    </row>
    <row r="35" spans="1:2" x14ac:dyDescent="0.25">
      <c r="A35" t="s">
        <v>3980</v>
      </c>
      <c r="B35" t="s">
        <v>5711</v>
      </c>
    </row>
    <row r="36" spans="1:2" x14ac:dyDescent="0.25">
      <c r="A36" t="s">
        <v>488</v>
      </c>
      <c r="B36" t="s">
        <v>5711</v>
      </c>
    </row>
    <row r="37" spans="1:2" x14ac:dyDescent="0.25">
      <c r="A37" t="s">
        <v>225</v>
      </c>
      <c r="B37" t="s">
        <v>5711</v>
      </c>
    </row>
    <row r="38" spans="1:2" x14ac:dyDescent="0.25">
      <c r="A38" t="s">
        <v>5468</v>
      </c>
      <c r="B38" t="s">
        <v>5711</v>
      </c>
    </row>
    <row r="39" spans="1:2" x14ac:dyDescent="0.25">
      <c r="A39" t="s">
        <v>2159</v>
      </c>
      <c r="B39" t="s">
        <v>5711</v>
      </c>
    </row>
    <row r="40" spans="1:2" x14ac:dyDescent="0.25">
      <c r="A40" t="s">
        <v>5271</v>
      </c>
      <c r="B40" t="s">
        <v>5711</v>
      </c>
    </row>
    <row r="41" spans="1:2" x14ac:dyDescent="0.25">
      <c r="A41" t="s">
        <v>1238</v>
      </c>
      <c r="B41" t="s">
        <v>5711</v>
      </c>
    </row>
    <row r="42" spans="1:2" x14ac:dyDescent="0.25">
      <c r="A42" t="s">
        <v>2282</v>
      </c>
      <c r="B42" t="s">
        <v>5711</v>
      </c>
    </row>
    <row r="43" spans="1:2" x14ac:dyDescent="0.25">
      <c r="A43" t="s">
        <v>3859</v>
      </c>
      <c r="B43" t="s">
        <v>5711</v>
      </c>
    </row>
    <row r="44" spans="1:2" x14ac:dyDescent="0.25">
      <c r="A44" t="s">
        <v>85</v>
      </c>
      <c r="B44" t="s">
        <v>5711</v>
      </c>
    </row>
    <row r="45" spans="1:2" x14ac:dyDescent="0.25">
      <c r="A45" t="s">
        <v>296</v>
      </c>
      <c r="B45" t="s">
        <v>5711</v>
      </c>
    </row>
    <row r="46" spans="1:2" x14ac:dyDescent="0.25">
      <c r="A46" t="s">
        <v>5679</v>
      </c>
      <c r="B46" t="s">
        <v>5711</v>
      </c>
    </row>
    <row r="47" spans="1:2" x14ac:dyDescent="0.25">
      <c r="A47" t="s">
        <v>3820</v>
      </c>
      <c r="B47" t="s">
        <v>5711</v>
      </c>
    </row>
    <row r="48" spans="1:2" x14ac:dyDescent="0.25">
      <c r="A48" t="s">
        <v>1816</v>
      </c>
      <c r="B48" t="s">
        <v>5711</v>
      </c>
    </row>
    <row r="49" spans="1:2" x14ac:dyDescent="0.25">
      <c r="A49" t="s">
        <v>4631</v>
      </c>
      <c r="B49" t="s">
        <v>5711</v>
      </c>
    </row>
    <row r="50" spans="1:2" x14ac:dyDescent="0.25">
      <c r="A50" t="s">
        <v>247</v>
      </c>
      <c r="B50" t="s">
        <v>5711</v>
      </c>
    </row>
    <row r="51" spans="1:2" x14ac:dyDescent="0.25">
      <c r="A51" t="s">
        <v>2223</v>
      </c>
      <c r="B51" t="s">
        <v>5711</v>
      </c>
    </row>
    <row r="52" spans="1:2" x14ac:dyDescent="0.25">
      <c r="A52" t="s">
        <v>2944</v>
      </c>
      <c r="B52" t="s">
        <v>5711</v>
      </c>
    </row>
    <row r="53" spans="1:2" x14ac:dyDescent="0.25">
      <c r="A53" t="s">
        <v>258</v>
      </c>
      <c r="B53" t="s">
        <v>5711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50"/>
  <sheetViews>
    <sheetView topLeftCell="A29" zoomScaleNormal="100" workbookViewId="0">
      <selection activeCell="A4" sqref="A4"/>
    </sheetView>
  </sheetViews>
  <sheetFormatPr defaultColWidth="8.42578125" defaultRowHeight="15" x14ac:dyDescent="0.25"/>
  <cols>
    <col min="1" max="1" width="41" customWidth="1"/>
    <col min="2" max="2" width="9.7109375" customWidth="1"/>
  </cols>
  <sheetData>
    <row r="1" spans="1:2" x14ac:dyDescent="0.25">
      <c r="A1" s="2" t="s">
        <v>5712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2378</v>
      </c>
      <c r="B4" t="s">
        <v>5713</v>
      </c>
    </row>
    <row r="5" spans="1:2" x14ac:dyDescent="0.25">
      <c r="A5" t="s">
        <v>1129</v>
      </c>
      <c r="B5" t="s">
        <v>5713</v>
      </c>
    </row>
    <row r="6" spans="1:2" x14ac:dyDescent="0.25">
      <c r="A6" t="s">
        <v>3944</v>
      </c>
      <c r="B6" t="s">
        <v>5713</v>
      </c>
    </row>
    <row r="7" spans="1:2" x14ac:dyDescent="0.25">
      <c r="A7" t="s">
        <v>2186</v>
      </c>
      <c r="B7" t="s">
        <v>5713</v>
      </c>
    </row>
    <row r="8" spans="1:2" x14ac:dyDescent="0.25">
      <c r="A8" t="s">
        <v>977</v>
      </c>
      <c r="B8" t="s">
        <v>5713</v>
      </c>
    </row>
    <row r="9" spans="1:2" x14ac:dyDescent="0.25">
      <c r="A9" t="s">
        <v>3281</v>
      </c>
      <c r="B9" t="s">
        <v>5713</v>
      </c>
    </row>
    <row r="10" spans="1:2" x14ac:dyDescent="0.25">
      <c r="A10" t="s">
        <v>1122</v>
      </c>
      <c r="B10" t="s">
        <v>5713</v>
      </c>
    </row>
    <row r="11" spans="1:2" x14ac:dyDescent="0.25">
      <c r="A11" t="s">
        <v>1937</v>
      </c>
      <c r="B11" t="s">
        <v>5713</v>
      </c>
    </row>
    <row r="12" spans="1:2" x14ac:dyDescent="0.25">
      <c r="A12" t="s">
        <v>91</v>
      </c>
      <c r="B12" t="s">
        <v>5713</v>
      </c>
    </row>
    <row r="13" spans="1:2" x14ac:dyDescent="0.25">
      <c r="A13" t="s">
        <v>2958</v>
      </c>
      <c r="B13" t="s">
        <v>5713</v>
      </c>
    </row>
    <row r="14" spans="1:2" x14ac:dyDescent="0.25">
      <c r="A14" t="s">
        <v>1669</v>
      </c>
      <c r="B14" t="s">
        <v>5713</v>
      </c>
    </row>
    <row r="15" spans="1:2" x14ac:dyDescent="0.25">
      <c r="A15" t="s">
        <v>652</v>
      </c>
      <c r="B15" t="s">
        <v>5713</v>
      </c>
    </row>
    <row r="16" spans="1:2" x14ac:dyDescent="0.25">
      <c r="A16" t="s">
        <v>3442</v>
      </c>
      <c r="B16" t="s">
        <v>5713</v>
      </c>
    </row>
    <row r="17" spans="1:2" x14ac:dyDescent="0.25">
      <c r="A17" t="s">
        <v>819</v>
      </c>
      <c r="B17" t="s">
        <v>5713</v>
      </c>
    </row>
    <row r="18" spans="1:2" x14ac:dyDescent="0.25">
      <c r="A18" t="s">
        <v>5402</v>
      </c>
      <c r="B18" t="s">
        <v>5713</v>
      </c>
    </row>
    <row r="19" spans="1:2" x14ac:dyDescent="0.25">
      <c r="A19" t="s">
        <v>432</v>
      </c>
      <c r="B19" t="s">
        <v>5713</v>
      </c>
    </row>
    <row r="20" spans="1:2" x14ac:dyDescent="0.25">
      <c r="A20" t="s">
        <v>3034</v>
      </c>
      <c r="B20" t="s">
        <v>5713</v>
      </c>
    </row>
    <row r="21" spans="1:2" x14ac:dyDescent="0.25">
      <c r="A21" t="s">
        <v>741</v>
      </c>
      <c r="B21" t="s">
        <v>5713</v>
      </c>
    </row>
    <row r="22" spans="1:2" x14ac:dyDescent="0.25">
      <c r="A22" t="s">
        <v>1028</v>
      </c>
      <c r="B22" t="s">
        <v>5713</v>
      </c>
    </row>
    <row r="23" spans="1:2" x14ac:dyDescent="0.25">
      <c r="A23" t="s">
        <v>3573</v>
      </c>
      <c r="B23" t="s">
        <v>5713</v>
      </c>
    </row>
    <row r="24" spans="1:2" x14ac:dyDescent="0.25">
      <c r="A24" t="s">
        <v>188</v>
      </c>
      <c r="B24" t="s">
        <v>5713</v>
      </c>
    </row>
    <row r="25" spans="1:2" x14ac:dyDescent="0.25">
      <c r="A25" t="s">
        <v>4056</v>
      </c>
      <c r="B25" t="s">
        <v>5713</v>
      </c>
    </row>
    <row r="26" spans="1:2" x14ac:dyDescent="0.25">
      <c r="A26" t="s">
        <v>100</v>
      </c>
      <c r="B26" t="s">
        <v>5713</v>
      </c>
    </row>
    <row r="27" spans="1:2" x14ac:dyDescent="0.25">
      <c r="A27" t="s">
        <v>185</v>
      </c>
      <c r="B27" t="s">
        <v>5713</v>
      </c>
    </row>
    <row r="28" spans="1:2" x14ac:dyDescent="0.25">
      <c r="A28" t="s">
        <v>2204</v>
      </c>
      <c r="B28" t="s">
        <v>5713</v>
      </c>
    </row>
    <row r="29" spans="1:2" x14ac:dyDescent="0.25">
      <c r="A29" t="s">
        <v>2218</v>
      </c>
      <c r="B29" t="s">
        <v>5713</v>
      </c>
    </row>
    <row r="30" spans="1:2" x14ac:dyDescent="0.25">
      <c r="A30" t="s">
        <v>2044</v>
      </c>
      <c r="B30" t="s">
        <v>5713</v>
      </c>
    </row>
    <row r="31" spans="1:2" x14ac:dyDescent="0.25">
      <c r="A31" t="s">
        <v>3505</v>
      </c>
      <c r="B31" t="s">
        <v>5713</v>
      </c>
    </row>
    <row r="32" spans="1:2" x14ac:dyDescent="0.25">
      <c r="A32" t="s">
        <v>2102</v>
      </c>
      <c r="B32" t="s">
        <v>5713</v>
      </c>
    </row>
    <row r="33" spans="1:2" x14ac:dyDescent="0.25">
      <c r="A33" t="s">
        <v>2483</v>
      </c>
      <c r="B33" t="s">
        <v>5713</v>
      </c>
    </row>
    <row r="34" spans="1:2" x14ac:dyDescent="0.25">
      <c r="A34" t="s">
        <v>527</v>
      </c>
      <c r="B34" t="s">
        <v>5713</v>
      </c>
    </row>
    <row r="35" spans="1:2" x14ac:dyDescent="0.25">
      <c r="A35" t="s">
        <v>3959</v>
      </c>
      <c r="B35" t="s">
        <v>5713</v>
      </c>
    </row>
    <row r="36" spans="1:2" x14ac:dyDescent="0.25">
      <c r="A36" t="s">
        <v>3135</v>
      </c>
      <c r="B36" t="s">
        <v>5713</v>
      </c>
    </row>
    <row r="37" spans="1:2" x14ac:dyDescent="0.25">
      <c r="A37" t="s">
        <v>4755</v>
      </c>
      <c r="B37" t="s">
        <v>5713</v>
      </c>
    </row>
    <row r="38" spans="1:2" x14ac:dyDescent="0.25">
      <c r="A38" t="s">
        <v>2910</v>
      </c>
      <c r="B38" t="s">
        <v>5713</v>
      </c>
    </row>
    <row r="39" spans="1:2" x14ac:dyDescent="0.25">
      <c r="A39" t="s">
        <v>4513</v>
      </c>
      <c r="B39" t="s">
        <v>5713</v>
      </c>
    </row>
    <row r="40" spans="1:2" x14ac:dyDescent="0.25">
      <c r="A40" t="s">
        <v>3198</v>
      </c>
      <c r="B40" t="s">
        <v>5713</v>
      </c>
    </row>
    <row r="41" spans="1:2" x14ac:dyDescent="0.25">
      <c r="A41" t="s">
        <v>5714</v>
      </c>
      <c r="B41" t="s">
        <v>5713</v>
      </c>
    </row>
    <row r="42" spans="1:2" x14ac:dyDescent="0.25">
      <c r="A42" t="s">
        <v>270</v>
      </c>
      <c r="B42" t="s">
        <v>5713</v>
      </c>
    </row>
    <row r="43" spans="1:2" x14ac:dyDescent="0.25">
      <c r="A43" t="s">
        <v>1404</v>
      </c>
      <c r="B43" t="s">
        <v>5713</v>
      </c>
    </row>
    <row r="44" spans="1:2" x14ac:dyDescent="0.25">
      <c r="A44" t="s">
        <v>3120</v>
      </c>
      <c r="B44" t="s">
        <v>5713</v>
      </c>
    </row>
    <row r="45" spans="1:2" x14ac:dyDescent="0.25">
      <c r="A45" t="s">
        <v>3502</v>
      </c>
      <c r="B45" t="s">
        <v>5713</v>
      </c>
    </row>
    <row r="46" spans="1:2" x14ac:dyDescent="0.25">
      <c r="A46" t="s">
        <v>1498</v>
      </c>
      <c r="B46" t="s">
        <v>5713</v>
      </c>
    </row>
    <row r="47" spans="1:2" x14ac:dyDescent="0.25">
      <c r="A47" t="s">
        <v>1779</v>
      </c>
      <c r="B47" t="s">
        <v>5713</v>
      </c>
    </row>
    <row r="48" spans="1:2" x14ac:dyDescent="0.25">
      <c r="A48" t="s">
        <v>2291</v>
      </c>
      <c r="B48" t="s">
        <v>5713</v>
      </c>
    </row>
    <row r="49" spans="1:2" x14ac:dyDescent="0.25">
      <c r="A49" t="s">
        <v>1230</v>
      </c>
      <c r="B49" t="s">
        <v>5713</v>
      </c>
    </row>
    <row r="50" spans="1:2" x14ac:dyDescent="0.25">
      <c r="A50" t="s">
        <v>312</v>
      </c>
      <c r="B50" t="s">
        <v>5713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50"/>
  <sheetViews>
    <sheetView topLeftCell="A29" zoomScaleNormal="100" workbookViewId="0">
      <selection activeCell="A4" sqref="A4"/>
    </sheetView>
  </sheetViews>
  <sheetFormatPr defaultColWidth="8.42578125" defaultRowHeight="15" x14ac:dyDescent="0.25"/>
  <cols>
    <col min="1" max="1" width="40.140625" customWidth="1"/>
    <col min="2" max="2" width="10.140625" customWidth="1"/>
  </cols>
  <sheetData>
    <row r="1" spans="1:2" x14ac:dyDescent="0.25">
      <c r="A1" s="2" t="s">
        <v>5715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5572</v>
      </c>
      <c r="B4" t="s">
        <v>5716</v>
      </c>
    </row>
    <row r="5" spans="1:2" x14ac:dyDescent="0.25">
      <c r="A5" t="s">
        <v>1307</v>
      </c>
      <c r="B5" t="s">
        <v>5716</v>
      </c>
    </row>
    <row r="6" spans="1:2" x14ac:dyDescent="0.25">
      <c r="A6" t="s">
        <v>4311</v>
      </c>
      <c r="B6" t="s">
        <v>5716</v>
      </c>
    </row>
    <row r="7" spans="1:2" x14ac:dyDescent="0.25">
      <c r="A7" t="s">
        <v>44</v>
      </c>
      <c r="B7" t="s">
        <v>5716</v>
      </c>
    </row>
    <row r="8" spans="1:2" x14ac:dyDescent="0.25">
      <c r="A8" t="s">
        <v>2363</v>
      </c>
      <c r="B8" t="s">
        <v>5716</v>
      </c>
    </row>
    <row r="9" spans="1:2" x14ac:dyDescent="0.25">
      <c r="A9" t="s">
        <v>189</v>
      </c>
      <c r="B9" t="s">
        <v>5716</v>
      </c>
    </row>
    <row r="10" spans="1:2" x14ac:dyDescent="0.25">
      <c r="A10" t="s">
        <v>3999</v>
      </c>
      <c r="B10" t="s">
        <v>5716</v>
      </c>
    </row>
    <row r="11" spans="1:2" x14ac:dyDescent="0.25">
      <c r="A11" t="s">
        <v>744</v>
      </c>
      <c r="B11" t="s">
        <v>5716</v>
      </c>
    </row>
    <row r="12" spans="1:2" x14ac:dyDescent="0.25">
      <c r="A12" t="s">
        <v>375</v>
      </c>
      <c r="B12" t="s">
        <v>5716</v>
      </c>
    </row>
    <row r="13" spans="1:2" x14ac:dyDescent="0.25">
      <c r="A13" t="s">
        <v>4598</v>
      </c>
      <c r="B13" t="s">
        <v>5716</v>
      </c>
    </row>
    <row r="14" spans="1:2" x14ac:dyDescent="0.25">
      <c r="A14" t="s">
        <v>1732</v>
      </c>
      <c r="B14" t="s">
        <v>5716</v>
      </c>
    </row>
    <row r="15" spans="1:2" x14ac:dyDescent="0.25">
      <c r="A15" t="s">
        <v>173</v>
      </c>
      <c r="B15" t="s">
        <v>5716</v>
      </c>
    </row>
    <row r="16" spans="1:2" x14ac:dyDescent="0.25">
      <c r="A16" t="s">
        <v>3535</v>
      </c>
      <c r="B16" t="s">
        <v>5716</v>
      </c>
    </row>
    <row r="17" spans="1:2" x14ac:dyDescent="0.25">
      <c r="A17" t="s">
        <v>5717</v>
      </c>
      <c r="B17" t="s">
        <v>5716</v>
      </c>
    </row>
    <row r="18" spans="1:2" x14ac:dyDescent="0.25">
      <c r="A18" t="s">
        <v>2880</v>
      </c>
      <c r="B18" t="s">
        <v>5716</v>
      </c>
    </row>
    <row r="19" spans="1:2" x14ac:dyDescent="0.25">
      <c r="A19" t="s">
        <v>3292</v>
      </c>
      <c r="B19" t="s">
        <v>5716</v>
      </c>
    </row>
    <row r="20" spans="1:2" x14ac:dyDescent="0.25">
      <c r="A20" t="s">
        <v>20</v>
      </c>
      <c r="B20" t="s">
        <v>5716</v>
      </c>
    </row>
    <row r="21" spans="1:2" x14ac:dyDescent="0.25">
      <c r="A21" t="s">
        <v>1204</v>
      </c>
      <c r="B21" t="s">
        <v>5716</v>
      </c>
    </row>
    <row r="22" spans="1:2" x14ac:dyDescent="0.25">
      <c r="A22" t="s">
        <v>594</v>
      </c>
      <c r="B22" t="s">
        <v>5716</v>
      </c>
    </row>
    <row r="23" spans="1:2" x14ac:dyDescent="0.25">
      <c r="A23" t="s">
        <v>4435</v>
      </c>
      <c r="B23" t="s">
        <v>5716</v>
      </c>
    </row>
    <row r="24" spans="1:2" x14ac:dyDescent="0.25">
      <c r="A24" t="s">
        <v>218</v>
      </c>
      <c r="B24" t="s">
        <v>5716</v>
      </c>
    </row>
    <row r="25" spans="1:2" x14ac:dyDescent="0.25">
      <c r="A25" t="s">
        <v>1753</v>
      </c>
      <c r="B25" t="s">
        <v>5716</v>
      </c>
    </row>
    <row r="26" spans="1:2" x14ac:dyDescent="0.25">
      <c r="A26" t="s">
        <v>2592</v>
      </c>
      <c r="B26" t="s">
        <v>5716</v>
      </c>
    </row>
    <row r="27" spans="1:2" x14ac:dyDescent="0.25">
      <c r="A27" t="s">
        <v>286</v>
      </c>
      <c r="B27" t="s">
        <v>5716</v>
      </c>
    </row>
    <row r="28" spans="1:2" x14ac:dyDescent="0.25">
      <c r="A28" t="s">
        <v>1534</v>
      </c>
      <c r="B28" t="s">
        <v>5716</v>
      </c>
    </row>
    <row r="29" spans="1:2" x14ac:dyDescent="0.25">
      <c r="A29" t="s">
        <v>438</v>
      </c>
      <c r="B29" t="s">
        <v>5716</v>
      </c>
    </row>
    <row r="30" spans="1:2" x14ac:dyDescent="0.25">
      <c r="A30" t="s">
        <v>941</v>
      </c>
      <c r="B30" t="s">
        <v>5716</v>
      </c>
    </row>
    <row r="31" spans="1:2" x14ac:dyDescent="0.25">
      <c r="A31" t="s">
        <v>1629</v>
      </c>
      <c r="B31" t="s">
        <v>5716</v>
      </c>
    </row>
    <row r="32" spans="1:2" x14ac:dyDescent="0.25">
      <c r="A32" t="s">
        <v>1602</v>
      </c>
      <c r="B32" t="s">
        <v>5716</v>
      </c>
    </row>
    <row r="33" spans="1:2" x14ac:dyDescent="0.25">
      <c r="A33" t="s">
        <v>269</v>
      </c>
      <c r="B33" t="s">
        <v>5716</v>
      </c>
    </row>
    <row r="34" spans="1:2" x14ac:dyDescent="0.25">
      <c r="A34" t="s">
        <v>4038</v>
      </c>
      <c r="B34" t="s">
        <v>5716</v>
      </c>
    </row>
    <row r="35" spans="1:2" x14ac:dyDescent="0.25">
      <c r="A35" t="s">
        <v>5671</v>
      </c>
      <c r="B35" t="s">
        <v>5716</v>
      </c>
    </row>
    <row r="36" spans="1:2" x14ac:dyDescent="0.25">
      <c r="A36" t="s">
        <v>2157</v>
      </c>
      <c r="B36" t="s">
        <v>5716</v>
      </c>
    </row>
    <row r="37" spans="1:2" x14ac:dyDescent="0.25">
      <c r="A37" t="s">
        <v>886</v>
      </c>
      <c r="B37" t="s">
        <v>5716</v>
      </c>
    </row>
    <row r="38" spans="1:2" x14ac:dyDescent="0.25">
      <c r="A38" t="s">
        <v>206</v>
      </c>
      <c r="B38" t="s">
        <v>5716</v>
      </c>
    </row>
    <row r="39" spans="1:2" x14ac:dyDescent="0.25">
      <c r="A39" t="s">
        <v>132</v>
      </c>
      <c r="B39" t="s">
        <v>5716</v>
      </c>
    </row>
    <row r="40" spans="1:2" x14ac:dyDescent="0.25">
      <c r="A40" t="s">
        <v>5455</v>
      </c>
      <c r="B40" t="s">
        <v>5716</v>
      </c>
    </row>
    <row r="41" spans="1:2" x14ac:dyDescent="0.25">
      <c r="A41" t="s">
        <v>2875</v>
      </c>
      <c r="B41" t="s">
        <v>5716</v>
      </c>
    </row>
    <row r="42" spans="1:2" x14ac:dyDescent="0.25">
      <c r="A42" t="s">
        <v>2828</v>
      </c>
      <c r="B42" t="s">
        <v>5716</v>
      </c>
    </row>
    <row r="43" spans="1:2" x14ac:dyDescent="0.25">
      <c r="A43" t="s">
        <v>1378</v>
      </c>
      <c r="B43" t="s">
        <v>5716</v>
      </c>
    </row>
    <row r="44" spans="1:2" x14ac:dyDescent="0.25">
      <c r="A44" t="s">
        <v>4911</v>
      </c>
      <c r="B44" t="s">
        <v>5716</v>
      </c>
    </row>
    <row r="45" spans="1:2" x14ac:dyDescent="0.25">
      <c r="A45" t="s">
        <v>231</v>
      </c>
      <c r="B45" t="s">
        <v>5716</v>
      </c>
    </row>
    <row r="46" spans="1:2" x14ac:dyDescent="0.25">
      <c r="A46" t="s">
        <v>3356</v>
      </c>
      <c r="B46" t="s">
        <v>5716</v>
      </c>
    </row>
    <row r="47" spans="1:2" x14ac:dyDescent="0.25">
      <c r="A47" t="s">
        <v>5483</v>
      </c>
      <c r="B47" t="s">
        <v>5716</v>
      </c>
    </row>
    <row r="48" spans="1:2" x14ac:dyDescent="0.25">
      <c r="A48" t="s">
        <v>2185</v>
      </c>
      <c r="B48" t="s">
        <v>5716</v>
      </c>
    </row>
    <row r="49" spans="1:2" x14ac:dyDescent="0.25">
      <c r="A49" t="s">
        <v>2702</v>
      </c>
      <c r="B49" t="s">
        <v>5716</v>
      </c>
    </row>
    <row r="50" spans="1:2" x14ac:dyDescent="0.25">
      <c r="A50" t="s">
        <v>4011</v>
      </c>
      <c r="B50" t="s">
        <v>5716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47"/>
  <sheetViews>
    <sheetView topLeftCell="A26" zoomScaleNormal="100" workbookViewId="0">
      <selection activeCell="A4" sqref="A4"/>
    </sheetView>
  </sheetViews>
  <sheetFormatPr defaultColWidth="8.42578125" defaultRowHeight="15" x14ac:dyDescent="0.25"/>
  <cols>
    <col min="1" max="1" width="44.5703125" customWidth="1"/>
    <col min="2" max="2" width="9.7109375" customWidth="1"/>
  </cols>
  <sheetData>
    <row r="1" spans="1:2" x14ac:dyDescent="0.25">
      <c r="A1" s="2" t="s">
        <v>5718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3939</v>
      </c>
      <c r="B4" t="s">
        <v>5719</v>
      </c>
    </row>
    <row r="5" spans="1:2" x14ac:dyDescent="0.25">
      <c r="A5" t="s">
        <v>2192</v>
      </c>
      <c r="B5" t="s">
        <v>5719</v>
      </c>
    </row>
    <row r="6" spans="1:2" x14ac:dyDescent="0.25">
      <c r="A6" t="s">
        <v>3656</v>
      </c>
      <c r="B6" t="s">
        <v>5719</v>
      </c>
    </row>
    <row r="7" spans="1:2" x14ac:dyDescent="0.25">
      <c r="A7" t="s">
        <v>279</v>
      </c>
      <c r="B7" t="s">
        <v>5719</v>
      </c>
    </row>
    <row r="8" spans="1:2" x14ac:dyDescent="0.25">
      <c r="A8" t="s">
        <v>2969</v>
      </c>
      <c r="B8" t="s">
        <v>5719</v>
      </c>
    </row>
    <row r="9" spans="1:2" x14ac:dyDescent="0.25">
      <c r="A9" t="s">
        <v>4080</v>
      </c>
      <c r="B9" t="s">
        <v>5719</v>
      </c>
    </row>
    <row r="10" spans="1:2" x14ac:dyDescent="0.25">
      <c r="A10" t="s">
        <v>3334</v>
      </c>
      <c r="B10" t="s">
        <v>5719</v>
      </c>
    </row>
    <row r="11" spans="1:2" x14ac:dyDescent="0.25">
      <c r="A11" t="s">
        <v>1292</v>
      </c>
      <c r="B11" t="s">
        <v>5719</v>
      </c>
    </row>
    <row r="12" spans="1:2" x14ac:dyDescent="0.25">
      <c r="A12" t="s">
        <v>4461</v>
      </c>
      <c r="B12" t="s">
        <v>5719</v>
      </c>
    </row>
    <row r="13" spans="1:2" x14ac:dyDescent="0.25">
      <c r="A13" t="s">
        <v>118</v>
      </c>
      <c r="B13" t="s">
        <v>5719</v>
      </c>
    </row>
    <row r="14" spans="1:2" x14ac:dyDescent="0.25">
      <c r="A14" t="s">
        <v>867</v>
      </c>
      <c r="B14" t="s">
        <v>5719</v>
      </c>
    </row>
    <row r="15" spans="1:2" x14ac:dyDescent="0.25">
      <c r="A15" t="s">
        <v>3394</v>
      </c>
      <c r="B15" t="s">
        <v>5719</v>
      </c>
    </row>
    <row r="16" spans="1:2" x14ac:dyDescent="0.25">
      <c r="A16" t="s">
        <v>280</v>
      </c>
      <c r="B16" t="s">
        <v>5719</v>
      </c>
    </row>
    <row r="17" spans="1:2" x14ac:dyDescent="0.25">
      <c r="A17" t="s">
        <v>2873</v>
      </c>
      <c r="B17" t="s">
        <v>5719</v>
      </c>
    </row>
    <row r="18" spans="1:2" x14ac:dyDescent="0.25">
      <c r="A18" t="s">
        <v>4814</v>
      </c>
      <c r="B18" t="s">
        <v>5719</v>
      </c>
    </row>
    <row r="19" spans="1:2" x14ac:dyDescent="0.25">
      <c r="A19" t="s">
        <v>2618</v>
      </c>
      <c r="B19" t="s">
        <v>5719</v>
      </c>
    </row>
    <row r="20" spans="1:2" x14ac:dyDescent="0.25">
      <c r="A20" t="s">
        <v>831</v>
      </c>
      <c r="B20" t="s">
        <v>5719</v>
      </c>
    </row>
    <row r="21" spans="1:2" x14ac:dyDescent="0.25">
      <c r="A21" t="s">
        <v>4485</v>
      </c>
      <c r="B21" t="s">
        <v>5719</v>
      </c>
    </row>
    <row r="22" spans="1:2" x14ac:dyDescent="0.25">
      <c r="A22" t="s">
        <v>3845</v>
      </c>
      <c r="B22" t="s">
        <v>5719</v>
      </c>
    </row>
    <row r="23" spans="1:2" x14ac:dyDescent="0.25">
      <c r="A23" t="s">
        <v>3243</v>
      </c>
      <c r="B23" t="s">
        <v>5719</v>
      </c>
    </row>
    <row r="24" spans="1:2" x14ac:dyDescent="0.25">
      <c r="A24" t="s">
        <v>736</v>
      </c>
      <c r="B24" t="s">
        <v>5719</v>
      </c>
    </row>
    <row r="25" spans="1:2" x14ac:dyDescent="0.25">
      <c r="A25" t="s">
        <v>1825</v>
      </c>
      <c r="B25" t="s">
        <v>5719</v>
      </c>
    </row>
    <row r="26" spans="1:2" x14ac:dyDescent="0.25">
      <c r="A26" t="s">
        <v>5509</v>
      </c>
      <c r="B26" t="s">
        <v>5719</v>
      </c>
    </row>
    <row r="27" spans="1:2" x14ac:dyDescent="0.25">
      <c r="A27" t="s">
        <v>147</v>
      </c>
      <c r="B27" t="s">
        <v>5719</v>
      </c>
    </row>
    <row r="28" spans="1:2" x14ac:dyDescent="0.25">
      <c r="A28" t="s">
        <v>1416</v>
      </c>
      <c r="B28" t="s">
        <v>5719</v>
      </c>
    </row>
    <row r="29" spans="1:2" x14ac:dyDescent="0.25">
      <c r="A29" t="s">
        <v>3387</v>
      </c>
      <c r="B29" t="s">
        <v>5719</v>
      </c>
    </row>
    <row r="30" spans="1:2" x14ac:dyDescent="0.25">
      <c r="A30" t="s">
        <v>2049</v>
      </c>
      <c r="B30" t="s">
        <v>5719</v>
      </c>
    </row>
    <row r="31" spans="1:2" x14ac:dyDescent="0.25">
      <c r="A31" t="s">
        <v>4396</v>
      </c>
      <c r="B31" t="s">
        <v>5719</v>
      </c>
    </row>
    <row r="32" spans="1:2" x14ac:dyDescent="0.25">
      <c r="A32" t="s">
        <v>244</v>
      </c>
      <c r="B32" t="s">
        <v>5719</v>
      </c>
    </row>
    <row r="33" spans="1:2" x14ac:dyDescent="0.25">
      <c r="A33" t="s">
        <v>1986</v>
      </c>
      <c r="B33" t="s">
        <v>5719</v>
      </c>
    </row>
    <row r="34" spans="1:2" x14ac:dyDescent="0.25">
      <c r="A34" t="s">
        <v>200</v>
      </c>
      <c r="B34" t="s">
        <v>5719</v>
      </c>
    </row>
    <row r="35" spans="1:2" x14ac:dyDescent="0.25">
      <c r="A35" t="s">
        <v>1881</v>
      </c>
      <c r="B35" t="s">
        <v>5719</v>
      </c>
    </row>
    <row r="36" spans="1:2" x14ac:dyDescent="0.25">
      <c r="A36" t="s">
        <v>3622</v>
      </c>
      <c r="B36" t="s">
        <v>5719</v>
      </c>
    </row>
    <row r="37" spans="1:2" x14ac:dyDescent="0.25">
      <c r="A37" t="s">
        <v>4780</v>
      </c>
      <c r="B37" t="s">
        <v>5719</v>
      </c>
    </row>
    <row r="38" spans="1:2" x14ac:dyDescent="0.25">
      <c r="A38" t="s">
        <v>3927</v>
      </c>
      <c r="B38" t="s">
        <v>5719</v>
      </c>
    </row>
    <row r="39" spans="1:2" x14ac:dyDescent="0.25">
      <c r="A39" t="s">
        <v>3899</v>
      </c>
      <c r="B39" t="s">
        <v>5719</v>
      </c>
    </row>
    <row r="40" spans="1:2" x14ac:dyDescent="0.25">
      <c r="A40" t="s">
        <v>2795</v>
      </c>
      <c r="B40" t="s">
        <v>5719</v>
      </c>
    </row>
    <row r="41" spans="1:2" x14ac:dyDescent="0.25">
      <c r="A41" t="s">
        <v>5514</v>
      </c>
      <c r="B41" t="s">
        <v>5719</v>
      </c>
    </row>
    <row r="42" spans="1:2" x14ac:dyDescent="0.25">
      <c r="A42" t="s">
        <v>1048</v>
      </c>
      <c r="B42" t="s">
        <v>5719</v>
      </c>
    </row>
    <row r="43" spans="1:2" x14ac:dyDescent="0.25">
      <c r="A43" t="s">
        <v>570</v>
      </c>
      <c r="B43" t="s">
        <v>5719</v>
      </c>
    </row>
    <row r="44" spans="1:2" x14ac:dyDescent="0.25">
      <c r="A44" t="s">
        <v>3375</v>
      </c>
      <c r="B44" t="s">
        <v>5719</v>
      </c>
    </row>
    <row r="45" spans="1:2" x14ac:dyDescent="0.25">
      <c r="A45" t="s">
        <v>2173</v>
      </c>
      <c r="B45" t="s">
        <v>5719</v>
      </c>
    </row>
    <row r="46" spans="1:2" x14ac:dyDescent="0.25">
      <c r="A46" t="s">
        <v>2943</v>
      </c>
      <c r="B46" t="s">
        <v>5719</v>
      </c>
    </row>
    <row r="47" spans="1:2" x14ac:dyDescent="0.25">
      <c r="A47" t="s">
        <v>1278</v>
      </c>
      <c r="B47" t="s">
        <v>5719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46"/>
  <sheetViews>
    <sheetView topLeftCell="A25" zoomScaleNormal="100" workbookViewId="0">
      <selection activeCell="A4" sqref="A4"/>
    </sheetView>
  </sheetViews>
  <sheetFormatPr defaultColWidth="8.42578125" defaultRowHeight="15" x14ac:dyDescent="0.25"/>
  <cols>
    <col min="1" max="1" width="49.85546875" customWidth="1"/>
    <col min="2" max="2" width="9.7109375" customWidth="1"/>
  </cols>
  <sheetData>
    <row r="1" spans="1:2" x14ac:dyDescent="0.25">
      <c r="A1" s="2" t="s">
        <v>5720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5098</v>
      </c>
      <c r="B4" t="s">
        <v>5721</v>
      </c>
    </row>
    <row r="5" spans="1:2" x14ac:dyDescent="0.25">
      <c r="A5" t="s">
        <v>3267</v>
      </c>
      <c r="B5" t="s">
        <v>5721</v>
      </c>
    </row>
    <row r="6" spans="1:2" x14ac:dyDescent="0.25">
      <c r="A6" t="s">
        <v>3847</v>
      </c>
      <c r="B6" t="s">
        <v>5721</v>
      </c>
    </row>
    <row r="7" spans="1:2" x14ac:dyDescent="0.25">
      <c r="A7" t="s">
        <v>1147</v>
      </c>
      <c r="B7" t="s">
        <v>5721</v>
      </c>
    </row>
    <row r="8" spans="1:2" x14ac:dyDescent="0.25">
      <c r="A8" t="s">
        <v>5071</v>
      </c>
      <c r="B8" t="s">
        <v>5721</v>
      </c>
    </row>
    <row r="9" spans="1:2" x14ac:dyDescent="0.25">
      <c r="A9" t="s">
        <v>2382</v>
      </c>
      <c r="B9" t="s">
        <v>5721</v>
      </c>
    </row>
    <row r="10" spans="1:2" x14ac:dyDescent="0.25">
      <c r="A10" t="s">
        <v>3576</v>
      </c>
      <c r="B10" t="s">
        <v>5721</v>
      </c>
    </row>
    <row r="11" spans="1:2" x14ac:dyDescent="0.25">
      <c r="A11" t="s">
        <v>4890</v>
      </c>
      <c r="B11" t="s">
        <v>5721</v>
      </c>
    </row>
    <row r="12" spans="1:2" x14ac:dyDescent="0.25">
      <c r="A12" t="s">
        <v>5001</v>
      </c>
      <c r="B12" t="s">
        <v>5721</v>
      </c>
    </row>
    <row r="13" spans="1:2" x14ac:dyDescent="0.25">
      <c r="A13" t="s">
        <v>2959</v>
      </c>
      <c r="B13" t="s">
        <v>5721</v>
      </c>
    </row>
    <row r="14" spans="1:2" x14ac:dyDescent="0.25">
      <c r="A14" t="s">
        <v>317</v>
      </c>
      <c r="B14" t="s">
        <v>5721</v>
      </c>
    </row>
    <row r="15" spans="1:2" x14ac:dyDescent="0.25">
      <c r="A15" t="s">
        <v>4891</v>
      </c>
      <c r="B15" t="s">
        <v>5721</v>
      </c>
    </row>
    <row r="16" spans="1:2" x14ac:dyDescent="0.25">
      <c r="A16" t="s">
        <v>3903</v>
      </c>
      <c r="B16" t="s">
        <v>5721</v>
      </c>
    </row>
    <row r="17" spans="1:2" x14ac:dyDescent="0.25">
      <c r="A17" t="s">
        <v>3437</v>
      </c>
      <c r="B17" t="s">
        <v>5721</v>
      </c>
    </row>
    <row r="18" spans="1:2" x14ac:dyDescent="0.25">
      <c r="A18" t="s">
        <v>2681</v>
      </c>
      <c r="B18" t="s">
        <v>5721</v>
      </c>
    </row>
    <row r="19" spans="1:2" x14ac:dyDescent="0.25">
      <c r="A19" t="s">
        <v>1146</v>
      </c>
      <c r="B19" t="s">
        <v>5721</v>
      </c>
    </row>
    <row r="20" spans="1:2" x14ac:dyDescent="0.25">
      <c r="A20" t="s">
        <v>4361</v>
      </c>
      <c r="B20" t="s">
        <v>5721</v>
      </c>
    </row>
    <row r="21" spans="1:2" x14ac:dyDescent="0.25">
      <c r="A21" t="s">
        <v>1180</v>
      </c>
      <c r="B21" t="s">
        <v>5721</v>
      </c>
    </row>
    <row r="22" spans="1:2" x14ac:dyDescent="0.25">
      <c r="A22" t="s">
        <v>3290</v>
      </c>
      <c r="B22" t="s">
        <v>5721</v>
      </c>
    </row>
    <row r="23" spans="1:2" x14ac:dyDescent="0.25">
      <c r="A23" t="s">
        <v>809</v>
      </c>
      <c r="B23" t="s">
        <v>5721</v>
      </c>
    </row>
    <row r="24" spans="1:2" x14ac:dyDescent="0.25">
      <c r="A24" t="s">
        <v>2505</v>
      </c>
      <c r="B24" t="s">
        <v>5721</v>
      </c>
    </row>
    <row r="25" spans="1:2" x14ac:dyDescent="0.25">
      <c r="A25" t="s">
        <v>4831</v>
      </c>
      <c r="B25" t="s">
        <v>5721</v>
      </c>
    </row>
    <row r="26" spans="1:2" x14ac:dyDescent="0.25">
      <c r="A26" t="s">
        <v>4380</v>
      </c>
      <c r="B26" t="s">
        <v>5721</v>
      </c>
    </row>
    <row r="27" spans="1:2" x14ac:dyDescent="0.25">
      <c r="A27" t="s">
        <v>4097</v>
      </c>
      <c r="B27" t="s">
        <v>5721</v>
      </c>
    </row>
    <row r="28" spans="1:2" x14ac:dyDescent="0.25">
      <c r="A28" t="s">
        <v>3419</v>
      </c>
      <c r="B28" t="s">
        <v>5721</v>
      </c>
    </row>
    <row r="29" spans="1:2" x14ac:dyDescent="0.25">
      <c r="A29" t="s">
        <v>4480</v>
      </c>
      <c r="B29" t="s">
        <v>5721</v>
      </c>
    </row>
    <row r="30" spans="1:2" x14ac:dyDescent="0.25">
      <c r="A30" t="s">
        <v>314</v>
      </c>
      <c r="B30" t="s">
        <v>5721</v>
      </c>
    </row>
    <row r="31" spans="1:2" x14ac:dyDescent="0.25">
      <c r="A31" t="s">
        <v>1463</v>
      </c>
      <c r="B31" t="s">
        <v>5721</v>
      </c>
    </row>
    <row r="32" spans="1:2" x14ac:dyDescent="0.25">
      <c r="A32" t="s">
        <v>1782</v>
      </c>
      <c r="B32" t="s">
        <v>5721</v>
      </c>
    </row>
    <row r="33" spans="1:2" x14ac:dyDescent="0.25">
      <c r="A33" t="s">
        <v>5072</v>
      </c>
      <c r="B33" t="s">
        <v>5721</v>
      </c>
    </row>
    <row r="34" spans="1:2" x14ac:dyDescent="0.25">
      <c r="A34" t="s">
        <v>1848</v>
      </c>
      <c r="B34" t="s">
        <v>5721</v>
      </c>
    </row>
    <row r="35" spans="1:2" x14ac:dyDescent="0.25">
      <c r="A35" t="s">
        <v>1039</v>
      </c>
      <c r="B35" t="s">
        <v>5721</v>
      </c>
    </row>
    <row r="36" spans="1:2" x14ac:dyDescent="0.25">
      <c r="A36" t="s">
        <v>5294</v>
      </c>
      <c r="B36" t="s">
        <v>5721</v>
      </c>
    </row>
    <row r="37" spans="1:2" x14ac:dyDescent="0.25">
      <c r="A37" t="s">
        <v>5233</v>
      </c>
      <c r="B37" t="s">
        <v>5721</v>
      </c>
    </row>
    <row r="38" spans="1:2" x14ac:dyDescent="0.25">
      <c r="A38" t="s">
        <v>1783</v>
      </c>
      <c r="B38" t="s">
        <v>5721</v>
      </c>
    </row>
    <row r="39" spans="1:2" x14ac:dyDescent="0.25">
      <c r="A39" t="s">
        <v>3206</v>
      </c>
      <c r="B39" t="s">
        <v>5721</v>
      </c>
    </row>
    <row r="40" spans="1:2" x14ac:dyDescent="0.25">
      <c r="A40" t="s">
        <v>2285</v>
      </c>
      <c r="B40" t="s">
        <v>5721</v>
      </c>
    </row>
    <row r="41" spans="1:2" x14ac:dyDescent="0.25">
      <c r="A41" t="s">
        <v>1920</v>
      </c>
      <c r="B41" t="s">
        <v>5721</v>
      </c>
    </row>
    <row r="42" spans="1:2" x14ac:dyDescent="0.25">
      <c r="A42" t="s">
        <v>4117</v>
      </c>
      <c r="B42" t="s">
        <v>5721</v>
      </c>
    </row>
    <row r="43" spans="1:2" x14ac:dyDescent="0.25">
      <c r="A43" t="s">
        <v>3430</v>
      </c>
      <c r="B43" t="s">
        <v>5721</v>
      </c>
    </row>
    <row r="44" spans="1:2" x14ac:dyDescent="0.25">
      <c r="A44" t="s">
        <v>3718</v>
      </c>
      <c r="B44" t="s">
        <v>5721</v>
      </c>
    </row>
    <row r="45" spans="1:2" x14ac:dyDescent="0.25">
      <c r="A45" t="s">
        <v>5722</v>
      </c>
      <c r="B45" t="s">
        <v>5721</v>
      </c>
    </row>
    <row r="46" spans="1:2" x14ac:dyDescent="0.25">
      <c r="A46" t="s">
        <v>2870</v>
      </c>
      <c r="B46" t="s">
        <v>5721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43"/>
  <sheetViews>
    <sheetView topLeftCell="A22" zoomScaleNormal="100" workbookViewId="0">
      <selection activeCell="A4" sqref="A4"/>
    </sheetView>
  </sheetViews>
  <sheetFormatPr defaultColWidth="8.42578125" defaultRowHeight="15" x14ac:dyDescent="0.25"/>
  <cols>
    <col min="1" max="1" width="40.85546875" customWidth="1"/>
    <col min="2" max="2" width="9.7109375" customWidth="1"/>
  </cols>
  <sheetData>
    <row r="1" spans="1:2" x14ac:dyDescent="0.25">
      <c r="A1" s="2" t="s">
        <v>5723</v>
      </c>
    </row>
    <row r="3" spans="1:2" x14ac:dyDescent="0.25">
      <c r="A3" t="s">
        <v>5702</v>
      </c>
      <c r="B3" t="s">
        <v>5703</v>
      </c>
    </row>
    <row r="4" spans="1:2" x14ac:dyDescent="0.25">
      <c r="A4" t="s">
        <v>4596</v>
      </c>
      <c r="B4" t="s">
        <v>5724</v>
      </c>
    </row>
    <row r="5" spans="1:2" x14ac:dyDescent="0.25">
      <c r="A5" t="s">
        <v>1537</v>
      </c>
      <c r="B5" t="s">
        <v>5724</v>
      </c>
    </row>
    <row r="6" spans="1:2" x14ac:dyDescent="0.25">
      <c r="A6" t="s">
        <v>4678</v>
      </c>
      <c r="B6" t="s">
        <v>5724</v>
      </c>
    </row>
    <row r="7" spans="1:2" x14ac:dyDescent="0.25">
      <c r="A7" t="s">
        <v>1118</v>
      </c>
      <c r="B7" t="s">
        <v>5724</v>
      </c>
    </row>
    <row r="8" spans="1:2" x14ac:dyDescent="0.25">
      <c r="A8" t="s">
        <v>3664</v>
      </c>
      <c r="B8" t="s">
        <v>5724</v>
      </c>
    </row>
    <row r="9" spans="1:2" x14ac:dyDescent="0.25">
      <c r="A9" t="s">
        <v>5647</v>
      </c>
      <c r="B9" t="s">
        <v>5724</v>
      </c>
    </row>
    <row r="10" spans="1:2" x14ac:dyDescent="0.25">
      <c r="A10" t="s">
        <v>5214</v>
      </c>
      <c r="B10" t="s">
        <v>5724</v>
      </c>
    </row>
    <row r="11" spans="1:2" x14ac:dyDescent="0.25">
      <c r="A11" t="s">
        <v>3759</v>
      </c>
      <c r="B11" t="s">
        <v>5724</v>
      </c>
    </row>
    <row r="12" spans="1:2" x14ac:dyDescent="0.25">
      <c r="A12" t="s">
        <v>5464</v>
      </c>
      <c r="B12" t="s">
        <v>5724</v>
      </c>
    </row>
    <row r="13" spans="1:2" x14ac:dyDescent="0.25">
      <c r="A13" t="s">
        <v>3568</v>
      </c>
      <c r="B13" t="s">
        <v>5724</v>
      </c>
    </row>
    <row r="14" spans="1:2" x14ac:dyDescent="0.25">
      <c r="A14" t="s">
        <v>4705</v>
      </c>
      <c r="B14" t="s">
        <v>5724</v>
      </c>
    </row>
    <row r="15" spans="1:2" x14ac:dyDescent="0.25">
      <c r="A15" t="s">
        <v>513</v>
      </c>
      <c r="B15" t="s">
        <v>5724</v>
      </c>
    </row>
    <row r="16" spans="1:2" x14ac:dyDescent="0.25">
      <c r="A16" t="s">
        <v>4561</v>
      </c>
      <c r="B16" t="s">
        <v>5724</v>
      </c>
    </row>
    <row r="17" spans="1:2" x14ac:dyDescent="0.25">
      <c r="A17" t="s">
        <v>241</v>
      </c>
      <c r="B17" t="s">
        <v>5724</v>
      </c>
    </row>
    <row r="18" spans="1:2" x14ac:dyDescent="0.25">
      <c r="A18" t="s">
        <v>5218</v>
      </c>
      <c r="B18" t="s">
        <v>5724</v>
      </c>
    </row>
    <row r="19" spans="1:2" x14ac:dyDescent="0.25">
      <c r="A19" t="s">
        <v>1363</v>
      </c>
      <c r="B19" t="s">
        <v>5724</v>
      </c>
    </row>
    <row r="20" spans="1:2" x14ac:dyDescent="0.25">
      <c r="A20" t="s">
        <v>1686</v>
      </c>
      <c r="B20" t="s">
        <v>5724</v>
      </c>
    </row>
    <row r="21" spans="1:2" x14ac:dyDescent="0.25">
      <c r="A21" t="s">
        <v>5595</v>
      </c>
      <c r="B21" t="s">
        <v>5724</v>
      </c>
    </row>
    <row r="22" spans="1:2" x14ac:dyDescent="0.25">
      <c r="A22" t="s">
        <v>1635</v>
      </c>
      <c r="B22" t="s">
        <v>5724</v>
      </c>
    </row>
    <row r="23" spans="1:2" x14ac:dyDescent="0.25">
      <c r="A23" t="s">
        <v>4323</v>
      </c>
      <c r="B23" t="s">
        <v>5724</v>
      </c>
    </row>
    <row r="24" spans="1:2" x14ac:dyDescent="0.25">
      <c r="A24" t="s">
        <v>55</v>
      </c>
      <c r="B24" t="s">
        <v>5724</v>
      </c>
    </row>
    <row r="25" spans="1:2" x14ac:dyDescent="0.25">
      <c r="A25" t="s">
        <v>190</v>
      </c>
      <c r="B25" t="s">
        <v>5724</v>
      </c>
    </row>
    <row r="26" spans="1:2" x14ac:dyDescent="0.25">
      <c r="A26" t="s">
        <v>557</v>
      </c>
      <c r="B26" t="s">
        <v>5724</v>
      </c>
    </row>
    <row r="27" spans="1:2" x14ac:dyDescent="0.25">
      <c r="A27" t="s">
        <v>4880</v>
      </c>
      <c r="B27" t="s">
        <v>5724</v>
      </c>
    </row>
    <row r="28" spans="1:2" x14ac:dyDescent="0.25">
      <c r="A28" t="s">
        <v>872</v>
      </c>
      <c r="B28" t="s">
        <v>5724</v>
      </c>
    </row>
    <row r="29" spans="1:2" x14ac:dyDescent="0.25">
      <c r="A29" t="s">
        <v>156</v>
      </c>
      <c r="B29" t="s">
        <v>5724</v>
      </c>
    </row>
    <row r="30" spans="1:2" x14ac:dyDescent="0.25">
      <c r="A30" t="s">
        <v>899</v>
      </c>
      <c r="B30" t="s">
        <v>5724</v>
      </c>
    </row>
    <row r="31" spans="1:2" x14ac:dyDescent="0.25">
      <c r="A31" t="s">
        <v>1599</v>
      </c>
      <c r="B31" t="s">
        <v>5724</v>
      </c>
    </row>
    <row r="32" spans="1:2" x14ac:dyDescent="0.25">
      <c r="A32" t="s">
        <v>2495</v>
      </c>
      <c r="B32" t="s">
        <v>5724</v>
      </c>
    </row>
    <row r="33" spans="1:2" x14ac:dyDescent="0.25">
      <c r="A33" t="s">
        <v>5476</v>
      </c>
      <c r="B33" t="s">
        <v>5724</v>
      </c>
    </row>
    <row r="34" spans="1:2" x14ac:dyDescent="0.25">
      <c r="A34" t="s">
        <v>4717</v>
      </c>
      <c r="B34" t="s">
        <v>5724</v>
      </c>
    </row>
    <row r="35" spans="1:2" x14ac:dyDescent="0.25">
      <c r="A35" t="s">
        <v>981</v>
      </c>
      <c r="B35" t="s">
        <v>5724</v>
      </c>
    </row>
    <row r="36" spans="1:2" x14ac:dyDescent="0.25">
      <c r="A36" t="s">
        <v>1631</v>
      </c>
      <c r="B36" t="s">
        <v>5724</v>
      </c>
    </row>
    <row r="37" spans="1:2" x14ac:dyDescent="0.25">
      <c r="A37" t="s">
        <v>4849</v>
      </c>
      <c r="B37" t="s">
        <v>5724</v>
      </c>
    </row>
    <row r="38" spans="1:2" x14ac:dyDescent="0.25">
      <c r="A38" t="s">
        <v>4488</v>
      </c>
      <c r="B38" t="s">
        <v>5724</v>
      </c>
    </row>
    <row r="39" spans="1:2" x14ac:dyDescent="0.25">
      <c r="A39" t="s">
        <v>3909</v>
      </c>
      <c r="B39" t="s">
        <v>5724</v>
      </c>
    </row>
    <row r="40" spans="1:2" x14ac:dyDescent="0.25">
      <c r="A40" t="s">
        <v>668</v>
      </c>
      <c r="B40" t="s">
        <v>5724</v>
      </c>
    </row>
    <row r="41" spans="1:2" x14ac:dyDescent="0.25">
      <c r="A41" t="s">
        <v>588</v>
      </c>
      <c r="B41" t="s">
        <v>5724</v>
      </c>
    </row>
    <row r="42" spans="1:2" x14ac:dyDescent="0.25">
      <c r="A42" t="s">
        <v>575</v>
      </c>
      <c r="B42" t="s">
        <v>5724</v>
      </c>
    </row>
    <row r="43" spans="1:2" x14ac:dyDescent="0.25">
      <c r="A43" t="s">
        <v>2142</v>
      </c>
      <c r="B43" t="s">
        <v>5724</v>
      </c>
    </row>
  </sheetData>
  <pageMargins left="0.7" right="0.7" top="0.75" bottom="0.75" header="0.511811023622047" footer="0.511811023622047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Detail2</vt:lpstr>
      <vt:lpstr>Detail3</vt:lpstr>
      <vt:lpstr>Detail4</vt:lpstr>
      <vt:lpstr>Detail5</vt:lpstr>
      <vt:lpstr>Detail6</vt:lpstr>
      <vt:lpstr>Detail7</vt:lpstr>
      <vt:lpstr>Detail8</vt:lpstr>
      <vt:lpstr>Detail9</vt:lpstr>
      <vt:lpstr>Detail10</vt:lpstr>
      <vt:lpstr>Detail11</vt:lpstr>
      <vt:lpstr>Detail12</vt:lpstr>
      <vt:lpstr>Detail13</vt:lpstr>
      <vt:lpstr>Detail14</vt:lpstr>
      <vt:lpstr>Detail15</vt:lpstr>
      <vt:lpstr>Detail16</vt:lpstr>
      <vt:lpstr>Detail17</vt:lpstr>
      <vt:lpstr>Detail18</vt:lpstr>
      <vt:lpstr>Detail19</vt:lpstr>
      <vt:lpstr>Detail20</vt:lpstr>
      <vt:lpstr>Detail21</vt:lpstr>
      <vt:lpstr>Detail22</vt:lpstr>
      <vt:lpstr>Detail23</vt:lpstr>
      <vt:lpstr>Detail24</vt:lpstr>
      <vt:lpstr>Detail25</vt:lpstr>
      <vt:lpstr>Detail26</vt:lpstr>
      <vt:lpstr>Detail27</vt:lpstr>
      <vt:lpstr>Detail28</vt:lpstr>
      <vt:lpstr>Detail29</vt:lpstr>
      <vt:lpstr>Detail30</vt:lpstr>
      <vt:lpstr>Detail31</vt:lpstr>
      <vt:lpstr>Detail32</vt:lpstr>
      <vt:lpstr>Detail33</vt:lpstr>
      <vt:lpstr>Sheet1</vt:lpstr>
      <vt:lpstr>Sheet2</vt:lpstr>
      <vt:lpstr>Sheet3</vt:lpstr>
      <vt:lpstr>Main data</vt:lpstr>
      <vt:lpstr>DPCache_Adviser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Kolade Salawu</dc:creator>
  <dc:description/>
  <cp:lastModifiedBy>Kolade Salawu</cp:lastModifiedBy>
  <cp:revision>1</cp:revision>
  <dcterms:created xsi:type="dcterms:W3CDTF">2025-09-02T22:02:10Z</dcterms:created>
  <dcterms:modified xsi:type="dcterms:W3CDTF">2026-04-21T22:56:47Z</dcterms:modified>
  <dc:language>en-GB</dc:language>
</cp:coreProperties>
</file>